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S:\BUSINESS\PUBLIC\IMP\2023 Fall\portfolio worksheets\"/>
    </mc:Choice>
  </mc:AlternateContent>
  <xr:revisionPtr revIDLastSave="0" documentId="13_ncr:1_{C740E7BD-4342-44A9-BEF0-6C5B5E93F030}" xr6:coauthVersionLast="47" xr6:coauthVersionMax="47" xr10:uidLastSave="{00000000-0000-0000-0000-000000000000}"/>
  <bookViews>
    <workbookView xWindow="-120" yWindow="-120" windowWidth="29040" windowHeight="15840" firstSheet="19" activeTab="20" xr2:uid="{6C94C030-4E51-43F7-BB0D-AC4666295A47}"/>
  </bookViews>
  <sheets>
    <sheet name="Sheet1" sheetId="1" r:id="rId1"/>
    <sheet name="2004" sheetId="2" r:id="rId2"/>
    <sheet name="2005" sheetId="3" r:id="rId3"/>
    <sheet name="2006" sheetId="4" r:id="rId4"/>
    <sheet name="2007" sheetId="5" r:id="rId5"/>
    <sheet name="2008" sheetId="6" r:id="rId6"/>
    <sheet name="2009" sheetId="7" r:id="rId7"/>
    <sheet name="2010" sheetId="8" r:id="rId8"/>
    <sheet name="2011 " sheetId="9" r:id="rId9"/>
    <sheet name="2012" sheetId="10" r:id="rId10"/>
    <sheet name="2013 " sheetId="11" r:id="rId11"/>
    <sheet name="2014" sheetId="12" r:id="rId12"/>
    <sheet name="2015" sheetId="13" r:id="rId13"/>
    <sheet name="2016" sheetId="14" r:id="rId14"/>
    <sheet name="2017" sheetId="15" r:id="rId15"/>
    <sheet name="2018" sheetId="32" r:id="rId16"/>
    <sheet name="2019" sheetId="33" r:id="rId17"/>
    <sheet name="2020" sheetId="38" r:id="rId18"/>
    <sheet name="2021" sheetId="47" r:id="rId19"/>
    <sheet name="2022" sheetId="44" r:id="rId20"/>
    <sheet name="2023 YTD" sheetId="50" r:id="rId21"/>
    <sheet name="2023 Working" sheetId="45" r:id="rId22"/>
    <sheet name="Equity Sector Weight" sheetId="39" r:id="rId23"/>
    <sheet name="Transactions" sheetId="19" r:id="rId24"/>
    <sheet name="Monthly Returns" sheetId="20" r:id="rId25"/>
    <sheet name="Tables_annual" sheetId="36" r:id="rId26"/>
    <sheet name="Market Cap" sheetId="21" r:id="rId27"/>
  </sheets>
  <definedNames>
    <definedName name="_xlnm._FilterDatabase" localSheetId="23" hidden="1">Transactions!$A$1:$A$1969</definedName>
    <definedName name="_xlnm.Print_Area" localSheetId="20">'2023 YTD'!$A$1:$S$101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3" i="50" l="1"/>
  <c r="F83" i="50"/>
  <c r="B54" i="45" l="1"/>
  <c r="B52" i="45"/>
  <c r="K54" i="45" a="1"/>
  <c r="K54" i="45" s="1"/>
  <c r="L54" i="45" s="1"/>
  <c r="B20" i="45"/>
  <c r="B21" i="45" s="1"/>
  <c r="B22" i="45" s="1"/>
  <c r="B23" i="45" s="1"/>
  <c r="B24" i="45" s="1"/>
  <c r="B25" i="45" s="1"/>
  <c r="B26" i="45" s="1"/>
  <c r="B27" i="45" s="1"/>
  <c r="B28" i="45" s="1"/>
  <c r="B29" i="45" s="1"/>
  <c r="B30" i="45" s="1"/>
  <c r="B31" i="45" s="1"/>
  <c r="B32" i="45" s="1"/>
  <c r="B33" i="45" s="1"/>
  <c r="B34" i="45" s="1"/>
  <c r="B35" i="45" s="1"/>
  <c r="B36" i="45" s="1"/>
  <c r="B37" i="45" s="1"/>
  <c r="B38" i="45" s="1"/>
  <c r="B39" i="45" s="1"/>
  <c r="B40" i="45" s="1"/>
  <c r="B41" i="45" s="1"/>
  <c r="B42" i="45" s="1"/>
  <c r="B43" i="45" s="1"/>
  <c r="B44" i="45" s="1"/>
  <c r="B45" i="45" s="1"/>
  <c r="B46" i="45" s="1"/>
  <c r="B47" i="45" s="1"/>
  <c r="B48" i="45" s="1"/>
  <c r="O54" i="50"/>
  <c r="N81" i="50"/>
  <c r="N82" i="50"/>
  <c r="F82" i="50"/>
  <c r="M82" i="50" s="1"/>
  <c r="F81" i="50"/>
  <c r="M81" i="50" s="1"/>
  <c r="O38" i="50"/>
  <c r="P41" i="50"/>
  <c r="O41" i="50"/>
  <c r="N80" i="50"/>
  <c r="F80" i="50"/>
  <c r="M80" i="50" s="1"/>
  <c r="A28" i="21"/>
  <c r="A29" i="21"/>
  <c r="A30" i="21"/>
  <c r="A31" i="21"/>
  <c r="A32" i="21"/>
  <c r="A33" i="2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27" i="21"/>
  <c r="P14" i="50"/>
  <c r="O14" i="50"/>
  <c r="J54" i="50" a="1"/>
  <c r="J54" i="50" s="1"/>
  <c r="K54" i="50" s="1"/>
  <c r="J38" i="50" a="1"/>
  <c r="J38" i="50" s="1"/>
  <c r="K38" i="50" s="1"/>
  <c r="N38" i="50" s="1"/>
  <c r="N41" i="45" s="1"/>
  <c r="I30" i="50"/>
  <c r="I15" i="50"/>
  <c r="I46" i="50"/>
  <c r="I47" i="50"/>
  <c r="J41" i="50" a="1"/>
  <c r="J41" i="50" s="1"/>
  <c r="K41" i="50" s="1"/>
  <c r="N41" i="50" s="1"/>
  <c r="N23" i="45" s="1"/>
  <c r="I29" i="50"/>
  <c r="J14" i="50" a="1"/>
  <c r="J14" i="50" s="1"/>
  <c r="K14" i="50" s="1"/>
  <c r="J65" i="39"/>
  <c r="J64" i="39"/>
  <c r="K41" i="45"/>
  <c r="L41" i="45" s="1"/>
  <c r="J38" i="45"/>
  <c r="J37" i="45"/>
  <c r="J29" i="45"/>
  <c r="K23" i="45"/>
  <c r="L23" i="45" s="1"/>
  <c r="J12" i="45"/>
  <c r="J10" i="45"/>
  <c r="K10" i="45" a="1"/>
  <c r="K10" i="45" s="1"/>
  <c r="G10" i="45"/>
  <c r="J52" i="45"/>
  <c r="J49" i="39"/>
  <c r="J50" i="39"/>
  <c r="J40" i="39"/>
  <c r="J29" i="39"/>
  <c r="K47" i="45"/>
  <c r="L47" i="45" s="1"/>
  <c r="J7" i="39"/>
  <c r="E8" i="19"/>
  <c r="E9" i="19"/>
  <c r="E10" i="19"/>
  <c r="E12" i="19"/>
  <c r="E13" i="19"/>
  <c r="E14" i="19"/>
  <c r="E15" i="19"/>
  <c r="E16" i="19"/>
  <c r="E17" i="19"/>
  <c r="E18" i="19"/>
  <c r="E19" i="19"/>
  <c r="E20" i="19"/>
  <c r="E21" i="19"/>
  <c r="E22" i="19"/>
  <c r="E7" i="19"/>
  <c r="E27" i="19"/>
  <c r="E26" i="19"/>
  <c r="N79" i="50"/>
  <c r="F79" i="50"/>
  <c r="M79" i="50" s="1"/>
  <c r="E33" i="19"/>
  <c r="E31" i="19"/>
  <c r="K40" i="45"/>
  <c r="N40" i="45" s="1"/>
  <c r="G40" i="45"/>
  <c r="P350" i="20"/>
  <c r="O350" i="20"/>
  <c r="N350" i="20"/>
  <c r="M350" i="20"/>
  <c r="K350" i="20"/>
  <c r="N54" i="50" l="1"/>
  <c r="N54" i="45" s="1"/>
  <c r="K6" i="39"/>
  <c r="L6" i="39" s="1"/>
  <c r="K39" i="39"/>
  <c r="L39" i="39" s="1"/>
  <c r="K68" i="39"/>
  <c r="L68" i="39" s="1"/>
  <c r="N14" i="50"/>
  <c r="N9" i="45" s="1"/>
  <c r="N10" i="45"/>
  <c r="L10" i="45"/>
  <c r="L40" i="45"/>
  <c r="I350" i="20"/>
  <c r="H350" i="20"/>
  <c r="F350" i="20"/>
  <c r="B350" i="20"/>
  <c r="N78" i="50"/>
  <c r="M78" i="50"/>
  <c r="E39" i="19"/>
  <c r="E37" i="19"/>
  <c r="A10" i="50"/>
  <c r="F77" i="50"/>
  <c r="M77" i="50" s="1"/>
  <c r="N77" i="50"/>
  <c r="N76" i="50"/>
  <c r="F76" i="50"/>
  <c r="M76" i="50" s="1"/>
  <c r="B11" i="45"/>
  <c r="A18" i="21"/>
  <c r="E44" i="19"/>
  <c r="E43" i="19"/>
  <c r="G58" i="45"/>
  <c r="K53" i="45" a="1"/>
  <c r="K53" i="45" s="1"/>
  <c r="L53" i="45" s="1"/>
  <c r="K52" i="45" a="1"/>
  <c r="K52" i="45" s="1"/>
  <c r="G52" i="45"/>
  <c r="L52" i="45" l="1"/>
  <c r="L55" i="45" s="1"/>
  <c r="N52" i="45"/>
  <c r="M75" i="50" l="1"/>
  <c r="N75" i="50"/>
  <c r="N74" i="50"/>
  <c r="M74" i="50"/>
  <c r="N73" i="50"/>
  <c r="A72" i="50"/>
  <c r="A73" i="50" s="1"/>
  <c r="A74" i="50" s="1"/>
  <c r="A75" i="50" s="1"/>
  <c r="A76" i="50" s="1"/>
  <c r="A77" i="50" s="1"/>
  <c r="A78" i="50" s="1"/>
  <c r="A79" i="50" s="1"/>
  <c r="A80" i="50" s="1"/>
  <c r="A81" i="50" s="1"/>
  <c r="A82" i="50" s="1"/>
  <c r="F73" i="50"/>
  <c r="M73" i="50" s="1"/>
  <c r="J47" i="50" a="1"/>
  <c r="J47" i="50" s="1"/>
  <c r="K29" i="45"/>
  <c r="L29" i="45" s="1"/>
  <c r="D54" i="21" a="1"/>
  <c r="D54" i="21" s="1"/>
  <c r="E51" i="19"/>
  <c r="E52" i="19"/>
  <c r="E50" i="19"/>
  <c r="E48" i="19"/>
  <c r="K47" i="50" l="1"/>
  <c r="N47" i="50"/>
  <c r="K50" i="39"/>
  <c r="L50" i="39" s="1"/>
  <c r="E61" i="19"/>
  <c r="A11" i="50"/>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N71" i="50"/>
  <c r="N72" i="50"/>
  <c r="F72" i="50"/>
  <c r="M72" i="50" s="1"/>
  <c r="J53" i="50" a="1"/>
  <c r="J53" i="50" s="1"/>
  <c r="K53" i="50" s="1"/>
  <c r="N53" i="50" s="1"/>
  <c r="N53" i="45" s="1"/>
  <c r="E60" i="19"/>
  <c r="E65" i="19"/>
  <c r="M349" i="20"/>
  <c r="K349" i="20"/>
  <c r="F349" i="20" l="1"/>
  <c r="B349" i="20"/>
  <c r="N64" i="50"/>
  <c r="N65" i="50"/>
  <c r="N66" i="50"/>
  <c r="N67" i="50"/>
  <c r="N68" i="50"/>
  <c r="N69" i="50"/>
  <c r="N70" i="50"/>
  <c r="N63" i="50"/>
  <c r="N62" i="50"/>
  <c r="F15" i="39"/>
  <c r="M348" i="20" l="1"/>
  <c r="K348" i="20"/>
  <c r="F348" i="20"/>
  <c r="H349" i="20" s="1"/>
  <c r="B348" i="20"/>
  <c r="N58" i="50"/>
  <c r="R58" i="50"/>
  <c r="S58" i="50"/>
  <c r="N59" i="50"/>
  <c r="R59" i="50"/>
  <c r="S59" i="50"/>
  <c r="N60" i="50"/>
  <c r="R60" i="50"/>
  <c r="S60" i="50"/>
  <c r="N61" i="50"/>
  <c r="R61" i="50"/>
  <c r="S61" i="50"/>
  <c r="R62" i="50"/>
  <c r="S62" i="50"/>
  <c r="F71" i="50"/>
  <c r="M71" i="50" s="1"/>
  <c r="F70" i="50"/>
  <c r="M70" i="50" s="1"/>
  <c r="F69" i="50"/>
  <c r="M69" i="50" s="1"/>
  <c r="F68" i="50"/>
  <c r="M68" i="50" s="1"/>
  <c r="F67" i="50"/>
  <c r="M67" i="50" s="1"/>
  <c r="F66" i="50"/>
  <c r="M66" i="50" s="1"/>
  <c r="F65" i="50"/>
  <c r="M65" i="50" s="1"/>
  <c r="F64" i="50"/>
  <c r="M64" i="50" s="1"/>
  <c r="F63" i="50"/>
  <c r="M63" i="50" s="1"/>
  <c r="E81" i="19"/>
  <c r="M347" i="20"/>
  <c r="K347" i="20"/>
  <c r="B347" i="20"/>
  <c r="K381" i="20" l="1" a="1"/>
  <c r="K381" i="20" s="1"/>
  <c r="J381" i="20" a="1"/>
  <c r="J381" i="20" s="1"/>
  <c r="K380" i="20" a="1"/>
  <c r="K380" i="20" s="1"/>
  <c r="J380" i="20" a="1"/>
  <c r="J380" i="20" s="1"/>
  <c r="K379" i="20" a="1"/>
  <c r="K379" i="20" s="1"/>
  <c r="J379" i="20" a="1"/>
  <c r="J379" i="20" s="1"/>
  <c r="K378" i="20" a="1"/>
  <c r="K378" i="20" s="1"/>
  <c r="J378" i="20" a="1"/>
  <c r="J378" i="20"/>
  <c r="K377" i="20" a="1"/>
  <c r="K377" i="20" s="1"/>
  <c r="J377" i="20" a="1"/>
  <c r="J377" i="20" s="1"/>
  <c r="B346" i="20"/>
  <c r="M345" i="20"/>
  <c r="M346" i="20"/>
  <c r="K345" i="20"/>
  <c r="K346" i="20"/>
  <c r="B345" i="20"/>
  <c r="M344" i="20"/>
  <c r="K344" i="20"/>
  <c r="B344" i="20"/>
  <c r="F62" i="50" l="1"/>
  <c r="M62" i="50" s="1"/>
  <c r="L64" i="45" l="1" a="1"/>
  <c r="L64" i="45" s="1"/>
  <c r="K95" i="50" a="1"/>
  <c r="K95" i="50" s="1"/>
  <c r="K91" i="50" a="1"/>
  <c r="K91" i="50" s="1"/>
  <c r="J52" i="50" l="1" a="1"/>
  <c r="J52" i="50" s="1"/>
  <c r="N52" i="50" s="1"/>
  <c r="J48" i="50" a="1"/>
  <c r="J48" i="50" s="1"/>
  <c r="J46" i="50" a="1"/>
  <c r="J46" i="50" s="1"/>
  <c r="J45" i="50" a="1"/>
  <c r="J45" i="50" s="1"/>
  <c r="M45" i="50" s="1"/>
  <c r="J44" i="50" a="1"/>
  <c r="J44" i="50" s="1"/>
  <c r="M44" i="50" s="1"/>
  <c r="J43" i="50" a="1"/>
  <c r="J43" i="50" s="1"/>
  <c r="M43" i="50" s="1"/>
  <c r="J42" i="50" a="1"/>
  <c r="J42" i="50" s="1"/>
  <c r="J40" i="50" a="1"/>
  <c r="J40" i="50" s="1"/>
  <c r="J39" i="50" a="1"/>
  <c r="J39" i="50" s="1"/>
  <c r="J36" i="50" a="1"/>
  <c r="J36" i="50" s="1"/>
  <c r="J35" i="50" a="1"/>
  <c r="J35" i="50" s="1"/>
  <c r="M35" i="50" s="1"/>
  <c r="J37" i="50" a="1"/>
  <c r="J37" i="50" s="1"/>
  <c r="J34" i="50" a="1"/>
  <c r="J34" i="50" s="1"/>
  <c r="M34" i="50" s="1"/>
  <c r="J33" i="50" a="1"/>
  <c r="J33" i="50" s="1"/>
  <c r="M33" i="50" s="1"/>
  <c r="J32" i="50" a="1"/>
  <c r="J32" i="50" s="1"/>
  <c r="M32" i="50" s="1"/>
  <c r="J31" i="50" a="1"/>
  <c r="J31" i="50" s="1"/>
  <c r="K86" i="39" s="1"/>
  <c r="L86" i="39" s="1"/>
  <c r="J30" i="50" a="1"/>
  <c r="J30" i="50" s="1"/>
  <c r="M30" i="50" s="1"/>
  <c r="J29" i="50" a="1"/>
  <c r="J29" i="50" s="1"/>
  <c r="J28" i="50" a="1"/>
  <c r="J28" i="50" s="1"/>
  <c r="M28" i="50" s="1"/>
  <c r="J27" i="50" a="1"/>
  <c r="J27" i="50" s="1"/>
  <c r="M27" i="50" s="1"/>
  <c r="J26" i="50" a="1"/>
  <c r="J26" i="50" s="1"/>
  <c r="M26" i="50" s="1"/>
  <c r="J25" i="50" a="1"/>
  <c r="J25" i="50" s="1"/>
  <c r="J24" i="50" a="1"/>
  <c r="J24" i="50" s="1"/>
  <c r="M24" i="50" s="1"/>
  <c r="J23" i="50" a="1"/>
  <c r="J23" i="50" s="1"/>
  <c r="M23" i="50" s="1"/>
  <c r="J22" i="50" a="1"/>
  <c r="J22" i="50" s="1"/>
  <c r="M22" i="50" s="1"/>
  <c r="J21" i="50" a="1"/>
  <c r="J21" i="50" s="1"/>
  <c r="M21" i="50" s="1"/>
  <c r="J20" i="50" a="1"/>
  <c r="J20" i="50" s="1"/>
  <c r="J19" i="50" a="1"/>
  <c r="J19" i="50" s="1"/>
  <c r="M19" i="50" s="1"/>
  <c r="J18" i="50" a="1"/>
  <c r="J18" i="50" s="1"/>
  <c r="J17" i="50" a="1"/>
  <c r="J17" i="50" s="1"/>
  <c r="M17" i="50" s="1"/>
  <c r="J16" i="50" a="1"/>
  <c r="J16" i="50" s="1"/>
  <c r="M16" i="50" s="1"/>
  <c r="J15" i="50" a="1"/>
  <c r="J15" i="50" s="1"/>
  <c r="N15" i="50" s="1"/>
  <c r="J13" i="50" a="1"/>
  <c r="J13" i="50" s="1"/>
  <c r="M13" i="50" s="1"/>
  <c r="J12" i="50" a="1"/>
  <c r="J12" i="50" s="1"/>
  <c r="M12" i="50" s="1"/>
  <c r="J11" i="50" a="1"/>
  <c r="J11" i="50" s="1"/>
  <c r="N11" i="50" s="1"/>
  <c r="J10" i="50" a="1"/>
  <c r="J10" i="50" s="1"/>
  <c r="J9" i="50" a="1"/>
  <c r="J9" i="50" s="1"/>
  <c r="M9" i="50" s="1"/>
  <c r="M46" i="50" l="1"/>
  <c r="N46" i="50"/>
  <c r="M48" i="50"/>
  <c r="N48" i="50"/>
  <c r="M10" i="50"/>
  <c r="N10" i="50"/>
  <c r="M29" i="50"/>
  <c r="N29" i="50"/>
  <c r="M15" i="50"/>
  <c r="M20" i="50"/>
  <c r="N20" i="50"/>
  <c r="M36" i="50"/>
  <c r="K67" i="39"/>
  <c r="L67" i="39" s="1"/>
  <c r="M11" i="50"/>
  <c r="M52" i="50"/>
  <c r="K52" i="50"/>
  <c r="K85" i="39"/>
  <c r="M18" i="50"/>
  <c r="O423" i="20"/>
  <c r="O422" i="20"/>
  <c r="M343" i="20"/>
  <c r="K343" i="20" l="1"/>
  <c r="B343" i="20"/>
  <c r="K31" i="50"/>
  <c r="N31" i="50" s="1"/>
  <c r="N47" i="45" s="1"/>
  <c r="L380" i="20" l="1"/>
  <c r="L381" i="20"/>
  <c r="J369" i="20" a="1"/>
  <c r="J369" i="20" s="1"/>
  <c r="J2" i="39"/>
  <c r="N90" i="39"/>
  <c r="F8" i="39"/>
  <c r="F37" i="39"/>
  <c r="F16" i="39"/>
  <c r="I434" i="20" l="1"/>
  <c r="F382" i="20"/>
  <c r="G61" i="45"/>
  <c r="H40" i="45" l="1"/>
  <c r="H10" i="45"/>
  <c r="H55" i="45"/>
  <c r="H52" i="45"/>
  <c r="H59" i="45"/>
  <c r="H58" i="45"/>
  <c r="H61" i="45" l="1"/>
  <c r="F61" i="50"/>
  <c r="M61" i="50" s="1"/>
  <c r="F60" i="50"/>
  <c r="F59" i="50"/>
  <c r="M59" i="50" s="1"/>
  <c r="F58" i="50"/>
  <c r="M58" i="50" s="1"/>
  <c r="B3" i="50" l="1"/>
  <c r="C3" i="45"/>
  <c r="D42" i="21" l="1" a="1"/>
  <c r="D42" i="21" s="1"/>
  <c r="D46" i="21" a="1"/>
  <c r="D46" i="21" s="1"/>
  <c r="D34" i="21" a="1"/>
  <c r="D34" i="21" s="1"/>
  <c r="K33" i="45"/>
  <c r="L33" i="45" s="1"/>
  <c r="B12" i="45"/>
  <c r="E89" i="19"/>
  <c r="K87" i="39"/>
  <c r="K59" i="39"/>
  <c r="K30" i="39"/>
  <c r="K76" i="39"/>
  <c r="K9" i="39"/>
  <c r="K69" i="39"/>
  <c r="K17" i="39"/>
  <c r="K49" i="39"/>
  <c r="K40" i="39"/>
  <c r="K24" i="39"/>
  <c r="K56" i="39"/>
  <c r="K38" i="39"/>
  <c r="K22" i="39"/>
  <c r="K23" i="39"/>
  <c r="K57" i="39"/>
  <c r="K29" i="39"/>
  <c r="K75" i="39"/>
  <c r="K7" i="39"/>
  <c r="K65" i="39"/>
  <c r="K66" i="39"/>
  <c r="K21" i="39"/>
  <c r="K55" i="39"/>
  <c r="K81" i="39"/>
  <c r="K28" i="39"/>
  <c r="K73" i="39"/>
  <c r="K36" i="39"/>
  <c r="K64" i="39"/>
  <c r="K45" i="39"/>
  <c r="K80" i="39"/>
  <c r="K14" i="39"/>
  <c r="K5" i="39"/>
  <c r="K44" i="39"/>
  <c r="K37" i="50" l="1"/>
  <c r="N37" i="50" s="1"/>
  <c r="N33" i="45" s="1"/>
  <c r="K58" i="39"/>
  <c r="L58" i="39" s="1"/>
  <c r="B13" i="45"/>
  <c r="A19" i="21"/>
  <c r="A20" i="21" s="1"/>
  <c r="A21" i="21" s="1"/>
  <c r="D48" i="21" a="1"/>
  <c r="D48" i="21" s="1"/>
  <c r="D47" i="21" a="1"/>
  <c r="D47" i="21" s="1"/>
  <c r="K342" i="20"/>
  <c r="M342" i="20"/>
  <c r="M341" i="20"/>
  <c r="K341" i="20"/>
  <c r="E93" i="19"/>
  <c r="E97" i="19"/>
  <c r="E101" i="19"/>
  <c r="L30" i="39"/>
  <c r="K20" i="45"/>
  <c r="L20" i="45" s="1"/>
  <c r="K55" i="50"/>
  <c r="K39" i="50"/>
  <c r="K25" i="50"/>
  <c r="N25" i="50" s="1"/>
  <c r="L23" i="39"/>
  <c r="K17" i="45" a="1"/>
  <c r="K17" i="45" s="1"/>
  <c r="L17" i="45" s="1"/>
  <c r="L76" i="39"/>
  <c r="L22" i="39"/>
  <c r="A22" i="21" l="1"/>
  <c r="A23" i="21" s="1"/>
  <c r="A24" i="21" s="1"/>
  <c r="A25" i="21" s="1"/>
  <c r="A26" i="21" s="1"/>
  <c r="B14" i="45"/>
  <c r="B15" i="45" s="1"/>
  <c r="B16" i="45" s="1"/>
  <c r="B17" i="45" s="1"/>
  <c r="B18" i="45" s="1"/>
  <c r="B19" i="45" s="1"/>
  <c r="N39" i="50"/>
  <c r="N20" i="45" s="1"/>
  <c r="N17" i="45"/>
  <c r="L87" i="39"/>
  <c r="L85" i="39"/>
  <c r="L75" i="39"/>
  <c r="L73" i="39"/>
  <c r="L64" i="39"/>
  <c r="L65" i="39"/>
  <c r="L66" i="39"/>
  <c r="L69" i="39"/>
  <c r="L81" i="39"/>
  <c r="L80" i="39"/>
  <c r="L56" i="39"/>
  <c r="L57" i="39"/>
  <c r="L55" i="39"/>
  <c r="L59" i="39"/>
  <c r="L49" i="39"/>
  <c r="L44" i="39"/>
  <c r="L45" i="39"/>
  <c r="L38" i="39"/>
  <c r="L40" i="39"/>
  <c r="L36" i="39"/>
  <c r="L29" i="39"/>
  <c r="L28" i="39"/>
  <c r="L21" i="39"/>
  <c r="L24" i="39"/>
  <c r="L17" i="39"/>
  <c r="L14" i="39"/>
  <c r="L9" i="39"/>
  <c r="L5" i="39"/>
  <c r="L7" i="39"/>
  <c r="F14" i="39"/>
  <c r="F5" i="39"/>
  <c r="F9" i="39"/>
  <c r="F10" i="39"/>
  <c r="F7" i="39"/>
  <c r="M95" i="50"/>
  <c r="M97" i="50" s="1"/>
  <c r="M91" i="50"/>
  <c r="M93" i="50" s="1"/>
  <c r="K40" i="50"/>
  <c r="K42" i="50"/>
  <c r="K9" i="50"/>
  <c r="K11" i="50"/>
  <c r="K12" i="50"/>
  <c r="K13" i="50"/>
  <c r="K15" i="50"/>
  <c r="K16" i="50"/>
  <c r="N16" i="50" s="1"/>
  <c r="K19" i="50"/>
  <c r="K21" i="50"/>
  <c r="K22" i="50"/>
  <c r="K23" i="50"/>
  <c r="K26" i="50"/>
  <c r="K27" i="50"/>
  <c r="K28" i="50"/>
  <c r="K30" i="50"/>
  <c r="K32" i="50"/>
  <c r="K35" i="50"/>
  <c r="K36" i="50"/>
  <c r="K43" i="50"/>
  <c r="K44" i="50"/>
  <c r="K46" i="50"/>
  <c r="K44" i="45"/>
  <c r="L44" i="45" s="1"/>
  <c r="K16" i="45" a="1"/>
  <c r="K16" i="45" s="1"/>
  <c r="L16" i="45" s="1"/>
  <c r="E113" i="19"/>
  <c r="E116" i="19"/>
  <c r="I6" i="50"/>
  <c r="S83" i="50" s="1"/>
  <c r="Q55" i="50"/>
  <c r="F52" i="50"/>
  <c r="F48" i="50"/>
  <c r="F46" i="50"/>
  <c r="F45" i="50"/>
  <c r="F44" i="50"/>
  <c r="F43" i="50"/>
  <c r="F36" i="50"/>
  <c r="F35" i="50"/>
  <c r="F34" i="50"/>
  <c r="F33" i="50"/>
  <c r="F32" i="50"/>
  <c r="F30" i="50"/>
  <c r="F29" i="50"/>
  <c r="F28" i="50"/>
  <c r="F27" i="50"/>
  <c r="F26" i="50"/>
  <c r="F24" i="50"/>
  <c r="F23" i="50"/>
  <c r="F22" i="50"/>
  <c r="F21" i="50"/>
  <c r="F20" i="50"/>
  <c r="F19" i="50"/>
  <c r="F18" i="50"/>
  <c r="F17" i="50"/>
  <c r="F16" i="50"/>
  <c r="F15" i="50"/>
  <c r="F13" i="50"/>
  <c r="F12" i="50"/>
  <c r="F11" i="50"/>
  <c r="F10" i="50"/>
  <c r="F9" i="50"/>
  <c r="R83" i="50" l="1"/>
  <c r="S82" i="50"/>
  <c r="R54" i="50"/>
  <c r="S54" i="50"/>
  <c r="R82" i="50"/>
  <c r="S81" i="50"/>
  <c r="R81" i="50"/>
  <c r="R38" i="50"/>
  <c r="S38" i="50"/>
  <c r="R41" i="50"/>
  <c r="S41" i="50"/>
  <c r="R14" i="50"/>
  <c r="S14" i="50"/>
  <c r="S79" i="50"/>
  <c r="R79" i="50"/>
  <c r="L11" i="39"/>
  <c r="M6" i="39" s="1"/>
  <c r="R78" i="50"/>
  <c r="S78" i="50"/>
  <c r="R77" i="50"/>
  <c r="S77" i="50"/>
  <c r="R76" i="50"/>
  <c r="S76" i="50"/>
  <c r="L51" i="39"/>
  <c r="R75" i="50"/>
  <c r="S75" i="50"/>
  <c r="R74" i="50"/>
  <c r="S74" i="50"/>
  <c r="R73" i="50"/>
  <c r="S73" i="50"/>
  <c r="S47" i="50"/>
  <c r="R47" i="50"/>
  <c r="R72" i="50"/>
  <c r="S72" i="50"/>
  <c r="R53" i="50"/>
  <c r="S53" i="50"/>
  <c r="S71" i="50"/>
  <c r="R71" i="50"/>
  <c r="S70" i="50"/>
  <c r="R70" i="50"/>
  <c r="S69" i="50"/>
  <c r="R69" i="50"/>
  <c r="S68" i="50"/>
  <c r="R68" i="50"/>
  <c r="S67" i="50"/>
  <c r="R67" i="50"/>
  <c r="S66" i="50"/>
  <c r="R66" i="50"/>
  <c r="S65" i="50"/>
  <c r="R65" i="50"/>
  <c r="S64" i="50"/>
  <c r="R64" i="50"/>
  <c r="S63" i="50"/>
  <c r="R63" i="50"/>
  <c r="M99" i="50"/>
  <c r="L25" i="39"/>
  <c r="L60" i="39"/>
  <c r="L41" i="39"/>
  <c r="M39" i="39" s="1"/>
  <c r="L77" i="39"/>
  <c r="L32" i="39"/>
  <c r="L18" i="39"/>
  <c r="L82" i="39"/>
  <c r="L70" i="39"/>
  <c r="L88" i="39"/>
  <c r="S31" i="50"/>
  <c r="R31" i="50"/>
  <c r="F11" i="39"/>
  <c r="S37" i="50"/>
  <c r="R37" i="50"/>
  <c r="S39" i="50"/>
  <c r="R39" i="50"/>
  <c r="R25" i="50"/>
  <c r="S25" i="50"/>
  <c r="N42" i="50"/>
  <c r="N16" i="45" s="1"/>
  <c r="N40" i="50"/>
  <c r="N44" i="45" s="1"/>
  <c r="R42" i="50"/>
  <c r="S42" i="50"/>
  <c r="R40" i="50"/>
  <c r="S40" i="50"/>
  <c r="N13" i="50"/>
  <c r="N19" i="50"/>
  <c r="N22" i="50"/>
  <c r="N43" i="50"/>
  <c r="N23" i="50"/>
  <c r="N30" i="50"/>
  <c r="N36" i="50"/>
  <c r="N27" i="50"/>
  <c r="N26" i="50"/>
  <c r="N21" i="50"/>
  <c r="N12" i="50"/>
  <c r="N44" i="50"/>
  <c r="N28" i="50"/>
  <c r="N35" i="50"/>
  <c r="N9" i="50"/>
  <c r="K20" i="50"/>
  <c r="K34" i="50"/>
  <c r="K29" i="50"/>
  <c r="K45" i="50"/>
  <c r="K10" i="50"/>
  <c r="K24" i="50"/>
  <c r="K18" i="50"/>
  <c r="K33" i="50"/>
  <c r="K17" i="50"/>
  <c r="K48" i="50"/>
  <c r="R18" i="50"/>
  <c r="S18" i="50"/>
  <c r="R23" i="50"/>
  <c r="S29" i="50"/>
  <c r="S13" i="50"/>
  <c r="S23" i="50"/>
  <c r="R43" i="50"/>
  <c r="S30" i="50"/>
  <c r="R46" i="50"/>
  <c r="R27" i="50"/>
  <c r="R20" i="50"/>
  <c r="R29" i="50"/>
  <c r="R45" i="50"/>
  <c r="R13" i="50"/>
  <c r="S20" i="50"/>
  <c r="R26" i="50"/>
  <c r="S45" i="50"/>
  <c r="S10" i="50"/>
  <c r="S26" i="50"/>
  <c r="S43" i="50"/>
  <c r="R11" i="50"/>
  <c r="R16" i="50"/>
  <c r="R24" i="50"/>
  <c r="R9" i="50"/>
  <c r="S11" i="50"/>
  <c r="R19" i="50"/>
  <c r="R21" i="50"/>
  <c r="S24" i="50"/>
  <c r="R32" i="50"/>
  <c r="S34" i="50"/>
  <c r="S44" i="50"/>
  <c r="S48" i="50"/>
  <c r="S52" i="50"/>
  <c r="R33" i="50"/>
  <c r="S9" i="50"/>
  <c r="S17" i="50"/>
  <c r="S19" i="50"/>
  <c r="S21" i="50"/>
  <c r="S28" i="50"/>
  <c r="S32" i="50"/>
  <c r="S12" i="50"/>
  <c r="R15" i="50"/>
  <c r="S22" i="50"/>
  <c r="R35" i="50"/>
  <c r="R12" i="50"/>
  <c r="S16" i="50"/>
  <c r="R22" i="50"/>
  <c r="S27" i="50"/>
  <c r="R30" i="50"/>
  <c r="S35" i="50"/>
  <c r="R44" i="50"/>
  <c r="R52" i="50"/>
  <c r="R10" i="50"/>
  <c r="S15" i="50"/>
  <c r="R17" i="50"/>
  <c r="R28" i="50"/>
  <c r="S33" i="50"/>
  <c r="R36" i="50"/>
  <c r="S46" i="50"/>
  <c r="S36" i="50"/>
  <c r="R34" i="50"/>
  <c r="R48" i="50"/>
  <c r="R66" i="44"/>
  <c r="S66" i="44"/>
  <c r="R65" i="44"/>
  <c r="S65" i="44"/>
  <c r="R64" i="44"/>
  <c r="S64" i="44"/>
  <c r="R20" i="44"/>
  <c r="S20" i="44"/>
  <c r="M67" i="39" l="1"/>
  <c r="M68" i="39"/>
  <c r="M86" i="39"/>
  <c r="B53" i="45"/>
  <c r="M50" i="39"/>
  <c r="L90" i="39"/>
  <c r="M41" i="39" s="1"/>
  <c r="K49" i="50"/>
  <c r="K85" i="50" s="1"/>
  <c r="F85" i="50"/>
  <c r="F88" i="50" s="1"/>
  <c r="N17" i="50"/>
  <c r="N45" i="50"/>
  <c r="N33" i="50"/>
  <c r="N18" i="50"/>
  <c r="N34" i="50"/>
  <c r="N24" i="50"/>
  <c r="K88" i="50" l="1"/>
  <c r="G86" i="50"/>
  <c r="G85" i="50"/>
  <c r="G24" i="50"/>
  <c r="G45" i="50"/>
  <c r="G10" i="50"/>
  <c r="G17" i="50"/>
  <c r="G28" i="50"/>
  <c r="G36" i="50"/>
  <c r="G20" i="50"/>
  <c r="G35" i="50"/>
  <c r="G44" i="50"/>
  <c r="G21" i="50"/>
  <c r="G11" i="50"/>
  <c r="G46" i="50"/>
  <c r="G29" i="50"/>
  <c r="G52" i="50"/>
  <c r="G48" i="50"/>
  <c r="G33" i="50"/>
  <c r="G18" i="50"/>
  <c r="G9" i="50"/>
  <c r="G43" i="50"/>
  <c r="G13" i="50"/>
  <c r="G26" i="50"/>
  <c r="G19" i="50"/>
  <c r="G27" i="50"/>
  <c r="G12" i="50"/>
  <c r="G23" i="50"/>
  <c r="G16" i="50"/>
  <c r="G34" i="50"/>
  <c r="G15" i="50"/>
  <c r="G32" i="50"/>
  <c r="G22" i="50"/>
  <c r="G30" i="50"/>
  <c r="G49" i="50"/>
  <c r="G55" i="50"/>
  <c r="L38" i="50" l="1"/>
  <c r="L54" i="50"/>
  <c r="L14" i="50"/>
  <c r="L41" i="50"/>
  <c r="L53" i="50"/>
  <c r="L47" i="50"/>
  <c r="N29" i="45" s="1"/>
  <c r="G88" i="50"/>
  <c r="L31" i="50"/>
  <c r="L37" i="50"/>
  <c r="L86" i="50"/>
  <c r="L39" i="50"/>
  <c r="M88" i="50"/>
  <c r="M100" i="50" s="1"/>
  <c r="L25" i="50"/>
  <c r="L42" i="50"/>
  <c r="L40" i="50"/>
  <c r="L10" i="50"/>
  <c r="L17" i="50"/>
  <c r="L28" i="50"/>
  <c r="L36" i="50"/>
  <c r="L11" i="50"/>
  <c r="L18" i="50"/>
  <c r="L29" i="50"/>
  <c r="L43" i="50"/>
  <c r="L12" i="50"/>
  <c r="L22" i="50"/>
  <c r="L30" i="50"/>
  <c r="L44" i="50"/>
  <c r="L19" i="50"/>
  <c r="L23" i="50"/>
  <c r="L32" i="50"/>
  <c r="L20" i="50"/>
  <c r="L24" i="50"/>
  <c r="L45" i="50"/>
  <c r="L13" i="50"/>
  <c r="L52" i="50"/>
  <c r="L15" i="50"/>
  <c r="L33" i="50"/>
  <c r="L46" i="50"/>
  <c r="L9" i="50"/>
  <c r="L21" i="50"/>
  <c r="L26" i="50"/>
  <c r="L34" i="50"/>
  <c r="L48" i="50"/>
  <c r="L16" i="50"/>
  <c r="L27" i="50"/>
  <c r="L35" i="50"/>
  <c r="L55" i="50"/>
  <c r="L85" i="50"/>
  <c r="L49" i="50" l="1"/>
  <c r="L88" i="50"/>
  <c r="M340" i="20" l="1"/>
  <c r="K340" i="20"/>
  <c r="L378" i="20"/>
  <c r="F376" i="20" s="1"/>
  <c r="I386" i="20" l="1"/>
  <c r="C437" i="20" s="1"/>
  <c r="M339" i="20"/>
  <c r="M338" i="20"/>
  <c r="N349" i="20" s="1"/>
  <c r="M337" i="20"/>
  <c r="N348" i="20" s="1"/>
  <c r="M336" i="20"/>
  <c r="M335" i="20"/>
  <c r="M334" i="20"/>
  <c r="M333" i="20"/>
  <c r="M332" i="20"/>
  <c r="K339" i="20"/>
  <c r="K338" i="20"/>
  <c r="K337" i="20"/>
  <c r="K336" i="20"/>
  <c r="K335" i="20"/>
  <c r="K334" i="20"/>
  <c r="K333" i="20"/>
  <c r="K332" i="20"/>
  <c r="D25" i="21"/>
  <c r="D17" i="21" a="1"/>
  <c r="D17" i="21" s="1"/>
  <c r="D18" i="21" a="1"/>
  <c r="D18" i="21" s="1"/>
  <c r="D19" i="21" a="1"/>
  <c r="D19" i="21" s="1"/>
  <c r="D20" i="21" a="1"/>
  <c r="D20" i="21" s="1"/>
  <c r="D21" i="21" a="1"/>
  <c r="D21" i="21" s="1"/>
  <c r="D22" i="21" a="1"/>
  <c r="D22" i="21" s="1"/>
  <c r="D23" i="21" a="1"/>
  <c r="D23" i="21" s="1"/>
  <c r="D24" i="21" a="1"/>
  <c r="D24" i="21" s="1"/>
  <c r="D26" i="21" a="1"/>
  <c r="D26" i="21" s="1"/>
  <c r="D28" i="21" a="1"/>
  <c r="D28" i="21" s="1"/>
  <c r="D29" i="21" a="1"/>
  <c r="D29" i="21" s="1"/>
  <c r="D30" i="21" a="1"/>
  <c r="D30" i="21" s="1"/>
  <c r="D32" i="21" a="1"/>
  <c r="D32" i="21" s="1"/>
  <c r="D33" i="21" a="1"/>
  <c r="D33" i="21" s="1"/>
  <c r="D35" i="21" a="1"/>
  <c r="D35" i="21" s="1"/>
  <c r="D36" i="21" a="1"/>
  <c r="D36" i="21" s="1"/>
  <c r="D37" i="21" a="1"/>
  <c r="D37" i="21" s="1"/>
  <c r="D38" i="21" a="1"/>
  <c r="D38" i="21" s="1"/>
  <c r="D39" i="21" a="1"/>
  <c r="D39" i="21" s="1"/>
  <c r="D40" i="21" a="1"/>
  <c r="D40" i="21" s="1"/>
  <c r="D41" i="21" a="1"/>
  <c r="D41" i="21" s="1"/>
  <c r="D43" i="21" a="1"/>
  <c r="D43" i="21" s="1"/>
  <c r="D44" i="21" a="1"/>
  <c r="D44" i="21" s="1"/>
  <c r="D49" i="21" a="1"/>
  <c r="D49" i="21" s="1"/>
  <c r="D50" i="21" a="1"/>
  <c r="D50" i="21" s="1"/>
  <c r="D51" i="21" a="1"/>
  <c r="D51" i="21" s="1"/>
  <c r="D52" i="21" a="1"/>
  <c r="D52" i="21" s="1"/>
  <c r="D53" i="21" a="1"/>
  <c r="D53" i="21" s="1"/>
  <c r="D55" i="21" a="1"/>
  <c r="D55" i="21" s="1"/>
  <c r="L68" i="45" a="1"/>
  <c r="L68" i="45" s="1"/>
  <c r="A60" i="44"/>
  <c r="A61" i="44" s="1"/>
  <c r="A62" i="44" s="1"/>
  <c r="A63" i="44" s="1"/>
  <c r="A64" i="44" s="1"/>
  <c r="A65" i="44" s="1"/>
  <c r="A66" i="44" s="1"/>
  <c r="A67" i="44" s="1"/>
  <c r="A68" i="44" s="1"/>
  <c r="A69" i="44" s="1"/>
  <c r="A70" i="44" s="1"/>
  <c r="K60" i="44"/>
  <c r="K61" i="44"/>
  <c r="K62" i="44"/>
  <c r="N62" i="44" s="1"/>
  <c r="K63" i="44"/>
  <c r="K67" i="44"/>
  <c r="N67" i="44" s="1"/>
  <c r="K68" i="44"/>
  <c r="N68" i="44" s="1"/>
  <c r="K69" i="44"/>
  <c r="K70" i="44"/>
  <c r="K59" i="44"/>
  <c r="N59" i="44" s="1"/>
  <c r="K10" i="44"/>
  <c r="K11" i="44"/>
  <c r="N11" i="44" s="1"/>
  <c r="K12" i="44"/>
  <c r="N12" i="44" s="1"/>
  <c r="K13" i="44"/>
  <c r="N13" i="44" s="1"/>
  <c r="K14" i="44"/>
  <c r="K15" i="44"/>
  <c r="K16" i="44"/>
  <c r="N16" i="44" s="1"/>
  <c r="K17" i="44"/>
  <c r="K18" i="44"/>
  <c r="K19" i="44"/>
  <c r="K21" i="44"/>
  <c r="K22" i="44"/>
  <c r="N22" i="44" s="1"/>
  <c r="K23" i="44"/>
  <c r="N23" i="44" s="1"/>
  <c r="K24" i="44"/>
  <c r="K25" i="44"/>
  <c r="K26" i="44"/>
  <c r="K27" i="44"/>
  <c r="K28" i="44"/>
  <c r="N28" i="44" s="1"/>
  <c r="K29" i="44"/>
  <c r="N29" i="44" s="1"/>
  <c r="K30" i="44"/>
  <c r="N30" i="44" s="1"/>
  <c r="K31" i="44"/>
  <c r="N31" i="44" s="1"/>
  <c r="K32" i="44"/>
  <c r="K33" i="44"/>
  <c r="K34" i="44"/>
  <c r="K35" i="44"/>
  <c r="K36" i="44"/>
  <c r="K37" i="44"/>
  <c r="K38" i="44"/>
  <c r="N38" i="44" s="1"/>
  <c r="K39" i="44"/>
  <c r="N39" i="44" s="1"/>
  <c r="K40" i="44"/>
  <c r="K41" i="44"/>
  <c r="K42" i="44"/>
  <c r="K43" i="44"/>
  <c r="K44" i="44"/>
  <c r="N44" i="44" s="1"/>
  <c r="K45" i="44"/>
  <c r="K46" i="44"/>
  <c r="K47" i="44"/>
  <c r="K49" i="44"/>
  <c r="K48" i="44"/>
  <c r="K50" i="44"/>
  <c r="K51" i="44"/>
  <c r="N51" i="44" s="1"/>
  <c r="K52" i="44"/>
  <c r="K9" i="44"/>
  <c r="N9" i="44" s="1"/>
  <c r="F66" i="44"/>
  <c r="F65" i="44"/>
  <c r="F64" i="44"/>
  <c r="F20" i="44"/>
  <c r="A10" i="44"/>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F60" i="44"/>
  <c r="F61" i="44"/>
  <c r="F62" i="44"/>
  <c r="F63" i="44"/>
  <c r="F59" i="44"/>
  <c r="S51" i="44"/>
  <c r="R51" i="44"/>
  <c r="F51" i="44"/>
  <c r="S50" i="44"/>
  <c r="R50" i="44"/>
  <c r="F50" i="44"/>
  <c r="F10" i="44"/>
  <c r="F11" i="44"/>
  <c r="F12" i="44"/>
  <c r="F13" i="44"/>
  <c r="F14" i="44"/>
  <c r="F16" i="44"/>
  <c r="F17" i="44"/>
  <c r="F18" i="44"/>
  <c r="F19" i="44"/>
  <c r="F22" i="44"/>
  <c r="F23" i="44"/>
  <c r="F24" i="44"/>
  <c r="F25" i="44"/>
  <c r="F26" i="44"/>
  <c r="F28" i="44"/>
  <c r="F29" i="44"/>
  <c r="F30" i="44"/>
  <c r="F32" i="44"/>
  <c r="F33" i="44"/>
  <c r="F34" i="44"/>
  <c r="F35" i="44"/>
  <c r="F36" i="44"/>
  <c r="F37" i="44"/>
  <c r="F38" i="44"/>
  <c r="F39" i="44"/>
  <c r="F40" i="44"/>
  <c r="F42" i="44"/>
  <c r="F43" i="44"/>
  <c r="F45" i="44"/>
  <c r="F46" i="44"/>
  <c r="F47" i="44"/>
  <c r="F49" i="44"/>
  <c r="F48" i="44"/>
  <c r="F31" i="44"/>
  <c r="F52" i="44"/>
  <c r="F9" i="44"/>
  <c r="G45" i="45"/>
  <c r="G36" i="45"/>
  <c r="G34" i="45"/>
  <c r="G28" i="45"/>
  <c r="S38" i="44"/>
  <c r="K9" i="45" a="1"/>
  <c r="K9" i="45" s="1"/>
  <c r="M331" i="20"/>
  <c r="K331" i="20"/>
  <c r="N347" i="20" l="1"/>
  <c r="N345" i="20"/>
  <c r="F377" i="20"/>
  <c r="N346" i="20"/>
  <c r="N344" i="20"/>
  <c r="N343" i="20"/>
  <c r="E437" i="20"/>
  <c r="N342" i="20"/>
  <c r="N45" i="44"/>
  <c r="N19" i="44"/>
  <c r="N21" i="44"/>
  <c r="N37" i="44"/>
  <c r="N52" i="44"/>
  <c r="N47" i="44"/>
  <c r="N36" i="44"/>
  <c r="N63" i="44"/>
  <c r="N46" i="44"/>
  <c r="N60" i="44"/>
  <c r="N15" i="44"/>
  <c r="N43" i="44"/>
  <c r="N14" i="44"/>
  <c r="N42" i="44"/>
  <c r="N26" i="44"/>
  <c r="N70" i="44"/>
  <c r="N49" i="44"/>
  <c r="N41" i="44"/>
  <c r="N33" i="44"/>
  <c r="N25" i="44"/>
  <c r="N69" i="44"/>
  <c r="N18" i="44"/>
  <c r="N10" i="44"/>
  <c r="N17" i="44"/>
  <c r="N61" i="44"/>
  <c r="N35" i="44"/>
  <c r="N27" i="44"/>
  <c r="N50" i="44"/>
  <c r="N34" i="44"/>
  <c r="N48" i="44"/>
  <c r="N40" i="44"/>
  <c r="N32" i="44"/>
  <c r="N24" i="44"/>
  <c r="F53" i="44"/>
  <c r="F71" i="44"/>
  <c r="R38" i="44"/>
  <c r="H78" i="44"/>
  <c r="G78" i="44"/>
  <c r="N66" i="44" s="1"/>
  <c r="E129" i="19"/>
  <c r="E133" i="19"/>
  <c r="E137" i="19"/>
  <c r="E141" i="19"/>
  <c r="E145" i="19"/>
  <c r="H76" i="44"/>
  <c r="H77" i="44"/>
  <c r="G76" i="44"/>
  <c r="G77" i="44"/>
  <c r="N64" i="44" s="1"/>
  <c r="E149" i="19"/>
  <c r="E153" i="19"/>
  <c r="F73" i="39"/>
  <c r="F81" i="39"/>
  <c r="K45" i="45"/>
  <c r="K36" i="45"/>
  <c r="E157" i="19"/>
  <c r="E161" i="19"/>
  <c r="E165" i="19"/>
  <c r="M330" i="20"/>
  <c r="N341" i="20" s="1"/>
  <c r="K330" i="20"/>
  <c r="N65" i="44" l="1"/>
  <c r="N20" i="44"/>
  <c r="J77" i="44"/>
  <c r="K77" i="44"/>
  <c r="J76" i="44"/>
  <c r="K76" i="44"/>
  <c r="J78" i="44"/>
  <c r="K78" i="44"/>
  <c r="F80" i="44"/>
  <c r="F85" i="44" s="1"/>
  <c r="L45" i="45"/>
  <c r="N45" i="45"/>
  <c r="L36" i="45"/>
  <c r="N36" i="45"/>
  <c r="K34" i="45"/>
  <c r="F59" i="39"/>
  <c r="E169" i="19"/>
  <c r="F45" i="39"/>
  <c r="K28" i="45"/>
  <c r="H75" i="44"/>
  <c r="G75" i="44"/>
  <c r="E173" i="19"/>
  <c r="E177" i="19"/>
  <c r="M329" i="20"/>
  <c r="N340" i="20" s="1"/>
  <c r="K329" i="20"/>
  <c r="M328" i="20"/>
  <c r="K328" i="20"/>
  <c r="N339" i="20" l="1"/>
  <c r="K75" i="44"/>
  <c r="J75" i="44"/>
  <c r="G83" i="44"/>
  <c r="G9" i="44"/>
  <c r="G59" i="44"/>
  <c r="G10" i="44"/>
  <c r="G64" i="44"/>
  <c r="G42" i="44"/>
  <c r="G45" i="44"/>
  <c r="G36" i="44"/>
  <c r="G60" i="44"/>
  <c r="G47" i="44"/>
  <c r="G33" i="44"/>
  <c r="G46" i="44"/>
  <c r="G65" i="44"/>
  <c r="G34" i="44"/>
  <c r="G43" i="44"/>
  <c r="G52" i="44"/>
  <c r="G35" i="44"/>
  <c r="G19" i="44"/>
  <c r="G37" i="44"/>
  <c r="G62" i="44"/>
  <c r="G17" i="44"/>
  <c r="G61" i="44"/>
  <c r="G50" i="44"/>
  <c r="G39" i="44"/>
  <c r="G12" i="44"/>
  <c r="G66" i="44"/>
  <c r="G38" i="44"/>
  <c r="G28" i="44"/>
  <c r="G13" i="44"/>
  <c r="G24" i="44"/>
  <c r="G48" i="44"/>
  <c r="G31" i="44"/>
  <c r="G16" i="44"/>
  <c r="G30" i="44"/>
  <c r="G26" i="44"/>
  <c r="G23" i="44"/>
  <c r="G40" i="44"/>
  <c r="G51" i="44"/>
  <c r="G29" i="44"/>
  <c r="G11" i="44"/>
  <c r="G18" i="44"/>
  <c r="G25" i="44"/>
  <c r="G20" i="44"/>
  <c r="G32" i="44"/>
  <c r="G63" i="44"/>
  <c r="G14" i="44"/>
  <c r="G49" i="44"/>
  <c r="G22" i="44"/>
  <c r="G80" i="44"/>
  <c r="G82" i="44"/>
  <c r="L28" i="45"/>
  <c r="N28" i="45"/>
  <c r="L34" i="45"/>
  <c r="N34" i="45"/>
  <c r="G85" i="44" l="1"/>
  <c r="M94" i="47"/>
  <c r="M96" i="47" s="1"/>
  <c r="F55" i="39"/>
  <c r="F44" i="39"/>
  <c r="F47" i="39"/>
  <c r="F36" i="39"/>
  <c r="F29" i="39"/>
  <c r="F17" i="39"/>
  <c r="H90" i="39"/>
  <c r="M327" i="20"/>
  <c r="N338" i="20" s="1"/>
  <c r="K327" i="20"/>
  <c r="M100" i="47" l="1"/>
  <c r="F85" i="39"/>
  <c r="F74" i="39"/>
  <c r="F64" i="39"/>
  <c r="F66" i="39"/>
  <c r="F69" i="39"/>
  <c r="F54" i="39"/>
  <c r="G11" i="45"/>
  <c r="G12" i="45"/>
  <c r="G13" i="45"/>
  <c r="G14" i="45"/>
  <c r="G15" i="45"/>
  <c r="G18" i="45"/>
  <c r="G19" i="45"/>
  <c r="G21" i="45"/>
  <c r="G22" i="45"/>
  <c r="G24" i="45"/>
  <c r="G25" i="45"/>
  <c r="G26" i="45"/>
  <c r="G27" i="45"/>
  <c r="G30" i="45"/>
  <c r="G31" i="45"/>
  <c r="G32" i="45"/>
  <c r="G35" i="45"/>
  <c r="G37" i="45"/>
  <c r="G38" i="45"/>
  <c r="G39" i="45"/>
  <c r="G42" i="45"/>
  <c r="G43" i="45"/>
  <c r="G46" i="45"/>
  <c r="G48" i="45"/>
  <c r="K61" i="47"/>
  <c r="M13" i="47"/>
  <c r="G86" i="47"/>
  <c r="G84" i="47"/>
  <c r="H82" i="47"/>
  <c r="G82" i="47"/>
  <c r="H81" i="47"/>
  <c r="G81" i="47"/>
  <c r="H80" i="47"/>
  <c r="G80" i="47"/>
  <c r="H79" i="47"/>
  <c r="G79" i="47"/>
  <c r="H78" i="47"/>
  <c r="G78" i="47"/>
  <c r="H77" i="47"/>
  <c r="G77" i="47"/>
  <c r="H76" i="47"/>
  <c r="G76" i="47"/>
  <c r="H75" i="47"/>
  <c r="G75" i="47"/>
  <c r="H74" i="47"/>
  <c r="G74" i="47"/>
  <c r="H73" i="47"/>
  <c r="G73" i="47"/>
  <c r="G72" i="47"/>
  <c r="H71" i="47"/>
  <c r="G71" i="47"/>
  <c r="H70" i="47"/>
  <c r="G70" i="47"/>
  <c r="H69" i="47"/>
  <c r="G69" i="47"/>
  <c r="H68" i="47"/>
  <c r="G68" i="47"/>
  <c r="H67" i="47"/>
  <c r="G67" i="47"/>
  <c r="H66" i="47"/>
  <c r="G66" i="47"/>
  <c r="K60" i="47"/>
  <c r="K59" i="47"/>
  <c r="K58" i="47"/>
  <c r="K57" i="47"/>
  <c r="K56" i="47"/>
  <c r="K55" i="47"/>
  <c r="K54" i="47"/>
  <c r="G51" i="47"/>
  <c r="G48" i="47"/>
  <c r="M47" i="47"/>
  <c r="F47" i="47"/>
  <c r="G47" i="47" s="1"/>
  <c r="K46" i="47"/>
  <c r="F46" i="47"/>
  <c r="G46" i="47" s="1"/>
  <c r="K45" i="47"/>
  <c r="F45" i="47"/>
  <c r="G45" i="47" s="1"/>
  <c r="M44" i="47"/>
  <c r="F44" i="47"/>
  <c r="G44" i="47" s="1"/>
  <c r="M43" i="47"/>
  <c r="F43" i="47"/>
  <c r="G43" i="47" s="1"/>
  <c r="M42" i="47"/>
  <c r="F42" i="47"/>
  <c r="G42" i="47" s="1"/>
  <c r="K41" i="47"/>
  <c r="K40" i="47"/>
  <c r="M39" i="47"/>
  <c r="F39" i="47"/>
  <c r="G39" i="47" s="1"/>
  <c r="M38" i="47"/>
  <c r="F38" i="47"/>
  <c r="G38" i="47" s="1"/>
  <c r="M37" i="47"/>
  <c r="F37" i="47"/>
  <c r="G37" i="47" s="1"/>
  <c r="K36" i="47"/>
  <c r="F36" i="47"/>
  <c r="G36" i="47" s="1"/>
  <c r="K35" i="47"/>
  <c r="F35" i="47"/>
  <c r="G35" i="47" s="1"/>
  <c r="M34" i="47"/>
  <c r="F34" i="47"/>
  <c r="G34" i="47" s="1"/>
  <c r="K33" i="47"/>
  <c r="K32" i="47"/>
  <c r="F32" i="47"/>
  <c r="G32" i="47" s="1"/>
  <c r="M31" i="47"/>
  <c r="F31" i="47"/>
  <c r="G31" i="47" s="1"/>
  <c r="M30" i="47"/>
  <c r="F30" i="47"/>
  <c r="G30" i="47" s="1"/>
  <c r="M29" i="47"/>
  <c r="F29" i="47"/>
  <c r="G29" i="47" s="1"/>
  <c r="K28" i="47"/>
  <c r="K27" i="47"/>
  <c r="F27" i="47"/>
  <c r="G27" i="47" s="1"/>
  <c r="K26" i="47"/>
  <c r="F26" i="47"/>
  <c r="G26" i="47" s="1"/>
  <c r="M25" i="47"/>
  <c r="F25" i="47"/>
  <c r="G25" i="47" s="1"/>
  <c r="K24" i="47"/>
  <c r="K23" i="47"/>
  <c r="M22" i="47"/>
  <c r="F22" i="47"/>
  <c r="G22" i="47" s="1"/>
  <c r="K21" i="47"/>
  <c r="F21" i="47"/>
  <c r="G21" i="47" s="1"/>
  <c r="M20" i="47"/>
  <c r="F20" i="47"/>
  <c r="G20" i="47" s="1"/>
  <c r="M19" i="47"/>
  <c r="F19" i="47"/>
  <c r="G19" i="47" s="1"/>
  <c r="K18" i="47"/>
  <c r="M17" i="47"/>
  <c r="F17" i="47"/>
  <c r="G17" i="47" s="1"/>
  <c r="K16" i="47"/>
  <c r="F16" i="47"/>
  <c r="G16" i="47" s="1"/>
  <c r="M15" i="47"/>
  <c r="F15" i="47"/>
  <c r="G15" i="47" s="1"/>
  <c r="M14" i="47"/>
  <c r="F14" i="47"/>
  <c r="G14" i="47" s="1"/>
  <c r="F13" i="47"/>
  <c r="G13" i="47" s="1"/>
  <c r="K12" i="47"/>
  <c r="K11" i="47"/>
  <c r="F11" i="47"/>
  <c r="G11" i="47" s="1"/>
  <c r="K10" i="47"/>
  <c r="M9" i="47"/>
  <c r="F9" i="47"/>
  <c r="G9" i="47" s="1"/>
  <c r="M326" i="20"/>
  <c r="N337" i="20" s="1"/>
  <c r="K326" i="20"/>
  <c r="E181" i="19"/>
  <c r="K12" i="45"/>
  <c r="L12" i="45" s="1"/>
  <c r="E185" i="19"/>
  <c r="E189" i="19"/>
  <c r="E193" i="19"/>
  <c r="E197" i="19"/>
  <c r="E201" i="19"/>
  <c r="E205" i="19"/>
  <c r="E209" i="19"/>
  <c r="E213" i="19"/>
  <c r="E217" i="19"/>
  <c r="E221" i="19"/>
  <c r="E225" i="19"/>
  <c r="E229" i="19"/>
  <c r="M325" i="20"/>
  <c r="K325" i="20"/>
  <c r="K32" i="45"/>
  <c r="L32" i="45" s="1"/>
  <c r="E233" i="19"/>
  <c r="E237" i="19"/>
  <c r="K11" i="45"/>
  <c r="L11" i="45" s="1"/>
  <c r="K21" i="45"/>
  <c r="L21" i="45" s="1"/>
  <c r="E241" i="19"/>
  <c r="E245" i="19"/>
  <c r="E249" i="19"/>
  <c r="E253" i="19"/>
  <c r="E257" i="19"/>
  <c r="K27" i="45"/>
  <c r="L27" i="45" s="1"/>
  <c r="M324" i="20"/>
  <c r="K324" i="20"/>
  <c r="F18" i="39" l="1"/>
  <c r="N336" i="20"/>
  <c r="N335" i="20"/>
  <c r="K71" i="44"/>
  <c r="N27" i="45"/>
  <c r="N32" i="45"/>
  <c r="N21" i="45"/>
  <c r="N12" i="45"/>
  <c r="N11" i="45"/>
  <c r="J66" i="47"/>
  <c r="J76" i="47"/>
  <c r="J80" i="47"/>
  <c r="J69" i="47"/>
  <c r="J73" i="47"/>
  <c r="J77" i="47"/>
  <c r="J81" i="47"/>
  <c r="J74" i="47"/>
  <c r="J78" i="47"/>
  <c r="J82" i="47"/>
  <c r="I75" i="47"/>
  <c r="I79" i="47"/>
  <c r="G89" i="47"/>
  <c r="I71" i="47"/>
  <c r="N61" i="47"/>
  <c r="J68" i="47"/>
  <c r="K9" i="47"/>
  <c r="K19" i="47"/>
  <c r="K15" i="47"/>
  <c r="M27" i="47"/>
  <c r="I69" i="47"/>
  <c r="I73" i="47"/>
  <c r="I77" i="47"/>
  <c r="I81" i="47"/>
  <c r="J67" i="47"/>
  <c r="J70" i="47"/>
  <c r="K30" i="47"/>
  <c r="M32" i="47"/>
  <c r="I67" i="47"/>
  <c r="J71" i="47"/>
  <c r="M16" i="47"/>
  <c r="K29" i="47"/>
  <c r="J75" i="47"/>
  <c r="J79" i="47"/>
  <c r="M26" i="47"/>
  <c r="M46" i="47"/>
  <c r="M11" i="47"/>
  <c r="M21" i="47"/>
  <c r="K14" i="47"/>
  <c r="K25" i="47"/>
  <c r="K20" i="47"/>
  <c r="K31" i="47"/>
  <c r="M36" i="47"/>
  <c r="K39" i="47"/>
  <c r="K44" i="47"/>
  <c r="K38" i="47"/>
  <c r="K42" i="47"/>
  <c r="M45" i="47"/>
  <c r="N12" i="47"/>
  <c r="M12" i="47" s="1"/>
  <c r="N23" i="47"/>
  <c r="M23" i="47" s="1"/>
  <c r="N59" i="47"/>
  <c r="N33" i="47"/>
  <c r="M33" i="47" s="1"/>
  <c r="K62" i="47"/>
  <c r="N24" i="47"/>
  <c r="M24" i="47" s="1"/>
  <c r="N58" i="47"/>
  <c r="N40" i="47"/>
  <c r="M40" i="47" s="1"/>
  <c r="N57" i="47"/>
  <c r="N28" i="47"/>
  <c r="M28" i="47" s="1"/>
  <c r="N60" i="47"/>
  <c r="M35" i="47"/>
  <c r="K43" i="47"/>
  <c r="K17" i="47"/>
  <c r="K13" i="47"/>
  <c r="K34" i="47"/>
  <c r="K37" i="47"/>
  <c r="K47" i="47"/>
  <c r="I66" i="47"/>
  <c r="I68" i="47"/>
  <c r="I70" i="47"/>
  <c r="K22" i="47"/>
  <c r="I74" i="47"/>
  <c r="I76" i="47"/>
  <c r="I78" i="47"/>
  <c r="I80" i="47"/>
  <c r="I82" i="47"/>
  <c r="E261" i="19"/>
  <c r="N10" i="47" s="1"/>
  <c r="M10" i="47" s="1"/>
  <c r="G16" i="39" l="1"/>
  <c r="G15" i="39"/>
  <c r="K48" i="47"/>
  <c r="K84" i="47" s="1"/>
  <c r="K89" i="47" s="1"/>
  <c r="M323" i="20"/>
  <c r="N334" i="20" s="1"/>
  <c r="K323" i="20"/>
  <c r="E265" i="19"/>
  <c r="I275" i="19"/>
  <c r="J275" i="19"/>
  <c r="J272" i="19"/>
  <c r="K322" i="20"/>
  <c r="H34" i="45" l="1"/>
  <c r="H28" i="45"/>
  <c r="H36" i="45"/>
  <c r="H45" i="45"/>
  <c r="L48" i="47"/>
  <c r="M89" i="47"/>
  <c r="M101" i="47" s="1"/>
  <c r="H22" i="45"/>
  <c r="H37" i="45"/>
  <c r="H18" i="45"/>
  <c r="H25" i="45"/>
  <c r="H30" i="45"/>
  <c r="H39" i="45"/>
  <c r="H26" i="45"/>
  <c r="H35" i="45"/>
  <c r="H46" i="45"/>
  <c r="H48" i="45"/>
  <c r="H12" i="45"/>
  <c r="H27" i="45"/>
  <c r="H13" i="45"/>
  <c r="H42" i="45"/>
  <c r="H43" i="45"/>
  <c r="H38" i="45"/>
  <c r="H14" i="45"/>
  <c r="H32" i="45"/>
  <c r="H31" i="45"/>
  <c r="H24" i="45"/>
  <c r="H15" i="45"/>
  <c r="H21" i="45"/>
  <c r="H19" i="45"/>
  <c r="H11" i="45"/>
  <c r="L17" i="47"/>
  <c r="L20" i="47"/>
  <c r="L55" i="47"/>
  <c r="L23" i="47"/>
  <c r="L54" i="47"/>
  <c r="L11" i="47"/>
  <c r="L57" i="47"/>
  <c r="L21" i="47"/>
  <c r="L18" i="47"/>
  <c r="L56" i="47"/>
  <c r="L32" i="47"/>
  <c r="L24" i="47"/>
  <c r="L16" i="47"/>
  <c r="L59" i="47"/>
  <c r="L40" i="47"/>
  <c r="L62" i="47"/>
  <c r="L34" i="47"/>
  <c r="L13" i="47"/>
  <c r="L22" i="47"/>
  <c r="L43" i="47"/>
  <c r="L84" i="47"/>
  <c r="L47" i="47"/>
  <c r="L42" i="47"/>
  <c r="L15" i="47"/>
  <c r="L9" i="47"/>
  <c r="L33" i="47"/>
  <c r="L41" i="47"/>
  <c r="L19" i="47"/>
  <c r="L39" i="47"/>
  <c r="L30" i="47"/>
  <c r="L60" i="47"/>
  <c r="L44" i="47"/>
  <c r="L12" i="47"/>
  <c r="L35" i="47"/>
  <c r="L10" i="47"/>
  <c r="L29" i="47"/>
  <c r="L46" i="47"/>
  <c r="L45" i="47"/>
  <c r="L28" i="47"/>
  <c r="L25" i="47"/>
  <c r="L61" i="47"/>
  <c r="L58" i="47"/>
  <c r="L26" i="47"/>
  <c r="L36" i="47"/>
  <c r="L27" i="47"/>
  <c r="L14" i="47"/>
  <c r="L38" i="47"/>
  <c r="L37" i="47"/>
  <c r="L31" i="47"/>
  <c r="L86" i="47"/>
  <c r="L51" i="47"/>
  <c r="M322" i="20"/>
  <c r="N333" i="20" s="1"/>
  <c r="H49" i="45" l="1"/>
  <c r="G56" i="44"/>
  <c r="G71" i="44"/>
  <c r="G53" i="44"/>
  <c r="L89" i="47"/>
  <c r="M321" i="20" l="1"/>
  <c r="N332" i="20" s="1"/>
  <c r="K321" i="20"/>
  <c r="M320" i="20"/>
  <c r="K320" i="20"/>
  <c r="M319" i="20"/>
  <c r="K319" i="20"/>
  <c r="N331" i="20" l="1"/>
  <c r="N330" i="20"/>
  <c r="Q71" i="44"/>
  <c r="J269" i="19"/>
  <c r="I269" i="19"/>
  <c r="E269" i="19"/>
  <c r="J268" i="19"/>
  <c r="I268" i="19"/>
  <c r="J267" i="19"/>
  <c r="I267" i="19"/>
  <c r="K25" i="45"/>
  <c r="J273" i="19"/>
  <c r="I273" i="19"/>
  <c r="E273" i="19"/>
  <c r="I272" i="19"/>
  <c r="J271" i="19"/>
  <c r="I271" i="19"/>
  <c r="L25" i="45" l="1"/>
  <c r="N25" i="45"/>
  <c r="N18" i="47"/>
  <c r="M18" i="47" s="1"/>
  <c r="I276" i="19"/>
  <c r="I277" i="19"/>
  <c r="I278" i="19"/>
  <c r="I279" i="19"/>
  <c r="I280" i="19"/>
  <c r="I281" i="19"/>
  <c r="I283" i="19"/>
  <c r="I284" i="19"/>
  <c r="I285" i="19"/>
  <c r="J276" i="19"/>
  <c r="J277" i="19"/>
  <c r="J278" i="19"/>
  <c r="J279" i="19"/>
  <c r="J280" i="19"/>
  <c r="J281" i="19"/>
  <c r="J282" i="19"/>
  <c r="J283" i="19"/>
  <c r="E277" i="19"/>
  <c r="E281" i="19"/>
  <c r="J284" i="19"/>
  <c r="J285" i="19"/>
  <c r="E286" i="19"/>
  <c r="I286" i="19"/>
  <c r="J286" i="19"/>
  <c r="E282" i="19"/>
  <c r="F57" i="39"/>
  <c r="H1275" i="19"/>
  <c r="G66" i="38"/>
  <c r="I66" i="38" s="1"/>
  <c r="J66" i="38" s="1"/>
  <c r="N41" i="47" l="1"/>
  <c r="M41" i="47" s="1"/>
  <c r="K42" i="45"/>
  <c r="J288" i="19"/>
  <c r="J319" i="19"/>
  <c r="I321" i="19"/>
  <c r="I313" i="19"/>
  <c r="I312" i="19"/>
  <c r="I311" i="19"/>
  <c r="J311" i="19"/>
  <c r="J310" i="19"/>
  <c r="J302" i="19"/>
  <c r="I306" i="19"/>
  <c r="I302" i="19"/>
  <c r="I298" i="19"/>
  <c r="I294" i="19"/>
  <c r="I290" i="19"/>
  <c r="J306" i="19"/>
  <c r="J307" i="19"/>
  <c r="J308" i="19"/>
  <c r="J309" i="19"/>
  <c r="J312" i="19"/>
  <c r="J313" i="19"/>
  <c r="J314" i="19"/>
  <c r="I307" i="19"/>
  <c r="I308" i="19"/>
  <c r="I309" i="19"/>
  <c r="I310" i="19"/>
  <c r="I314" i="19"/>
  <c r="I315" i="19"/>
  <c r="I316" i="19"/>
  <c r="I317" i="19"/>
  <c r="O421" i="20"/>
  <c r="O420" i="20"/>
  <c r="O419" i="20"/>
  <c r="O418" i="20"/>
  <c r="O417" i="20"/>
  <c r="O416" i="20"/>
  <c r="O415" i="20"/>
  <c r="O414" i="20"/>
  <c r="O413" i="20"/>
  <c r="O412" i="20"/>
  <c r="O411" i="20"/>
  <c r="O410" i="20"/>
  <c r="O409" i="20"/>
  <c r="O408" i="20"/>
  <c r="O407" i="20"/>
  <c r="O396" i="20"/>
  <c r="L42" i="45" l="1"/>
  <c r="N42" i="45"/>
  <c r="J315" i="19" l="1"/>
  <c r="J316" i="19"/>
  <c r="J317" i="19"/>
  <c r="J318" i="19"/>
  <c r="I288" i="19"/>
  <c r="I289" i="19"/>
  <c r="I318" i="19"/>
  <c r="I319" i="19"/>
  <c r="I320" i="19"/>
  <c r="I322" i="19"/>
  <c r="I323" i="19"/>
  <c r="I324" i="19"/>
  <c r="I325" i="19"/>
  <c r="I326" i="19"/>
  <c r="I327" i="19"/>
  <c r="I328" i="19"/>
  <c r="E290" i="19"/>
  <c r="E294" i="19"/>
  <c r="E298" i="19"/>
  <c r="E302" i="19"/>
  <c r="E306" i="19"/>
  <c r="E310" i="19"/>
  <c r="E311" i="19"/>
  <c r="E312" i="19"/>
  <c r="E313" i="19"/>
  <c r="I1431" i="19"/>
  <c r="J1430" i="19"/>
  <c r="J1429" i="19"/>
  <c r="J1426" i="19"/>
  <c r="J1427" i="19"/>
  <c r="J1428" i="19"/>
  <c r="J1431" i="19"/>
  <c r="J1432" i="19"/>
  <c r="J694" i="19"/>
  <c r="J695" i="19"/>
  <c r="J696" i="19"/>
  <c r="J697" i="19"/>
  <c r="J698" i="19"/>
  <c r="J699" i="19"/>
  <c r="J700" i="19"/>
  <c r="J701" i="19"/>
  <c r="J702" i="19"/>
  <c r="J703" i="19"/>
  <c r="J704" i="19"/>
  <c r="J705" i="19"/>
  <c r="J706" i="19"/>
  <c r="J707" i="19"/>
  <c r="J710" i="19"/>
  <c r="J709" i="19"/>
  <c r="I709" i="19"/>
  <c r="J740" i="19"/>
  <c r="I1430" i="19"/>
  <c r="I1429" i="19"/>
  <c r="J959" i="19"/>
  <c r="J952" i="19"/>
  <c r="J953" i="19"/>
  <c r="J954" i="19"/>
  <c r="J955" i="19"/>
  <c r="J956" i="19"/>
  <c r="J957" i="19"/>
  <c r="J958" i="19"/>
  <c r="J960" i="19"/>
  <c r="J961" i="19"/>
  <c r="J962" i="19"/>
  <c r="J963" i="19"/>
  <c r="J964" i="19"/>
  <c r="J965" i="19"/>
  <c r="J966" i="19"/>
  <c r="J967" i="19"/>
  <c r="I961" i="19"/>
  <c r="I967" i="19"/>
  <c r="J1056" i="19"/>
  <c r="I1058" i="19"/>
  <c r="I1050" i="19"/>
  <c r="J1044" i="19"/>
  <c r="I1042" i="19"/>
  <c r="J1027" i="19"/>
  <c r="J1022" i="19"/>
  <c r="J1019" i="19"/>
  <c r="J1018" i="19"/>
  <c r="J1006" i="19"/>
  <c r="I1008" i="19"/>
  <c r="I1007" i="19"/>
  <c r="J976" i="19"/>
  <c r="I978" i="19"/>
  <c r="I977" i="19"/>
  <c r="I972" i="19"/>
  <c r="I966" i="19"/>
  <c r="I965" i="19"/>
  <c r="I964" i="19"/>
  <c r="I963" i="19"/>
  <c r="I962" i="19"/>
  <c r="I938" i="19"/>
  <c r="I937" i="19"/>
  <c r="J936" i="19"/>
  <c r="J935" i="19"/>
  <c r="I917" i="19"/>
  <c r="J895" i="19"/>
  <c r="J894" i="19"/>
  <c r="I897" i="19"/>
  <c r="I896" i="19"/>
  <c r="I901" i="19"/>
  <c r="I870" i="19"/>
  <c r="I869" i="19"/>
  <c r="J868" i="19"/>
  <c r="J867" i="19"/>
  <c r="I777" i="19"/>
  <c r="J770" i="19"/>
  <c r="I772" i="19"/>
  <c r="I771" i="19"/>
  <c r="I705" i="19"/>
  <c r="I704" i="19"/>
  <c r="J600" i="19"/>
  <c r="J599" i="19"/>
  <c r="I602" i="19"/>
  <c r="I601" i="19"/>
  <c r="I600" i="19"/>
  <c r="I596" i="19"/>
  <c r="I597" i="19"/>
  <c r="I598" i="19"/>
  <c r="I599" i="19"/>
  <c r="I603" i="19"/>
  <c r="J594" i="19"/>
  <c r="J595" i="19"/>
  <c r="J596" i="19"/>
  <c r="J597" i="19"/>
  <c r="J598" i="19"/>
  <c r="J404" i="19"/>
  <c r="J403" i="19"/>
  <c r="I405" i="19"/>
  <c r="I406" i="19"/>
  <c r="I407"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2" i="19"/>
  <c r="J393" i="19"/>
  <c r="J394" i="19"/>
  <c r="J395" i="19"/>
  <c r="J396" i="19"/>
  <c r="J397" i="19"/>
  <c r="J398" i="19"/>
  <c r="J399" i="19"/>
  <c r="J400" i="19"/>
  <c r="J401" i="19"/>
  <c r="J402"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6" i="19"/>
  <c r="J897" i="19"/>
  <c r="J899" i="19"/>
  <c r="J900" i="19"/>
  <c r="J901" i="19"/>
  <c r="J902" i="19"/>
  <c r="J903" i="19"/>
  <c r="J904" i="19"/>
  <c r="J905"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7" i="19"/>
  <c r="J938" i="19"/>
  <c r="J939" i="19"/>
  <c r="J940" i="19"/>
  <c r="J941" i="19"/>
  <c r="J942" i="19"/>
  <c r="J943" i="19"/>
  <c r="J944" i="19"/>
  <c r="J945" i="19"/>
  <c r="J946" i="19"/>
  <c r="J947" i="19"/>
  <c r="J948" i="19"/>
  <c r="J949" i="19"/>
  <c r="J950" i="19"/>
  <c r="J951" i="19"/>
  <c r="J968" i="19"/>
  <c r="J969" i="19"/>
  <c r="J970" i="19"/>
  <c r="J971" i="19"/>
  <c r="J972" i="19"/>
  <c r="J973" i="19"/>
  <c r="J974" i="19"/>
  <c r="J975"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7" i="19"/>
  <c r="J1008" i="19"/>
  <c r="J1009" i="19"/>
  <c r="J1010" i="19"/>
  <c r="J1011" i="19"/>
  <c r="J1012" i="19"/>
  <c r="J1013" i="19"/>
  <c r="J1014" i="19"/>
  <c r="J1015" i="19"/>
  <c r="J1016" i="19"/>
  <c r="J1017" i="19"/>
  <c r="J1020" i="19"/>
  <c r="J1021" i="19"/>
  <c r="J1023" i="19"/>
  <c r="J1024" i="19"/>
  <c r="J1025" i="19"/>
  <c r="J1026" i="19"/>
  <c r="J1028" i="19"/>
  <c r="J1029" i="19"/>
  <c r="J1030" i="19"/>
  <c r="J1031" i="19"/>
  <c r="J1032" i="19"/>
  <c r="J1033" i="19"/>
  <c r="J1034" i="19"/>
  <c r="J1035" i="19"/>
  <c r="J1036" i="19"/>
  <c r="J1037" i="19"/>
  <c r="J1038" i="19"/>
  <c r="J1039" i="19"/>
  <c r="J1040" i="19"/>
  <c r="J1041" i="19"/>
  <c r="J1042" i="19"/>
  <c r="J1043" i="19"/>
  <c r="J1045" i="19"/>
  <c r="J1046" i="19"/>
  <c r="J1047" i="19"/>
  <c r="J1048" i="19"/>
  <c r="J1049" i="19"/>
  <c r="J1050" i="19"/>
  <c r="J1051" i="19"/>
  <c r="J1052" i="19"/>
  <c r="J1053" i="19"/>
  <c r="J1054" i="19"/>
  <c r="J1055"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N56" i="47" l="1"/>
  <c r="N54" i="47"/>
  <c r="N55" i="47"/>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4" i="19"/>
  <c r="I395" i="19"/>
  <c r="I396" i="19"/>
  <c r="I397" i="19"/>
  <c r="I398" i="19"/>
  <c r="I399" i="19"/>
  <c r="I400" i="19"/>
  <c r="I401" i="19"/>
  <c r="I402" i="19"/>
  <c r="I403" i="19"/>
  <c r="I404"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6" i="19"/>
  <c r="I707" i="19"/>
  <c r="I708"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3" i="19"/>
  <c r="I774" i="19"/>
  <c r="I775" i="19"/>
  <c r="I776"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9" i="19"/>
  <c r="I900" i="19"/>
  <c r="I902" i="19"/>
  <c r="I903" i="19"/>
  <c r="I904" i="19"/>
  <c r="I905" i="19"/>
  <c r="I907" i="19"/>
  <c r="I908" i="19"/>
  <c r="I909" i="19"/>
  <c r="I910" i="19"/>
  <c r="I911" i="19"/>
  <c r="I912" i="19"/>
  <c r="I913" i="19"/>
  <c r="I914" i="19"/>
  <c r="I915" i="19"/>
  <c r="I916" i="19"/>
  <c r="I918" i="19"/>
  <c r="I919" i="19"/>
  <c r="I920" i="19"/>
  <c r="I921" i="19"/>
  <c r="I922" i="19"/>
  <c r="I923" i="19"/>
  <c r="I924" i="19"/>
  <c r="I925" i="19"/>
  <c r="I926" i="19"/>
  <c r="I927" i="19"/>
  <c r="I928" i="19"/>
  <c r="I929" i="19"/>
  <c r="I930" i="19"/>
  <c r="I931" i="19"/>
  <c r="I932" i="19"/>
  <c r="I933" i="19"/>
  <c r="I934" i="19"/>
  <c r="I935" i="19"/>
  <c r="I936" i="19"/>
  <c r="I939" i="19"/>
  <c r="I940" i="19"/>
  <c r="I941" i="19"/>
  <c r="I942" i="19"/>
  <c r="I943" i="19"/>
  <c r="I944" i="19"/>
  <c r="I945" i="19"/>
  <c r="I946" i="19"/>
  <c r="I947" i="19"/>
  <c r="I948" i="19"/>
  <c r="I949" i="19"/>
  <c r="I950" i="19"/>
  <c r="I951" i="19"/>
  <c r="I952" i="19"/>
  <c r="I953" i="19"/>
  <c r="I954" i="19"/>
  <c r="I955" i="19"/>
  <c r="I956" i="19"/>
  <c r="I957" i="19"/>
  <c r="I958" i="19"/>
  <c r="I959" i="19"/>
  <c r="I960" i="19"/>
  <c r="I968" i="19"/>
  <c r="I969" i="19"/>
  <c r="I970" i="19"/>
  <c r="I971" i="19"/>
  <c r="I973" i="19"/>
  <c r="I974" i="19"/>
  <c r="I975" i="19"/>
  <c r="I976"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3" i="19"/>
  <c r="I1044" i="19"/>
  <c r="I1045" i="19"/>
  <c r="I1046" i="19"/>
  <c r="I1047" i="19"/>
  <c r="I1048" i="19"/>
  <c r="I1049" i="19"/>
  <c r="I1051" i="19"/>
  <c r="I1052" i="19"/>
  <c r="I1053" i="19"/>
  <c r="I1054" i="19"/>
  <c r="I1055" i="19"/>
  <c r="I1056" i="19"/>
  <c r="I1057"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8"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I1792" i="19"/>
  <c r="I1793" i="19"/>
  <c r="I1794" i="19"/>
  <c r="I1795" i="19"/>
  <c r="I1796" i="19"/>
  <c r="I1797" i="19"/>
  <c r="I1798" i="19"/>
  <c r="I1799" i="19"/>
  <c r="I1800" i="19"/>
  <c r="I1801" i="19"/>
  <c r="I1802" i="19"/>
  <c r="I1803" i="19"/>
  <c r="I1804" i="19"/>
  <c r="I1805" i="19"/>
  <c r="I1806" i="19"/>
  <c r="I1807" i="19"/>
  <c r="I1808" i="19"/>
  <c r="I1809" i="19"/>
  <c r="I1810" i="19"/>
  <c r="I1811" i="19"/>
  <c r="I1812" i="19"/>
  <c r="I1813" i="19"/>
  <c r="I1814" i="19"/>
  <c r="I1815" i="19"/>
  <c r="I1816" i="19"/>
  <c r="I1817" i="19"/>
  <c r="I1818" i="19"/>
  <c r="I1819" i="19"/>
  <c r="I1820" i="19"/>
  <c r="I1821" i="19"/>
  <c r="I1822" i="19"/>
  <c r="I1823" i="19"/>
  <c r="I1824" i="19"/>
  <c r="I1825" i="19"/>
  <c r="I1826" i="19"/>
  <c r="I1827" i="19"/>
  <c r="I1828" i="19"/>
  <c r="I1829" i="19"/>
  <c r="I1830" i="19"/>
  <c r="I1831" i="19"/>
  <c r="I1832" i="19"/>
  <c r="I1833" i="19"/>
  <c r="I1834" i="19"/>
  <c r="I1835" i="19"/>
  <c r="I1836" i="19"/>
  <c r="I1837" i="19"/>
  <c r="I1838" i="19"/>
  <c r="I1839" i="19"/>
  <c r="I1840" i="19"/>
  <c r="I1841" i="19"/>
  <c r="I1842" i="19"/>
  <c r="I1843" i="19"/>
  <c r="I1844" i="19"/>
  <c r="I1845" i="19"/>
  <c r="I1846" i="19"/>
  <c r="I1847" i="19"/>
  <c r="I1848" i="19"/>
  <c r="I1849" i="19"/>
  <c r="I1850" i="19"/>
  <c r="I1851" i="19"/>
  <c r="I1852" i="19"/>
  <c r="I1853" i="19"/>
  <c r="I1854" i="19"/>
  <c r="I1855" i="19"/>
  <c r="I1856" i="19"/>
  <c r="I1857" i="19"/>
  <c r="I1858" i="19"/>
  <c r="I1859" i="19"/>
  <c r="I1860" i="19"/>
  <c r="I1861" i="19"/>
  <c r="I1862" i="19"/>
  <c r="I1863" i="19"/>
  <c r="I1864" i="19"/>
  <c r="I1865" i="19"/>
  <c r="I1866" i="19"/>
  <c r="I1867" i="19"/>
  <c r="I1868" i="19"/>
  <c r="I1869" i="19"/>
  <c r="I1870" i="19"/>
  <c r="I1871" i="19"/>
  <c r="I1872" i="19"/>
  <c r="I1873" i="19"/>
  <c r="I1874" i="19"/>
  <c r="I1875" i="19"/>
  <c r="I1876" i="19"/>
  <c r="I1877" i="19"/>
  <c r="I1878" i="19"/>
  <c r="I1879" i="19"/>
  <c r="I1880" i="19"/>
  <c r="I1881" i="19"/>
  <c r="I1882" i="19"/>
  <c r="I1883" i="19"/>
  <c r="I1884" i="19"/>
  <c r="I1885" i="19"/>
  <c r="I1886" i="19"/>
  <c r="I1887" i="19"/>
  <c r="I1888" i="19"/>
  <c r="I1889" i="19"/>
  <c r="I1890" i="19"/>
  <c r="I1891" i="19"/>
  <c r="I1892" i="19"/>
  <c r="I1893" i="19"/>
  <c r="I1894" i="19"/>
  <c r="I1895" i="19"/>
  <c r="I1896" i="19"/>
  <c r="I1897" i="19"/>
  <c r="I1898" i="19"/>
  <c r="I1899" i="19"/>
  <c r="I1900" i="19"/>
  <c r="I1901" i="19"/>
  <c r="I1902" i="19"/>
  <c r="I1903" i="19"/>
  <c r="I1904" i="19"/>
  <c r="I1905" i="19"/>
  <c r="I1906" i="19"/>
  <c r="I1907" i="19"/>
  <c r="I1908" i="19"/>
  <c r="I1909" i="19"/>
  <c r="I1910" i="19"/>
  <c r="I1911" i="19"/>
  <c r="I1912" i="19"/>
  <c r="I1913" i="19"/>
  <c r="I1914" i="19"/>
  <c r="I1915" i="19"/>
  <c r="I1916" i="19"/>
  <c r="I1917" i="19"/>
  <c r="I1918" i="19"/>
  <c r="I1919" i="19"/>
  <c r="I1920" i="19"/>
  <c r="I1921" i="19"/>
  <c r="I1922" i="19"/>
  <c r="I1923" i="19"/>
  <c r="I1924" i="19"/>
  <c r="I1925" i="19"/>
  <c r="I1926" i="19"/>
  <c r="I1927" i="19"/>
  <c r="I1928" i="19"/>
  <c r="I1929" i="19"/>
  <c r="I1930" i="19"/>
  <c r="I1931" i="19"/>
  <c r="I1932" i="19"/>
  <c r="I1933" i="19"/>
  <c r="I1934" i="19"/>
  <c r="I1935" i="19"/>
  <c r="I1936" i="19"/>
  <c r="I1937" i="19"/>
  <c r="I1938" i="19"/>
  <c r="I1939" i="19"/>
  <c r="I1940" i="19"/>
  <c r="I1941" i="19"/>
  <c r="I1942" i="19"/>
  <c r="I1943" i="19"/>
  <c r="I1944" i="19"/>
  <c r="I1945" i="19"/>
  <c r="I1946" i="19"/>
  <c r="I1947" i="19"/>
  <c r="I1948" i="19"/>
  <c r="I1949" i="19"/>
  <c r="I1950" i="19"/>
  <c r="I1951" i="19"/>
  <c r="I1952" i="19"/>
  <c r="I1953" i="19"/>
  <c r="I1954" i="19"/>
  <c r="I1955" i="19"/>
  <c r="I1956" i="19"/>
  <c r="I1957" i="19"/>
  <c r="I1958" i="19"/>
  <c r="I1959" i="19"/>
  <c r="M318" i="20" l="1"/>
  <c r="N329" i="20" s="1"/>
  <c r="K318" i="20"/>
  <c r="E793" i="19"/>
  <c r="K10" i="38" l="1"/>
  <c r="M317" i="20"/>
  <c r="N328" i="20" s="1"/>
  <c r="K317" i="20"/>
  <c r="B317" i="20"/>
  <c r="C68" i="36"/>
  <c r="C69" i="36"/>
  <c r="C70" i="36"/>
  <c r="C71" i="36"/>
  <c r="C72" i="36"/>
  <c r="C73" i="36"/>
  <c r="C74" i="36"/>
  <c r="C75" i="36"/>
  <c r="C76" i="36"/>
  <c r="C77" i="36"/>
  <c r="C78" i="36"/>
  <c r="C79" i="36"/>
  <c r="L377" i="20" l="1"/>
  <c r="I385" i="20" l="1"/>
  <c r="C434" i="20"/>
  <c r="K31" i="45" a="1"/>
  <c r="K31" i="45" s="1"/>
  <c r="N68" i="45"/>
  <c r="N70" i="45" s="1"/>
  <c r="N64" i="45"/>
  <c r="N66" i="45" s="1"/>
  <c r="K48" i="45"/>
  <c r="N48" i="45" s="1"/>
  <c r="K46" i="45"/>
  <c r="K43" i="45"/>
  <c r="N43" i="45" s="1"/>
  <c r="K39" i="45"/>
  <c r="N39" i="45" s="1"/>
  <c r="K38" i="45"/>
  <c r="K37" i="45"/>
  <c r="K35" i="45"/>
  <c r="K30" i="45"/>
  <c r="N30" i="45" s="1"/>
  <c r="K26" i="45"/>
  <c r="K24" i="45"/>
  <c r="K22" i="45"/>
  <c r="N22" i="45" s="1"/>
  <c r="K19" i="45"/>
  <c r="N19" i="45" s="1"/>
  <c r="K18" i="45"/>
  <c r="N18" i="45" s="1"/>
  <c r="K15" i="45"/>
  <c r="K14" i="45"/>
  <c r="N14" i="45" s="1"/>
  <c r="K13" i="45"/>
  <c r="N13" i="45" s="1"/>
  <c r="J6" i="45"/>
  <c r="N72" i="45" l="1"/>
  <c r="L35" i="45"/>
  <c r="N35" i="45"/>
  <c r="L39" i="45"/>
  <c r="L9" i="45"/>
  <c r="L26" i="45"/>
  <c r="N26" i="45"/>
  <c r="L46" i="45"/>
  <c r="N46" i="45"/>
  <c r="L24" i="45"/>
  <c r="N24" i="45"/>
  <c r="L37" i="45"/>
  <c r="N37" i="45"/>
  <c r="L15" i="45"/>
  <c r="N15" i="45"/>
  <c r="L38" i="45"/>
  <c r="N38" i="45"/>
  <c r="L31" i="45"/>
  <c r="N31" i="45"/>
  <c r="L14" i="45"/>
  <c r="L18" i="45"/>
  <c r="L48" i="45"/>
  <c r="L19" i="45"/>
  <c r="L22" i="45"/>
  <c r="L30" i="45"/>
  <c r="L43" i="45"/>
  <c r="L13" i="45"/>
  <c r="K316" i="20"/>
  <c r="M316" i="20"/>
  <c r="B316" i="20"/>
  <c r="M315" i="20"/>
  <c r="K315" i="20"/>
  <c r="B315" i="20"/>
  <c r="N327" i="20" l="1"/>
  <c r="E79" i="36"/>
  <c r="G79" i="36" s="1"/>
  <c r="N326" i="20"/>
  <c r="L49" i="45"/>
  <c r="I390" i="20"/>
  <c r="L58" i="45" l="1"/>
  <c r="L61" i="45" s="1"/>
  <c r="L90" i="36"/>
  <c r="M23" i="45" l="1"/>
  <c r="M41" i="45"/>
  <c r="M54" i="45"/>
  <c r="M10" i="45"/>
  <c r="M40" i="45"/>
  <c r="M47" i="45"/>
  <c r="M29" i="45"/>
  <c r="M53" i="45"/>
  <c r="M52" i="45"/>
  <c r="M55" i="45"/>
  <c r="M59" i="45"/>
  <c r="M96" i="44"/>
  <c r="M92" i="44"/>
  <c r="M94" i="44" s="1"/>
  <c r="S69" i="44" l="1"/>
  <c r="S70" i="44"/>
  <c r="S67" i="44"/>
  <c r="S68" i="44"/>
  <c r="R67" i="44"/>
  <c r="R68" i="44"/>
  <c r="R69" i="44"/>
  <c r="R70" i="44"/>
  <c r="S21" i="44"/>
  <c r="S22" i="44"/>
  <c r="S27" i="44"/>
  <c r="R21" i="44"/>
  <c r="S41" i="44"/>
  <c r="R27" i="44"/>
  <c r="S44" i="44"/>
  <c r="R41" i="44"/>
  <c r="S16" i="44"/>
  <c r="R44" i="44"/>
  <c r="R15" i="44"/>
  <c r="S15" i="44"/>
  <c r="R12" i="44"/>
  <c r="S12" i="44"/>
  <c r="R30" i="44"/>
  <c r="S30" i="44"/>
  <c r="S59" i="44"/>
  <c r="S60" i="44"/>
  <c r="S61" i="44"/>
  <c r="S62" i="44"/>
  <c r="S63" i="44"/>
  <c r="R60" i="44"/>
  <c r="R61" i="44"/>
  <c r="R62" i="44"/>
  <c r="R63" i="44"/>
  <c r="R59" i="44"/>
  <c r="S25" i="44"/>
  <c r="S26" i="44"/>
  <c r="R26" i="44"/>
  <c r="R25" i="44"/>
  <c r="R46" i="44"/>
  <c r="S46" i="44"/>
  <c r="S36" i="44"/>
  <c r="R36" i="44"/>
  <c r="R10" i="44"/>
  <c r="S10" i="44"/>
  <c r="R19" i="44"/>
  <c r="S19" i="44"/>
  <c r="S49" i="44"/>
  <c r="S47" i="44"/>
  <c r="R47" i="44"/>
  <c r="S13" i="44"/>
  <c r="S23" i="44"/>
  <c r="S32" i="44"/>
  <c r="S42" i="44"/>
  <c r="S29" i="44"/>
  <c r="S14" i="44"/>
  <c r="S33" i="44"/>
  <c r="S43" i="44"/>
  <c r="S52" i="44"/>
  <c r="S24" i="44"/>
  <c r="S34" i="44"/>
  <c r="S45" i="44"/>
  <c r="S17" i="44"/>
  <c r="S35" i="44"/>
  <c r="S37" i="44"/>
  <c r="S48" i="44"/>
  <c r="S40" i="44"/>
  <c r="S18" i="44"/>
  <c r="S28" i="44"/>
  <c r="S39" i="44"/>
  <c r="S31" i="44"/>
  <c r="S11" i="44"/>
  <c r="R14" i="44"/>
  <c r="R33" i="44"/>
  <c r="R43" i="44"/>
  <c r="R16" i="44"/>
  <c r="R24" i="44"/>
  <c r="R34" i="44"/>
  <c r="R45" i="44"/>
  <c r="R17" i="44"/>
  <c r="R35" i="44"/>
  <c r="R37" i="44"/>
  <c r="R48" i="44"/>
  <c r="R52" i="44"/>
  <c r="R13" i="44"/>
  <c r="R32" i="44"/>
  <c r="R18" i="44"/>
  <c r="R28" i="44"/>
  <c r="R39" i="44"/>
  <c r="R31" i="44"/>
  <c r="R40" i="44"/>
  <c r="R29" i="44"/>
  <c r="R23" i="44"/>
  <c r="R49" i="44"/>
  <c r="R22" i="44"/>
  <c r="R42" i="44"/>
  <c r="S9" i="44"/>
  <c r="R11" i="44"/>
  <c r="R9" i="44"/>
  <c r="M98" i="44"/>
  <c r="K314" i="20"/>
  <c r="K313" i="20"/>
  <c r="K312" i="20"/>
  <c r="M314" i="20"/>
  <c r="M313" i="20"/>
  <c r="M312" i="20"/>
  <c r="B314" i="20"/>
  <c r="B313" i="20"/>
  <c r="E78" i="36" l="1"/>
  <c r="L89" i="36" s="1"/>
  <c r="N325" i="20"/>
  <c r="E77" i="36"/>
  <c r="L88" i="36" s="1"/>
  <c r="N324" i="20"/>
  <c r="E76" i="36"/>
  <c r="L87" i="36" s="1"/>
  <c r="N323" i="20"/>
  <c r="K53" i="44"/>
  <c r="K80" i="44" s="1"/>
  <c r="K85" i="44" s="1"/>
  <c r="K37" i="38"/>
  <c r="E321" i="19"/>
  <c r="N39" i="47" s="1"/>
  <c r="L11" i="44" l="1"/>
  <c r="L28" i="44"/>
  <c r="L44" i="44"/>
  <c r="L63" i="44"/>
  <c r="L12" i="44"/>
  <c r="L21" i="44"/>
  <c r="L29" i="44"/>
  <c r="L37" i="44"/>
  <c r="L45" i="44"/>
  <c r="L9" i="44"/>
  <c r="L67" i="44"/>
  <c r="L13" i="44"/>
  <c r="L22" i="44"/>
  <c r="L30" i="44"/>
  <c r="L38" i="44"/>
  <c r="L46" i="44"/>
  <c r="L68" i="44"/>
  <c r="L14" i="44"/>
  <c r="L23" i="44"/>
  <c r="L31" i="44"/>
  <c r="L39" i="44"/>
  <c r="L47" i="44"/>
  <c r="L62" i="44"/>
  <c r="L19" i="44"/>
  <c r="L36" i="44"/>
  <c r="L52" i="44"/>
  <c r="L43" i="44"/>
  <c r="L48" i="44"/>
  <c r="L15" i="44"/>
  <c r="L42" i="44"/>
  <c r="L27" i="44"/>
  <c r="L41" i="44"/>
  <c r="L69" i="44"/>
  <c r="L51" i="44"/>
  <c r="L59" i="44"/>
  <c r="L18" i="44"/>
  <c r="L33" i="44"/>
  <c r="L35" i="44"/>
  <c r="L60" i="44"/>
  <c r="L61" i="44"/>
  <c r="L25" i="44"/>
  <c r="L10" i="44"/>
  <c r="L50" i="44"/>
  <c r="L49" i="44"/>
  <c r="L16" i="44"/>
  <c r="L34" i="44"/>
  <c r="L40" i="44"/>
  <c r="L70" i="44"/>
  <c r="L26" i="44"/>
  <c r="L32" i="44"/>
  <c r="L17" i="44"/>
  <c r="L24" i="44"/>
  <c r="L83" i="44"/>
  <c r="G78" i="36"/>
  <c r="G77" i="36"/>
  <c r="G76" i="36"/>
  <c r="N37" i="38"/>
  <c r="M682" i="19"/>
  <c r="E325" i="19"/>
  <c r="L80" i="44" l="1"/>
  <c r="M99" i="44"/>
  <c r="L56" i="44"/>
  <c r="L71" i="44"/>
  <c r="L53" i="44"/>
  <c r="L82" i="44"/>
  <c r="L85" i="44" l="1"/>
  <c r="K17" i="38"/>
  <c r="E329" i="19"/>
  <c r="N19" i="47" s="1"/>
  <c r="N17" i="38" l="1"/>
  <c r="E333" i="19"/>
  <c r="N25" i="47" s="1"/>
  <c r="K24" i="38" l="1"/>
  <c r="N24" i="38" s="1"/>
  <c r="H65" i="38" l="1"/>
  <c r="G65" i="38"/>
  <c r="E337" i="19"/>
  <c r="I65" i="38" l="1"/>
  <c r="J65" i="38" s="1"/>
  <c r="H64" i="38"/>
  <c r="G64" i="38"/>
  <c r="I64" i="38" l="1"/>
  <c r="J64" i="38" s="1"/>
  <c r="M309" i="20" l="1"/>
  <c r="M310" i="20"/>
  <c r="M311" i="20"/>
  <c r="F380" i="20" s="1"/>
  <c r="K309" i="20"/>
  <c r="K310" i="20"/>
  <c r="K311" i="20"/>
  <c r="B312" i="20"/>
  <c r="B311" i="20"/>
  <c r="B310" i="20"/>
  <c r="E75" i="36" l="1"/>
  <c r="L86" i="36" s="1"/>
  <c r="N322" i="20"/>
  <c r="E74" i="36"/>
  <c r="L85" i="36" s="1"/>
  <c r="N321" i="20"/>
  <c r="E73" i="36"/>
  <c r="G73" i="36" s="1"/>
  <c r="N320" i="20"/>
  <c r="E341" i="19"/>
  <c r="G75" i="36" l="1"/>
  <c r="G74" i="36"/>
  <c r="L84" i="36"/>
  <c r="K232" i="20"/>
  <c r="K308" i="20"/>
  <c r="K307" i="20"/>
  <c r="M308" i="20"/>
  <c r="G437" i="20" s="1"/>
  <c r="M307" i="20"/>
  <c r="M55" i="38"/>
  <c r="G55" i="38"/>
  <c r="K55" i="38"/>
  <c r="B309" i="20"/>
  <c r="B308" i="20"/>
  <c r="E72" i="36" l="1"/>
  <c r="L83" i="36" s="1"/>
  <c r="N319" i="20"/>
  <c r="E71" i="36"/>
  <c r="L82" i="36" s="1"/>
  <c r="N318" i="20"/>
  <c r="M46" i="33"/>
  <c r="M45" i="33"/>
  <c r="M41" i="33"/>
  <c r="M40" i="33"/>
  <c r="M39" i="33"/>
  <c r="M37" i="33"/>
  <c r="M35" i="33"/>
  <c r="M34" i="33"/>
  <c r="M32" i="33"/>
  <c r="M31" i="33"/>
  <c r="M30" i="33"/>
  <c r="M29" i="33"/>
  <c r="M26" i="33"/>
  <c r="M25" i="33"/>
  <c r="M24" i="33"/>
  <c r="M23" i="33"/>
  <c r="M22" i="33"/>
  <c r="M20" i="33"/>
  <c r="M17" i="33"/>
  <c r="M16" i="33"/>
  <c r="M15" i="33"/>
  <c r="M13" i="33"/>
  <c r="M12" i="33"/>
  <c r="M11" i="33"/>
  <c r="M10" i="33"/>
  <c r="M9" i="33"/>
  <c r="G72" i="36" l="1"/>
  <c r="G71" i="36"/>
  <c r="F56" i="39"/>
  <c r="F60" i="39" s="1"/>
  <c r="F46" i="39"/>
  <c r="F40" i="39"/>
  <c r="F35" i="39" l="1"/>
  <c r="F38" i="39"/>
  <c r="F21" i="39"/>
  <c r="F28" i="39"/>
  <c r="F48" i="39"/>
  <c r="F31" i="39"/>
  <c r="F49" i="39"/>
  <c r="F24" i="39"/>
  <c r="F65" i="39"/>
  <c r="F75" i="39"/>
  <c r="F77" i="39" s="1"/>
  <c r="F87" i="39"/>
  <c r="F80" i="39"/>
  <c r="F82" i="39" s="1"/>
  <c r="F63" i="39"/>
  <c r="O90" i="39"/>
  <c r="F25" i="39" l="1"/>
  <c r="F32" i="39"/>
  <c r="F51" i="39"/>
  <c r="F41" i="39"/>
  <c r="G37" i="39" s="1"/>
  <c r="M81" i="39"/>
  <c r="G59" i="39"/>
  <c r="M73" i="39"/>
  <c r="M76" i="39"/>
  <c r="F70" i="39"/>
  <c r="M5" i="39"/>
  <c r="M87" i="39"/>
  <c r="M17" i="39"/>
  <c r="M80" i="39"/>
  <c r="M14" i="39"/>
  <c r="M85" i="39"/>
  <c r="M75" i="39"/>
  <c r="E857" i="19"/>
  <c r="E821" i="19"/>
  <c r="E813" i="19"/>
  <c r="E801" i="19"/>
  <c r="E797" i="19"/>
  <c r="E789" i="19"/>
  <c r="E766" i="19"/>
  <c r="E758" i="19"/>
  <c r="E754" i="19"/>
  <c r="E742" i="19"/>
  <c r="E730" i="19"/>
  <c r="E710" i="19"/>
  <c r="E709" i="19"/>
  <c r="N37" i="47" s="1"/>
  <c r="E678" i="19"/>
  <c r="E669" i="19"/>
  <c r="E666" i="19"/>
  <c r="E663" i="19"/>
  <c r="E660" i="19"/>
  <c r="E579" i="19"/>
  <c r="E510" i="19"/>
  <c r="N42" i="47" s="1"/>
  <c r="E502" i="19"/>
  <c r="E498" i="19"/>
  <c r="M23" i="39" l="1"/>
  <c r="M69" i="39"/>
  <c r="M36" i="39"/>
  <c r="M45" i="39"/>
  <c r="G73" i="39"/>
  <c r="G45" i="39"/>
  <c r="G81" i="39"/>
  <c r="M59" i="39"/>
  <c r="M58" i="39"/>
  <c r="M29" i="39"/>
  <c r="M30" i="39"/>
  <c r="M24" i="39"/>
  <c r="M22" i="39"/>
  <c r="M57" i="39"/>
  <c r="M56" i="39"/>
  <c r="M55" i="39"/>
  <c r="M66" i="39"/>
  <c r="M21" i="39"/>
  <c r="M44" i="39"/>
  <c r="M28" i="39"/>
  <c r="M64" i="39"/>
  <c r="M65" i="39"/>
  <c r="M7" i="39"/>
  <c r="M9" i="39"/>
  <c r="M49" i="39"/>
  <c r="M70" i="39"/>
  <c r="M40" i="39"/>
  <c r="M38" i="39"/>
  <c r="E849" i="19"/>
  <c r="E853" i="19"/>
  <c r="N47" i="47" s="1"/>
  <c r="M11" i="39" l="1"/>
  <c r="M77" i="39"/>
  <c r="M82" i="39"/>
  <c r="M18" i="39"/>
  <c r="M88" i="39"/>
  <c r="M25" i="39"/>
  <c r="M51" i="39"/>
  <c r="M32" i="39"/>
  <c r="M60" i="39"/>
  <c r="F19" i="32"/>
  <c r="K19" i="32"/>
  <c r="M19" i="32"/>
  <c r="M90" i="39" l="1"/>
  <c r="E349" i="19"/>
  <c r="M300" i="20" l="1"/>
  <c r="M306" i="20"/>
  <c r="K306" i="20"/>
  <c r="E70" i="36" l="1"/>
  <c r="L81" i="36" s="1"/>
  <c r="N317" i="20"/>
  <c r="K54" i="38"/>
  <c r="G60" i="38"/>
  <c r="H60" i="38"/>
  <c r="G61" i="38"/>
  <c r="H61" i="38"/>
  <c r="G62" i="38"/>
  <c r="H62" i="38"/>
  <c r="G63" i="38"/>
  <c r="H63" i="38"/>
  <c r="M78" i="38"/>
  <c r="M80" i="38" s="1"/>
  <c r="G669" i="19"/>
  <c r="N46" i="47" s="1"/>
  <c r="G614" i="19"/>
  <c r="G70" i="36" l="1"/>
  <c r="M43" i="38"/>
  <c r="K34" i="38"/>
  <c r="K28" i="38"/>
  <c r="K52" i="38"/>
  <c r="M52" i="38"/>
  <c r="K43" i="38"/>
  <c r="K39" i="38"/>
  <c r="M39" i="38"/>
  <c r="K30" i="38"/>
  <c r="M30" i="38"/>
  <c r="K26" i="38"/>
  <c r="M26" i="38"/>
  <c r="K21" i="38"/>
  <c r="M21" i="38"/>
  <c r="K16" i="38"/>
  <c r="M16" i="38"/>
  <c r="K13" i="38"/>
  <c r="M13" i="38"/>
  <c r="K9" i="38"/>
  <c r="M9" i="38"/>
  <c r="K51" i="38"/>
  <c r="M51" i="38"/>
  <c r="K42" i="38"/>
  <c r="N42" i="38" s="1"/>
  <c r="M42" i="38"/>
  <c r="K38" i="38"/>
  <c r="N38" i="38" s="1"/>
  <c r="M38" i="38"/>
  <c r="K33" i="38"/>
  <c r="M33" i="38"/>
  <c r="K29" i="38"/>
  <c r="M29" i="38"/>
  <c r="K25" i="38"/>
  <c r="M25" i="38"/>
  <c r="K20" i="38"/>
  <c r="M20" i="38"/>
  <c r="K15" i="38"/>
  <c r="M15" i="38"/>
  <c r="K12" i="38"/>
  <c r="M12" i="38"/>
  <c r="K47" i="38"/>
  <c r="M47" i="38"/>
  <c r="K41" i="38"/>
  <c r="M41" i="38"/>
  <c r="K36" i="38"/>
  <c r="M36" i="38"/>
  <c r="K32" i="38"/>
  <c r="M32" i="38"/>
  <c r="K23" i="38"/>
  <c r="M23" i="38"/>
  <c r="K19" i="38"/>
  <c r="M19" i="38"/>
  <c r="K14" i="38"/>
  <c r="M14" i="38" s="1"/>
  <c r="K11" i="38"/>
  <c r="M11" i="38"/>
  <c r="K53" i="38"/>
  <c r="M53" i="38"/>
  <c r="K40" i="38"/>
  <c r="M40" i="38"/>
  <c r="K35" i="38"/>
  <c r="M35" i="38"/>
  <c r="K31" i="38"/>
  <c r="M31" i="38"/>
  <c r="K27" i="38"/>
  <c r="M27" i="38"/>
  <c r="K22" i="38"/>
  <c r="M22" i="38"/>
  <c r="K18" i="38"/>
  <c r="M18" i="38"/>
  <c r="M10" i="38"/>
  <c r="I61" i="38"/>
  <c r="J61" i="38" s="1"/>
  <c r="I62" i="38"/>
  <c r="J62" i="38" s="1"/>
  <c r="M84" i="38"/>
  <c r="I63" i="38"/>
  <c r="J63" i="38" s="1"/>
  <c r="I60" i="38"/>
  <c r="J60" i="38" s="1"/>
  <c r="E361" i="19"/>
  <c r="E357" i="19"/>
  <c r="E353" i="19"/>
  <c r="N92" i="36" l="1"/>
  <c r="K44" i="38"/>
  <c r="K56" i="38"/>
  <c r="K48" i="38"/>
  <c r="B306" i="20"/>
  <c r="K68" i="38" l="1"/>
  <c r="K73" i="38" s="1"/>
  <c r="M73" i="38" s="1"/>
  <c r="E365" i="19"/>
  <c r="E369" i="19"/>
  <c r="E373" i="19"/>
  <c r="N30" i="47" l="1"/>
  <c r="N28" i="38"/>
  <c r="N54" i="38"/>
  <c r="L37" i="38"/>
  <c r="L24" i="38"/>
  <c r="L17" i="38"/>
  <c r="L55" i="38"/>
  <c r="L54" i="38"/>
  <c r="L56" i="38"/>
  <c r="L36" i="38"/>
  <c r="L41" i="38"/>
  <c r="L42" i="38"/>
  <c r="L25" i="38"/>
  <c r="L51" i="38"/>
  <c r="L39" i="38"/>
  <c r="L52" i="38"/>
  <c r="L33" i="38"/>
  <c r="L38" i="38"/>
  <c r="L29" i="38"/>
  <c r="L53" i="38"/>
  <c r="L28" i="38"/>
  <c r="L43" i="38"/>
  <c r="L32" i="38"/>
  <c r="L15" i="38"/>
  <c r="L47" i="38"/>
  <c r="L35" i="38"/>
  <c r="L48" i="38"/>
  <c r="L44" i="38"/>
  <c r="L68" i="38"/>
  <c r="L12" i="38"/>
  <c r="L21" i="38"/>
  <c r="L23" i="38"/>
  <c r="L20" i="38"/>
  <c r="L34" i="38"/>
  <c r="L19" i="38"/>
  <c r="L18" i="38"/>
  <c r="L27" i="38"/>
  <c r="L26" i="38"/>
  <c r="L22" i="38"/>
  <c r="L16" i="38"/>
  <c r="L11" i="38"/>
  <c r="L14" i="38"/>
  <c r="L30" i="38"/>
  <c r="L13" i="38"/>
  <c r="L10" i="38"/>
  <c r="L9" i="38"/>
  <c r="L70" i="38"/>
  <c r="L31" i="38"/>
  <c r="L40" i="38"/>
  <c r="M305" i="20"/>
  <c r="K305" i="20"/>
  <c r="B305" i="20"/>
  <c r="N316" i="20" l="1"/>
  <c r="E69" i="36"/>
  <c r="L73" i="38"/>
  <c r="M85" i="38"/>
  <c r="E377" i="19"/>
  <c r="L80" i="36" l="1"/>
  <c r="G69" i="36"/>
  <c r="M304" i="20"/>
  <c r="K304" i="20"/>
  <c r="M303" i="20"/>
  <c r="K303" i="20"/>
  <c r="M302" i="20"/>
  <c r="K302" i="20"/>
  <c r="M301" i="20"/>
  <c r="K301" i="20"/>
  <c r="K300" i="20"/>
  <c r="M299" i="20"/>
  <c r="K299" i="20"/>
  <c r="M298" i="20"/>
  <c r="K298" i="20"/>
  <c r="M297" i="20"/>
  <c r="K297" i="20"/>
  <c r="M296" i="20"/>
  <c r="K296" i="20"/>
  <c r="M295" i="20"/>
  <c r="K295" i="20"/>
  <c r="M294" i="20"/>
  <c r="K294" i="20"/>
  <c r="M293" i="20"/>
  <c r="K293" i="20"/>
  <c r="M292" i="20"/>
  <c r="K292" i="20"/>
  <c r="N315" i="20" l="1"/>
  <c r="E68" i="36"/>
  <c r="N314" i="20"/>
  <c r="N312" i="20"/>
  <c r="N313" i="20"/>
  <c r="N310" i="20"/>
  <c r="N309" i="20"/>
  <c r="N311" i="20"/>
  <c r="I389" i="20"/>
  <c r="N303" i="20"/>
  <c r="N305" i="20"/>
  <c r="N307" i="20"/>
  <c r="N304" i="20"/>
  <c r="N306" i="20"/>
  <c r="N308" i="20"/>
  <c r="E381" i="19"/>
  <c r="M35" i="36" l="1"/>
  <c r="M21" i="36"/>
  <c r="G68" i="36"/>
  <c r="L13" i="36" s="1"/>
  <c r="M20" i="36" s="1"/>
  <c r="L79" i="36"/>
  <c r="E385" i="19"/>
  <c r="L41" i="36" l="1"/>
  <c r="M29" i="36"/>
  <c r="N34" i="38"/>
  <c r="K53" i="33" l="1"/>
  <c r="B304" i="20" l="1"/>
  <c r="K9" i="32" l="1"/>
  <c r="K10" i="32"/>
  <c r="K11" i="32"/>
  <c r="K12" i="32"/>
  <c r="K13" i="32"/>
  <c r="K14" i="32"/>
  <c r="K15" i="32"/>
  <c r="K16" i="32"/>
  <c r="K17" i="32"/>
  <c r="K18"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51" i="32"/>
  <c r="K52" i="32"/>
  <c r="K56" i="32"/>
  <c r="K57" i="32" s="1"/>
  <c r="F79" i="33"/>
  <c r="G8" i="39"/>
  <c r="E635" i="19"/>
  <c r="C542" i="19"/>
  <c r="E542" i="19" s="1"/>
  <c r="E393" i="19"/>
  <c r="E651" i="19"/>
  <c r="E401" i="19"/>
  <c r="G1275" i="19"/>
  <c r="E446" i="19"/>
  <c r="N35" i="38"/>
  <c r="E418" i="19"/>
  <c r="E554" i="19"/>
  <c r="E466" i="19"/>
  <c r="E695" i="19"/>
  <c r="N43" i="38"/>
  <c r="E458" i="19"/>
  <c r="E1395" i="19"/>
  <c r="G1395" i="19" s="1"/>
  <c r="E426" i="19"/>
  <c r="E657" i="19"/>
  <c r="E610" i="19"/>
  <c r="E884" i="19"/>
  <c r="E937" i="19"/>
  <c r="H1134" i="19"/>
  <c r="G1024" i="19" s="1"/>
  <c r="H1174" i="19"/>
  <c r="G1042" i="19" s="1"/>
  <c r="G1663" i="19"/>
  <c r="E410" i="19"/>
  <c r="E494" i="19"/>
  <c r="E682" i="19"/>
  <c r="E965" i="19"/>
  <c r="E961" i="19"/>
  <c r="E482" i="19"/>
  <c r="E470" i="19"/>
  <c r="E397" i="19"/>
  <c r="E562" i="19"/>
  <c r="E953" i="19"/>
  <c r="E654" i="19"/>
  <c r="F4" i="20"/>
  <c r="E5" i="20" s="1"/>
  <c r="D14" i="20"/>
  <c r="B15" i="20" s="1"/>
  <c r="D15" i="20"/>
  <c r="B16" i="20" s="1"/>
  <c r="D16" i="20"/>
  <c r="B17" i="20" s="1"/>
  <c r="D17" i="20"/>
  <c r="B18" i="20" s="1"/>
  <c r="D18" i="20"/>
  <c r="B19" i="20" s="1"/>
  <c r="C19" i="20"/>
  <c r="D19" i="20"/>
  <c r="B20" i="20" s="1"/>
  <c r="D20" i="20"/>
  <c r="B21" i="20" s="1"/>
  <c r="D21" i="20"/>
  <c r="B22" i="20" s="1"/>
  <c r="D22" i="20"/>
  <c r="B23" i="20" s="1"/>
  <c r="D23" i="20"/>
  <c r="B24" i="20" s="1"/>
  <c r="D24" i="20"/>
  <c r="B25" i="20" s="1"/>
  <c r="D25" i="20"/>
  <c r="B26" i="20" s="1"/>
  <c r="D26" i="20"/>
  <c r="B27" i="20" s="1"/>
  <c r="D27" i="20"/>
  <c r="B28" i="20" s="1"/>
  <c r="D28" i="20"/>
  <c r="B29" i="20" s="1"/>
  <c r="D29" i="20"/>
  <c r="B30" i="20" s="1"/>
  <c r="D30" i="20"/>
  <c r="B31" i="20" s="1"/>
  <c r="D31" i="20"/>
  <c r="B32" i="20" s="1"/>
  <c r="D32" i="20"/>
  <c r="B33" i="20" s="1"/>
  <c r="D33" i="20"/>
  <c r="B34" i="20" s="1"/>
  <c r="D34" i="20"/>
  <c r="B35" i="20" s="1"/>
  <c r="D35" i="20"/>
  <c r="B36" i="20" s="1"/>
  <c r="D36" i="20"/>
  <c r="B37" i="20" s="1"/>
  <c r="D37" i="20"/>
  <c r="B38" i="20" s="1"/>
  <c r="D38" i="20"/>
  <c r="B39" i="20" s="1"/>
  <c r="D39" i="20"/>
  <c r="B40" i="20" s="1"/>
  <c r="D40" i="20"/>
  <c r="B41" i="20" s="1"/>
  <c r="D41" i="20"/>
  <c r="B42" i="20" s="1"/>
  <c r="D42" i="20"/>
  <c r="B43" i="20" s="1"/>
  <c r="D43" i="20"/>
  <c r="B44" i="20" s="1"/>
  <c r="D44" i="20"/>
  <c r="B45" i="20" s="1"/>
  <c r="D45" i="20"/>
  <c r="B46" i="20" s="1"/>
  <c r="D46" i="20"/>
  <c r="B47" i="20" s="1"/>
  <c r="D47" i="20"/>
  <c r="B48" i="20" s="1"/>
  <c r="D48" i="20"/>
  <c r="B49" i="20" s="1"/>
  <c r="D49" i="20"/>
  <c r="B50" i="20" s="1"/>
  <c r="D50" i="20"/>
  <c r="B51" i="20" s="1"/>
  <c r="D51" i="20"/>
  <c r="B52" i="20" s="1"/>
  <c r="D52" i="20"/>
  <c r="B53" i="20" s="1"/>
  <c r="D53" i="20"/>
  <c r="B54" i="20" s="1"/>
  <c r="D54" i="20"/>
  <c r="B55" i="20" s="1"/>
  <c r="D55" i="20"/>
  <c r="B56" i="20" s="1"/>
  <c r="D56" i="20"/>
  <c r="B57" i="20" s="1"/>
  <c r="D57" i="20"/>
  <c r="B58" i="20" s="1"/>
  <c r="D58" i="20"/>
  <c r="B59" i="20" s="1"/>
  <c r="D59" i="20"/>
  <c r="B60" i="20" s="1"/>
  <c r="C60" i="20"/>
  <c r="D60" i="20"/>
  <c r="B61" i="20" s="1"/>
  <c r="D61" i="20"/>
  <c r="B62" i="20" s="1"/>
  <c r="C62" i="20"/>
  <c r="D62" i="20"/>
  <c r="B63" i="20" s="1"/>
  <c r="D63" i="20"/>
  <c r="B64" i="20" s="1"/>
  <c r="D64" i="20"/>
  <c r="B65" i="20" s="1"/>
  <c r="D65" i="20"/>
  <c r="B66" i="20" s="1"/>
  <c r="D66" i="20"/>
  <c r="B67" i="20" s="1"/>
  <c r="D67" i="20"/>
  <c r="B68" i="20" s="1"/>
  <c r="D68" i="20"/>
  <c r="B69" i="20" s="1"/>
  <c r="D69" i="20"/>
  <c r="B70" i="20" s="1"/>
  <c r="D70" i="20"/>
  <c r="B71" i="20" s="1"/>
  <c r="D71" i="20"/>
  <c r="B72" i="20" s="1"/>
  <c r="D72" i="20"/>
  <c r="B73" i="20" s="1"/>
  <c r="D73" i="20"/>
  <c r="B74" i="20" s="1"/>
  <c r="D74" i="20"/>
  <c r="B75" i="20" s="1"/>
  <c r="D75" i="20"/>
  <c r="B76" i="20" s="1"/>
  <c r="D76" i="20"/>
  <c r="B77" i="20" s="1"/>
  <c r="D77" i="20"/>
  <c r="B78" i="20" s="1"/>
  <c r="D78" i="20"/>
  <c r="B79" i="20" s="1"/>
  <c r="D79" i="20"/>
  <c r="B80" i="20" s="1"/>
  <c r="D80" i="20"/>
  <c r="B81" i="20" s="1"/>
  <c r="D81" i="20"/>
  <c r="B82" i="20" s="1"/>
  <c r="D82" i="20"/>
  <c r="B83" i="20" s="1"/>
  <c r="D83" i="20"/>
  <c r="B84" i="20" s="1"/>
  <c r="D84" i="20"/>
  <c r="B85" i="20" s="1"/>
  <c r="D85" i="20"/>
  <c r="B86" i="20" s="1"/>
  <c r="D86" i="20"/>
  <c r="B87" i="20" s="1"/>
  <c r="D87" i="20"/>
  <c r="B88" i="20" s="1"/>
  <c r="D88" i="20"/>
  <c r="B89" i="20" s="1"/>
  <c r="D89" i="20"/>
  <c r="B90" i="20" s="1"/>
  <c r="D90" i="20"/>
  <c r="B91" i="20" s="1"/>
  <c r="D91" i="20"/>
  <c r="B92" i="20" s="1"/>
  <c r="D92" i="20"/>
  <c r="B93" i="20" s="1"/>
  <c r="D93" i="20"/>
  <c r="B94" i="20" s="1"/>
  <c r="D94" i="20"/>
  <c r="B95" i="20" s="1"/>
  <c r="D95" i="20"/>
  <c r="B96" i="20" s="1"/>
  <c r="D96" i="20"/>
  <c r="B97" i="20" s="1"/>
  <c r="D97" i="20"/>
  <c r="B98" i="20" s="1"/>
  <c r="D98" i="20"/>
  <c r="B99" i="20" s="1"/>
  <c r="D99" i="20"/>
  <c r="B100" i="20" s="1"/>
  <c r="D100" i="20"/>
  <c r="B101" i="20" s="1"/>
  <c r="D101" i="20"/>
  <c r="B102" i="20" s="1"/>
  <c r="D102" i="20"/>
  <c r="B103" i="20" s="1"/>
  <c r="D103" i="20"/>
  <c r="B104" i="20" s="1"/>
  <c r="D104" i="20"/>
  <c r="B105" i="20" s="1"/>
  <c r="D105" i="20"/>
  <c r="B106" i="20" s="1"/>
  <c r="D106" i="20"/>
  <c r="B107" i="20" s="1"/>
  <c r="D108" i="20"/>
  <c r="B109" i="20" s="1"/>
  <c r="D109" i="20"/>
  <c r="B110" i="20" s="1"/>
  <c r="D110" i="20"/>
  <c r="B111" i="20" s="1"/>
  <c r="D111" i="20"/>
  <c r="B112" i="20" s="1"/>
  <c r="D112" i="20"/>
  <c r="B113" i="20" s="1"/>
  <c r="D113" i="20"/>
  <c r="B114" i="20" s="1"/>
  <c r="D114" i="20"/>
  <c r="B115" i="20" s="1"/>
  <c r="D115" i="20"/>
  <c r="B116" i="20" s="1"/>
  <c r="D116" i="20"/>
  <c r="B117" i="20" s="1"/>
  <c r="D117" i="20"/>
  <c r="B118" i="20" s="1"/>
  <c r="D118" i="20"/>
  <c r="B119" i="20" s="1"/>
  <c r="D119" i="20"/>
  <c r="B120" i="20" s="1"/>
  <c r="D120" i="20"/>
  <c r="B121" i="20" s="1"/>
  <c r="D121" i="20"/>
  <c r="D141" i="20"/>
  <c r="B142" i="20" s="1"/>
  <c r="D142" i="20"/>
  <c r="B143" i="20" s="1"/>
  <c r="D144" i="20"/>
  <c r="B145" i="20" s="1"/>
  <c r="D145" i="20"/>
  <c r="B146" i="20" s="1"/>
  <c r="D146" i="20"/>
  <c r="B147" i="20" s="1"/>
  <c r="D147" i="20"/>
  <c r="B148" i="20" s="1"/>
  <c r="B303" i="20"/>
  <c r="K9" i="33"/>
  <c r="K10" i="33"/>
  <c r="K11" i="33"/>
  <c r="K12" i="33"/>
  <c r="K13" i="33"/>
  <c r="K14" i="33"/>
  <c r="K15" i="33"/>
  <c r="K16" i="33"/>
  <c r="K17" i="33"/>
  <c r="K18" i="33"/>
  <c r="K19" i="33"/>
  <c r="K20" i="33"/>
  <c r="K21" i="33"/>
  <c r="K22" i="33"/>
  <c r="K23" i="33"/>
  <c r="K24" i="33"/>
  <c r="K25" i="33"/>
  <c r="K26" i="33"/>
  <c r="K27" i="33"/>
  <c r="K28" i="33"/>
  <c r="K29" i="33"/>
  <c r="K30" i="33"/>
  <c r="K31" i="33"/>
  <c r="K32" i="33"/>
  <c r="K33" i="33"/>
  <c r="K34" i="33"/>
  <c r="K35" i="33"/>
  <c r="K36" i="33"/>
  <c r="K37" i="33"/>
  <c r="K38" i="33"/>
  <c r="K39" i="33"/>
  <c r="K40" i="33"/>
  <c r="K41" i="33"/>
  <c r="K45" i="33"/>
  <c r="K46" i="33"/>
  <c r="K50" i="33"/>
  <c r="K51" i="33"/>
  <c r="K52" i="33"/>
  <c r="E626" i="19"/>
  <c r="E921" i="19"/>
  <c r="E405" i="19"/>
  <c r="G353" i="19" s="1"/>
  <c r="E897" i="19"/>
  <c r="G793" i="19" s="1"/>
  <c r="F16" i="33"/>
  <c r="F17" i="33"/>
  <c r="F41" i="33"/>
  <c r="G69" i="33"/>
  <c r="F25" i="33"/>
  <c r="F39" i="33"/>
  <c r="G67" i="33"/>
  <c r="H67" i="33"/>
  <c r="F32" i="33"/>
  <c r="F22" i="33"/>
  <c r="F15" i="33"/>
  <c r="F10" i="33"/>
  <c r="F75" i="33"/>
  <c r="H75" i="33" s="1"/>
  <c r="I75" i="33" s="1"/>
  <c r="J75" i="33" s="1"/>
  <c r="E406" i="19"/>
  <c r="B302" i="20"/>
  <c r="H74" i="33"/>
  <c r="G74" i="33"/>
  <c r="E414" i="19"/>
  <c r="G68" i="33"/>
  <c r="H68" i="33"/>
  <c r="F34" i="33"/>
  <c r="F23" i="33"/>
  <c r="F35" i="33"/>
  <c r="G73" i="33"/>
  <c r="F26" i="33"/>
  <c r="H73" i="33"/>
  <c r="E422" i="19"/>
  <c r="G71" i="33"/>
  <c r="H71" i="33"/>
  <c r="G72" i="33"/>
  <c r="H72" i="33"/>
  <c r="F31" i="33"/>
  <c r="F30" i="33"/>
  <c r="F9" i="33"/>
  <c r="E434" i="19"/>
  <c r="E430" i="19"/>
  <c r="G70" i="33"/>
  <c r="H70" i="33"/>
  <c r="G64" i="33"/>
  <c r="H64" i="33"/>
  <c r="E438" i="19"/>
  <c r="F45" i="33"/>
  <c r="F46" i="33"/>
  <c r="G63" i="33"/>
  <c r="H63" i="33"/>
  <c r="F24" i="33"/>
  <c r="G61" i="33"/>
  <c r="H61" i="33"/>
  <c r="F12" i="33"/>
  <c r="E526" i="19"/>
  <c r="G62" i="33"/>
  <c r="H62" i="33"/>
  <c r="G66" i="33"/>
  <c r="H66" i="33"/>
  <c r="F13" i="33"/>
  <c r="F20" i="33"/>
  <c r="F40" i="33"/>
  <c r="F29" i="33"/>
  <c r="G65" i="33"/>
  <c r="H65" i="33"/>
  <c r="F37" i="33"/>
  <c r="G60" i="33"/>
  <c r="H60" i="33"/>
  <c r="F11" i="33"/>
  <c r="E1086" i="19"/>
  <c r="E672" i="19"/>
  <c r="M87" i="33"/>
  <c r="M89" i="33" s="1"/>
  <c r="M93" i="33" s="1"/>
  <c r="H69" i="33"/>
  <c r="E450" i="19"/>
  <c r="E442" i="19"/>
  <c r="E454" i="19"/>
  <c r="B301" i="20"/>
  <c r="E462" i="19"/>
  <c r="E474" i="19"/>
  <c r="E478" i="19"/>
  <c r="E486" i="19"/>
  <c r="G1134" i="19"/>
  <c r="H793" i="19"/>
  <c r="E490" i="19"/>
  <c r="B300" i="20"/>
  <c r="E506" i="19"/>
  <c r="B299" i="20"/>
  <c r="B298" i="20"/>
  <c r="B297" i="20"/>
  <c r="B296" i="20"/>
  <c r="E514" i="19"/>
  <c r="J9" i="36"/>
  <c r="J10" i="36"/>
  <c r="J11" i="36"/>
  <c r="J12" i="36"/>
  <c r="J13" i="36"/>
  <c r="R57" i="36"/>
  <c r="P68" i="36" s="1"/>
  <c r="P57" i="36"/>
  <c r="N68" i="36" s="1"/>
  <c r="N57" i="36"/>
  <c r="L68" i="36" s="1"/>
  <c r="E518" i="19"/>
  <c r="B294" i="20"/>
  <c r="G59" i="33"/>
  <c r="H59" i="33"/>
  <c r="E522" i="19"/>
  <c r="H58" i="33"/>
  <c r="G58" i="33"/>
  <c r="B293" i="20"/>
  <c r="B292" i="20"/>
  <c r="B67" i="36"/>
  <c r="K290" i="20"/>
  <c r="K291" i="20"/>
  <c r="K279" i="20"/>
  <c r="K280" i="20"/>
  <c r="K281" i="20"/>
  <c r="K282" i="20"/>
  <c r="K283" i="20"/>
  <c r="K284" i="20"/>
  <c r="K285" i="20"/>
  <c r="K286" i="20"/>
  <c r="K287" i="20"/>
  <c r="K288" i="20"/>
  <c r="K289" i="20"/>
  <c r="E546" i="19"/>
  <c r="M279" i="20"/>
  <c r="H65" i="32"/>
  <c r="N22" i="32"/>
  <c r="E530" i="19"/>
  <c r="G65" i="32" s="1"/>
  <c r="E534" i="19"/>
  <c r="E538" i="19"/>
  <c r="E583" i="19"/>
  <c r="H63" i="32"/>
  <c r="E63" i="32"/>
  <c r="G63" i="32" s="1"/>
  <c r="M77" i="32"/>
  <c r="M79" i="32" s="1"/>
  <c r="M83" i="32" s="1"/>
  <c r="G64" i="32"/>
  <c r="G62" i="32"/>
  <c r="G61" i="32"/>
  <c r="M291" i="20"/>
  <c r="N302" i="20" s="1"/>
  <c r="M290" i="20"/>
  <c r="B290" i="20"/>
  <c r="B291" i="20"/>
  <c r="M25" i="32"/>
  <c r="H64" i="32"/>
  <c r="N27" i="32"/>
  <c r="F72" i="32"/>
  <c r="H62" i="32"/>
  <c r="H61" i="32"/>
  <c r="F56" i="32"/>
  <c r="F52" i="32"/>
  <c r="F51" i="32"/>
  <c r="F47" i="32"/>
  <c r="F46" i="32"/>
  <c r="F45" i="32"/>
  <c r="F44" i="32"/>
  <c r="F43" i="32"/>
  <c r="F40" i="32"/>
  <c r="F39" i="32"/>
  <c r="M38" i="32"/>
  <c r="F38" i="32"/>
  <c r="F37" i="32"/>
  <c r="F36" i="32"/>
  <c r="F35" i="32"/>
  <c r="F34" i="32"/>
  <c r="F33" i="32"/>
  <c r="N32" i="32"/>
  <c r="F32" i="32"/>
  <c r="N31" i="32"/>
  <c r="F31" i="32"/>
  <c r="M30" i="32"/>
  <c r="F30" i="32"/>
  <c r="F29" i="32"/>
  <c r="N28" i="32"/>
  <c r="F28" i="32"/>
  <c r="F25" i="32"/>
  <c r="F24" i="32"/>
  <c r="F23" i="32"/>
  <c r="F20" i="32"/>
  <c r="F18" i="32"/>
  <c r="N17" i="32"/>
  <c r="F17" i="32"/>
  <c r="N16" i="32"/>
  <c r="F16" i="32"/>
  <c r="F15" i="32"/>
  <c r="F13" i="32"/>
  <c r="M12" i="32"/>
  <c r="F12" i="32"/>
  <c r="F11" i="32"/>
  <c r="N10" i="32"/>
  <c r="F10" i="32"/>
  <c r="N9" i="32"/>
  <c r="F9" i="32"/>
  <c r="M11" i="32"/>
  <c r="N11" i="32"/>
  <c r="N29" i="32"/>
  <c r="M29" i="32"/>
  <c r="M9" i="32"/>
  <c r="M15" i="32"/>
  <c r="N14" i="32"/>
  <c r="N26" i="32"/>
  <c r="M10" i="32"/>
  <c r="M28" i="32"/>
  <c r="M32" i="32"/>
  <c r="N30" i="32"/>
  <c r="N12" i="32"/>
  <c r="M16" i="32"/>
  <c r="N35" i="32"/>
  <c r="M35" i="32"/>
  <c r="M36" i="32"/>
  <c r="N36" i="32"/>
  <c r="N42" i="32"/>
  <c r="N23" i="32"/>
  <c r="M23" i="32"/>
  <c r="M17" i="32"/>
  <c r="N52" i="32"/>
  <c r="M52" i="32"/>
  <c r="N20" i="32"/>
  <c r="M20" i="32"/>
  <c r="M47" i="32"/>
  <c r="N13" i="32"/>
  <c r="M13" i="32"/>
  <c r="N21" i="32"/>
  <c r="N24" i="32"/>
  <c r="M24" i="32"/>
  <c r="N34" i="32"/>
  <c r="M34" i="32"/>
  <c r="N40" i="32"/>
  <c r="M40" i="32"/>
  <c r="N46" i="32"/>
  <c r="M46" i="32"/>
  <c r="N38" i="32"/>
  <c r="N44" i="32"/>
  <c r="M44" i="32"/>
  <c r="N18" i="32"/>
  <c r="M18" i="32"/>
  <c r="N39" i="32"/>
  <c r="M39" i="32"/>
  <c r="N45" i="32"/>
  <c r="M45" i="32"/>
  <c r="N33" i="32"/>
  <c r="M33" i="32"/>
  <c r="N56" i="32"/>
  <c r="M56" i="32"/>
  <c r="N25" i="32"/>
  <c r="M31" i="32"/>
  <c r="M37" i="32"/>
  <c r="N37" i="32"/>
  <c r="M43" i="32"/>
  <c r="N51" i="32"/>
  <c r="M51" i="32"/>
  <c r="M289" i="20"/>
  <c r="B289" i="20"/>
  <c r="M288" i="20"/>
  <c r="M287" i="20"/>
  <c r="F383" i="20" s="1"/>
  <c r="M284" i="20"/>
  <c r="M285" i="20"/>
  <c r="M286" i="20"/>
  <c r="B286" i="20"/>
  <c r="B285" i="20"/>
  <c r="B284" i="20"/>
  <c r="M283" i="20"/>
  <c r="M282" i="20"/>
  <c r="C550" i="19"/>
  <c r="E558" i="19"/>
  <c r="E567" i="19"/>
  <c r="E571" i="19"/>
  <c r="E575" i="19"/>
  <c r="M281" i="20"/>
  <c r="M280" i="20"/>
  <c r="H279" i="20"/>
  <c r="M278" i="20"/>
  <c r="M277" i="20"/>
  <c r="M276" i="20"/>
  <c r="M275" i="20"/>
  <c r="K275" i="20"/>
  <c r="M274" i="20"/>
  <c r="K274" i="20"/>
  <c r="M273" i="20"/>
  <c r="K273" i="20"/>
  <c r="M272" i="20"/>
  <c r="K272" i="20"/>
  <c r="M271" i="20"/>
  <c r="K271" i="20"/>
  <c r="M270" i="20"/>
  <c r="K270" i="20"/>
  <c r="M269" i="20"/>
  <c r="K269" i="20"/>
  <c r="M268" i="20"/>
  <c r="K268" i="20"/>
  <c r="M267" i="20"/>
  <c r="K267" i="20"/>
  <c r="M266" i="20"/>
  <c r="K266" i="20"/>
  <c r="M265" i="20"/>
  <c r="K265" i="20"/>
  <c r="M264" i="20"/>
  <c r="K264" i="20"/>
  <c r="M263" i="20"/>
  <c r="K263" i="20"/>
  <c r="M262" i="20"/>
  <c r="K262" i="20"/>
  <c r="M261" i="20"/>
  <c r="K261" i="20"/>
  <c r="M260" i="20"/>
  <c r="K260" i="20"/>
  <c r="M259" i="20"/>
  <c r="K259" i="20"/>
  <c r="M258" i="20"/>
  <c r="K258" i="20"/>
  <c r="M257" i="20"/>
  <c r="K257" i="20"/>
  <c r="M256" i="20"/>
  <c r="K256" i="20"/>
  <c r="M255" i="20"/>
  <c r="K255" i="20"/>
  <c r="M254" i="20"/>
  <c r="K254" i="20"/>
  <c r="M253" i="20"/>
  <c r="K253" i="20"/>
  <c r="M252" i="20"/>
  <c r="K252" i="20"/>
  <c r="M251" i="20"/>
  <c r="K251" i="20"/>
  <c r="M250" i="20"/>
  <c r="K250" i="20"/>
  <c r="M249" i="20"/>
  <c r="K249" i="20"/>
  <c r="M248" i="20"/>
  <c r="K248" i="20"/>
  <c r="M247" i="20"/>
  <c r="K247" i="20"/>
  <c r="M246" i="20"/>
  <c r="K246" i="20"/>
  <c r="M245" i="20"/>
  <c r="K245" i="20"/>
  <c r="M244" i="20"/>
  <c r="K244" i="20"/>
  <c r="M243" i="20"/>
  <c r="K243" i="20"/>
  <c r="M242" i="20"/>
  <c r="K242" i="20"/>
  <c r="M241" i="20"/>
  <c r="K241" i="20"/>
  <c r="M240" i="20"/>
  <c r="K240" i="20"/>
  <c r="M239" i="20"/>
  <c r="K239" i="20"/>
  <c r="M238" i="20"/>
  <c r="K238" i="20"/>
  <c r="M237" i="20"/>
  <c r="K237" i="20"/>
  <c r="M236" i="20"/>
  <c r="K236" i="20"/>
  <c r="M235" i="20"/>
  <c r="K235" i="20"/>
  <c r="M234" i="20"/>
  <c r="K234" i="20"/>
  <c r="M233" i="20"/>
  <c r="K233" i="20"/>
  <c r="M232" i="20"/>
  <c r="M231" i="20"/>
  <c r="K231" i="20"/>
  <c r="M230" i="20"/>
  <c r="K230" i="20"/>
  <c r="M229" i="20"/>
  <c r="K229" i="20"/>
  <c r="M228" i="20"/>
  <c r="K228" i="20"/>
  <c r="M227" i="20"/>
  <c r="K227" i="20"/>
  <c r="M226" i="20"/>
  <c r="K226" i="20"/>
  <c r="M225" i="20"/>
  <c r="K225" i="20"/>
  <c r="M224" i="20"/>
  <c r="K224" i="20"/>
  <c r="M223" i="20"/>
  <c r="K223" i="20"/>
  <c r="M222" i="20"/>
  <c r="K222" i="20"/>
  <c r="M221" i="20"/>
  <c r="K221" i="20"/>
  <c r="M220" i="20"/>
  <c r="K220" i="20"/>
  <c r="M219" i="20"/>
  <c r="K219" i="20"/>
  <c r="M218" i="20"/>
  <c r="K218" i="20"/>
  <c r="M217" i="20"/>
  <c r="K217" i="20"/>
  <c r="M216" i="20"/>
  <c r="K216" i="20"/>
  <c r="M215" i="20"/>
  <c r="K215" i="20"/>
  <c r="M214" i="20"/>
  <c r="K214" i="20"/>
  <c r="M213" i="20"/>
  <c r="K213" i="20"/>
  <c r="M212" i="20"/>
  <c r="K212" i="20"/>
  <c r="M211" i="20"/>
  <c r="K211" i="20"/>
  <c r="M210" i="20"/>
  <c r="K210" i="20"/>
  <c r="M209" i="20"/>
  <c r="K209" i="20"/>
  <c r="M208" i="20"/>
  <c r="K208" i="20"/>
  <c r="M207" i="20"/>
  <c r="K207" i="20"/>
  <c r="M206" i="20"/>
  <c r="K206" i="20"/>
  <c r="M205" i="20"/>
  <c r="K205" i="20"/>
  <c r="M204" i="20"/>
  <c r="K204" i="20"/>
  <c r="M203" i="20"/>
  <c r="K203" i="20"/>
  <c r="B203" i="20"/>
  <c r="M202" i="20"/>
  <c r="K202" i="20"/>
  <c r="B202" i="20"/>
  <c r="M201" i="20"/>
  <c r="K201" i="20"/>
  <c r="M200" i="20"/>
  <c r="K200" i="20"/>
  <c r="M199" i="20"/>
  <c r="K199" i="20"/>
  <c r="M198" i="20"/>
  <c r="K198" i="20"/>
  <c r="M197" i="20"/>
  <c r="K197" i="20"/>
  <c r="M196" i="20"/>
  <c r="K196" i="20"/>
  <c r="M195" i="20"/>
  <c r="K195" i="20"/>
  <c r="M194" i="20"/>
  <c r="K194" i="20"/>
  <c r="M193" i="20"/>
  <c r="K193" i="20"/>
  <c r="M192" i="20"/>
  <c r="K192" i="20"/>
  <c r="M191" i="20"/>
  <c r="K191" i="20"/>
  <c r="M190" i="20"/>
  <c r="K190" i="20"/>
  <c r="M189" i="20"/>
  <c r="K189" i="20"/>
  <c r="M188" i="20"/>
  <c r="K188" i="20"/>
  <c r="M187" i="20"/>
  <c r="K187" i="20"/>
  <c r="B187" i="20"/>
  <c r="M186" i="20"/>
  <c r="K186" i="20"/>
  <c r="B186" i="20"/>
  <c r="M185" i="20"/>
  <c r="K185" i="20"/>
  <c r="B185" i="20"/>
  <c r="M184" i="20"/>
  <c r="K184" i="20"/>
  <c r="B184" i="20"/>
  <c r="M183" i="20"/>
  <c r="K183" i="20"/>
  <c r="M182" i="20"/>
  <c r="K182" i="20"/>
  <c r="M181" i="20"/>
  <c r="K181" i="20"/>
  <c r="M180" i="20"/>
  <c r="K180" i="20"/>
  <c r="M179" i="20"/>
  <c r="K179" i="20"/>
  <c r="M178" i="20"/>
  <c r="K178" i="20"/>
  <c r="M177" i="20"/>
  <c r="K177" i="20"/>
  <c r="M176" i="20"/>
  <c r="K176" i="20"/>
  <c r="M175" i="20"/>
  <c r="K175" i="20"/>
  <c r="M174" i="20"/>
  <c r="K174" i="20"/>
  <c r="M173" i="20"/>
  <c r="K173" i="20"/>
  <c r="M172" i="20"/>
  <c r="K172" i="20"/>
  <c r="M171" i="20"/>
  <c r="K171" i="20"/>
  <c r="B171" i="20"/>
  <c r="M170" i="20"/>
  <c r="K170" i="20"/>
  <c r="B170" i="20"/>
  <c r="M169" i="20"/>
  <c r="K169" i="20"/>
  <c r="B169" i="20"/>
  <c r="M168" i="20"/>
  <c r="K168" i="20"/>
  <c r="B168" i="20"/>
  <c r="M167" i="20"/>
  <c r="K167" i="20"/>
  <c r="B167" i="20"/>
  <c r="M166" i="20"/>
  <c r="K166" i="20"/>
  <c r="B166" i="20"/>
  <c r="M165" i="20"/>
  <c r="K165" i="20"/>
  <c r="B165" i="20"/>
  <c r="M164" i="20"/>
  <c r="K164" i="20"/>
  <c r="B164" i="20"/>
  <c r="M163" i="20"/>
  <c r="K163" i="20"/>
  <c r="B163" i="20"/>
  <c r="M162" i="20"/>
  <c r="K162" i="20"/>
  <c r="B162" i="20"/>
  <c r="M161" i="20"/>
  <c r="K161" i="20"/>
  <c r="B161" i="20"/>
  <c r="M160" i="20"/>
  <c r="K160" i="20"/>
  <c r="B160" i="20"/>
  <c r="M159" i="20"/>
  <c r="K159" i="20"/>
  <c r="B159" i="20"/>
  <c r="M158" i="20"/>
  <c r="K158" i="20"/>
  <c r="B158" i="20"/>
  <c r="M157" i="20"/>
  <c r="K157" i="20"/>
  <c r="B157" i="20"/>
  <c r="M156" i="20"/>
  <c r="K156" i="20"/>
  <c r="B156" i="20"/>
  <c r="M155" i="20"/>
  <c r="K155" i="20"/>
  <c r="B155" i="20"/>
  <c r="M154" i="20"/>
  <c r="K154" i="20"/>
  <c r="B154" i="20"/>
  <c r="M153" i="20"/>
  <c r="K153" i="20"/>
  <c r="B153" i="20"/>
  <c r="M152" i="20"/>
  <c r="B152" i="20"/>
  <c r="M151" i="20"/>
  <c r="B151" i="20"/>
  <c r="M150" i="20"/>
  <c r="B150" i="20"/>
  <c r="M149" i="20"/>
  <c r="B149" i="20"/>
  <c r="M148" i="20"/>
  <c r="M147" i="20"/>
  <c r="M146" i="20"/>
  <c r="M145" i="20"/>
  <c r="M144" i="20"/>
  <c r="B144" i="20"/>
  <c r="M143" i="20"/>
  <c r="M142" i="20"/>
  <c r="J141" i="20"/>
  <c r="B141" i="20"/>
  <c r="M140" i="20"/>
  <c r="K140" i="20"/>
  <c r="B140" i="20"/>
  <c r="M139" i="20"/>
  <c r="K139" i="20"/>
  <c r="B139" i="20"/>
  <c r="M138" i="20"/>
  <c r="K138" i="20"/>
  <c r="B138" i="20"/>
  <c r="M137" i="20"/>
  <c r="K137" i="20"/>
  <c r="B137" i="20"/>
  <c r="M136" i="20"/>
  <c r="K136" i="20"/>
  <c r="B136" i="20"/>
  <c r="M135" i="20"/>
  <c r="K135" i="20"/>
  <c r="N406" i="20" s="1"/>
  <c r="M134" i="20"/>
  <c r="K134" i="20"/>
  <c r="M133" i="20"/>
  <c r="K133" i="20"/>
  <c r="B133" i="20"/>
  <c r="M132" i="20"/>
  <c r="K132" i="20"/>
  <c r="M131" i="20"/>
  <c r="K131" i="20"/>
  <c r="M130" i="20"/>
  <c r="K130" i="20"/>
  <c r="M129" i="20"/>
  <c r="K129" i="20"/>
  <c r="M128" i="20"/>
  <c r="K128" i="20"/>
  <c r="M127" i="20"/>
  <c r="K127" i="20"/>
  <c r="M126" i="20"/>
  <c r="K126" i="20"/>
  <c r="M125" i="20"/>
  <c r="K125" i="20"/>
  <c r="M124" i="20"/>
  <c r="K124" i="20"/>
  <c r="M123" i="20"/>
  <c r="K123" i="20"/>
  <c r="N405" i="20" s="1"/>
  <c r="B123" i="20"/>
  <c r="M122" i="20"/>
  <c r="K122" i="20"/>
  <c r="B122" i="20"/>
  <c r="M121" i="20"/>
  <c r="K121" i="20"/>
  <c r="M120" i="20"/>
  <c r="K120" i="20"/>
  <c r="M119" i="20"/>
  <c r="K119" i="20"/>
  <c r="M118" i="20"/>
  <c r="K118" i="20"/>
  <c r="M117" i="20"/>
  <c r="K117" i="20"/>
  <c r="M116" i="20"/>
  <c r="K116" i="20"/>
  <c r="M115" i="20"/>
  <c r="K115" i="20"/>
  <c r="M114" i="20"/>
  <c r="K114" i="20"/>
  <c r="M113" i="20"/>
  <c r="K113" i="20"/>
  <c r="M112" i="20"/>
  <c r="K112" i="20"/>
  <c r="M111" i="20"/>
  <c r="K111" i="20"/>
  <c r="N404" i="20" s="1"/>
  <c r="M110" i="20"/>
  <c r="K110" i="20"/>
  <c r="M109" i="20"/>
  <c r="K109" i="20"/>
  <c r="M108" i="20"/>
  <c r="K108" i="20"/>
  <c r="M107" i="20"/>
  <c r="K107" i="20"/>
  <c r="M106" i="20"/>
  <c r="K106" i="20"/>
  <c r="M105" i="20"/>
  <c r="K105" i="20"/>
  <c r="M104" i="20"/>
  <c r="K104" i="20"/>
  <c r="M103" i="20"/>
  <c r="K103" i="20"/>
  <c r="M102" i="20"/>
  <c r="K102" i="20"/>
  <c r="M101" i="20"/>
  <c r="K101" i="20"/>
  <c r="M100" i="20"/>
  <c r="K100" i="20"/>
  <c r="M99" i="20"/>
  <c r="K99" i="20"/>
  <c r="N403" i="20" s="1"/>
  <c r="M98" i="20"/>
  <c r="K98" i="20"/>
  <c r="M97" i="20"/>
  <c r="K97" i="20"/>
  <c r="M96" i="20"/>
  <c r="K96" i="20"/>
  <c r="M95" i="20"/>
  <c r="K95" i="20"/>
  <c r="M94" i="20"/>
  <c r="K94" i="20"/>
  <c r="M93" i="20"/>
  <c r="K93" i="20"/>
  <c r="M92" i="20"/>
  <c r="K92" i="20"/>
  <c r="M91" i="20"/>
  <c r="K91" i="20"/>
  <c r="M90" i="20"/>
  <c r="K90" i="20"/>
  <c r="M89" i="20"/>
  <c r="K89" i="20"/>
  <c r="M88" i="20"/>
  <c r="K88" i="20"/>
  <c r="M87" i="20"/>
  <c r="K87" i="20"/>
  <c r="N402" i="20" s="1"/>
  <c r="M86" i="20"/>
  <c r="K86" i="20"/>
  <c r="M85" i="20"/>
  <c r="K85" i="20"/>
  <c r="M84" i="20"/>
  <c r="K84" i="20"/>
  <c r="M83" i="20"/>
  <c r="K83" i="20"/>
  <c r="M82" i="20"/>
  <c r="K82" i="20"/>
  <c r="M81" i="20"/>
  <c r="K81" i="20"/>
  <c r="M80" i="20"/>
  <c r="K80" i="20"/>
  <c r="M79" i="20"/>
  <c r="K79" i="20"/>
  <c r="M78" i="20"/>
  <c r="K78" i="20"/>
  <c r="M77" i="20"/>
  <c r="K77" i="20"/>
  <c r="M76" i="20"/>
  <c r="K76" i="20"/>
  <c r="M75" i="20"/>
  <c r="K75" i="20"/>
  <c r="N401" i="20" s="1"/>
  <c r="M74" i="20"/>
  <c r="K74" i="20"/>
  <c r="M73" i="20"/>
  <c r="K73" i="20"/>
  <c r="M72" i="20"/>
  <c r="K72" i="20"/>
  <c r="M71" i="20"/>
  <c r="K71" i="20"/>
  <c r="M70" i="20"/>
  <c r="K70" i="20"/>
  <c r="M69" i="20"/>
  <c r="K69" i="20"/>
  <c r="M68" i="20"/>
  <c r="K68" i="20"/>
  <c r="M67" i="20"/>
  <c r="K67" i="20"/>
  <c r="M66" i="20"/>
  <c r="K66" i="20"/>
  <c r="M65" i="20"/>
  <c r="K65" i="20"/>
  <c r="M64" i="20"/>
  <c r="K64" i="20"/>
  <c r="M63" i="20"/>
  <c r="K63" i="20"/>
  <c r="N400" i="20" s="1"/>
  <c r="M62" i="20"/>
  <c r="K62" i="20"/>
  <c r="M61" i="20"/>
  <c r="K61" i="20"/>
  <c r="M60" i="20"/>
  <c r="K60" i="20"/>
  <c r="M59" i="20"/>
  <c r="K59" i="20"/>
  <c r="M58" i="20"/>
  <c r="K58" i="20"/>
  <c r="M57" i="20"/>
  <c r="K57" i="20"/>
  <c r="M56" i="20"/>
  <c r="K56" i="20"/>
  <c r="M55" i="20"/>
  <c r="K55" i="20"/>
  <c r="M54" i="20"/>
  <c r="K54" i="20"/>
  <c r="M53" i="20"/>
  <c r="K53" i="20"/>
  <c r="M52" i="20"/>
  <c r="K52" i="20"/>
  <c r="M51" i="20"/>
  <c r="K51" i="20"/>
  <c r="N399" i="20" s="1"/>
  <c r="M50" i="20"/>
  <c r="K50" i="20"/>
  <c r="M49" i="20"/>
  <c r="K49" i="20"/>
  <c r="M48" i="20"/>
  <c r="K48" i="20"/>
  <c r="M47" i="20"/>
  <c r="K47" i="20"/>
  <c r="M46" i="20"/>
  <c r="K46" i="20"/>
  <c r="M45" i="20"/>
  <c r="K45" i="20"/>
  <c r="M44" i="20"/>
  <c r="K44" i="20"/>
  <c r="M43" i="20"/>
  <c r="K43" i="20"/>
  <c r="M42" i="20"/>
  <c r="K42" i="20"/>
  <c r="M41" i="20"/>
  <c r="K41" i="20"/>
  <c r="M40" i="20"/>
  <c r="K40" i="20"/>
  <c r="M39" i="20"/>
  <c r="K39" i="20"/>
  <c r="N398" i="20" s="1"/>
  <c r="M38" i="20"/>
  <c r="K38" i="20"/>
  <c r="M37" i="20"/>
  <c r="K37" i="20"/>
  <c r="M36" i="20"/>
  <c r="K36" i="20"/>
  <c r="M35" i="20"/>
  <c r="K35" i="20"/>
  <c r="M34" i="20"/>
  <c r="K34" i="20"/>
  <c r="M33" i="20"/>
  <c r="K33" i="20"/>
  <c r="M32" i="20"/>
  <c r="K32" i="20"/>
  <c r="M31" i="20"/>
  <c r="K31" i="20"/>
  <c r="M30" i="20"/>
  <c r="K30" i="20"/>
  <c r="M29" i="20"/>
  <c r="K29" i="20"/>
  <c r="M28" i="20"/>
  <c r="K28" i="20"/>
  <c r="M27" i="20"/>
  <c r="K27" i="20"/>
  <c r="N397" i="20" s="1"/>
  <c r="M26" i="20"/>
  <c r="K26" i="20"/>
  <c r="M25" i="20"/>
  <c r="K25" i="20"/>
  <c r="M24" i="20"/>
  <c r="K24" i="20"/>
  <c r="M23" i="20"/>
  <c r="K23" i="20"/>
  <c r="M22" i="20"/>
  <c r="K22" i="20"/>
  <c r="M21" i="20"/>
  <c r="K21" i="20"/>
  <c r="M20" i="20"/>
  <c r="K20" i="20"/>
  <c r="M19" i="20"/>
  <c r="K19" i="20"/>
  <c r="M18" i="20"/>
  <c r="K18" i="20"/>
  <c r="M17" i="20"/>
  <c r="K17" i="20"/>
  <c r="M16" i="20"/>
  <c r="K16" i="20"/>
  <c r="M15" i="20"/>
  <c r="K15" i="20"/>
  <c r="M14" i="20"/>
  <c r="B14" i="20"/>
  <c r="M13" i="20"/>
  <c r="B13" i="20"/>
  <c r="M12" i="20"/>
  <c r="B12" i="20"/>
  <c r="M11" i="20"/>
  <c r="B11" i="20"/>
  <c r="M10" i="20"/>
  <c r="B10" i="20"/>
  <c r="M9" i="20"/>
  <c r="B9" i="20"/>
  <c r="M8" i="20"/>
  <c r="M7" i="20"/>
  <c r="B7" i="20"/>
  <c r="M6" i="20"/>
  <c r="P6" i="20" s="1"/>
  <c r="B6" i="20"/>
  <c r="M5" i="20"/>
  <c r="B5" i="20"/>
  <c r="E1959" i="19"/>
  <c r="E1955" i="19"/>
  <c r="E1951" i="19"/>
  <c r="E1947" i="19"/>
  <c r="E1943" i="19"/>
  <c r="E1939" i="19"/>
  <c r="E1935" i="19"/>
  <c r="E1931" i="19"/>
  <c r="E1927" i="19"/>
  <c r="E1923" i="19"/>
  <c r="E1919" i="19"/>
  <c r="E1915" i="19"/>
  <c r="E1911" i="19"/>
  <c r="E1907" i="19"/>
  <c r="E1906" i="19"/>
  <c r="E1902" i="19"/>
  <c r="E1901" i="19"/>
  <c r="E1900" i="19"/>
  <c r="E1896" i="19"/>
  <c r="E1892" i="19"/>
  <c r="E1888" i="19"/>
  <c r="E1887" i="19"/>
  <c r="E1883" i="19"/>
  <c r="E1879" i="19"/>
  <c r="E1875" i="19"/>
  <c r="E1871" i="19"/>
  <c r="E1867" i="19"/>
  <c r="E1866" i="19"/>
  <c r="E1862" i="19"/>
  <c r="E1861" i="19"/>
  <c r="E1857" i="19"/>
  <c r="E1853" i="19"/>
  <c r="E1849" i="19"/>
  <c r="E1848" i="19"/>
  <c r="E1844" i="19"/>
  <c r="E1840" i="19"/>
  <c r="E1836" i="19"/>
  <c r="E1832" i="19"/>
  <c r="E1828" i="19"/>
  <c r="E1824" i="19"/>
  <c r="E1823" i="19"/>
  <c r="E1819" i="19"/>
  <c r="E1816" i="19"/>
  <c r="E1815" i="19"/>
  <c r="E1814" i="19"/>
  <c r="E1810" i="19"/>
  <c r="E1806" i="19"/>
  <c r="E1802" i="19"/>
  <c r="E1798" i="19"/>
  <c r="E1797" i="19"/>
  <c r="E1793" i="19"/>
  <c r="E1792" i="19"/>
  <c r="E1788" i="19"/>
  <c r="E1785" i="19"/>
  <c r="E1781" i="19"/>
  <c r="E1778" i="19"/>
  <c r="E1774" i="19"/>
  <c r="E1770" i="19"/>
  <c r="E1766" i="19"/>
  <c r="E1762" i="19"/>
  <c r="E1758" i="19"/>
  <c r="E1756" i="19"/>
  <c r="E1752" i="19"/>
  <c r="E1750" i="19"/>
  <c r="E1746" i="19"/>
  <c r="E1744" i="19"/>
  <c r="E1742" i="19"/>
  <c r="E1740" i="19"/>
  <c r="E1738" i="19"/>
  <c r="E1734" i="19"/>
  <c r="E1732" i="19"/>
  <c r="E1730" i="19"/>
  <c r="E1728" i="19"/>
  <c r="E1726" i="19"/>
  <c r="E1724" i="19"/>
  <c r="E1720" i="19"/>
  <c r="E1718" i="19"/>
  <c r="E1716" i="19"/>
  <c r="E1712" i="19"/>
  <c r="E1710" i="19"/>
  <c r="E1706" i="19"/>
  <c r="E1702" i="19"/>
  <c r="E1698" i="19"/>
  <c r="E1694" i="19"/>
  <c r="E1692" i="19"/>
  <c r="E1690" i="19"/>
  <c r="E1686" i="19"/>
  <c r="E1684" i="19"/>
  <c r="E1680" i="19"/>
  <c r="E1677" i="19"/>
  <c r="E1673" i="19"/>
  <c r="E1669" i="19"/>
  <c r="E1667" i="19"/>
  <c r="E1663" i="19"/>
  <c r="E1659" i="19"/>
  <c r="E1655" i="19"/>
  <c r="E1651" i="19"/>
  <c r="E1647" i="19"/>
  <c r="E1644" i="19"/>
  <c r="E1642" i="19"/>
  <c r="E1638" i="19"/>
  <c r="E1636" i="19"/>
  <c r="E1633" i="19"/>
  <c r="E1629" i="19"/>
  <c r="E1625" i="19"/>
  <c r="E1623" i="19"/>
  <c r="E1620" i="19"/>
  <c r="E1618" i="19"/>
  <c r="E1614" i="19"/>
  <c r="E1610" i="19"/>
  <c r="E1606" i="19"/>
  <c r="E1604" i="19"/>
  <c r="E1601" i="19"/>
  <c r="E1599" i="19"/>
  <c r="E1595" i="19"/>
  <c r="E1591" i="19"/>
  <c r="E1587" i="19"/>
  <c r="E1586" i="19"/>
  <c r="E1585" i="19"/>
  <c r="E1584" i="19"/>
  <c r="E1580" i="19"/>
  <c r="E1576" i="19"/>
  <c r="E1571" i="19"/>
  <c r="E1567" i="19"/>
  <c r="E1563" i="19"/>
  <c r="E1559" i="19"/>
  <c r="E1558" i="19"/>
  <c r="E1554" i="19"/>
  <c r="E1550" i="19"/>
  <c r="E1546" i="19"/>
  <c r="E1545" i="19"/>
  <c r="E1541" i="19"/>
  <c r="E1537" i="19"/>
  <c r="E1533" i="19"/>
  <c r="E1529" i="19"/>
  <c r="E1525" i="19"/>
  <c r="E1521" i="19"/>
  <c r="E1520" i="19"/>
  <c r="E1516" i="19"/>
  <c r="E1512" i="19"/>
  <c r="E1508" i="19"/>
  <c r="E1504" i="19"/>
  <c r="E1500" i="19"/>
  <c r="E1496" i="19"/>
  <c r="E1492" i="19"/>
  <c r="E1488" i="19"/>
  <c r="E1484" i="19"/>
  <c r="E1480" i="19"/>
  <c r="E1478" i="19"/>
  <c r="E1474" i="19"/>
  <c r="E1470" i="19"/>
  <c r="E1469" i="19"/>
  <c r="E1465" i="19"/>
  <c r="C1461" i="19"/>
  <c r="E1461" i="19" s="1"/>
  <c r="E1457" i="19"/>
  <c r="E1453" i="19"/>
  <c r="E1452" i="19"/>
  <c r="E1448" i="19"/>
  <c r="E1444" i="19"/>
  <c r="E1439" i="19"/>
  <c r="E1436" i="19"/>
  <c r="E1431" i="19"/>
  <c r="C1432" i="19"/>
  <c r="E1432" i="19" s="1"/>
  <c r="E1428" i="19"/>
  <c r="E1424" i="19"/>
  <c r="D1423" i="19"/>
  <c r="E1423" i="19" s="1"/>
  <c r="E1419" i="19"/>
  <c r="E1415" i="19"/>
  <c r="E1411" i="19"/>
  <c r="E1407" i="19"/>
  <c r="E1403" i="19"/>
  <c r="E1399" i="19"/>
  <c r="E1391" i="19"/>
  <c r="E1387" i="19"/>
  <c r="E1383" i="19"/>
  <c r="E1379" i="19"/>
  <c r="E1375" i="19"/>
  <c r="E1371" i="19"/>
  <c r="E1367" i="19"/>
  <c r="E1363" i="19"/>
  <c r="E1359" i="19"/>
  <c r="E1355" i="19"/>
  <c r="E1351" i="19"/>
  <c r="E1347" i="19"/>
  <c r="E1343" i="19"/>
  <c r="E1342" i="19"/>
  <c r="E1338" i="19"/>
  <c r="E1334" i="19"/>
  <c r="E1332" i="19"/>
  <c r="E1328" i="19"/>
  <c r="E1324" i="19"/>
  <c r="E1323" i="19"/>
  <c r="E1319" i="19"/>
  <c r="E1315" i="19"/>
  <c r="E1311" i="19"/>
  <c r="E1307" i="19"/>
  <c r="E1303" i="19"/>
  <c r="E1299" i="19"/>
  <c r="E1295" i="19"/>
  <c r="E1291" i="19"/>
  <c r="E1287" i="19"/>
  <c r="E1283" i="19"/>
  <c r="E1281" i="19"/>
  <c r="E1277" i="19"/>
  <c r="E1276" i="19"/>
  <c r="E1275" i="19"/>
  <c r="E1273" i="19"/>
  <c r="E1272" i="19"/>
  <c r="E1268" i="19"/>
  <c r="E1264" i="19"/>
  <c r="E1260" i="19"/>
  <c r="E1259" i="19"/>
  <c r="E1257" i="19"/>
  <c r="E1256" i="19"/>
  <c r="E1252" i="19"/>
  <c r="E1250" i="19"/>
  <c r="E1246" i="19"/>
  <c r="E1242" i="19"/>
  <c r="E1234" i="19"/>
  <c r="E1232" i="19"/>
  <c r="E1228" i="19"/>
  <c r="E1226" i="19"/>
  <c r="E1221" i="19"/>
  <c r="E1218" i="19"/>
  <c r="E1217" i="19"/>
  <c r="E1213" i="19"/>
  <c r="E1209" i="19"/>
  <c r="E1205" i="19"/>
  <c r="E1201" i="19"/>
  <c r="E1200" i="19"/>
  <c r="E1196" i="19"/>
  <c r="E1192" i="19"/>
  <c r="E1188" i="19"/>
  <c r="E1184" i="19"/>
  <c r="E1182" i="19"/>
  <c r="E1178" i="19"/>
  <c r="E1174" i="19"/>
  <c r="E1170" i="19"/>
  <c r="E1166" i="19"/>
  <c r="E1162" i="19"/>
  <c r="E1158" i="19"/>
  <c r="E1150" i="19"/>
  <c r="E1146" i="19"/>
  <c r="E1142" i="19"/>
  <c r="E1138" i="19"/>
  <c r="E1134" i="19"/>
  <c r="E1130" i="19"/>
  <c r="E1126" i="19"/>
  <c r="E1122" i="19"/>
  <c r="E1118" i="19"/>
  <c r="E1114" i="19"/>
  <c r="E1110" i="19"/>
  <c r="E1106" i="19"/>
  <c r="E1102" i="19"/>
  <c r="E1098" i="19"/>
  <c r="E1094" i="19"/>
  <c r="E1090" i="19"/>
  <c r="E1082" i="19"/>
  <c r="E1078" i="19"/>
  <c r="E1074" i="19"/>
  <c r="E1070" i="19"/>
  <c r="E1066" i="19"/>
  <c r="E1062" i="19"/>
  <c r="E1058" i="19"/>
  <c r="E1054" i="19"/>
  <c r="E1050" i="19"/>
  <c r="E1046" i="19"/>
  <c r="E1042" i="19"/>
  <c r="E1041" i="19"/>
  <c r="E1037" i="19"/>
  <c r="E1035" i="19"/>
  <c r="E1031" i="19"/>
  <c r="E1029" i="19"/>
  <c r="E1024" i="19"/>
  <c r="E1021" i="19"/>
  <c r="E1020" i="19"/>
  <c r="E1018" i="19"/>
  <c r="E1014" i="19"/>
  <c r="E1012" i="19"/>
  <c r="E1008" i="19"/>
  <c r="E1007" i="19"/>
  <c r="E1006" i="19"/>
  <c r="E1002" i="19"/>
  <c r="E998" i="19"/>
  <c r="E996" i="19"/>
  <c r="E995" i="19"/>
  <c r="E991" i="19"/>
  <c r="E990" i="19"/>
  <c r="E986" i="19"/>
  <c r="E982" i="19"/>
  <c r="E978" i="19"/>
  <c r="E977" i="19"/>
  <c r="E976" i="19"/>
  <c r="E972" i="19"/>
  <c r="E971" i="19"/>
  <c r="E967" i="19"/>
  <c r="E966" i="19"/>
  <c r="E964" i="19"/>
  <c r="E963" i="19"/>
  <c r="E962" i="19"/>
  <c r="E957" i="19"/>
  <c r="E946" i="19"/>
  <c r="E942" i="19"/>
  <c r="E938" i="19"/>
  <c r="E933" i="19"/>
  <c r="E931" i="19"/>
  <c r="E927" i="19"/>
  <c r="E925" i="19"/>
  <c r="E917" i="19"/>
  <c r="E916" i="19"/>
  <c r="E912" i="19"/>
  <c r="E908" i="19"/>
  <c r="E905" i="19"/>
  <c r="E901" i="19"/>
  <c r="E900" i="19"/>
  <c r="E896" i="19"/>
  <c r="E892" i="19"/>
  <c r="E888" i="19"/>
  <c r="E880" i="19"/>
  <c r="E876" i="19"/>
  <c r="D872" i="19"/>
  <c r="E872" i="19" s="1"/>
  <c r="B870" i="19"/>
  <c r="D869" i="19"/>
  <c r="E869" i="19" s="1"/>
  <c r="E865" i="19"/>
  <c r="E861" i="19"/>
  <c r="D845" i="19"/>
  <c r="E845" i="19" s="1"/>
  <c r="D843" i="19"/>
  <c r="E843" i="19" s="1"/>
  <c r="D839" i="19"/>
  <c r="E839" i="19" s="1"/>
  <c r="D837" i="19"/>
  <c r="E837" i="19" s="1"/>
  <c r="D833" i="19"/>
  <c r="E833" i="19" s="1"/>
  <c r="D831" i="19"/>
  <c r="B831" i="19"/>
  <c r="D827" i="19"/>
  <c r="E827" i="19" s="1"/>
  <c r="D826" i="19"/>
  <c r="E826" i="19" s="1"/>
  <c r="D822" i="19"/>
  <c r="E822" i="19" s="1"/>
  <c r="D817" i="19"/>
  <c r="E817" i="19" s="1"/>
  <c r="D809" i="19"/>
  <c r="E809" i="19" s="1"/>
  <c r="E805" i="19"/>
  <c r="E785" i="19"/>
  <c r="E781" i="19"/>
  <c r="E777" i="19"/>
  <c r="E776" i="19"/>
  <c r="E772" i="19"/>
  <c r="E771" i="19"/>
  <c r="E770" i="19"/>
  <c r="E762" i="19"/>
  <c r="E750" i="19"/>
  <c r="E746" i="19"/>
  <c r="E738" i="19"/>
  <c r="E734" i="19"/>
  <c r="E726" i="19"/>
  <c r="E718" i="19"/>
  <c r="E714" i="19"/>
  <c r="E705" i="19"/>
  <c r="E704" i="19"/>
  <c r="E703" i="19"/>
  <c r="E699" i="19"/>
  <c r="E691" i="19"/>
  <c r="E687" i="19"/>
  <c r="E686" i="19"/>
  <c r="E675" i="19"/>
  <c r="E648" i="19"/>
  <c r="E645" i="19"/>
  <c r="E642" i="19"/>
  <c r="E639" i="19"/>
  <c r="E630" i="19"/>
  <c r="E622" i="19"/>
  <c r="E618" i="19"/>
  <c r="E614" i="19"/>
  <c r="E606" i="19"/>
  <c r="E602" i="19"/>
  <c r="E601" i="19"/>
  <c r="E600" i="19"/>
  <c r="E599" i="19"/>
  <c r="E595" i="19"/>
  <c r="E591" i="19"/>
  <c r="E587" i="19"/>
  <c r="N92" i="15"/>
  <c r="N80" i="15"/>
  <c r="N82" i="15" s="1"/>
  <c r="N86" i="15" s="1"/>
  <c r="F75" i="15"/>
  <c r="J69" i="15"/>
  <c r="G69" i="15"/>
  <c r="I69" i="15" s="1"/>
  <c r="J68" i="15"/>
  <c r="H68" i="15"/>
  <c r="G68" i="15"/>
  <c r="J67" i="15"/>
  <c r="H67" i="15"/>
  <c r="G67" i="15"/>
  <c r="J66" i="15"/>
  <c r="H66" i="15"/>
  <c r="G66" i="15"/>
  <c r="J65" i="15"/>
  <c r="H65" i="15"/>
  <c r="G65" i="15"/>
  <c r="J64" i="15"/>
  <c r="H64" i="15"/>
  <c r="G64" i="15"/>
  <c r="J63" i="15"/>
  <c r="H63" i="15"/>
  <c r="G63" i="15"/>
  <c r="J62" i="15"/>
  <c r="H62" i="15"/>
  <c r="G62" i="15"/>
  <c r="J61" i="15"/>
  <c r="H61" i="15"/>
  <c r="G61" i="15"/>
  <c r="J60" i="15"/>
  <c r="H60" i="15"/>
  <c r="G60" i="15"/>
  <c r="J59" i="15"/>
  <c r="H59" i="15"/>
  <c r="G59" i="15"/>
  <c r="N53" i="15"/>
  <c r="K53" i="15"/>
  <c r="K55" i="15" s="1"/>
  <c r="N49" i="15"/>
  <c r="M49" i="15"/>
  <c r="K49" i="15"/>
  <c r="F49" i="15"/>
  <c r="N48" i="15"/>
  <c r="K48" i="15"/>
  <c r="N47" i="15"/>
  <c r="M47" i="15"/>
  <c r="K47" i="15"/>
  <c r="F47" i="15"/>
  <c r="M43" i="15"/>
  <c r="K43" i="15"/>
  <c r="F43" i="15"/>
  <c r="N42" i="15"/>
  <c r="M42" i="15"/>
  <c r="K42" i="15"/>
  <c r="F42" i="15"/>
  <c r="N41" i="15"/>
  <c r="M41" i="15"/>
  <c r="K41" i="15"/>
  <c r="F41" i="15"/>
  <c r="N40" i="15"/>
  <c r="M40" i="15"/>
  <c r="K40" i="15"/>
  <c r="F40" i="15"/>
  <c r="M39" i="15"/>
  <c r="K39" i="15"/>
  <c r="F39" i="15"/>
  <c r="N38" i="15"/>
  <c r="M38" i="15"/>
  <c r="K38" i="15"/>
  <c r="F38" i="15"/>
  <c r="N37" i="15"/>
  <c r="M37" i="15"/>
  <c r="K37" i="15"/>
  <c r="F37" i="15"/>
  <c r="N36" i="15"/>
  <c r="K36" i="15"/>
  <c r="N35" i="15"/>
  <c r="K35" i="15"/>
  <c r="N34" i="15"/>
  <c r="M34" i="15"/>
  <c r="K34" i="15"/>
  <c r="F34" i="15"/>
  <c r="N33" i="15"/>
  <c r="K33" i="15"/>
  <c r="N32" i="15"/>
  <c r="K32" i="15"/>
  <c r="N31" i="15"/>
  <c r="M31" i="15"/>
  <c r="K31" i="15"/>
  <c r="F31" i="15"/>
  <c r="N30" i="15"/>
  <c r="K30" i="15"/>
  <c r="N29" i="15"/>
  <c r="K29" i="15"/>
  <c r="N28" i="15"/>
  <c r="K28" i="15"/>
  <c r="N27" i="15"/>
  <c r="M27" i="15"/>
  <c r="K27" i="15"/>
  <c r="F27" i="15"/>
  <c r="N26" i="15"/>
  <c r="K26" i="15"/>
  <c r="N25" i="15"/>
  <c r="K25" i="15"/>
  <c r="N24" i="15"/>
  <c r="K24" i="15"/>
  <c r="N23" i="15"/>
  <c r="M23" i="15"/>
  <c r="K23" i="15"/>
  <c r="F23" i="15"/>
  <c r="N22" i="15"/>
  <c r="M22" i="15"/>
  <c r="K22" i="15"/>
  <c r="F22" i="15"/>
  <c r="N21" i="15"/>
  <c r="M21" i="15"/>
  <c r="K21" i="15"/>
  <c r="F21" i="15"/>
  <c r="N20" i="15"/>
  <c r="M20" i="15"/>
  <c r="K20" i="15"/>
  <c r="F20" i="15"/>
  <c r="N19" i="15"/>
  <c r="M19" i="15"/>
  <c r="K19" i="15"/>
  <c r="F19" i="15"/>
  <c r="N18" i="15"/>
  <c r="M18" i="15"/>
  <c r="K18" i="15"/>
  <c r="F18" i="15"/>
  <c r="N17" i="15"/>
  <c r="M17" i="15"/>
  <c r="K17" i="15"/>
  <c r="F17" i="15"/>
  <c r="N16" i="15"/>
  <c r="M16" i="15"/>
  <c r="K16" i="15"/>
  <c r="F16" i="15"/>
  <c r="N15" i="15"/>
  <c r="M15" i="15"/>
  <c r="K15" i="15"/>
  <c r="F15" i="15"/>
  <c r="M14" i="15"/>
  <c r="K14" i="15"/>
  <c r="F14" i="15"/>
  <c r="N13" i="15"/>
  <c r="K13" i="15"/>
  <c r="N12" i="15"/>
  <c r="M12" i="15"/>
  <c r="K12" i="15"/>
  <c r="F12" i="15"/>
  <c r="N11" i="15"/>
  <c r="M11" i="15"/>
  <c r="K11" i="15"/>
  <c r="F11" i="15"/>
  <c r="N10" i="15"/>
  <c r="M10" i="15"/>
  <c r="K10" i="15"/>
  <c r="F10" i="15"/>
  <c r="N9" i="15"/>
  <c r="M9" i="15"/>
  <c r="K9" i="15"/>
  <c r="F9" i="15"/>
  <c r="M77" i="14"/>
  <c r="M79" i="14" s="1"/>
  <c r="M83" i="14" s="1"/>
  <c r="F71" i="14"/>
  <c r="G69" i="14" s="1"/>
  <c r="J67" i="14"/>
  <c r="H67" i="14"/>
  <c r="G67" i="14"/>
  <c r="J66" i="14"/>
  <c r="H66" i="14"/>
  <c r="G66" i="14"/>
  <c r="J65" i="14"/>
  <c r="H65" i="14"/>
  <c r="G65" i="14"/>
  <c r="J64" i="14"/>
  <c r="H64" i="14"/>
  <c r="G64" i="14"/>
  <c r="J63" i="14"/>
  <c r="H63" i="14"/>
  <c r="G63" i="14"/>
  <c r="J62" i="14"/>
  <c r="H62" i="14"/>
  <c r="G62" i="14"/>
  <c r="J61" i="14"/>
  <c r="H61" i="14"/>
  <c r="G61" i="14"/>
  <c r="J60" i="14"/>
  <c r="H60" i="14"/>
  <c r="G60" i="14"/>
  <c r="J59" i="14"/>
  <c r="H59" i="14"/>
  <c r="G59" i="14"/>
  <c r="J58" i="14"/>
  <c r="H58" i="14"/>
  <c r="G58" i="14"/>
  <c r="J57" i="14"/>
  <c r="H57" i="14"/>
  <c r="G57" i="14"/>
  <c r="J56" i="14"/>
  <c r="H56" i="14"/>
  <c r="G56" i="14"/>
  <c r="J55" i="14"/>
  <c r="H55" i="14"/>
  <c r="G55" i="14"/>
  <c r="J54" i="14"/>
  <c r="H54" i="14"/>
  <c r="G54" i="14"/>
  <c r="J53" i="14"/>
  <c r="H53" i="14"/>
  <c r="G53" i="14"/>
  <c r="N48" i="14"/>
  <c r="K48" i="14"/>
  <c r="N47" i="14"/>
  <c r="K47" i="14"/>
  <c r="N46" i="14"/>
  <c r="M46" i="14"/>
  <c r="K46" i="14"/>
  <c r="F46" i="14"/>
  <c r="F49" i="14" s="1"/>
  <c r="N42" i="14"/>
  <c r="M42" i="14"/>
  <c r="K42" i="14"/>
  <c r="F42" i="14"/>
  <c r="N41" i="14"/>
  <c r="M41" i="14"/>
  <c r="K41" i="14"/>
  <c r="F41" i="14"/>
  <c r="N37" i="14"/>
  <c r="M37" i="14"/>
  <c r="K37" i="14"/>
  <c r="F37" i="14"/>
  <c r="N36" i="14"/>
  <c r="M36" i="14"/>
  <c r="K36" i="14"/>
  <c r="F36" i="14"/>
  <c r="N35" i="14"/>
  <c r="M35" i="14"/>
  <c r="K35" i="14"/>
  <c r="F35" i="14"/>
  <c r="N34" i="14"/>
  <c r="M34" i="14"/>
  <c r="K34" i="14"/>
  <c r="F34" i="14"/>
  <c r="N33" i="14"/>
  <c r="K33" i="14"/>
  <c r="N32" i="14"/>
  <c r="M32" i="14"/>
  <c r="K32" i="14"/>
  <c r="F32" i="14"/>
  <c r="N31" i="14"/>
  <c r="M31" i="14"/>
  <c r="K31" i="14"/>
  <c r="F31" i="14"/>
  <c r="N30" i="14"/>
  <c r="M30" i="14"/>
  <c r="K30" i="14"/>
  <c r="F30" i="14"/>
  <c r="N29" i="14"/>
  <c r="M29" i="14"/>
  <c r="K29" i="14"/>
  <c r="F29" i="14"/>
  <c r="N28" i="14"/>
  <c r="M28" i="14"/>
  <c r="K28" i="14"/>
  <c r="F28" i="14"/>
  <c r="N27" i="14"/>
  <c r="M27" i="14"/>
  <c r="K27" i="14"/>
  <c r="F27" i="14"/>
  <c r="N26" i="14"/>
  <c r="M26" i="14"/>
  <c r="K26" i="14"/>
  <c r="F26" i="14"/>
  <c r="N25" i="14"/>
  <c r="M25" i="14"/>
  <c r="K25" i="14"/>
  <c r="F25" i="14"/>
  <c r="N24" i="14"/>
  <c r="M24" i="14"/>
  <c r="K24" i="14"/>
  <c r="F24" i="14"/>
  <c r="N23" i="14"/>
  <c r="M23" i="14"/>
  <c r="K23" i="14"/>
  <c r="F23" i="14"/>
  <c r="N22" i="14"/>
  <c r="M22" i="14"/>
  <c r="K22" i="14"/>
  <c r="F22" i="14"/>
  <c r="N21" i="14"/>
  <c r="M21" i="14"/>
  <c r="K21" i="14"/>
  <c r="F21" i="14"/>
  <c r="N20" i="14"/>
  <c r="M20" i="14"/>
  <c r="K20" i="14"/>
  <c r="F20" i="14"/>
  <c r="N19" i="14"/>
  <c r="M19" i="14"/>
  <c r="K19" i="14"/>
  <c r="F19" i="14"/>
  <c r="N18" i="14"/>
  <c r="K18" i="14"/>
  <c r="N17" i="14"/>
  <c r="M17" i="14"/>
  <c r="K17" i="14"/>
  <c r="F17" i="14"/>
  <c r="N16" i="14"/>
  <c r="M16" i="14"/>
  <c r="K16" i="14"/>
  <c r="F16" i="14"/>
  <c r="N15" i="14"/>
  <c r="M15" i="14"/>
  <c r="K15" i="14"/>
  <c r="F15" i="14"/>
  <c r="N14" i="14"/>
  <c r="M14" i="14"/>
  <c r="K14" i="14"/>
  <c r="F14" i="14"/>
  <c r="N13" i="14"/>
  <c r="K13" i="14"/>
  <c r="N12" i="14"/>
  <c r="M12" i="14"/>
  <c r="K12" i="14"/>
  <c r="F12" i="14"/>
  <c r="N11" i="14"/>
  <c r="K11" i="14"/>
  <c r="N10" i="14"/>
  <c r="M10" i="14"/>
  <c r="K10" i="14"/>
  <c r="F10" i="14"/>
  <c r="N9" i="14"/>
  <c r="M9" i="14"/>
  <c r="K9" i="14"/>
  <c r="F9" i="14"/>
  <c r="M95" i="13"/>
  <c r="M96" i="13" s="1"/>
  <c r="M84" i="13"/>
  <c r="M86" i="13" s="1"/>
  <c r="M90" i="13" s="1"/>
  <c r="M91" i="13" s="1"/>
  <c r="L77" i="13"/>
  <c r="G77" i="13"/>
  <c r="G76" i="13"/>
  <c r="J74" i="13"/>
  <c r="H74" i="13"/>
  <c r="G74" i="13"/>
  <c r="J73" i="13"/>
  <c r="H73" i="13"/>
  <c r="G73" i="13"/>
  <c r="J72" i="13"/>
  <c r="H72" i="13"/>
  <c r="G72" i="13"/>
  <c r="J71" i="13"/>
  <c r="H71" i="13"/>
  <c r="G71" i="13"/>
  <c r="J70" i="13"/>
  <c r="H70" i="13"/>
  <c r="G70" i="13"/>
  <c r="J69" i="13"/>
  <c r="H69" i="13"/>
  <c r="G69" i="13"/>
  <c r="J68" i="13"/>
  <c r="H68" i="13"/>
  <c r="G68" i="13"/>
  <c r="J67" i="13"/>
  <c r="H67" i="13"/>
  <c r="G67" i="13"/>
  <c r="J66" i="13"/>
  <c r="H66" i="13"/>
  <c r="G66" i="13"/>
  <c r="J65" i="13"/>
  <c r="H65" i="13"/>
  <c r="G65" i="13"/>
  <c r="J64" i="13"/>
  <c r="H64" i="13"/>
  <c r="G64" i="13"/>
  <c r="J63" i="13"/>
  <c r="H63" i="13"/>
  <c r="G63" i="13"/>
  <c r="J62" i="13"/>
  <c r="H62" i="13"/>
  <c r="G62" i="13"/>
  <c r="N57" i="13"/>
  <c r="K57" i="13"/>
  <c r="L57" i="13" s="1"/>
  <c r="F57" i="13"/>
  <c r="G57" i="13" s="1"/>
  <c r="N56" i="13"/>
  <c r="K56" i="13"/>
  <c r="L56" i="13" s="1"/>
  <c r="F56" i="13"/>
  <c r="F58" i="13" s="1"/>
  <c r="G58" i="13" s="1"/>
  <c r="N55" i="13"/>
  <c r="K55" i="13"/>
  <c r="L55" i="13" s="1"/>
  <c r="F55" i="13"/>
  <c r="G55" i="13" s="1"/>
  <c r="N51" i="13"/>
  <c r="K51" i="13"/>
  <c r="L51" i="13" s="1"/>
  <c r="F51" i="13"/>
  <c r="G51" i="13" s="1"/>
  <c r="N50" i="13"/>
  <c r="K50" i="13"/>
  <c r="L50" i="13" s="1"/>
  <c r="F50" i="13"/>
  <c r="G50" i="13" s="1"/>
  <c r="N49" i="13"/>
  <c r="K49" i="13"/>
  <c r="L49" i="13" s="1"/>
  <c r="F49" i="13"/>
  <c r="G49" i="13" s="1"/>
  <c r="G46" i="13"/>
  <c r="N45" i="13"/>
  <c r="K45" i="13"/>
  <c r="L45" i="13" s="1"/>
  <c r="F45" i="13"/>
  <c r="G45" i="13" s="1"/>
  <c r="N44" i="13"/>
  <c r="K44" i="13"/>
  <c r="L44" i="13" s="1"/>
  <c r="F44" i="13"/>
  <c r="G44" i="13" s="1"/>
  <c r="N43" i="13"/>
  <c r="K43" i="13"/>
  <c r="L43" i="13" s="1"/>
  <c r="F43" i="13"/>
  <c r="G43" i="13" s="1"/>
  <c r="N42" i="13"/>
  <c r="K42" i="13"/>
  <c r="L42" i="13" s="1"/>
  <c r="F42" i="13"/>
  <c r="G42" i="13" s="1"/>
  <c r="N41" i="13"/>
  <c r="K41" i="13"/>
  <c r="L41" i="13" s="1"/>
  <c r="F41" i="13"/>
  <c r="G41" i="13" s="1"/>
  <c r="N40" i="13"/>
  <c r="K40" i="13"/>
  <c r="L40" i="13" s="1"/>
  <c r="F40" i="13"/>
  <c r="G40" i="13" s="1"/>
  <c r="N39" i="13"/>
  <c r="K39" i="13"/>
  <c r="L39" i="13" s="1"/>
  <c r="F39" i="13"/>
  <c r="G39" i="13" s="1"/>
  <c r="N38" i="13"/>
  <c r="K38" i="13"/>
  <c r="L38" i="13" s="1"/>
  <c r="F38" i="13"/>
  <c r="G38" i="13" s="1"/>
  <c r="N37" i="13"/>
  <c r="K37" i="13"/>
  <c r="L37" i="13" s="1"/>
  <c r="F37" i="13"/>
  <c r="G37" i="13" s="1"/>
  <c r="N36" i="13"/>
  <c r="K36" i="13"/>
  <c r="L36" i="13" s="1"/>
  <c r="N35" i="13"/>
  <c r="K35" i="13"/>
  <c r="L35" i="13" s="1"/>
  <c r="N34" i="13"/>
  <c r="K34" i="13"/>
  <c r="L34" i="13" s="1"/>
  <c r="F34" i="13"/>
  <c r="G34" i="13" s="1"/>
  <c r="N33" i="13"/>
  <c r="K33" i="13"/>
  <c r="L33" i="13" s="1"/>
  <c r="F33" i="13"/>
  <c r="G33" i="13" s="1"/>
  <c r="N32" i="13"/>
  <c r="K32" i="13"/>
  <c r="L32" i="13" s="1"/>
  <c r="F32" i="13"/>
  <c r="G32" i="13" s="1"/>
  <c r="N31" i="13"/>
  <c r="K31" i="13"/>
  <c r="L31" i="13" s="1"/>
  <c r="F31" i="13"/>
  <c r="G31" i="13" s="1"/>
  <c r="N30" i="13"/>
  <c r="K30" i="13"/>
  <c r="L30" i="13" s="1"/>
  <c r="K29" i="13"/>
  <c r="L29" i="13" s="1"/>
  <c r="F29" i="13"/>
  <c r="G29" i="13" s="1"/>
  <c r="N28" i="13"/>
  <c r="K28" i="13"/>
  <c r="L28" i="13" s="1"/>
  <c r="F28" i="13"/>
  <c r="G28" i="13" s="1"/>
  <c r="N27" i="13"/>
  <c r="K27" i="13"/>
  <c r="L27" i="13" s="1"/>
  <c r="F27" i="13"/>
  <c r="G27" i="13" s="1"/>
  <c r="N26" i="13"/>
  <c r="K26" i="13"/>
  <c r="L26" i="13" s="1"/>
  <c r="F26" i="13"/>
  <c r="G26" i="13" s="1"/>
  <c r="N25" i="13"/>
  <c r="K25" i="13"/>
  <c r="L25" i="13" s="1"/>
  <c r="F25" i="13"/>
  <c r="G25" i="13" s="1"/>
  <c r="N24" i="13"/>
  <c r="K24" i="13"/>
  <c r="L24" i="13" s="1"/>
  <c r="F24" i="13"/>
  <c r="N23" i="13"/>
  <c r="K23" i="13"/>
  <c r="L23" i="13" s="1"/>
  <c r="F23" i="13"/>
  <c r="G23" i="13" s="1"/>
  <c r="N22" i="13"/>
  <c r="K22" i="13"/>
  <c r="L22" i="13" s="1"/>
  <c r="F22" i="13"/>
  <c r="G22" i="13" s="1"/>
  <c r="N21" i="13"/>
  <c r="K21" i="13"/>
  <c r="L21" i="13" s="1"/>
  <c r="F21" i="13"/>
  <c r="G21" i="13" s="1"/>
  <c r="N20" i="13"/>
  <c r="K20" i="13"/>
  <c r="L20" i="13" s="1"/>
  <c r="F20" i="13"/>
  <c r="G20" i="13" s="1"/>
  <c r="N19" i="13"/>
  <c r="K19" i="13"/>
  <c r="L19" i="13" s="1"/>
  <c r="F19" i="13"/>
  <c r="G19" i="13" s="1"/>
  <c r="N18" i="13"/>
  <c r="K18" i="13"/>
  <c r="L18" i="13" s="1"/>
  <c r="F18" i="13"/>
  <c r="G18" i="13" s="1"/>
  <c r="N17" i="13"/>
  <c r="K17" i="13"/>
  <c r="L17" i="13" s="1"/>
  <c r="N16" i="13"/>
  <c r="K16" i="13"/>
  <c r="L16" i="13" s="1"/>
  <c r="F16" i="13"/>
  <c r="G16" i="13" s="1"/>
  <c r="N15" i="13"/>
  <c r="K15" i="13"/>
  <c r="L15" i="13" s="1"/>
  <c r="N14" i="13"/>
  <c r="K14" i="13"/>
  <c r="L14" i="13" s="1"/>
  <c r="F14" i="13"/>
  <c r="G14" i="13" s="1"/>
  <c r="N13" i="13"/>
  <c r="K13" i="13"/>
  <c r="L13" i="13" s="1"/>
  <c r="F13" i="13"/>
  <c r="G13" i="13" s="1"/>
  <c r="N12" i="13"/>
  <c r="K12" i="13"/>
  <c r="L12" i="13" s="1"/>
  <c r="F12" i="13"/>
  <c r="G12" i="13" s="1"/>
  <c r="N11" i="13"/>
  <c r="K11" i="13"/>
  <c r="L11" i="13" s="1"/>
  <c r="F11" i="13"/>
  <c r="G11" i="13" s="1"/>
  <c r="N10" i="13"/>
  <c r="K10" i="13"/>
  <c r="L10" i="13" s="1"/>
  <c r="F10" i="13"/>
  <c r="G10" i="13" s="1"/>
  <c r="N9" i="13"/>
  <c r="K9" i="13"/>
  <c r="L9" i="13" s="1"/>
  <c r="F9" i="13"/>
  <c r="G9" i="13" s="1"/>
  <c r="N85" i="12"/>
  <c r="N86" i="12" s="1"/>
  <c r="N80" i="12"/>
  <c r="N81" i="12" s="1"/>
  <c r="N74" i="12"/>
  <c r="N75" i="12" s="1"/>
  <c r="F70" i="12"/>
  <c r="L68" i="12"/>
  <c r="L66" i="12"/>
  <c r="J64" i="12"/>
  <c r="H64" i="12"/>
  <c r="G64" i="12"/>
  <c r="J63" i="12"/>
  <c r="H63" i="12"/>
  <c r="G63" i="12"/>
  <c r="J62" i="12"/>
  <c r="H62" i="12"/>
  <c r="G62" i="12"/>
  <c r="J61" i="12"/>
  <c r="H61" i="12"/>
  <c r="G61" i="12"/>
  <c r="J60" i="12"/>
  <c r="H60" i="12"/>
  <c r="G60" i="12"/>
  <c r="J59" i="12"/>
  <c r="H59" i="12"/>
  <c r="G59" i="12"/>
  <c r="J58" i="12"/>
  <c r="H58" i="12"/>
  <c r="G58" i="12"/>
  <c r="J57" i="12"/>
  <c r="H57" i="12"/>
  <c r="G57" i="12"/>
  <c r="O52" i="12"/>
  <c r="I52" i="12"/>
  <c r="K52" i="12" s="1"/>
  <c r="L52" i="12" s="1"/>
  <c r="F52" i="12"/>
  <c r="O51" i="12"/>
  <c r="K51" i="12"/>
  <c r="L51" i="12" s="1"/>
  <c r="F51" i="12"/>
  <c r="O50" i="12"/>
  <c r="K50" i="12"/>
  <c r="L50" i="12" s="1"/>
  <c r="F50" i="12"/>
  <c r="O49" i="12"/>
  <c r="K49" i="12"/>
  <c r="L49" i="12" s="1"/>
  <c r="F49" i="12"/>
  <c r="O45" i="12"/>
  <c r="K45" i="12"/>
  <c r="L45" i="12" s="1"/>
  <c r="F45" i="12"/>
  <c r="O44" i="12"/>
  <c r="K44" i="12"/>
  <c r="L44" i="12" s="1"/>
  <c r="F44" i="12"/>
  <c r="O43" i="12"/>
  <c r="K43" i="12"/>
  <c r="L43" i="12" s="1"/>
  <c r="F43" i="12"/>
  <c r="O42" i="12"/>
  <c r="K42" i="12"/>
  <c r="L42" i="12" s="1"/>
  <c r="F42" i="12"/>
  <c r="O38" i="12"/>
  <c r="K38" i="12"/>
  <c r="L38" i="12" s="1"/>
  <c r="F38" i="12"/>
  <c r="O37" i="12"/>
  <c r="K37" i="12"/>
  <c r="L37" i="12" s="1"/>
  <c r="F37" i="12"/>
  <c r="O36" i="12"/>
  <c r="K36" i="12"/>
  <c r="L36" i="12" s="1"/>
  <c r="F36" i="12"/>
  <c r="O35" i="12"/>
  <c r="K35" i="12"/>
  <c r="L35" i="12" s="1"/>
  <c r="F35" i="12"/>
  <c r="O34" i="12"/>
  <c r="K34" i="12"/>
  <c r="L34" i="12" s="1"/>
  <c r="F34" i="12"/>
  <c r="O33" i="12"/>
  <c r="K33" i="12"/>
  <c r="L33" i="12" s="1"/>
  <c r="F33" i="12"/>
  <c r="O32" i="12"/>
  <c r="K32" i="12"/>
  <c r="L32" i="12" s="1"/>
  <c r="F32" i="12"/>
  <c r="O31" i="12"/>
  <c r="K31" i="12"/>
  <c r="L31" i="12" s="1"/>
  <c r="F31" i="12"/>
  <c r="O30" i="12"/>
  <c r="K30" i="12"/>
  <c r="L30" i="12" s="1"/>
  <c r="F30" i="12"/>
  <c r="O29" i="12"/>
  <c r="K29" i="12"/>
  <c r="L29" i="12" s="1"/>
  <c r="F29" i="12"/>
  <c r="O28" i="12"/>
  <c r="K28" i="12"/>
  <c r="L28" i="12" s="1"/>
  <c r="F28" i="12"/>
  <c r="K27" i="12"/>
  <c r="F27" i="12"/>
  <c r="O26" i="12"/>
  <c r="K26" i="12"/>
  <c r="L26" i="12" s="1"/>
  <c r="F26" i="12"/>
  <c r="O25" i="12"/>
  <c r="K25" i="12"/>
  <c r="L25" i="12" s="1"/>
  <c r="F25" i="12"/>
  <c r="O24" i="12"/>
  <c r="K24" i="12"/>
  <c r="L24" i="12" s="1"/>
  <c r="F24" i="12"/>
  <c r="O23" i="12"/>
  <c r="K23" i="12"/>
  <c r="L23" i="12" s="1"/>
  <c r="F23" i="12"/>
  <c r="O22" i="12"/>
  <c r="K22" i="12"/>
  <c r="L22" i="12" s="1"/>
  <c r="F22" i="12"/>
  <c r="O21" i="12"/>
  <c r="K21" i="12"/>
  <c r="L21" i="12" s="1"/>
  <c r="F21" i="12"/>
  <c r="O20" i="12"/>
  <c r="K20" i="12"/>
  <c r="F20" i="12"/>
  <c r="O19" i="12"/>
  <c r="K19" i="12"/>
  <c r="F19" i="12"/>
  <c r="O18" i="12"/>
  <c r="K18" i="12"/>
  <c r="L18" i="12" s="1"/>
  <c r="F18" i="12"/>
  <c r="O17" i="12"/>
  <c r="K17" i="12"/>
  <c r="L17" i="12" s="1"/>
  <c r="F17" i="12"/>
  <c r="O16" i="12"/>
  <c r="K16" i="12"/>
  <c r="L16" i="12" s="1"/>
  <c r="F16" i="12"/>
  <c r="O15" i="12"/>
  <c r="K15" i="12"/>
  <c r="L15" i="12" s="1"/>
  <c r="F15" i="12"/>
  <c r="O14" i="12"/>
  <c r="K14" i="12"/>
  <c r="L14" i="12" s="1"/>
  <c r="F14" i="12"/>
  <c r="O13" i="12"/>
  <c r="K13" i="12"/>
  <c r="L13" i="12" s="1"/>
  <c r="F13" i="12"/>
  <c r="O12" i="12"/>
  <c r="K12" i="12"/>
  <c r="L12" i="12" s="1"/>
  <c r="F12" i="12"/>
  <c r="O11" i="12"/>
  <c r="K11" i="12"/>
  <c r="L11" i="12" s="1"/>
  <c r="F11" i="12"/>
  <c r="O10" i="12"/>
  <c r="K10" i="12"/>
  <c r="L10" i="12" s="1"/>
  <c r="F10" i="12"/>
  <c r="O9" i="12"/>
  <c r="K9" i="12"/>
  <c r="L9" i="12" s="1"/>
  <c r="F9" i="12"/>
  <c r="N72" i="11"/>
  <c r="N74" i="11" s="1"/>
  <c r="N78" i="11" s="1"/>
  <c r="F68" i="11"/>
  <c r="G64" i="11" s="1"/>
  <c r="F62" i="11"/>
  <c r="F60" i="11"/>
  <c r="F59" i="11"/>
  <c r="F58" i="11"/>
  <c r="F57" i="11"/>
  <c r="F56" i="11"/>
  <c r="F55" i="11"/>
  <c r="F54" i="11"/>
  <c r="F53" i="11"/>
  <c r="F52" i="11"/>
  <c r="F51" i="11"/>
  <c r="F50" i="11"/>
  <c r="F49" i="11"/>
  <c r="F48" i="11"/>
  <c r="F47" i="11"/>
  <c r="O43" i="11"/>
  <c r="K43" i="11"/>
  <c r="O42" i="11"/>
  <c r="K42" i="11"/>
  <c r="O41" i="11"/>
  <c r="K41" i="11"/>
  <c r="O37" i="11"/>
  <c r="K37" i="11"/>
  <c r="O36" i="11"/>
  <c r="K36" i="11"/>
  <c r="O35" i="11"/>
  <c r="K35" i="11"/>
  <c r="O34" i="11"/>
  <c r="K34" i="11"/>
  <c r="O32" i="11"/>
  <c r="N32" i="11"/>
  <c r="K32" i="11"/>
  <c r="F32" i="11"/>
  <c r="O31" i="11"/>
  <c r="N31" i="11"/>
  <c r="K31" i="11"/>
  <c r="F31" i="11"/>
  <c r="O30" i="11"/>
  <c r="N30" i="11"/>
  <c r="K30" i="11"/>
  <c r="F30" i="11"/>
  <c r="O29" i="11"/>
  <c r="N29" i="11"/>
  <c r="K29" i="11"/>
  <c r="F29" i="11"/>
  <c r="O28" i="11"/>
  <c r="N28" i="11"/>
  <c r="K28" i="11"/>
  <c r="F28" i="11"/>
  <c r="O27" i="11"/>
  <c r="N27" i="11"/>
  <c r="K27" i="11"/>
  <c r="F27" i="11"/>
  <c r="O26" i="11"/>
  <c r="K26" i="11"/>
  <c r="O25" i="11"/>
  <c r="N25" i="11"/>
  <c r="K25" i="11"/>
  <c r="F25" i="11"/>
  <c r="O24" i="11"/>
  <c r="N24" i="11"/>
  <c r="K24" i="11"/>
  <c r="F24" i="11"/>
  <c r="O23" i="11"/>
  <c r="N23" i="11"/>
  <c r="K23" i="11"/>
  <c r="F23" i="11"/>
  <c r="O22" i="11"/>
  <c r="K22" i="11"/>
  <c r="O21" i="11"/>
  <c r="N21" i="11"/>
  <c r="K21" i="11"/>
  <c r="F21" i="11"/>
  <c r="O20" i="11"/>
  <c r="N20" i="11"/>
  <c r="K20" i="11"/>
  <c r="F20" i="11"/>
  <c r="O19" i="11"/>
  <c r="N19" i="11"/>
  <c r="K19" i="11"/>
  <c r="F19" i="11"/>
  <c r="O18" i="11"/>
  <c r="N18" i="11"/>
  <c r="K18" i="11"/>
  <c r="F18" i="11"/>
  <c r="O17" i="11"/>
  <c r="N17" i="11"/>
  <c r="K17" i="11"/>
  <c r="F17" i="11"/>
  <c r="O16" i="11"/>
  <c r="N16" i="11"/>
  <c r="K16" i="11"/>
  <c r="F16" i="11"/>
  <c r="O15" i="11"/>
  <c r="N15" i="11"/>
  <c r="K15" i="11"/>
  <c r="F15" i="11"/>
  <c r="O14" i="11"/>
  <c r="N14" i="11"/>
  <c r="K14" i="11"/>
  <c r="F14" i="11"/>
  <c r="O13" i="11"/>
  <c r="N13" i="11"/>
  <c r="K13" i="11"/>
  <c r="F13" i="11"/>
  <c r="O12" i="11"/>
  <c r="N12" i="11"/>
  <c r="K12" i="11"/>
  <c r="F12" i="11"/>
  <c r="O11" i="11"/>
  <c r="N11" i="11"/>
  <c r="K11" i="11"/>
  <c r="F11" i="11"/>
  <c r="O10" i="11"/>
  <c r="N10" i="11"/>
  <c r="K10" i="11"/>
  <c r="F10" i="11"/>
  <c r="O9" i="11"/>
  <c r="N9" i="11"/>
  <c r="K9" i="11"/>
  <c r="F9" i="11"/>
  <c r="N73" i="10"/>
  <c r="N75" i="10" s="1"/>
  <c r="F69" i="10"/>
  <c r="F62" i="10"/>
  <c r="F61" i="10"/>
  <c r="F60" i="10"/>
  <c r="F59" i="10"/>
  <c r="F58" i="10"/>
  <c r="F57" i="10"/>
  <c r="F56" i="10"/>
  <c r="F55" i="10"/>
  <c r="F54" i="10"/>
  <c r="F53" i="10"/>
  <c r="F52" i="10"/>
  <c r="O40" i="10"/>
  <c r="K40" i="10"/>
  <c r="O39" i="10"/>
  <c r="K39" i="10"/>
  <c r="O38" i="10"/>
  <c r="K38" i="10"/>
  <c r="O36" i="10"/>
  <c r="N36" i="10"/>
  <c r="K36" i="10"/>
  <c r="F36" i="10"/>
  <c r="O35" i="10"/>
  <c r="N35" i="10"/>
  <c r="K35" i="10"/>
  <c r="F35" i="10"/>
  <c r="O34" i="10"/>
  <c r="N34" i="10"/>
  <c r="K34" i="10"/>
  <c r="F34" i="10"/>
  <c r="O33" i="10"/>
  <c r="N33" i="10"/>
  <c r="K33" i="10"/>
  <c r="F33" i="10"/>
  <c r="O32" i="10"/>
  <c r="N32" i="10"/>
  <c r="K32" i="10"/>
  <c r="F32" i="10"/>
  <c r="O31" i="10"/>
  <c r="K31" i="10"/>
  <c r="O30" i="10"/>
  <c r="K30" i="10"/>
  <c r="O29" i="10"/>
  <c r="N29" i="10"/>
  <c r="K29" i="10"/>
  <c r="F29" i="10"/>
  <c r="O28" i="10"/>
  <c r="N28" i="10"/>
  <c r="K28" i="10"/>
  <c r="F28" i="10"/>
  <c r="O27" i="10"/>
  <c r="N27" i="10"/>
  <c r="K27" i="10"/>
  <c r="F27" i="10"/>
  <c r="O26" i="10"/>
  <c r="N26" i="10"/>
  <c r="K26" i="10"/>
  <c r="F26" i="10"/>
  <c r="O25" i="10"/>
  <c r="N25" i="10"/>
  <c r="K25" i="10"/>
  <c r="F25" i="10"/>
  <c r="O24" i="10"/>
  <c r="N24" i="10"/>
  <c r="K24" i="10"/>
  <c r="F24" i="10"/>
  <c r="O23" i="10"/>
  <c r="N23" i="10"/>
  <c r="K23" i="10"/>
  <c r="F23" i="10"/>
  <c r="O22" i="10"/>
  <c r="N22" i="10"/>
  <c r="K22" i="10"/>
  <c r="F22" i="10"/>
  <c r="O21" i="10"/>
  <c r="N21" i="10"/>
  <c r="K21" i="10"/>
  <c r="F21" i="10"/>
  <c r="O20" i="10"/>
  <c r="K20" i="10"/>
  <c r="O19" i="10"/>
  <c r="N19" i="10"/>
  <c r="K19" i="10"/>
  <c r="F19" i="10"/>
  <c r="O18" i="10"/>
  <c r="N18" i="10"/>
  <c r="K18" i="10"/>
  <c r="F18" i="10"/>
  <c r="O17" i="10"/>
  <c r="N17" i="10"/>
  <c r="K17" i="10"/>
  <c r="F17" i="10"/>
  <c r="O16" i="10"/>
  <c r="N16" i="10"/>
  <c r="K16" i="10"/>
  <c r="F16" i="10"/>
  <c r="O15" i="10"/>
  <c r="N15" i="10"/>
  <c r="K15" i="10"/>
  <c r="F15" i="10"/>
  <c r="O14" i="10"/>
  <c r="N14" i="10"/>
  <c r="K14" i="10"/>
  <c r="F14" i="10"/>
  <c r="O13" i="10"/>
  <c r="N13" i="10"/>
  <c r="K13" i="10"/>
  <c r="F13" i="10"/>
  <c r="O12" i="10"/>
  <c r="N12" i="10"/>
  <c r="K12" i="10"/>
  <c r="F12" i="10"/>
  <c r="O11" i="10"/>
  <c r="N11" i="10"/>
  <c r="K11" i="10"/>
  <c r="F11" i="10"/>
  <c r="O10" i="10"/>
  <c r="K10" i="10"/>
  <c r="O9" i="10"/>
  <c r="N9" i="10"/>
  <c r="K9" i="10"/>
  <c r="F9" i="10"/>
  <c r="O8" i="10"/>
  <c r="N8" i="10"/>
  <c r="K8" i="10"/>
  <c r="F8" i="10"/>
  <c r="N69" i="9"/>
  <c r="N71" i="9" s="1"/>
  <c r="F65" i="9"/>
  <c r="G63" i="9" s="1"/>
  <c r="F59" i="9"/>
  <c r="F58" i="9"/>
  <c r="F57" i="9"/>
  <c r="F56" i="9"/>
  <c r="F55" i="9"/>
  <c r="F54" i="9"/>
  <c r="F53" i="9"/>
  <c r="F52" i="9"/>
  <c r="F51" i="9"/>
  <c r="P48" i="9"/>
  <c r="P46" i="9"/>
  <c r="P45" i="9"/>
  <c r="P43" i="9"/>
  <c r="P42" i="9"/>
  <c r="P41" i="9"/>
  <c r="O39" i="9"/>
  <c r="N39" i="9"/>
  <c r="K39" i="9"/>
  <c r="F39" i="9"/>
  <c r="O38" i="9"/>
  <c r="N38" i="9"/>
  <c r="K38" i="9"/>
  <c r="F38" i="9"/>
  <c r="O37" i="9"/>
  <c r="N37" i="9"/>
  <c r="K37" i="9"/>
  <c r="F37" i="9"/>
  <c r="O36" i="9"/>
  <c r="N36" i="9"/>
  <c r="K36" i="9"/>
  <c r="F36" i="9"/>
  <c r="O35" i="9"/>
  <c r="N35" i="9"/>
  <c r="K35" i="9"/>
  <c r="F35" i="9"/>
  <c r="O34" i="9"/>
  <c r="N34" i="9"/>
  <c r="K34" i="9"/>
  <c r="F34" i="9"/>
  <c r="O33" i="9"/>
  <c r="K33" i="9"/>
  <c r="O32" i="9"/>
  <c r="K32" i="9"/>
  <c r="O31" i="9"/>
  <c r="N31" i="9"/>
  <c r="K31" i="9"/>
  <c r="F31" i="9"/>
  <c r="O30" i="9"/>
  <c r="N30" i="9"/>
  <c r="K30" i="9"/>
  <c r="F30" i="9"/>
  <c r="O29" i="9"/>
  <c r="K29" i="9"/>
  <c r="O28" i="9"/>
  <c r="N28" i="9"/>
  <c r="K28" i="9"/>
  <c r="F28" i="9"/>
  <c r="O27" i="9"/>
  <c r="N27" i="9"/>
  <c r="K27" i="9"/>
  <c r="F27" i="9"/>
  <c r="O26" i="9"/>
  <c r="N26" i="9"/>
  <c r="K26" i="9"/>
  <c r="F26" i="9"/>
  <c r="O25" i="9"/>
  <c r="K25" i="9"/>
  <c r="O24" i="9"/>
  <c r="K24" i="9"/>
  <c r="O23" i="9"/>
  <c r="K23" i="9"/>
  <c r="O22" i="9"/>
  <c r="K22" i="9"/>
  <c r="O21" i="9"/>
  <c r="N21" i="9"/>
  <c r="K21" i="9"/>
  <c r="F21" i="9"/>
  <c r="O20" i="9"/>
  <c r="N20" i="9"/>
  <c r="K20" i="9"/>
  <c r="F20" i="9"/>
  <c r="O19" i="9"/>
  <c r="K19" i="9"/>
  <c r="O18" i="9"/>
  <c r="N18" i="9"/>
  <c r="K18" i="9"/>
  <c r="F18" i="9"/>
  <c r="O17" i="9"/>
  <c r="N17" i="9"/>
  <c r="K17" i="9"/>
  <c r="F17" i="9"/>
  <c r="O16" i="9"/>
  <c r="K16" i="9"/>
  <c r="O15" i="9"/>
  <c r="N15" i="9"/>
  <c r="K15" i="9"/>
  <c r="F15" i="9"/>
  <c r="O14" i="9"/>
  <c r="N14" i="9"/>
  <c r="K14" i="9"/>
  <c r="F14" i="9"/>
  <c r="N13" i="9"/>
  <c r="I13" i="9"/>
  <c r="K13" i="9" s="1"/>
  <c r="F13" i="9"/>
  <c r="O12" i="9"/>
  <c r="N12" i="9"/>
  <c r="K12" i="9"/>
  <c r="F12" i="9"/>
  <c r="O11" i="9"/>
  <c r="N11" i="9"/>
  <c r="K11" i="9"/>
  <c r="F11" i="9"/>
  <c r="O10" i="9"/>
  <c r="K10" i="9"/>
  <c r="O9" i="9"/>
  <c r="N9" i="9"/>
  <c r="K9" i="9"/>
  <c r="F9" i="9"/>
  <c r="O8" i="9"/>
  <c r="N8" i="9"/>
  <c r="K8" i="9"/>
  <c r="F8" i="9"/>
  <c r="N72" i="8"/>
  <c r="N74" i="8" s="1"/>
  <c r="F68" i="8"/>
  <c r="F64" i="8"/>
  <c r="F62" i="8"/>
  <c r="F61" i="8"/>
  <c r="F60" i="8"/>
  <c r="F59" i="8"/>
  <c r="F58" i="8"/>
  <c r="F57" i="8"/>
  <c r="F56" i="8"/>
  <c r="E55" i="8"/>
  <c r="F55" i="8" s="1"/>
  <c r="E54" i="8"/>
  <c r="F54" i="8" s="1"/>
  <c r="F53" i="8"/>
  <c r="F52" i="8"/>
  <c r="E51" i="8"/>
  <c r="F51" i="8" s="1"/>
  <c r="E50" i="8"/>
  <c r="F50" i="8" s="1"/>
  <c r="E49" i="8"/>
  <c r="F49" i="8" s="1"/>
  <c r="E48" i="8"/>
  <c r="F48" i="8" s="1"/>
  <c r="E47" i="8"/>
  <c r="F47" i="8" s="1"/>
  <c r="P44" i="8"/>
  <c r="P42" i="8"/>
  <c r="P41" i="8"/>
  <c r="P39" i="8"/>
  <c r="P38" i="8"/>
  <c r="P37" i="8"/>
  <c r="O35" i="8"/>
  <c r="N35" i="8"/>
  <c r="K35" i="8"/>
  <c r="F35" i="8"/>
  <c r="O34" i="8"/>
  <c r="K34" i="8"/>
  <c r="O33" i="8"/>
  <c r="N33" i="8"/>
  <c r="K33" i="8"/>
  <c r="F33" i="8"/>
  <c r="O32" i="8"/>
  <c r="N32" i="8"/>
  <c r="K32" i="8"/>
  <c r="F32" i="8"/>
  <c r="O31" i="8"/>
  <c r="K31" i="8"/>
  <c r="O30" i="8"/>
  <c r="K30" i="8"/>
  <c r="O29" i="8"/>
  <c r="N29" i="8"/>
  <c r="K29" i="8"/>
  <c r="F29" i="8"/>
  <c r="O28" i="8"/>
  <c r="N28" i="8"/>
  <c r="K28" i="8"/>
  <c r="F28" i="8"/>
  <c r="O27" i="8"/>
  <c r="N27" i="8"/>
  <c r="K27" i="8"/>
  <c r="F27" i="8"/>
  <c r="O26" i="8"/>
  <c r="N26" i="8"/>
  <c r="K26" i="8"/>
  <c r="F26" i="8"/>
  <c r="O25" i="8"/>
  <c r="N25" i="8"/>
  <c r="K25" i="8"/>
  <c r="F25" i="8"/>
  <c r="O24" i="8"/>
  <c r="K24" i="8"/>
  <c r="O23" i="8"/>
  <c r="N23" i="8"/>
  <c r="K23" i="8"/>
  <c r="F23" i="8"/>
  <c r="O22" i="8"/>
  <c r="K22" i="8"/>
  <c r="O21" i="8"/>
  <c r="K21" i="8"/>
  <c r="O20" i="8"/>
  <c r="K20" i="8"/>
  <c r="O19" i="8"/>
  <c r="N19" i="8"/>
  <c r="K19" i="8"/>
  <c r="F19" i="8"/>
  <c r="O18" i="8"/>
  <c r="K18" i="8"/>
  <c r="O17" i="8"/>
  <c r="N17" i="8"/>
  <c r="K17" i="8"/>
  <c r="F17" i="8"/>
  <c r="O16" i="8"/>
  <c r="N16" i="8"/>
  <c r="K16" i="8"/>
  <c r="F16" i="8"/>
  <c r="O15" i="8"/>
  <c r="K15" i="8"/>
  <c r="O14" i="8"/>
  <c r="K14" i="8"/>
  <c r="O13" i="8"/>
  <c r="N13" i="8"/>
  <c r="K13" i="8"/>
  <c r="F13" i="8"/>
  <c r="I12" i="8"/>
  <c r="K12" i="8" s="1"/>
  <c r="E12" i="8"/>
  <c r="F12" i="8" s="1"/>
  <c r="O11" i="8"/>
  <c r="N11" i="8"/>
  <c r="K11" i="8"/>
  <c r="F11" i="8"/>
  <c r="O10" i="8"/>
  <c r="N10" i="8"/>
  <c r="K10" i="8"/>
  <c r="F10" i="8"/>
  <c r="O9" i="8"/>
  <c r="K9" i="8"/>
  <c r="O8" i="8"/>
  <c r="N8" i="8"/>
  <c r="K8" i="8"/>
  <c r="F8" i="8"/>
  <c r="F65" i="7"/>
  <c r="N65" i="7" s="1"/>
  <c r="N67" i="7" s="1"/>
  <c r="F59" i="7"/>
  <c r="F56" i="7"/>
  <c r="F55" i="7"/>
  <c r="F54" i="7"/>
  <c r="F53" i="7"/>
  <c r="F52" i="7"/>
  <c r="F51" i="7"/>
  <c r="F50" i="7"/>
  <c r="F49" i="7"/>
  <c r="F48" i="7"/>
  <c r="F47" i="7"/>
  <c r="F46" i="7"/>
  <c r="F45" i="7"/>
  <c r="F44" i="7"/>
  <c r="P41" i="7"/>
  <c r="P39" i="7"/>
  <c r="P38" i="7"/>
  <c r="P36" i="7"/>
  <c r="P35" i="7"/>
  <c r="P34" i="7"/>
  <c r="O32" i="7"/>
  <c r="N32" i="7"/>
  <c r="K32" i="7"/>
  <c r="F32" i="7"/>
  <c r="O31" i="7"/>
  <c r="N31" i="7"/>
  <c r="K31" i="7"/>
  <c r="F31" i="7"/>
  <c r="O30" i="7"/>
  <c r="K30" i="7"/>
  <c r="O29" i="7"/>
  <c r="N29" i="7"/>
  <c r="K29" i="7"/>
  <c r="F29" i="7"/>
  <c r="O28" i="7"/>
  <c r="N28" i="7"/>
  <c r="K28" i="7"/>
  <c r="F28" i="7"/>
  <c r="O27" i="7"/>
  <c r="N27" i="7"/>
  <c r="K27" i="7"/>
  <c r="F27" i="7"/>
  <c r="O26" i="7"/>
  <c r="K26" i="7"/>
  <c r="O25" i="7"/>
  <c r="N25" i="7"/>
  <c r="K25" i="7"/>
  <c r="F25" i="7"/>
  <c r="O24" i="7"/>
  <c r="K24" i="7"/>
  <c r="O23" i="7"/>
  <c r="K23" i="7"/>
  <c r="O22" i="7"/>
  <c r="K22" i="7"/>
  <c r="O21" i="7"/>
  <c r="N21" i="7"/>
  <c r="K21" i="7"/>
  <c r="F21" i="7"/>
  <c r="O20" i="7"/>
  <c r="N20" i="7"/>
  <c r="K20" i="7"/>
  <c r="F20" i="7"/>
  <c r="O19" i="7"/>
  <c r="K19" i="7"/>
  <c r="O18" i="7"/>
  <c r="N18" i="7"/>
  <c r="K18" i="7"/>
  <c r="F18" i="7"/>
  <c r="O17" i="7"/>
  <c r="K17" i="7"/>
  <c r="O16" i="7"/>
  <c r="N16" i="7"/>
  <c r="K16" i="7"/>
  <c r="F16" i="7"/>
  <c r="O15" i="7"/>
  <c r="N15" i="7"/>
  <c r="K15" i="7"/>
  <c r="F15" i="7"/>
  <c r="O14" i="7"/>
  <c r="K14" i="7"/>
  <c r="N13" i="7"/>
  <c r="K13" i="7"/>
  <c r="F13" i="7"/>
  <c r="O12" i="7"/>
  <c r="K12" i="7"/>
  <c r="O11" i="7"/>
  <c r="N11" i="7"/>
  <c r="K11" i="7"/>
  <c r="F11" i="7"/>
  <c r="O10" i="7"/>
  <c r="N10" i="7"/>
  <c r="K10" i="7"/>
  <c r="F10" i="7"/>
  <c r="O9" i="7"/>
  <c r="N9" i="7"/>
  <c r="K9" i="7"/>
  <c r="F9" i="7"/>
  <c r="O8" i="7"/>
  <c r="N8" i="7"/>
  <c r="K8" i="7"/>
  <c r="F8" i="7"/>
  <c r="O57" i="6"/>
  <c r="O59" i="6" s="1"/>
  <c r="F49" i="6"/>
  <c r="F53" i="6" s="1"/>
  <c r="F48" i="6"/>
  <c r="F47" i="6"/>
  <c r="F46" i="6"/>
  <c r="F45" i="6"/>
  <c r="F44" i="6"/>
  <c r="Q41" i="6"/>
  <c r="Q39" i="6"/>
  <c r="Q38" i="6"/>
  <c r="Q36" i="6"/>
  <c r="Q35" i="6"/>
  <c r="Q34" i="6"/>
  <c r="O32" i="6"/>
  <c r="K32" i="6"/>
  <c r="F32" i="6"/>
  <c r="K31" i="6"/>
  <c r="O30" i="6"/>
  <c r="K30" i="6"/>
  <c r="F30" i="6"/>
  <c r="K29" i="6"/>
  <c r="O28" i="6"/>
  <c r="K28" i="6"/>
  <c r="F28" i="6"/>
  <c r="K27" i="6"/>
  <c r="O26" i="6"/>
  <c r="K26" i="6"/>
  <c r="F26" i="6"/>
  <c r="O25" i="6"/>
  <c r="K25" i="6"/>
  <c r="F25" i="6"/>
  <c r="K24" i="6"/>
  <c r="O23" i="6"/>
  <c r="K23" i="6"/>
  <c r="F23" i="6"/>
  <c r="O22" i="6"/>
  <c r="K22" i="6"/>
  <c r="F22" i="6"/>
  <c r="O21" i="6"/>
  <c r="K21" i="6"/>
  <c r="F21" i="6"/>
  <c r="O20" i="6"/>
  <c r="K20" i="6"/>
  <c r="F20" i="6"/>
  <c r="O19" i="6"/>
  <c r="K19" i="6"/>
  <c r="F19" i="6"/>
  <c r="K18" i="6"/>
  <c r="O17" i="6"/>
  <c r="K17" i="6"/>
  <c r="F17" i="6"/>
  <c r="O16" i="6"/>
  <c r="K16" i="6"/>
  <c r="F16" i="6"/>
  <c r="O15" i="6"/>
  <c r="K15" i="6"/>
  <c r="F15" i="6"/>
  <c r="K14" i="6"/>
  <c r="O13" i="6"/>
  <c r="K13" i="6"/>
  <c r="F13" i="6"/>
  <c r="O12" i="6"/>
  <c r="K12" i="6"/>
  <c r="F12" i="6"/>
  <c r="O11" i="6"/>
  <c r="K11" i="6"/>
  <c r="F11" i="6"/>
  <c r="O10" i="6"/>
  <c r="K10" i="6"/>
  <c r="F10" i="6"/>
  <c r="O9" i="6"/>
  <c r="K9" i="6"/>
  <c r="F9" i="6"/>
  <c r="K8" i="6"/>
  <c r="O57" i="5"/>
  <c r="O59" i="5" s="1"/>
  <c r="F53" i="5"/>
  <c r="G49" i="5" s="1"/>
  <c r="F48" i="5"/>
  <c r="F47" i="5"/>
  <c r="F46" i="5"/>
  <c r="F45" i="5"/>
  <c r="F44" i="5"/>
  <c r="F43" i="5"/>
  <c r="F42" i="5"/>
  <c r="K30" i="5"/>
  <c r="K29" i="5"/>
  <c r="K28" i="5"/>
  <c r="O27" i="5"/>
  <c r="K27" i="5"/>
  <c r="F27" i="5"/>
  <c r="K26" i="5"/>
  <c r="K25" i="5"/>
  <c r="O24" i="5"/>
  <c r="K24" i="5"/>
  <c r="F24" i="5"/>
  <c r="K23" i="5"/>
  <c r="K22" i="5"/>
  <c r="K21" i="5"/>
  <c r="K20" i="5"/>
  <c r="K19" i="5"/>
  <c r="K18" i="5"/>
  <c r="O17" i="5"/>
  <c r="K17" i="5"/>
  <c r="F17" i="5"/>
  <c r="K16" i="5"/>
  <c r="O15" i="5"/>
  <c r="K15" i="5"/>
  <c r="F15" i="5"/>
  <c r="O14" i="5"/>
  <c r="K14" i="5"/>
  <c r="F14" i="5"/>
  <c r="K13" i="5"/>
  <c r="K12" i="5"/>
  <c r="K11" i="5"/>
  <c r="K10" i="5"/>
  <c r="F10" i="5"/>
  <c r="K9" i="5"/>
  <c r="O8" i="5"/>
  <c r="K8" i="5"/>
  <c r="K49" i="5" s="1"/>
  <c r="F8" i="5"/>
  <c r="K65" i="4"/>
  <c r="O65" i="4" s="1"/>
  <c r="F62" i="4"/>
  <c r="G58" i="4" s="1"/>
  <c r="K60" i="4"/>
  <c r="F55" i="4"/>
  <c r="R51" i="4"/>
  <c r="R50" i="4"/>
  <c r="F50" i="4"/>
  <c r="R49" i="4"/>
  <c r="F49" i="4"/>
  <c r="R48" i="4"/>
  <c r="F48" i="4"/>
  <c r="R47" i="4"/>
  <c r="R46" i="4"/>
  <c r="F46" i="4"/>
  <c r="R45" i="4"/>
  <c r="R44" i="4"/>
  <c r="R43" i="4"/>
  <c r="R42" i="4"/>
  <c r="R41" i="4"/>
  <c r="F41" i="4"/>
  <c r="R40" i="4"/>
  <c r="F40" i="4"/>
  <c r="R39" i="4"/>
  <c r="F39" i="4"/>
  <c r="R38" i="4"/>
  <c r="F38" i="4"/>
  <c r="S37" i="4"/>
  <c r="F37" i="4"/>
  <c r="S35" i="4"/>
  <c r="F35" i="4"/>
  <c r="F34" i="4"/>
  <c r="F33" i="4"/>
  <c r="S32" i="4"/>
  <c r="F32" i="4"/>
  <c r="S31" i="4"/>
  <c r="F31" i="4"/>
  <c r="S30" i="4"/>
  <c r="F30" i="4"/>
  <c r="F29" i="4"/>
  <c r="S28" i="4"/>
  <c r="F28" i="4"/>
  <c r="S27" i="4"/>
  <c r="F27" i="4"/>
  <c r="F26" i="4"/>
  <c r="S25" i="4"/>
  <c r="F25" i="4"/>
  <c r="S24" i="4"/>
  <c r="F24" i="4"/>
  <c r="Q23" i="4"/>
  <c r="S23" i="4" s="1"/>
  <c r="F23" i="4"/>
  <c r="J20" i="4"/>
  <c r="P18" i="4"/>
  <c r="O18" i="4"/>
  <c r="K18" i="4"/>
  <c r="F18" i="4"/>
  <c r="P17" i="4"/>
  <c r="K17" i="4"/>
  <c r="K16" i="4"/>
  <c r="P15" i="4"/>
  <c r="O15" i="4"/>
  <c r="K15" i="4"/>
  <c r="F15" i="4"/>
  <c r="K14" i="4"/>
  <c r="P13" i="4"/>
  <c r="K13" i="4"/>
  <c r="P12" i="4"/>
  <c r="K12" i="4"/>
  <c r="P11" i="4"/>
  <c r="O11" i="4"/>
  <c r="K11" i="4"/>
  <c r="F11" i="4"/>
  <c r="P10" i="4"/>
  <c r="K10" i="4"/>
  <c r="P9" i="4"/>
  <c r="O9" i="4"/>
  <c r="K9" i="4"/>
  <c r="F9" i="4"/>
  <c r="K8" i="4"/>
  <c r="N61" i="3"/>
  <c r="N60" i="3"/>
  <c r="L55" i="3"/>
  <c r="F51" i="3"/>
  <c r="F50" i="3"/>
  <c r="F49" i="3"/>
  <c r="F48" i="3"/>
  <c r="F47" i="3"/>
  <c r="F45" i="3"/>
  <c r="F44" i="3"/>
  <c r="F42" i="3"/>
  <c r="F41" i="3"/>
  <c r="F40" i="3"/>
  <c r="F39" i="3"/>
  <c r="P38" i="3"/>
  <c r="F37" i="3"/>
  <c r="F36" i="3"/>
  <c r="F35" i="3"/>
  <c r="P34" i="3"/>
  <c r="O32" i="3"/>
  <c r="K32" i="3"/>
  <c r="O31" i="3"/>
  <c r="K31" i="3"/>
  <c r="O30" i="3"/>
  <c r="K30" i="3"/>
  <c r="K29" i="3"/>
  <c r="F29" i="3"/>
  <c r="O28" i="3"/>
  <c r="K28" i="3"/>
  <c r="O27" i="3"/>
  <c r="K27" i="3"/>
  <c r="O26" i="3"/>
  <c r="K26" i="3"/>
  <c r="O25" i="3"/>
  <c r="K25" i="3"/>
  <c r="K24" i="3"/>
  <c r="F24" i="3"/>
  <c r="O23" i="3"/>
  <c r="K23" i="3"/>
  <c r="O22" i="3"/>
  <c r="K22" i="3"/>
  <c r="O21" i="3"/>
  <c r="K21" i="3"/>
  <c r="O20" i="3"/>
  <c r="K20" i="3"/>
  <c r="O19" i="3"/>
  <c r="K19" i="3"/>
  <c r="K18" i="3"/>
  <c r="F18" i="3"/>
  <c r="K17" i="3"/>
  <c r="F17" i="3"/>
  <c r="K16" i="3"/>
  <c r="F16" i="3"/>
  <c r="K15" i="3"/>
  <c r="F15" i="3"/>
  <c r="O14" i="3"/>
  <c r="K14" i="3"/>
  <c r="O13" i="3"/>
  <c r="K13" i="3"/>
  <c r="O12" i="3"/>
  <c r="K12" i="3"/>
  <c r="O11" i="3"/>
  <c r="K11" i="3"/>
  <c r="O10" i="3"/>
  <c r="K10" i="3"/>
  <c r="O9" i="3"/>
  <c r="P9" i="3" s="1"/>
  <c r="K9" i="3"/>
  <c r="O8" i="3"/>
  <c r="P8" i="3" s="1"/>
  <c r="K8" i="3"/>
  <c r="N52" i="2"/>
  <c r="L41" i="2"/>
  <c r="E36" i="2"/>
  <c r="E35" i="2"/>
  <c r="E34" i="2"/>
  <c r="E33" i="2"/>
  <c r="E32" i="2"/>
  <c r="E31" i="2"/>
  <c r="E30" i="2"/>
  <c r="J27" i="2"/>
  <c r="E27" i="2"/>
  <c r="J26" i="2"/>
  <c r="E26" i="2"/>
  <c r="J25" i="2"/>
  <c r="E25" i="2"/>
  <c r="J24" i="2"/>
  <c r="J23" i="2"/>
  <c r="J22" i="2"/>
  <c r="E22" i="2"/>
  <c r="J21" i="2"/>
  <c r="E21" i="2"/>
  <c r="N20" i="2"/>
  <c r="J20" i="2"/>
  <c r="E20" i="2"/>
  <c r="J19" i="2"/>
  <c r="E19" i="2"/>
  <c r="J18" i="2"/>
  <c r="E18" i="2"/>
  <c r="J17" i="2"/>
  <c r="J16" i="2"/>
  <c r="E16" i="2"/>
  <c r="J15" i="2"/>
  <c r="J14" i="2"/>
  <c r="E14" i="2"/>
  <c r="J13" i="2"/>
  <c r="E13" i="2"/>
  <c r="J12" i="2"/>
  <c r="E12" i="2"/>
  <c r="J11" i="2"/>
  <c r="E11" i="2"/>
  <c r="J10" i="2"/>
  <c r="E10" i="2"/>
  <c r="J9" i="2"/>
  <c r="E9" i="2"/>
  <c r="J8" i="2"/>
  <c r="E8" i="2"/>
  <c r="P41" i="1"/>
  <c r="K38" i="1"/>
  <c r="P38" i="1" s="1"/>
  <c r="K32" i="1"/>
  <c r="K31" i="1"/>
  <c r="F31" i="1"/>
  <c r="G31" i="1" s="1"/>
  <c r="K30" i="1"/>
  <c r="F30" i="1"/>
  <c r="G30" i="1" s="1"/>
  <c r="K29" i="1"/>
  <c r="F29" i="1"/>
  <c r="G29" i="1" s="1"/>
  <c r="K28" i="1"/>
  <c r="F28" i="1"/>
  <c r="G28" i="1" s="1"/>
  <c r="F23" i="1"/>
  <c r="G23" i="1" s="1"/>
  <c r="F20" i="1"/>
  <c r="G20" i="1" s="1"/>
  <c r="F15" i="1"/>
  <c r="G15" i="1" s="1"/>
  <c r="F13" i="1"/>
  <c r="G13" i="1" s="1"/>
  <c r="F12" i="1"/>
  <c r="G12" i="1" s="1"/>
  <c r="F11" i="1"/>
  <c r="G11" i="1" s="1"/>
  <c r="F10" i="1"/>
  <c r="G10" i="1" s="1"/>
  <c r="N426" i="20" l="1"/>
  <c r="I437" i="20"/>
  <c r="F72" i="47"/>
  <c r="H72" i="47" s="1"/>
  <c r="J72" i="47" s="1"/>
  <c r="N21" i="47"/>
  <c r="N11" i="47"/>
  <c r="N17" i="47"/>
  <c r="N14" i="47"/>
  <c r="N15" i="47"/>
  <c r="N34" i="47"/>
  <c r="N43" i="47"/>
  <c r="N20" i="47"/>
  <c r="N38" i="47"/>
  <c r="N32" i="47"/>
  <c r="N44" i="47"/>
  <c r="N26" i="47"/>
  <c r="N36" i="47"/>
  <c r="N29" i="47"/>
  <c r="N31" i="47"/>
  <c r="N35" i="47"/>
  <c r="N9" i="47"/>
  <c r="G5" i="39"/>
  <c r="G1026" i="19"/>
  <c r="G654" i="19"/>
  <c r="G18" i="12"/>
  <c r="G26" i="12"/>
  <c r="N427" i="20" a="1"/>
  <c r="N427" i="20" s="1"/>
  <c r="G37" i="12"/>
  <c r="G29" i="12"/>
  <c r="G51" i="12"/>
  <c r="N18" i="38"/>
  <c r="N36" i="38"/>
  <c r="N51" i="38"/>
  <c r="N14" i="38"/>
  <c r="N30" i="38"/>
  <c r="N40" i="38"/>
  <c r="N25" i="38"/>
  <c r="N20" i="38"/>
  <c r="N23" i="38"/>
  <c r="N47" i="38"/>
  <c r="N10" i="38"/>
  <c r="N27" i="38"/>
  <c r="N16" i="38"/>
  <c r="N29" i="38"/>
  <c r="N53" i="38"/>
  <c r="N32" i="38"/>
  <c r="N12" i="38"/>
  <c r="N9" i="38"/>
  <c r="N26" i="38"/>
  <c r="N52" i="38"/>
  <c r="N31" i="38"/>
  <c r="N19" i="38"/>
  <c r="N39" i="38"/>
  <c r="N22" i="38"/>
  <c r="J361" i="20" a="1"/>
  <c r="J361" i="20" s="1"/>
  <c r="J362" i="20" a="1"/>
  <c r="J362" i="20" s="1"/>
  <c r="J370" i="20" a="1"/>
  <c r="J370" i="20" s="1"/>
  <c r="B66" i="36"/>
  <c r="B65" i="36" s="1"/>
  <c r="A67" i="36"/>
  <c r="G13" i="9"/>
  <c r="G11" i="9"/>
  <c r="G27" i="15"/>
  <c r="G20" i="32"/>
  <c r="G45" i="32"/>
  <c r="G1174" i="19"/>
  <c r="J360" i="20" a="1"/>
  <c r="J360" i="20" s="1"/>
  <c r="N244" i="20"/>
  <c r="N246" i="20"/>
  <c r="N248" i="20"/>
  <c r="N250" i="20"/>
  <c r="N252" i="20"/>
  <c r="N254" i="20"/>
  <c r="N256" i="20"/>
  <c r="N258" i="20"/>
  <c r="N260" i="20"/>
  <c r="N262" i="20"/>
  <c r="N264" i="20"/>
  <c r="N266" i="20"/>
  <c r="N268" i="20"/>
  <c r="N270" i="20"/>
  <c r="N272" i="20"/>
  <c r="N274" i="20"/>
  <c r="N220" i="20"/>
  <c r="N222" i="20"/>
  <c r="N224" i="20"/>
  <c r="N226" i="20"/>
  <c r="N228" i="20"/>
  <c r="N230" i="20"/>
  <c r="N232" i="20"/>
  <c r="N234" i="20"/>
  <c r="N238" i="20"/>
  <c r="N242" i="20"/>
  <c r="N291" i="20"/>
  <c r="N294" i="20"/>
  <c r="N297" i="20"/>
  <c r="N299" i="20"/>
  <c r="N236" i="20"/>
  <c r="N240" i="20"/>
  <c r="N287" i="20"/>
  <c r="N276" i="20"/>
  <c r="N278" i="20"/>
  <c r="N280" i="20"/>
  <c r="N282" i="20"/>
  <c r="N284" i="20"/>
  <c r="N286" i="20"/>
  <c r="N293" i="20"/>
  <c r="N298" i="20"/>
  <c r="N243" i="20"/>
  <c r="N245" i="20"/>
  <c r="N247" i="20"/>
  <c r="N249" i="20"/>
  <c r="N251" i="20"/>
  <c r="N253" i="20"/>
  <c r="N255" i="20"/>
  <c r="N257" i="20"/>
  <c r="N259" i="20"/>
  <c r="N261" i="20"/>
  <c r="N263" i="20"/>
  <c r="N265" i="20"/>
  <c r="N267" i="20"/>
  <c r="N269" i="20"/>
  <c r="N271" i="20"/>
  <c r="N273" i="20"/>
  <c r="N275" i="20"/>
  <c r="N277" i="20"/>
  <c r="N279" i="20"/>
  <c r="N281" i="20"/>
  <c r="N283" i="20"/>
  <c r="N285" i="20"/>
  <c r="N288" i="20"/>
  <c r="N292" i="20"/>
  <c r="N296" i="20"/>
  <c r="N290" i="20"/>
  <c r="N219" i="20"/>
  <c r="N221" i="20"/>
  <c r="N223" i="20"/>
  <c r="N225" i="20"/>
  <c r="N227" i="20"/>
  <c r="N229" i="20"/>
  <c r="N231" i="20"/>
  <c r="N233" i="20"/>
  <c r="N235" i="20"/>
  <c r="N237" i="20"/>
  <c r="N239" i="20"/>
  <c r="N241" i="20"/>
  <c r="N289" i="20"/>
  <c r="N295" i="20"/>
  <c r="N300" i="20"/>
  <c r="N301" i="20"/>
  <c r="N33" i="38"/>
  <c r="N15" i="38"/>
  <c r="N19" i="32"/>
  <c r="G67" i="32"/>
  <c r="G19" i="32"/>
  <c r="I66" i="15"/>
  <c r="G357" i="19"/>
  <c r="G361" i="19"/>
  <c r="G15" i="15"/>
  <c r="M34" i="13"/>
  <c r="P16" i="4"/>
  <c r="G22" i="12"/>
  <c r="G49" i="15"/>
  <c r="I56" i="14"/>
  <c r="G27" i="5"/>
  <c r="K149" i="20"/>
  <c r="G78" i="13"/>
  <c r="I62" i="15"/>
  <c r="M12" i="13"/>
  <c r="K145" i="20"/>
  <c r="G682" i="19"/>
  <c r="K144" i="20"/>
  <c r="G14" i="10"/>
  <c r="M44" i="13"/>
  <c r="G66" i="12"/>
  <c r="O27" i="12"/>
  <c r="G18" i="11"/>
  <c r="G17" i="8"/>
  <c r="G18" i="9"/>
  <c r="G36" i="9"/>
  <c r="G38" i="9"/>
  <c r="G15" i="11"/>
  <c r="G32" i="11"/>
  <c r="I68" i="13"/>
  <c r="K43" i="14"/>
  <c r="M40" i="13"/>
  <c r="N43" i="12"/>
  <c r="G16" i="8"/>
  <c r="G10" i="11"/>
  <c r="G27" i="11"/>
  <c r="N9" i="12"/>
  <c r="F38" i="14"/>
  <c r="G38" i="14" s="1"/>
  <c r="M22" i="13"/>
  <c r="N32" i="12"/>
  <c r="G12" i="15"/>
  <c r="N17" i="3"/>
  <c r="K50" i="15"/>
  <c r="I60" i="15"/>
  <c r="G16" i="6"/>
  <c r="G71" i="15"/>
  <c r="G29" i="15"/>
  <c r="N28" i="12"/>
  <c r="N25" i="12"/>
  <c r="G47" i="15"/>
  <c r="G14" i="12"/>
  <c r="G33" i="12"/>
  <c r="G44" i="12"/>
  <c r="M49" i="13"/>
  <c r="H1024" i="19"/>
  <c r="G30" i="9"/>
  <c r="G9" i="11"/>
  <c r="N30" i="12"/>
  <c r="G12" i="9"/>
  <c r="G27" i="9"/>
  <c r="I60" i="14"/>
  <c r="G12" i="14"/>
  <c r="K44" i="15"/>
  <c r="I61" i="15"/>
  <c r="N34" i="33"/>
  <c r="N20" i="12"/>
  <c r="L70" i="12"/>
  <c r="G17" i="32"/>
  <c r="G28" i="32"/>
  <c r="G39" i="32"/>
  <c r="G52" i="32"/>
  <c r="N8" i="2"/>
  <c r="N29" i="3"/>
  <c r="F43" i="14"/>
  <c r="G43" i="14" s="1"/>
  <c r="I62" i="32"/>
  <c r="M28" i="13"/>
  <c r="M25" i="13"/>
  <c r="G11" i="11"/>
  <c r="G19" i="11"/>
  <c r="M32" i="13"/>
  <c r="G28" i="11"/>
  <c r="M33" i="13"/>
  <c r="G29" i="11"/>
  <c r="G20" i="14"/>
  <c r="G13" i="11"/>
  <c r="I63" i="13"/>
  <c r="G9" i="14"/>
  <c r="N29" i="13"/>
  <c r="G21" i="11"/>
  <c r="G31" i="11"/>
  <c r="G17" i="11"/>
  <c r="N42" i="12"/>
  <c r="G60" i="4"/>
  <c r="G62" i="4" s="1"/>
  <c r="M31" i="13"/>
  <c r="O13" i="9"/>
  <c r="O12" i="8"/>
  <c r="N16" i="2"/>
  <c r="N27" i="2"/>
  <c r="K53" i="3"/>
  <c r="L53" i="3" s="1"/>
  <c r="L57" i="3" s="1"/>
  <c r="N15" i="3"/>
  <c r="G23" i="11"/>
  <c r="G25" i="11"/>
  <c r="N10" i="12"/>
  <c r="N19" i="12"/>
  <c r="I59" i="12"/>
  <c r="I63" i="12"/>
  <c r="I64" i="13"/>
  <c r="G22" i="14"/>
  <c r="G32" i="32"/>
  <c r="M21" i="13"/>
  <c r="G20" i="11"/>
  <c r="L20" i="12"/>
  <c r="G30" i="11"/>
  <c r="O13" i="7"/>
  <c r="G31" i="14"/>
  <c r="N35" i="33"/>
  <c r="N23" i="33"/>
  <c r="N19" i="33"/>
  <c r="N26" i="33"/>
  <c r="G22" i="10"/>
  <c r="K38" i="11"/>
  <c r="K44" i="11"/>
  <c r="G45" i="12"/>
  <c r="N11" i="2"/>
  <c r="N21" i="2"/>
  <c r="O10" i="5"/>
  <c r="I58" i="12"/>
  <c r="I65" i="14"/>
  <c r="N12" i="2"/>
  <c r="N19" i="2"/>
  <c r="K57" i="7"/>
  <c r="K61" i="7" s="1"/>
  <c r="L19" i="7" s="1"/>
  <c r="I69" i="13"/>
  <c r="I72" i="13"/>
  <c r="G26" i="14"/>
  <c r="G27" i="14"/>
  <c r="G32" i="14"/>
  <c r="K49" i="14"/>
  <c r="I64" i="14"/>
  <c r="I59" i="15"/>
  <c r="I63" i="15"/>
  <c r="I67" i="15"/>
  <c r="G9" i="15"/>
  <c r="G38" i="32"/>
  <c r="K53" i="32"/>
  <c r="K151" i="20"/>
  <c r="K146" i="20"/>
  <c r="K142" i="20"/>
  <c r="K58" i="13"/>
  <c r="L58" i="13" s="1"/>
  <c r="K52" i="13"/>
  <c r="L52" i="13" s="1"/>
  <c r="N12" i="8"/>
  <c r="M14" i="13"/>
  <c r="G35" i="10"/>
  <c r="G29" i="10"/>
  <c r="G36" i="15"/>
  <c r="G31" i="12"/>
  <c r="K150" i="20"/>
  <c r="G25" i="15"/>
  <c r="G18" i="15"/>
  <c r="M24" i="13"/>
  <c r="G710" i="19"/>
  <c r="K152" i="20"/>
  <c r="N33" i="12"/>
  <c r="K147" i="20"/>
  <c r="G35" i="15"/>
  <c r="G32" i="15"/>
  <c r="G24" i="15"/>
  <c r="G34" i="15"/>
  <c r="G26" i="10"/>
  <c r="G11" i="15"/>
  <c r="G10" i="5"/>
  <c r="I74" i="33"/>
  <c r="J74" i="33" s="1"/>
  <c r="N21" i="33"/>
  <c r="N14" i="33"/>
  <c r="K148" i="20"/>
  <c r="F52" i="13"/>
  <c r="G52" i="13" s="1"/>
  <c r="G56" i="13"/>
  <c r="G67" i="10"/>
  <c r="K143" i="20"/>
  <c r="M13" i="13"/>
  <c r="G34" i="10"/>
  <c r="M141" i="20"/>
  <c r="M56" i="13"/>
  <c r="M37" i="13"/>
  <c r="G28" i="15"/>
  <c r="G23" i="15"/>
  <c r="G26" i="15"/>
  <c r="K141" i="20"/>
  <c r="G15" i="12"/>
  <c r="E39" i="2"/>
  <c r="E43" i="2" s="1"/>
  <c r="F27" i="2" s="1"/>
  <c r="P14" i="4"/>
  <c r="L18" i="5"/>
  <c r="G14" i="5"/>
  <c r="G24" i="5"/>
  <c r="K49" i="6"/>
  <c r="L12" i="6" s="1"/>
  <c r="I62" i="12"/>
  <c r="I67" i="13"/>
  <c r="G16" i="15"/>
  <c r="G17" i="15"/>
  <c r="G19" i="15"/>
  <c r="G20" i="15"/>
  <c r="G21" i="15"/>
  <c r="G22" i="15"/>
  <c r="G31" i="15"/>
  <c r="G37" i="15"/>
  <c r="G38" i="15"/>
  <c r="G39" i="15"/>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G12" i="32"/>
  <c r="G16" i="32"/>
  <c r="G24" i="32"/>
  <c r="G34" i="32"/>
  <c r="G47" i="32"/>
  <c r="N17" i="33"/>
  <c r="N46" i="33"/>
  <c r="N38" i="33"/>
  <c r="G8" i="5"/>
  <c r="G51" i="5"/>
  <c r="G53" i="5" s="1"/>
  <c r="M10" i="13"/>
  <c r="N44" i="12"/>
  <c r="L27" i="12"/>
  <c r="G15" i="5"/>
  <c r="G11" i="12"/>
  <c r="G24" i="12"/>
  <c r="N9" i="2"/>
  <c r="N13" i="2"/>
  <c r="N18" i="2"/>
  <c r="N22" i="2"/>
  <c r="N25" i="2"/>
  <c r="P8" i="4"/>
  <c r="N45" i="12"/>
  <c r="I57" i="12"/>
  <c r="G24" i="13"/>
  <c r="G69" i="32"/>
  <c r="G10" i="32"/>
  <c r="G25" i="32"/>
  <c r="G30" i="32"/>
  <c r="G35" i="32"/>
  <c r="G44" i="32"/>
  <c r="G51" i="32"/>
  <c r="F34" i="1"/>
  <c r="F36" i="1" s="1"/>
  <c r="M29" i="13"/>
  <c r="G21" i="10"/>
  <c r="G17" i="5"/>
  <c r="G36" i="10"/>
  <c r="G28" i="12"/>
  <c r="G25" i="12"/>
  <c r="G12" i="10"/>
  <c r="G18" i="10"/>
  <c r="G19" i="10"/>
  <c r="G9" i="12"/>
  <c r="G21" i="12"/>
  <c r="I73" i="13"/>
  <c r="I53" i="14"/>
  <c r="I57" i="14"/>
  <c r="I61" i="14"/>
  <c r="G23" i="14"/>
  <c r="G14" i="15"/>
  <c r="I64" i="15"/>
  <c r="I65" i="15"/>
  <c r="I68" i="15"/>
  <c r="G9" i="32"/>
  <c r="G11" i="32"/>
  <c r="G15" i="32"/>
  <c r="G23" i="32"/>
  <c r="G31" i="32"/>
  <c r="G33" i="32"/>
  <c r="G37" i="32"/>
  <c r="G40" i="32"/>
  <c r="G46" i="32"/>
  <c r="G56" i="32"/>
  <c r="G20" i="6"/>
  <c r="G30" i="6"/>
  <c r="G26" i="6"/>
  <c r="G32" i="6"/>
  <c r="G15" i="6"/>
  <c r="M50" i="13"/>
  <c r="M26" i="13"/>
  <c r="G46" i="14"/>
  <c r="M51" i="13"/>
  <c r="M27" i="13"/>
  <c r="N23" i="12"/>
  <c r="M11" i="13"/>
  <c r="G61" i="9"/>
  <c r="G65" i="9" s="1"/>
  <c r="G30" i="14"/>
  <c r="G24" i="14"/>
  <c r="G19" i="14"/>
  <c r="G35" i="9"/>
  <c r="G17" i="9"/>
  <c r="G8" i="9"/>
  <c r="G9" i="9"/>
  <c r="G31" i="9"/>
  <c r="G37" i="9"/>
  <c r="N27" i="12"/>
  <c r="I60" i="12"/>
  <c r="I64" i="12"/>
  <c r="K46" i="13"/>
  <c r="L46" i="13" s="1"/>
  <c r="G41" i="14"/>
  <c r="M38" i="13"/>
  <c r="M57" i="13"/>
  <c r="K46" i="12"/>
  <c r="L46" i="12" s="1"/>
  <c r="M20" i="13"/>
  <c r="G28" i="14"/>
  <c r="G39" i="9"/>
  <c r="G34" i="9"/>
  <c r="G11" i="6"/>
  <c r="G23" i="6"/>
  <c r="G10" i="8"/>
  <c r="G11" i="8"/>
  <c r="I69" i="33"/>
  <c r="J69" i="33" s="1"/>
  <c r="F53" i="3"/>
  <c r="F57" i="3" s="1"/>
  <c r="G50" i="3" s="1"/>
  <c r="G10" i="6"/>
  <c r="G22" i="6"/>
  <c r="G14" i="9"/>
  <c r="G15" i="9"/>
  <c r="G20" i="9"/>
  <c r="G21" i="9"/>
  <c r="G26" i="9"/>
  <c r="G28" i="9"/>
  <c r="N22" i="12"/>
  <c r="N35" i="12"/>
  <c r="I61" i="12"/>
  <c r="I66" i="13"/>
  <c r="I70" i="13"/>
  <c r="I71" i="13"/>
  <c r="I74" i="13"/>
  <c r="G49" i="14"/>
  <c r="I60" i="33"/>
  <c r="J60" i="33" s="1"/>
  <c r="N29" i="33"/>
  <c r="N30" i="33"/>
  <c r="D107" i="20"/>
  <c r="B108" i="20" s="1"/>
  <c r="N33" i="33"/>
  <c r="N25" i="33"/>
  <c r="N15" i="33"/>
  <c r="N26" i="2"/>
  <c r="N18" i="3"/>
  <c r="N24" i="3"/>
  <c r="G13" i="6"/>
  <c r="I71" i="33"/>
  <c r="J71" i="33" s="1"/>
  <c r="N40" i="33"/>
  <c r="N20" i="33"/>
  <c r="N10" i="33"/>
  <c r="K64" i="8"/>
  <c r="K68" i="8" s="1"/>
  <c r="L16" i="8" s="1"/>
  <c r="I65" i="13"/>
  <c r="J62" i="32"/>
  <c r="K54" i="33"/>
  <c r="N24" i="33"/>
  <c r="I61" i="32"/>
  <c r="I65" i="33"/>
  <c r="J65" i="33" s="1"/>
  <c r="I63" i="33"/>
  <c r="J63" i="33" s="1"/>
  <c r="N31" i="33"/>
  <c r="N52" i="33"/>
  <c r="N9" i="33"/>
  <c r="G651" i="19"/>
  <c r="G401" i="19" s="1"/>
  <c r="G23" i="8"/>
  <c r="K61" i="9"/>
  <c r="K65" i="9" s="1"/>
  <c r="L61" i="9" s="1"/>
  <c r="K65" i="10"/>
  <c r="K69" i="10" s="1"/>
  <c r="L65" i="10" s="1"/>
  <c r="N29" i="12"/>
  <c r="I62" i="13"/>
  <c r="K38" i="14"/>
  <c r="L379" i="20"/>
  <c r="F379" i="20" s="1"/>
  <c r="I61" i="33"/>
  <c r="J61" i="33" s="1"/>
  <c r="K47" i="33"/>
  <c r="N18" i="33"/>
  <c r="N37" i="33"/>
  <c r="J39" i="2"/>
  <c r="L8" i="2" s="1"/>
  <c r="I65" i="32"/>
  <c r="I72" i="33"/>
  <c r="J72" i="33" s="1"/>
  <c r="I67" i="33"/>
  <c r="J67" i="33" s="1"/>
  <c r="K42" i="33"/>
  <c r="N41" i="33"/>
  <c r="L13" i="5"/>
  <c r="L14" i="5"/>
  <c r="L21" i="5"/>
  <c r="L16" i="5"/>
  <c r="L27" i="5"/>
  <c r="L20" i="5"/>
  <c r="L23" i="5"/>
  <c r="L10" i="5"/>
  <c r="L26" i="5"/>
  <c r="L24" i="5"/>
  <c r="L8" i="5"/>
  <c r="G65" i="10"/>
  <c r="G27" i="10"/>
  <c r="G13" i="10"/>
  <c r="G17" i="10"/>
  <c r="G68" i="12"/>
  <c r="G23" i="12"/>
  <c r="G49" i="12"/>
  <c r="G43" i="12"/>
  <c r="G12" i="8"/>
  <c r="M19" i="13"/>
  <c r="G25" i="10"/>
  <c r="N15" i="12"/>
  <c r="G23" i="10"/>
  <c r="G42" i="12"/>
  <c r="M42" i="13"/>
  <c r="G34" i="12"/>
  <c r="G17" i="12"/>
  <c r="G52" i="12"/>
  <c r="G16" i="10"/>
  <c r="G11" i="10"/>
  <c r="G38" i="12"/>
  <c r="G33" i="10"/>
  <c r="G9" i="10"/>
  <c r="G64" i="8"/>
  <c r="G27" i="12"/>
  <c r="G50" i="12"/>
  <c r="G13" i="8"/>
  <c r="N16" i="3"/>
  <c r="K58" i="4"/>
  <c r="L16" i="4" s="1"/>
  <c r="G19" i="8"/>
  <c r="G25" i="8"/>
  <c r="G26" i="8"/>
  <c r="G27" i="8"/>
  <c r="G28" i="8"/>
  <c r="G29" i="8"/>
  <c r="G32" i="8"/>
  <c r="G33" i="8"/>
  <c r="G16" i="12"/>
  <c r="G20" i="12"/>
  <c r="G70" i="14"/>
  <c r="G71" i="14" s="1"/>
  <c r="G21" i="14"/>
  <c r="G25" i="14"/>
  <c r="G29" i="14"/>
  <c r="G35" i="14"/>
  <c r="G24" i="10"/>
  <c r="K53" i="12"/>
  <c r="L53" i="12" s="1"/>
  <c r="L19" i="12"/>
  <c r="G32" i="10"/>
  <c r="G35" i="12"/>
  <c r="G30" i="12"/>
  <c r="G13" i="12"/>
  <c r="G15" i="10"/>
  <c r="G28" i="10"/>
  <c r="G19" i="12"/>
  <c r="G35" i="8"/>
  <c r="N14" i="2"/>
  <c r="G8" i="8"/>
  <c r="G66" i="8"/>
  <c r="G8" i="10"/>
  <c r="N41" i="32"/>
  <c r="E550" i="19"/>
  <c r="G12" i="12"/>
  <c r="N18" i="12"/>
  <c r="N21" i="12"/>
  <c r="G32" i="12"/>
  <c r="N36" i="12"/>
  <c r="G10" i="14"/>
  <c r="G14" i="14"/>
  <c r="G15" i="14"/>
  <c r="G16" i="14"/>
  <c r="G17" i="14"/>
  <c r="G34" i="14"/>
  <c r="G36" i="14"/>
  <c r="G37" i="14"/>
  <c r="G42" i="14"/>
  <c r="I54" i="14"/>
  <c r="I55" i="14"/>
  <c r="I58" i="14"/>
  <c r="I59" i="14"/>
  <c r="I62" i="14"/>
  <c r="I63" i="14"/>
  <c r="I66" i="14"/>
  <c r="I67" i="14"/>
  <c r="G642" i="19"/>
  <c r="I66" i="33"/>
  <c r="J66" i="33" s="1"/>
  <c r="F5" i="20"/>
  <c r="H5" i="20" s="1"/>
  <c r="I63" i="32"/>
  <c r="N22" i="33"/>
  <c r="H1042" i="19"/>
  <c r="G24" i="11"/>
  <c r="G10" i="12"/>
  <c r="N50" i="33"/>
  <c r="N36" i="33"/>
  <c r="N32" i="33"/>
  <c r="N28" i="33"/>
  <c r="N12" i="33"/>
  <c r="I64" i="33"/>
  <c r="J64" i="33" s="1"/>
  <c r="I68" i="33"/>
  <c r="J68" i="33" s="1"/>
  <c r="J65" i="32"/>
  <c r="N27" i="33"/>
  <c r="K48" i="32"/>
  <c r="G29" i="32"/>
  <c r="G18" i="32"/>
  <c r="G43" i="32"/>
  <c r="J61" i="32"/>
  <c r="I58" i="33"/>
  <c r="J58" i="33" s="1"/>
  <c r="I59" i="33"/>
  <c r="J59" i="33" s="1"/>
  <c r="I62" i="33"/>
  <c r="J62" i="33" s="1"/>
  <c r="I70" i="33"/>
  <c r="J70" i="33" s="1"/>
  <c r="I73" i="33"/>
  <c r="J73" i="33" s="1"/>
  <c r="L12" i="5"/>
  <c r="L19" i="5"/>
  <c r="L17" i="5"/>
  <c r="L25" i="5"/>
  <c r="L15" i="5"/>
  <c r="L30" i="5"/>
  <c r="N50" i="12"/>
  <c r="G9" i="6"/>
  <c r="G17" i="6"/>
  <c r="G28" i="6"/>
  <c r="K39" i="12"/>
  <c r="L39" i="12" s="1"/>
  <c r="N12" i="12"/>
  <c r="G19" i="6"/>
  <c r="G36" i="12"/>
  <c r="G16" i="11"/>
  <c r="G12" i="11"/>
  <c r="G66" i="11"/>
  <c r="G68" i="11" s="1"/>
  <c r="G14" i="11"/>
  <c r="G21" i="6"/>
  <c r="G43" i="15"/>
  <c r="G40" i="15"/>
  <c r="G42" i="15"/>
  <c r="G10" i="15"/>
  <c r="G73" i="15"/>
  <c r="G41" i="15"/>
  <c r="L29" i="5"/>
  <c r="L9" i="5"/>
  <c r="L11" i="5"/>
  <c r="K53" i="5"/>
  <c r="L22" i="5"/>
  <c r="L28" i="5"/>
  <c r="G25" i="6"/>
  <c r="G51" i="6"/>
  <c r="G49" i="6"/>
  <c r="G12" i="6"/>
  <c r="M9" i="13"/>
  <c r="J64" i="32"/>
  <c r="I64" i="32"/>
  <c r="J63" i="32"/>
  <c r="N51" i="33"/>
  <c r="G434" i="20" l="1"/>
  <c r="G29" i="39"/>
  <c r="I440" i="20"/>
  <c r="I72" i="47"/>
  <c r="N27" i="47"/>
  <c r="N16" i="47"/>
  <c r="N22" i="47"/>
  <c r="G9" i="39"/>
  <c r="G711" i="19"/>
  <c r="G55" i="39"/>
  <c r="G47" i="39"/>
  <c r="N11" i="38"/>
  <c r="N21" i="38"/>
  <c r="A66" i="36"/>
  <c r="A65" i="36" s="1"/>
  <c r="C67" i="36"/>
  <c r="F88" i="39"/>
  <c r="F90" i="39" s="1"/>
  <c r="F389" i="20"/>
  <c r="L29" i="7"/>
  <c r="G72" i="32"/>
  <c r="I75" i="13"/>
  <c r="L32" i="7"/>
  <c r="K67" i="32"/>
  <c r="F77" i="33" s="1"/>
  <c r="F19" i="2"/>
  <c r="G70" i="12"/>
  <c r="N16" i="33"/>
  <c r="N45" i="33"/>
  <c r="L16" i="7"/>
  <c r="L8" i="7"/>
  <c r="L9" i="6"/>
  <c r="L28" i="6"/>
  <c r="L16" i="6"/>
  <c r="L31" i="6"/>
  <c r="L15" i="6"/>
  <c r="L29" i="6"/>
  <c r="L20" i="6"/>
  <c r="L19" i="6"/>
  <c r="F57" i="7"/>
  <c r="L21" i="6"/>
  <c r="L30" i="6"/>
  <c r="L11" i="6"/>
  <c r="L14" i="6"/>
  <c r="L17" i="6"/>
  <c r="L22" i="6"/>
  <c r="L26" i="6"/>
  <c r="L10" i="6"/>
  <c r="L24" i="6"/>
  <c r="L18" i="6"/>
  <c r="L23" i="6"/>
  <c r="K53" i="6"/>
  <c r="M49" i="6" s="1"/>
  <c r="L32" i="6"/>
  <c r="L27" i="6"/>
  <c r="L25" i="6"/>
  <c r="L13" i="6"/>
  <c r="L8" i="6"/>
  <c r="N39" i="33"/>
  <c r="N13" i="33"/>
  <c r="N13" i="38"/>
  <c r="N11" i="33"/>
  <c r="G75" i="15"/>
  <c r="K71" i="15"/>
  <c r="K75" i="15" s="1"/>
  <c r="L71" i="15" s="1"/>
  <c r="K64" i="11"/>
  <c r="K68" i="11" s="1"/>
  <c r="L13" i="11" s="1"/>
  <c r="F33" i="2"/>
  <c r="G18" i="3"/>
  <c r="F30" i="2"/>
  <c r="L66" i="8"/>
  <c r="L64" i="8"/>
  <c r="L19" i="8"/>
  <c r="P141" i="20"/>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L23" i="8"/>
  <c r="L10" i="7"/>
  <c r="L15" i="7"/>
  <c r="L28" i="7"/>
  <c r="L24" i="7"/>
  <c r="L23" i="7"/>
  <c r="L59" i="7"/>
  <c r="L26" i="7"/>
  <c r="L21" i="7"/>
  <c r="L27" i="7"/>
  <c r="L22" i="7"/>
  <c r="L18" i="7"/>
  <c r="L13" i="7"/>
  <c r="L30" i="7"/>
  <c r="F16" i="2"/>
  <c r="F20" i="2"/>
  <c r="G69" i="10"/>
  <c r="K69" i="14"/>
  <c r="K71" i="14" s="1"/>
  <c r="L69" i="14" s="1"/>
  <c r="L15" i="4"/>
  <c r="L8" i="4"/>
  <c r="L9" i="7"/>
  <c r="L57" i="7"/>
  <c r="L31" i="7"/>
  <c r="L11" i="7"/>
  <c r="L25" i="7"/>
  <c r="G24" i="3"/>
  <c r="G42" i="3"/>
  <c r="L12" i="7"/>
  <c r="L20" i="7"/>
  <c r="L14" i="7"/>
  <c r="L17" i="7"/>
  <c r="L20" i="4"/>
  <c r="J43" i="2"/>
  <c r="K41" i="2" s="1"/>
  <c r="L15" i="2"/>
  <c r="S15" i="2" s="1"/>
  <c r="L22" i="2"/>
  <c r="P22" i="2" s="1"/>
  <c r="L17" i="4"/>
  <c r="L26" i="2"/>
  <c r="S26" i="2" s="1"/>
  <c r="G48" i="3"/>
  <c r="E434" i="20"/>
  <c r="L8" i="9"/>
  <c r="L13" i="8"/>
  <c r="L28" i="8"/>
  <c r="L29" i="8"/>
  <c r="L17" i="8"/>
  <c r="F41" i="2"/>
  <c r="F18" i="2"/>
  <c r="F25" i="2"/>
  <c r="L13" i="4"/>
  <c r="L18" i="4"/>
  <c r="K62" i="4"/>
  <c r="M58" i="4" s="1"/>
  <c r="F36" i="2"/>
  <c r="F9" i="2"/>
  <c r="N68" i="8"/>
  <c r="G44" i="3"/>
  <c r="F32" i="2"/>
  <c r="F21" i="2"/>
  <c r="L22" i="8"/>
  <c r="F12" i="2"/>
  <c r="F11" i="2"/>
  <c r="L26" i="8"/>
  <c r="F22" i="2"/>
  <c r="F31" i="2"/>
  <c r="L39" i="9"/>
  <c r="L9" i="8"/>
  <c r="L35" i="8"/>
  <c r="F26" i="2"/>
  <c r="F34" i="2"/>
  <c r="F13" i="2"/>
  <c r="L12" i="4"/>
  <c r="L11" i="4"/>
  <c r="L9" i="4"/>
  <c r="L25" i="8"/>
  <c r="L21" i="8"/>
  <c r="L34" i="8"/>
  <c r="F10" i="2"/>
  <c r="F14" i="2"/>
  <c r="L14" i="4"/>
  <c r="L10" i="4"/>
  <c r="F35" i="2"/>
  <c r="F8" i="2"/>
  <c r="L31" i="8"/>
  <c r="F39" i="2"/>
  <c r="N14" i="15"/>
  <c r="N15" i="32"/>
  <c r="G41" i="3"/>
  <c r="G36" i="3"/>
  <c r="G55" i="3"/>
  <c r="L10" i="8"/>
  <c r="L14" i="8"/>
  <c r="G45" i="3"/>
  <c r="G53" i="3"/>
  <c r="K76" i="13"/>
  <c r="L76" i="13" s="1"/>
  <c r="L78" i="13" s="1"/>
  <c r="G40" i="3"/>
  <c r="G51" i="3"/>
  <c r="N57" i="3"/>
  <c r="G35" i="3"/>
  <c r="L15" i="8"/>
  <c r="L20" i="8"/>
  <c r="G29" i="3"/>
  <c r="G16" i="3"/>
  <c r="G37" i="3"/>
  <c r="G47" i="3"/>
  <c r="G39" i="3"/>
  <c r="I65" i="12"/>
  <c r="G68" i="8"/>
  <c r="G17" i="3"/>
  <c r="G15" i="3"/>
  <c r="G49" i="3"/>
  <c r="L9" i="2"/>
  <c r="AC9" i="2" s="1"/>
  <c r="L17" i="2"/>
  <c r="L19" i="2"/>
  <c r="AC19" i="2" s="1"/>
  <c r="L10" i="2"/>
  <c r="S10" i="2" s="1"/>
  <c r="L11" i="2"/>
  <c r="AA11" i="2" s="1"/>
  <c r="L24" i="2"/>
  <c r="U24" i="2" s="1"/>
  <c r="E6" i="20"/>
  <c r="N39" i="15"/>
  <c r="N43" i="32"/>
  <c r="L13" i="2"/>
  <c r="L16" i="2"/>
  <c r="L14" i="2"/>
  <c r="L23" i="2"/>
  <c r="L18" i="2"/>
  <c r="L12" i="2"/>
  <c r="L25" i="2"/>
  <c r="L20" i="2"/>
  <c r="L21" i="2"/>
  <c r="L27" i="2"/>
  <c r="K77" i="33"/>
  <c r="L32" i="8"/>
  <c r="L33" i="8"/>
  <c r="L18" i="8"/>
  <c r="L30" i="8"/>
  <c r="L24" i="8"/>
  <c r="L8" i="8"/>
  <c r="L12" i="8"/>
  <c r="L11" i="8"/>
  <c r="L27" i="8"/>
  <c r="I68" i="14"/>
  <c r="N47" i="32"/>
  <c r="N43" i="15"/>
  <c r="W8" i="2"/>
  <c r="Y8" i="2"/>
  <c r="AA8" i="2"/>
  <c r="S8" i="2"/>
  <c r="P8" i="2"/>
  <c r="R39" i="2" s="1"/>
  <c r="U8" i="2"/>
  <c r="AC8" i="2"/>
  <c r="L14" i="9"/>
  <c r="L63" i="9"/>
  <c r="L65" i="9" s="1"/>
  <c r="L32" i="9"/>
  <c r="L18" i="9"/>
  <c r="L23" i="9"/>
  <c r="L13" i="9"/>
  <c r="L20" i="9"/>
  <c r="L16" i="9"/>
  <c r="L22" i="9"/>
  <c r="L31" i="9"/>
  <c r="L11" i="9"/>
  <c r="L27" i="9"/>
  <c r="L38" i="9"/>
  <c r="L17" i="9"/>
  <c r="L33" i="9"/>
  <c r="L21" i="9"/>
  <c r="L19" i="9"/>
  <c r="L24" i="9"/>
  <c r="L37" i="9"/>
  <c r="N65" i="9"/>
  <c r="N73" i="9" s="1"/>
  <c r="L36" i="9"/>
  <c r="L35" i="9"/>
  <c r="L15" i="9"/>
  <c r="L34" i="9"/>
  <c r="L30" i="9"/>
  <c r="L28" i="9"/>
  <c r="L26" i="9"/>
  <c r="L25" i="9"/>
  <c r="L12" i="9"/>
  <c r="L9" i="9"/>
  <c r="L10" i="9"/>
  <c r="L29" i="9"/>
  <c r="B64" i="36"/>
  <c r="G53" i="6"/>
  <c r="O53" i="5"/>
  <c r="M19" i="5"/>
  <c r="M20" i="5"/>
  <c r="M25" i="5"/>
  <c r="M22" i="5"/>
  <c r="M28" i="5"/>
  <c r="M8" i="5"/>
  <c r="M29" i="5"/>
  <c r="M16" i="5"/>
  <c r="M11" i="5"/>
  <c r="M17" i="5"/>
  <c r="M13" i="5"/>
  <c r="M14" i="5"/>
  <c r="M26" i="5"/>
  <c r="M15" i="5"/>
  <c r="M10" i="5"/>
  <c r="M9" i="5"/>
  <c r="M12" i="5"/>
  <c r="M24" i="5"/>
  <c r="M51" i="5"/>
  <c r="M30" i="5"/>
  <c r="M18" i="5"/>
  <c r="M21" i="5"/>
  <c r="M49" i="5"/>
  <c r="M53" i="5" s="1"/>
  <c r="M23" i="5"/>
  <c r="M27" i="5"/>
  <c r="N69" i="10"/>
  <c r="N77" i="10" s="1"/>
  <c r="L34" i="10"/>
  <c r="L27" i="10"/>
  <c r="L8" i="10"/>
  <c r="L12" i="10"/>
  <c r="L28" i="10"/>
  <c r="L17" i="10"/>
  <c r="L14" i="10"/>
  <c r="L15" i="10"/>
  <c r="L32" i="10"/>
  <c r="L25" i="10"/>
  <c r="L67" i="10"/>
  <c r="L69" i="10" s="1"/>
  <c r="L16" i="10"/>
  <c r="L20" i="10"/>
  <c r="L35" i="10"/>
  <c r="L18" i="10"/>
  <c r="L19" i="10"/>
  <c r="L38" i="10"/>
  <c r="L30" i="10"/>
  <c r="L23" i="10"/>
  <c r="L24" i="10"/>
  <c r="L40" i="10"/>
  <c r="L39" i="10"/>
  <c r="L31" i="10"/>
  <c r="L10" i="10"/>
  <c r="L29" i="10"/>
  <c r="L13" i="10"/>
  <c r="L21" i="10"/>
  <c r="L22" i="10"/>
  <c r="L33" i="10"/>
  <c r="L11" i="10"/>
  <c r="L36" i="10"/>
  <c r="L26" i="10"/>
  <c r="L9" i="10"/>
  <c r="N13" i="47" l="1"/>
  <c r="G44" i="39"/>
  <c r="G36" i="39"/>
  <c r="G69" i="39"/>
  <c r="G66" i="39"/>
  <c r="C66" i="36"/>
  <c r="E66" i="36" s="1"/>
  <c r="E67" i="36"/>
  <c r="A64" i="36"/>
  <c r="C64" i="36" s="1"/>
  <c r="G17" i="39"/>
  <c r="G31" i="39"/>
  <c r="G80" i="39"/>
  <c r="G56" i="39"/>
  <c r="G57" i="39"/>
  <c r="G54" i="39"/>
  <c r="G87" i="39"/>
  <c r="G85" i="39"/>
  <c r="I441" i="20"/>
  <c r="F386" i="20"/>
  <c r="C440" i="20"/>
  <c r="C441" i="20"/>
  <c r="F388" i="20"/>
  <c r="F385" i="20"/>
  <c r="E440" i="20"/>
  <c r="G440" i="20"/>
  <c r="E441" i="20"/>
  <c r="E435" i="20"/>
  <c r="F387" i="20"/>
  <c r="F390" i="20"/>
  <c r="G349" i="19"/>
  <c r="M12" i="6"/>
  <c r="M28" i="6"/>
  <c r="G48" i="39"/>
  <c r="G49" i="39"/>
  <c r="K72" i="32"/>
  <c r="L19" i="32" s="1"/>
  <c r="G46" i="39"/>
  <c r="G65" i="39"/>
  <c r="G64" i="39"/>
  <c r="G63" i="39"/>
  <c r="G28" i="39"/>
  <c r="G35" i="39"/>
  <c r="G38" i="39"/>
  <c r="G21" i="39"/>
  <c r="G24" i="39"/>
  <c r="M27" i="6"/>
  <c r="M23" i="6"/>
  <c r="L16" i="11"/>
  <c r="M13" i="6"/>
  <c r="M24" i="6"/>
  <c r="G75" i="39"/>
  <c r="G10" i="39"/>
  <c r="G40" i="39"/>
  <c r="G7" i="39"/>
  <c r="G74" i="39"/>
  <c r="G14" i="39"/>
  <c r="M29" i="6"/>
  <c r="M8" i="6"/>
  <c r="M16" i="6"/>
  <c r="M26" i="6"/>
  <c r="M31" i="6"/>
  <c r="M17" i="6"/>
  <c r="L42" i="11"/>
  <c r="M9" i="6"/>
  <c r="M14" i="6"/>
  <c r="M21" i="6"/>
  <c r="M15" i="6"/>
  <c r="F61" i="7"/>
  <c r="C70" i="7" s="1"/>
  <c r="M19" i="6"/>
  <c r="M32" i="6"/>
  <c r="M51" i="6"/>
  <c r="M53" i="6" s="1"/>
  <c r="M10" i="6"/>
  <c r="O53" i="6"/>
  <c r="M22" i="6"/>
  <c r="M30" i="6"/>
  <c r="L24" i="11"/>
  <c r="M25" i="6"/>
  <c r="L26" i="11"/>
  <c r="L31" i="11"/>
  <c r="L68" i="8"/>
  <c r="L15" i="11"/>
  <c r="L43" i="11"/>
  <c r="L27" i="11"/>
  <c r="L20" i="11"/>
  <c r="L18" i="11"/>
  <c r="L9" i="11"/>
  <c r="L22" i="11"/>
  <c r="L64" i="11"/>
  <c r="L17" i="11"/>
  <c r="L21" i="11"/>
  <c r="L23" i="11"/>
  <c r="L30" i="11"/>
  <c r="N68" i="11"/>
  <c r="N79" i="11" s="1"/>
  <c r="L34" i="11"/>
  <c r="L37" i="11"/>
  <c r="L12" i="11"/>
  <c r="L41" i="11"/>
  <c r="L25" i="11"/>
  <c r="L66" i="11"/>
  <c r="L29" i="11"/>
  <c r="L36" i="11"/>
  <c r="M18" i="6"/>
  <c r="M20" i="6"/>
  <c r="M11" i="6"/>
  <c r="L11" i="11"/>
  <c r="L19" i="11"/>
  <c r="L14" i="11"/>
  <c r="L35" i="11"/>
  <c r="L32" i="11"/>
  <c r="L10" i="11"/>
  <c r="L28" i="11"/>
  <c r="L10" i="14"/>
  <c r="L29" i="14"/>
  <c r="L12" i="14"/>
  <c r="L27" i="14"/>
  <c r="AC26" i="2"/>
  <c r="L32" i="14"/>
  <c r="M71" i="14"/>
  <c r="M84" i="14" s="1"/>
  <c r="P26" i="2"/>
  <c r="W26" i="2"/>
  <c r="U26" i="2"/>
  <c r="L38" i="14"/>
  <c r="L22" i="14"/>
  <c r="L21" i="14"/>
  <c r="L23" i="14"/>
  <c r="L16" i="14"/>
  <c r="L24" i="14"/>
  <c r="L35" i="14"/>
  <c r="L42" i="14"/>
  <c r="L61" i="7"/>
  <c r="L43" i="14"/>
  <c r="L14" i="14"/>
  <c r="AA26" i="2"/>
  <c r="L70" i="14"/>
  <c r="L71" i="14" s="1"/>
  <c r="AC11" i="2"/>
  <c r="L18" i="14"/>
  <c r="L11" i="14"/>
  <c r="L15" i="14"/>
  <c r="L41" i="14"/>
  <c r="S11" i="2"/>
  <c r="U15" i="2"/>
  <c r="L26" i="14"/>
  <c r="L34" i="14"/>
  <c r="L36" i="14"/>
  <c r="M10" i="4"/>
  <c r="W15" i="2"/>
  <c r="L9" i="14"/>
  <c r="L47" i="14"/>
  <c r="L37" i="14"/>
  <c r="P15" i="2"/>
  <c r="AC15" i="2"/>
  <c r="L28" i="14"/>
  <c r="L30" i="14"/>
  <c r="L17" i="14"/>
  <c r="K8" i="2"/>
  <c r="Y15" i="2"/>
  <c r="L31" i="14"/>
  <c r="L20" i="14"/>
  <c r="L13" i="14"/>
  <c r="L25" i="14"/>
  <c r="M18" i="4"/>
  <c r="K24" i="2"/>
  <c r="Y26" i="2"/>
  <c r="AA15" i="2"/>
  <c r="M13" i="4"/>
  <c r="W11" i="2"/>
  <c r="K16" i="2"/>
  <c r="W22" i="2"/>
  <c r="L33" i="14"/>
  <c r="L46" i="14"/>
  <c r="L48" i="14"/>
  <c r="L19" i="14"/>
  <c r="L49" i="14"/>
  <c r="M17" i="4"/>
  <c r="P11" i="2"/>
  <c r="AA22" i="2"/>
  <c r="M16" i="4"/>
  <c r="S22" i="2"/>
  <c r="M15" i="4"/>
  <c r="O62" i="4"/>
  <c r="P65" i="4" s="1"/>
  <c r="Y22" i="2"/>
  <c r="M14" i="4"/>
  <c r="M60" i="4"/>
  <c r="M62" i="4" s="1"/>
  <c r="U22" i="2"/>
  <c r="M65" i="4"/>
  <c r="M8" i="4"/>
  <c r="W24" i="2"/>
  <c r="AC22" i="2"/>
  <c r="M9" i="4"/>
  <c r="M12" i="4"/>
  <c r="S24" i="2"/>
  <c r="M11" i="4"/>
  <c r="K26" i="2"/>
  <c r="K13" i="2"/>
  <c r="K23" i="2"/>
  <c r="Y9" i="2"/>
  <c r="K19" i="2"/>
  <c r="K15" i="2"/>
  <c r="K20" i="2"/>
  <c r="P9" i="2"/>
  <c r="K9" i="2"/>
  <c r="K27" i="2"/>
  <c r="K21" i="2"/>
  <c r="K12" i="2"/>
  <c r="K39" i="2"/>
  <c r="K43" i="2" s="1"/>
  <c r="K22" i="2"/>
  <c r="K14" i="2"/>
  <c r="K18" i="2"/>
  <c r="K25" i="2"/>
  <c r="N43" i="2"/>
  <c r="G57" i="3"/>
  <c r="U11" i="2"/>
  <c r="K10" i="2"/>
  <c r="K11" i="2"/>
  <c r="K17" i="2"/>
  <c r="W10" i="2"/>
  <c r="Y11" i="2"/>
  <c r="Y10" i="2"/>
  <c r="F43" i="2"/>
  <c r="P10" i="2"/>
  <c r="AC10" i="2"/>
  <c r="U10" i="2"/>
  <c r="W19" i="2"/>
  <c r="AA10" i="2"/>
  <c r="Y19" i="2"/>
  <c r="P24" i="2"/>
  <c r="AC24" i="2"/>
  <c r="S19" i="2"/>
  <c r="AA19" i="2"/>
  <c r="AA24" i="2"/>
  <c r="Y24" i="2"/>
  <c r="P19" i="2"/>
  <c r="U19" i="2"/>
  <c r="U9" i="2"/>
  <c r="S9" i="2"/>
  <c r="AA9" i="2"/>
  <c r="W9" i="2"/>
  <c r="U17" i="2"/>
  <c r="AC17" i="2"/>
  <c r="P17" i="2"/>
  <c r="S17" i="2"/>
  <c r="AA17" i="2"/>
  <c r="W17" i="2"/>
  <c r="Y17" i="2"/>
  <c r="AC27" i="2"/>
  <c r="W27" i="2"/>
  <c r="U27" i="2"/>
  <c r="P27" i="2"/>
  <c r="S27" i="2"/>
  <c r="AA27" i="2"/>
  <c r="Y27" i="2"/>
  <c r="AC12" i="2"/>
  <c r="S12" i="2"/>
  <c r="Y12" i="2"/>
  <c r="AA12" i="2"/>
  <c r="P12" i="2"/>
  <c r="U12" i="2"/>
  <c r="AC16" i="2"/>
  <c r="Y16" i="2"/>
  <c r="P16" i="2"/>
  <c r="AA16" i="2"/>
  <c r="S16" i="2"/>
  <c r="W16" i="2"/>
  <c r="U16" i="2"/>
  <c r="U21" i="2"/>
  <c r="Y21" i="2"/>
  <c r="S21" i="2"/>
  <c r="P21" i="2"/>
  <c r="W21" i="2"/>
  <c r="AC21" i="2"/>
  <c r="AA21" i="2"/>
  <c r="P18" i="2"/>
  <c r="U18" i="2"/>
  <c r="S18" i="2"/>
  <c r="Y18" i="2"/>
  <c r="W18" i="2"/>
  <c r="AC18" i="2"/>
  <c r="AA18" i="2"/>
  <c r="S13" i="2"/>
  <c r="Y13" i="2"/>
  <c r="W13" i="2"/>
  <c r="AC13" i="2"/>
  <c r="AA13" i="2"/>
  <c r="P13" i="2"/>
  <c r="U13" i="2"/>
  <c r="P20" i="2"/>
  <c r="AA20" i="2"/>
  <c r="S20" i="2"/>
  <c r="Y20" i="2"/>
  <c r="U20" i="2"/>
  <c r="W20" i="2"/>
  <c r="AC20" i="2"/>
  <c r="AA23" i="2"/>
  <c r="W23" i="2"/>
  <c r="Y23" i="2"/>
  <c r="AC23" i="2"/>
  <c r="U23" i="2"/>
  <c r="P23" i="2"/>
  <c r="S23" i="2"/>
  <c r="K82" i="33"/>
  <c r="S25" i="2"/>
  <c r="U25" i="2"/>
  <c r="W25" i="2"/>
  <c r="Y25" i="2"/>
  <c r="AC25" i="2"/>
  <c r="AA25" i="2"/>
  <c r="P25" i="2"/>
  <c r="U14" i="2"/>
  <c r="Y14" i="2"/>
  <c r="AC14" i="2"/>
  <c r="P14" i="2"/>
  <c r="AA14" i="2"/>
  <c r="W14" i="2"/>
  <c r="S14" i="2"/>
  <c r="F6" i="20"/>
  <c r="H6" i="20" s="1"/>
  <c r="O6" i="20" s="1"/>
  <c r="C435" i="20"/>
  <c r="C65" i="36"/>
  <c r="L40" i="15"/>
  <c r="L21" i="15"/>
  <c r="L32" i="15"/>
  <c r="L9" i="15"/>
  <c r="L20" i="15"/>
  <c r="L31" i="15"/>
  <c r="L12" i="15"/>
  <c r="L26" i="15"/>
  <c r="L37" i="15"/>
  <c r="L43" i="15"/>
  <c r="L44" i="15"/>
  <c r="L38" i="15"/>
  <c r="L19" i="15"/>
  <c r="L29" i="15"/>
  <c r="L30" i="15"/>
  <c r="L18" i="15"/>
  <c r="L48" i="15"/>
  <c r="L41" i="15"/>
  <c r="L13" i="15"/>
  <c r="L39" i="15"/>
  <c r="L50" i="15"/>
  <c r="M75" i="15"/>
  <c r="L73" i="15"/>
  <c r="L75" i="15" s="1"/>
  <c r="L34" i="15"/>
  <c r="L17" i="15"/>
  <c r="L28" i="15"/>
  <c r="L27" i="15"/>
  <c r="L16" i="15"/>
  <c r="L33" i="15"/>
  <c r="L36" i="15"/>
  <c r="L24" i="15"/>
  <c r="L47" i="15"/>
  <c r="L53" i="15"/>
  <c r="L42" i="15"/>
  <c r="L22" i="15"/>
  <c r="L49" i="15"/>
  <c r="L23" i="15"/>
  <c r="L14" i="15"/>
  <c r="L25" i="15"/>
  <c r="L15" i="15"/>
  <c r="L10" i="15"/>
  <c r="L35" i="15"/>
  <c r="L11" i="15"/>
  <c r="L55" i="15"/>
  <c r="B63" i="36"/>
  <c r="F82" i="33"/>
  <c r="G77" i="33" s="1"/>
  <c r="G60" i="39" l="1"/>
  <c r="G70" i="39"/>
  <c r="G77" i="39"/>
  <c r="G51" i="39"/>
  <c r="G82" i="39"/>
  <c r="G11" i="39"/>
  <c r="G32" i="39"/>
  <c r="G18" i="39"/>
  <c r="G25" i="39"/>
  <c r="G41" i="39"/>
  <c r="G88" i="39"/>
  <c r="N45" i="47"/>
  <c r="M82" i="33"/>
  <c r="A63" i="36"/>
  <c r="N90" i="36"/>
  <c r="G67" i="36"/>
  <c r="N41" i="38"/>
  <c r="L67" i="32"/>
  <c r="I435" i="20"/>
  <c r="G435" i="20"/>
  <c r="G441" i="20"/>
  <c r="L47" i="32"/>
  <c r="L27" i="32"/>
  <c r="L24" i="32"/>
  <c r="L53" i="32"/>
  <c r="L31" i="32"/>
  <c r="L45" i="32"/>
  <c r="L17" i="32"/>
  <c r="L15" i="32"/>
  <c r="L28" i="32"/>
  <c r="L25" i="32"/>
  <c r="L12" i="32"/>
  <c r="L56" i="32"/>
  <c r="M72" i="32"/>
  <c r="M84" i="32" s="1"/>
  <c r="L14" i="32"/>
  <c r="L39" i="32"/>
  <c r="L48" i="32"/>
  <c r="L22" i="32"/>
  <c r="L38" i="32"/>
  <c r="L13" i="32"/>
  <c r="L9" i="32"/>
  <c r="L35" i="32"/>
  <c r="L44" i="32"/>
  <c r="L10" i="32"/>
  <c r="L36" i="32"/>
  <c r="L26" i="32"/>
  <c r="L20" i="32"/>
  <c r="L42" i="32"/>
  <c r="L23" i="32"/>
  <c r="L16" i="32"/>
  <c r="L41" i="32"/>
  <c r="L32" i="32"/>
  <c r="L69" i="32"/>
  <c r="L40" i="32"/>
  <c r="L57" i="32"/>
  <c r="L29" i="32"/>
  <c r="L33" i="32"/>
  <c r="L18" i="32"/>
  <c r="L34" i="32"/>
  <c r="L30" i="32"/>
  <c r="L46" i="32"/>
  <c r="L43" i="32"/>
  <c r="L11" i="32"/>
  <c r="L51" i="32"/>
  <c r="L52" i="32"/>
  <c r="L37" i="32"/>
  <c r="L21" i="32"/>
  <c r="G13" i="7"/>
  <c r="G32" i="7"/>
  <c r="G16" i="7"/>
  <c r="G51" i="7"/>
  <c r="G31" i="7"/>
  <c r="G50" i="7"/>
  <c r="G53" i="7"/>
  <c r="G27" i="7"/>
  <c r="G49" i="7"/>
  <c r="G8" i="7"/>
  <c r="G25" i="7"/>
  <c r="G55" i="7"/>
  <c r="G28" i="7"/>
  <c r="G56" i="7"/>
  <c r="G9" i="7"/>
  <c r="G47" i="7"/>
  <c r="G57" i="7"/>
  <c r="G54" i="7"/>
  <c r="G45" i="7"/>
  <c r="G18" i="7"/>
  <c r="G29" i="7"/>
  <c r="G21" i="7"/>
  <c r="N61" i="7"/>
  <c r="G59" i="7"/>
  <c r="G20" i="7"/>
  <c r="G52" i="7"/>
  <c r="G10" i="7"/>
  <c r="G44" i="7"/>
  <c r="G48" i="7"/>
  <c r="G15" i="7"/>
  <c r="G46" i="7"/>
  <c r="G11" i="7"/>
  <c r="L68" i="11"/>
  <c r="L44" i="11"/>
  <c r="L38" i="11"/>
  <c r="X39" i="2"/>
  <c r="V39" i="2"/>
  <c r="Z39" i="2"/>
  <c r="E7" i="20"/>
  <c r="F7" i="20" s="1"/>
  <c r="H7" i="20" s="1"/>
  <c r="O7" i="20" s="1"/>
  <c r="T39" i="2"/>
  <c r="AD39" i="2"/>
  <c r="AB39" i="2"/>
  <c r="L53" i="33"/>
  <c r="L38" i="33"/>
  <c r="L41" i="33"/>
  <c r="L34" i="33"/>
  <c r="L40" i="33"/>
  <c r="L22" i="33"/>
  <c r="L10" i="33"/>
  <c r="L14" i="33"/>
  <c r="L33" i="33"/>
  <c r="L45" i="33"/>
  <c r="L31" i="33"/>
  <c r="L37" i="33"/>
  <c r="L17" i="33"/>
  <c r="L9" i="33"/>
  <c r="L18" i="33"/>
  <c r="L21" i="33"/>
  <c r="L51" i="33"/>
  <c r="L30" i="33"/>
  <c r="L24" i="33"/>
  <c r="L13" i="33"/>
  <c r="L50" i="33"/>
  <c r="L52" i="33"/>
  <c r="L46" i="33"/>
  <c r="L29" i="33"/>
  <c r="L26" i="33"/>
  <c r="L25" i="33"/>
  <c r="L20" i="33"/>
  <c r="L79" i="33"/>
  <c r="L15" i="33"/>
  <c r="L36" i="33"/>
  <c r="L19" i="33"/>
  <c r="L39" i="33"/>
  <c r="L28" i="33"/>
  <c r="L23" i="33"/>
  <c r="L47" i="33"/>
  <c r="L16" i="33"/>
  <c r="L35" i="33"/>
  <c r="L54" i="33"/>
  <c r="L27" i="33"/>
  <c r="L32" i="33"/>
  <c r="L12" i="33"/>
  <c r="L11" i="33"/>
  <c r="L77" i="33"/>
  <c r="L42" i="33"/>
  <c r="N87" i="15"/>
  <c r="N93" i="15"/>
  <c r="G42" i="33"/>
  <c r="G13" i="33"/>
  <c r="G35" i="33"/>
  <c r="G25" i="33"/>
  <c r="G15" i="33"/>
  <c r="G26" i="33"/>
  <c r="G31" i="33"/>
  <c r="G40" i="33"/>
  <c r="G10" i="33"/>
  <c r="G17" i="33"/>
  <c r="G16" i="33"/>
  <c r="G39" i="33"/>
  <c r="G32" i="33"/>
  <c r="G11" i="33"/>
  <c r="G20" i="33"/>
  <c r="G46" i="33"/>
  <c r="G12" i="33"/>
  <c r="G34" i="33"/>
  <c r="G23" i="33"/>
  <c r="G30" i="33"/>
  <c r="G9" i="33"/>
  <c r="G37" i="33"/>
  <c r="G29" i="33"/>
  <c r="G45" i="33"/>
  <c r="G41" i="33"/>
  <c r="G24" i="33"/>
  <c r="G22" i="33"/>
  <c r="G79" i="33"/>
  <c r="G82" i="33" s="1"/>
  <c r="B62" i="36"/>
  <c r="E65" i="36"/>
  <c r="E64" i="36"/>
  <c r="G66" i="36"/>
  <c r="N89" i="36"/>
  <c r="G90" i="39" l="1"/>
  <c r="A62" i="36"/>
  <c r="L72" i="32"/>
  <c r="G61" i="7"/>
  <c r="E8" i="20"/>
  <c r="F8" i="20" s="1"/>
  <c r="H8" i="20" s="1"/>
  <c r="O8" i="20" s="1"/>
  <c r="L82" i="33"/>
  <c r="N87" i="36"/>
  <c r="G64" i="36"/>
  <c r="B61" i="36"/>
  <c r="G65" i="36"/>
  <c r="N88" i="36"/>
  <c r="M94" i="33"/>
  <c r="C63" i="36"/>
  <c r="A61" i="36" l="1"/>
  <c r="E9" i="20"/>
  <c r="C62" i="36"/>
  <c r="B60" i="36"/>
  <c r="E63" i="36"/>
  <c r="A60" i="36" l="1"/>
  <c r="F9" i="20"/>
  <c r="H9" i="20" s="1"/>
  <c r="O9" i="20" s="1"/>
  <c r="C61" i="36"/>
  <c r="G63" i="36"/>
  <c r="N86" i="36"/>
  <c r="B59" i="36"/>
  <c r="E62" i="36"/>
  <c r="A59" i="36" l="1"/>
  <c r="E10" i="20"/>
  <c r="F10" i="20" s="1"/>
  <c r="H10" i="20" s="1"/>
  <c r="O10" i="20" s="1"/>
  <c r="C60" i="36"/>
  <c r="E61" i="36"/>
  <c r="B58" i="36"/>
  <c r="G62" i="36"/>
  <c r="N85" i="36"/>
  <c r="A58" i="36" l="1"/>
  <c r="E11" i="20"/>
  <c r="F11" i="20" s="1"/>
  <c r="H11" i="20" s="1"/>
  <c r="O11" i="20" s="1"/>
  <c r="B57" i="36"/>
  <c r="G61" i="36"/>
  <c r="N84" i="36"/>
  <c r="C59" i="36"/>
  <c r="E60" i="36"/>
  <c r="A57" i="36" l="1"/>
  <c r="C57" i="36" s="1"/>
  <c r="E12" i="20"/>
  <c r="G60" i="36"/>
  <c r="N83" i="36"/>
  <c r="C58" i="36"/>
  <c r="E59" i="36"/>
  <c r="B56" i="36"/>
  <c r="A56" i="36" l="1"/>
  <c r="F12" i="20"/>
  <c r="H12" i="20" s="1"/>
  <c r="O12" i="20" s="1"/>
  <c r="N82" i="36"/>
  <c r="G59" i="36"/>
  <c r="E58" i="36"/>
  <c r="B55" i="36"/>
  <c r="E57" i="36"/>
  <c r="A55" i="36" l="1"/>
  <c r="C55" i="36" s="1"/>
  <c r="E13" i="20"/>
  <c r="F13" i="20" s="1"/>
  <c r="H13" i="20" s="1"/>
  <c r="O13" i="20" s="1"/>
  <c r="G58" i="36"/>
  <c r="N81" i="36"/>
  <c r="B54" i="36"/>
  <c r="N80" i="36"/>
  <c r="G57" i="36"/>
  <c r="C56" i="36"/>
  <c r="E14" i="20" l="1"/>
  <c r="B53" i="36"/>
  <c r="A54" i="36"/>
  <c r="C54" i="36" s="1"/>
  <c r="E56" i="36"/>
  <c r="E55" i="36"/>
  <c r="G55" i="36" s="1"/>
  <c r="F14" i="20" l="1"/>
  <c r="H14" i="20" s="1"/>
  <c r="G56" i="36"/>
  <c r="N56" i="36"/>
  <c r="L67" i="36" s="1"/>
  <c r="N79" i="36"/>
  <c r="E54" i="36"/>
  <c r="G54" i="36" s="1"/>
  <c r="B52" i="36"/>
  <c r="A53" i="36"/>
  <c r="C53" i="36" s="1"/>
  <c r="L12" i="36" l="1"/>
  <c r="M32" i="36"/>
  <c r="E15" i="20"/>
  <c r="O14" i="20"/>
  <c r="B51" i="36"/>
  <c r="A52" i="36"/>
  <c r="C52" i="36" s="1"/>
  <c r="N93" i="36"/>
  <c r="L56" i="36" s="1"/>
  <c r="N94" i="36"/>
  <c r="L57" i="36" s="1"/>
  <c r="E53" i="36"/>
  <c r="G53" i="36" s="1"/>
  <c r="N53" i="36"/>
  <c r="N59" i="36"/>
  <c r="L70" i="36" s="1"/>
  <c r="L64" i="36"/>
  <c r="L65" i="36" s="1"/>
  <c r="N96" i="36" l="1"/>
  <c r="N95" i="36"/>
  <c r="F15" i="20"/>
  <c r="H15" i="20" s="1"/>
  <c r="L53" i="36"/>
  <c r="N54" i="36"/>
  <c r="N60" i="36"/>
  <c r="L71" i="36" s="1"/>
  <c r="E52" i="36"/>
  <c r="G52" i="36" s="1"/>
  <c r="B50" i="36"/>
  <c r="A51" i="36"/>
  <c r="C51" i="36" s="1"/>
  <c r="E16" i="20" l="1"/>
  <c r="F16" i="20" s="1"/>
  <c r="H16" i="20" s="1"/>
  <c r="O15" i="20"/>
  <c r="I15" i="20"/>
  <c r="L60" i="36"/>
  <c r="L54" i="36"/>
  <c r="L59" i="36"/>
  <c r="E51" i="36"/>
  <c r="G51" i="36" s="1"/>
  <c r="B49" i="36"/>
  <c r="A50" i="36"/>
  <c r="C50" i="36" s="1"/>
  <c r="I16" i="20" l="1"/>
  <c r="O16" i="20"/>
  <c r="E17" i="20"/>
  <c r="F17" i="20" s="1"/>
  <c r="H17" i="20" s="1"/>
  <c r="I17" i="20" s="1"/>
  <c r="E50" i="36"/>
  <c r="G50" i="36" s="1"/>
  <c r="B48" i="36"/>
  <c r="A49" i="36"/>
  <c r="C49" i="36" s="1"/>
  <c r="E18" i="20" l="1"/>
  <c r="F18" i="20" s="1"/>
  <c r="H18" i="20" s="1"/>
  <c r="I18" i="20" s="1"/>
  <c r="O17" i="20"/>
  <c r="B47" i="36"/>
  <c r="A48" i="36"/>
  <c r="C48" i="36" s="1"/>
  <c r="E49" i="36"/>
  <c r="G49" i="36" s="1"/>
  <c r="O18" i="20" l="1"/>
  <c r="E19" i="20"/>
  <c r="F19" i="20" s="1"/>
  <c r="H19" i="20" s="1"/>
  <c r="E48" i="36"/>
  <c r="G48" i="36" s="1"/>
  <c r="B46" i="36"/>
  <c r="A47" i="36"/>
  <c r="C47" i="36" s="1"/>
  <c r="O19" i="20" l="1"/>
  <c r="E20" i="20"/>
  <c r="I19" i="20"/>
  <c r="E47" i="36"/>
  <c r="G47" i="36" s="1"/>
  <c r="A46" i="36"/>
  <c r="C46" i="36" s="1"/>
  <c r="B45" i="36"/>
  <c r="F20" i="20" l="1"/>
  <c r="H20" i="20" s="1"/>
  <c r="B44" i="36"/>
  <c r="A45" i="36"/>
  <c r="C45" i="36" s="1"/>
  <c r="E46" i="36"/>
  <c r="G46" i="36" s="1"/>
  <c r="I20" i="20" l="1"/>
  <c r="O20" i="20"/>
  <c r="E21" i="20"/>
  <c r="E45" i="36"/>
  <c r="G45" i="36" s="1"/>
  <c r="B43" i="36"/>
  <c r="A44" i="36"/>
  <c r="C44" i="36" s="1"/>
  <c r="F21" i="20" l="1"/>
  <c r="H21" i="20" s="1"/>
  <c r="B42" i="36"/>
  <c r="A43" i="36"/>
  <c r="C43" i="36" s="1"/>
  <c r="E44" i="36"/>
  <c r="M36" i="36" l="1"/>
  <c r="M24" i="36"/>
  <c r="G44" i="36"/>
  <c r="O21" i="20"/>
  <c r="I21" i="20"/>
  <c r="E22" i="20"/>
  <c r="E43" i="36"/>
  <c r="G43" i="36" s="1"/>
  <c r="A42" i="36"/>
  <c r="C42" i="36" s="1"/>
  <c r="B41" i="36"/>
  <c r="L11" i="36" l="1"/>
  <c r="L15" i="36" s="1" a="1"/>
  <c r="L15" i="36" s="1"/>
  <c r="F22" i="20"/>
  <c r="H22" i="20" s="1"/>
  <c r="B40" i="36"/>
  <c r="A41" i="36"/>
  <c r="C41" i="36" s="1"/>
  <c r="E42" i="36"/>
  <c r="G42" i="36" s="1"/>
  <c r="I22" i="20" l="1"/>
  <c r="O22" i="20"/>
  <c r="E23" i="20"/>
  <c r="E41" i="36"/>
  <c r="G41" i="36" s="1"/>
  <c r="B39" i="36"/>
  <c r="A40" i="36"/>
  <c r="C40" i="36" s="1"/>
  <c r="F23" i="20" l="1"/>
  <c r="H23" i="20" s="1"/>
  <c r="E40" i="36"/>
  <c r="G40" i="36" s="1"/>
  <c r="B38" i="36"/>
  <c r="A39" i="36"/>
  <c r="C39" i="36" s="1"/>
  <c r="E24" i="20" l="1"/>
  <c r="F24" i="20" s="1"/>
  <c r="H24" i="20" s="1"/>
  <c r="I23" i="20"/>
  <c r="O23" i="20"/>
  <c r="B37" i="36"/>
  <c r="A38" i="36"/>
  <c r="C38" i="36" s="1"/>
  <c r="E39" i="36"/>
  <c r="G39" i="36" s="1"/>
  <c r="E25" i="20" l="1"/>
  <c r="F25" i="20" s="1"/>
  <c r="H25" i="20" s="1"/>
  <c r="I25" i="20" s="1"/>
  <c r="O24" i="20"/>
  <c r="I24" i="20"/>
  <c r="E38" i="36"/>
  <c r="G38" i="36" s="1"/>
  <c r="B36" i="36"/>
  <c r="A37" i="36"/>
  <c r="C37" i="36" s="1"/>
  <c r="O25" i="20" l="1"/>
  <c r="E26" i="20"/>
  <c r="F26" i="20" s="1"/>
  <c r="H26" i="20" s="1"/>
  <c r="E37" i="36"/>
  <c r="G37" i="36" s="1"/>
  <c r="B35" i="36"/>
  <c r="A36" i="36"/>
  <c r="C36" i="36" s="1"/>
  <c r="E27" i="20" l="1"/>
  <c r="F27" i="20" s="1"/>
  <c r="H27" i="20" s="1"/>
  <c r="I26" i="20"/>
  <c r="O26" i="20"/>
  <c r="B34" i="36"/>
  <c r="A35" i="36"/>
  <c r="C35" i="36" s="1"/>
  <c r="E36" i="36"/>
  <c r="G36" i="36" s="1"/>
  <c r="O27" i="20" l="1"/>
  <c r="I27" i="20"/>
  <c r="K397" i="20" s="1"/>
  <c r="E28" i="20"/>
  <c r="E35" i="36"/>
  <c r="G35" i="36" s="1"/>
  <c r="B33" i="36"/>
  <c r="A34" i="36"/>
  <c r="C34" i="36" s="1"/>
  <c r="O397" i="20" l="1"/>
  <c r="F28" i="20"/>
  <c r="H28" i="20" s="1"/>
  <c r="I28" i="20" s="1"/>
  <c r="E34" i="36"/>
  <c r="G34" i="36" s="1"/>
  <c r="B32" i="36"/>
  <c r="A33" i="36"/>
  <c r="C33" i="36" s="1"/>
  <c r="O28" i="20" l="1"/>
  <c r="E29" i="20"/>
  <c r="E33" i="36"/>
  <c r="G33" i="36" s="1"/>
  <c r="B31" i="36"/>
  <c r="A32" i="36"/>
  <c r="C32" i="36" s="1"/>
  <c r="F29" i="20" l="1"/>
  <c r="H29" i="20" s="1"/>
  <c r="E32" i="36"/>
  <c r="B30" i="36"/>
  <c r="A31" i="36"/>
  <c r="C31" i="36" s="1"/>
  <c r="E30" i="20" l="1"/>
  <c r="F30" i="20" s="1"/>
  <c r="H30" i="20" s="1"/>
  <c r="I30" i="20" s="1"/>
  <c r="I29" i="20"/>
  <c r="O29" i="20"/>
  <c r="E31" i="36"/>
  <c r="G31" i="36" s="1"/>
  <c r="B29" i="36"/>
  <c r="A30" i="36"/>
  <c r="C30" i="36" s="1"/>
  <c r="G32" i="36"/>
  <c r="L10" i="36" s="1"/>
  <c r="P56" i="36"/>
  <c r="N67" i="36" s="1"/>
  <c r="O30" i="20" l="1"/>
  <c r="E31" i="20"/>
  <c r="F31" i="20" s="1"/>
  <c r="H31" i="20" s="1"/>
  <c r="I31" i="20" s="1"/>
  <c r="E30" i="36"/>
  <c r="G30" i="36" s="1"/>
  <c r="B28" i="36"/>
  <c r="A29" i="36"/>
  <c r="C29" i="36" s="1"/>
  <c r="P53" i="36"/>
  <c r="M23" i="36"/>
  <c r="L42" i="36" s="1"/>
  <c r="M33" i="36" l="1"/>
  <c r="M30" i="36"/>
  <c r="E32" i="20"/>
  <c r="F32" i="20" s="1"/>
  <c r="H32" i="20" s="1"/>
  <c r="I32" i="20" s="1"/>
  <c r="O31" i="20"/>
  <c r="P60" i="36"/>
  <c r="N71" i="36" s="1"/>
  <c r="P54" i="36"/>
  <c r="E29" i="36"/>
  <c r="G29" i="36" s="1"/>
  <c r="B27" i="36"/>
  <c r="A28" i="36"/>
  <c r="C28" i="36" s="1"/>
  <c r="N64" i="36"/>
  <c r="N65" i="36" s="1"/>
  <c r="P59" i="36"/>
  <c r="N70" i="36" s="1"/>
  <c r="E33" i="20" l="1"/>
  <c r="F33" i="20" s="1"/>
  <c r="H33" i="20" s="1"/>
  <c r="I33" i="20" s="1"/>
  <c r="O32" i="20"/>
  <c r="B26" i="36"/>
  <c r="A27" i="36"/>
  <c r="C27" i="36" s="1"/>
  <c r="E28" i="36"/>
  <c r="G28" i="36" s="1"/>
  <c r="E34" i="20" l="1"/>
  <c r="F34" i="20" s="1"/>
  <c r="H34" i="20" s="1"/>
  <c r="I34" i="20" s="1"/>
  <c r="O33" i="20"/>
  <c r="E27" i="36"/>
  <c r="G27" i="36" s="1"/>
  <c r="B25" i="36"/>
  <c r="A26" i="36"/>
  <c r="C26" i="36" s="1"/>
  <c r="O34" i="20" l="1"/>
  <c r="E35" i="20"/>
  <c r="F35" i="20" s="1"/>
  <c r="H35" i="20" s="1"/>
  <c r="E26" i="36"/>
  <c r="G26" i="36" s="1"/>
  <c r="B24" i="36"/>
  <c r="A25" i="36"/>
  <c r="C25" i="36" s="1"/>
  <c r="E25" i="36" l="1"/>
  <c r="G25" i="36" s="1"/>
  <c r="I35" i="20"/>
  <c r="B23" i="36"/>
  <c r="A24" i="36"/>
  <c r="C24" i="36" s="1"/>
  <c r="E36" i="20"/>
  <c r="O35" i="20"/>
  <c r="B22" i="36" l="1"/>
  <c r="A23" i="36"/>
  <c r="C23" i="36" s="1"/>
  <c r="F36" i="20"/>
  <c r="H36" i="20" s="1"/>
  <c r="O36" i="20" s="1"/>
  <c r="E24" i="36"/>
  <c r="G24" i="36" s="1"/>
  <c r="E37" i="20" l="1"/>
  <c r="F37" i="20" s="1"/>
  <c r="H37" i="20" s="1"/>
  <c r="I37" i="20" s="1"/>
  <c r="E23" i="36"/>
  <c r="G23" i="36" s="1"/>
  <c r="I36" i="20"/>
  <c r="B21" i="36"/>
  <c r="A22" i="36"/>
  <c r="C22" i="36" s="1"/>
  <c r="B20" i="36" l="1"/>
  <c r="A21" i="36"/>
  <c r="C21" i="36" s="1"/>
  <c r="E38" i="20"/>
  <c r="E22" i="36"/>
  <c r="G22" i="36" s="1"/>
  <c r="O37" i="20"/>
  <c r="B19" i="36" l="1"/>
  <c r="A20" i="36"/>
  <c r="C20" i="36" s="1"/>
  <c r="F38" i="20"/>
  <c r="H38" i="20" s="1"/>
  <c r="E21" i="36"/>
  <c r="G21" i="36" s="1"/>
  <c r="E39" i="20" l="1"/>
  <c r="F39" i="20" s="1"/>
  <c r="H39" i="20" s="1"/>
  <c r="I38" i="20"/>
  <c r="E20" i="36"/>
  <c r="M27" i="36" s="1"/>
  <c r="O38" i="20"/>
  <c r="B18" i="36"/>
  <c r="A19" i="36"/>
  <c r="C19" i="36" s="1"/>
  <c r="G20" i="36" l="1"/>
  <c r="L9" i="36" s="1"/>
  <c r="M37" i="36"/>
  <c r="E40" i="20"/>
  <c r="F40" i="20" s="1"/>
  <c r="H40" i="20" s="1"/>
  <c r="O39" i="20"/>
  <c r="B17" i="36"/>
  <c r="A18" i="36"/>
  <c r="C18" i="36" s="1"/>
  <c r="I39" i="20"/>
  <c r="K398" i="20" s="1"/>
  <c r="E19" i="36"/>
  <c r="G19" i="36" s="1"/>
  <c r="O398" i="20" l="1"/>
  <c r="O40" i="20"/>
  <c r="B16" i="36"/>
  <c r="A17" i="36"/>
  <c r="C17" i="36" s="1"/>
  <c r="E18" i="36"/>
  <c r="G18" i="36" s="1"/>
  <c r="I40" i="20"/>
  <c r="E41" i="20"/>
  <c r="F41" i="20" l="1"/>
  <c r="H41" i="20" s="1"/>
  <c r="E17" i="36"/>
  <c r="G17" i="36" s="1"/>
  <c r="B15" i="36"/>
  <c r="A16" i="36"/>
  <c r="C16" i="36" s="1"/>
  <c r="E16" i="36" l="1"/>
  <c r="G16" i="36" s="1"/>
  <c r="I41" i="20"/>
  <c r="O41" i="20"/>
  <c r="B14" i="36"/>
  <c r="A15" i="36"/>
  <c r="C15" i="36" s="1"/>
  <c r="E42" i="20"/>
  <c r="E15" i="36" l="1"/>
  <c r="G15" i="36" s="1"/>
  <c r="B13" i="36"/>
  <c r="A14" i="36"/>
  <c r="C14" i="36" s="1"/>
  <c r="F42" i="20"/>
  <c r="H42" i="20" s="1"/>
  <c r="E43" i="20" l="1"/>
  <c r="F43" i="20" s="1"/>
  <c r="H43" i="20" s="1"/>
  <c r="I43" i="20" s="1"/>
  <c r="B12" i="36"/>
  <c r="A13" i="36"/>
  <c r="C13" i="36" s="1"/>
  <c r="I42" i="20"/>
  <c r="O42" i="20"/>
  <c r="E14" i="36"/>
  <c r="G14" i="36" s="1"/>
  <c r="O43" i="20" l="1"/>
  <c r="E13" i="36"/>
  <c r="G13" i="36" s="1"/>
  <c r="B11" i="36"/>
  <c r="A12" i="36"/>
  <c r="C12" i="36" s="1"/>
  <c r="E44" i="20"/>
  <c r="F44" i="20" l="1"/>
  <c r="H44" i="20" s="1"/>
  <c r="E12" i="36"/>
  <c r="G12" i="36" s="1"/>
  <c r="B10" i="36"/>
  <c r="A11" i="36"/>
  <c r="C11" i="36" s="1"/>
  <c r="I44" i="20" l="1"/>
  <c r="O44" i="20"/>
  <c r="E11" i="36"/>
  <c r="G11" i="36" s="1"/>
  <c r="B9" i="36"/>
  <c r="A10" i="36"/>
  <c r="C10" i="36" s="1"/>
  <c r="E45" i="20"/>
  <c r="B8" i="36" l="1"/>
  <c r="A9" i="36"/>
  <c r="C9" i="36" s="1"/>
  <c r="E10" i="36"/>
  <c r="G10" i="36" s="1"/>
  <c r="F45" i="20"/>
  <c r="H45" i="20" s="1"/>
  <c r="E46" i="20" l="1"/>
  <c r="F46" i="20" s="1"/>
  <c r="H46" i="20" s="1"/>
  <c r="A8" i="36"/>
  <c r="C8" i="36" s="1"/>
  <c r="I45" i="20"/>
  <c r="O45" i="20"/>
  <c r="E9" i="36"/>
  <c r="G9" i="36" s="1"/>
  <c r="E8" i="36" l="1"/>
  <c r="R56" i="36" s="1"/>
  <c r="P67" i="36" s="1"/>
  <c r="O46" i="20"/>
  <c r="E47" i="20"/>
  <c r="I46" i="20"/>
  <c r="G8" i="36" l="1"/>
  <c r="L16" i="36" s="1"/>
  <c r="F47" i="20"/>
  <c r="H47" i="20" s="1"/>
  <c r="M26" i="36" l="1"/>
  <c r="E48" i="20"/>
  <c r="I47" i="20"/>
  <c r="O47" i="20"/>
  <c r="P64" i="36" l="1"/>
  <c r="P65" i="36" s="1"/>
  <c r="L43" i="36"/>
  <c r="R59" i="36"/>
  <c r="P70" i="36" s="1"/>
  <c r="M34" i="36"/>
  <c r="M31" i="36"/>
  <c r="R53" i="36"/>
  <c r="F48" i="20"/>
  <c r="H48" i="20" s="1"/>
  <c r="R54" i="36" l="1"/>
  <c r="R60" i="36"/>
  <c r="P71" i="36" s="1"/>
  <c r="E49" i="20"/>
  <c r="I48" i="20"/>
  <c r="O48" i="20"/>
  <c r="F49" i="20" l="1"/>
  <c r="H49" i="20" s="1"/>
  <c r="E50" i="20" l="1"/>
  <c r="I49" i="20"/>
  <c r="O49" i="20"/>
  <c r="F50" i="20" l="1"/>
  <c r="H50" i="20" s="1"/>
  <c r="I50" i="20" l="1"/>
  <c r="E51" i="20"/>
  <c r="O50" i="20"/>
  <c r="F51" i="20" l="1"/>
  <c r="H51" i="20" s="1"/>
  <c r="O51" i="20" s="1"/>
  <c r="I51" i="20" l="1"/>
  <c r="K399" i="20" s="1"/>
  <c r="E52" i="20"/>
  <c r="O399" i="20" l="1"/>
  <c r="F52" i="20"/>
  <c r="H52" i="20" s="1"/>
  <c r="E53" i="20" l="1"/>
  <c r="F53" i="20" s="1"/>
  <c r="H53" i="20" s="1"/>
  <c r="I53" i="20" s="1"/>
  <c r="O52" i="20"/>
  <c r="I52" i="20"/>
  <c r="O53" i="20" l="1"/>
  <c r="E54" i="20"/>
  <c r="F54" i="20" l="1"/>
  <c r="H54" i="20" s="1"/>
  <c r="E55" i="20" l="1"/>
  <c r="F55" i="20" s="1"/>
  <c r="H55" i="20" s="1"/>
  <c r="I55" i="20" s="1"/>
  <c r="I54" i="20"/>
  <c r="O54" i="20"/>
  <c r="E56" i="20" l="1"/>
  <c r="F56" i="20" s="1"/>
  <c r="H56" i="20" s="1"/>
  <c r="O55" i="20"/>
  <c r="O56" i="20" l="1"/>
  <c r="I56" i="20"/>
  <c r="E57" i="20"/>
  <c r="F57" i="20" l="1"/>
  <c r="H57" i="20" s="1"/>
  <c r="E58" i="20" l="1"/>
  <c r="F58" i="20" s="1"/>
  <c r="H58" i="20" s="1"/>
  <c r="O57" i="20"/>
  <c r="I57" i="20"/>
  <c r="E59" i="20" l="1"/>
  <c r="I58" i="20"/>
  <c r="O58" i="20"/>
  <c r="F59" i="20" l="1"/>
  <c r="H59" i="20" s="1"/>
  <c r="I59" i="20" l="1"/>
  <c r="O59" i="20"/>
  <c r="E60" i="20"/>
  <c r="F60" i="20" l="1"/>
  <c r="H60" i="20" s="1"/>
  <c r="I60" i="20" l="1"/>
  <c r="E61" i="20"/>
  <c r="O60" i="20"/>
  <c r="F61" i="20" l="1"/>
  <c r="H61" i="20" s="1"/>
  <c r="O61" i="20" s="1"/>
  <c r="I61" i="20" l="1"/>
  <c r="E62" i="20"/>
  <c r="F62" i="20" l="1"/>
  <c r="H62" i="20" s="1"/>
  <c r="O62" i="20" l="1"/>
  <c r="I62" i="20"/>
  <c r="E63" i="20"/>
  <c r="F63" i="20" l="1"/>
  <c r="H63" i="20" s="1"/>
  <c r="O63" i="20" s="1"/>
  <c r="I63" i="20" l="1"/>
  <c r="K400" i="20" s="1"/>
  <c r="E64" i="20"/>
  <c r="O400" i="20" l="1"/>
  <c r="F64" i="20"/>
  <c r="H64" i="20" s="1"/>
  <c r="O64" i="20" l="1"/>
  <c r="I64" i="20"/>
  <c r="E65" i="20"/>
  <c r="F65" i="20" l="1"/>
  <c r="H65" i="20" s="1"/>
  <c r="O65" i="20" s="1"/>
  <c r="E66" i="20" l="1"/>
  <c r="F66" i="20" s="1"/>
  <c r="H66" i="20" s="1"/>
  <c r="I66" i="20" s="1"/>
  <c r="I65" i="20"/>
  <c r="E67" i="20" l="1"/>
  <c r="O66" i="20"/>
  <c r="F67" i="20" l="1"/>
  <c r="H67" i="20" s="1"/>
  <c r="O67" i="20" s="1"/>
  <c r="I67" i="20" l="1"/>
  <c r="E68" i="20"/>
  <c r="F68" i="20" l="1"/>
  <c r="H68" i="20" s="1"/>
  <c r="O68" i="20" l="1"/>
  <c r="I68" i="20"/>
  <c r="E69" i="20"/>
  <c r="F69" i="20" l="1"/>
  <c r="H69" i="20" s="1"/>
  <c r="I69" i="20" l="1"/>
  <c r="E70" i="20"/>
  <c r="O69" i="20"/>
  <c r="F70" i="20" l="1"/>
  <c r="H70" i="20" s="1"/>
  <c r="E71" i="20" l="1"/>
  <c r="I70" i="20"/>
  <c r="O70" i="20"/>
  <c r="F71" i="20" l="1"/>
  <c r="H71" i="20" s="1"/>
  <c r="E72" i="20" l="1"/>
  <c r="I71" i="20"/>
  <c r="O71" i="20"/>
  <c r="F72" i="20" l="1"/>
  <c r="H72" i="20" s="1"/>
  <c r="I72" i="20" l="1"/>
  <c r="E73" i="20"/>
  <c r="O72" i="20"/>
  <c r="F73" i="20" l="1"/>
  <c r="H73" i="20" s="1"/>
  <c r="E74" i="20" l="1"/>
  <c r="F74" i="20" s="1"/>
  <c r="H74" i="20" s="1"/>
  <c r="I74" i="20" s="1"/>
  <c r="I73" i="20"/>
  <c r="O73" i="20"/>
  <c r="O74" i="20" l="1"/>
  <c r="E75" i="20"/>
  <c r="F75" i="20" l="1"/>
  <c r="H75" i="20" s="1"/>
  <c r="I75" i="20" l="1"/>
  <c r="K401" i="20" s="1"/>
  <c r="O75" i="20"/>
  <c r="E76" i="20"/>
  <c r="O401" i="20" l="1"/>
  <c r="F76" i="20"/>
  <c r="H76" i="20" s="1"/>
  <c r="E77" i="20" l="1"/>
  <c r="I76" i="20"/>
  <c r="O76" i="20"/>
  <c r="F77" i="20" l="1"/>
  <c r="H77" i="20" s="1"/>
  <c r="E78" i="20" l="1"/>
  <c r="F78" i="20" s="1"/>
  <c r="H78" i="20" s="1"/>
  <c r="I78" i="20" s="1"/>
  <c r="I77" i="20"/>
  <c r="O77" i="20"/>
  <c r="O78" i="20" l="1"/>
  <c r="E79" i="20"/>
  <c r="F79" i="20" l="1"/>
  <c r="H79" i="20" s="1"/>
  <c r="I79" i="20" l="1"/>
  <c r="O79" i="20"/>
  <c r="E80" i="20"/>
  <c r="F80" i="20" l="1"/>
  <c r="H80" i="20" s="1"/>
  <c r="I80" i="20" l="1"/>
  <c r="O80" i="20"/>
  <c r="E81" i="20"/>
  <c r="F81" i="20" l="1"/>
  <c r="H81" i="20" s="1"/>
  <c r="O81" i="20" s="1"/>
  <c r="E82" i="20" l="1"/>
  <c r="F82" i="20" s="1"/>
  <c r="H82" i="20" s="1"/>
  <c r="I81" i="20"/>
  <c r="O82" i="20" l="1"/>
  <c r="I82" i="20"/>
  <c r="E83" i="20"/>
  <c r="F83" i="20" l="1"/>
  <c r="H83" i="20" s="1"/>
  <c r="I83" i="20" l="1"/>
  <c r="O83" i="20"/>
  <c r="E84" i="20"/>
  <c r="F84" i="20" l="1"/>
  <c r="H84" i="20" s="1"/>
  <c r="I84" i="20" l="1"/>
  <c r="E85" i="20"/>
  <c r="O84" i="20"/>
  <c r="F85" i="20" l="1"/>
  <c r="H85" i="20" s="1"/>
  <c r="E86" i="20" l="1"/>
  <c r="F86" i="20" s="1"/>
  <c r="H86" i="20" s="1"/>
  <c r="I86" i="20" s="1"/>
  <c r="I85" i="20"/>
  <c r="O85" i="20"/>
  <c r="O86" i="20" l="1"/>
  <c r="E87" i="20"/>
  <c r="F87" i="20" l="1"/>
  <c r="H87" i="20" s="1"/>
  <c r="I87" i="20" l="1"/>
  <c r="K402" i="20" s="1"/>
  <c r="O402" i="20" s="1"/>
  <c r="O87" i="20"/>
  <c r="E88" i="20"/>
  <c r="F88" i="20" l="1"/>
  <c r="H88" i="20" s="1"/>
  <c r="E89" i="20" l="1"/>
  <c r="I88" i="20"/>
  <c r="O88" i="20"/>
  <c r="F89" i="20" l="1"/>
  <c r="H89" i="20" s="1"/>
  <c r="E90" i="20" l="1"/>
  <c r="I89" i="20"/>
  <c r="O89" i="20"/>
  <c r="F90" i="20" l="1"/>
  <c r="H90" i="20" s="1"/>
  <c r="E91" i="20" l="1"/>
  <c r="I90" i="20"/>
  <c r="O90" i="20"/>
  <c r="F91" i="20" l="1"/>
  <c r="H91" i="20" s="1"/>
  <c r="I91" i="20" l="1"/>
  <c r="E92" i="20"/>
  <c r="O91" i="20"/>
  <c r="F92" i="20" l="1"/>
  <c r="H92" i="20" s="1"/>
  <c r="I92" i="20" l="1"/>
  <c r="O92" i="20"/>
  <c r="E93" i="20"/>
  <c r="F93" i="20" l="1"/>
  <c r="H93" i="20" s="1"/>
  <c r="I93" i="20" l="1"/>
  <c r="E94" i="20"/>
  <c r="O93" i="20"/>
  <c r="F94" i="20" l="1"/>
  <c r="H94" i="20" s="1"/>
  <c r="I94" i="20" l="1"/>
  <c r="E95" i="20"/>
  <c r="O94" i="20"/>
  <c r="F95" i="20" l="1"/>
  <c r="H95" i="20" s="1"/>
  <c r="I95" i="20" l="1"/>
  <c r="E96" i="20"/>
  <c r="O95" i="20"/>
  <c r="F96" i="20" l="1"/>
  <c r="H96" i="20" s="1"/>
  <c r="O96" i="20" s="1"/>
  <c r="E97" i="20" l="1"/>
  <c r="F97" i="20" s="1"/>
  <c r="I96" i="20"/>
  <c r="H97" i="20" l="1"/>
  <c r="I97" i="20" s="1"/>
  <c r="E98" i="20"/>
  <c r="F98" i="20" s="1"/>
  <c r="H98" i="20" s="1"/>
  <c r="O97" i="20" l="1"/>
  <c r="O98" i="20" s="1"/>
  <c r="E99" i="20"/>
  <c r="I98" i="20"/>
  <c r="F99" i="20" l="1"/>
  <c r="H99" i="20" s="1"/>
  <c r="O99" i="20" l="1"/>
  <c r="I99" i="20"/>
  <c r="K403" i="20" s="1"/>
  <c r="O403" i="20" s="1"/>
  <c r="E100" i="20"/>
  <c r="F100" i="20" l="1"/>
  <c r="H100" i="20" s="1"/>
  <c r="E101" i="20" l="1"/>
  <c r="F101" i="20" s="1"/>
  <c r="H101" i="20" s="1"/>
  <c r="I101" i="20" s="1"/>
  <c r="I100" i="20"/>
  <c r="O100" i="20"/>
  <c r="O101" i="20" l="1"/>
  <c r="E102" i="20"/>
  <c r="F102" i="20" l="1"/>
  <c r="H102" i="20" s="1"/>
  <c r="I102" i="20" l="1"/>
  <c r="O102" i="20"/>
  <c r="E103" i="20"/>
  <c r="F103" i="20" l="1"/>
  <c r="H103" i="20" s="1"/>
  <c r="I103" i="20" l="1"/>
  <c r="E104" i="20"/>
  <c r="O103" i="20"/>
  <c r="F104" i="20" l="1"/>
  <c r="H104" i="20" s="1"/>
  <c r="I104" i="20" l="1"/>
  <c r="E105" i="20"/>
  <c r="O104" i="20"/>
  <c r="F105" i="20" l="1"/>
  <c r="H105" i="20" s="1"/>
  <c r="E106" i="20" l="1"/>
  <c r="F106" i="20" s="1"/>
  <c r="H106" i="20" s="1"/>
  <c r="I106" i="20" s="1"/>
  <c r="I105" i="20"/>
  <c r="O105" i="20"/>
  <c r="O106" i="20" l="1"/>
  <c r="E107" i="20"/>
  <c r="F107" i="20" l="1"/>
  <c r="H107" i="20" s="1"/>
  <c r="I107" i="20" l="1"/>
  <c r="O107" i="20"/>
  <c r="E108" i="20"/>
  <c r="F108" i="20" l="1"/>
  <c r="H108" i="20" s="1"/>
  <c r="I108" i="20" l="1"/>
  <c r="O108" i="20"/>
  <c r="E109" i="20"/>
  <c r="F109" i="20" l="1"/>
  <c r="H109" i="20" s="1"/>
  <c r="O109" i="20" s="1"/>
  <c r="E110" i="20" l="1"/>
  <c r="F110" i="20" s="1"/>
  <c r="H110" i="20" s="1"/>
  <c r="I109" i="20"/>
  <c r="O110" i="20" l="1"/>
  <c r="I110" i="20"/>
  <c r="E111" i="20"/>
  <c r="F111" i="20" l="1"/>
  <c r="H111" i="20" s="1"/>
  <c r="E112" i="20" l="1"/>
  <c r="F112" i="20" s="1"/>
  <c r="H112" i="20" s="1"/>
  <c r="I111" i="20"/>
  <c r="K404" i="20" s="1"/>
  <c r="O404" i="20" s="1"/>
  <c r="O111" i="20"/>
  <c r="E113" i="20" l="1"/>
  <c r="O112" i="20"/>
  <c r="I112" i="20"/>
  <c r="F113" i="20" l="1"/>
  <c r="H113" i="20" s="1"/>
  <c r="O113" i="20" s="1"/>
  <c r="E114" i="20" l="1"/>
  <c r="F114" i="20" s="1"/>
  <c r="H114" i="20" s="1"/>
  <c r="I114" i="20" s="1"/>
  <c r="I113" i="20"/>
  <c r="E115" i="20" l="1"/>
  <c r="O114" i="20"/>
  <c r="F115" i="20" l="1"/>
  <c r="H115" i="20" s="1"/>
  <c r="I115" i="20" l="1"/>
  <c r="O115" i="20"/>
  <c r="E116" i="20"/>
  <c r="F116" i="20" l="1"/>
  <c r="H116" i="20" s="1"/>
  <c r="O116" i="20" s="1"/>
  <c r="I116" i="20" l="1"/>
  <c r="E117" i="20"/>
  <c r="F117" i="20" l="1"/>
  <c r="H117" i="20" s="1"/>
  <c r="E118" i="20" l="1"/>
  <c r="F118" i="20" s="1"/>
  <c r="H118" i="20" s="1"/>
  <c r="I118" i="20" s="1"/>
  <c r="O117" i="20"/>
  <c r="I117" i="20"/>
  <c r="O118" i="20" l="1"/>
  <c r="E119" i="20"/>
  <c r="F119" i="20" l="1"/>
  <c r="H119" i="20" s="1"/>
  <c r="I119" i="20" l="1"/>
  <c r="O119" i="20"/>
  <c r="E120" i="20"/>
  <c r="F120" i="20" l="1"/>
  <c r="H120" i="20" s="1"/>
  <c r="O120" i="20" s="1"/>
  <c r="I120" i="20" l="1"/>
  <c r="E121" i="20"/>
  <c r="F121" i="20" l="1"/>
  <c r="H121" i="20" s="1"/>
  <c r="E122" i="20" l="1"/>
  <c r="F122" i="20" s="1"/>
  <c r="O121" i="20"/>
  <c r="I121" i="20"/>
  <c r="H122" i="20" l="1"/>
  <c r="I122" i="20" s="1"/>
  <c r="E123" i="20"/>
  <c r="F123" i="20" s="1"/>
  <c r="H123" i="20" s="1"/>
  <c r="O122" i="20" l="1"/>
  <c r="O123" i="20" s="1"/>
  <c r="E124" i="20"/>
  <c r="F124" i="20" s="1"/>
  <c r="H124" i="20" s="1"/>
  <c r="I124" i="20" s="1"/>
  <c r="I123" i="20"/>
  <c r="K405" i="20" s="1"/>
  <c r="O405" i="20" s="1"/>
  <c r="O124" i="20" l="1"/>
  <c r="E125" i="20"/>
  <c r="F125" i="20" s="1"/>
  <c r="H125" i="20" s="1"/>
  <c r="E126" i="20" l="1"/>
  <c r="I125" i="20"/>
  <c r="O125" i="20"/>
  <c r="F126" i="20" l="1"/>
  <c r="H126" i="20" s="1"/>
  <c r="E127" i="20" l="1"/>
  <c r="F127" i="20" s="1"/>
  <c r="I126" i="20"/>
  <c r="O126" i="20"/>
  <c r="H127" i="20" l="1"/>
  <c r="I127" i="20" s="1"/>
  <c r="E128" i="20"/>
  <c r="F128" i="20" s="1"/>
  <c r="H128" i="20" s="1"/>
  <c r="O127" i="20" l="1"/>
  <c r="O128" i="20" s="1"/>
  <c r="E129" i="20"/>
  <c r="F129" i="20" s="1"/>
  <c r="H129" i="20" s="1"/>
  <c r="I128" i="20"/>
  <c r="E130" i="20" l="1"/>
  <c r="I129" i="20"/>
  <c r="O129" i="20"/>
  <c r="F130" i="20" l="1"/>
  <c r="H130" i="20" s="1"/>
  <c r="E131" i="20" l="1"/>
  <c r="F131" i="20" s="1"/>
  <c r="H131" i="20" s="1"/>
  <c r="I131" i="20" s="1"/>
  <c r="I130" i="20"/>
  <c r="O130" i="20"/>
  <c r="O131" i="20" l="1"/>
  <c r="E132" i="20"/>
  <c r="F132" i="20" s="1"/>
  <c r="H132" i="20" s="1"/>
  <c r="E133" i="20" l="1"/>
  <c r="I132" i="20"/>
  <c r="O132" i="20"/>
  <c r="F133" i="20" l="1"/>
  <c r="H133" i="20" s="1"/>
  <c r="I133" i="20" l="1"/>
  <c r="E134" i="20"/>
  <c r="O133" i="20"/>
  <c r="F134" i="20" l="1"/>
  <c r="H134" i="20" s="1"/>
  <c r="O134" i="20" s="1"/>
  <c r="E135" i="20" l="1"/>
  <c r="F135" i="20" s="1"/>
  <c r="H135" i="20" s="1"/>
  <c r="I135" i="20" s="1"/>
  <c r="K406" i="20" s="1"/>
  <c r="K426" i="20" s="1"/>
  <c r="I134" i="20"/>
  <c r="O406" i="20" l="1"/>
  <c r="K427" i="20" a="1"/>
  <c r="K427" i="20" s="1"/>
  <c r="E136" i="20"/>
  <c r="F136" i="20" s="1"/>
  <c r="H136" i="20" s="1"/>
  <c r="O135" i="20"/>
  <c r="O136" i="20" l="1"/>
  <c r="E137" i="20"/>
  <c r="I136" i="20"/>
  <c r="F137" i="20" l="1"/>
  <c r="H137" i="20" s="1"/>
  <c r="E138" i="20" l="1"/>
  <c r="F138" i="20" s="1"/>
  <c r="O137" i="20"/>
  <c r="I137" i="20"/>
  <c r="H138" i="20" l="1"/>
  <c r="I138" i="20" s="1"/>
  <c r="E139" i="20"/>
  <c r="F139" i="20" s="1"/>
  <c r="H139" i="20" l="1"/>
  <c r="E140" i="20"/>
  <c r="F140" i="20" s="1"/>
  <c r="H140" i="20" s="1"/>
  <c r="O138" i="20"/>
  <c r="I139" i="20" l="1"/>
  <c r="I140" i="20"/>
  <c r="O139" i="20"/>
  <c r="O140" i="20" s="1"/>
  <c r="E141" i="20"/>
  <c r="F141" i="20" l="1"/>
  <c r="H141" i="20" s="1"/>
  <c r="I141" i="20" l="1"/>
  <c r="O141" i="20"/>
  <c r="E142" i="20"/>
  <c r="F142" i="20" l="1"/>
  <c r="H142" i="20" s="1"/>
  <c r="I142" i="20" l="1"/>
  <c r="O142" i="20"/>
  <c r="E143" i="20"/>
  <c r="F143" i="20" l="1"/>
  <c r="H143" i="20" s="1"/>
  <c r="I143" i="20" l="1"/>
  <c r="E144" i="20"/>
  <c r="O143" i="20"/>
  <c r="F144" i="20" l="1"/>
  <c r="H144" i="20" s="1"/>
  <c r="O144" i="20" s="1"/>
  <c r="I144" i="20" l="1"/>
  <c r="E145" i="20"/>
  <c r="F145" i="20" l="1"/>
  <c r="H145" i="20" s="1"/>
  <c r="E146" i="20" l="1"/>
  <c r="F146" i="20" s="1"/>
  <c r="H146" i="20" s="1"/>
  <c r="I146" i="20" s="1"/>
  <c r="O145" i="20"/>
  <c r="I145" i="20"/>
  <c r="O146" i="20" l="1"/>
  <c r="E147" i="20"/>
  <c r="F147" i="20" l="1"/>
  <c r="H147" i="20" s="1"/>
  <c r="O147" i="20" s="1"/>
  <c r="I147" i="20" l="1"/>
  <c r="E148" i="20"/>
  <c r="F148" i="20" l="1"/>
  <c r="H148" i="20" s="1"/>
  <c r="E149" i="20" l="1"/>
  <c r="F149" i="20" s="1"/>
  <c r="H149" i="20" s="1"/>
  <c r="I149" i="20" s="1"/>
  <c r="O148" i="20"/>
  <c r="I148" i="20"/>
  <c r="O149" i="20" l="1"/>
  <c r="E150" i="20"/>
  <c r="F150" i="20" l="1"/>
  <c r="H150" i="20" s="1"/>
  <c r="E151" i="20" l="1"/>
  <c r="F151" i="20" s="1"/>
  <c r="H151" i="20" s="1"/>
  <c r="I151" i="20" s="1"/>
  <c r="I150" i="20"/>
  <c r="O150" i="20"/>
  <c r="O151" i="20" l="1"/>
  <c r="E152" i="20"/>
  <c r="F152" i="20" l="1"/>
  <c r="H152" i="20" s="1"/>
  <c r="I152" i="20" l="1"/>
  <c r="O152" i="20"/>
  <c r="E153" i="20"/>
  <c r="F153" i="20" l="1"/>
  <c r="H153" i="20" s="1"/>
  <c r="I153" i="20" l="1"/>
  <c r="E154" i="20"/>
  <c r="O153" i="20"/>
  <c r="F154" i="20" l="1"/>
  <c r="H154" i="20" s="1"/>
  <c r="O154" i="20" s="1"/>
  <c r="E155" i="20" l="1"/>
  <c r="F155" i="20" s="1"/>
  <c r="H155" i="20" s="1"/>
  <c r="O155" i="20" s="1"/>
  <c r="I154" i="20"/>
  <c r="I155" i="20" l="1"/>
  <c r="E156" i="20"/>
  <c r="F156" i="20" l="1"/>
  <c r="H156" i="20" s="1"/>
  <c r="E157" i="20" l="1"/>
  <c r="F157" i="20" s="1"/>
  <c r="H157" i="20" s="1"/>
  <c r="I157" i="20" s="1"/>
  <c r="I156" i="20"/>
  <c r="O156" i="20"/>
  <c r="O157" i="20" l="1"/>
  <c r="E158" i="20"/>
  <c r="F158" i="20" s="1"/>
  <c r="H158" i="20" s="1"/>
  <c r="I158" i="20" l="1"/>
  <c r="O158" i="20"/>
  <c r="E159" i="20"/>
  <c r="F159" i="20" l="1"/>
  <c r="H159" i="20" s="1"/>
  <c r="I159" i="20" l="1"/>
  <c r="E160" i="20"/>
  <c r="O159" i="20"/>
  <c r="F160" i="20" l="1"/>
  <c r="H160" i="20" s="1"/>
  <c r="E161" i="20" l="1"/>
  <c r="I160" i="20"/>
  <c r="O160" i="20"/>
  <c r="F161" i="20" l="1"/>
  <c r="H161" i="20" s="1"/>
  <c r="I161" i="20" l="1"/>
  <c r="E162" i="20"/>
  <c r="O161" i="20"/>
  <c r="F162" i="20" l="1"/>
  <c r="H162" i="20" s="1"/>
  <c r="O162" i="20" s="1"/>
  <c r="E163" i="20" l="1"/>
  <c r="F163" i="20" s="1"/>
  <c r="H163" i="20" s="1"/>
  <c r="O163" i="20" s="1"/>
  <c r="I162" i="20"/>
  <c r="I163" i="20" l="1"/>
  <c r="E164" i="20"/>
  <c r="F164" i="20" l="1"/>
  <c r="H164" i="20" s="1"/>
  <c r="E165" i="20" l="1"/>
  <c r="F165" i="20" s="1"/>
  <c r="H165" i="20" s="1"/>
  <c r="I165" i="20" s="1"/>
  <c r="I164" i="20"/>
  <c r="O164" i="20"/>
  <c r="O165" i="20" l="1"/>
  <c r="E166" i="20"/>
  <c r="F166" i="20" l="1"/>
  <c r="H166" i="20" s="1"/>
  <c r="E167" i="20" l="1"/>
  <c r="F167" i="20" s="1"/>
  <c r="H167" i="20" s="1"/>
  <c r="I167" i="20" s="1"/>
  <c r="I166" i="20"/>
  <c r="O166" i="20"/>
  <c r="O167" i="20" l="1"/>
  <c r="E168" i="20"/>
  <c r="F168" i="20" l="1"/>
  <c r="H168" i="20" s="1"/>
  <c r="I168" i="20" l="1"/>
  <c r="O168" i="20"/>
  <c r="E169" i="20"/>
  <c r="F169" i="20" l="1"/>
  <c r="H169" i="20" s="1"/>
  <c r="O169" i="20" s="1"/>
  <c r="I169" i="20" l="1"/>
  <c r="E170" i="20"/>
  <c r="F170" i="20" l="1"/>
  <c r="H170" i="20" s="1"/>
  <c r="E171" i="20" l="1"/>
  <c r="F171" i="20" s="1"/>
  <c r="H171" i="20" s="1"/>
  <c r="I171" i="20" s="1"/>
  <c r="O170" i="20"/>
  <c r="I170" i="20"/>
  <c r="O171" i="20" l="1"/>
  <c r="E172" i="20"/>
  <c r="F172" i="20" l="1"/>
  <c r="H172" i="20" s="1"/>
  <c r="E173" i="20" l="1"/>
  <c r="F173" i="20" s="1"/>
  <c r="H173" i="20" s="1"/>
  <c r="I173" i="20" s="1"/>
  <c r="I172" i="20"/>
  <c r="O172" i="20"/>
  <c r="O173" i="20" l="1"/>
  <c r="E174" i="20"/>
  <c r="F174" i="20" l="1"/>
  <c r="H174" i="20" s="1"/>
  <c r="I174" i="20" l="1"/>
  <c r="O174" i="20"/>
  <c r="E175" i="20"/>
  <c r="F175" i="20" l="1"/>
  <c r="H175" i="20" s="1"/>
  <c r="I175" i="20" l="1"/>
  <c r="E176" i="20"/>
  <c r="O175" i="20"/>
  <c r="F176" i="20" l="1"/>
  <c r="H176" i="20" s="1"/>
  <c r="O176" i="20" s="1"/>
  <c r="I176" i="20" l="1"/>
  <c r="E177" i="20"/>
  <c r="F177" i="20" l="1"/>
  <c r="H177" i="20" s="1"/>
  <c r="O177" i="20" l="1"/>
  <c r="I177" i="20"/>
  <c r="E178" i="20"/>
  <c r="F178" i="20" l="1"/>
  <c r="H178" i="20" s="1"/>
  <c r="E179" i="20" l="1"/>
  <c r="F179" i="20" s="1"/>
  <c r="H179" i="20" s="1"/>
  <c r="I179" i="20" s="1"/>
  <c r="I178" i="20"/>
  <c r="O178" i="20"/>
  <c r="O179" i="20" l="1"/>
  <c r="E180" i="20"/>
  <c r="F180" i="20" l="1"/>
  <c r="H180" i="20" s="1"/>
  <c r="E181" i="20" l="1"/>
  <c r="F181" i="20" s="1"/>
  <c r="H181" i="20" s="1"/>
  <c r="I181" i="20" s="1"/>
  <c r="I180" i="20"/>
  <c r="O180" i="20"/>
  <c r="O181" i="20" l="1"/>
  <c r="E182" i="20"/>
  <c r="F182" i="20" l="1"/>
  <c r="H182" i="20" s="1"/>
  <c r="E183" i="20" l="1"/>
  <c r="F183" i="20" s="1"/>
  <c r="H183" i="20" s="1"/>
  <c r="I183" i="20" s="1"/>
  <c r="I182" i="20"/>
  <c r="O182" i="20"/>
  <c r="O183" i="20" l="1"/>
  <c r="E184" i="20"/>
  <c r="F184" i="20" l="1"/>
  <c r="H184" i="20" s="1"/>
  <c r="I184" i="20" l="1"/>
  <c r="O184" i="20"/>
  <c r="E185" i="20"/>
  <c r="F185" i="20" l="1"/>
  <c r="H185" i="20" s="1"/>
  <c r="O185" i="20" s="1"/>
  <c r="I185" i="20" l="1"/>
  <c r="E186" i="20"/>
  <c r="F186" i="20" l="1"/>
  <c r="H186" i="20" s="1"/>
  <c r="E187" i="20" l="1"/>
  <c r="F187" i="20" s="1"/>
  <c r="H187" i="20" s="1"/>
  <c r="I187" i="20" s="1"/>
  <c r="O186" i="20"/>
  <c r="I186" i="20"/>
  <c r="O187" i="20" l="1"/>
  <c r="E188" i="20"/>
  <c r="F188" i="20" l="1"/>
  <c r="H188" i="20" s="1"/>
  <c r="E189" i="20" l="1"/>
  <c r="F189" i="20" s="1"/>
  <c r="H189" i="20" s="1"/>
  <c r="I189" i="20" s="1"/>
  <c r="I188" i="20"/>
  <c r="O188" i="20"/>
  <c r="O189" i="20" l="1"/>
  <c r="E190" i="20"/>
  <c r="F190" i="20" l="1"/>
  <c r="H190" i="20" s="1"/>
  <c r="E191" i="20" l="1"/>
  <c r="F191" i="20" s="1"/>
  <c r="H191" i="20" s="1"/>
  <c r="I191" i="20" s="1"/>
  <c r="I190" i="20"/>
  <c r="O190" i="20"/>
  <c r="O191" i="20" l="1"/>
  <c r="E192" i="20"/>
  <c r="F192" i="20" l="1"/>
  <c r="H192" i="20" s="1"/>
  <c r="I192" i="20" l="1"/>
  <c r="O192" i="20"/>
  <c r="E193" i="20"/>
  <c r="F193" i="20" l="1"/>
  <c r="H193" i="20" s="1"/>
  <c r="O193" i="20" l="1"/>
  <c r="I193" i="20"/>
  <c r="E194" i="20"/>
  <c r="F194" i="20" l="1"/>
  <c r="H194" i="20" s="1"/>
  <c r="E195" i="20" l="1"/>
  <c r="F195" i="20" s="1"/>
  <c r="H195" i="20" s="1"/>
  <c r="I195" i="20" s="1"/>
  <c r="O194" i="20"/>
  <c r="I194" i="20"/>
  <c r="O195" i="20" l="1"/>
  <c r="E196" i="20"/>
  <c r="F196" i="20" l="1"/>
  <c r="H196" i="20" s="1"/>
  <c r="E197" i="20" l="1"/>
  <c r="F197" i="20" s="1"/>
  <c r="H197" i="20" s="1"/>
  <c r="I197" i="20" s="1"/>
  <c r="I196" i="20"/>
  <c r="O196" i="20"/>
  <c r="O197" i="20" l="1"/>
  <c r="E198" i="20"/>
  <c r="F198" i="20" l="1"/>
  <c r="H198" i="20" s="1"/>
  <c r="E199" i="20" l="1"/>
  <c r="F199" i="20" s="1"/>
  <c r="H199" i="20" s="1"/>
  <c r="I199" i="20" s="1"/>
  <c r="I198" i="20"/>
  <c r="O198" i="20"/>
  <c r="O199" i="20" l="1"/>
  <c r="E200" i="20"/>
  <c r="F200" i="20" l="1"/>
  <c r="H200" i="20" s="1"/>
  <c r="I200" i="20" l="1"/>
  <c r="O200" i="20"/>
  <c r="E201" i="20"/>
  <c r="F201" i="20" l="1"/>
  <c r="H201" i="20" s="1"/>
  <c r="E202" i="20" l="1"/>
  <c r="I201" i="20"/>
  <c r="O201" i="20"/>
  <c r="F202" i="20" l="1"/>
  <c r="H202" i="20" s="1"/>
  <c r="E203" i="20" l="1"/>
  <c r="F203" i="20" s="1"/>
  <c r="H203" i="20" s="1"/>
  <c r="I203" i="20" s="1"/>
  <c r="I202" i="20"/>
  <c r="O202" i="20"/>
  <c r="O203" i="20" l="1"/>
  <c r="E204" i="20"/>
  <c r="F204" i="20" l="1"/>
  <c r="H204" i="20" s="1"/>
  <c r="E205" i="20" l="1"/>
  <c r="I204" i="20"/>
  <c r="O204" i="20"/>
  <c r="F205" i="20" l="1"/>
  <c r="H205" i="20" s="1"/>
  <c r="I205" i="20" l="1"/>
  <c r="E206" i="20"/>
  <c r="O205" i="20"/>
  <c r="F206" i="20" l="1"/>
  <c r="H206" i="20" s="1"/>
  <c r="E207" i="20" l="1"/>
  <c r="F207" i="20" s="1"/>
  <c r="H207" i="20" s="1"/>
  <c r="I207" i="20" s="1"/>
  <c r="I206" i="20"/>
  <c r="O206" i="20"/>
  <c r="O207" i="20" l="1"/>
  <c r="E208" i="20"/>
  <c r="F208" i="20" l="1"/>
  <c r="H208" i="20" s="1"/>
  <c r="I208" i="20" l="1"/>
  <c r="O208" i="20"/>
  <c r="E209" i="20"/>
  <c r="F209" i="20" l="1"/>
  <c r="H209" i="20" s="1"/>
  <c r="O209" i="20" s="1"/>
  <c r="I209" i="20" l="1"/>
  <c r="E210" i="20"/>
  <c r="F210" i="20" l="1"/>
  <c r="H210" i="20" s="1"/>
  <c r="E211" i="20" l="1"/>
  <c r="F211" i="20" s="1"/>
  <c r="H211" i="20" s="1"/>
  <c r="I211" i="20" s="1"/>
  <c r="O210" i="20"/>
  <c r="I210" i="20"/>
  <c r="O211" i="20" l="1"/>
  <c r="E212" i="20"/>
  <c r="F212" i="20" l="1"/>
  <c r="H212" i="20" s="1"/>
  <c r="E213" i="20" l="1"/>
  <c r="F213" i="20" s="1"/>
  <c r="H213" i="20" s="1"/>
  <c r="I213" i="20" s="1"/>
  <c r="I212" i="20"/>
  <c r="O212" i="20"/>
  <c r="O213" i="20" l="1"/>
  <c r="E214" i="20"/>
  <c r="F214" i="20" l="1"/>
  <c r="H214" i="20" s="1"/>
  <c r="I214" i="20" l="1"/>
  <c r="E215" i="20"/>
  <c r="O214" i="20"/>
  <c r="F215" i="20" l="1"/>
  <c r="H215" i="20" s="1"/>
  <c r="I215" i="20" l="1"/>
  <c r="E216" i="20"/>
  <c r="O215" i="20"/>
  <c r="F216" i="20" l="1"/>
  <c r="H216" i="20" s="1"/>
  <c r="I216" i="20" l="1"/>
  <c r="E217" i="20"/>
  <c r="O216" i="20"/>
  <c r="F217" i="20" l="1"/>
  <c r="H217" i="20" s="1"/>
  <c r="I217" i="20" l="1"/>
  <c r="E218" i="20"/>
  <c r="O217" i="20"/>
  <c r="F218" i="20" l="1"/>
  <c r="H218" i="20" s="1"/>
  <c r="I218" i="20" l="1"/>
  <c r="E219" i="20"/>
  <c r="O218" i="20"/>
  <c r="F219" i="20" l="1"/>
  <c r="H219" i="20" s="1"/>
  <c r="I219" i="20" l="1"/>
  <c r="E220" i="20"/>
  <c r="O219" i="20"/>
  <c r="F220" i="20" l="1"/>
  <c r="H220" i="20" s="1"/>
  <c r="E221" i="20" l="1"/>
  <c r="I220" i="20"/>
  <c r="O220" i="20"/>
  <c r="F221" i="20" l="1"/>
  <c r="H221" i="20" s="1"/>
  <c r="I221" i="20" l="1"/>
  <c r="E222" i="20"/>
  <c r="O221" i="20"/>
  <c r="F222" i="20" l="1"/>
  <c r="H222" i="20" s="1"/>
  <c r="E223" i="20" l="1"/>
  <c r="I222" i="20"/>
  <c r="O222" i="20"/>
  <c r="F223" i="20" l="1"/>
  <c r="H223" i="20" s="1"/>
  <c r="I223" i="20" l="1"/>
  <c r="E224" i="20"/>
  <c r="O223" i="20"/>
  <c r="F224" i="20" l="1"/>
  <c r="H224" i="20" s="1"/>
  <c r="E225" i="20" l="1"/>
  <c r="F225" i="20" s="1"/>
  <c r="H225" i="20" s="1"/>
  <c r="I224" i="20"/>
  <c r="O224" i="20"/>
  <c r="O225" i="20" l="1"/>
  <c r="I225" i="20"/>
  <c r="E226" i="20"/>
  <c r="F226" i="20" l="1"/>
  <c r="H226" i="20" s="1"/>
  <c r="E227" i="20" l="1"/>
  <c r="I226" i="20"/>
  <c r="O226" i="20"/>
  <c r="F227" i="20" l="1"/>
  <c r="H227" i="20" s="1"/>
  <c r="I227" i="20" l="1"/>
  <c r="E228" i="20"/>
  <c r="O227" i="20"/>
  <c r="F228" i="20" l="1"/>
  <c r="H228" i="20" s="1"/>
  <c r="I228" i="20" l="1"/>
  <c r="O228" i="20"/>
  <c r="E229" i="20"/>
  <c r="F229" i="20" l="1"/>
  <c r="H229" i="20" s="1"/>
  <c r="O229" i="20" l="1"/>
  <c r="I229" i="20"/>
  <c r="E230" i="20"/>
  <c r="F230" i="20" l="1"/>
  <c r="H230" i="20" s="1"/>
  <c r="O230" i="20" l="1"/>
  <c r="I230" i="20"/>
  <c r="E231" i="20"/>
  <c r="F231" i="20" l="1"/>
  <c r="H231" i="20" s="1"/>
  <c r="I231" i="20" l="1"/>
  <c r="E232" i="20"/>
  <c r="O231" i="20"/>
  <c r="F232" i="20" l="1"/>
  <c r="H232" i="20" s="1"/>
  <c r="I232" i="20" l="1"/>
  <c r="E233" i="20"/>
  <c r="O232" i="20"/>
  <c r="F233" i="20" l="1"/>
  <c r="H233" i="20" s="1"/>
  <c r="I233" i="20" l="1"/>
  <c r="E234" i="20"/>
  <c r="O233" i="20"/>
  <c r="F234" i="20" l="1"/>
  <c r="H234" i="20" s="1"/>
  <c r="O234" i="20" s="1"/>
  <c r="E235" i="20" l="1"/>
  <c r="F235" i="20" s="1"/>
  <c r="H235" i="20" s="1"/>
  <c r="I234" i="20"/>
  <c r="I235" i="20" l="1"/>
  <c r="E236" i="20"/>
  <c r="O235" i="20"/>
  <c r="F236" i="20" l="1"/>
  <c r="H236" i="20" s="1"/>
  <c r="O236" i="20" s="1"/>
  <c r="E237" i="20" l="1"/>
  <c r="F237" i="20" s="1"/>
  <c r="H237" i="20" s="1"/>
  <c r="I237" i="20" s="1"/>
  <c r="I236" i="20"/>
  <c r="E238" i="20" l="1"/>
  <c r="O237" i="20"/>
  <c r="F238" i="20" l="1"/>
  <c r="H238" i="20" s="1"/>
  <c r="O238" i="20" s="1"/>
  <c r="I238" i="20" l="1"/>
  <c r="E239" i="20"/>
  <c r="F239" i="20" l="1"/>
  <c r="H239" i="20" s="1"/>
  <c r="O239" i="20" l="1"/>
  <c r="I239" i="20"/>
  <c r="E240" i="20"/>
  <c r="F240" i="20" l="1"/>
  <c r="H240" i="20" s="1"/>
  <c r="O240" i="20" s="1"/>
  <c r="E241" i="20" l="1"/>
  <c r="F241" i="20" s="1"/>
  <c r="H241" i="20" s="1"/>
  <c r="I241" i="20" s="1"/>
  <c r="I240" i="20"/>
  <c r="E242" i="20" l="1"/>
  <c r="O241" i="20"/>
  <c r="F242" i="20" l="1"/>
  <c r="H242" i="20" s="1"/>
  <c r="E243" i="20" l="1"/>
  <c r="F243" i="20" s="1"/>
  <c r="H243" i="20" s="1"/>
  <c r="I242" i="20"/>
  <c r="O242" i="20"/>
  <c r="I244" i="20" l="1"/>
  <c r="O243" i="20"/>
  <c r="O244" i="20" s="1"/>
  <c r="I243" i="20"/>
  <c r="E244" i="20"/>
  <c r="F244" i="20" l="1"/>
  <c r="E245" i="20" s="1"/>
  <c r="F245" i="20" l="1"/>
  <c r="H245" i="20" s="1"/>
  <c r="I245" i="20" l="1"/>
  <c r="O245" i="20"/>
  <c r="O246" i="20" s="1"/>
  <c r="I246" i="20"/>
  <c r="E246" i="20"/>
  <c r="F246" i="20" l="1"/>
  <c r="E247" i="20" s="1"/>
  <c r="F247" i="20" l="1"/>
  <c r="H247" i="20" s="1"/>
  <c r="I247" i="20" l="1"/>
  <c r="O247" i="20"/>
  <c r="E248" i="20"/>
  <c r="F248" i="20" l="1"/>
  <c r="H248" i="20" s="1"/>
  <c r="I248" i="20" l="1"/>
  <c r="E249" i="20"/>
  <c r="O248" i="20"/>
  <c r="F249" i="20" l="1"/>
  <c r="H249" i="20" s="1"/>
  <c r="I249" i="20" l="1"/>
  <c r="E250" i="20"/>
  <c r="O249" i="20"/>
  <c r="F250" i="20" l="1"/>
  <c r="H250" i="20" s="1"/>
  <c r="I250" i="20" l="1"/>
  <c r="E251" i="20"/>
  <c r="O250" i="20"/>
  <c r="F251" i="20" l="1"/>
  <c r="H251" i="20" s="1"/>
  <c r="I251" i="20" l="1"/>
  <c r="E252" i="20"/>
  <c r="O251" i="20"/>
  <c r="F252" i="20" l="1"/>
  <c r="H252" i="20" s="1"/>
  <c r="E253" i="20" l="1"/>
  <c r="F253" i="20" s="1"/>
  <c r="H253" i="20" s="1"/>
  <c r="I253" i="20" s="1"/>
  <c r="I252" i="20"/>
  <c r="O252" i="20"/>
  <c r="O253" i="20" l="1"/>
  <c r="E254" i="20"/>
  <c r="F254" i="20" l="1"/>
  <c r="H254" i="20" s="1"/>
  <c r="I254" i="20" l="1"/>
  <c r="O254" i="20"/>
  <c r="E255" i="20"/>
  <c r="F255" i="20" l="1"/>
  <c r="H255" i="20" s="1"/>
  <c r="I255" i="20" l="1"/>
  <c r="I360" i="20" s="1" a="1"/>
  <c r="I360" i="20" s="1"/>
  <c r="O255" i="20"/>
  <c r="E256" i="20"/>
  <c r="F256" i="20" l="1"/>
  <c r="H256" i="20" s="1"/>
  <c r="O256" i="20" l="1"/>
  <c r="E257" i="20"/>
  <c r="F257" i="20" s="1"/>
  <c r="H257" i="20" s="1"/>
  <c r="I256" i="20"/>
  <c r="I257" i="20" l="1"/>
  <c r="E258" i="20"/>
  <c r="O257" i="20"/>
  <c r="F258" i="20" l="1"/>
  <c r="H258" i="20" s="1"/>
  <c r="E259" i="20" l="1"/>
  <c r="F259" i="20" s="1"/>
  <c r="H259" i="20" s="1"/>
  <c r="I258" i="20"/>
  <c r="O258" i="20"/>
  <c r="O259" i="20" l="1"/>
  <c r="I259" i="20"/>
  <c r="E260" i="20"/>
  <c r="F260" i="20" l="1"/>
  <c r="H260" i="20" s="1"/>
  <c r="O260" i="20" l="1"/>
  <c r="E261" i="20"/>
  <c r="F261" i="20" s="1"/>
  <c r="H261" i="20" s="1"/>
  <c r="I260" i="20"/>
  <c r="I261" i="20" l="1"/>
  <c r="E262" i="20"/>
  <c r="O261" i="20"/>
  <c r="F262" i="20" l="1"/>
  <c r="H262" i="20" s="1"/>
  <c r="O262" i="20" l="1"/>
  <c r="I262" i="20"/>
  <c r="E263" i="20"/>
  <c r="F263" i="20" l="1"/>
  <c r="H263" i="20" s="1"/>
  <c r="O263" i="20" l="1"/>
  <c r="I263" i="20"/>
  <c r="E264" i="20"/>
  <c r="F264" i="20" l="1"/>
  <c r="H264" i="20" s="1"/>
  <c r="I264" i="20" l="1"/>
  <c r="O264" i="20"/>
  <c r="E265" i="20"/>
  <c r="F265" i="20" l="1"/>
  <c r="H265" i="20" s="1"/>
  <c r="I265" i="20" l="1"/>
  <c r="E266" i="20"/>
  <c r="O265" i="20"/>
  <c r="F266" i="20" l="1"/>
  <c r="H266" i="20" s="1"/>
  <c r="E267" i="20" l="1"/>
  <c r="F267" i="20" s="1"/>
  <c r="H267" i="20" s="1"/>
  <c r="I266" i="20"/>
  <c r="O266" i="20"/>
  <c r="I361" i="20" l="1" a="1"/>
  <c r="I361" i="20" s="1"/>
  <c r="D19" i="36"/>
  <c r="F19" i="36" s="1"/>
  <c r="O267" i="20"/>
  <c r="I267" i="20"/>
  <c r="E268" i="20"/>
  <c r="F268" i="20" l="1"/>
  <c r="H268" i="20" s="1"/>
  <c r="D8" i="36" l="1"/>
  <c r="F8" i="36" s="1"/>
  <c r="O268" i="20"/>
  <c r="E269" i="20"/>
  <c r="F269" i="20" s="1"/>
  <c r="H269" i="20" s="1"/>
  <c r="I268" i="20"/>
  <c r="D9" i="36" l="1"/>
  <c r="F9" i="36" s="1"/>
  <c r="E270" i="20"/>
  <c r="I269" i="20"/>
  <c r="O269" i="20"/>
  <c r="F270" i="20" l="1"/>
  <c r="H270" i="20" s="1"/>
  <c r="D10" i="36" l="1"/>
  <c r="F10" i="36" s="1"/>
  <c r="I270" i="20"/>
  <c r="E271" i="20"/>
  <c r="O270" i="20"/>
  <c r="F271" i="20" l="1"/>
  <c r="H271" i="20" s="1"/>
  <c r="D11" i="36" l="1"/>
  <c r="F11" i="36" s="1"/>
  <c r="O271" i="20"/>
  <c r="I271" i="20"/>
  <c r="E272" i="20"/>
  <c r="F272" i="20" l="1"/>
  <c r="H272" i="20" s="1"/>
  <c r="D12" i="36" l="1"/>
  <c r="F12" i="36" s="1"/>
  <c r="E273" i="20"/>
  <c r="F273" i="20" s="1"/>
  <c r="H273" i="20" s="1"/>
  <c r="D13" i="36" s="1"/>
  <c r="F13" i="36" s="1"/>
  <c r="O272" i="20"/>
  <c r="I272" i="20"/>
  <c r="I273" i="20" l="1"/>
  <c r="O273" i="20"/>
  <c r="E274" i="20"/>
  <c r="F274" i="20" l="1"/>
  <c r="H274" i="20" s="1"/>
  <c r="D14" i="36" l="1"/>
  <c r="F14" i="36" s="1"/>
  <c r="E275" i="20"/>
  <c r="I274" i="20"/>
  <c r="O274" i="20"/>
  <c r="F275" i="20" l="1"/>
  <c r="H275" i="20" s="1"/>
  <c r="D15" i="36" l="1"/>
  <c r="F15" i="36" s="1"/>
  <c r="I275" i="20"/>
  <c r="E276" i="20"/>
  <c r="O275" i="20"/>
  <c r="F276" i="20" l="1"/>
  <c r="H276" i="20" s="1"/>
  <c r="D16" i="36" l="1"/>
  <c r="F16" i="36" s="1"/>
  <c r="O276" i="20"/>
  <c r="E277" i="20"/>
  <c r="F277" i="20" s="1"/>
  <c r="H277" i="20" s="1"/>
  <c r="D17" i="36" s="1"/>
  <c r="F17" i="36" s="1"/>
  <c r="I276" i="20"/>
  <c r="I277" i="20" l="1"/>
  <c r="O277" i="20"/>
  <c r="E278" i="20"/>
  <c r="F278" i="20" l="1"/>
  <c r="H278" i="20" s="1"/>
  <c r="D18" i="36" s="1"/>
  <c r="F18" i="36" s="1"/>
  <c r="I362" i="20" l="1" a="1"/>
  <c r="I362" i="20" s="1"/>
  <c r="O278" i="20"/>
  <c r="O279" i="20" s="1"/>
  <c r="I278" i="20"/>
  <c r="I279" i="20"/>
  <c r="E279" i="20"/>
  <c r="F279" i="20" l="1"/>
  <c r="E280" i="20" s="1"/>
  <c r="F280" i="20" l="1"/>
  <c r="H280" i="20" s="1"/>
  <c r="D20" i="36" l="1"/>
  <c r="F20" i="36" s="1"/>
  <c r="O280" i="20"/>
  <c r="E281" i="20"/>
  <c r="F281" i="20" s="1"/>
  <c r="H281" i="20" s="1"/>
  <c r="D21" i="36" s="1"/>
  <c r="F21" i="36" s="1"/>
  <c r="I280" i="20"/>
  <c r="I281" i="20" l="1"/>
  <c r="O281" i="20"/>
  <c r="E282" i="20"/>
  <c r="F282" i="20" l="1"/>
  <c r="H282" i="20" s="1"/>
  <c r="D22" i="36" l="1"/>
  <c r="F22" i="36" s="1"/>
  <c r="O282" i="20"/>
  <c r="E283" i="20"/>
  <c r="F283" i="20" s="1"/>
  <c r="H283" i="20" s="1"/>
  <c r="I282" i="20"/>
  <c r="D23" i="36" l="1"/>
  <c r="F23" i="36" s="1"/>
  <c r="O283" i="20"/>
  <c r="I283" i="20"/>
  <c r="E284" i="20"/>
  <c r="F284" i="20" l="1"/>
  <c r="H284" i="20" s="1"/>
  <c r="D24" i="36" l="1"/>
  <c r="F24" i="36" s="1"/>
  <c r="O284" i="20"/>
  <c r="E285" i="20"/>
  <c r="F285" i="20" s="1"/>
  <c r="H285" i="20" s="1"/>
  <c r="I284" i="20"/>
  <c r="D25" i="36" l="1"/>
  <c r="F25" i="36" s="1"/>
  <c r="O285" i="20"/>
  <c r="I285" i="20"/>
  <c r="E286" i="20"/>
  <c r="F286" i="20" s="1"/>
  <c r="H286" i="20" s="1"/>
  <c r="D26" i="36" l="1"/>
  <c r="F26" i="36" s="1"/>
  <c r="O286" i="20"/>
  <c r="E287" i="20"/>
  <c r="I286" i="20"/>
  <c r="F287" i="20" l="1"/>
  <c r="H287" i="20" s="1"/>
  <c r="D27" i="36" l="1"/>
  <c r="F27" i="36" s="1"/>
  <c r="O287" i="20"/>
  <c r="I287" i="20"/>
  <c r="E288" i="20"/>
  <c r="F288" i="20" l="1"/>
  <c r="H288" i="20" s="1"/>
  <c r="D28" i="36" l="1"/>
  <c r="F28" i="36" s="1"/>
  <c r="O288" i="20"/>
  <c r="E289" i="20"/>
  <c r="F289" i="20" s="1"/>
  <c r="H289" i="20" s="1"/>
  <c r="I288" i="20"/>
  <c r="D29" i="36" l="1"/>
  <c r="F29" i="36" s="1"/>
  <c r="O289" i="20"/>
  <c r="I289" i="20"/>
  <c r="E290" i="20"/>
  <c r="F290" i="20" l="1"/>
  <c r="H290" i="20" s="1"/>
  <c r="D30" i="36" l="1"/>
  <c r="F30" i="36" s="1"/>
  <c r="O290" i="20"/>
  <c r="I290" i="20"/>
  <c r="E291" i="20"/>
  <c r="F291" i="20" l="1"/>
  <c r="H291" i="20" s="1"/>
  <c r="D31" i="36" l="1"/>
  <c r="F31" i="36" s="1"/>
  <c r="K9" i="36" s="1"/>
  <c r="I363" i="20" a="1"/>
  <c r="I363" i="20" s="1"/>
  <c r="O291" i="20"/>
  <c r="I291" i="20"/>
  <c r="E292" i="20"/>
  <c r="F292" i="20" l="1"/>
  <c r="H292" i="20" s="1"/>
  <c r="D32" i="36" l="1"/>
  <c r="F32" i="36" s="1"/>
  <c r="O292" i="20"/>
  <c r="I292" i="20"/>
  <c r="E293" i="20"/>
  <c r="F293" i="20" s="1"/>
  <c r="H293" i="20" l="1"/>
  <c r="E294" i="20"/>
  <c r="D33" i="36" l="1"/>
  <c r="F33" i="36" s="1"/>
  <c r="O293" i="20"/>
  <c r="I293" i="20"/>
  <c r="F294" i="20"/>
  <c r="H294" i="20" s="1"/>
  <c r="D34" i="36" s="1"/>
  <c r="F34" i="36" s="1"/>
  <c r="I294" i="20" l="1"/>
  <c r="O294" i="20"/>
  <c r="E295" i="20"/>
  <c r="F295" i="20" l="1"/>
  <c r="H295" i="20" s="1"/>
  <c r="D35" i="36" l="1"/>
  <c r="F35" i="36" s="1"/>
  <c r="O295" i="20"/>
  <c r="I295" i="20"/>
  <c r="E296" i="20"/>
  <c r="F296" i="20" l="1"/>
  <c r="H296" i="20" s="1"/>
  <c r="D36" i="36" l="1"/>
  <c r="F36" i="36" s="1"/>
  <c r="O296" i="20"/>
  <c r="I296" i="20"/>
  <c r="E297" i="20"/>
  <c r="F297" i="20" l="1"/>
  <c r="H297" i="20" s="1"/>
  <c r="D37" i="36" s="1"/>
  <c r="F37" i="36" s="1"/>
  <c r="O297" i="20" l="1"/>
  <c r="I297" i="20"/>
  <c r="E298" i="20"/>
  <c r="F298" i="20" l="1"/>
  <c r="H298" i="20" s="1"/>
  <c r="D38" i="36" l="1"/>
  <c r="F38" i="36" s="1"/>
  <c r="O298" i="20"/>
  <c r="I298" i="20"/>
  <c r="E299" i="20"/>
  <c r="F299" i="20" l="1"/>
  <c r="H299" i="20" s="1"/>
  <c r="D39" i="36" l="1"/>
  <c r="F39" i="36" s="1"/>
  <c r="O299" i="20"/>
  <c r="I299" i="20"/>
  <c r="E300" i="20"/>
  <c r="F300" i="20" l="1"/>
  <c r="H300" i="20" s="1"/>
  <c r="D40" i="36" l="1"/>
  <c r="F40" i="36" s="1"/>
  <c r="O300" i="20"/>
  <c r="I300" i="20"/>
  <c r="E301" i="20"/>
  <c r="F301" i="20" l="1"/>
  <c r="H301" i="20" s="1"/>
  <c r="D41" i="36" s="1"/>
  <c r="F41" i="36" s="1"/>
  <c r="O301" i="20" l="1"/>
  <c r="I301" i="20"/>
  <c r="E302" i="20"/>
  <c r="F302" i="20" l="1"/>
  <c r="H302" i="20" s="1"/>
  <c r="D42" i="36" l="1"/>
  <c r="F42" i="36" s="1"/>
  <c r="O302" i="20"/>
  <c r="I302" i="20"/>
  <c r="E303" i="20"/>
  <c r="F303" i="20" l="1"/>
  <c r="H303" i="20" s="1"/>
  <c r="D43" i="36" l="1"/>
  <c r="F43" i="36" s="1"/>
  <c r="K10" i="36" s="1"/>
  <c r="I364" i="20" a="1"/>
  <c r="I364" i="20" s="1"/>
  <c r="O303" i="20"/>
  <c r="E304" i="20"/>
  <c r="I303" i="20"/>
  <c r="F304" i="20" l="1"/>
  <c r="H304" i="20" s="1"/>
  <c r="D44" i="36" l="1"/>
  <c r="F44" i="36" s="1"/>
  <c r="O304" i="20"/>
  <c r="E305" i="20"/>
  <c r="I304" i="20"/>
  <c r="F305" i="20" l="1"/>
  <c r="H305" i="20" s="1"/>
  <c r="D45" i="36" l="1"/>
  <c r="F45" i="36" s="1"/>
  <c r="O305" i="20"/>
  <c r="E306" i="20"/>
  <c r="I305" i="20"/>
  <c r="F306" i="20" l="1"/>
  <c r="H306" i="20" s="1"/>
  <c r="D46" i="36" l="1"/>
  <c r="F46" i="36" s="1"/>
  <c r="O306" i="20"/>
  <c r="E307" i="20"/>
  <c r="I306" i="20"/>
  <c r="F307" i="20" l="1"/>
  <c r="H307" i="20" s="1"/>
  <c r="D47" i="36" l="1"/>
  <c r="F47" i="36" s="1"/>
  <c r="O307" i="20"/>
  <c r="E308" i="20"/>
  <c r="I307" i="20"/>
  <c r="F308" i="20" l="1"/>
  <c r="H308" i="20" s="1"/>
  <c r="D48" i="36" l="1"/>
  <c r="F48" i="36" s="1"/>
  <c r="I308" i="20"/>
  <c r="O308" i="20"/>
  <c r="E309" i="20"/>
  <c r="F309" i="20" l="1"/>
  <c r="H309" i="20" s="1"/>
  <c r="D49" i="36" l="1"/>
  <c r="F49" i="36" s="1"/>
  <c r="E310" i="20"/>
  <c r="F310" i="20" s="1"/>
  <c r="I309" i="20"/>
  <c r="O309" i="20"/>
  <c r="H310" i="20" l="1"/>
  <c r="E311" i="20"/>
  <c r="D50" i="36" l="1"/>
  <c r="F50" i="36" s="1"/>
  <c r="F311" i="20"/>
  <c r="H311" i="20" s="1"/>
  <c r="I310" i="20"/>
  <c r="O310" i="20"/>
  <c r="D51" i="36" l="1"/>
  <c r="F51" i="36" s="1"/>
  <c r="O311" i="20"/>
  <c r="I311" i="20"/>
  <c r="E312" i="20"/>
  <c r="F312" i="20" s="1"/>
  <c r="H312" i="20" s="1"/>
  <c r="D52" i="36" l="1"/>
  <c r="F52" i="36" s="1"/>
  <c r="E313" i="20"/>
  <c r="I312" i="20"/>
  <c r="O312" i="20"/>
  <c r="F313" i="20" l="1"/>
  <c r="H313" i="20" s="1"/>
  <c r="D53" i="36" l="1"/>
  <c r="F53" i="36" s="1"/>
  <c r="O313" i="20"/>
  <c r="E314" i="20"/>
  <c r="I313" i="20"/>
  <c r="F314" i="20" l="1"/>
  <c r="E315" i="20" s="1"/>
  <c r="F315" i="20" s="1"/>
  <c r="H314" i="20" l="1"/>
  <c r="E316" i="20"/>
  <c r="F316" i="20" s="1"/>
  <c r="H316" i="20" s="1"/>
  <c r="H315" i="20"/>
  <c r="D55" i="36" l="1"/>
  <c r="F55" i="36" s="1"/>
  <c r="D56" i="36"/>
  <c r="F56" i="36" s="1"/>
  <c r="D54" i="36"/>
  <c r="F54" i="36" s="1"/>
  <c r="I314" i="20"/>
  <c r="O314" i="20"/>
  <c r="O315" i="20" s="1"/>
  <c r="O316" i="20" s="1"/>
  <c r="I315" i="20"/>
  <c r="I316" i="20"/>
  <c r="E317" i="20"/>
  <c r="K11" i="36" l="1"/>
  <c r="F317" i="20"/>
  <c r="H317" i="20" s="1"/>
  <c r="D57" i="36" l="1"/>
  <c r="F57" i="36" s="1"/>
  <c r="E318" i="20"/>
  <c r="I317" i="20"/>
  <c r="O317" i="20"/>
  <c r="F318" i="20" l="1"/>
  <c r="H318" i="20" s="1"/>
  <c r="D58" i="36" l="1"/>
  <c r="F58" i="36" s="1"/>
  <c r="O318" i="20"/>
  <c r="E319" i="20"/>
  <c r="F319" i="20" s="1"/>
  <c r="H319" i="20" s="1"/>
  <c r="D59" i="36" s="1"/>
  <c r="F59" i="36" s="1"/>
  <c r="I318" i="20"/>
  <c r="O319" i="20" l="1"/>
  <c r="E320" i="20"/>
  <c r="I319" i="20"/>
  <c r="F320" i="20" l="1"/>
  <c r="H320" i="20" s="1"/>
  <c r="D60" i="36" l="1"/>
  <c r="F60" i="36" s="1"/>
  <c r="O320" i="20"/>
  <c r="E321" i="20"/>
  <c r="I320" i="20"/>
  <c r="F321" i="20" l="1"/>
  <c r="H321" i="20" s="1"/>
  <c r="D61" i="36" l="1"/>
  <c r="F61" i="36" s="1"/>
  <c r="I321" i="20"/>
  <c r="E322" i="20"/>
  <c r="F322" i="20" s="1"/>
  <c r="H322" i="20" s="1"/>
  <c r="O321" i="20"/>
  <c r="D62" i="36" l="1"/>
  <c r="F62" i="36" s="1"/>
  <c r="O322" i="20"/>
  <c r="I322" i="20"/>
  <c r="E323" i="20"/>
  <c r="F323" i="20" l="1"/>
  <c r="H323" i="20" s="1"/>
  <c r="D63" i="36" l="1"/>
  <c r="F63" i="36" s="1"/>
  <c r="I323" i="20"/>
  <c r="O323" i="20"/>
  <c r="E324" i="20"/>
  <c r="F324" i="20" l="1"/>
  <c r="H324" i="20" s="1"/>
  <c r="D64" i="36" l="1"/>
  <c r="F64" i="36" s="1"/>
  <c r="O324" i="20"/>
  <c r="E325" i="20"/>
  <c r="F325" i="20" s="1"/>
  <c r="H325" i="20" s="1"/>
  <c r="I324" i="20"/>
  <c r="D65" i="36" l="1"/>
  <c r="F65" i="36" s="1"/>
  <c r="I325" i="20"/>
  <c r="O325" i="20"/>
  <c r="E326" i="20"/>
  <c r="F326" i="20" s="1"/>
  <c r="H326" i="20" s="1"/>
  <c r="D66" i="36" l="1"/>
  <c r="F66" i="36" s="1"/>
  <c r="I326" i="20"/>
  <c r="O326" i="20"/>
  <c r="E327" i="20"/>
  <c r="F327" i="20" l="1"/>
  <c r="H327" i="20" s="1"/>
  <c r="D67" i="36" l="1"/>
  <c r="F67" i="36" s="1"/>
  <c r="K12" i="36" s="1"/>
  <c r="I327" i="20"/>
  <c r="O327" i="20"/>
  <c r="E328" i="20"/>
  <c r="F328" i="20" l="1"/>
  <c r="H328" i="20" s="1"/>
  <c r="D68" i="36" l="1"/>
  <c r="O328" i="20"/>
  <c r="E329" i="20"/>
  <c r="I328" i="20"/>
  <c r="F68" i="36" l="1"/>
  <c r="K79" i="36"/>
  <c r="F329" i="20"/>
  <c r="H329" i="20" s="1"/>
  <c r="M79" i="36" l="1"/>
  <c r="D69" i="36"/>
  <c r="E330" i="20"/>
  <c r="F330" i="20" s="1"/>
  <c r="H330" i="20" s="1"/>
  <c r="O329" i="20"/>
  <c r="I329" i="20"/>
  <c r="M33" i="45" l="1"/>
  <c r="D70" i="36"/>
  <c r="K81" i="36" s="1"/>
  <c r="M81" i="36" s="1"/>
  <c r="M17" i="45"/>
  <c r="M20" i="45"/>
  <c r="M16" i="45"/>
  <c r="M44" i="45"/>
  <c r="F69" i="36"/>
  <c r="K80" i="36"/>
  <c r="I330" i="20"/>
  <c r="O330" i="20"/>
  <c r="E331" i="20"/>
  <c r="N61" i="45"/>
  <c r="N73" i="45" s="1"/>
  <c r="M13" i="45"/>
  <c r="M26" i="45"/>
  <c r="M42" i="45"/>
  <c r="M36" i="45"/>
  <c r="M48" i="45"/>
  <c r="M49" i="45"/>
  <c r="M18" i="45"/>
  <c r="M31" i="45"/>
  <c r="M32" i="45"/>
  <c r="M35" i="45"/>
  <c r="M19" i="45"/>
  <c r="M27" i="45"/>
  <c r="M12" i="45"/>
  <c r="M39" i="45"/>
  <c r="M11" i="45"/>
  <c r="M21" i="45"/>
  <c r="M30" i="45"/>
  <c r="M46" i="45"/>
  <c r="M24" i="45"/>
  <c r="M38" i="45"/>
  <c r="M45" i="45"/>
  <c r="M15" i="45"/>
  <c r="M22" i="45"/>
  <c r="M25" i="45"/>
  <c r="M14" i="45"/>
  <c r="M37" i="45"/>
  <c r="M43" i="45"/>
  <c r="M28" i="45"/>
  <c r="M34" i="45"/>
  <c r="M9" i="45"/>
  <c r="M58" i="45"/>
  <c r="F70" i="36" l="1"/>
  <c r="F331" i="20"/>
  <c r="H331" i="20" s="1"/>
  <c r="M80" i="36"/>
  <c r="M61" i="45"/>
  <c r="E332" i="20" l="1"/>
  <c r="F332" i="20" s="1"/>
  <c r="H332" i="20" s="1"/>
  <c r="O331" i="20"/>
  <c r="I331" i="20"/>
  <c r="D71" i="36"/>
  <c r="D72" i="36" l="1"/>
  <c r="F72" i="36" s="1"/>
  <c r="I332" i="20"/>
  <c r="F71" i="36"/>
  <c r="K82" i="36"/>
  <c r="E333" i="20"/>
  <c r="O332" i="20"/>
  <c r="K83" i="36" l="1"/>
  <c r="M83" i="36" s="1"/>
  <c r="F333" i="20"/>
  <c r="H333" i="20" s="1"/>
  <c r="M82" i="36"/>
  <c r="O333" i="20" l="1"/>
  <c r="E334" i="20"/>
  <c r="F334" i="20" s="1"/>
  <c r="H334" i="20" s="1"/>
  <c r="D73" i="36"/>
  <c r="I333" i="20"/>
  <c r="D74" i="36" l="1"/>
  <c r="K85" i="36" s="1"/>
  <c r="M85" i="36" s="1"/>
  <c r="E335" i="20"/>
  <c r="F335" i="20" s="1"/>
  <c r="H335" i="20" s="1"/>
  <c r="I334" i="20"/>
  <c r="O334" i="20"/>
  <c r="K84" i="36"/>
  <c r="F73" i="36"/>
  <c r="F74" i="36" l="1"/>
  <c r="I335" i="20"/>
  <c r="O335" i="20"/>
  <c r="E336" i="20"/>
  <c r="F336" i="20" s="1"/>
  <c r="H336" i="20" s="1"/>
  <c r="M84" i="36"/>
  <c r="D75" i="36"/>
  <c r="O336" i="20" l="1"/>
  <c r="K86" i="36"/>
  <c r="F75" i="36"/>
  <c r="E337" i="20"/>
  <c r="D76" i="36"/>
  <c r="I336" i="20"/>
  <c r="K87" i="36" l="1"/>
  <c r="M87" i="36" s="1"/>
  <c r="F76" i="36"/>
  <c r="F337" i="20"/>
  <c r="H337" i="20" s="1"/>
  <c r="M86" i="36"/>
  <c r="E338" i="20" l="1"/>
  <c r="F338" i="20" s="1"/>
  <c r="D77" i="36"/>
  <c r="O337" i="20"/>
  <c r="I337" i="20"/>
  <c r="H338" i="20" l="1"/>
  <c r="E339" i="20"/>
  <c r="F339" i="20" s="1"/>
  <c r="H339" i="20" s="1"/>
  <c r="K88" i="36"/>
  <c r="M88" i="36" s="1"/>
  <c r="F77" i="36"/>
  <c r="O338" i="20" l="1"/>
  <c r="I367" i="20" a="1"/>
  <c r="I367" i="20" s="1"/>
  <c r="I369" i="20" s="1" a="1"/>
  <c r="I369" i="20" s="1"/>
  <c r="D79" i="36"/>
  <c r="F79" i="36" s="1"/>
  <c r="E340" i="20"/>
  <c r="F340" i="20" s="1"/>
  <c r="H340" i="20" s="1"/>
  <c r="D78" i="36"/>
  <c r="I338" i="20"/>
  <c r="I339" i="20"/>
  <c r="O339" i="20"/>
  <c r="I370" i="20" l="1" a="1"/>
  <c r="I370" i="20" s="1"/>
  <c r="L28" i="36"/>
  <c r="Q57" i="36" s="1"/>
  <c r="O68" i="36" s="1"/>
  <c r="L24" i="36"/>
  <c r="O56" i="36" s="1"/>
  <c r="M67" i="36" s="1"/>
  <c r="L27" i="36"/>
  <c r="Q56" i="36" s="1"/>
  <c r="O67" i="36" s="1"/>
  <c r="L36" i="36"/>
  <c r="L22" i="36"/>
  <c r="M57" i="36" s="1"/>
  <c r="K68" i="36" s="1"/>
  <c r="L25" i="36"/>
  <c r="O57" i="36" s="1"/>
  <c r="M68" i="36" s="1"/>
  <c r="L37" i="36"/>
  <c r="L21" i="36"/>
  <c r="M56" i="36" s="1"/>
  <c r="K67" i="36" s="1"/>
  <c r="K90" i="36"/>
  <c r="M90" i="36" s="1"/>
  <c r="O340" i="20"/>
  <c r="L35" i="36"/>
  <c r="F78" i="36"/>
  <c r="K13" i="36" s="1"/>
  <c r="L20" i="36" s="1"/>
  <c r="K89" i="36"/>
  <c r="M89" i="36" s="1"/>
  <c r="E341" i="20"/>
  <c r="F341" i="20" s="1"/>
  <c r="H341" i="20" s="1"/>
  <c r="I340" i="20"/>
  <c r="K16" i="36" l="1" a="1"/>
  <c r="K16" i="36" s="1"/>
  <c r="L26" i="36" s="1"/>
  <c r="L34" i="36" s="1"/>
  <c r="K15" i="36" a="1"/>
  <c r="K15" i="36" s="1"/>
  <c r="L23" i="36" s="1"/>
  <c r="J93" i="36"/>
  <c r="O341" i="20"/>
  <c r="I341" i="20"/>
  <c r="E342" i="20"/>
  <c r="K41" i="36"/>
  <c r="M53" i="36" s="1"/>
  <c r="L29" i="36"/>
  <c r="L32" i="36"/>
  <c r="K64" i="36"/>
  <c r="K65" i="36" s="1"/>
  <c r="M59" i="36"/>
  <c r="K70" i="36" s="1"/>
  <c r="M92" i="36"/>
  <c r="M94" i="36"/>
  <c r="K57" i="36" s="1"/>
  <c r="M93" i="36"/>
  <c r="K56" i="36" s="1"/>
  <c r="F342" i="20" l="1"/>
  <c r="H342" i="20" s="1"/>
  <c r="Q59" i="36"/>
  <c r="O70" i="36" s="1"/>
  <c r="Q53" i="36"/>
  <c r="Q54" i="36" s="1"/>
  <c r="L31" i="36"/>
  <c r="K43" i="36"/>
  <c r="O64" i="36"/>
  <c r="O65" i="36" s="1"/>
  <c r="O53" i="36"/>
  <c r="O54" i="36" s="1"/>
  <c r="O342" i="20"/>
  <c r="M60" i="36"/>
  <c r="K71" i="36" s="1"/>
  <c r="M54" i="36"/>
  <c r="K42" i="36"/>
  <c r="L30" i="36"/>
  <c r="L33" i="36"/>
  <c r="O59" i="36"/>
  <c r="M70" i="36" s="1"/>
  <c r="M64" i="36"/>
  <c r="M65" i="36" s="1"/>
  <c r="M96" i="36"/>
  <c r="M95" i="36"/>
  <c r="K53" i="36"/>
  <c r="I342" i="20" l="1"/>
  <c r="E343" i="20"/>
  <c r="Q60" i="36"/>
  <c r="O71" i="36" s="1"/>
  <c r="O60" i="36"/>
  <c r="M71" i="36" s="1"/>
  <c r="K60" i="36"/>
  <c r="K59" i="36"/>
  <c r="K54" i="36"/>
  <c r="F343" i="20" l="1"/>
  <c r="H343" i="20" s="1"/>
  <c r="E344" i="20"/>
  <c r="E393" i="20"/>
  <c r="F344" i="20" l="1"/>
  <c r="H344" i="20" s="1"/>
  <c r="E345" i="20"/>
  <c r="O343" i="20"/>
  <c r="O344" i="20" s="1"/>
  <c r="I343" i="20"/>
  <c r="I344" i="20" l="1"/>
  <c r="F345" i="20"/>
  <c r="H345" i="20" l="1"/>
  <c r="E346" i="20"/>
  <c r="I345" i="20"/>
  <c r="O345" i="20"/>
  <c r="F346" i="20" l="1"/>
  <c r="H346" i="20" s="1"/>
  <c r="E347" i="20"/>
  <c r="F347" i="20" l="1"/>
  <c r="H348" i="20" s="1"/>
  <c r="I377" i="20" a="1"/>
  <c r="I377" i="20" s="1"/>
  <c r="H387" i="20"/>
  <c r="B438" i="20" s="1"/>
  <c r="I346" i="20"/>
  <c r="H386" i="20"/>
  <c r="B437" i="20" s="1"/>
  <c r="I381" i="20" a="1"/>
  <c r="I381" i="20" s="1"/>
  <c r="M381" i="20" s="1"/>
  <c r="E383" i="20"/>
  <c r="H437" i="20" s="1"/>
  <c r="E384" i="20"/>
  <c r="H438" i="20" s="1"/>
  <c r="I380" i="20" a="1"/>
  <c r="I380" i="20" s="1"/>
  <c r="I379" i="20" a="1"/>
  <c r="I379" i="20" s="1"/>
  <c r="E380" i="20"/>
  <c r="F437" i="20" s="1"/>
  <c r="E392" i="20"/>
  <c r="E381" i="20"/>
  <c r="F438" i="20" s="1"/>
  <c r="E377" i="20"/>
  <c r="D437" i="20" s="1"/>
  <c r="E391" i="20"/>
  <c r="E378" i="20"/>
  <c r="D438" i="20" s="1"/>
  <c r="I378" i="20" a="1"/>
  <c r="I378" i="20" s="1"/>
  <c r="O346" i="20"/>
  <c r="H347" i="20" l="1"/>
  <c r="I349" i="20" s="1"/>
  <c r="E376" i="20"/>
  <c r="D434" i="20"/>
  <c r="M378" i="20"/>
  <c r="E379" i="20"/>
  <c r="M379" i="20"/>
  <c r="F434" i="20"/>
  <c r="M380" i="20"/>
  <c r="H434" i="20"/>
  <c r="E382" i="20"/>
  <c r="H385" i="20"/>
  <c r="B434" i="20"/>
  <c r="M377" i="20"/>
  <c r="I347" i="20" l="1"/>
  <c r="I348" i="20"/>
  <c r="O347" i="20"/>
  <c r="O348" i="20" s="1"/>
  <c r="O349" i="20" s="1"/>
  <c r="B435" i="20"/>
  <c r="B441" i="20"/>
  <c r="B440" i="20"/>
  <c r="H390" i="20"/>
  <c r="H389" i="20"/>
  <c r="E387" i="20"/>
  <c r="E390" i="20"/>
  <c r="H440" i="20"/>
  <c r="H441" i="20"/>
  <c r="H435" i="20"/>
  <c r="F435" i="20"/>
  <c r="F441" i="20"/>
  <c r="E386" i="20"/>
  <c r="F440" i="20"/>
  <c r="E389" i="20"/>
  <c r="D441" i="20"/>
  <c r="D435" i="20"/>
  <c r="E388" i="20"/>
  <c r="E385" i="20"/>
  <c r="D44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Waguespack, Ryan</author>
  </authors>
  <commentList>
    <comment ref="N13" authorId="0" shapeId="0" xr:uid="{A530BCB1-E30E-4538-BB2F-C651A437F5B8}">
      <text>
        <r>
          <rPr>
            <b/>
            <sz val="9"/>
            <color indexed="81"/>
            <rFont val="Tahoma"/>
            <family val="2"/>
          </rPr>
          <t>Waguespack, Ryan:</t>
        </r>
        <r>
          <rPr>
            <sz val="9"/>
            <color indexed="81"/>
            <rFont val="Tahoma"/>
            <family val="2"/>
          </rPr>
          <t xml:space="preserve">
Used new beginning value after partial sale</t>
        </r>
      </text>
    </comment>
    <comment ref="N16" authorId="0" shapeId="0" xr:uid="{A2CC1B54-C10F-476F-B1C5-15C6906EB8A8}">
      <text>
        <r>
          <rPr>
            <b/>
            <sz val="9"/>
            <color indexed="81"/>
            <rFont val="Tahoma"/>
            <family val="2"/>
          </rPr>
          <t>Waguespack, Ryan:</t>
        </r>
        <r>
          <rPr>
            <sz val="9"/>
            <color indexed="81"/>
            <rFont val="Tahoma"/>
            <family val="2"/>
          </rPr>
          <t xml:space="preserve">
Used new beginning value after splits and partial sale</t>
        </r>
      </text>
    </comment>
    <comment ref="N27" authorId="0" shapeId="0" xr:uid="{F86DD311-82E7-428F-B779-7B5682EA4AB4}">
      <text>
        <r>
          <rPr>
            <b/>
            <sz val="9"/>
            <color indexed="81"/>
            <rFont val="Tahoma"/>
            <family val="2"/>
          </rPr>
          <t>Waguespack, Ryan:</t>
        </r>
        <r>
          <rPr>
            <sz val="9"/>
            <color indexed="81"/>
            <rFont val="Tahoma"/>
            <family val="2"/>
          </rPr>
          <t xml:space="preserve">
Used new beginning value after partial sale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Liu, Fan</author>
    <author>Pearson, Seth</author>
  </authors>
  <commentList>
    <comment ref="G711" authorId="0" shapeId="0" xr:uid="{777A74EF-7BDF-4B57-BA33-F4F17020124E}">
      <text>
        <r>
          <rPr>
            <b/>
            <sz val="9"/>
            <color indexed="81"/>
            <rFont val="Tahoma"/>
            <family val="2"/>
          </rPr>
          <t>Liu, Fan:</t>
        </r>
        <r>
          <rPr>
            <sz val="9"/>
            <color indexed="81"/>
            <rFont val="Tahoma"/>
            <family val="2"/>
          </rPr>
          <t xml:space="preserve">
NEW beg value</t>
        </r>
      </text>
    </comment>
    <comment ref="B1276" authorId="1" shapeId="0" xr:uid="{C6844E1D-6FE0-4CCA-AEAB-1B3B0B97685E}">
      <text>
        <r>
          <rPr>
            <b/>
            <sz val="9"/>
            <color indexed="81"/>
            <rFont val="Tahoma"/>
            <family val="2"/>
          </rPr>
          <t>Pearson, Seth:</t>
        </r>
        <r>
          <rPr>
            <sz val="9"/>
            <color indexed="81"/>
            <rFont val="Tahoma"/>
            <family val="2"/>
          </rPr>
          <t xml:space="preserve">
Should be 45 shares sold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tc={3D68EF65-C6C1-4922-A390-6C91C0D4425A}</author>
    <author>tc={694562A7-D38A-43F1-B052-993A7158C7B3}</author>
    <author>Fanny Liu</author>
  </authors>
  <commentList>
    <comment ref="J3" authorId="0" shapeId="0" xr:uid="{3D68EF65-C6C1-4922-A390-6C91C0D4425A}">
      <text>
        <t>[Threaded comment]
Your version of Excel allows you to read this threaded comment; however, any edits to it will get removed if the file is opened in a newer version of Excel. Learn more: https://go.microsoft.com/fwlink/?linkid=870924
Comment:
    see IMP portfolio upate instructions.
•Obtain the S&amp;P 500 monthly return (column J) from the S&amp;P 500 website at https://www.spglobal.com/spdji/en/indices/equity/sp-500/#overview.  Download the “S&amp;P Market Attributes Web File” Excel file from the “Additional Info” drop-down box. Use the tab "Prices Months" to find the info
Reply:
    Use the 1-month total return column</t>
      </text>
    </comment>
    <comment ref="L3" authorId="1" shapeId="0" xr:uid="{694562A7-D38A-43F1-B052-993A7158C7B3}">
      <text>
        <t>[Threaded comment]
Your version of Excel allows you to read this threaded comment; however, any edits to it will get removed if the file is opened in a newer version of Excel. Learn more: https://go.microsoft.com/fwlink/?linkid=870924
Comment:
    see IMP portfolio update instructions.
•Obtain the Bloomberg Barclays U.S. Aggregate Bond index monthly return (column L) from a Morningstar webpage at http://performance.morningstar.com/Performance/index-c/performance-return.action?t=XIUSA000MC
Reply:
    Link no longer valid, now using Monthly returns from iShares for AGG</t>
      </text>
    </comment>
    <comment ref="C329" authorId="2" shapeId="0" xr:uid="{19DCF2C4-037B-4A0E-B3A2-BC5B71B6631D}">
      <text>
        <r>
          <rPr>
            <b/>
            <sz val="9"/>
            <color indexed="81"/>
            <rFont val="Tahoma"/>
            <family val="2"/>
          </rPr>
          <t>Fanny Liu:</t>
        </r>
        <r>
          <rPr>
            <sz val="9"/>
            <color indexed="81"/>
            <rFont val="Tahoma"/>
            <family val="2"/>
          </rPr>
          <t xml:space="preserve">
already taking out the 5K scholarship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Fanny Liu</author>
    <author>tc={C667CCCC-7E63-4A0E-B16F-683EE35F4954}</author>
  </authors>
  <commentList>
    <comment ref="D16" authorId="0" shapeId="0" xr:uid="{40F79D59-C481-423A-88F5-C824A6314F7E}">
      <text>
        <r>
          <rPr>
            <b/>
            <sz val="9"/>
            <color indexed="81"/>
            <rFont val="Tahoma"/>
            <family val="2"/>
          </rPr>
          <t>Fanny Liu:</t>
        </r>
        <r>
          <rPr>
            <sz val="9"/>
            <color indexed="81"/>
            <rFont val="Tahoma"/>
            <family val="2"/>
          </rPr>
          <t xml:space="preserve">
this changes, for current market cap, check "2021 working" tab for market cap</t>
        </r>
      </text>
    </comment>
    <comment ref="D25" authorId="1" shapeId="0" xr:uid="{C667CCCC-7E63-4A0E-B16F-683EE35F4954}">
      <text>
        <t>[Threaded comment]
Your version of Excel allows you to read this threaded comment; however, any edits to it will get removed if the file is opened in a newer version of Excel. Learn more: https://go.microsoft.com/fwlink/?linkid=870924
Comment:
    need manually search from morningstar</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67">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17"/>
        </ext>
      </extLst>
    </bk>
    <bk>
      <extLst>
        <ext uri="{3e2802c4-a4d2-4d8b-9148-e3be6c30e623}">
          <xlrd:rvb i="20"/>
        </ext>
      </extLst>
    </bk>
    <bk>
      <extLst>
        <ext uri="{3e2802c4-a4d2-4d8b-9148-e3be6c30e623}">
          <xlrd:rvb i="23"/>
        </ext>
      </extLst>
    </bk>
    <bk>
      <extLst>
        <ext uri="{3e2802c4-a4d2-4d8b-9148-e3be6c30e623}">
          <xlrd:rvb i="26"/>
        </ext>
      </extLst>
    </bk>
    <bk>
      <extLst>
        <ext uri="{3e2802c4-a4d2-4d8b-9148-e3be6c30e623}">
          <xlrd:rvb i="29"/>
        </ext>
      </extLst>
    </bk>
    <bk>
      <extLst>
        <ext uri="{3e2802c4-a4d2-4d8b-9148-e3be6c30e623}">
          <xlrd:rvb i="32"/>
        </ext>
      </extLst>
    </bk>
    <bk>
      <extLst>
        <ext uri="{3e2802c4-a4d2-4d8b-9148-e3be6c30e623}">
          <xlrd:rvb i="35"/>
        </ext>
      </extLst>
    </bk>
    <bk>
      <extLst>
        <ext uri="{3e2802c4-a4d2-4d8b-9148-e3be6c30e623}">
          <xlrd:rvb i="38"/>
        </ext>
      </extLst>
    </bk>
    <bk>
      <extLst>
        <ext uri="{3e2802c4-a4d2-4d8b-9148-e3be6c30e623}">
          <xlrd:rvb i="41"/>
        </ext>
      </extLst>
    </bk>
    <bk>
      <extLst>
        <ext uri="{3e2802c4-a4d2-4d8b-9148-e3be6c30e623}">
          <xlrd:rvb i="44"/>
        </ext>
      </extLst>
    </bk>
    <bk>
      <extLst>
        <ext uri="{3e2802c4-a4d2-4d8b-9148-e3be6c30e623}">
          <xlrd:rvb i="47"/>
        </ext>
      </extLst>
    </bk>
    <bk>
      <extLst>
        <ext uri="{3e2802c4-a4d2-4d8b-9148-e3be6c30e623}">
          <xlrd:rvb i="50"/>
        </ext>
      </extLst>
    </bk>
    <bk>
      <extLst>
        <ext uri="{3e2802c4-a4d2-4d8b-9148-e3be6c30e623}">
          <xlrd:rvb i="53"/>
        </ext>
      </extLst>
    </bk>
    <bk>
      <extLst>
        <ext uri="{3e2802c4-a4d2-4d8b-9148-e3be6c30e623}">
          <xlrd:rvb i="56"/>
        </ext>
      </extLst>
    </bk>
    <bk>
      <extLst>
        <ext uri="{3e2802c4-a4d2-4d8b-9148-e3be6c30e623}">
          <xlrd:rvb i="59"/>
        </ext>
      </extLst>
    </bk>
    <bk>
      <extLst>
        <ext uri="{3e2802c4-a4d2-4d8b-9148-e3be6c30e623}">
          <xlrd:rvb i="62"/>
        </ext>
      </extLst>
    </bk>
    <bk>
      <extLst>
        <ext uri="{3e2802c4-a4d2-4d8b-9148-e3be6c30e623}">
          <xlrd:rvb i="69"/>
        </ext>
      </extLst>
    </bk>
    <bk>
      <extLst>
        <ext uri="{3e2802c4-a4d2-4d8b-9148-e3be6c30e623}">
          <xlrd:rvb i="72"/>
        </ext>
      </extLst>
    </bk>
    <bk>
      <extLst>
        <ext uri="{3e2802c4-a4d2-4d8b-9148-e3be6c30e623}">
          <xlrd:rvb i="75"/>
        </ext>
      </extLst>
    </bk>
    <bk>
      <extLst>
        <ext uri="{3e2802c4-a4d2-4d8b-9148-e3be6c30e623}">
          <xlrd:rvb i="78"/>
        </ext>
      </extLst>
    </bk>
    <bk>
      <extLst>
        <ext uri="{3e2802c4-a4d2-4d8b-9148-e3be6c30e623}">
          <xlrd:rvb i="81"/>
        </ext>
      </extLst>
    </bk>
    <bk>
      <extLst>
        <ext uri="{3e2802c4-a4d2-4d8b-9148-e3be6c30e623}">
          <xlrd:rvb i="84"/>
        </ext>
      </extLst>
    </bk>
    <bk>
      <extLst>
        <ext uri="{3e2802c4-a4d2-4d8b-9148-e3be6c30e623}">
          <xlrd:rvb i="87"/>
        </ext>
      </extLst>
    </bk>
    <bk>
      <extLst>
        <ext uri="{3e2802c4-a4d2-4d8b-9148-e3be6c30e623}">
          <xlrd:rvb i="90"/>
        </ext>
      </extLst>
    </bk>
    <bk>
      <extLst>
        <ext uri="{3e2802c4-a4d2-4d8b-9148-e3be6c30e623}">
          <xlrd:rvb i="93"/>
        </ext>
      </extLst>
    </bk>
    <bk>
      <extLst>
        <ext uri="{3e2802c4-a4d2-4d8b-9148-e3be6c30e623}">
          <xlrd:rvb i="96"/>
        </ext>
      </extLst>
    </bk>
    <bk>
      <extLst>
        <ext uri="{3e2802c4-a4d2-4d8b-9148-e3be6c30e623}">
          <xlrd:rvb i="99"/>
        </ext>
      </extLst>
    </bk>
    <bk>
      <extLst>
        <ext uri="{3e2802c4-a4d2-4d8b-9148-e3be6c30e623}">
          <xlrd:rvb i="102"/>
        </ext>
      </extLst>
    </bk>
    <bk>
      <extLst>
        <ext uri="{3e2802c4-a4d2-4d8b-9148-e3be6c30e623}">
          <xlrd:rvb i="105"/>
        </ext>
      </extLst>
    </bk>
    <bk>
      <extLst>
        <ext uri="{3e2802c4-a4d2-4d8b-9148-e3be6c30e623}">
          <xlrd:rvb i="108"/>
        </ext>
      </extLst>
    </bk>
    <bk>
      <extLst>
        <ext uri="{3e2802c4-a4d2-4d8b-9148-e3be6c30e623}">
          <xlrd:rvb i="111"/>
        </ext>
      </extLst>
    </bk>
    <bk>
      <extLst>
        <ext uri="{3e2802c4-a4d2-4d8b-9148-e3be6c30e623}">
          <xlrd:rvb i="114"/>
        </ext>
      </extLst>
    </bk>
    <bk>
      <extLst>
        <ext uri="{3e2802c4-a4d2-4d8b-9148-e3be6c30e623}">
          <xlrd:rvb i="117"/>
        </ext>
      </extLst>
    </bk>
    <bk>
      <extLst>
        <ext uri="{3e2802c4-a4d2-4d8b-9148-e3be6c30e623}">
          <xlrd:rvb i="120"/>
        </ext>
      </extLst>
    </bk>
    <bk>
      <extLst>
        <ext uri="{3e2802c4-a4d2-4d8b-9148-e3be6c30e623}">
          <xlrd:rvb i="123"/>
        </ext>
      </extLst>
    </bk>
    <bk>
      <extLst>
        <ext uri="{3e2802c4-a4d2-4d8b-9148-e3be6c30e623}">
          <xlrd:rvb i="126"/>
        </ext>
      </extLst>
    </bk>
    <bk>
      <extLst>
        <ext uri="{3e2802c4-a4d2-4d8b-9148-e3be6c30e623}">
          <xlrd:rvb i="129"/>
        </ext>
      </extLst>
    </bk>
    <bk>
      <extLst>
        <ext uri="{3e2802c4-a4d2-4d8b-9148-e3be6c30e623}">
          <xlrd:rvb i="132"/>
        </ext>
      </extLst>
    </bk>
    <bk>
      <extLst>
        <ext uri="{3e2802c4-a4d2-4d8b-9148-e3be6c30e623}">
          <xlrd:rvb i="135"/>
        </ext>
      </extLst>
    </bk>
    <bk>
      <extLst>
        <ext uri="{3e2802c4-a4d2-4d8b-9148-e3be6c30e623}">
          <xlrd:rvb i="138"/>
        </ext>
      </extLst>
    </bk>
    <bk>
      <extLst>
        <ext uri="{3e2802c4-a4d2-4d8b-9148-e3be6c30e623}">
          <xlrd:rvb i="141"/>
        </ext>
      </extLst>
    </bk>
    <bk>
      <extLst>
        <ext uri="{3e2802c4-a4d2-4d8b-9148-e3be6c30e623}">
          <xlrd:rvb i="147"/>
        </ext>
      </extLst>
    </bk>
    <bk>
      <extLst>
        <ext uri="{3e2802c4-a4d2-4d8b-9148-e3be6c30e623}">
          <xlrd:rvb i="150"/>
        </ext>
      </extLst>
    </bk>
    <bk>
      <extLst>
        <ext uri="{3e2802c4-a4d2-4d8b-9148-e3be6c30e623}">
          <xlrd:rvb i="153"/>
        </ext>
      </extLst>
    </bk>
    <bk>
      <extLst>
        <ext uri="{3e2802c4-a4d2-4d8b-9148-e3be6c30e623}">
          <xlrd:rvb i="156"/>
        </ext>
      </extLst>
    </bk>
    <bk>
      <extLst>
        <ext uri="{3e2802c4-a4d2-4d8b-9148-e3be6c30e623}">
          <xlrd:rvb i="159"/>
        </ext>
      </extLst>
    </bk>
    <bk>
      <extLst>
        <ext uri="{3e2802c4-a4d2-4d8b-9148-e3be6c30e623}">
          <xlrd:rvb i="162"/>
        </ext>
      </extLst>
    </bk>
    <bk>
      <extLst>
        <ext uri="{3e2802c4-a4d2-4d8b-9148-e3be6c30e623}">
          <xlrd:rvb i="165"/>
        </ext>
      </extLst>
    </bk>
    <bk>
      <extLst>
        <ext uri="{3e2802c4-a4d2-4d8b-9148-e3be6c30e623}">
          <xlrd:rvb i="168"/>
        </ext>
      </extLst>
    </bk>
    <bk>
      <extLst>
        <ext uri="{3e2802c4-a4d2-4d8b-9148-e3be6c30e623}">
          <xlrd:rvb i="171"/>
        </ext>
      </extLst>
    </bk>
    <bk>
      <extLst>
        <ext uri="{3e2802c4-a4d2-4d8b-9148-e3be6c30e623}">
          <xlrd:rvb i="174"/>
        </ext>
      </extLst>
    </bk>
    <bk>
      <extLst>
        <ext uri="{3e2802c4-a4d2-4d8b-9148-e3be6c30e623}">
          <xlrd:rvb i="177"/>
        </ext>
      </extLst>
    </bk>
    <bk>
      <extLst>
        <ext uri="{3e2802c4-a4d2-4d8b-9148-e3be6c30e623}">
          <xlrd:rvb i="180"/>
        </ext>
      </extLst>
    </bk>
    <bk>
      <extLst>
        <ext uri="{3e2802c4-a4d2-4d8b-9148-e3be6c30e623}">
          <xlrd:rvb i="186"/>
        </ext>
      </extLst>
    </bk>
    <bk>
      <extLst>
        <ext uri="{3e2802c4-a4d2-4d8b-9148-e3be6c30e623}">
          <xlrd:rvb i="189"/>
        </ext>
      </extLst>
    </bk>
    <bk>
      <extLst>
        <ext uri="{3e2802c4-a4d2-4d8b-9148-e3be6c30e623}">
          <xlrd:rvb i="192"/>
        </ext>
      </extLst>
    </bk>
    <bk>
      <extLst>
        <ext uri="{3e2802c4-a4d2-4d8b-9148-e3be6c30e623}">
          <xlrd:rvb i="195"/>
        </ext>
      </extLst>
    </bk>
    <bk>
      <extLst>
        <ext uri="{3e2802c4-a4d2-4d8b-9148-e3be6c30e623}">
          <xlrd:rvb i="198"/>
        </ext>
      </extLst>
    </bk>
    <bk>
      <extLst>
        <ext uri="{3e2802c4-a4d2-4d8b-9148-e3be6c30e623}">
          <xlrd:rvb i="201"/>
        </ext>
      </extLst>
    </bk>
    <bk>
      <extLst>
        <ext uri="{3e2802c4-a4d2-4d8b-9148-e3be6c30e623}">
          <xlrd:rvb i="204"/>
        </ext>
      </extLst>
    </bk>
    <bk>
      <extLst>
        <ext uri="{3e2802c4-a4d2-4d8b-9148-e3be6c30e623}">
          <xlrd:rvb i="207"/>
        </ext>
      </extLst>
    </bk>
    <bk>
      <extLst>
        <ext uri="{3e2802c4-a4d2-4d8b-9148-e3be6c30e623}">
          <xlrd:rvb i="210"/>
        </ext>
      </extLst>
    </bk>
  </futureMetadata>
  <futureMetadata name="XLDAPR" count="1">
    <bk>
      <extLst>
        <ext uri="{bdbb8cdc-fa1e-496e-a857-3c3f30c029c3}">
          <xda:dynamicArrayProperties fDynamic="1" fCollapsed="0"/>
        </ext>
      </extLst>
    </bk>
  </futureMetadata>
  <cellMetadata count="1">
    <bk>
      <rc t="2" v="0"/>
    </bk>
  </cellMetadata>
  <valueMetadata count="6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valueMetadata>
</metadata>
</file>

<file path=xl/sharedStrings.xml><?xml version="1.0" encoding="utf-8"?>
<sst xmlns="http://schemas.openxmlformats.org/spreadsheetml/2006/main" count="5274" uniqueCount="1295">
  <si>
    <t>Investment Management Program Portfolio</t>
  </si>
  <si>
    <t>Fall 2006 / Spring 2007 IMP Performance</t>
  </si>
  <si>
    <t>August 29, 2006 - April 23, 2007</t>
  </si>
  <si>
    <t>Summary</t>
  </si>
  <si>
    <t>Returns</t>
  </si>
  <si>
    <t>YTD</t>
  </si>
  <si>
    <t xml:space="preserve">Holding </t>
  </si>
  <si>
    <t>Security</t>
  </si>
  <si>
    <t>Ticker</t>
  </si>
  <si>
    <t>Shares</t>
  </si>
  <si>
    <t>Price</t>
  </si>
  <si>
    <t>Value</t>
  </si>
  <si>
    <t>Weight</t>
  </si>
  <si>
    <t>Invested Weight</t>
  </si>
  <si>
    <t>Tot. Portfolio Weight</t>
  </si>
  <si>
    <t>Return</t>
  </si>
  <si>
    <t>Alcoa</t>
  </si>
  <si>
    <t>AA</t>
  </si>
  <si>
    <t>American Internationl Group</t>
  </si>
  <si>
    <t>AIG</t>
  </si>
  <si>
    <t>Amphenol Corp</t>
  </si>
  <si>
    <t>APH</t>
  </si>
  <si>
    <t>Bank of America</t>
  </si>
  <si>
    <t>BAC</t>
  </si>
  <si>
    <t>Danaher Corp</t>
  </si>
  <si>
    <t>DHR</t>
  </si>
  <si>
    <t>Eagle Materials</t>
  </si>
  <si>
    <t>EXP</t>
  </si>
  <si>
    <t>eBay Inc</t>
  </si>
  <si>
    <t>EBAY</t>
  </si>
  <si>
    <t>Endo Pharmaceuticals</t>
  </si>
  <si>
    <t>ENDP</t>
  </si>
  <si>
    <t>Fastenal</t>
  </si>
  <si>
    <t>FAST</t>
  </si>
  <si>
    <t>General Electric</t>
  </si>
  <si>
    <t>GE</t>
  </si>
  <si>
    <t>Harman International</t>
  </si>
  <si>
    <t>HAR</t>
  </si>
  <si>
    <t>Home Depot</t>
  </si>
  <si>
    <t>HD</t>
  </si>
  <si>
    <t>Microsoft Corp.</t>
  </si>
  <si>
    <t>MSFT</t>
  </si>
  <si>
    <t>Motorola</t>
  </si>
  <si>
    <t>MOT</t>
  </si>
  <si>
    <t>Patterson UTI Energy</t>
  </si>
  <si>
    <t>PTEN</t>
  </si>
  <si>
    <t>Teva Pharmaceutical Industries Ltd.</t>
  </si>
  <si>
    <t>TEVA</t>
  </si>
  <si>
    <t>Whole Foods Markets</t>
  </si>
  <si>
    <t>WFMI</t>
  </si>
  <si>
    <t>Yum Brands</t>
  </si>
  <si>
    <t>YUM</t>
  </si>
  <si>
    <t>Sold</t>
  </si>
  <si>
    <t>Community Health Sytems</t>
  </si>
  <si>
    <t>CYH</t>
  </si>
  <si>
    <t>Usana Health</t>
  </si>
  <si>
    <t>USNA</t>
  </si>
  <si>
    <t>Diageo</t>
  </si>
  <si>
    <t>DEO</t>
  </si>
  <si>
    <t>Sempra Energy</t>
  </si>
  <si>
    <t>SRE</t>
  </si>
  <si>
    <t>SLM Corp.</t>
  </si>
  <si>
    <t>SLM</t>
  </si>
  <si>
    <t>Actively Managed Totals</t>
  </si>
  <si>
    <t xml:space="preserve">Money Market </t>
  </si>
  <si>
    <t>Scholarship/Donation Account</t>
  </si>
  <si>
    <t>Portfolio Value</t>
  </si>
  <si>
    <t>Benchmark</t>
  </si>
  <si>
    <t>S&amp;P 500 Index</t>
  </si>
  <si>
    <t>2004 Performance</t>
  </si>
  <si>
    <t xml:space="preserve">      Summary</t>
  </si>
  <si>
    <t>Portfolio Characteristics</t>
  </si>
  <si>
    <t xml:space="preserve">Weight </t>
  </si>
  <si>
    <t>Market</t>
  </si>
  <si>
    <t>Dividend</t>
  </si>
  <si>
    <t>5 Year</t>
  </si>
  <si>
    <t>Excluding Cash</t>
  </si>
  <si>
    <t>Capitalization</t>
  </si>
  <si>
    <t>P/E</t>
  </si>
  <si>
    <t>P/BV</t>
  </si>
  <si>
    <t>PEG</t>
  </si>
  <si>
    <t>Yield</t>
  </si>
  <si>
    <t>ROE</t>
  </si>
  <si>
    <t>D/E</t>
  </si>
  <si>
    <t xml:space="preserve">Ametek, Inc. </t>
  </si>
  <si>
    <t>AME</t>
  </si>
  <si>
    <t>#ERROR!</t>
  </si>
  <si>
    <t>#REF!</t>
  </si>
  <si>
    <t>Aramark</t>
  </si>
  <si>
    <t>RMK</t>
  </si>
  <si>
    <t>Christopher &amp; Banks Co.</t>
  </si>
  <si>
    <t>CBK</t>
  </si>
  <si>
    <t>Corinthian Colleges</t>
  </si>
  <si>
    <t>COCO</t>
  </si>
  <si>
    <t>CorVel Corp.</t>
  </si>
  <si>
    <t>CRVL</t>
  </si>
  <si>
    <t>N/A</t>
  </si>
  <si>
    <t xml:space="preserve">Darden Restaurants, Inc. </t>
  </si>
  <si>
    <t>DRI</t>
  </si>
  <si>
    <t>Doral Financial</t>
  </si>
  <si>
    <t>DRL</t>
  </si>
  <si>
    <t>Forest Laboratories</t>
  </si>
  <si>
    <t>FRX</t>
  </si>
  <si>
    <t xml:space="preserve">Harley-Davidson, Inc. </t>
  </si>
  <si>
    <t>HDI</t>
  </si>
  <si>
    <t>Hot Topic Inc.</t>
  </si>
  <si>
    <t>HOTT</t>
  </si>
  <si>
    <t>Hovnanian Ent. Inc.</t>
  </si>
  <si>
    <t>HOV</t>
  </si>
  <si>
    <t>Intel Corporation</t>
  </si>
  <si>
    <t>INTC</t>
  </si>
  <si>
    <t>Pfizer Inc.</t>
  </si>
  <si>
    <t>PFE</t>
  </si>
  <si>
    <t>Pier 1 Inc.</t>
  </si>
  <si>
    <t>PIR</t>
  </si>
  <si>
    <t>Priority Health Care Corp.</t>
  </si>
  <si>
    <t>PHCC</t>
  </si>
  <si>
    <t>Schnitzer Steel</t>
  </si>
  <si>
    <t>SCHN</t>
  </si>
  <si>
    <t>Thor Industries</t>
  </si>
  <si>
    <t>THO</t>
  </si>
  <si>
    <t xml:space="preserve">Timberland Company </t>
  </si>
  <si>
    <t>TBL</t>
  </si>
  <si>
    <t xml:space="preserve">TJX Companies, Inc. </t>
  </si>
  <si>
    <t>TJX</t>
  </si>
  <si>
    <t>UTStarcom, Inc.</t>
  </si>
  <si>
    <t>UTSI</t>
  </si>
  <si>
    <t xml:space="preserve">Columbia Sportswear Company </t>
  </si>
  <si>
    <t>COLM</t>
  </si>
  <si>
    <t>Dynacq Healthcare</t>
  </si>
  <si>
    <t>DYII</t>
  </si>
  <si>
    <t>Nextel Communications Inc.</t>
  </si>
  <si>
    <t>NXTL</t>
  </si>
  <si>
    <t xml:space="preserve">PolyMedica Corporation </t>
  </si>
  <si>
    <t>PLMD</t>
  </si>
  <si>
    <t xml:space="preserve">Polaris Industries Inc. </t>
  </si>
  <si>
    <t>PII</t>
  </si>
  <si>
    <t>Sasol Ltd Limited</t>
  </si>
  <si>
    <t>SSL</t>
  </si>
  <si>
    <t>Tyco International</t>
  </si>
  <si>
    <t>TYC</t>
  </si>
  <si>
    <t xml:space="preserve">S&amp;P 500 </t>
  </si>
  <si>
    <t>S&amp;P MidCap 400</t>
  </si>
  <si>
    <t>S&amp;P SmallCap 600</t>
  </si>
  <si>
    <t>S&amp;P Composite 1500</t>
  </si>
  <si>
    <t>IMP Composite</t>
  </si>
  <si>
    <t>The IMP Composite, our benchmark, combines S&amp;P 500, S&amp;P MidCap 400, and S&amp;P SmallCap 600 with an equal weight.</t>
  </si>
  <si>
    <t>2005 Performance</t>
  </si>
  <si>
    <t>Alliance Resource Partners LP</t>
  </si>
  <si>
    <t>ARLP</t>
  </si>
  <si>
    <t>American International Group Inc.</t>
  </si>
  <si>
    <t>Cisco Systems, Inc.</t>
  </si>
  <si>
    <t>CSCO</t>
  </si>
  <si>
    <t>Coca-Cola Co.</t>
  </si>
  <si>
    <t>KO</t>
  </si>
  <si>
    <t>Corporate Executive Board</t>
  </si>
  <si>
    <t>EXBD</t>
  </si>
  <si>
    <t>DRl</t>
  </si>
  <si>
    <t>MBNA Corp.</t>
  </si>
  <si>
    <t>KRB</t>
  </si>
  <si>
    <t>Nucor Corp.</t>
  </si>
  <si>
    <t>NUE</t>
  </si>
  <si>
    <t>Penn National Gaming</t>
  </si>
  <si>
    <t>PENN</t>
  </si>
  <si>
    <t>PepsiCo Inc.</t>
  </si>
  <si>
    <t>PEP</t>
  </si>
  <si>
    <t>Starbucks Corp.</t>
  </si>
  <si>
    <t>SBUX</t>
  </si>
  <si>
    <t>St. Jude Medical</t>
  </si>
  <si>
    <t>STJ</t>
  </si>
  <si>
    <t>Toyota Motor Corp.</t>
  </si>
  <si>
    <t>TM</t>
  </si>
  <si>
    <t>United Health</t>
  </si>
  <si>
    <t>UNH</t>
  </si>
  <si>
    <t>Walgreen Co.</t>
  </si>
  <si>
    <t>WAG</t>
  </si>
  <si>
    <t xml:space="preserve">Anheuser Busch </t>
  </si>
  <si>
    <t>BUD</t>
  </si>
  <si>
    <t>H&amp;R Block</t>
  </si>
  <si>
    <t>HRB</t>
  </si>
  <si>
    <t>New Century Financial Corp.</t>
  </si>
  <si>
    <t>NEW</t>
  </si>
  <si>
    <t>Russell 3000 Growth</t>
  </si>
  <si>
    <t>2006 Performance</t>
  </si>
  <si>
    <t xml:space="preserve">                                                                         'December 31, 2006</t>
  </si>
  <si>
    <t>Nucor</t>
  </si>
  <si>
    <t>Aetna, Inc.</t>
  </si>
  <si>
    <t>AET</t>
  </si>
  <si>
    <t>UnitedHealth Corp</t>
  </si>
  <si>
    <t>Diamond Offshore Drilling</t>
  </si>
  <si>
    <t>DO</t>
  </si>
  <si>
    <t>Freeport-McMoRan Copper &amp; Gold Inc.</t>
  </si>
  <si>
    <t>FCX</t>
  </si>
  <si>
    <t>Nvidia Corp.</t>
  </si>
  <si>
    <t>NVDA</t>
  </si>
  <si>
    <t>Hornbeck Offshore Services, Inc.</t>
  </si>
  <si>
    <t>HOS</t>
  </si>
  <si>
    <t xml:space="preserve">Resources Connection Inc. </t>
  </si>
  <si>
    <t>RECN</t>
  </si>
  <si>
    <t>Youbet Com, Inc.</t>
  </si>
  <si>
    <t>UBET</t>
  </si>
  <si>
    <t>Communnity Health</t>
  </si>
  <si>
    <t>Amphenol</t>
  </si>
  <si>
    <t>2007 Annual Performance</t>
  </si>
  <si>
    <t xml:space="preserve">Apollo </t>
  </si>
  <si>
    <t>APOL</t>
  </si>
  <si>
    <t>Apple Inc.</t>
  </si>
  <si>
    <t>AAPL</t>
  </si>
  <si>
    <t>Bio-Reference Laboratories</t>
  </si>
  <si>
    <t>BRLI</t>
  </si>
  <si>
    <t>Hercules Offshore</t>
  </si>
  <si>
    <t>HERO</t>
  </si>
  <si>
    <t>Ishares</t>
  </si>
  <si>
    <t>ILF</t>
  </si>
  <si>
    <t>LoopNet</t>
  </si>
  <si>
    <t>LOOP</t>
  </si>
  <si>
    <t>Merck</t>
  </si>
  <si>
    <t>MRK</t>
  </si>
  <si>
    <t>ProLogis</t>
  </si>
  <si>
    <t>PLD</t>
  </si>
  <si>
    <t>PP&amp;L</t>
  </si>
  <si>
    <t>PPL</t>
  </si>
  <si>
    <t>Weatherford International</t>
  </si>
  <si>
    <t>WFT</t>
  </si>
  <si>
    <t>S&amp;P 500 Index - 'Spiders'</t>
  </si>
  <si>
    <t>SPY</t>
  </si>
  <si>
    <t xml:space="preserve">S&amp;P 500 price change </t>
  </si>
  <si>
    <t>S&amp;P 500 dividend yield</t>
  </si>
  <si>
    <t>S&amp;P 500 total return</t>
  </si>
  <si>
    <t>2008 Annual Performance</t>
  </si>
  <si>
    <t>3M</t>
  </si>
  <si>
    <t>MMM</t>
  </si>
  <si>
    <t>Coca Cola Co.</t>
  </si>
  <si>
    <t>Focus Media Holding Ltd.</t>
  </si>
  <si>
    <t>FMCN</t>
  </si>
  <si>
    <t>iShares S&amp;P Latin America 40 Index</t>
  </si>
  <si>
    <t>Potash Corp of Saskatchewan Inc.</t>
  </si>
  <si>
    <t>POT</t>
  </si>
  <si>
    <t>Techne Corp.</t>
  </si>
  <si>
    <t>TECH</t>
  </si>
  <si>
    <t>Waste Management</t>
  </si>
  <si>
    <t>WMI</t>
  </si>
  <si>
    <t>XTO Energy</t>
  </si>
  <si>
    <t>XTO</t>
  </si>
  <si>
    <t>American International Group</t>
  </si>
  <si>
    <t>Whole Foods Markets Inc</t>
  </si>
  <si>
    <t>2009 Annual Performance</t>
  </si>
  <si>
    <t>Apollo Group Inc</t>
  </si>
  <si>
    <t>Arthur J. Gallagher &amp; Co</t>
  </si>
  <si>
    <t>AJG</t>
  </si>
  <si>
    <t>China Mobile ADR</t>
  </si>
  <si>
    <t>CHL</t>
  </si>
  <si>
    <t>Discover Financial Services</t>
  </si>
  <si>
    <t>DFS</t>
  </si>
  <si>
    <t>MidCap SPDRs</t>
  </si>
  <si>
    <t>MDY</t>
  </si>
  <si>
    <t>Procter &amp; Gamble Co</t>
  </si>
  <si>
    <t>PG</t>
  </si>
  <si>
    <t>Regions Financial Corp</t>
  </si>
  <si>
    <t>RF</t>
  </si>
  <si>
    <t>Snap-on Inc</t>
  </si>
  <si>
    <t>SNA</t>
  </si>
  <si>
    <t>Teleflex Inc</t>
  </si>
  <si>
    <t>TFX</t>
  </si>
  <si>
    <t>WM</t>
  </si>
  <si>
    <t xml:space="preserve">WidePoint Corp </t>
  </si>
  <si>
    <t>WYY</t>
  </si>
  <si>
    <t>Prologis</t>
  </si>
  <si>
    <t>Apollo</t>
  </si>
  <si>
    <t>Ebay</t>
  </si>
  <si>
    <t>Focus Media Holding Ltd</t>
  </si>
  <si>
    <t>iShares Latin America</t>
  </si>
  <si>
    <t xml:space="preserve">S&amp;P 500 index change </t>
  </si>
  <si>
    <t xml:space="preserve">S&amp;P 500 dividend yield </t>
  </si>
  <si>
    <t>YTD fund turnover</t>
  </si>
  <si>
    <t>2010 Annual Performance</t>
  </si>
  <si>
    <t>Abbott Labs</t>
  </si>
  <si>
    <t>ABT</t>
  </si>
  <si>
    <t>BYD Co Ltd</t>
  </si>
  <si>
    <t>BYDDF</t>
  </si>
  <si>
    <t>China Mobile</t>
  </si>
  <si>
    <t>Cisco Systems</t>
  </si>
  <si>
    <t>Excelon Corp</t>
  </si>
  <si>
    <t>EXC</t>
  </si>
  <si>
    <t>ExxonMobil</t>
  </si>
  <si>
    <t>XOM</t>
  </si>
  <si>
    <t>Frontier Communications</t>
  </si>
  <si>
    <t>FTR</t>
  </si>
  <si>
    <t>Hewlett Packard</t>
  </si>
  <si>
    <t>HPQ</t>
  </si>
  <si>
    <t>Lowes Companies</t>
  </si>
  <si>
    <t>LOW</t>
  </si>
  <si>
    <t>Novartis AG ADR</t>
  </si>
  <si>
    <t>NVS</t>
  </si>
  <si>
    <t>Orrstown Financial Services</t>
  </si>
  <si>
    <t>ORRF</t>
  </si>
  <si>
    <t>Verizon Wireless Communications</t>
  </si>
  <si>
    <t>VZ</t>
  </si>
  <si>
    <t>Vulcan Materials Company</t>
  </si>
  <si>
    <t>VMC</t>
  </si>
  <si>
    <t>Yongye</t>
  </si>
  <si>
    <t>YONG</t>
  </si>
  <si>
    <t>Midcap SPDRs</t>
  </si>
  <si>
    <t>Proctor and Gamble Co</t>
  </si>
  <si>
    <t>WidePoint Corp</t>
  </si>
  <si>
    <t>Transocean</t>
  </si>
  <si>
    <t>RIG</t>
  </si>
  <si>
    <t>Royal Caribbean</t>
  </si>
  <si>
    <t>RCL</t>
  </si>
  <si>
    <t>Wells Fargo Company</t>
  </si>
  <si>
    <t>WFC</t>
  </si>
  <si>
    <t>Gallagher Arthur J. &amp; CO</t>
  </si>
  <si>
    <t>Autodesk</t>
  </si>
  <si>
    <t>ADSK</t>
  </si>
  <si>
    <t>2011 Annual Performance</t>
  </si>
  <si>
    <t>Annaly Capital Management</t>
  </si>
  <si>
    <t>NLY</t>
  </si>
  <si>
    <t>Coach Inc</t>
  </si>
  <si>
    <t>COH</t>
  </si>
  <si>
    <t>FedEx Corp.</t>
  </si>
  <si>
    <t>FDX</t>
  </si>
  <si>
    <t>Ford Motor</t>
  </si>
  <si>
    <t>F</t>
  </si>
  <si>
    <t>Intel Corp</t>
  </si>
  <si>
    <t>Juniper Networks Inc</t>
  </si>
  <si>
    <t>JNPR</t>
  </si>
  <si>
    <t>Peabody</t>
  </si>
  <si>
    <t>BTU</t>
  </si>
  <si>
    <t>Tiffany &amp; Co.</t>
  </si>
  <si>
    <t>TIF</t>
  </si>
  <si>
    <t>Valero Energy Corp</t>
  </si>
  <si>
    <t>VLO</t>
  </si>
  <si>
    <t>Yong International Inc</t>
  </si>
  <si>
    <t>Ebix Inc</t>
  </si>
  <si>
    <t>EBIX</t>
  </si>
  <si>
    <t>Apple Inc</t>
  </si>
  <si>
    <t>A123 System</t>
  </si>
  <si>
    <t>AONE</t>
  </si>
  <si>
    <t>Alpha</t>
  </si>
  <si>
    <t>YTD and holding period returns do not include dividends.</t>
  </si>
  <si>
    <t>2012 Performance</t>
  </si>
  <si>
    <t>Air Products and Chemicals Inc.</t>
  </si>
  <si>
    <t>APD</t>
  </si>
  <si>
    <t>Express Scripts</t>
  </si>
  <si>
    <t>ESRX</t>
  </si>
  <si>
    <t>Toronto Dominion Bank</t>
  </si>
  <si>
    <t>TD</t>
  </si>
  <si>
    <t>UnitedHeaalth Group Inc</t>
  </si>
  <si>
    <t>iShares Gold Trust</t>
  </si>
  <si>
    <t>IAU</t>
  </si>
  <si>
    <t>SPDR Govt Inflation-Protected Bond</t>
  </si>
  <si>
    <t>WIP</t>
  </si>
  <si>
    <t>Vanguard Short Term Bond ETF</t>
  </si>
  <si>
    <t>BSV</t>
  </si>
  <si>
    <t>Danaher Corporation</t>
  </si>
  <si>
    <t>Snap-On</t>
  </si>
  <si>
    <t>Yongye International Inc</t>
  </si>
  <si>
    <t xml:space="preserve">iShares Barclays Aggregate Bond </t>
  </si>
  <si>
    <t>AGG</t>
  </si>
  <si>
    <t>2013 Performance</t>
  </si>
  <si>
    <t>Equity:</t>
  </si>
  <si>
    <t>AbbVie Inc.</t>
  </si>
  <si>
    <t>ABBV</t>
  </si>
  <si>
    <t>Kinder Morgan Energy Partners</t>
  </si>
  <si>
    <t>KMP</t>
  </si>
  <si>
    <t>Public Service Enterprise Group Inc.</t>
  </si>
  <si>
    <t>High Dividend Yield ETF:</t>
  </si>
  <si>
    <t>PowerShares S&amp;P 500 High Div Port</t>
  </si>
  <si>
    <t>SPHD</t>
  </si>
  <si>
    <t>SPDR S&amp;P Dividend</t>
  </si>
  <si>
    <t>SDY</t>
  </si>
  <si>
    <t>Vanguard High Dividend Yield</t>
  </si>
  <si>
    <t>VYM</t>
  </si>
  <si>
    <t>WisdomTree LargeCap Dividend Fund</t>
  </si>
  <si>
    <t>DLN</t>
  </si>
  <si>
    <t>Total</t>
  </si>
  <si>
    <t>Fixed-Income Securities and Others:</t>
  </si>
  <si>
    <t>PowerShares Chinese Yuan Dim Sum Bond Portfolio</t>
  </si>
  <si>
    <t>DSUM</t>
  </si>
  <si>
    <t>iShares Global ex USD High Yield Corporate Bond ETF</t>
  </si>
  <si>
    <t>HYXU</t>
  </si>
  <si>
    <t>PowerShares Senior Loan Port</t>
  </si>
  <si>
    <t>BKLN</t>
  </si>
  <si>
    <t>Exelon Corp</t>
  </si>
  <si>
    <t>Snap-On Inc</t>
  </si>
  <si>
    <t xml:space="preserve">SPDR Govt Inflation-Protected Bond </t>
  </si>
  <si>
    <t>Guggenheim BulletShare 2015 Corp Bond</t>
  </si>
  <si>
    <t>BSCF</t>
  </si>
  <si>
    <t>Guggenheim BulletShare 2017 Corp Bond</t>
  </si>
  <si>
    <t>BSCH</t>
  </si>
  <si>
    <t>Benchmarks</t>
  </si>
  <si>
    <t>Barclays US Aggregate Bond index</t>
  </si>
  <si>
    <t>Benchmark portfolio (80% the S&amp;P 500 index + 20% the Barclays US Aggregate Bond index)</t>
  </si>
  <si>
    <t>vs. the benchmark</t>
  </si>
  <si>
    <t>2014 Performance</t>
  </si>
  <si>
    <t>Accenture PLC Class A</t>
  </si>
  <si>
    <t>ACN</t>
  </si>
  <si>
    <t>As of 04/16/2014</t>
  </si>
  <si>
    <t>American Tower Corp.</t>
  </si>
  <si>
    <t>AMT</t>
  </si>
  <si>
    <t>As of 12/2/2014</t>
  </si>
  <si>
    <t>Amgen Inc.</t>
  </si>
  <si>
    <t>AMGN</t>
  </si>
  <si>
    <t>As of 11/12/2014</t>
  </si>
  <si>
    <t xml:space="preserve">Cerner Corp. </t>
  </si>
  <si>
    <t>CERN</t>
  </si>
  <si>
    <t>As of 10/7/2014</t>
  </si>
  <si>
    <t>Chipotle</t>
  </si>
  <si>
    <t>CMG</t>
  </si>
  <si>
    <t>As of 11/13/2014</t>
  </si>
  <si>
    <t>Gilead Sciences Inc</t>
  </si>
  <si>
    <t>GILD</t>
  </si>
  <si>
    <t>As of 04/28/2014</t>
  </si>
  <si>
    <t>International Paper</t>
  </si>
  <si>
    <t>IP</t>
  </si>
  <si>
    <t>As of 12/4/2014</t>
  </si>
  <si>
    <t>NXP Semiconductors</t>
  </si>
  <si>
    <t>NXPI</t>
  </si>
  <si>
    <t>As of 11/25/2014</t>
  </si>
  <si>
    <t>Southwest Airlines</t>
  </si>
  <si>
    <t>LUV</t>
  </si>
  <si>
    <t>As of11/6/2014</t>
  </si>
  <si>
    <t>UnitedHealth Group Inc</t>
  </si>
  <si>
    <t>VF Corp</t>
  </si>
  <si>
    <t>VFC</t>
  </si>
  <si>
    <t>As of 11/5/2014</t>
  </si>
  <si>
    <t>Wells Fargo &amp; Company</t>
  </si>
  <si>
    <t>iShares iBoxx $ High Yield Corporate Bd ETF</t>
  </si>
  <si>
    <t>HYG</t>
  </si>
  <si>
    <t xml:space="preserve">PowerShares Senior Loan </t>
  </si>
  <si>
    <t>iShares 20+ Year Treasury Bond</t>
  </si>
  <si>
    <t>TLT</t>
  </si>
  <si>
    <t>As of 12/30/2014</t>
  </si>
  <si>
    <t>Vanguard Bond Index Fund</t>
  </si>
  <si>
    <t>VBMFX</t>
  </si>
  <si>
    <t># Shares</t>
  </si>
  <si>
    <t>Sale Price</t>
  </si>
  <si>
    <t>Purchase Price</t>
  </si>
  <si>
    <t>Sale Proceeds</t>
  </si>
  <si>
    <t>Cost Basis</t>
  </si>
  <si>
    <t>Gain/Loss</t>
  </si>
  <si>
    <t>Pet Smart Inc</t>
  </si>
  <si>
    <t>PETM</t>
  </si>
  <si>
    <t>`</t>
  </si>
  <si>
    <t>FTSE All-World Stock Index</t>
  </si>
  <si>
    <t>IPS Benchmark Portfolio (60% FTSE All-World Stock Index +40% the Barclays US Aggregate Bond index)</t>
  </si>
  <si>
    <t>2015 Performance</t>
  </si>
  <si>
    <t xml:space="preserve">AT&amp;T Inc. </t>
  </si>
  <si>
    <t>T</t>
  </si>
  <si>
    <t>Bank of the Ozarks</t>
  </si>
  <si>
    <t>OZRK</t>
  </si>
  <si>
    <t>Capital One Financial Corp.</t>
  </si>
  <si>
    <t>COF</t>
  </si>
  <si>
    <t>Blackstone Group</t>
  </si>
  <si>
    <t>BX</t>
  </si>
  <si>
    <t>CVS Health Corp</t>
  </si>
  <si>
    <t>CVS</t>
  </si>
  <si>
    <t>Kinder Morgan Inc</t>
  </si>
  <si>
    <t>KMI</t>
  </si>
  <si>
    <t>Lannett Co. Inc.</t>
  </si>
  <si>
    <t>LCI</t>
  </si>
  <si>
    <t>Omega Healthcare Investors Inc.</t>
  </si>
  <si>
    <t>OHI</t>
  </si>
  <si>
    <t>PJT Partners Inc.</t>
  </si>
  <si>
    <t>PJT</t>
  </si>
  <si>
    <t>TC Pipelines LP</t>
  </si>
  <si>
    <t>TCP</t>
  </si>
  <si>
    <t>Visa Inc.</t>
  </si>
  <si>
    <t>V</t>
  </si>
  <si>
    <t>The Walt Disney Company</t>
  </si>
  <si>
    <t>DIS</t>
  </si>
  <si>
    <t>The Whitewaves Food Company</t>
  </si>
  <si>
    <t>WWAV</t>
  </si>
  <si>
    <t xml:space="preserve">Fidelity Spartan ST T-Bond Index </t>
  </si>
  <si>
    <t>FSBIX</t>
  </si>
  <si>
    <t>Toronto Dominion</t>
  </si>
  <si>
    <t>Sold 2/12/15</t>
  </si>
  <si>
    <t>PetSmart Inc.</t>
  </si>
  <si>
    <t>Sold 3/11/15</t>
  </si>
  <si>
    <t>Sold 4/8/15</t>
  </si>
  <si>
    <t>Abbott Laboratories</t>
  </si>
  <si>
    <t>Sold 4/9/15</t>
  </si>
  <si>
    <t>Sold 4/14/15</t>
  </si>
  <si>
    <t>Select Medical Corp</t>
  </si>
  <si>
    <t>SEM</t>
  </si>
  <si>
    <t>Sold 9/24/15</t>
  </si>
  <si>
    <t>SPDR S&amp;P High Div. ETF</t>
  </si>
  <si>
    <t>Sold 11/13/15</t>
  </si>
  <si>
    <t>International Business Machines Inc.</t>
  </si>
  <si>
    <t>IBM</t>
  </si>
  <si>
    <t>Sold 11/25/15</t>
  </si>
  <si>
    <t>PowerShares Senior Loan Portfolio</t>
  </si>
  <si>
    <t>Sold 12/7/15</t>
  </si>
  <si>
    <t>iShares High Yield ETF</t>
  </si>
  <si>
    <t>Novartis</t>
  </si>
  <si>
    <t>Sold 12/8/15</t>
  </si>
  <si>
    <t>General Electric Inc.</t>
  </si>
  <si>
    <t>Money Market/Cash Account</t>
  </si>
  <si>
    <t>2015 Scholarship Distributions (January 27)</t>
  </si>
  <si>
    <t>2015 Fund Additions (March 11)</t>
  </si>
  <si>
    <t>2016 Performance</t>
  </si>
  <si>
    <t>Activison Blizzard</t>
  </si>
  <si>
    <t>Amazon</t>
  </si>
  <si>
    <t>Versum Materials Inc</t>
  </si>
  <si>
    <t>Vangaurd MBS ETF</t>
  </si>
  <si>
    <t>VMBS</t>
  </si>
  <si>
    <t>SPDR Short Term Treasury ETF</t>
  </si>
  <si>
    <t>SST</t>
  </si>
  <si>
    <t>Date</t>
  </si>
  <si>
    <t>Kinder Morgan</t>
  </si>
  <si>
    <t>02/05/16 sold</t>
  </si>
  <si>
    <t>Danaher</t>
  </si>
  <si>
    <t>3/3/16 SOLD</t>
  </si>
  <si>
    <t>3/16/16 SOLD</t>
  </si>
  <si>
    <t>NVR</t>
  </si>
  <si>
    <t>3/29/16 SOLD</t>
  </si>
  <si>
    <t>4/22/16 SOLD</t>
  </si>
  <si>
    <t>stocks sold in 2016</t>
  </si>
  <si>
    <t>9/30/16 SOLD</t>
  </si>
  <si>
    <t>10/10/16 SOLD</t>
  </si>
  <si>
    <t>PJT Parners Inc.</t>
  </si>
  <si>
    <t>10/26/16 SOLD</t>
  </si>
  <si>
    <t>VF Corp.</t>
  </si>
  <si>
    <t>11/17/16 SOLD</t>
  </si>
  <si>
    <t>Lowes Comp.</t>
  </si>
  <si>
    <t>Bank of Ozarks</t>
  </si>
  <si>
    <t>11/29/16 SOLD</t>
  </si>
  <si>
    <t>Fedex</t>
  </si>
  <si>
    <t>12/6/16 SOLD</t>
  </si>
  <si>
    <t>12/8/16 SOLD</t>
  </si>
  <si>
    <t>Intel</t>
  </si>
  <si>
    <t>2016 Scholarship Distributions</t>
  </si>
  <si>
    <t>http://us.spindices.com/indices/equity/sp-500</t>
  </si>
  <si>
    <t>https://ycharts.com/indicators/sandp_500_total_return_annual</t>
  </si>
  <si>
    <t xml:space="preserve">2017 Annual Performance
</t>
  </si>
  <si>
    <t>Activision Blizzard Inc</t>
  </si>
  <si>
    <t>ATVI</t>
  </si>
  <si>
    <t>Alibaba Group Holding Ltd</t>
  </si>
  <si>
    <t>BABA</t>
  </si>
  <si>
    <t>Amazon.com Inc</t>
  </si>
  <si>
    <t>AMZN</t>
  </si>
  <si>
    <t>AT&amp;T Inc</t>
  </si>
  <si>
    <t>Capital One Financial Corp</t>
  </si>
  <si>
    <t>Facebook</t>
  </si>
  <si>
    <t>FB</t>
  </si>
  <si>
    <t>Franco Nevada Co</t>
  </si>
  <si>
    <t>FNV</t>
  </si>
  <si>
    <t>Johnson &amp; Johnson</t>
  </si>
  <si>
    <t>JNJ</t>
  </si>
  <si>
    <t>Lockheed Martin Co</t>
  </si>
  <si>
    <t>LMT</t>
  </si>
  <si>
    <t>Martin Marietta Materials Inc.</t>
  </si>
  <si>
    <t>MLM</t>
  </si>
  <si>
    <t>Middleby Corp.</t>
  </si>
  <si>
    <t>MIDD</t>
  </si>
  <si>
    <t>NetEase Inc.</t>
  </si>
  <si>
    <t>NTES</t>
  </si>
  <si>
    <t>Omega Healthcare Investors Inc</t>
  </si>
  <si>
    <t>Preferred Apt Communities INC Com</t>
  </si>
  <si>
    <t>APTS</t>
  </si>
  <si>
    <t>Primerica</t>
  </si>
  <si>
    <t>PRI</t>
  </si>
  <si>
    <t>VSM</t>
  </si>
  <si>
    <t>Equity ETFs</t>
  </si>
  <si>
    <t xml:space="preserve"> </t>
  </si>
  <si>
    <t>Vanguard 500 Index Investor</t>
  </si>
  <si>
    <t>VFINX</t>
  </si>
  <si>
    <t>Fixed-Income Securities &amp; Others:</t>
  </si>
  <si>
    <t>VanEck Vectors EM High Yield Bond ETF</t>
  </si>
  <si>
    <t>HYEM</t>
  </si>
  <si>
    <t>Name</t>
  </si>
  <si>
    <t>Exxon Mobile</t>
  </si>
  <si>
    <t>3/3/17 SOLD</t>
  </si>
  <si>
    <t>Sold in 2017</t>
  </si>
  <si>
    <t>United Health Group Inc</t>
  </si>
  <si>
    <t>4/7/17 SOLD</t>
  </si>
  <si>
    <t>CVS Health Corp.</t>
  </si>
  <si>
    <t>Lannett Co Inc</t>
  </si>
  <si>
    <t>WhiteWave Food Co</t>
  </si>
  <si>
    <t>4/12/17 SOLD</t>
  </si>
  <si>
    <t>Vanguard Consumer Staples VI Index</t>
  </si>
  <si>
    <t>VDC</t>
  </si>
  <si>
    <t>11/28/17 SOLD</t>
  </si>
  <si>
    <t>Vanguard Mortgage Backed Sec ETF</t>
  </si>
  <si>
    <t>11/30/17 SOLD</t>
  </si>
  <si>
    <t>SPTS</t>
  </si>
  <si>
    <t>SPDR Energy ETF</t>
  </si>
  <si>
    <t>XLE</t>
  </si>
  <si>
    <t>12/13/17 SOLD</t>
  </si>
  <si>
    <t>&lt;---as dec acct stmt</t>
  </si>
  <si>
    <t xml:space="preserve">2018 Scholarship Distributions (December 19) </t>
  </si>
  <si>
    <t>^gspc</t>
  </si>
  <si>
    <t>&lt;--entered in manually</t>
  </si>
  <si>
    <t>use total return minus the index change</t>
  </si>
  <si>
    <t>FTSE All World Stock index</t>
  </si>
  <si>
    <t>Benchmark portfolio (80% the S&amp;P 500 index + 20% the Bloomberg Barclays US Aggregate Bond index)</t>
  </si>
  <si>
    <t>Benchmark portfolio (80% the FTSE All World Stock index + 20% the Bloomberg Barclays US Aggregate Bond index)</t>
  </si>
  <si>
    <t>2018 Performance</t>
  </si>
  <si>
    <t>December 31,2018</t>
  </si>
  <si>
    <t>Allegiant Travel Co.</t>
  </si>
  <si>
    <t>ALGT</t>
  </si>
  <si>
    <t>Blackrock, Inc.</t>
  </si>
  <si>
    <t>BLK</t>
  </si>
  <si>
    <t>Cigna Corp.</t>
  </si>
  <si>
    <t>CI</t>
  </si>
  <si>
    <t>Diageo plc adr</t>
  </si>
  <si>
    <t>Dominion Energy, Inc</t>
  </si>
  <si>
    <t>D</t>
  </si>
  <si>
    <t>Scotts Miracle Gro</t>
  </si>
  <si>
    <t>SMG</t>
  </si>
  <si>
    <t>TransCanada Co.</t>
  </si>
  <si>
    <t>TRP</t>
  </si>
  <si>
    <t>SOLD</t>
  </si>
  <si>
    <t>Time Warner Inc</t>
  </si>
  <si>
    <t>TWX</t>
  </si>
  <si>
    <t>AQUIRED</t>
  </si>
  <si>
    <t>Insured Deposit Account (IDA)</t>
  </si>
  <si>
    <t>Scholarship Distributions</t>
  </si>
  <si>
    <t>vs. benchmark</t>
  </si>
  <si>
    <t>2019 Performance</t>
  </si>
  <si>
    <t>Anheiser-Busch</t>
  </si>
  <si>
    <t>Bristol-Myers Squibb Co.</t>
  </si>
  <si>
    <t>BMY</t>
  </si>
  <si>
    <t>Cheniere Energy</t>
  </si>
  <si>
    <t>LNG</t>
  </si>
  <si>
    <t>Healthpeak Properties Inc.</t>
  </si>
  <si>
    <t>PEAK</t>
  </si>
  <si>
    <t>Honeywell International, Inc.</t>
  </si>
  <si>
    <t>HON</t>
  </si>
  <si>
    <t>NVIDIA Corporation</t>
  </si>
  <si>
    <t>The TJX Companies, Inc.</t>
  </si>
  <si>
    <t>TC Enery Corporation</t>
  </si>
  <si>
    <t>The Hershey Co.</t>
  </si>
  <si>
    <t>HSY</t>
  </si>
  <si>
    <t>iShares Core U.S. Aggregate Bond Index</t>
  </si>
  <si>
    <t>Vanguard Total Bond Market Index Fund</t>
  </si>
  <si>
    <t>BND</t>
  </si>
  <si>
    <t>SPDR Portfolio Aggregate Bond ETF</t>
  </si>
  <si>
    <t>SPAB</t>
  </si>
  <si>
    <t>Bristol-Myers Squib Rights</t>
  </si>
  <si>
    <t>Versum Materials Inc.</t>
  </si>
  <si>
    <t>Preferred Apartment Communites Inc.</t>
  </si>
  <si>
    <t>Energy Transfer LP Com UT LTD PTN</t>
  </si>
  <si>
    <t>ET</t>
  </si>
  <si>
    <t>Celgene Corp.</t>
  </si>
  <si>
    <t>CELG</t>
  </si>
  <si>
    <t>2020 Performance</t>
  </si>
  <si>
    <t>AT&amp;T Inc.</t>
  </si>
  <si>
    <t xml:space="preserve">Brookfield Renewable Partners </t>
  </si>
  <si>
    <t>BEP</t>
  </si>
  <si>
    <t>Dominion Energy, Inc.</t>
  </si>
  <si>
    <t>Domino's Pizza Inc</t>
  </si>
  <si>
    <t>DPZ</t>
  </si>
  <si>
    <t>Franco Nevada Co.</t>
  </si>
  <si>
    <t>Horizon Technology Finance Corporation</t>
  </si>
  <si>
    <t>HRZN</t>
  </si>
  <si>
    <t>Lockheed Martin Co.</t>
  </si>
  <si>
    <t>PENN National Gaming</t>
  </si>
  <si>
    <t>Procter &amp; Gamble Co.</t>
  </si>
  <si>
    <t>Roper Technology Inc.</t>
  </si>
  <si>
    <t>ROP</t>
  </si>
  <si>
    <t>UnitedHealth Group Inc.</t>
  </si>
  <si>
    <t>iShares 20+ Year Treasury Bond ETF</t>
  </si>
  <si>
    <t>Bristol-Myers Squib Contingent Value Rights</t>
  </si>
  <si>
    <t>BMY^</t>
  </si>
  <si>
    <t>Vanguard Tax-Exempt Bond ETF</t>
  </si>
  <si>
    <t>VTEB</t>
  </si>
  <si>
    <t xml:space="preserve">Portfolio Value </t>
  </si>
  <si>
    <t>Scholarship Distributions (1/29/2020)</t>
  </si>
  <si>
    <t>Bloomberg Barclays US Aggregate Bond index</t>
  </si>
  <si>
    <t>Benchmark (80% the S&amp;P 500 index + 20% the Bloomberg Barclays US Aggregate Bond index)</t>
  </si>
  <si>
    <t>YTD returns do not include dividends.</t>
  </si>
  <si>
    <t>2021 Year Performance</t>
  </si>
  <si>
    <t>AbbVie Inc</t>
  </si>
  <si>
    <t>Alphabet Inc.</t>
  </si>
  <si>
    <t>GOOG</t>
  </si>
  <si>
    <t>BlackRock, Inc</t>
  </si>
  <si>
    <t>Comfort Systems USA</t>
  </si>
  <si>
    <t>FIX</t>
  </si>
  <si>
    <t>General Motors Co.</t>
  </si>
  <si>
    <t>GM</t>
  </si>
  <si>
    <t>Marathon Petroleum Corp.</t>
  </si>
  <si>
    <t>MPC</t>
  </si>
  <si>
    <t>T-Mobile</t>
  </si>
  <si>
    <t>TMUS</t>
  </si>
  <si>
    <t>Taiwan Semiconductor Manufacturing Co LTD</t>
  </si>
  <si>
    <t>TSM</t>
  </si>
  <si>
    <t>iShares Preferred &amp; Income Securities ETF</t>
  </si>
  <si>
    <t>PFF</t>
  </si>
  <si>
    <t>Invesco Preferred ETF</t>
  </si>
  <si>
    <t>PGX</t>
  </si>
  <si>
    <t>Vanguard Short-Term Inflation-Protected Securities Index Fund ETF</t>
  </si>
  <si>
    <t>VTIP</t>
  </si>
  <si>
    <t>Schwab U.S. TIPS ETF</t>
  </si>
  <si>
    <t>SCHP</t>
  </si>
  <si>
    <t>iShares 0-5 Year TIPS Bond ETF</t>
  </si>
  <si>
    <t>STIP</t>
  </si>
  <si>
    <t>iShares 0-5 Year Investment Grade Corporate Bond ETD</t>
  </si>
  <si>
    <t>SLQD</t>
  </si>
  <si>
    <t>FlexShares iBoxx 5-Year Target Duration TIPS Index Fund</t>
  </si>
  <si>
    <t>TDTF</t>
  </si>
  <si>
    <t>Vanguard Short-Term Corporate Bond Index Fund ETF</t>
  </si>
  <si>
    <t>VCSH</t>
  </si>
  <si>
    <t xml:space="preserve">Coco-Cola Co. </t>
  </si>
  <si>
    <t>Franco-Nevada Co.</t>
  </si>
  <si>
    <t>Invesco QQQ Trust Series 1</t>
  </si>
  <si>
    <t>QQQ</t>
  </si>
  <si>
    <t>Virtus InfraCap U.S. Preferred Stock ETF</t>
  </si>
  <si>
    <t>PFFA</t>
  </si>
  <si>
    <t>VanEck Vectors Preferred Securities ex Financials ETF</t>
  </si>
  <si>
    <t>PFXF</t>
  </si>
  <si>
    <t>Scholarship Distributions (2/28/2021)</t>
  </si>
  <si>
    <t xml:space="preserve"> 2022 Year Performance</t>
  </si>
  <si>
    <t>Annual</t>
  </si>
  <si>
    <t>Cost</t>
  </si>
  <si>
    <t>Average</t>
  </si>
  <si>
    <t xml:space="preserve">1st Date </t>
  </si>
  <si>
    <t>Basis</t>
  </si>
  <si>
    <t>Accquired</t>
  </si>
  <si>
    <t>Time</t>
  </si>
  <si>
    <t>AmerisourceBergen Corp.</t>
  </si>
  <si>
    <t>ABC</t>
  </si>
  <si>
    <t>Bristol-Myers Squibb Co</t>
  </si>
  <si>
    <t>Boise Cascade Co.</t>
  </si>
  <si>
    <t>BCC</t>
  </si>
  <si>
    <t>Digital Realty Trust Inc.</t>
  </si>
  <si>
    <t>DLR</t>
  </si>
  <si>
    <t>Meta Platforms Inc Com Cl A</t>
  </si>
  <si>
    <t>META</t>
  </si>
  <si>
    <t>Omnicom Group Inc.</t>
  </si>
  <si>
    <t>OMC</t>
  </si>
  <si>
    <t>Rockwell Automation Inc.</t>
  </si>
  <si>
    <t>ROK</t>
  </si>
  <si>
    <t>TC Energy Corporation</t>
  </si>
  <si>
    <t>Schwab Strategic TR US TIPS ETF</t>
  </si>
  <si>
    <t>iShares 0-5 Year Investment Grade Corporate Bond ETF</t>
  </si>
  <si>
    <t>Invesco Exchange Traded Fund TPFD ETF</t>
  </si>
  <si>
    <t>iShares Trust PFD and INCM SEC ETF</t>
  </si>
  <si>
    <t>Vanguard STRM INFPROIDX ETF</t>
  </si>
  <si>
    <t>SPDR Portfolio TIPS ETF</t>
  </si>
  <si>
    <t>SPIP</t>
  </si>
  <si>
    <t>SPDR Bloomberg 1-10 Year TIPS ETF</t>
  </si>
  <si>
    <t>TIPX</t>
  </si>
  <si>
    <t>FlexShares iBoxx 3-Year Target Duration TIPS Index Fund</t>
  </si>
  <si>
    <t>TDTT</t>
  </si>
  <si>
    <t>PIMCO 1-5 Year U.S. TIPS Index Exchange-Traded Fund</t>
  </si>
  <si>
    <t>STPZ</t>
  </si>
  <si>
    <t>Avg Purchase Price</t>
  </si>
  <si>
    <t>Reg Fee</t>
  </si>
  <si>
    <t>Cash</t>
  </si>
  <si>
    <t>Scholarship Distributions (None for 2022)</t>
  </si>
  <si>
    <t>Funds Added In (2/8/22)</t>
  </si>
  <si>
    <t>Funds Added In (12/9/22)</t>
  </si>
  <si>
    <t>LBUSTRUU</t>
  </si>
  <si>
    <t xml:space="preserve"> Year-to-Date 2023 Performance</t>
  </si>
  <si>
    <t xml:space="preserve">YTD </t>
  </si>
  <si>
    <t>KR</t>
  </si>
  <si>
    <t>NEE</t>
  </si>
  <si>
    <t>RTX</t>
  </si>
  <si>
    <t>SLB</t>
  </si>
  <si>
    <t>SGML</t>
  </si>
  <si>
    <t>SJM</t>
  </si>
  <si>
    <t>FLOT</t>
  </si>
  <si>
    <t>Closed Positions:</t>
  </si>
  <si>
    <t>Actively Managed Portfolio</t>
  </si>
  <si>
    <t xml:space="preserve">Total Portfolio Value </t>
  </si>
  <si>
    <t>US Aggregatge Bond current (interest) yield</t>
  </si>
  <si>
    <t>US Aggregate Bond total return</t>
  </si>
  <si>
    <t>Benchmark (80% the S&amp;P 500 index + 20% the Bloomberg US Aggregate Bond index)</t>
  </si>
  <si>
    <t>YTD and holding returns do not include dividends.</t>
  </si>
  <si>
    <t>Year-to-Date 2023 Performance</t>
  </si>
  <si>
    <t>Sector</t>
  </si>
  <si>
    <t>Communication Services</t>
  </si>
  <si>
    <t>Consumer Discretionary</t>
  </si>
  <si>
    <t xml:space="preserve">Consumer Staples </t>
  </si>
  <si>
    <t xml:space="preserve">Energy </t>
  </si>
  <si>
    <t xml:space="preserve">Financials </t>
  </si>
  <si>
    <t xml:space="preserve">Health Care </t>
  </si>
  <si>
    <t xml:space="preserve">Industrials </t>
  </si>
  <si>
    <t xml:space="preserve">Real Estate </t>
  </si>
  <si>
    <t xml:space="preserve">Information Technology </t>
  </si>
  <si>
    <t xml:space="preserve">Materials </t>
  </si>
  <si>
    <t>Utilities</t>
  </si>
  <si>
    <t>Equity Holdings</t>
  </si>
  <si>
    <t>Analyst</t>
  </si>
  <si>
    <t xml:space="preserve"> S&amp;P 500</t>
  </si>
  <si>
    <t>Target Weight</t>
  </si>
  <si>
    <t>Harr, Arianna</t>
  </si>
  <si>
    <t>Omnicom Group Inc</t>
  </si>
  <si>
    <t>https://www.spglobal.com/spdji/en/indices/equity/sp-500/#data</t>
  </si>
  <si>
    <t>Subtotal</t>
  </si>
  <si>
    <t xml:space="preserve">Consumer Discretionary  </t>
  </si>
  <si>
    <t>Benjamin, Brett</t>
  </si>
  <si>
    <t>https://www.spglobal.com/spdji/en/indices/equity/sp-500/#overview</t>
  </si>
  <si>
    <t>General Motors Co</t>
  </si>
  <si>
    <t xml:space="preserve">Consumer Staples  </t>
  </si>
  <si>
    <t>The J. M. Smucker Company</t>
  </si>
  <si>
    <t xml:space="preserve">The Kroger CO. </t>
  </si>
  <si>
    <t>Cernicky, Ethan</t>
  </si>
  <si>
    <t xml:space="preserve">Schlumberger N.V. </t>
  </si>
  <si>
    <t>Espinosa, Heriberto</t>
  </si>
  <si>
    <t>Capital One Financial Corporation</t>
  </si>
  <si>
    <t>Hulton, Joshua</t>
  </si>
  <si>
    <t>Jones, Christopher</t>
  </si>
  <si>
    <t>Raytheon Technologies Corporation</t>
  </si>
  <si>
    <t>Quigley, Jeremiah</t>
  </si>
  <si>
    <t>Taiwan Semiconductor Manufacturing Co</t>
  </si>
  <si>
    <t>Willoughby, Cody</t>
  </si>
  <si>
    <t>Sigma Lithium Corporation</t>
  </si>
  <si>
    <t>Boeckel, Alex</t>
  </si>
  <si>
    <t xml:space="preserve">Utilities </t>
  </si>
  <si>
    <t>Historical IMP Fund Trades</t>
  </si>
  <si>
    <t>Split or</t>
  </si>
  <si>
    <t>Use for</t>
  </si>
  <si>
    <t>Sale of Partial</t>
  </si>
  <si>
    <t>data accquired</t>
  </si>
  <si>
    <t>Trade</t>
  </si>
  <si>
    <t>Commission</t>
  </si>
  <si>
    <t>New Beginning Value</t>
  </si>
  <si>
    <t>New Shares Owned</t>
  </si>
  <si>
    <t>Sell</t>
  </si>
  <si>
    <t>FlexShares iBoxx 5-Year Target Duration TIPS Index</t>
  </si>
  <si>
    <t>PIMCO 1-5 Year US TIPS Index Exchange-Traded Fund</t>
  </si>
  <si>
    <t>Vanguard Short-Term Corporate Bond Idx Fd ETF</t>
  </si>
  <si>
    <t>Buy</t>
  </si>
  <si>
    <t>Nextera Energy Inc</t>
  </si>
  <si>
    <t>Walt Disney Company</t>
  </si>
  <si>
    <t>Raytheon Technologies Corp</t>
  </si>
  <si>
    <t>iShares Floating Rate Bond ETF</t>
  </si>
  <si>
    <t>Schlumberger</t>
  </si>
  <si>
    <t>Kroger Company</t>
  </si>
  <si>
    <t>NVIDIA</t>
  </si>
  <si>
    <t>Omnicom</t>
  </si>
  <si>
    <t>Sigma Lithium</t>
  </si>
  <si>
    <t>JM Smucker</t>
  </si>
  <si>
    <t>General Motors Company</t>
  </si>
  <si>
    <t>3M Co.</t>
  </si>
  <si>
    <t>20 for 1 7/15/22</t>
  </si>
  <si>
    <t xml:space="preserve">20 - 1 Split 6/6/22 (100 shares) </t>
  </si>
  <si>
    <t>Franco-Nevada Corp.</t>
  </si>
  <si>
    <t xml:space="preserve">Coca-Cola Co. </t>
  </si>
  <si>
    <t xml:space="preserve">  </t>
  </si>
  <si>
    <t>Withdrawal</t>
  </si>
  <si>
    <t>Cash for scholarships</t>
  </si>
  <si>
    <t>Roper Technologies, Inc.</t>
  </si>
  <si>
    <t>3 for 2 split on 12/14/2020</t>
  </si>
  <si>
    <t>The Walt Disney Co.</t>
  </si>
  <si>
    <t>Anheuser-Bush</t>
  </si>
  <si>
    <t>HealthPeak Properties</t>
  </si>
  <si>
    <t>Vanguard Tax-Exempt ETF</t>
  </si>
  <si>
    <t>Cash for Scholarships</t>
  </si>
  <si>
    <t>also received 16 rights</t>
  </si>
  <si>
    <t>acquired by BMY</t>
  </si>
  <si>
    <t>BMY merges with (acquires) CELG</t>
  </si>
  <si>
    <t>4 for 1 split on 7/20/2021</t>
  </si>
  <si>
    <t>Activision Blizzard, Inc.</t>
  </si>
  <si>
    <t>Anheuser-Busch</t>
  </si>
  <si>
    <t>Gilead Sciences</t>
  </si>
  <si>
    <t>Healthpeak Properties</t>
  </si>
  <si>
    <t>Versum Material</t>
  </si>
  <si>
    <t>Celgene Corp</t>
  </si>
  <si>
    <t>Cigna</t>
  </si>
  <si>
    <t>AT&amp;T</t>
  </si>
  <si>
    <t>Blackrock</t>
  </si>
  <si>
    <t>Diageo plc</t>
  </si>
  <si>
    <t>Time Warner Inc.</t>
  </si>
  <si>
    <t>Versum</t>
  </si>
  <si>
    <t>Johnson &amp;Johnson</t>
  </si>
  <si>
    <t>BUY</t>
  </si>
  <si>
    <t>facebook</t>
  </si>
  <si>
    <t>Express Scripts Holding Co.</t>
  </si>
  <si>
    <t>Wells Fargo &amp; Co</t>
  </si>
  <si>
    <t>Walt Disney Co.</t>
  </si>
  <si>
    <t>Franco Nevada Corp.</t>
  </si>
  <si>
    <t>sold 35 SHARES ON 10/25/21</t>
  </si>
  <si>
    <t>Primerica Inc.</t>
  </si>
  <si>
    <t>Proctor and Gamble</t>
  </si>
  <si>
    <t>SOLD 3 SHARES ON 10/25/21</t>
  </si>
  <si>
    <t>Split from APD</t>
  </si>
  <si>
    <t>SST (later changed to SPTS)</t>
  </si>
  <si>
    <t>The Blackstone Group</t>
  </si>
  <si>
    <t>Powershare Seniopr Loan ETF</t>
  </si>
  <si>
    <t>Lannett Co.</t>
  </si>
  <si>
    <t>Amgen</t>
  </si>
  <si>
    <t>Spin-Off (Blackstone)</t>
  </si>
  <si>
    <t>PJT Partners</t>
  </si>
  <si>
    <t>IBM Corporation</t>
  </si>
  <si>
    <t>Fidelity Spartan Short-Term Treasury Bond Index Fund Investor Class</t>
  </si>
  <si>
    <t>Select Medical Corporation</t>
  </si>
  <si>
    <t>Sell (Buyout)</t>
  </si>
  <si>
    <t>PowerShares Chinese Yuan Dim 
Sum Bond Portfolio</t>
  </si>
  <si>
    <t>American Tower Corp</t>
  </si>
  <si>
    <t>iShares Global Ex USD High Yield 
Corporate Bond ETF</t>
  </si>
  <si>
    <t>YUM! Brands</t>
  </si>
  <si>
    <t>October 9, 2014</t>
  </si>
  <si>
    <t>Verizon Wireless</t>
  </si>
  <si>
    <t>Cerner Corp</t>
  </si>
  <si>
    <t>May 6, 2014</t>
  </si>
  <si>
    <t>April 28, 2014</t>
  </si>
  <si>
    <r>
      <t>K</t>
    </r>
    <r>
      <rPr>
        <sz val="9"/>
        <rFont val="Arial"/>
        <family val="2"/>
      </rPr>
      <t>MP was acquired by KMI on 11/26/2014 and ticker became KMI. 37 shares became 81 shares.</t>
    </r>
  </si>
  <si>
    <t>Fund deposit: $17,262.09</t>
  </si>
  <si>
    <t xml:space="preserve">iShares Global ex USD High Yield Corporate Bond </t>
  </si>
  <si>
    <t>PowerShares S&amp;P 500 High Div Portfolio</t>
  </si>
  <si>
    <t>SPDR S&amp;P Dividend ETF</t>
  </si>
  <si>
    <t>October 21, 2013</t>
  </si>
  <si>
    <t>October 18, 2013</t>
  </si>
  <si>
    <t>Friday, April 12, 2013</t>
  </si>
  <si>
    <t xml:space="preserve">Buy </t>
  </si>
  <si>
    <t>SPDR Inflation protected bond</t>
  </si>
  <si>
    <t>Valero Energy Corporation</t>
  </si>
  <si>
    <t>Snap-on Inc.</t>
  </si>
  <si>
    <t>Ford Motor Co.</t>
  </si>
  <si>
    <t>Excelon Corp.</t>
  </si>
  <si>
    <t>Coach Inc.</t>
  </si>
  <si>
    <t>Vanguard Short Term Bond Fund</t>
  </si>
  <si>
    <t>7 for 1 split on 6/9/2014</t>
  </si>
  <si>
    <t>4-for-1 stock split 8/31/2020</t>
  </si>
  <si>
    <t>total 168 shares sold 50 on 10/27/21</t>
  </si>
  <si>
    <t xml:space="preserve">Peabody Energy Corporation </t>
  </si>
  <si>
    <t>Monday, October 8, 2012</t>
  </si>
  <si>
    <t>Cisco</t>
  </si>
  <si>
    <t>Monday, September 17, 2012</t>
  </si>
  <si>
    <t xml:space="preserve">Thursday, May 24, 2012 </t>
  </si>
  <si>
    <t xml:space="preserve">Tiffany &amp; Co. </t>
  </si>
  <si>
    <t>Tuesday, May 1, 2012</t>
  </si>
  <si>
    <t>Exelon Corporation</t>
  </si>
  <si>
    <t>Tuesday, April 24, 2012</t>
  </si>
  <si>
    <t>Juniper Networks Inc.</t>
  </si>
  <si>
    <t>Thursday, April 19, 2012</t>
  </si>
  <si>
    <t>Yongye International Inc.</t>
  </si>
  <si>
    <t>Apollo Group Inc.</t>
  </si>
  <si>
    <t>Thursday, March 22, 2012</t>
  </si>
  <si>
    <t>Thursday, March 8, 2012</t>
  </si>
  <si>
    <t>Tuesday, March 6, 2012</t>
  </si>
  <si>
    <t>Thursday, March 1, 2012</t>
  </si>
  <si>
    <t>2-for-1 stock pslit on February 3</t>
  </si>
  <si>
    <t>Thursday, December 8, 2011</t>
  </si>
  <si>
    <t>FedEx Corporation</t>
  </si>
  <si>
    <t>Thurssday, December 8, 2011</t>
  </si>
  <si>
    <t>Tuesday, December 6, 2011</t>
  </si>
  <si>
    <t>Peabody Energy Corporation</t>
  </si>
  <si>
    <t>Tuesday, November 8, 2011</t>
  </si>
  <si>
    <t>Thursday, November 3, 2011</t>
  </si>
  <si>
    <t>Tuesday, October 25, 2011</t>
  </si>
  <si>
    <t>BYD Co. Ltd.</t>
  </si>
  <si>
    <t>Thursday, October 13, 2011</t>
  </si>
  <si>
    <t>A123 System Inc.</t>
  </si>
  <si>
    <t>Tuesday, October 11, 2011</t>
  </si>
  <si>
    <t>Gift</t>
  </si>
  <si>
    <t>Orrostown Financial</t>
  </si>
  <si>
    <t>Cisco Systems Inc</t>
  </si>
  <si>
    <t>Techne Corp</t>
  </si>
  <si>
    <t>Spinoff to ABT and ABBV on 1/7/2013</t>
  </si>
  <si>
    <t>Potash Corp Sask</t>
  </si>
  <si>
    <t>Yongye International</t>
  </si>
  <si>
    <t>Acruired</t>
  </si>
  <si>
    <t>Transaction with Vrizon</t>
  </si>
  <si>
    <t>Monday, May 3</t>
  </si>
  <si>
    <t>Novartis AG</t>
  </si>
  <si>
    <t>Wells Fargo</t>
  </si>
  <si>
    <t>AutoDesk</t>
  </si>
  <si>
    <t>Widepoint</t>
  </si>
  <si>
    <t>Regions Financial</t>
  </si>
  <si>
    <t xml:space="preserve">Alcoa </t>
  </si>
  <si>
    <t>March 29,2010</t>
  </si>
  <si>
    <t>Excelon Corporation</t>
  </si>
  <si>
    <t xml:space="preserve">Coca-Cola </t>
  </si>
  <si>
    <t>Procter and Gamble</t>
  </si>
  <si>
    <t>Midcap Spdr</t>
  </si>
  <si>
    <t xml:space="preserve">Bio-Reference Laboratories Inc </t>
  </si>
  <si>
    <t>Teva Pharmaceutical</t>
  </si>
  <si>
    <t>Yum! Brands</t>
  </si>
  <si>
    <t>IShares Latin America</t>
  </si>
  <si>
    <t xml:space="preserve">Teleflex Incorporated </t>
  </si>
  <si>
    <t>???</t>
  </si>
  <si>
    <t>Buy:</t>
  </si>
  <si>
    <t>2 for 1 stock on 8/13/2012</t>
  </si>
  <si>
    <t>Potash Corp.</t>
  </si>
  <si>
    <t>April 7, 2008</t>
  </si>
  <si>
    <t>Waste Management Inc.</t>
  </si>
  <si>
    <t>April 4, 2008</t>
  </si>
  <si>
    <t>sold 6 shares on 11/22/21</t>
  </si>
  <si>
    <t>March 5, 2008</t>
  </si>
  <si>
    <t>February 28, 2008</t>
  </si>
  <si>
    <t>XTO Energy Inc.</t>
  </si>
  <si>
    <t>Acruired by ExxonMobil on June 24, 2010</t>
  </si>
  <si>
    <t>February 26, 2008</t>
  </si>
  <si>
    <t>February 1, 2008</t>
  </si>
  <si>
    <t>January 29, 2008</t>
  </si>
  <si>
    <t>January 24, 2008</t>
  </si>
  <si>
    <t>December 6, 2007</t>
  </si>
  <si>
    <t>November 13, 2007</t>
  </si>
  <si>
    <t>November 8, 2007</t>
  </si>
  <si>
    <t>November 6, 2007</t>
  </si>
  <si>
    <t>October 30, 2007</t>
  </si>
  <si>
    <t>October 23, 2007</t>
  </si>
  <si>
    <t>May 7, 2007</t>
  </si>
  <si>
    <t>Spiders</t>
  </si>
  <si>
    <t>May 2, 2007</t>
  </si>
  <si>
    <t>Bio Reference Laboratories</t>
  </si>
  <si>
    <t>April 30, 2007</t>
  </si>
  <si>
    <t>April 25, 2007</t>
  </si>
  <si>
    <t>Weatherford has a 2-for-1 stock split on May 27, 2008.</t>
  </si>
  <si>
    <t>April 18, 2007</t>
  </si>
  <si>
    <t>April 16, 2007</t>
  </si>
  <si>
    <t>Sell:</t>
  </si>
  <si>
    <t>SLM Corp</t>
  </si>
  <si>
    <t>April 4, 2007</t>
  </si>
  <si>
    <t>April 2, 2007</t>
  </si>
  <si>
    <t>March 19, 2007</t>
  </si>
  <si>
    <t>American Internation Group</t>
  </si>
  <si>
    <t>March 1, 2007</t>
  </si>
  <si>
    <t>February 20, 2007</t>
  </si>
  <si>
    <t>Mortorola Inc.</t>
  </si>
  <si>
    <t>February 8,2007</t>
  </si>
  <si>
    <t>January 31, 2007</t>
  </si>
  <si>
    <t>January 26, 2007</t>
  </si>
  <si>
    <t>December 1, 2006</t>
  </si>
  <si>
    <t>November 17, 2006</t>
  </si>
  <si>
    <t>Sells</t>
  </si>
  <si>
    <t>November 7, 2006</t>
  </si>
  <si>
    <t>Sells:</t>
  </si>
  <si>
    <t>November 2, 2006</t>
  </si>
  <si>
    <t>October 31, 2006</t>
  </si>
  <si>
    <t>Community Health Systems</t>
  </si>
  <si>
    <t>August 21,2006</t>
  </si>
  <si>
    <t>American Intl Group Inc</t>
  </si>
  <si>
    <t>August 8,2006</t>
  </si>
  <si>
    <t>YouBet.Com Inc</t>
  </si>
  <si>
    <t>July 21,2006</t>
  </si>
  <si>
    <t>Timberland Co</t>
  </si>
  <si>
    <t>July 19,2006</t>
  </si>
  <si>
    <t>Darden Restaurants Inc</t>
  </si>
  <si>
    <t>Resources Connection Inc</t>
  </si>
  <si>
    <t>July 18,2006</t>
  </si>
  <si>
    <t>Corporate Executive Board Co</t>
  </si>
  <si>
    <t xml:space="preserve">July 17,2006 </t>
  </si>
  <si>
    <t>Starbucks Corp</t>
  </si>
  <si>
    <t xml:space="preserve">July 7,2006 </t>
  </si>
  <si>
    <t>Freeport Mcmoran Coper &amp; Gold</t>
  </si>
  <si>
    <t>July 6,2006</t>
  </si>
  <si>
    <t>July 5,2006</t>
  </si>
  <si>
    <t>Diamond Offshore Drilling Cm</t>
  </si>
  <si>
    <t>July 3,2006</t>
  </si>
  <si>
    <t>Amphenol Corp Cm New</t>
  </si>
  <si>
    <t>Alliance Resource Partners Com Lp</t>
  </si>
  <si>
    <t>Hornbeck Offshore Services Com</t>
  </si>
  <si>
    <t>May 4,2006</t>
  </si>
  <si>
    <t>Buys:</t>
  </si>
  <si>
    <t>USANA Health Sciences Inc.</t>
  </si>
  <si>
    <t>May 2,2006</t>
  </si>
  <si>
    <t>April 27,2006</t>
  </si>
  <si>
    <t>Community Health Systems, Inc.</t>
  </si>
  <si>
    <t>United Health Corp.</t>
  </si>
  <si>
    <t>April 13,2006</t>
  </si>
  <si>
    <t>April 11,2006</t>
  </si>
  <si>
    <t>April 4,2006</t>
  </si>
  <si>
    <t>Hovnanian Enterprises, Inc.</t>
  </si>
  <si>
    <t>Aetna</t>
  </si>
  <si>
    <t xml:space="preserve">Diageo </t>
  </si>
  <si>
    <t>Pepsi Co.</t>
  </si>
  <si>
    <t>Walgreen</t>
  </si>
  <si>
    <t>Microsoft</t>
  </si>
  <si>
    <t>Harley Davidson</t>
  </si>
  <si>
    <t>bought out by BAC</t>
  </si>
  <si>
    <t xml:space="preserve">MBNA </t>
  </si>
  <si>
    <t>Walgreen Company</t>
  </si>
  <si>
    <t>UnitedHealth Group</t>
  </si>
  <si>
    <t>Anheuser Busch, Inc.</t>
  </si>
  <si>
    <t>TJX Companies, Inc.</t>
  </si>
  <si>
    <t>Pfizer, Inc.</t>
  </si>
  <si>
    <t>Christopher and Banks Co.</t>
  </si>
  <si>
    <t>New Century Financial Corp</t>
  </si>
  <si>
    <t>Anheuser Busch Companies Inc.</t>
  </si>
  <si>
    <t>Corvel Corp.</t>
  </si>
  <si>
    <t>Ametek</t>
  </si>
  <si>
    <t>2:1 Split  August 22, 2005</t>
  </si>
  <si>
    <t>H&amp;R Block Inc.</t>
  </si>
  <si>
    <t>Polymedica Corp.</t>
  </si>
  <si>
    <t>Nextel</t>
  </si>
  <si>
    <t>3:2 Split  August 27, 2003</t>
  </si>
  <si>
    <t>Columbia Sportswear Co.</t>
  </si>
  <si>
    <t xml:space="preserve"> Polaris Industries Inc.</t>
  </si>
  <si>
    <t>Mattel Inc.</t>
  </si>
  <si>
    <t>MAT</t>
  </si>
  <si>
    <t>Toll Brothers Inc.</t>
  </si>
  <si>
    <t>TOL</t>
  </si>
  <si>
    <t>Sasol Ltd.</t>
  </si>
  <si>
    <t>Tyco Intl</t>
  </si>
  <si>
    <t>Dynacq Healthcare Inc.</t>
  </si>
  <si>
    <t>2:1 Split March 8, 2004</t>
  </si>
  <si>
    <t xml:space="preserve">Buys: </t>
  </si>
  <si>
    <t>Pier 1 Imports, Inc.</t>
  </si>
  <si>
    <t>Polaris Industries Inc.</t>
  </si>
  <si>
    <t>2:1 Split March 23, 2004</t>
  </si>
  <si>
    <t>TJX Companies</t>
  </si>
  <si>
    <t>Darden Restaraunts</t>
  </si>
  <si>
    <t>Priority Health Care</t>
  </si>
  <si>
    <t>2:1 Split February 27, 2004</t>
  </si>
  <si>
    <t>Ametek Inc.</t>
  </si>
  <si>
    <t>Check Point Software Tech.</t>
  </si>
  <si>
    <t>CHKP</t>
  </si>
  <si>
    <t>International Business Machines Corp.</t>
  </si>
  <si>
    <t>Abercrombie &amp; Fitch Co.</t>
  </si>
  <si>
    <t>ANF</t>
  </si>
  <si>
    <t>UTStarcom</t>
  </si>
  <si>
    <t>Citigroup Inc.</t>
  </si>
  <si>
    <t>C</t>
  </si>
  <si>
    <t>Noble Corp.</t>
  </si>
  <si>
    <t>NE</t>
  </si>
  <si>
    <t xml:space="preserve">Valero Energy New </t>
  </si>
  <si>
    <t>Pfizer</t>
  </si>
  <si>
    <t>2:1 Split March 26, 2004</t>
  </si>
  <si>
    <t>Hovnanian</t>
  </si>
  <si>
    <t>2:1 Split May 2, 2005</t>
  </si>
  <si>
    <t>Timberland</t>
  </si>
  <si>
    <t>Tyco International Ltd.</t>
  </si>
  <si>
    <t>Sasol Ltd. Limited</t>
  </si>
  <si>
    <t>3:2 Split December 11, 2003</t>
  </si>
  <si>
    <t>Doral Financial Corp.</t>
  </si>
  <si>
    <t>2:1 Split September 9, 2003</t>
  </si>
  <si>
    <t>Polymedica Corporation</t>
  </si>
  <si>
    <t>Columbia Sportswear Company</t>
  </si>
  <si>
    <t>Christopher &amp; Banks Corp.</t>
  </si>
  <si>
    <t>Gross</t>
  </si>
  <si>
    <t>IMP</t>
  </si>
  <si>
    <t>S&amp;P 500</t>
  </si>
  <si>
    <t>US Aggregate Total Bond Market Index</t>
  </si>
  <si>
    <t>Beginning</t>
  </si>
  <si>
    <t>Contributions</t>
  </si>
  <si>
    <t>Ending</t>
  </si>
  <si>
    <t>12 Month</t>
  </si>
  <si>
    <t>S&amp;P</t>
  </si>
  <si>
    <t>Monthly</t>
  </si>
  <si>
    <t>12-month</t>
  </si>
  <si>
    <t>Growth of $10,000</t>
  </si>
  <si>
    <t>Month</t>
  </si>
  <si>
    <t>Balance</t>
  </si>
  <si>
    <t>(Withdrawals)</t>
  </si>
  <si>
    <t>NAV</t>
  </si>
  <si>
    <t>return</t>
  </si>
  <si>
    <t>^Insert at row above to roll 'Tables' spread sheet</t>
  </si>
  <si>
    <r>
      <rPr>
        <b/>
        <sz val="10"/>
        <rFont val="Arial"/>
        <family val="2"/>
      </rPr>
      <t>NOTE</t>
    </r>
    <r>
      <rPr>
        <sz val="10"/>
        <rFont val="Arial"/>
        <family val="2"/>
      </rPr>
      <t>: For all calculations in the below tables, you must use control, shift,and enter simultaneously.</t>
    </r>
  </si>
  <si>
    <t>Year</t>
  </si>
  <si>
    <t>Annual Return</t>
  </si>
  <si>
    <t>328-339</t>
  </si>
  <si>
    <t xml:space="preserve">3-year </t>
  </si>
  <si>
    <t>5-year</t>
  </si>
  <si>
    <t>Trailing Total Returns</t>
  </si>
  <si>
    <t>1-Year Return</t>
  </si>
  <si>
    <t>US Aggreggate Bond</t>
  </si>
  <si>
    <t>vs. Benchmark</t>
  </si>
  <si>
    <t>1-Year Standard Deviation</t>
  </si>
  <si>
    <t>1-Year Beta</t>
  </si>
  <si>
    <t>1 Year</t>
  </si>
  <si>
    <t>3-Year Average Return</t>
  </si>
  <si>
    <t>3 Year</t>
  </si>
  <si>
    <t>3 Year Standard Deviation</t>
  </si>
  <si>
    <t>3-Year Beta</t>
  </si>
  <si>
    <t>10 Year</t>
  </si>
  <si>
    <t>5-Year Average Return</t>
  </si>
  <si>
    <t>5 Year Standard Deviation</t>
  </si>
  <si>
    <t>5-Year Beta</t>
  </si>
  <si>
    <t>1-Year Treynor Ratio</t>
  </si>
  <si>
    <t xml:space="preserve">Return </t>
  </si>
  <si>
    <r>
      <t xml:space="preserve">NOTE: </t>
    </r>
    <r>
      <rPr>
        <sz val="8"/>
        <rFont val="Arial"/>
        <family val="2"/>
      </rPr>
      <t xml:space="preserve">The above table needs to be manually updated, by dragging the formula box down to the most recent recturns. </t>
    </r>
  </si>
  <si>
    <t>3-Year Treynor Ratio</t>
  </si>
  <si>
    <t>Standard Deviation</t>
  </si>
  <si>
    <t>5-Year Treynor Ratio</t>
  </si>
  <si>
    <t>YTD beta</t>
  </si>
  <si>
    <t>1-Year Sharpe Ratio</t>
  </si>
  <si>
    <t>3 Year Sharpe Ratio</t>
  </si>
  <si>
    <t>Sharpe Ratio</t>
  </si>
  <si>
    <t>5 Year Sharpe Ratio</t>
  </si>
  <si>
    <t>Treynor</t>
  </si>
  <si>
    <t>1-Year Alpha</t>
  </si>
  <si>
    <t>3-Year Alpha</t>
  </si>
  <si>
    <t>5-Year Alpha</t>
  </si>
  <si>
    <t xml:space="preserve">                       Annual Performance</t>
  </si>
  <si>
    <t>US AGG Tot Bond</t>
  </si>
  <si>
    <t xml:space="preserve">T-bill return : </t>
  </si>
  <si>
    <t>3-month Treasury Bills - Secondary Market</t>
  </si>
  <si>
    <t>Russell 3000 Growth return:</t>
  </si>
  <si>
    <t>Russell 3000 Growth Index returns calculator</t>
  </si>
  <si>
    <t xml:space="preserve">S&amp;P 500 inded Data return: </t>
  </si>
  <si>
    <t>S&amp;P 500 monthly Returns</t>
  </si>
  <si>
    <t>AM</t>
  </si>
  <si>
    <t>1-YEAR</t>
  </si>
  <si>
    <t>3-YEAR</t>
  </si>
  <si>
    <t>5-YEAR</t>
  </si>
  <si>
    <t>BENCHMARK</t>
  </si>
  <si>
    <t xml:space="preserve">IMP </t>
  </si>
  <si>
    <t>Average Annual Return (%)</t>
  </si>
  <si>
    <t>Growth from $100 Investment ($)</t>
  </si>
  <si>
    <t>Risk Measure</t>
  </si>
  <si>
    <t>Standard Deviation (%)</t>
  </si>
  <si>
    <t>Beta</t>
  </si>
  <si>
    <t>Risk-Adjusted Performance</t>
  </si>
  <si>
    <t>Treynor Ratio (%)</t>
  </si>
  <si>
    <t>Year:</t>
  </si>
  <si>
    <t>Month:</t>
  </si>
  <si>
    <t>Dec.</t>
  </si>
  <si>
    <t>Y</t>
  </si>
  <si>
    <t>M</t>
  </si>
  <si>
    <t>IMP Return</t>
  </si>
  <si>
    <t>Benchmark Return</t>
  </si>
  <si>
    <t>IMP +1</t>
  </si>
  <si>
    <t>Benchmark +1</t>
  </si>
  <si>
    <t>Ref Monthly Return Tabs</t>
  </si>
  <si>
    <t>Jan.</t>
  </si>
  <si>
    <t>Feb.</t>
  </si>
  <si>
    <t>Mar.</t>
  </si>
  <si>
    <t>Apr.</t>
  </si>
  <si>
    <t>May</t>
  </si>
  <si>
    <t>Jun.</t>
  </si>
  <si>
    <t>Jul.</t>
  </si>
  <si>
    <t>Aug.</t>
  </si>
  <si>
    <t>Sep.</t>
  </si>
  <si>
    <t>Oct.</t>
  </si>
  <si>
    <t>Nov.</t>
  </si>
  <si>
    <t>YTD Return:</t>
  </si>
  <si>
    <t>Standard Dev</t>
  </si>
  <si>
    <t>Sharpe</t>
  </si>
  <si>
    <t>3-Month T-Bill Rate at Begining of Year</t>
  </si>
  <si>
    <t>Market Capital</t>
  </si>
  <si>
    <t xml:space="preserve">The total dollar value of all outstanding shares. It's calculated by multiplying the number of shares times </t>
  </si>
  <si>
    <t>the current market price. This term is often referred to as market cap.</t>
  </si>
  <si>
    <t xml:space="preserve">Market Cap is a measure of a company's size. Brokerages  </t>
  </si>
  <si>
    <t>vary on their exact definitions, but the current approximate classes of</t>
  </si>
  <si>
    <t>market capitalization are:</t>
  </si>
  <si>
    <t>Large Cap: Greater than $5 billion</t>
  </si>
  <si>
    <t>Mid Cap: $1 billion to $5 billion</t>
  </si>
  <si>
    <t>Small Cap: Less than $1 billion</t>
  </si>
  <si>
    <t>Company</t>
  </si>
  <si>
    <t>Company Size</t>
  </si>
  <si>
    <t>Large Cap</t>
  </si>
  <si>
    <t>Mid Cap</t>
  </si>
  <si>
    <t>Meta</t>
  </si>
  <si>
    <t>Small Cap</t>
  </si>
  <si>
    <t>Kroger</t>
  </si>
  <si>
    <t>Sigma Lithium Corp</t>
  </si>
  <si>
    <t>Mid Gap</t>
  </si>
  <si>
    <t>Smucker (JM)</t>
  </si>
  <si>
    <t xml:space="preserve">Domino's Pizza Inc. </t>
  </si>
  <si>
    <t>Schwab US TIPS ETF</t>
  </si>
  <si>
    <t>FlexShares iBoxx 3-Year Target Duration TIPS Index</t>
  </si>
  <si>
    <t xml:space="preserve">Above is the link to find the current S&amp;P 500's sector weights. </t>
  </si>
  <si>
    <t>Below is the link to find the current S&amp;P 500's YTD return.</t>
  </si>
  <si>
    <t xml:space="preserve">S&amp;P 500 index's return: </t>
  </si>
  <si>
    <t>Click "Additional Info" and then "S&amp;P Market Attributes Web File"</t>
  </si>
  <si>
    <t>ICVT</t>
  </si>
  <si>
    <t>iShares Convertible Bond ETF</t>
  </si>
  <si>
    <t>Veeva Systems Inc Class A</t>
  </si>
  <si>
    <t>VEEV</t>
  </si>
  <si>
    <t xml:space="preserve">Amgen Inc. </t>
  </si>
  <si>
    <t xml:space="preserve">Veeva Systems Inc. </t>
  </si>
  <si>
    <t xml:space="preserve">Healthcare </t>
  </si>
  <si>
    <t>Fixed-Income Securities and Others</t>
  </si>
  <si>
    <t>Bloomberg US Aggregatge Bond current (interest) yield</t>
  </si>
  <si>
    <t>Bloomberg US Aggregate Bond total return</t>
  </si>
  <si>
    <t xml:space="preserve">ACN </t>
  </si>
  <si>
    <t xml:space="preserve">Accenture PLC Class A </t>
  </si>
  <si>
    <t xml:space="preserve">Amazon.com, Inc. </t>
  </si>
  <si>
    <t xml:space="preserve">Franco-Nevada Corporation </t>
  </si>
  <si>
    <t>20-for-1 split on 6/6/2022</t>
  </si>
  <si>
    <t>split-adjusted price</t>
  </si>
  <si>
    <t>Roper Technologies Inc.</t>
  </si>
  <si>
    <t>Bank of America Corp</t>
  </si>
  <si>
    <t xml:space="preserve">Comfort Systems USA, Inc. </t>
  </si>
  <si>
    <t xml:space="preserve">Nextrea Energy Inc </t>
  </si>
  <si>
    <t>TC Energy Corp</t>
  </si>
  <si>
    <t>iShares 0-5 year Investment Grade Corporate Bd ETF</t>
  </si>
  <si>
    <t>Comcast</t>
  </si>
  <si>
    <t xml:space="preserve">Meta Platform </t>
  </si>
  <si>
    <t xml:space="preserve">Alphabet Inc. </t>
  </si>
  <si>
    <t>SPDR S&amp;P Insurance ETF</t>
  </si>
  <si>
    <t>Visa</t>
  </si>
  <si>
    <t>Veeva</t>
  </si>
  <si>
    <t xml:space="preserve">Veeva </t>
  </si>
  <si>
    <t>Apple</t>
  </si>
  <si>
    <t>Salesforce Inc.</t>
  </si>
  <si>
    <t>Vanguard Long-Term Corporate Bond Idx Fund ETF</t>
  </si>
  <si>
    <t>CMCSA</t>
  </si>
  <si>
    <t>KIE</t>
  </si>
  <si>
    <t>APPL</t>
  </si>
  <si>
    <t>CRM</t>
  </si>
  <si>
    <t>VCLT</t>
  </si>
  <si>
    <t xml:space="preserve">Comcast </t>
  </si>
  <si>
    <t>CMCA</t>
  </si>
  <si>
    <t>Comcast Corporation</t>
  </si>
  <si>
    <t xml:space="preserve">Salesforce, Inc. </t>
  </si>
  <si>
    <t>2 years</t>
  </si>
  <si>
    <t>1 months</t>
  </si>
  <si>
    <t>From Monthly Statement</t>
  </si>
  <si>
    <t>For securities with multiple-time purchases, holding return is calculated using the transaction price of the first purchase.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</si>
</sst>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409]* #,##0_);_([$$-409]* \(#,##0\);_([$$-409]* &quot;-&quot;_);_(@_)"/>
    <numFmt numFmtId="165" formatCode="_([$$-409]* #,##0.00_);_([$$-409]* \(#,##0.00\);_([$$-409]* &quot;-&quot;??_);_(@_)"/>
    <numFmt numFmtId="166" formatCode="mmmm\ d\,\ yyyy"/>
    <numFmt numFmtId="167" formatCode="&quot;$&quot;#,##0.00"/>
    <numFmt numFmtId="168" formatCode="_(&quot;$&quot;* #,##0_);_(&quot;$&quot;* \(#,##0\);_(&quot;$&quot;* &quot;-&quot;??_);_(@_)"/>
    <numFmt numFmtId="169" formatCode="0.0%"/>
    <numFmt numFmtId="170" formatCode="0.0000"/>
    <numFmt numFmtId="171" formatCode="0.000"/>
    <numFmt numFmtId="172" formatCode="0.0"/>
    <numFmt numFmtId="173" formatCode="#,##0.000"/>
    <numFmt numFmtId="174" formatCode="_(&quot;$&quot;* #,##0.000_);_(&quot;$&quot;* \(#,##0.000\);_(&quot;$&quot;* &quot;-&quot;??_);_(@_)"/>
    <numFmt numFmtId="175" formatCode="[Blue]#0.00%;[Red]\-#0.00%"/>
    <numFmt numFmtId="176" formatCode="[Blue]#0.0%;[Red]\-#0.0%"/>
    <numFmt numFmtId="177" formatCode="[Blue]0.00%;[Red]\-0.00%"/>
    <numFmt numFmtId="178" formatCode="[Blue]0%;[Red]\-0%"/>
    <numFmt numFmtId="179" formatCode="_(&quot;$&quot;* #,##0.0000_);_(&quot;$&quot;* \(#,##0.0000\);_(&quot;$&quot;* &quot;-&quot;??_);_(@_)"/>
    <numFmt numFmtId="180" formatCode="0.000000"/>
    <numFmt numFmtId="181" formatCode="0.0000%"/>
    <numFmt numFmtId="182" formatCode="[$-409]mmmm\ d\,\ yyyy"/>
    <numFmt numFmtId="183" formatCode="[$-F800]dddd\,\ mmmm\ dd\,\ yyyy"/>
    <numFmt numFmtId="184" formatCode="0.000%"/>
    <numFmt numFmtId="185" formatCode="[$-409]mmmm\ d\,\ yyyy;@"/>
    <numFmt numFmtId="186" formatCode="yyyy\-mm\-dd;@"/>
    <numFmt numFmtId="187" formatCode="#,##0.0000"/>
    <numFmt numFmtId="188" formatCode="m/d/yyyy;@"/>
    <numFmt numFmtId="189" formatCode="[Blue]0.0%;[Red]\-0.0%"/>
  </numFmts>
  <fonts count="96">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color rgb="FF000000"/>
      <name val="Arial"/>
      <family val="2"/>
    </font>
    <font>
      <b/>
      <sz val="10"/>
      <color rgb="FF000000"/>
      <name val="Arial"/>
      <family val="2"/>
    </font>
    <font>
      <sz val="10"/>
      <color rgb="FFFF0000"/>
      <name val="Arial"/>
      <family val="2"/>
    </font>
    <font>
      <b/>
      <sz val="14"/>
      <name val="Arial"/>
      <family val="2"/>
    </font>
    <font>
      <b/>
      <sz val="11"/>
      <name val="Arial"/>
      <family val="2"/>
    </font>
    <font>
      <sz val="9"/>
      <name val="Arial"/>
      <family val="2"/>
    </font>
    <font>
      <b/>
      <sz val="9"/>
      <name val="Arial"/>
      <family val="2"/>
    </font>
    <font>
      <b/>
      <sz val="9"/>
      <color rgb="FF000000"/>
      <name val="Arial"/>
      <family val="2"/>
    </font>
    <font>
      <b/>
      <sz val="10"/>
      <name val="Arial"/>
      <family val="2"/>
    </font>
    <font>
      <sz val="8"/>
      <name val="Arial"/>
      <family val="2"/>
    </font>
    <font>
      <b/>
      <sz val="20"/>
      <name val="Arial"/>
      <family val="2"/>
    </font>
    <font>
      <b/>
      <sz val="20"/>
      <color rgb="FFFF0000"/>
      <name val="Arial"/>
      <family val="2"/>
    </font>
    <font>
      <b/>
      <sz val="10"/>
      <color rgb="FFFF0000"/>
      <name val="Arial"/>
      <family val="2"/>
    </font>
    <font>
      <b/>
      <sz val="14"/>
      <color rgb="FFFF0000"/>
      <name val="Arial"/>
      <family val="2"/>
    </font>
    <font>
      <sz val="10"/>
      <color rgb="FFFF9900"/>
      <name val="Arial"/>
      <family val="2"/>
    </font>
    <font>
      <i/>
      <sz val="10"/>
      <name val="Arial"/>
      <family val="2"/>
    </font>
    <font>
      <sz val="10"/>
      <name val="Times New Roman"/>
      <family val="1"/>
    </font>
    <font>
      <sz val="10"/>
      <color rgb="FF000000"/>
      <name val="Times New Roman"/>
      <family val="1"/>
    </font>
    <font>
      <sz val="10"/>
      <color rgb="FFFF0000"/>
      <name val="Times New Roman"/>
      <family val="1"/>
    </font>
    <font>
      <sz val="9"/>
      <color rgb="FF000000"/>
      <name val="Arial"/>
      <family val="2"/>
    </font>
    <font>
      <sz val="8"/>
      <color rgb="FFFF0000"/>
      <name val="Arial"/>
      <family val="2"/>
    </font>
    <font>
      <sz val="9"/>
      <color rgb="FFFF0000"/>
      <name val="Arial"/>
      <family val="2"/>
    </font>
    <font>
      <sz val="9"/>
      <name val="Times New Roman"/>
      <family val="1"/>
    </font>
    <font>
      <sz val="9"/>
      <color rgb="FF000000"/>
      <name val="Times New Roman"/>
      <family val="1"/>
    </font>
    <font>
      <sz val="9"/>
      <name val="Arial Narrow"/>
      <family val="2"/>
    </font>
    <font>
      <sz val="9"/>
      <color rgb="FF4F81BD"/>
      <name val="Arial"/>
      <family val="2"/>
    </font>
    <font>
      <sz val="9"/>
      <color rgb="FFFF0000"/>
      <name val="Times New Roman"/>
      <family val="1"/>
    </font>
    <font>
      <sz val="20"/>
      <color rgb="FFFF0000"/>
      <name val="Arial"/>
      <family val="2"/>
    </font>
    <font>
      <sz val="14"/>
      <color rgb="FFFF0000"/>
      <name val="Arial"/>
      <family val="2"/>
    </font>
    <font>
      <sz val="22"/>
      <name val="Arial"/>
      <family val="2"/>
    </font>
    <font>
      <b/>
      <u/>
      <sz val="14"/>
      <name val="Arial"/>
      <family val="2"/>
    </font>
    <font>
      <b/>
      <u/>
      <sz val="9"/>
      <name val="Arial"/>
      <family val="2"/>
    </font>
    <font>
      <b/>
      <sz val="14"/>
      <color rgb="FF000000"/>
      <name val="Arial"/>
      <family val="2"/>
    </font>
    <font>
      <sz val="9"/>
      <color rgb="FF3333FF"/>
      <name val="Arial"/>
      <family val="2"/>
    </font>
    <font>
      <sz val="10"/>
      <color rgb="FF3333FF"/>
      <name val="Arial"/>
      <family val="2"/>
    </font>
    <font>
      <u/>
      <sz val="10"/>
      <color rgb="FF0000FF"/>
      <name val="Arial"/>
      <family val="2"/>
    </font>
    <font>
      <sz val="11"/>
      <color rgb="FF000000"/>
      <name val="Inconsolata"/>
      <family val="3"/>
    </font>
    <font>
      <sz val="9"/>
      <color rgb="FF0000FF"/>
      <name val="Arial"/>
      <family val="2"/>
    </font>
    <font>
      <sz val="10"/>
      <color rgb="FF0000FF"/>
      <name val="Arial"/>
      <family val="2"/>
    </font>
    <font>
      <u/>
      <sz val="10"/>
      <color rgb="FF1155CC"/>
      <name val="Arial"/>
      <family val="2"/>
    </font>
    <font>
      <b/>
      <sz val="11"/>
      <color rgb="FF000000"/>
      <name val="Calibri"/>
      <family val="2"/>
    </font>
    <font>
      <sz val="11"/>
      <color rgb="FF000000"/>
      <name val="Calibri"/>
      <family val="2"/>
    </font>
    <font>
      <b/>
      <i/>
      <sz val="11"/>
      <color rgb="FF000000"/>
      <name val="Calibri"/>
      <family val="2"/>
    </font>
    <font>
      <sz val="10"/>
      <color rgb="FF000000"/>
      <name val="Arial"/>
      <family val="2"/>
    </font>
    <font>
      <b/>
      <sz val="16"/>
      <name val="Arial"/>
      <family val="2"/>
    </font>
    <font>
      <b/>
      <sz val="11"/>
      <color rgb="FF3F3F3F"/>
      <name val="Calibri"/>
      <family val="2"/>
    </font>
    <font>
      <sz val="10"/>
      <name val="Verdana"/>
      <family val="2"/>
    </font>
    <font>
      <b/>
      <u/>
      <sz val="10"/>
      <name val="Arial"/>
      <family val="2"/>
    </font>
    <font>
      <sz val="11"/>
      <color rgb="FFFFFFFF"/>
      <name val="Calibri"/>
      <family val="2"/>
    </font>
    <font>
      <b/>
      <sz val="11"/>
      <name val="Calibri"/>
      <family val="2"/>
    </font>
    <font>
      <sz val="9"/>
      <color rgb="FF666666"/>
      <name val="Helvetica Neue"/>
      <family val="2"/>
    </font>
    <font>
      <sz val="10"/>
      <color rgb="FF000000"/>
      <name val="Tahoma"/>
      <family val="2"/>
    </font>
    <font>
      <b/>
      <i/>
      <sz val="10"/>
      <name val="Arial"/>
      <family val="2"/>
    </font>
    <font>
      <sz val="10"/>
      <name val="Arial Narrow"/>
      <family val="2"/>
    </font>
    <font>
      <b/>
      <sz val="10"/>
      <name val="Arial Narrow"/>
      <family val="2"/>
    </font>
    <font>
      <sz val="10"/>
      <name val="Tahoma"/>
      <family val="2"/>
    </font>
    <font>
      <sz val="11"/>
      <name val="Calibri"/>
      <family val="2"/>
    </font>
    <font>
      <sz val="11"/>
      <color rgb="FF1E1E1E"/>
      <name val="Arial"/>
      <family val="2"/>
    </font>
    <font>
      <sz val="10"/>
      <color rgb="FF000000"/>
      <name val="Arial"/>
      <family val="2"/>
    </font>
    <font>
      <sz val="10"/>
      <color theme="1"/>
      <name val="Arial"/>
      <family val="2"/>
    </font>
    <font>
      <b/>
      <sz val="8"/>
      <name val="Arial"/>
      <family val="2"/>
    </font>
    <font>
      <sz val="10"/>
      <color theme="0"/>
      <name val="Arial"/>
      <family val="2"/>
    </font>
    <font>
      <sz val="12"/>
      <color rgb="FF000000"/>
      <name val="Calibri"/>
      <family val="2"/>
    </font>
    <font>
      <sz val="9"/>
      <color rgb="FF000000"/>
      <name val="Calibri"/>
      <family val="2"/>
    </font>
    <font>
      <u/>
      <sz val="10"/>
      <color theme="10"/>
      <name val="Arial"/>
      <family val="2"/>
    </font>
    <font>
      <sz val="10"/>
      <color rgb="FF000000"/>
      <name val="Arial"/>
      <family val="2"/>
    </font>
    <font>
      <sz val="12"/>
      <color theme="1"/>
      <name val="Calibri"/>
      <family val="2"/>
      <scheme val="minor"/>
    </font>
    <font>
      <sz val="10"/>
      <color rgb="FF000000"/>
      <name val="Arial"/>
      <family val="2"/>
    </font>
    <font>
      <sz val="11"/>
      <name val="Arial"/>
      <family val="2"/>
    </font>
    <font>
      <sz val="9"/>
      <color theme="1"/>
      <name val="Arial"/>
      <family val="2"/>
    </font>
    <font>
      <sz val="9"/>
      <color indexed="81"/>
      <name val="Tahoma"/>
      <family val="2"/>
    </font>
    <font>
      <b/>
      <sz val="9"/>
      <color indexed="81"/>
      <name val="Tahoma"/>
      <family val="2"/>
    </font>
    <font>
      <sz val="10"/>
      <color rgb="FF000000"/>
      <name val="Calibri"/>
      <family val="2"/>
    </font>
    <font>
      <sz val="11"/>
      <color rgb="FF000000"/>
      <name val="Arial"/>
      <family val="2"/>
    </font>
    <font>
      <b/>
      <sz val="11"/>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77">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F2F2F2"/>
        <bgColor rgb="FFF2F2F2"/>
      </patternFill>
    </fill>
    <fill>
      <patternFill patternType="solid">
        <fgColor rgb="FFC0C0C0"/>
        <bgColor rgb="FFC0C0C0"/>
      </patternFill>
    </fill>
    <fill>
      <patternFill patternType="solid">
        <fgColor rgb="FFBFBFBF"/>
        <bgColor rgb="FFBFBFBF"/>
      </patternFill>
    </fill>
    <fill>
      <patternFill patternType="solid">
        <fgColor rgb="FFDBE5F1"/>
        <bgColor rgb="FFDBE5F1"/>
      </patternFill>
    </fill>
    <fill>
      <patternFill patternType="solid">
        <fgColor rgb="FFDDD9C3"/>
        <bgColor rgb="FFDDD9C3"/>
      </patternFill>
    </fill>
    <fill>
      <patternFill patternType="solid">
        <fgColor rgb="FF92D050"/>
        <bgColor rgb="FF92D050"/>
      </patternFill>
    </fill>
    <fill>
      <patternFill patternType="solid">
        <fgColor rgb="FFFFC000"/>
        <bgColor rgb="FFFFC000"/>
      </patternFill>
    </fill>
    <fill>
      <patternFill patternType="solid">
        <fgColor rgb="FF95B3D7"/>
        <bgColor rgb="FF95B3D7"/>
      </patternFill>
    </fill>
    <fill>
      <patternFill patternType="solid">
        <fgColor rgb="FF8DB3E2"/>
        <bgColor rgb="FF8DB3E2"/>
      </patternFill>
    </fill>
    <fill>
      <patternFill patternType="solid">
        <fgColor rgb="FFFFFF00"/>
        <bgColor rgb="FFFFFFFF"/>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0070C0"/>
        <bgColor indexed="64"/>
      </patternFill>
    </fill>
    <fill>
      <patternFill patternType="solid">
        <fgColor theme="0" tint="-0.34998626667073579"/>
        <bgColor indexed="64"/>
      </patternFill>
    </fill>
    <fill>
      <patternFill patternType="solid">
        <fgColor theme="2" tint="-9.9978637043366805E-2"/>
        <bgColor rgb="FFFFFFFF"/>
      </patternFill>
    </fill>
    <fill>
      <patternFill patternType="solid">
        <fgColor theme="4" tint="-0.249977111117893"/>
        <bgColor indexed="64"/>
      </patternFill>
    </fill>
    <fill>
      <patternFill patternType="solid">
        <fgColor theme="0"/>
        <bgColor indexed="64"/>
      </patternFill>
    </fill>
    <fill>
      <patternFill patternType="solid">
        <fgColor theme="2" tint="-0.249977111117893"/>
        <bgColor indexed="64"/>
      </patternFill>
    </fill>
    <fill>
      <patternFill patternType="solid">
        <fgColor rgb="FF002060"/>
        <bgColor indexed="64"/>
      </patternFill>
    </fill>
    <fill>
      <patternFill patternType="solid">
        <fgColor theme="0"/>
        <bgColor rgb="FFFF0000"/>
      </patternFill>
    </fill>
    <fill>
      <patternFill patternType="solid">
        <fgColor theme="0"/>
        <bgColor rgb="FFFFFF00"/>
      </patternFill>
    </fill>
    <fill>
      <patternFill patternType="solid">
        <fgColor theme="0"/>
        <bgColor rgb="FFFFFFFF"/>
      </patternFill>
    </fill>
    <fill>
      <patternFill patternType="solid">
        <fgColor theme="4" tint="0.79998168889431442"/>
        <bgColor indexed="64"/>
      </patternFill>
    </fill>
    <fill>
      <patternFill patternType="solid">
        <fgColor rgb="FF00B050"/>
        <bgColor rgb="FFFFFFFF"/>
      </patternFill>
    </fill>
    <fill>
      <patternFill patternType="solid">
        <fgColor theme="2" tint="-9.9978637043366805E-2"/>
        <bgColor rgb="FFD8D8D8"/>
      </patternFill>
    </fill>
    <fill>
      <patternFill patternType="solid">
        <fgColor theme="2" tint="-9.9978637043366805E-2"/>
        <bgColor rgb="FFC0C0C0"/>
      </patternFill>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rgb="FFDBE5F1"/>
      </patternFill>
    </fill>
    <fill>
      <patternFill patternType="solid">
        <fgColor theme="0"/>
        <bgColor rgb="FFDBE5F1"/>
      </patternFill>
    </fill>
    <fill>
      <patternFill patternType="solid">
        <fgColor theme="4" tint="0.79998168889431442"/>
        <bgColor rgb="FFFFFFFF"/>
      </patternFill>
    </fill>
    <fill>
      <patternFill patternType="solid">
        <fgColor rgb="FF92D050"/>
        <bgColor indexed="64"/>
      </patternFill>
    </fill>
    <fill>
      <patternFill patternType="solid">
        <fgColor theme="0" tint="-0.249977111117893"/>
        <bgColor rgb="FFFFFFFF"/>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0">
    <border>
      <left/>
      <right/>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bottom style="medium">
        <color rgb="FF000000"/>
      </bottom>
      <diagonal/>
    </border>
    <border>
      <left/>
      <right style="thin">
        <color rgb="FF000000"/>
      </right>
      <top style="medium">
        <color rgb="FF000000"/>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style="double">
        <color rgb="FF000000"/>
      </top>
      <bottom style="thin">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style="thin">
        <color rgb="FFFFFFFF"/>
      </left>
      <right/>
      <top style="thin">
        <color rgb="FFFFFFFF"/>
      </top>
      <bottom style="thin">
        <color rgb="FFFFFFFF"/>
      </bottom>
      <diagonal/>
    </border>
    <border>
      <left/>
      <right style="thin">
        <color rgb="FF000000"/>
      </right>
      <top/>
      <bottom style="thin">
        <color rgb="FF000000"/>
      </bottom>
      <diagonal/>
    </border>
    <border>
      <left/>
      <right style="thin">
        <color rgb="FF000000"/>
      </right>
      <top/>
      <bottom style="double">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double">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style="medium">
        <color rgb="FF000000"/>
      </bottom>
      <diagonal/>
    </border>
    <border>
      <left/>
      <right style="thin">
        <color rgb="FF000000"/>
      </right>
      <top/>
      <bottom style="medium">
        <color rgb="FF000000"/>
      </bottom>
      <diagonal/>
    </border>
    <border>
      <left/>
      <right/>
      <top style="thin">
        <color rgb="FF000000"/>
      </top>
      <bottom/>
      <diagonal/>
    </border>
    <border>
      <left/>
      <right style="thin">
        <color rgb="FF000000"/>
      </right>
      <top/>
      <bottom/>
      <diagonal/>
    </border>
    <border>
      <left/>
      <right/>
      <top/>
      <bottom/>
      <diagonal/>
    </border>
    <border>
      <left/>
      <right/>
      <top/>
      <bottom style="thin">
        <color rgb="FF000000"/>
      </bottom>
      <diagonal/>
    </border>
    <border>
      <left/>
      <right/>
      <top style="double">
        <color rgb="FF000000"/>
      </top>
      <bottom style="thin">
        <color rgb="FF000000"/>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000000"/>
      </left>
      <right style="thin">
        <color rgb="FF000000"/>
      </right>
      <top style="thin">
        <color rgb="FF000000"/>
      </top>
      <bottom/>
      <diagonal/>
    </border>
    <border>
      <left style="thin">
        <color rgb="FF3F3F3F"/>
      </left>
      <right style="thin">
        <color rgb="FF3F3F3F"/>
      </right>
      <top style="thin">
        <color rgb="FF3F3F3F"/>
      </top>
      <bottom style="thin">
        <color rgb="FF3F3F3F"/>
      </bottom>
      <diagonal/>
    </border>
    <border>
      <left style="medium">
        <color rgb="FF000000"/>
      </left>
      <right/>
      <top style="medium">
        <color rgb="FF000000"/>
      </top>
      <bottom/>
      <diagonal/>
    </border>
    <border>
      <left style="thin">
        <color rgb="FFBFBFBF"/>
      </left>
      <right style="thin">
        <color rgb="FFBFBFBF"/>
      </right>
      <top style="thin">
        <color rgb="FFBFBFBF"/>
      </top>
      <bottom style="thin">
        <color rgb="FFBFBFBF"/>
      </bottom>
      <diagonal/>
    </border>
    <border>
      <left style="medium">
        <color rgb="FF000000"/>
      </left>
      <right/>
      <top/>
      <bottom/>
      <diagonal/>
    </border>
    <border>
      <left style="medium">
        <color rgb="FF000000"/>
      </left>
      <right/>
      <top/>
      <bottom style="medium">
        <color rgb="FF000000"/>
      </bottom>
      <diagonal/>
    </border>
    <border>
      <left style="thin">
        <color rgb="FFBFBFBF"/>
      </left>
      <right style="thin">
        <color rgb="FFBFBFBF"/>
      </right>
      <top/>
      <bottom style="medium">
        <color rgb="FF000000"/>
      </bottom>
      <diagonal/>
    </border>
    <border>
      <left style="thin">
        <color rgb="FFBFBFBF"/>
      </left>
      <right/>
      <top style="thin">
        <color rgb="FFBFBFBF"/>
      </top>
      <bottom style="thin">
        <color rgb="FFBFBFBF"/>
      </bottom>
      <diagonal/>
    </border>
    <border>
      <left style="thin">
        <color rgb="FFBFBFBF"/>
      </left>
      <right style="thin">
        <color rgb="FFBFBFBF"/>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hair">
        <color indexed="64"/>
      </left>
      <right/>
      <top/>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top/>
      <bottom/>
      <diagonal/>
    </border>
    <border>
      <left/>
      <right style="thin">
        <color indexed="64"/>
      </right>
      <top/>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right/>
      <top/>
      <bottom style="thin">
        <color indexed="64"/>
      </bottom>
      <diagonal/>
    </border>
    <border>
      <left style="thin">
        <color rgb="FFBFBFBF"/>
      </left>
      <right/>
      <top style="thin">
        <color rgb="FFBFBFBF"/>
      </top>
      <bottom style="medium">
        <color indexed="64"/>
      </bottom>
      <diagonal/>
    </border>
    <border>
      <left style="thin">
        <color rgb="FFBFBFBF"/>
      </left>
      <right style="thin">
        <color rgb="FFBFBFBF"/>
      </right>
      <top style="thin">
        <color rgb="FFBFBFBF"/>
      </top>
      <bottom style="medium">
        <color indexed="64"/>
      </bottom>
      <diagonal/>
    </border>
    <border>
      <left/>
      <right/>
      <top/>
      <bottom style="medium">
        <color indexed="64"/>
      </bottom>
      <diagonal/>
    </border>
    <border>
      <left style="thin">
        <color rgb="FFBFBFBF"/>
      </left>
      <right style="thin">
        <color rgb="FFBFBFBF"/>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BFBFBF"/>
      </left>
      <right/>
      <top/>
      <bottom/>
      <diagonal/>
    </border>
    <border>
      <left/>
      <right/>
      <top style="thin">
        <color rgb="FFBFBFBF"/>
      </top>
      <bottom style="thin">
        <color rgb="FFBFBFBF"/>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rgb="FF000000"/>
      </top>
      <bottom/>
      <diagonal/>
    </border>
    <border>
      <left/>
      <right style="thin">
        <color indexed="64"/>
      </right>
      <top/>
      <bottom style="medium">
        <color rgb="FF000000"/>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right style="thin">
        <color indexed="64"/>
      </right>
      <top style="medium">
        <color rgb="FF000000"/>
      </top>
      <bottom/>
      <diagonal/>
    </border>
    <border>
      <left style="thin">
        <color rgb="FF000000"/>
      </left>
      <right/>
      <top style="thin">
        <color indexed="64"/>
      </top>
      <bottom/>
      <diagonal/>
    </border>
    <border>
      <left style="thin">
        <color rgb="FF000000"/>
      </left>
      <right style="thin">
        <color indexed="64"/>
      </right>
      <top style="medium">
        <color rgb="FF000000"/>
      </top>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right/>
      <top style="thin">
        <color indexed="64"/>
      </top>
      <bottom/>
      <diagonal/>
    </border>
    <border>
      <left style="thin">
        <color rgb="FF000000"/>
      </left>
      <right/>
      <top style="thin">
        <color indexed="64"/>
      </top>
      <bottom style="thin">
        <color indexed="64"/>
      </bottom>
      <diagonal/>
    </border>
    <border>
      <left style="thin">
        <color indexed="64"/>
      </left>
      <right/>
      <top style="medium">
        <color rgb="FF000000"/>
      </top>
      <bottom/>
      <diagonal/>
    </border>
    <border>
      <left style="thin">
        <color indexed="64"/>
      </left>
      <right/>
      <top/>
      <bottom style="medium">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top/>
      <bottom style="double">
        <color rgb="FF000000"/>
      </bottom>
      <diagonal/>
    </border>
    <border>
      <left style="thin">
        <color rgb="FF000000"/>
      </left>
      <right style="thin">
        <color rgb="FF000000"/>
      </right>
      <top style="thin">
        <color indexed="64"/>
      </top>
      <bottom/>
      <diagonal/>
    </border>
    <border>
      <left/>
      <right/>
      <top style="medium">
        <color rgb="FF000000"/>
      </top>
      <bottom style="thin">
        <color indexed="64"/>
      </bottom>
      <diagonal/>
    </border>
    <border>
      <left style="thin">
        <color rgb="FF000000"/>
      </left>
      <right style="thin">
        <color indexed="64"/>
      </right>
      <top/>
      <bottom style="thin">
        <color rgb="FF000000"/>
      </bottom>
      <diagonal/>
    </border>
    <border>
      <left style="thin">
        <color indexed="64"/>
      </left>
      <right style="thin">
        <color indexed="64"/>
      </right>
      <top/>
      <bottom style="double">
        <color rgb="FF000000"/>
      </bottom>
      <diagonal/>
    </border>
    <border>
      <left style="thin">
        <color indexed="64"/>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rgb="FF000000"/>
      </left>
      <right style="thin">
        <color indexed="64"/>
      </right>
      <top style="thin">
        <color indexed="64"/>
      </top>
      <bottom/>
      <diagonal/>
    </border>
    <border>
      <left style="thin">
        <color rgb="FF000000"/>
      </left>
      <right style="thin">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rgb="FF000000"/>
      </top>
      <bottom style="thin">
        <color rgb="FF000000"/>
      </bottom>
      <diagonal/>
    </border>
  </borders>
  <cellStyleXfs count="52">
    <xf numFmtId="0" fontId="0" fillId="0" borderId="0"/>
    <xf numFmtId="44" fontId="48" fillId="0" borderId="0" applyFont="0" applyFill="0" applyBorder="0" applyAlignment="0" applyProtection="0"/>
    <xf numFmtId="9" fontId="63" fillId="0" borderId="0" applyFont="0" applyFill="0" applyBorder="0" applyAlignment="0" applyProtection="0"/>
    <xf numFmtId="0" fontId="69" fillId="0" borderId="0" applyNumberFormat="0" applyFill="0" applyBorder="0" applyAlignment="0" applyProtection="0"/>
    <xf numFmtId="0" fontId="70" fillId="0" borderId="29"/>
    <xf numFmtId="44" fontId="48" fillId="0" borderId="29" applyFont="0" applyFill="0" applyBorder="0" applyAlignment="0" applyProtection="0"/>
    <xf numFmtId="9" fontId="48" fillId="0" borderId="29" applyFont="0" applyFill="0" applyBorder="0" applyAlignment="0" applyProtection="0"/>
    <xf numFmtId="0" fontId="48" fillId="0" borderId="29"/>
    <xf numFmtId="0" fontId="72" fillId="0" borderId="29"/>
    <xf numFmtId="0" fontId="4" fillId="0" borderId="29" applyNumberFormat="0" applyFill="0" applyBorder="0" applyAlignment="0" applyProtection="0"/>
    <xf numFmtId="0" fontId="81" fillId="0" borderId="111" applyNumberFormat="0" applyFill="0" applyAlignment="0" applyProtection="0"/>
    <xf numFmtId="0" fontId="82" fillId="0" borderId="112" applyNumberFormat="0" applyFill="0" applyAlignment="0" applyProtection="0"/>
    <xf numFmtId="0" fontId="83" fillId="0" borderId="113" applyNumberFormat="0" applyFill="0" applyAlignment="0" applyProtection="0"/>
    <xf numFmtId="0" fontId="87" fillId="49" borderId="114" applyNumberFormat="0" applyAlignment="0" applyProtection="0"/>
    <xf numFmtId="0" fontId="88" fillId="50" borderId="36" applyNumberFormat="0" applyAlignment="0" applyProtection="0"/>
    <xf numFmtId="0" fontId="89" fillId="50" borderId="114" applyNumberFormat="0" applyAlignment="0" applyProtection="0"/>
    <xf numFmtId="0" fontId="90" fillId="0" borderId="115" applyNumberFormat="0" applyFill="0" applyAlignment="0" applyProtection="0"/>
    <xf numFmtId="0" fontId="91" fillId="51" borderId="116" applyNumberFormat="0" applyAlignment="0" applyProtection="0"/>
    <xf numFmtId="0" fontId="94" fillId="0" borderId="118" applyNumberFormat="0" applyFill="0" applyAlignment="0" applyProtection="0"/>
    <xf numFmtId="0" fontId="1" fillId="0" borderId="29"/>
    <xf numFmtId="0" fontId="80" fillId="0" borderId="29" applyNumberFormat="0" applyFill="0" applyBorder="0" applyAlignment="0" applyProtection="0"/>
    <xf numFmtId="0" fontId="83" fillId="0" borderId="29" applyNumberFormat="0" applyFill="0" applyBorder="0" applyAlignment="0" applyProtection="0"/>
    <xf numFmtId="0" fontId="84" fillId="46" borderId="29" applyNumberFormat="0" applyBorder="0" applyAlignment="0" applyProtection="0"/>
    <xf numFmtId="0" fontId="85" fillId="47" borderId="29" applyNumberFormat="0" applyBorder="0" applyAlignment="0" applyProtection="0"/>
    <xf numFmtId="0" fontId="86" fillId="48" borderId="29" applyNumberFormat="0" applyBorder="0" applyAlignment="0" applyProtection="0"/>
    <xf numFmtId="0" fontId="92" fillId="0" borderId="29" applyNumberFormat="0" applyFill="0" applyBorder="0" applyAlignment="0" applyProtection="0"/>
    <xf numFmtId="0" fontId="1" fillId="52" borderId="117" applyNumberFormat="0" applyFont="0" applyAlignment="0" applyProtection="0"/>
    <xf numFmtId="0" fontId="93" fillId="0" borderId="29" applyNumberFormat="0" applyFill="0" applyBorder="0" applyAlignment="0" applyProtection="0"/>
    <xf numFmtId="0" fontId="95" fillId="53" borderId="29" applyNumberFormat="0" applyBorder="0" applyAlignment="0" applyProtection="0"/>
    <xf numFmtId="0" fontId="1" fillId="54" borderId="29" applyNumberFormat="0" applyBorder="0" applyAlignment="0" applyProtection="0"/>
    <xf numFmtId="0" fontId="1" fillId="55" borderId="29" applyNumberFormat="0" applyBorder="0" applyAlignment="0" applyProtection="0"/>
    <xf numFmtId="0" fontId="1" fillId="56" borderId="29" applyNumberFormat="0" applyBorder="0" applyAlignment="0" applyProtection="0"/>
    <xf numFmtId="0" fontId="95" fillId="57" borderId="29" applyNumberFormat="0" applyBorder="0" applyAlignment="0" applyProtection="0"/>
    <xf numFmtId="0" fontId="1" fillId="58" borderId="29" applyNumberFormat="0" applyBorder="0" applyAlignment="0" applyProtection="0"/>
    <xf numFmtId="0" fontId="1" fillId="59" borderId="29" applyNumberFormat="0" applyBorder="0" applyAlignment="0" applyProtection="0"/>
    <xf numFmtId="0" fontId="1" fillId="60" borderId="29" applyNumberFormat="0" applyBorder="0" applyAlignment="0" applyProtection="0"/>
    <xf numFmtId="0" fontId="95" fillId="61" borderId="29" applyNumberFormat="0" applyBorder="0" applyAlignment="0" applyProtection="0"/>
    <xf numFmtId="0" fontId="1" fillId="62" borderId="29" applyNumberFormat="0" applyBorder="0" applyAlignment="0" applyProtection="0"/>
    <xf numFmtId="0" fontId="1" fillId="63" borderId="29" applyNumberFormat="0" applyBorder="0" applyAlignment="0" applyProtection="0"/>
    <xf numFmtId="0" fontId="1" fillId="64" borderId="29" applyNumberFormat="0" applyBorder="0" applyAlignment="0" applyProtection="0"/>
    <xf numFmtId="0" fontId="95" fillId="65" borderId="29" applyNumberFormat="0" applyBorder="0" applyAlignment="0" applyProtection="0"/>
    <xf numFmtId="0" fontId="1" fillId="66" borderId="29" applyNumberFormat="0" applyBorder="0" applyAlignment="0" applyProtection="0"/>
    <xf numFmtId="0" fontId="1" fillId="67" borderId="29" applyNumberFormat="0" applyBorder="0" applyAlignment="0" applyProtection="0"/>
    <xf numFmtId="0" fontId="1" fillId="68" borderId="29" applyNumberFormat="0" applyBorder="0" applyAlignment="0" applyProtection="0"/>
    <xf numFmtId="0" fontId="95" fillId="69" borderId="29" applyNumberFormat="0" applyBorder="0" applyAlignment="0" applyProtection="0"/>
    <xf numFmtId="0" fontId="1" fillId="70" borderId="29" applyNumberFormat="0" applyBorder="0" applyAlignment="0" applyProtection="0"/>
    <xf numFmtId="0" fontId="1" fillId="71" borderId="29" applyNumberFormat="0" applyBorder="0" applyAlignment="0" applyProtection="0"/>
    <xf numFmtId="0" fontId="1" fillId="72" borderId="29" applyNumberFormat="0" applyBorder="0" applyAlignment="0" applyProtection="0"/>
    <xf numFmtId="0" fontId="95" fillId="73" borderId="29" applyNumberFormat="0" applyBorder="0" applyAlignment="0" applyProtection="0"/>
    <xf numFmtId="0" fontId="1" fillId="74" borderId="29" applyNumberFormat="0" applyBorder="0" applyAlignment="0" applyProtection="0"/>
    <xf numFmtId="0" fontId="1" fillId="75" borderId="29" applyNumberFormat="0" applyBorder="0" applyAlignment="0" applyProtection="0"/>
    <xf numFmtId="0" fontId="1" fillId="76" borderId="29" applyNumberFormat="0" applyBorder="0" applyAlignment="0" applyProtection="0"/>
  </cellStyleXfs>
  <cellXfs count="2098">
    <xf numFmtId="0" fontId="0" fillId="0" borderId="0" xfId="0"/>
    <xf numFmtId="0" fontId="11" fillId="2" borderId="5" xfId="0" applyFont="1" applyFill="1" applyBorder="1"/>
    <xf numFmtId="0" fontId="10" fillId="2" borderId="6" xfId="0" applyFont="1" applyFill="1" applyBorder="1" applyAlignment="1">
      <alignment horizontal="left"/>
    </xf>
    <xf numFmtId="44" fontId="4" fillId="0" borderId="0" xfId="0" applyNumberFormat="1" applyFont="1"/>
    <xf numFmtId="10" fontId="4" fillId="0" borderId="0" xfId="0" applyNumberFormat="1" applyFont="1"/>
    <xf numFmtId="0" fontId="4" fillId="0" borderId="0" xfId="0" applyFont="1"/>
    <xf numFmtId="0" fontId="13" fillId="2" borderId="7" xfId="0" applyFont="1" applyFill="1" applyBorder="1" applyAlignment="1">
      <alignment horizontal="right"/>
    </xf>
    <xf numFmtId="0" fontId="4" fillId="0" borderId="8" xfId="0" applyFont="1" applyBorder="1"/>
    <xf numFmtId="0" fontId="4" fillId="0" borderId="9" xfId="0" applyFont="1" applyBorder="1"/>
    <xf numFmtId="9" fontId="4" fillId="0" borderId="0" xfId="0" applyNumberFormat="1" applyFont="1"/>
    <xf numFmtId="0" fontId="13" fillId="2" borderId="10" xfId="0" applyFont="1" applyFill="1" applyBorder="1" applyAlignment="1">
      <alignment horizontal="center"/>
    </xf>
    <xf numFmtId="0" fontId="13" fillId="2" borderId="6" xfId="0" applyFont="1" applyFill="1" applyBorder="1" applyAlignment="1">
      <alignment horizontal="center"/>
    </xf>
    <xf numFmtId="0" fontId="13" fillId="2" borderId="11" xfId="0" applyFont="1" applyFill="1" applyBorder="1" applyAlignment="1">
      <alignment horizontal="right"/>
    </xf>
    <xf numFmtId="0" fontId="13" fillId="2" borderId="5" xfId="0" applyFont="1" applyFill="1" applyBorder="1" applyAlignment="1">
      <alignment horizontal="center"/>
    </xf>
    <xf numFmtId="0" fontId="4" fillId="2" borderId="12" xfId="0" applyFont="1" applyFill="1" applyBorder="1" applyAlignment="1">
      <alignment vertical="top" wrapText="1"/>
    </xf>
    <xf numFmtId="0" fontId="13" fillId="2" borderId="6" xfId="0" applyFont="1" applyFill="1" applyBorder="1" applyAlignment="1">
      <alignment horizontal="right"/>
    </xf>
    <xf numFmtId="0" fontId="13" fillId="2" borderId="5" xfId="0" applyFont="1" applyFill="1" applyBorder="1" applyAlignment="1">
      <alignment horizontal="right"/>
    </xf>
    <xf numFmtId="169" fontId="4" fillId="2" borderId="6" xfId="0" applyNumberFormat="1" applyFont="1" applyFill="1" applyBorder="1" applyAlignment="1">
      <alignment horizontal="right"/>
    </xf>
    <xf numFmtId="0" fontId="4" fillId="2" borderId="13" xfId="0" applyFont="1" applyFill="1" applyBorder="1"/>
    <xf numFmtId="169" fontId="4" fillId="2" borderId="13" xfId="0" applyNumberFormat="1" applyFont="1" applyFill="1" applyBorder="1" applyAlignment="1">
      <alignment horizontal="right"/>
    </xf>
    <xf numFmtId="169" fontId="4" fillId="2" borderId="13" xfId="0" applyNumberFormat="1" applyFont="1" applyFill="1" applyBorder="1"/>
    <xf numFmtId="10" fontId="13" fillId="2" borderId="14" xfId="0" applyNumberFormat="1" applyFont="1" applyFill="1" applyBorder="1" applyAlignment="1">
      <alignment horizontal="right"/>
    </xf>
    <xf numFmtId="0" fontId="4" fillId="2" borderId="14" xfId="0" applyFont="1" applyFill="1" applyBorder="1"/>
    <xf numFmtId="9" fontId="13" fillId="2" borderId="13" xfId="0" applyNumberFormat="1" applyFont="1" applyFill="1" applyBorder="1" applyAlignment="1">
      <alignment horizontal="right"/>
    </xf>
    <xf numFmtId="10" fontId="13" fillId="2" borderId="15" xfId="0" applyNumberFormat="1" applyFont="1" applyFill="1" applyBorder="1"/>
    <xf numFmtId="0" fontId="4" fillId="2" borderId="5" xfId="0" applyFont="1" applyFill="1" applyBorder="1"/>
    <xf numFmtId="173" fontId="13" fillId="2" borderId="13" xfId="0" applyNumberFormat="1" applyFont="1" applyFill="1" applyBorder="1"/>
    <xf numFmtId="0" fontId="11" fillId="2" borderId="6" xfId="0" applyFont="1" applyFill="1" applyBorder="1"/>
    <xf numFmtId="10" fontId="4" fillId="2" borderId="13" xfId="0" applyNumberFormat="1" applyFont="1" applyFill="1" applyBorder="1" applyAlignment="1">
      <alignment horizontal="right"/>
    </xf>
    <xf numFmtId="0" fontId="14" fillId="2" borderId="13" xfId="0" applyFont="1" applyFill="1" applyBorder="1" applyAlignment="1">
      <alignment horizontal="center"/>
    </xf>
    <xf numFmtId="169" fontId="0" fillId="2" borderId="13" xfId="0" applyNumberFormat="1" applyFill="1" applyBorder="1" applyAlignment="1">
      <alignment horizontal="right"/>
    </xf>
    <xf numFmtId="0" fontId="10" fillId="2" borderId="13" xfId="0" applyFont="1" applyFill="1" applyBorder="1"/>
    <xf numFmtId="0" fontId="10" fillId="2" borderId="13" xfId="0" applyFont="1" applyFill="1" applyBorder="1" applyAlignment="1">
      <alignment horizontal="center"/>
    </xf>
    <xf numFmtId="0" fontId="10" fillId="0" borderId="16" xfId="0" applyFont="1" applyBorder="1"/>
    <xf numFmtId="0" fontId="11" fillId="2" borderId="7" xfId="0" applyFont="1" applyFill="1" applyBorder="1" applyAlignment="1">
      <alignment horizontal="right"/>
    </xf>
    <xf numFmtId="10" fontId="11" fillId="2" borderId="14" xfId="0" applyNumberFormat="1" applyFont="1" applyFill="1" applyBorder="1" applyAlignment="1">
      <alignment horizontal="right"/>
    </xf>
    <xf numFmtId="0" fontId="10" fillId="2" borderId="14" xfId="0" applyFont="1" applyFill="1" applyBorder="1"/>
    <xf numFmtId="9" fontId="11" fillId="2" borderId="13" xfId="0" applyNumberFormat="1" applyFont="1" applyFill="1" applyBorder="1" applyAlignment="1">
      <alignment horizontal="right"/>
    </xf>
    <xf numFmtId="10" fontId="11" fillId="2" borderId="15" xfId="0" applyNumberFormat="1" applyFont="1" applyFill="1" applyBorder="1"/>
    <xf numFmtId="0" fontId="10" fillId="0" borderId="0" xfId="0" applyFont="1"/>
    <xf numFmtId="10" fontId="10" fillId="0" borderId="0" xfId="0" applyNumberFormat="1" applyFont="1"/>
    <xf numFmtId="0" fontId="11" fillId="2" borderId="6" xfId="0" applyFont="1" applyFill="1" applyBorder="1" applyAlignment="1">
      <alignment horizontal="center"/>
    </xf>
    <xf numFmtId="0" fontId="10" fillId="2" borderId="5" xfId="0" applyFont="1" applyFill="1" applyBorder="1"/>
    <xf numFmtId="0" fontId="14" fillId="2" borderId="17" xfId="0" applyFont="1" applyFill="1" applyBorder="1" applyAlignment="1">
      <alignment horizontal="center"/>
    </xf>
    <xf numFmtId="169" fontId="0" fillId="2" borderId="6" xfId="0" applyNumberFormat="1" applyFill="1" applyBorder="1" applyAlignment="1">
      <alignment horizontal="right"/>
    </xf>
    <xf numFmtId="0" fontId="4" fillId="2" borderId="15" xfId="0" applyFont="1" applyFill="1" applyBorder="1"/>
    <xf numFmtId="0" fontId="14" fillId="2" borderId="15" xfId="0" applyFont="1" applyFill="1" applyBorder="1" applyAlignment="1">
      <alignment horizontal="center"/>
    </xf>
    <xf numFmtId="44" fontId="4" fillId="0" borderId="0" xfId="0" applyNumberFormat="1" applyFont="1" applyAlignment="1">
      <alignment horizontal="center"/>
    </xf>
    <xf numFmtId="0" fontId="4" fillId="0" borderId="16" xfId="0" applyFont="1" applyBorder="1" applyAlignment="1">
      <alignment horizontal="center"/>
    </xf>
    <xf numFmtId="0" fontId="4" fillId="2" borderId="7" xfId="0" applyFont="1" applyFill="1" applyBorder="1"/>
    <xf numFmtId="10" fontId="13" fillId="2" borderId="14" xfId="0" applyNumberFormat="1" applyFont="1" applyFill="1" applyBorder="1" applyAlignment="1">
      <alignment horizontal="center"/>
    </xf>
    <xf numFmtId="9" fontId="13" fillId="2" borderId="13" xfId="0" applyNumberFormat="1" applyFont="1" applyFill="1" applyBorder="1" applyAlignment="1">
      <alignment horizontal="center"/>
    </xf>
    <xf numFmtId="169" fontId="4" fillId="0" borderId="0" xfId="0" applyNumberFormat="1" applyFont="1"/>
    <xf numFmtId="0" fontId="11" fillId="2" borderId="13" xfId="0" applyFont="1" applyFill="1" applyBorder="1" applyAlignment="1">
      <alignment horizontal="center"/>
    </xf>
    <xf numFmtId="169" fontId="24" fillId="2" borderId="13" xfId="0" applyNumberFormat="1" applyFont="1" applyFill="1" applyBorder="1" applyAlignment="1">
      <alignment horizontal="right"/>
    </xf>
    <xf numFmtId="0" fontId="10" fillId="0" borderId="16" xfId="0" applyFont="1" applyBorder="1" applyAlignment="1">
      <alignment horizontal="center"/>
    </xf>
    <xf numFmtId="169" fontId="24" fillId="2" borderId="6" xfId="0" applyNumberFormat="1" applyFont="1" applyFill="1" applyBorder="1" applyAlignment="1">
      <alignment horizontal="right"/>
    </xf>
    <xf numFmtId="175" fontId="4" fillId="0" borderId="0" xfId="0" applyNumberFormat="1" applyFont="1"/>
    <xf numFmtId="175" fontId="10" fillId="2" borderId="15" xfId="0" applyNumberFormat="1" applyFont="1" applyFill="1" applyBorder="1"/>
    <xf numFmtId="0" fontId="7" fillId="0" borderId="0" xfId="0" applyFont="1"/>
    <xf numFmtId="0" fontId="4" fillId="0" borderId="0" xfId="0" applyFont="1" applyAlignment="1">
      <alignment horizontal="right"/>
    </xf>
    <xf numFmtId="175" fontId="26" fillId="0" borderId="0" xfId="0" applyNumberFormat="1" applyFont="1" applyAlignment="1">
      <alignment horizontal="right"/>
    </xf>
    <xf numFmtId="0" fontId="11" fillId="2" borderId="10" xfId="0" applyFont="1" applyFill="1" applyBorder="1" applyAlignment="1">
      <alignment horizontal="center"/>
    </xf>
    <xf numFmtId="0" fontId="9" fillId="2" borderId="5" xfId="0" applyFont="1" applyFill="1" applyBorder="1"/>
    <xf numFmtId="0" fontId="4" fillId="0" borderId="16" xfId="0" applyFont="1" applyBorder="1"/>
    <xf numFmtId="167" fontId="39" fillId="0" borderId="0" xfId="0" applyNumberFormat="1" applyFont="1"/>
    <xf numFmtId="0" fontId="13" fillId="2" borderId="7" xfId="0" applyFont="1" applyFill="1" applyBorder="1"/>
    <xf numFmtId="0" fontId="10" fillId="2" borderId="20" xfId="0" applyFont="1" applyFill="1" applyBorder="1"/>
    <xf numFmtId="0" fontId="7" fillId="0" borderId="0" xfId="0" applyFont="1" applyAlignment="1">
      <alignment horizontal="center"/>
    </xf>
    <xf numFmtId="0" fontId="10" fillId="0" borderId="0" xfId="0" applyFont="1" applyAlignment="1">
      <alignment wrapText="1"/>
    </xf>
    <xf numFmtId="2" fontId="4" fillId="0" borderId="0" xfId="0" applyNumberFormat="1" applyFont="1"/>
    <xf numFmtId="0" fontId="11" fillId="0" borderId="0" xfId="0" applyFont="1" applyAlignment="1">
      <alignment horizontal="center"/>
    </xf>
    <xf numFmtId="0" fontId="12" fillId="0" borderId="0" xfId="0" applyFont="1" applyAlignment="1">
      <alignment horizontal="center"/>
    </xf>
    <xf numFmtId="0" fontId="11" fillId="0" borderId="21" xfId="0" applyFont="1" applyBorder="1" applyAlignment="1">
      <alignment horizontal="center"/>
    </xf>
    <xf numFmtId="44" fontId="10" fillId="0" borderId="0" xfId="0" applyNumberFormat="1" applyFont="1" applyAlignment="1">
      <alignment horizontal="center"/>
    </xf>
    <xf numFmtId="44" fontId="12" fillId="0" borderId="0" xfId="0" applyNumberFormat="1" applyFont="1" applyAlignment="1">
      <alignment horizontal="right"/>
    </xf>
    <xf numFmtId="169" fontId="10" fillId="0" borderId="16" xfId="0" applyNumberFormat="1" applyFont="1" applyBorder="1"/>
    <xf numFmtId="3" fontId="4" fillId="0" borderId="0" xfId="0" applyNumberFormat="1" applyFont="1" applyAlignment="1">
      <alignment horizontal="right" vertical="top" wrapText="1"/>
    </xf>
    <xf numFmtId="2" fontId="4" fillId="0" borderId="0" xfId="0" applyNumberFormat="1" applyFont="1" applyAlignment="1">
      <alignment horizontal="center"/>
    </xf>
    <xf numFmtId="7" fontId="24" fillId="0" borderId="0" xfId="0" applyNumberFormat="1" applyFont="1" applyAlignment="1">
      <alignment horizontal="right"/>
    </xf>
    <xf numFmtId="10" fontId="4" fillId="0" borderId="0" xfId="0" applyNumberFormat="1" applyFont="1" applyAlignment="1">
      <alignment horizontal="right"/>
    </xf>
    <xf numFmtId="3" fontId="4" fillId="0" borderId="22" xfId="0" applyNumberFormat="1" applyFont="1" applyBorder="1" applyAlignment="1">
      <alignment horizontal="right" vertical="top" wrapText="1"/>
    </xf>
    <xf numFmtId="2" fontId="4" fillId="0" borderId="22" xfId="0" applyNumberFormat="1" applyFont="1" applyBorder="1" applyAlignment="1">
      <alignment horizontal="center"/>
    </xf>
    <xf numFmtId="7" fontId="24" fillId="0" borderId="22" xfId="0" applyNumberFormat="1" applyFont="1" applyBorder="1" applyAlignment="1">
      <alignment horizontal="right"/>
    </xf>
    <xf numFmtId="10" fontId="4" fillId="0" borderId="23" xfId="0" applyNumberFormat="1" applyFont="1" applyBorder="1" applyAlignment="1">
      <alignment horizontal="right"/>
    </xf>
    <xf numFmtId="169" fontId="24" fillId="0" borderId="16" xfId="0" applyNumberFormat="1" applyFont="1" applyBorder="1" applyAlignment="1">
      <alignment horizontal="right"/>
    </xf>
    <xf numFmtId="44" fontId="26" fillId="0" borderId="0" xfId="0" applyNumberFormat="1" applyFont="1" applyAlignment="1">
      <alignment horizontal="right"/>
    </xf>
    <xf numFmtId="169" fontId="24" fillId="0" borderId="0" xfId="0" applyNumberFormat="1" applyFont="1" applyAlignment="1">
      <alignment horizontal="right"/>
    </xf>
    <xf numFmtId="169" fontId="10" fillId="0" borderId="0" xfId="0" applyNumberFormat="1" applyFont="1"/>
    <xf numFmtId="44" fontId="10" fillId="0" borderId="0" xfId="0" applyNumberFormat="1" applyFont="1"/>
    <xf numFmtId="14" fontId="10" fillId="0" borderId="0" xfId="0" applyNumberFormat="1" applyFont="1" applyAlignment="1">
      <alignment horizontal="left"/>
    </xf>
    <xf numFmtId="44" fontId="11" fillId="0" borderId="0" xfId="0" applyNumberFormat="1" applyFont="1" applyAlignment="1">
      <alignment horizontal="right"/>
    </xf>
    <xf numFmtId="10" fontId="10" fillId="0" borderId="0" xfId="0" applyNumberFormat="1" applyFont="1" applyAlignment="1">
      <alignment horizontal="right"/>
    </xf>
    <xf numFmtId="169" fontId="11" fillId="0" borderId="0" xfId="0" applyNumberFormat="1" applyFont="1"/>
    <xf numFmtId="0" fontId="13" fillId="0" borderId="8" xfId="0" applyFont="1" applyBorder="1" applyAlignment="1">
      <alignment horizontal="right"/>
    </xf>
    <xf numFmtId="10" fontId="10" fillId="0" borderId="8" xfId="0" applyNumberFormat="1" applyFont="1" applyBorder="1" applyAlignment="1">
      <alignment horizontal="right"/>
    </xf>
    <xf numFmtId="44" fontId="12" fillId="0" borderId="8" xfId="0" applyNumberFormat="1" applyFont="1" applyBorder="1" applyAlignment="1">
      <alignment horizontal="right"/>
    </xf>
    <xf numFmtId="169" fontId="11" fillId="0" borderId="8" xfId="0" applyNumberFormat="1" applyFont="1" applyBorder="1" applyAlignment="1">
      <alignment horizontal="right"/>
    </xf>
    <xf numFmtId="0" fontId="13" fillId="0" borderId="0" xfId="0" applyFont="1" applyAlignment="1">
      <alignment horizontal="center"/>
    </xf>
    <xf numFmtId="9" fontId="13" fillId="0" borderId="0" xfId="0" applyNumberFormat="1" applyFont="1" applyAlignment="1">
      <alignment horizontal="center"/>
    </xf>
    <xf numFmtId="175" fontId="10" fillId="0" borderId="0" xfId="0" applyNumberFormat="1" applyFont="1"/>
    <xf numFmtId="169" fontId="4" fillId="0" borderId="0" xfId="0" applyNumberFormat="1" applyFont="1" applyAlignment="1">
      <alignment horizontal="right"/>
    </xf>
    <xf numFmtId="0" fontId="21" fillId="0" borderId="0" xfId="0" applyFont="1" applyAlignment="1">
      <alignment horizontal="right"/>
    </xf>
    <xf numFmtId="43" fontId="28" fillId="0" borderId="0" xfId="0" applyNumberFormat="1" applyFont="1" applyAlignment="1">
      <alignment horizontal="right"/>
    </xf>
    <xf numFmtId="43" fontId="21" fillId="0" borderId="0" xfId="0" applyNumberFormat="1" applyFont="1" applyAlignment="1">
      <alignment horizontal="right"/>
    </xf>
    <xf numFmtId="175" fontId="27" fillId="0" borderId="0" xfId="0" applyNumberFormat="1" applyFont="1"/>
    <xf numFmtId="10" fontId="27" fillId="0" borderId="0" xfId="0" applyNumberFormat="1" applyFont="1"/>
    <xf numFmtId="0" fontId="24" fillId="0" borderId="0" xfId="0" applyFont="1"/>
    <xf numFmtId="39" fontId="10" fillId="0" borderId="0" xfId="0" applyNumberFormat="1" applyFont="1" applyAlignment="1">
      <alignment horizontal="center"/>
    </xf>
    <xf numFmtId="10" fontId="6" fillId="0" borderId="0" xfId="0" applyNumberFormat="1" applyFont="1" applyAlignment="1">
      <alignment horizontal="right"/>
    </xf>
    <xf numFmtId="0" fontId="9" fillId="2" borderId="0" xfId="0" applyFont="1" applyFill="1" applyAlignment="1">
      <alignment horizontal="center"/>
    </xf>
    <xf numFmtId="0" fontId="11" fillId="2" borderId="24" xfId="0" applyFont="1" applyFill="1" applyBorder="1" applyAlignment="1">
      <alignment horizontal="center"/>
    </xf>
    <xf numFmtId="170" fontId="11" fillId="2" borderId="0" xfId="0" applyNumberFormat="1" applyFont="1" applyFill="1" applyAlignment="1">
      <alignment horizontal="center"/>
    </xf>
    <xf numFmtId="0" fontId="11" fillId="2" borderId="25" xfId="0" applyFont="1" applyFill="1" applyBorder="1" applyAlignment="1">
      <alignment horizontal="center"/>
    </xf>
    <xf numFmtId="0" fontId="12" fillId="2" borderId="25" xfId="0" applyFont="1" applyFill="1" applyBorder="1" applyAlignment="1">
      <alignment horizontal="center"/>
    </xf>
    <xf numFmtId="0" fontId="11" fillId="2" borderId="26" xfId="0" applyFont="1" applyFill="1" applyBorder="1" applyAlignment="1">
      <alignment horizontal="center"/>
    </xf>
    <xf numFmtId="0" fontId="11" fillId="2" borderId="0" xfId="0" applyFont="1" applyFill="1" applyAlignment="1">
      <alignment horizontal="center"/>
    </xf>
    <xf numFmtId="175" fontId="10" fillId="2" borderId="0" xfId="0" applyNumberFormat="1" applyFont="1" applyFill="1"/>
    <xf numFmtId="0" fontId="10" fillId="2" borderId="0" xfId="0" applyFont="1" applyFill="1" applyAlignment="1">
      <alignment horizontal="center"/>
    </xf>
    <xf numFmtId="10" fontId="24" fillId="2" borderId="24" xfId="0" applyNumberFormat="1" applyFont="1" applyFill="1" applyBorder="1" applyAlignment="1">
      <alignment horizontal="right"/>
    </xf>
    <xf numFmtId="44" fontId="11" fillId="0" borderId="0" xfId="0" applyNumberFormat="1" applyFont="1"/>
    <xf numFmtId="10" fontId="10" fillId="0" borderId="0" xfId="0" applyNumberFormat="1" applyFont="1" applyAlignment="1">
      <alignment horizontal="center"/>
    </xf>
    <xf numFmtId="3" fontId="10" fillId="2" borderId="0" xfId="0" applyNumberFormat="1" applyFont="1" applyFill="1" applyAlignment="1">
      <alignment horizontal="center" vertical="top" wrapText="1"/>
    </xf>
    <xf numFmtId="0" fontId="10" fillId="2" borderId="0" xfId="0" applyFont="1" applyFill="1"/>
    <xf numFmtId="44" fontId="24" fillId="2" borderId="0" xfId="0" applyNumberFormat="1" applyFont="1" applyFill="1"/>
    <xf numFmtId="169" fontId="41" fillId="2" borderId="0" xfId="0" applyNumberFormat="1" applyFont="1" applyFill="1"/>
    <xf numFmtId="0" fontId="24" fillId="0" borderId="0" xfId="0" applyFont="1" applyAlignment="1">
      <alignment horizontal="left"/>
    </xf>
    <xf numFmtId="44" fontId="10" fillId="0" borderId="0" xfId="0" applyNumberFormat="1" applyFont="1" applyAlignment="1">
      <alignment horizontal="right"/>
    </xf>
    <xf numFmtId="171" fontId="4" fillId="2" borderId="0" xfId="0" applyNumberFormat="1" applyFont="1" applyFill="1" applyAlignment="1">
      <alignment horizontal="center"/>
    </xf>
    <xf numFmtId="44" fontId="10" fillId="2" borderId="0" xfId="0" applyNumberFormat="1" applyFont="1" applyFill="1" applyAlignment="1">
      <alignment horizontal="center"/>
    </xf>
    <xf numFmtId="3" fontId="10" fillId="0" borderId="0" xfId="0" applyNumberFormat="1" applyFont="1" applyAlignment="1">
      <alignment horizontal="center" vertical="top" wrapText="1"/>
    </xf>
    <xf numFmtId="10" fontId="11" fillId="0" borderId="0" xfId="0" applyNumberFormat="1" applyFont="1" applyAlignment="1">
      <alignment horizontal="center"/>
    </xf>
    <xf numFmtId="169" fontId="24" fillId="2" borderId="27" xfId="0" applyNumberFormat="1" applyFont="1" applyFill="1" applyBorder="1" applyAlignment="1">
      <alignment horizontal="right"/>
    </xf>
    <xf numFmtId="7" fontId="24" fillId="0" borderId="0" xfId="0" applyNumberFormat="1" applyFont="1" applyAlignment="1">
      <alignment horizontal="center"/>
    </xf>
    <xf numFmtId="0" fontId="4" fillId="2" borderId="28" xfId="0" applyFont="1" applyFill="1" applyBorder="1"/>
    <xf numFmtId="44" fontId="4" fillId="2" borderId="0" xfId="0" applyNumberFormat="1" applyFont="1" applyFill="1" applyAlignment="1">
      <alignment horizontal="center"/>
    </xf>
    <xf numFmtId="44" fontId="10" fillId="2" borderId="0" xfId="0" applyNumberFormat="1" applyFont="1" applyFill="1" applyAlignment="1">
      <alignment horizontal="right"/>
    </xf>
    <xf numFmtId="169" fontId="11" fillId="2" borderId="29" xfId="0" applyNumberFormat="1" applyFont="1" applyFill="1" applyBorder="1"/>
    <xf numFmtId="0" fontId="10" fillId="2" borderId="28" xfId="0" applyFont="1" applyFill="1" applyBorder="1"/>
    <xf numFmtId="44" fontId="4" fillId="2" borderId="30" xfId="0" applyNumberFormat="1" applyFont="1" applyFill="1" applyBorder="1" applyAlignment="1">
      <alignment horizontal="center"/>
    </xf>
    <xf numFmtId="179" fontId="10" fillId="2" borderId="30" xfId="0" applyNumberFormat="1" applyFont="1" applyFill="1" applyBorder="1" applyAlignment="1">
      <alignment horizontal="center"/>
    </xf>
    <xf numFmtId="44" fontId="10" fillId="2" borderId="30" xfId="0" applyNumberFormat="1" applyFont="1" applyFill="1" applyBorder="1" applyAlignment="1">
      <alignment horizontal="right"/>
    </xf>
    <xf numFmtId="44" fontId="24" fillId="0" borderId="0" xfId="0" applyNumberFormat="1" applyFont="1" applyAlignment="1">
      <alignment horizontal="right"/>
    </xf>
    <xf numFmtId="10" fontId="13" fillId="2" borderId="28" xfId="0" applyNumberFormat="1" applyFont="1" applyFill="1" applyBorder="1" applyAlignment="1">
      <alignment horizontal="center"/>
    </xf>
    <xf numFmtId="169" fontId="11" fillId="2" borderId="14" xfId="0" applyNumberFormat="1" applyFont="1" applyFill="1" applyBorder="1"/>
    <xf numFmtId="44" fontId="12" fillId="2" borderId="31" xfId="0" applyNumberFormat="1" applyFont="1" applyFill="1" applyBorder="1" applyAlignment="1">
      <alignment horizontal="right"/>
    </xf>
    <xf numFmtId="10" fontId="12" fillId="2" borderId="31" xfId="0" applyNumberFormat="1" applyFont="1" applyFill="1" applyBorder="1" applyAlignment="1">
      <alignment horizontal="center"/>
    </xf>
    <xf numFmtId="175" fontId="10" fillId="0" borderId="15" xfId="0" applyNumberFormat="1" applyFont="1" applyBorder="1"/>
    <xf numFmtId="0" fontId="4" fillId="2" borderId="0" xfId="0" applyFont="1" applyFill="1" applyAlignment="1">
      <alignment horizontal="center"/>
    </xf>
    <xf numFmtId="44" fontId="12" fillId="2" borderId="0" xfId="0" applyNumberFormat="1" applyFont="1" applyFill="1" applyAlignment="1">
      <alignment horizontal="center"/>
    </xf>
    <xf numFmtId="0" fontId="46" fillId="0" borderId="0" xfId="0" applyFont="1"/>
    <xf numFmtId="167" fontId="46" fillId="0" borderId="0" xfId="0" applyNumberFormat="1" applyFont="1"/>
    <xf numFmtId="3" fontId="46" fillId="0" borderId="0" xfId="0" applyNumberFormat="1" applyFont="1"/>
    <xf numFmtId="44" fontId="46" fillId="0" borderId="0" xfId="0" applyNumberFormat="1" applyFont="1"/>
    <xf numFmtId="10" fontId="13" fillId="0" borderId="0" xfId="0" applyNumberFormat="1" applyFont="1"/>
    <xf numFmtId="0" fontId="49" fillId="0" borderId="0" xfId="0" applyFont="1"/>
    <xf numFmtId="0" fontId="4" fillId="0" borderId="35" xfId="0" applyFont="1" applyBorder="1"/>
    <xf numFmtId="0" fontId="13" fillId="0" borderId="0" xfId="0" applyFont="1" applyAlignment="1">
      <alignment horizontal="right"/>
    </xf>
    <xf numFmtId="180" fontId="4" fillId="0" borderId="0" xfId="0" applyNumberFormat="1" applyFont="1"/>
    <xf numFmtId="3" fontId="4" fillId="0" borderId="0" xfId="0" applyNumberFormat="1" applyFont="1" applyAlignment="1">
      <alignment horizontal="right"/>
    </xf>
    <xf numFmtId="0" fontId="24" fillId="2" borderId="0" xfId="0" applyFont="1" applyFill="1"/>
    <xf numFmtId="0" fontId="50" fillId="4" borderId="36" xfId="0" applyFont="1" applyFill="1" applyBorder="1" applyAlignment="1">
      <alignment horizontal="center"/>
    </xf>
    <xf numFmtId="10" fontId="50" fillId="4" borderId="36" xfId="0" applyNumberFormat="1" applyFont="1" applyFill="1" applyBorder="1" applyAlignment="1">
      <alignment horizontal="center"/>
    </xf>
    <xf numFmtId="3" fontId="4" fillId="0" borderId="0" xfId="0" applyNumberFormat="1" applyFont="1" applyAlignment="1">
      <alignment horizontal="left"/>
    </xf>
    <xf numFmtId="0" fontId="14" fillId="5" borderId="37" xfId="0" applyFont="1" applyFill="1" applyBorder="1" applyAlignment="1">
      <alignment horizontal="center"/>
    </xf>
    <xf numFmtId="8" fontId="14" fillId="5" borderId="38" xfId="0" applyNumberFormat="1" applyFont="1" applyFill="1" applyBorder="1" applyAlignment="1">
      <alignment horizontal="center"/>
    </xf>
    <xf numFmtId="167" fontId="14" fillId="5" borderId="38" xfId="0" applyNumberFormat="1" applyFont="1" applyFill="1" applyBorder="1" applyAlignment="1">
      <alignment horizontal="center"/>
    </xf>
    <xf numFmtId="173" fontId="14" fillId="5" borderId="38" xfId="0" applyNumberFormat="1" applyFont="1" applyFill="1" applyBorder="1"/>
    <xf numFmtId="10" fontId="14" fillId="5" borderId="38" xfId="0" applyNumberFormat="1" applyFont="1" applyFill="1" applyBorder="1" applyAlignment="1">
      <alignment horizontal="center"/>
    </xf>
    <xf numFmtId="2" fontId="14" fillId="5" borderId="38" xfId="0" applyNumberFormat="1" applyFont="1" applyFill="1" applyBorder="1" applyAlignment="1">
      <alignment horizontal="center"/>
    </xf>
    <xf numFmtId="2" fontId="14" fillId="5" borderId="38" xfId="0" applyNumberFormat="1" applyFont="1" applyFill="1" applyBorder="1" applyAlignment="1">
      <alignment horizontal="center" wrapText="1"/>
    </xf>
    <xf numFmtId="4" fontId="14" fillId="5" borderId="38" xfId="0" applyNumberFormat="1" applyFont="1" applyFill="1" applyBorder="1" applyAlignment="1">
      <alignment horizontal="center"/>
    </xf>
    <xf numFmtId="0" fontId="14" fillId="5" borderId="38" xfId="0" applyFont="1" applyFill="1" applyBorder="1" applyAlignment="1">
      <alignment horizontal="center"/>
    </xf>
    <xf numFmtId="0" fontId="14" fillId="5" borderId="39" xfId="0" applyFont="1" applyFill="1" applyBorder="1" applyAlignment="1">
      <alignment horizontal="center"/>
    </xf>
    <xf numFmtId="0" fontId="14" fillId="5" borderId="38" xfId="0" applyFont="1" applyFill="1" applyBorder="1"/>
    <xf numFmtId="0" fontId="14" fillId="5" borderId="40" xfId="0" applyFont="1" applyFill="1" applyBorder="1" applyAlignment="1">
      <alignment horizontal="center"/>
    </xf>
    <xf numFmtId="173" fontId="14" fillId="5" borderId="38" xfId="0" applyNumberFormat="1" applyFont="1" applyFill="1" applyBorder="1" applyAlignment="1">
      <alignment horizontal="center"/>
    </xf>
    <xf numFmtId="4" fontId="14" fillId="5" borderId="41" xfId="0" applyNumberFormat="1" applyFont="1" applyFill="1" applyBorder="1" applyAlignment="1">
      <alignment horizontal="center"/>
    </xf>
    <xf numFmtId="17" fontId="14" fillId="0" borderId="0" xfId="0" applyNumberFormat="1" applyFont="1" applyAlignment="1">
      <alignment horizontal="center"/>
    </xf>
    <xf numFmtId="167" fontId="14" fillId="0" borderId="42" xfId="0" applyNumberFormat="1" applyFont="1" applyBorder="1" applyAlignment="1">
      <alignment horizontal="center"/>
    </xf>
    <xf numFmtId="8" fontId="14" fillId="0" borderId="38" xfId="0" applyNumberFormat="1" applyFont="1" applyBorder="1" applyAlignment="1">
      <alignment horizontal="center"/>
    </xf>
    <xf numFmtId="167" fontId="14" fillId="0" borderId="38" xfId="0" applyNumberFormat="1" applyFont="1" applyBorder="1" applyAlignment="1">
      <alignment horizontal="center"/>
    </xf>
    <xf numFmtId="4" fontId="14" fillId="0" borderId="42" xfId="0" applyNumberFormat="1" applyFont="1" applyBorder="1" applyAlignment="1">
      <alignment horizontal="center"/>
    </xf>
    <xf numFmtId="173" fontId="14" fillId="0" borderId="38" xfId="0" applyNumberFormat="1" applyFont="1" applyBorder="1" applyAlignment="1">
      <alignment horizontal="center"/>
    </xf>
    <xf numFmtId="173" fontId="14" fillId="0" borderId="0" xfId="0" applyNumberFormat="1" applyFont="1" applyAlignment="1">
      <alignment horizontal="center"/>
    </xf>
    <xf numFmtId="10" fontId="14" fillId="0" borderId="38" xfId="0" applyNumberFormat="1" applyFont="1" applyBorder="1" applyAlignment="1">
      <alignment horizontal="center"/>
    </xf>
    <xf numFmtId="4" fontId="14" fillId="0" borderId="43" xfId="0" applyNumberFormat="1" applyFont="1" applyBorder="1"/>
    <xf numFmtId="0" fontId="14" fillId="0" borderId="38" xfId="0" applyFont="1" applyBorder="1" applyAlignment="1">
      <alignment horizontal="center"/>
    </xf>
    <xf numFmtId="0" fontId="14" fillId="0" borderId="42" xfId="0" applyFont="1" applyBorder="1" applyAlignment="1">
      <alignment horizontal="center"/>
    </xf>
    <xf numFmtId="4" fontId="14" fillId="0" borderId="38" xfId="0" applyNumberFormat="1" applyFont="1" applyBorder="1" applyAlignment="1">
      <alignment horizontal="center"/>
    </xf>
    <xf numFmtId="0" fontId="14" fillId="0" borderId="38" xfId="0" applyFont="1" applyBorder="1"/>
    <xf numFmtId="0" fontId="14" fillId="0" borderId="0" xfId="0" applyFont="1"/>
    <xf numFmtId="167" fontId="14" fillId="0" borderId="0" xfId="0" applyNumberFormat="1" applyFont="1" applyAlignment="1">
      <alignment horizontal="center"/>
    </xf>
    <xf numFmtId="4" fontId="14" fillId="0" borderId="0" xfId="0" applyNumberFormat="1" applyFont="1" applyAlignment="1">
      <alignment horizontal="center"/>
    </xf>
    <xf numFmtId="0" fontId="14" fillId="0" borderId="0" xfId="0" applyFont="1" applyAlignment="1">
      <alignment horizontal="center"/>
    </xf>
    <xf numFmtId="2" fontId="14" fillId="0" borderId="0" xfId="0" applyNumberFormat="1" applyFont="1" applyAlignment="1">
      <alignment horizontal="center"/>
    </xf>
    <xf numFmtId="8" fontId="14" fillId="0" borderId="0" xfId="0" applyNumberFormat="1" applyFont="1" applyAlignment="1">
      <alignment horizontal="center"/>
    </xf>
    <xf numFmtId="173" fontId="14" fillId="0" borderId="0" xfId="0" applyNumberFormat="1" applyFont="1"/>
    <xf numFmtId="173" fontId="4" fillId="0" borderId="0" xfId="0" applyNumberFormat="1" applyFont="1"/>
    <xf numFmtId="167" fontId="14" fillId="0" borderId="0" xfId="0" applyNumberFormat="1" applyFont="1"/>
    <xf numFmtId="7" fontId="14" fillId="0" borderId="0" xfId="0" applyNumberFormat="1" applyFont="1" applyAlignment="1">
      <alignment horizontal="center"/>
    </xf>
    <xf numFmtId="167" fontId="14" fillId="6" borderId="38" xfId="0" applyNumberFormat="1" applyFont="1" applyFill="1" applyBorder="1" applyAlignment="1">
      <alignment horizontal="center"/>
    </xf>
    <xf numFmtId="4" fontId="14" fillId="6" borderId="38" xfId="0" applyNumberFormat="1" applyFont="1" applyFill="1" applyBorder="1" applyAlignment="1">
      <alignment horizontal="center"/>
    </xf>
    <xf numFmtId="167" fontId="14" fillId="2" borderId="38" xfId="0" applyNumberFormat="1" applyFont="1" applyFill="1" applyBorder="1" applyAlignment="1">
      <alignment horizontal="center"/>
    </xf>
    <xf numFmtId="0" fontId="14" fillId="0" borderId="42" xfId="0" applyFont="1" applyBorder="1"/>
    <xf numFmtId="7" fontId="14" fillId="0" borderId="38" xfId="0" applyNumberFormat="1" applyFont="1" applyBorder="1" applyAlignment="1">
      <alignment horizontal="center"/>
    </xf>
    <xf numFmtId="4" fontId="14" fillId="2" borderId="38" xfId="0" applyNumberFormat="1" applyFont="1" applyFill="1" applyBorder="1" applyAlignment="1">
      <alignment horizontal="center"/>
    </xf>
    <xf numFmtId="173" fontId="14" fillId="2" borderId="44" xfId="0" applyNumberFormat="1" applyFont="1" applyFill="1" applyBorder="1" applyAlignment="1">
      <alignment horizontal="center"/>
    </xf>
    <xf numFmtId="10" fontId="14" fillId="2" borderId="38" xfId="0" applyNumberFormat="1" applyFont="1" applyFill="1" applyBorder="1" applyAlignment="1">
      <alignment horizontal="center"/>
    </xf>
    <xf numFmtId="44" fontId="14" fillId="0" borderId="0" xfId="0" applyNumberFormat="1" applyFont="1" applyAlignment="1">
      <alignment horizontal="center"/>
    </xf>
    <xf numFmtId="7" fontId="14" fillId="6" borderId="38" xfId="0" applyNumberFormat="1" applyFont="1" applyFill="1" applyBorder="1" applyAlignment="1">
      <alignment horizontal="center"/>
    </xf>
    <xf numFmtId="173" fontId="14" fillId="6" borderId="44" xfId="0" applyNumberFormat="1" applyFont="1" applyFill="1" applyBorder="1" applyAlignment="1">
      <alignment horizontal="center"/>
    </xf>
    <xf numFmtId="10" fontId="14" fillId="6" borderId="38" xfId="0" applyNumberFormat="1" applyFont="1" applyFill="1" applyBorder="1" applyAlignment="1">
      <alignment horizontal="center"/>
    </xf>
    <xf numFmtId="44" fontId="14" fillId="0" borderId="0" xfId="0" applyNumberFormat="1" applyFont="1"/>
    <xf numFmtId="2" fontId="14" fillId="2" borderId="38" xfId="0" applyNumberFormat="1" applyFont="1" applyFill="1" applyBorder="1" applyAlignment="1">
      <alignment horizontal="center"/>
    </xf>
    <xf numFmtId="4" fontId="4" fillId="0" borderId="0" xfId="0" applyNumberFormat="1" applyFont="1" applyAlignment="1">
      <alignment horizontal="center"/>
    </xf>
    <xf numFmtId="10" fontId="14" fillId="0" borderId="0" xfId="0" applyNumberFormat="1" applyFont="1" applyAlignment="1">
      <alignment horizontal="center"/>
    </xf>
    <xf numFmtId="4" fontId="4" fillId="0" borderId="0" xfId="0" applyNumberFormat="1" applyFont="1"/>
    <xf numFmtId="10" fontId="4" fillId="0" borderId="45" xfId="0" applyNumberFormat="1" applyFont="1" applyBorder="1" applyAlignment="1">
      <alignment horizontal="center"/>
    </xf>
    <xf numFmtId="4" fontId="4" fillId="0" borderId="45" xfId="0" applyNumberFormat="1" applyFont="1" applyBorder="1" applyAlignment="1">
      <alignment horizontal="center"/>
    </xf>
    <xf numFmtId="0" fontId="4" fillId="0" borderId="45" xfId="0" applyFont="1" applyBorder="1" applyAlignment="1">
      <alignment horizontal="center"/>
    </xf>
    <xf numFmtId="4" fontId="4" fillId="0" borderId="45" xfId="0" applyNumberFormat="1" applyFont="1" applyBorder="1"/>
    <xf numFmtId="4" fontId="14" fillId="0" borderId="0" xfId="0" applyNumberFormat="1" applyFont="1"/>
    <xf numFmtId="17" fontId="14" fillId="0" borderId="0" xfId="0" applyNumberFormat="1" applyFont="1"/>
    <xf numFmtId="10" fontId="14" fillId="0" borderId="0" xfId="0" applyNumberFormat="1" applyFont="1"/>
    <xf numFmtId="0" fontId="14" fillId="0" borderId="46" xfId="0" applyFont="1" applyBorder="1"/>
    <xf numFmtId="4" fontId="14" fillId="0" borderId="23" xfId="0" applyNumberFormat="1" applyFont="1" applyBorder="1"/>
    <xf numFmtId="10" fontId="14" fillId="2" borderId="45" xfId="0" applyNumberFormat="1" applyFont="1" applyFill="1" applyBorder="1" applyAlignment="1">
      <alignment horizontal="center"/>
    </xf>
    <xf numFmtId="0" fontId="10" fillId="0" borderId="46" xfId="0" applyFont="1" applyBorder="1" applyAlignment="1">
      <alignment horizontal="center"/>
    </xf>
    <xf numFmtId="10" fontId="10" fillId="0" borderId="46" xfId="0" applyNumberFormat="1" applyFont="1" applyBorder="1" applyAlignment="1">
      <alignment horizontal="center"/>
    </xf>
    <xf numFmtId="10" fontId="10" fillId="0" borderId="45" xfId="0" applyNumberFormat="1" applyFont="1" applyBorder="1" applyAlignment="1">
      <alignment horizontal="center"/>
    </xf>
    <xf numFmtId="4" fontId="10" fillId="0" borderId="45" xfId="0" applyNumberFormat="1" applyFont="1" applyBorder="1" applyAlignment="1">
      <alignment horizontal="center"/>
    </xf>
    <xf numFmtId="0" fontId="14" fillId="0" borderId="45" xfId="0" applyFont="1" applyBorder="1"/>
    <xf numFmtId="10" fontId="14" fillId="0" borderId="45" xfId="0" applyNumberFormat="1" applyFont="1" applyBorder="1" applyAlignment="1">
      <alignment horizontal="center"/>
    </xf>
    <xf numFmtId="0" fontId="10" fillId="0" borderId="45" xfId="0" applyFont="1" applyBorder="1"/>
    <xf numFmtId="4" fontId="14" fillId="0" borderId="23" xfId="0" applyNumberFormat="1" applyFont="1" applyBorder="1" applyAlignment="1">
      <alignment horizontal="right"/>
    </xf>
    <xf numFmtId="2" fontId="14" fillId="0" borderId="45" xfId="0" applyNumberFormat="1" applyFont="1" applyBorder="1" applyAlignment="1">
      <alignment horizontal="center"/>
    </xf>
    <xf numFmtId="4" fontId="14" fillId="0" borderId="45" xfId="0" applyNumberFormat="1" applyFont="1" applyBorder="1" applyAlignment="1">
      <alignment horizontal="right"/>
    </xf>
    <xf numFmtId="4" fontId="14" fillId="0" borderId="35" xfId="0" applyNumberFormat="1" applyFont="1" applyBorder="1" applyAlignment="1">
      <alignment horizontal="right"/>
    </xf>
    <xf numFmtId="10" fontId="14" fillId="0" borderId="23" xfId="0" applyNumberFormat="1" applyFont="1" applyBorder="1" applyAlignment="1">
      <alignment horizontal="center"/>
    </xf>
    <xf numFmtId="2" fontId="14" fillId="0" borderId="23" xfId="0" applyNumberFormat="1" applyFont="1" applyBorder="1" applyAlignment="1">
      <alignment horizontal="center"/>
    </xf>
    <xf numFmtId="171" fontId="14" fillId="0" borderId="45" xfId="0" applyNumberFormat="1" applyFont="1" applyBorder="1" applyAlignment="1">
      <alignment horizontal="center"/>
    </xf>
    <xf numFmtId="4" fontId="14" fillId="0" borderId="16" xfId="0" applyNumberFormat="1" applyFont="1" applyBorder="1" applyAlignment="1">
      <alignment horizontal="right"/>
    </xf>
    <xf numFmtId="0" fontId="14" fillId="0" borderId="22" xfId="0" applyFont="1" applyBorder="1" applyAlignment="1">
      <alignment horizontal="center"/>
    </xf>
    <xf numFmtId="0" fontId="4" fillId="0" borderId="46" xfId="0" applyFont="1" applyBorder="1" applyAlignment="1">
      <alignment horizontal="center"/>
    </xf>
    <xf numFmtId="0" fontId="14" fillId="0" borderId="0" xfId="0" applyFont="1" applyAlignment="1">
      <alignment horizontal="right"/>
    </xf>
    <xf numFmtId="9" fontId="14" fillId="0" borderId="0" xfId="0" applyNumberFormat="1" applyFont="1"/>
    <xf numFmtId="181" fontId="14" fillId="0" borderId="0" xfId="0" applyNumberFormat="1" applyFont="1"/>
    <xf numFmtId="4" fontId="14" fillId="0" borderId="0" xfId="0" applyNumberFormat="1" applyFont="1" applyAlignment="1">
      <alignment horizontal="left"/>
    </xf>
    <xf numFmtId="0" fontId="14" fillId="0" borderId="0" xfId="0" applyFont="1" applyAlignment="1">
      <alignment horizontal="left"/>
    </xf>
    <xf numFmtId="0" fontId="53" fillId="8" borderId="45" xfId="0" applyFont="1" applyFill="1" applyBorder="1"/>
    <xf numFmtId="0" fontId="54" fillId="8" borderId="45" xfId="0" applyFont="1" applyFill="1" applyBorder="1" applyAlignment="1">
      <alignment horizontal="center"/>
    </xf>
    <xf numFmtId="0" fontId="4" fillId="0" borderId="45" xfId="0" applyFont="1" applyBorder="1"/>
    <xf numFmtId="10" fontId="4" fillId="0" borderId="45" xfId="0" applyNumberFormat="1" applyFont="1" applyBorder="1" applyAlignment="1">
      <alignment horizontal="center" vertical="center"/>
    </xf>
    <xf numFmtId="167" fontId="4" fillId="0" borderId="45" xfId="0" applyNumberFormat="1" applyFont="1" applyBorder="1" applyAlignment="1">
      <alignment horizontal="center"/>
    </xf>
    <xf numFmtId="0" fontId="4" fillId="8" borderId="45" xfId="0" applyFont="1" applyFill="1" applyBorder="1"/>
    <xf numFmtId="0" fontId="4" fillId="8" borderId="45" xfId="0" applyFont="1" applyFill="1" applyBorder="1" applyAlignment="1">
      <alignment horizontal="center" vertical="center"/>
    </xf>
    <xf numFmtId="2" fontId="4" fillId="0" borderId="45" xfId="0" applyNumberFormat="1" applyFont="1" applyBorder="1" applyAlignment="1">
      <alignment horizontal="center" vertical="center"/>
    </xf>
    <xf numFmtId="10" fontId="4" fillId="0" borderId="23" xfId="0" applyNumberFormat="1" applyFont="1" applyBorder="1" applyAlignment="1">
      <alignment horizontal="center" vertical="center"/>
    </xf>
    <xf numFmtId="0" fontId="13" fillId="2" borderId="45" xfId="0" applyFont="1" applyFill="1" applyBorder="1" applyAlignment="1">
      <alignment horizontal="left"/>
    </xf>
    <xf numFmtId="14" fontId="13" fillId="0" borderId="23" xfId="0" applyNumberFormat="1" applyFont="1" applyBorder="1" applyAlignment="1">
      <alignment horizontal="left"/>
    </xf>
    <xf numFmtId="0" fontId="13" fillId="2" borderId="47" xfId="0" applyFont="1" applyFill="1" applyBorder="1"/>
    <xf numFmtId="0" fontId="13" fillId="0" borderId="23" xfId="0" applyFont="1" applyBorder="1" applyAlignment="1">
      <alignment horizontal="left"/>
    </xf>
    <xf numFmtId="0" fontId="4" fillId="2" borderId="47" xfId="0" applyFont="1" applyFill="1" applyBorder="1" applyAlignment="1">
      <alignment horizontal="center"/>
    </xf>
    <xf numFmtId="0" fontId="13" fillId="9" borderId="23" xfId="0" applyFont="1" applyFill="1" applyBorder="1" applyAlignment="1">
      <alignment horizontal="left"/>
    </xf>
    <xf numFmtId="0" fontId="13" fillId="10" borderId="23" xfId="0" applyFont="1" applyFill="1" applyBorder="1" applyAlignment="1">
      <alignment horizontal="left"/>
    </xf>
    <xf numFmtId="0" fontId="24" fillId="0" borderId="45" xfId="0" applyFont="1" applyBorder="1"/>
    <xf numFmtId="0" fontId="6" fillId="2" borderId="47" xfId="0" applyFont="1" applyFill="1" applyBorder="1"/>
    <xf numFmtId="0" fontId="24" fillId="2" borderId="45" xfId="0" applyFont="1" applyFill="1" applyBorder="1"/>
    <xf numFmtId="0" fontId="24" fillId="0" borderId="45" xfId="0" applyFont="1" applyBorder="1" applyAlignment="1">
      <alignment wrapText="1"/>
    </xf>
    <xf numFmtId="14" fontId="13" fillId="11" borderId="23" xfId="0" applyNumberFormat="1" applyFont="1" applyFill="1" applyBorder="1" applyAlignment="1">
      <alignment horizontal="left"/>
    </xf>
    <xf numFmtId="0" fontId="4" fillId="2" borderId="47" xfId="0" applyFont="1" applyFill="1" applyBorder="1"/>
    <xf numFmtId="0" fontId="6" fillId="0" borderId="0" xfId="0" applyFont="1" applyAlignment="1">
      <alignment horizontal="left"/>
    </xf>
    <xf numFmtId="0" fontId="13" fillId="2" borderId="23" xfId="0" applyFont="1" applyFill="1" applyBorder="1" applyAlignment="1">
      <alignment horizontal="left"/>
    </xf>
    <xf numFmtId="0" fontId="12" fillId="2" borderId="0" xfId="0" applyFont="1" applyFill="1" applyAlignment="1">
      <alignment horizontal="left"/>
    </xf>
    <xf numFmtId="0" fontId="13" fillId="0" borderId="0" xfId="0" applyFont="1"/>
    <xf numFmtId="0" fontId="55" fillId="0" borderId="0" xfId="0" applyFont="1"/>
    <xf numFmtId="14" fontId="13" fillId="0" borderId="23" xfId="0" applyNumberFormat="1" applyFont="1" applyBorder="1" applyAlignment="1">
      <alignment horizontal="left" vertical="top"/>
    </xf>
    <xf numFmtId="0" fontId="4" fillId="2" borderId="13" xfId="0" applyFont="1" applyFill="1" applyBorder="1" applyAlignment="1">
      <alignment vertical="top"/>
    </xf>
    <xf numFmtId="182" fontId="13" fillId="0" borderId="23" xfId="0" applyNumberFormat="1" applyFont="1" applyBorder="1" applyAlignment="1">
      <alignment horizontal="left"/>
    </xf>
    <xf numFmtId="0" fontId="13" fillId="2" borderId="13" xfId="0" applyFont="1" applyFill="1" applyBorder="1" applyAlignment="1">
      <alignment horizontal="left"/>
    </xf>
    <xf numFmtId="0" fontId="56" fillId="0" borderId="0" xfId="0" applyFont="1" applyAlignment="1">
      <alignment wrapText="1"/>
    </xf>
    <xf numFmtId="0" fontId="4" fillId="2" borderId="13" xfId="0" applyFont="1" applyFill="1" applyBorder="1" applyAlignment="1">
      <alignment horizontal="left"/>
    </xf>
    <xf numFmtId="182" fontId="11" fillId="2" borderId="45" xfId="0" applyNumberFormat="1" applyFont="1" applyFill="1" applyBorder="1" applyAlignment="1">
      <alignment horizontal="left"/>
    </xf>
    <xf numFmtId="182" fontId="13" fillId="2" borderId="45" xfId="0" applyNumberFormat="1" applyFont="1" applyFill="1" applyBorder="1" applyAlignment="1">
      <alignment horizontal="left"/>
    </xf>
    <xf numFmtId="0" fontId="10" fillId="2" borderId="15" xfId="0" applyFont="1" applyFill="1" applyBorder="1"/>
    <xf numFmtId="182" fontId="11" fillId="2" borderId="15" xfId="0" applyNumberFormat="1" applyFont="1" applyFill="1" applyBorder="1" applyAlignment="1">
      <alignment horizontal="left"/>
    </xf>
    <xf numFmtId="0" fontId="11" fillId="2" borderId="15" xfId="0" applyFont="1" applyFill="1" applyBorder="1" applyAlignment="1">
      <alignment horizontal="left"/>
    </xf>
    <xf numFmtId="16" fontId="13" fillId="2" borderId="45" xfId="0" quotePrefix="1" applyNumberFormat="1" applyFont="1" applyFill="1" applyBorder="1" applyAlignment="1">
      <alignment horizontal="left"/>
    </xf>
    <xf numFmtId="183" fontId="13" fillId="2" borderId="45" xfId="0" applyNumberFormat="1" applyFont="1" applyFill="1" applyBorder="1" applyAlignment="1">
      <alignment horizontal="left"/>
    </xf>
    <xf numFmtId="0" fontId="13" fillId="2" borderId="48" xfId="0" applyFont="1" applyFill="1" applyBorder="1" applyAlignment="1">
      <alignment horizontal="left"/>
    </xf>
    <xf numFmtId="183" fontId="13" fillId="0" borderId="45" xfId="0" applyNumberFormat="1" applyFont="1" applyBorder="1" applyAlignment="1">
      <alignment horizontal="left"/>
    </xf>
    <xf numFmtId="0" fontId="4" fillId="2" borderId="49" xfId="0" applyFont="1" applyFill="1" applyBorder="1"/>
    <xf numFmtId="0" fontId="20" fillId="2" borderId="13" xfId="0" applyFont="1" applyFill="1" applyBorder="1"/>
    <xf numFmtId="0" fontId="4" fillId="2" borderId="39" xfId="0" applyFont="1" applyFill="1" applyBorder="1"/>
    <xf numFmtId="182" fontId="13" fillId="2" borderId="45" xfId="0" applyNumberFormat="1" applyFont="1" applyFill="1" applyBorder="1"/>
    <xf numFmtId="15" fontId="13" fillId="2" borderId="45" xfId="0" applyNumberFormat="1" applyFont="1" applyFill="1" applyBorder="1" applyAlignment="1">
      <alignment horizontal="left"/>
    </xf>
    <xf numFmtId="182" fontId="13" fillId="2" borderId="13" xfId="0" applyNumberFormat="1" applyFont="1" applyFill="1" applyBorder="1" applyAlignment="1">
      <alignment horizontal="left"/>
    </xf>
    <xf numFmtId="15" fontId="4" fillId="2" borderId="13" xfId="0" applyNumberFormat="1" applyFont="1" applyFill="1" applyBorder="1"/>
    <xf numFmtId="0" fontId="60" fillId="0" borderId="0" xfId="0" applyFont="1"/>
    <xf numFmtId="15" fontId="4" fillId="2" borderId="13" xfId="0" applyNumberFormat="1" applyFont="1" applyFill="1" applyBorder="1" applyAlignment="1">
      <alignment horizontal="left"/>
    </xf>
    <xf numFmtId="182" fontId="13" fillId="2" borderId="15" xfId="0" applyNumberFormat="1" applyFont="1" applyFill="1" applyBorder="1" applyAlignment="1">
      <alignment horizontal="left"/>
    </xf>
    <xf numFmtId="15" fontId="13" fillId="2" borderId="45" xfId="0" quotePrefix="1" applyNumberFormat="1" applyFont="1" applyFill="1" applyBorder="1" applyAlignment="1">
      <alignment horizontal="left"/>
    </xf>
    <xf numFmtId="15" fontId="4" fillId="2" borderId="15" xfId="0" applyNumberFormat="1" applyFont="1" applyFill="1" applyBorder="1" applyAlignment="1">
      <alignment horizontal="left"/>
    </xf>
    <xf numFmtId="15" fontId="13" fillId="2" borderId="13" xfId="0" quotePrefix="1" applyNumberFormat="1" applyFont="1" applyFill="1" applyBorder="1" applyAlignment="1">
      <alignment horizontal="left"/>
    </xf>
    <xf numFmtId="166" fontId="13" fillId="2" borderId="13" xfId="0" applyNumberFormat="1" applyFont="1" applyFill="1" applyBorder="1" applyAlignment="1">
      <alignment horizontal="left"/>
    </xf>
    <xf numFmtId="0" fontId="4" fillId="0" borderId="0" xfId="0" applyFont="1" applyAlignment="1">
      <alignment horizontal="center"/>
    </xf>
    <xf numFmtId="7" fontId="14" fillId="0" borderId="50" xfId="0" applyNumberFormat="1" applyFont="1" applyBorder="1" applyAlignment="1">
      <alignment horizontal="center"/>
    </xf>
    <xf numFmtId="0" fontId="13" fillId="2" borderId="29" xfId="0" applyFont="1" applyFill="1" applyBorder="1" applyAlignment="1">
      <alignment horizontal="right"/>
    </xf>
    <xf numFmtId="0" fontId="4" fillId="2" borderId="29" xfId="0" applyFont="1" applyFill="1" applyBorder="1"/>
    <xf numFmtId="14" fontId="4" fillId="0" borderId="23" xfId="0" applyNumberFormat="1" applyFont="1" applyBorder="1" applyAlignment="1">
      <alignment horizontal="left"/>
    </xf>
    <xf numFmtId="0" fontId="14" fillId="2" borderId="18" xfId="0" applyFont="1" applyFill="1" applyBorder="1" applyAlignment="1">
      <alignment horizontal="center"/>
    </xf>
    <xf numFmtId="0" fontId="11" fillId="2" borderId="18" xfId="0" applyFont="1" applyFill="1" applyBorder="1"/>
    <xf numFmtId="0" fontId="10" fillId="2" borderId="19" xfId="0" applyFont="1" applyFill="1" applyBorder="1"/>
    <xf numFmtId="0" fontId="10" fillId="2" borderId="51" xfId="0" applyFont="1" applyFill="1" applyBorder="1"/>
    <xf numFmtId="0" fontId="10" fillId="2" borderId="52" xfId="0" applyFont="1" applyFill="1" applyBorder="1"/>
    <xf numFmtId="3" fontId="10" fillId="2" borderId="53" xfId="0" applyNumberFormat="1" applyFont="1" applyFill="1" applyBorder="1" applyAlignment="1">
      <alignment horizontal="center" vertical="top" wrapText="1"/>
    </xf>
    <xf numFmtId="44" fontId="10" fillId="2" borderId="53" xfId="0" applyNumberFormat="1" applyFont="1" applyFill="1" applyBorder="1" applyAlignment="1">
      <alignment horizontal="right"/>
    </xf>
    <xf numFmtId="44" fontId="10" fillId="2" borderId="53" xfId="0" applyNumberFormat="1" applyFont="1" applyFill="1" applyBorder="1" applyAlignment="1">
      <alignment horizontal="center"/>
    </xf>
    <xf numFmtId="169" fontId="10" fillId="2" borderId="53" xfId="0" applyNumberFormat="1" applyFont="1" applyFill="1" applyBorder="1" applyAlignment="1">
      <alignment horizontal="center"/>
    </xf>
    <xf numFmtId="10" fontId="4" fillId="2" borderId="54" xfId="0" applyNumberFormat="1" applyFont="1" applyFill="1" applyBorder="1" applyAlignment="1">
      <alignment horizontal="right"/>
    </xf>
    <xf numFmtId="7" fontId="24" fillId="2" borderId="53" xfId="0" applyNumberFormat="1" applyFont="1" applyFill="1" applyBorder="1" applyAlignment="1">
      <alignment horizontal="center"/>
    </xf>
    <xf numFmtId="0" fontId="14" fillId="2" borderId="47" xfId="0" applyFont="1" applyFill="1" applyBorder="1" applyAlignment="1">
      <alignment horizontal="center"/>
    </xf>
    <xf numFmtId="0" fontId="10" fillId="2" borderId="29" xfId="0" applyFont="1" applyFill="1" applyBorder="1"/>
    <xf numFmtId="0" fontId="24" fillId="2" borderId="29" xfId="0" applyFont="1" applyFill="1" applyBorder="1"/>
    <xf numFmtId="175" fontId="7" fillId="2" borderId="29" xfId="0" applyNumberFormat="1" applyFont="1" applyFill="1" applyBorder="1"/>
    <xf numFmtId="170" fontId="7" fillId="2" borderId="29" xfId="0" applyNumberFormat="1" applyFont="1" applyFill="1" applyBorder="1"/>
    <xf numFmtId="44" fontId="10" fillId="2" borderId="29" xfId="0" applyNumberFormat="1" applyFont="1" applyFill="1" applyBorder="1"/>
    <xf numFmtId="44" fontId="4" fillId="2" borderId="29" xfId="0" applyNumberFormat="1" applyFont="1" applyFill="1" applyBorder="1"/>
    <xf numFmtId="169" fontId="24" fillId="2" borderId="28" xfId="0" applyNumberFormat="1" applyFont="1" applyFill="1" applyBorder="1" applyAlignment="1">
      <alignment horizontal="right"/>
    </xf>
    <xf numFmtId="177" fontId="24" fillId="2" borderId="29" xfId="0" applyNumberFormat="1" applyFont="1" applyFill="1" applyBorder="1" applyAlignment="1">
      <alignment horizontal="right"/>
    </xf>
    <xf numFmtId="10" fontId="10" fillId="2" borderId="29" xfId="0" applyNumberFormat="1" applyFont="1" applyFill="1" applyBorder="1" applyAlignment="1">
      <alignment horizontal="center"/>
    </xf>
    <xf numFmtId="169" fontId="24" fillId="2" borderId="55" xfId="0" applyNumberFormat="1" applyFont="1" applyFill="1" applyBorder="1" applyAlignment="1">
      <alignment horizontal="right"/>
    </xf>
    <xf numFmtId="14" fontId="13" fillId="2" borderId="23" xfId="0" applyNumberFormat="1" applyFont="1" applyFill="1" applyBorder="1" applyAlignment="1">
      <alignment horizontal="left"/>
    </xf>
    <xf numFmtId="0" fontId="10" fillId="2" borderId="24" xfId="0" applyFont="1" applyFill="1" applyBorder="1"/>
    <xf numFmtId="0" fontId="10" fillId="2" borderId="28" xfId="0" applyFont="1" applyFill="1" applyBorder="1" applyAlignment="1">
      <alignment horizontal="left"/>
    </xf>
    <xf numFmtId="177" fontId="24" fillId="2" borderId="24" xfId="0" applyNumberFormat="1" applyFont="1" applyFill="1" applyBorder="1" applyAlignment="1">
      <alignment horizontal="right"/>
    </xf>
    <xf numFmtId="0" fontId="4" fillId="2" borderId="23" xfId="0" applyFont="1" applyFill="1" applyBorder="1" applyAlignment="1">
      <alignment horizontal="left"/>
    </xf>
    <xf numFmtId="0" fontId="62" fillId="0" borderId="0" xfId="0" applyFont="1"/>
    <xf numFmtId="14" fontId="4" fillId="2" borderId="23" xfId="0" applyNumberFormat="1" applyFont="1" applyFill="1" applyBorder="1" applyAlignment="1">
      <alignment horizontal="left"/>
    </xf>
    <xf numFmtId="0" fontId="10" fillId="2" borderId="29" xfId="0" applyFont="1" applyFill="1" applyBorder="1" applyAlignment="1">
      <alignment vertical="center" wrapText="1"/>
    </xf>
    <xf numFmtId="0" fontId="4" fillId="0" borderId="57" xfId="0" applyFont="1" applyBorder="1"/>
    <xf numFmtId="10" fontId="4" fillId="0" borderId="45" xfId="2" applyNumberFormat="1" applyFont="1" applyBorder="1" applyAlignment="1">
      <alignment horizontal="center"/>
    </xf>
    <xf numFmtId="10" fontId="4" fillId="0" borderId="45" xfId="2" applyNumberFormat="1" applyFont="1" applyBorder="1"/>
    <xf numFmtId="0" fontId="4" fillId="2" borderId="24" xfId="0" applyFont="1" applyFill="1" applyBorder="1"/>
    <xf numFmtId="0" fontId="13" fillId="2" borderId="29" xfId="0" applyFont="1" applyFill="1" applyBorder="1"/>
    <xf numFmtId="0" fontId="11" fillId="2" borderId="24" xfId="0" applyFont="1" applyFill="1" applyBorder="1" applyAlignment="1">
      <alignment horizontal="right"/>
    </xf>
    <xf numFmtId="43" fontId="11" fillId="2" borderId="29" xfId="0" applyNumberFormat="1" applyFont="1" applyFill="1" applyBorder="1" applyAlignment="1">
      <alignment horizontal="right"/>
    </xf>
    <xf numFmtId="44" fontId="43" fillId="2" borderId="29" xfId="0" applyNumberFormat="1" applyFont="1" applyFill="1" applyBorder="1"/>
    <xf numFmtId="14" fontId="24" fillId="0" borderId="29" xfId="0" applyNumberFormat="1" applyFont="1" applyBorder="1" applyAlignment="1">
      <alignment horizontal="center"/>
    </xf>
    <xf numFmtId="44" fontId="10" fillId="0" borderId="29" xfId="0" applyNumberFormat="1" applyFont="1" applyBorder="1" applyAlignment="1">
      <alignment horizontal="center"/>
    </xf>
    <xf numFmtId="0" fontId="10" fillId="0" borderId="29" xfId="0" applyFont="1" applyBorder="1" applyAlignment="1">
      <alignment horizontal="center"/>
    </xf>
    <xf numFmtId="44" fontId="24" fillId="0" borderId="29" xfId="0" applyNumberFormat="1" applyFont="1" applyBorder="1" applyAlignment="1">
      <alignment horizontal="right"/>
    </xf>
    <xf numFmtId="10" fontId="10" fillId="0" borderId="28" xfId="0" applyNumberFormat="1" applyFont="1" applyBorder="1" applyAlignment="1">
      <alignment horizontal="center"/>
    </xf>
    <xf numFmtId="0" fontId="10" fillId="0" borderId="0" xfId="0" applyFont="1" applyAlignment="1">
      <alignment horizontal="center"/>
    </xf>
    <xf numFmtId="169" fontId="10" fillId="0" borderId="29" xfId="0" applyNumberFormat="1" applyFont="1" applyBorder="1"/>
    <xf numFmtId="169" fontId="24" fillId="0" borderId="28" xfId="0" applyNumberFormat="1" applyFont="1" applyBorder="1" applyAlignment="1">
      <alignment horizontal="right"/>
    </xf>
    <xf numFmtId="10" fontId="10" fillId="0" borderId="29" xfId="0" applyNumberFormat="1" applyFont="1" applyBorder="1" applyAlignment="1">
      <alignment horizontal="center"/>
    </xf>
    <xf numFmtId="44" fontId="10" fillId="0" borderId="29" xfId="0" applyNumberFormat="1" applyFont="1" applyBorder="1"/>
    <xf numFmtId="0" fontId="4" fillId="0" borderId="29" xfId="0" applyFont="1" applyBorder="1"/>
    <xf numFmtId="44" fontId="4" fillId="0" borderId="29" xfId="0" applyNumberFormat="1" applyFont="1" applyBorder="1"/>
    <xf numFmtId="0" fontId="10" fillId="0" borderId="29" xfId="0" applyFont="1" applyBorder="1"/>
    <xf numFmtId="0" fontId="10" fillId="0" borderId="28" xfId="0" applyFont="1" applyBorder="1"/>
    <xf numFmtId="3" fontId="10" fillId="0" borderId="29" xfId="0" applyNumberFormat="1" applyFont="1" applyBorder="1" applyAlignment="1">
      <alignment horizontal="center" vertical="top" wrapText="1"/>
    </xf>
    <xf numFmtId="0" fontId="45" fillId="0" borderId="0" xfId="0" applyFont="1"/>
    <xf numFmtId="44" fontId="46" fillId="0" borderId="29" xfId="1" applyFont="1" applyFill="1" applyBorder="1" applyAlignment="1"/>
    <xf numFmtId="44" fontId="10" fillId="0" borderId="29" xfId="0" applyNumberFormat="1" applyFont="1" applyBorder="1" applyAlignment="1">
      <alignment horizontal="right"/>
    </xf>
    <xf numFmtId="10" fontId="4" fillId="0" borderId="28" xfId="0" applyNumberFormat="1" applyFont="1" applyBorder="1" applyAlignment="1">
      <alignment horizontal="left"/>
    </xf>
    <xf numFmtId="10" fontId="4" fillId="0" borderId="28" xfId="0" applyNumberFormat="1" applyFont="1" applyBorder="1" applyAlignment="1">
      <alignment horizontal="center"/>
    </xf>
    <xf numFmtId="0" fontId="4" fillId="14" borderId="0" xfId="0" applyFont="1" applyFill="1"/>
    <xf numFmtId="0" fontId="14" fillId="14" borderId="0" xfId="0" applyFont="1" applyFill="1"/>
    <xf numFmtId="0" fontId="0" fillId="14" borderId="0" xfId="0" applyFill="1"/>
    <xf numFmtId="7" fontId="14" fillId="14" borderId="0" xfId="0" applyNumberFormat="1" applyFont="1" applyFill="1" applyAlignment="1">
      <alignment horizontal="center"/>
    </xf>
    <xf numFmtId="44" fontId="24" fillId="0" borderId="29" xfId="1" applyFont="1" applyFill="1" applyBorder="1" applyAlignment="1">
      <alignment horizontal="right"/>
    </xf>
    <xf numFmtId="0" fontId="10" fillId="0" borderId="24" xfId="0" applyFont="1" applyBorder="1"/>
    <xf numFmtId="0" fontId="10" fillId="0" borderId="28" xfId="0" applyFont="1" applyBorder="1" applyAlignment="1">
      <alignment horizontal="left"/>
    </xf>
    <xf numFmtId="0" fontId="13" fillId="13" borderId="23" xfId="0" applyFont="1" applyFill="1" applyBorder="1" applyAlignment="1">
      <alignment horizontal="left"/>
    </xf>
    <xf numFmtId="0" fontId="4" fillId="0" borderId="23" xfId="0" applyFont="1" applyBorder="1" applyAlignment="1">
      <alignment horizontal="left"/>
    </xf>
    <xf numFmtId="0" fontId="11" fillId="0" borderId="10" xfId="0" applyFont="1" applyBorder="1" applyAlignment="1">
      <alignment horizontal="center"/>
    </xf>
    <xf numFmtId="3" fontId="4" fillId="0" borderId="24" xfId="0" applyNumberFormat="1" applyFont="1" applyBorder="1" applyAlignment="1">
      <alignment horizontal="right" vertical="top" wrapText="1"/>
    </xf>
    <xf numFmtId="43" fontId="4" fillId="0" borderId="29" xfId="0" applyNumberFormat="1" applyFont="1" applyBorder="1" applyAlignment="1">
      <alignment horizontal="right"/>
    </xf>
    <xf numFmtId="168" fontId="4" fillId="0" borderId="29" xfId="0" applyNumberFormat="1" applyFont="1" applyBorder="1" applyAlignment="1">
      <alignment horizontal="right"/>
    </xf>
    <xf numFmtId="169" fontId="4" fillId="0" borderId="29" xfId="0" applyNumberFormat="1" applyFont="1" applyBorder="1" applyAlignment="1">
      <alignment horizontal="right"/>
    </xf>
    <xf numFmtId="3" fontId="4" fillId="0" borderId="29" xfId="0" applyNumberFormat="1" applyFont="1" applyBorder="1" applyAlignment="1">
      <alignment horizontal="right" vertical="top" wrapText="1"/>
    </xf>
    <xf numFmtId="2" fontId="4" fillId="0" borderId="29" xfId="0" applyNumberFormat="1" applyFont="1" applyBorder="1" applyAlignment="1">
      <alignment horizontal="center"/>
    </xf>
    <xf numFmtId="7" fontId="24" fillId="0" borderId="29" xfId="0" applyNumberFormat="1" applyFont="1" applyBorder="1" applyAlignment="1">
      <alignment horizontal="right"/>
    </xf>
    <xf numFmtId="10" fontId="4" fillId="0" borderId="28" xfId="0" applyNumberFormat="1" applyFont="1" applyBorder="1" applyAlignment="1">
      <alignment horizontal="right"/>
    </xf>
    <xf numFmtId="169" fontId="24" fillId="0" borderId="55" xfId="0" applyNumberFormat="1" applyFont="1" applyBorder="1" applyAlignment="1">
      <alignment horizontal="right"/>
    </xf>
    <xf numFmtId="3" fontId="10" fillId="0" borderId="53" xfId="0" applyNumberFormat="1" applyFont="1" applyBorder="1" applyAlignment="1">
      <alignment horizontal="center" vertical="top" wrapText="1"/>
    </xf>
    <xf numFmtId="44" fontId="10" fillId="0" borderId="53" xfId="0" applyNumberFormat="1" applyFont="1" applyBorder="1" applyAlignment="1">
      <alignment horizontal="right"/>
    </xf>
    <xf numFmtId="44" fontId="10" fillId="0" borderId="53" xfId="0" applyNumberFormat="1" applyFont="1" applyBorder="1" applyAlignment="1">
      <alignment horizontal="center"/>
    </xf>
    <xf numFmtId="169" fontId="10" fillId="0" borderId="53" xfId="0" applyNumberFormat="1" applyFont="1" applyBorder="1" applyAlignment="1">
      <alignment horizontal="center"/>
    </xf>
    <xf numFmtId="7" fontId="24" fillId="0" borderId="53" xfId="0" applyNumberFormat="1" applyFont="1" applyBorder="1" applyAlignment="1">
      <alignment horizontal="center"/>
    </xf>
    <xf numFmtId="10" fontId="4" fillId="0" borderId="54" xfId="0" applyNumberFormat="1" applyFont="1" applyBorder="1" applyAlignment="1">
      <alignment horizontal="right"/>
    </xf>
    <xf numFmtId="169" fontId="24" fillId="0" borderId="27" xfId="0" applyNumberFormat="1" applyFont="1" applyBorder="1" applyAlignment="1">
      <alignment horizontal="right"/>
    </xf>
    <xf numFmtId="0" fontId="24" fillId="0" borderId="29" xfId="0" applyFont="1" applyBorder="1"/>
    <xf numFmtId="44" fontId="4" fillId="0" borderId="30" xfId="0" applyNumberFormat="1" applyFont="1" applyBorder="1" applyAlignment="1">
      <alignment horizontal="center"/>
    </xf>
    <xf numFmtId="179" fontId="10" fillId="0" borderId="30" xfId="0" applyNumberFormat="1" applyFont="1" applyBorder="1" applyAlignment="1">
      <alignment horizontal="center"/>
    </xf>
    <xf numFmtId="44" fontId="10" fillId="0" borderId="30" xfId="0" applyNumberFormat="1" applyFont="1" applyBorder="1" applyAlignment="1">
      <alignment horizontal="right"/>
    </xf>
    <xf numFmtId="7" fontId="24" fillId="0" borderId="0" xfId="0" applyNumberFormat="1" applyFont="1" applyAlignment="1">
      <alignment horizontal="left"/>
    </xf>
    <xf numFmtId="0" fontId="10" fillId="0" borderId="13" xfId="0" applyFont="1" applyBorder="1"/>
    <xf numFmtId="0" fontId="11" fillId="0" borderId="24" xfId="0" applyFont="1" applyBorder="1" applyAlignment="1">
      <alignment horizontal="right"/>
    </xf>
    <xf numFmtId="43" fontId="11" fillId="0" borderId="29" xfId="0" applyNumberFormat="1" applyFont="1" applyBorder="1" applyAlignment="1">
      <alignment horizontal="right"/>
    </xf>
    <xf numFmtId="44" fontId="11" fillId="0" borderId="29" xfId="0" applyNumberFormat="1" applyFont="1" applyBorder="1" applyAlignment="1">
      <alignment horizontal="right"/>
    </xf>
    <xf numFmtId="169" fontId="11" fillId="0" borderId="29" xfId="0" applyNumberFormat="1" applyFont="1" applyBorder="1" applyAlignment="1">
      <alignment horizontal="right"/>
    </xf>
    <xf numFmtId="169" fontId="13" fillId="0" borderId="29" xfId="0" applyNumberFormat="1" applyFont="1" applyBorder="1" applyAlignment="1">
      <alignment horizontal="center"/>
    </xf>
    <xf numFmtId="0" fontId="13" fillId="0" borderId="29" xfId="0" applyFont="1" applyBorder="1" applyAlignment="1">
      <alignment horizontal="right"/>
    </xf>
    <xf numFmtId="10" fontId="11" fillId="0" borderId="28" xfId="0" applyNumberFormat="1" applyFont="1" applyBorder="1" applyAlignment="1">
      <alignment horizontal="center"/>
    </xf>
    <xf numFmtId="0" fontId="4" fillId="0" borderId="28" xfId="0" applyFont="1" applyBorder="1"/>
    <xf numFmtId="0" fontId="11" fillId="0" borderId="7" xfId="0" applyFont="1" applyBorder="1" applyAlignment="1">
      <alignment horizontal="right"/>
    </xf>
    <xf numFmtId="10" fontId="13" fillId="0" borderId="28" xfId="0" applyNumberFormat="1" applyFont="1" applyBorder="1" applyAlignment="1">
      <alignment horizontal="center"/>
    </xf>
    <xf numFmtId="169" fontId="11" fillId="0" borderId="14" xfId="0" applyNumberFormat="1" applyFont="1" applyBorder="1"/>
    <xf numFmtId="44" fontId="12" fillId="0" borderId="31" xfId="0" applyNumberFormat="1" applyFont="1" applyBorder="1" applyAlignment="1">
      <alignment horizontal="right"/>
    </xf>
    <xf numFmtId="10" fontId="12" fillId="0" borderId="31" xfId="0" applyNumberFormat="1" applyFont="1" applyBorder="1" applyAlignment="1">
      <alignment horizontal="center"/>
    </xf>
    <xf numFmtId="10" fontId="24" fillId="0" borderId="24" xfId="0" applyNumberFormat="1" applyFont="1" applyBorder="1" applyAlignment="1">
      <alignment horizontal="right"/>
    </xf>
    <xf numFmtId="177" fontId="24" fillId="0" borderId="24" xfId="0" applyNumberFormat="1" applyFont="1" applyBorder="1" applyAlignment="1">
      <alignment horizontal="right"/>
    </xf>
    <xf numFmtId="177" fontId="24" fillId="0" borderId="29" xfId="0" applyNumberFormat="1" applyFont="1" applyBorder="1" applyAlignment="1">
      <alignment horizontal="right"/>
    </xf>
    <xf numFmtId="10" fontId="11" fillId="0" borderId="29" xfId="0" applyNumberFormat="1" applyFont="1" applyBorder="1" applyAlignment="1">
      <alignment horizontal="center"/>
    </xf>
    <xf numFmtId="0" fontId="11" fillId="0" borderId="18" xfId="0" applyFont="1" applyBorder="1"/>
    <xf numFmtId="0" fontId="10" fillId="0" borderId="19" xfId="0" applyFont="1" applyBorder="1"/>
    <xf numFmtId="173" fontId="14" fillId="0" borderId="38" xfId="0" applyNumberFormat="1" applyFont="1" applyBorder="1"/>
    <xf numFmtId="2" fontId="14" fillId="0" borderId="38" xfId="0" applyNumberFormat="1" applyFont="1" applyBorder="1" applyAlignment="1">
      <alignment horizontal="center"/>
    </xf>
    <xf numFmtId="2" fontId="14" fillId="0" borderId="38" xfId="0" applyNumberFormat="1" applyFont="1" applyBorder="1" applyAlignment="1">
      <alignment horizontal="center" wrapText="1"/>
    </xf>
    <xf numFmtId="17" fontId="14" fillId="0" borderId="29" xfId="0" applyNumberFormat="1" applyFont="1" applyBorder="1" applyAlignment="1">
      <alignment horizontal="center"/>
    </xf>
    <xf numFmtId="8" fontId="14" fillId="0" borderId="59" xfId="0" applyNumberFormat="1" applyFont="1" applyBorder="1" applyAlignment="1">
      <alignment horizontal="center"/>
    </xf>
    <xf numFmtId="4" fontId="14" fillId="0" borderId="58" xfId="0" applyNumberFormat="1" applyFont="1" applyBorder="1" applyAlignment="1">
      <alignment horizontal="center"/>
    </xf>
    <xf numFmtId="173" fontId="14" fillId="0" borderId="59" xfId="0" applyNumberFormat="1" applyFont="1" applyBorder="1" applyAlignment="1">
      <alignment horizontal="center"/>
    </xf>
    <xf numFmtId="173" fontId="14" fillId="0" borderId="29" xfId="0" applyNumberFormat="1" applyFont="1" applyBorder="1" applyAlignment="1">
      <alignment horizontal="center"/>
    </xf>
    <xf numFmtId="10" fontId="14" fillId="0" borderId="59" xfId="0" applyNumberFormat="1" applyFont="1" applyBorder="1" applyAlignment="1">
      <alignment horizontal="center"/>
    </xf>
    <xf numFmtId="0" fontId="14" fillId="0" borderId="59" xfId="0" applyFont="1" applyBorder="1" applyAlignment="1">
      <alignment horizontal="center"/>
    </xf>
    <xf numFmtId="0" fontId="14" fillId="0" borderId="58" xfId="0" applyFont="1" applyBorder="1" applyAlignment="1">
      <alignment horizontal="center"/>
    </xf>
    <xf numFmtId="0" fontId="0" fillId="0" borderId="29" xfId="0" applyBorder="1"/>
    <xf numFmtId="173" fontId="14" fillId="0" borderId="29" xfId="0" applyNumberFormat="1" applyFont="1" applyBorder="1"/>
    <xf numFmtId="4" fontId="14" fillId="0" borderId="43" xfId="0" applyNumberFormat="1" applyFont="1" applyBorder="1" applyAlignment="1">
      <alignment horizontal="center"/>
    </xf>
    <xf numFmtId="2" fontId="14" fillId="0" borderId="42" xfId="0" applyNumberFormat="1" applyFont="1" applyBorder="1" applyAlignment="1">
      <alignment horizontal="center" wrapText="1"/>
    </xf>
    <xf numFmtId="0" fontId="0" fillId="0" borderId="60" xfId="0" applyBorder="1"/>
    <xf numFmtId="167" fontId="14" fillId="0" borderId="61" xfId="0" applyNumberFormat="1" applyFont="1" applyBorder="1" applyAlignment="1">
      <alignment horizontal="center"/>
    </xf>
    <xf numFmtId="8" fontId="14" fillId="0" borderId="62" xfId="0" applyNumberFormat="1" applyFont="1" applyBorder="1" applyAlignment="1">
      <alignment horizontal="center"/>
    </xf>
    <xf numFmtId="167" fontId="14" fillId="0" borderId="62" xfId="0" applyNumberFormat="1" applyFont="1" applyBorder="1" applyAlignment="1">
      <alignment horizontal="center"/>
    </xf>
    <xf numFmtId="4" fontId="14" fillId="0" borderId="61" xfId="0" applyNumberFormat="1" applyFont="1" applyBorder="1" applyAlignment="1">
      <alignment horizontal="center"/>
    </xf>
    <xf numFmtId="173" fontId="14" fillId="0" borderId="62" xfId="0" applyNumberFormat="1" applyFont="1" applyBorder="1" applyAlignment="1">
      <alignment horizontal="center"/>
    </xf>
    <xf numFmtId="173" fontId="14" fillId="0" borderId="63" xfId="0" applyNumberFormat="1" applyFont="1" applyBorder="1" applyAlignment="1">
      <alignment horizontal="center"/>
    </xf>
    <xf numFmtId="10" fontId="14" fillId="0" borderId="62" xfId="0" applyNumberFormat="1" applyFont="1" applyBorder="1" applyAlignment="1">
      <alignment horizontal="center"/>
    </xf>
    <xf numFmtId="4" fontId="14" fillId="0" borderId="64" xfId="0" applyNumberFormat="1" applyFont="1" applyBorder="1" applyAlignment="1">
      <alignment horizontal="center"/>
    </xf>
    <xf numFmtId="2" fontId="14" fillId="0" borderId="62" xfId="0" applyNumberFormat="1" applyFont="1" applyBorder="1" applyAlignment="1">
      <alignment horizontal="center"/>
    </xf>
    <xf numFmtId="4" fontId="14" fillId="0" borderId="62" xfId="0" applyNumberFormat="1" applyFont="1" applyBorder="1" applyAlignment="1">
      <alignment horizontal="center"/>
    </xf>
    <xf numFmtId="0" fontId="0" fillId="0" borderId="63" xfId="0" applyBorder="1"/>
    <xf numFmtId="167" fontId="14" fillId="0" borderId="66" xfId="0" applyNumberFormat="1" applyFont="1" applyBorder="1" applyAlignment="1">
      <alignment horizontal="center"/>
    </xf>
    <xf numFmtId="17" fontId="65" fillId="0" borderId="0" xfId="0" applyNumberFormat="1" applyFont="1" applyAlignment="1">
      <alignment horizontal="right"/>
    </xf>
    <xf numFmtId="8" fontId="14" fillId="0" borderId="29" xfId="0" applyNumberFormat="1" applyFont="1" applyBorder="1" applyAlignment="1">
      <alignment horizontal="center"/>
    </xf>
    <xf numFmtId="10" fontId="14" fillId="0" borderId="29" xfId="0" applyNumberFormat="1" applyFont="1" applyBorder="1" applyAlignment="1">
      <alignment horizontal="center"/>
    </xf>
    <xf numFmtId="0" fontId="14" fillId="0" borderId="10" xfId="0" applyFont="1" applyBorder="1" applyAlignment="1">
      <alignment horizontal="center"/>
    </xf>
    <xf numFmtId="0" fontId="14" fillId="0" borderId="63" xfId="0" applyFont="1" applyBorder="1" applyAlignment="1">
      <alignment horizontal="center"/>
    </xf>
    <xf numFmtId="167" fontId="14" fillId="0" borderId="29" xfId="0" applyNumberFormat="1" applyFont="1" applyBorder="1" applyAlignment="1">
      <alignment horizontal="center"/>
    </xf>
    <xf numFmtId="1" fontId="14" fillId="15" borderId="65" xfId="0" applyNumberFormat="1" applyFont="1" applyFill="1" applyBorder="1" applyAlignment="1">
      <alignment horizontal="center"/>
    </xf>
    <xf numFmtId="0" fontId="64" fillId="0" borderId="0" xfId="0" applyFont="1"/>
    <xf numFmtId="0" fontId="4" fillId="0" borderId="60" xfId="0" applyFont="1" applyBorder="1"/>
    <xf numFmtId="4" fontId="4" fillId="0" borderId="60" xfId="0" applyNumberFormat="1" applyFont="1" applyBorder="1"/>
    <xf numFmtId="173" fontId="4" fillId="0" borderId="60" xfId="0" applyNumberFormat="1" applyFont="1" applyBorder="1"/>
    <xf numFmtId="10" fontId="4" fillId="0" borderId="60" xfId="0" applyNumberFormat="1" applyFont="1" applyBorder="1" applyAlignment="1">
      <alignment horizontal="center"/>
    </xf>
    <xf numFmtId="0" fontId="4" fillId="0" borderId="60" xfId="0" applyFont="1" applyBorder="1" applyAlignment="1">
      <alignment horizontal="center"/>
    </xf>
    <xf numFmtId="0" fontId="14" fillId="0" borderId="60" xfId="0" applyFont="1" applyBorder="1"/>
    <xf numFmtId="17" fontId="14" fillId="16" borderId="0" xfId="0" applyNumberFormat="1" applyFont="1" applyFill="1" applyAlignment="1">
      <alignment horizontal="center"/>
    </xf>
    <xf numFmtId="167" fontId="14" fillId="16" borderId="0" xfId="0" applyNumberFormat="1" applyFont="1" applyFill="1" applyAlignment="1">
      <alignment horizontal="center"/>
    </xf>
    <xf numFmtId="4" fontId="14" fillId="16" borderId="0" xfId="0" applyNumberFormat="1" applyFont="1" applyFill="1" applyAlignment="1">
      <alignment horizontal="center"/>
    </xf>
    <xf numFmtId="1" fontId="4" fillId="0" borderId="45" xfId="0" applyNumberFormat="1" applyFont="1" applyBorder="1" applyAlignment="1">
      <alignment horizontal="center"/>
    </xf>
    <xf numFmtId="7" fontId="14" fillId="0" borderId="0" xfId="0" applyNumberFormat="1" applyFont="1"/>
    <xf numFmtId="17" fontId="14" fillId="17" borderId="0" xfId="0" applyNumberFormat="1" applyFont="1" applyFill="1" applyAlignment="1">
      <alignment horizontal="center"/>
    </xf>
    <xf numFmtId="170" fontId="14" fillId="17" borderId="0" xfId="2" applyNumberFormat="1" applyFont="1" applyFill="1" applyAlignment="1">
      <alignment horizontal="center"/>
    </xf>
    <xf numFmtId="2" fontId="14" fillId="17" borderId="0" xfId="2" applyNumberFormat="1" applyFont="1" applyFill="1" applyAlignment="1">
      <alignment horizontal="center"/>
    </xf>
    <xf numFmtId="4" fontId="14" fillId="17" borderId="0" xfId="0" applyNumberFormat="1" applyFont="1" applyFill="1" applyAlignment="1">
      <alignment horizontal="center"/>
    </xf>
    <xf numFmtId="2" fontId="14" fillId="0" borderId="42" xfId="0" applyNumberFormat="1" applyFont="1" applyBorder="1" applyAlignment="1">
      <alignment horizontal="center"/>
    </xf>
    <xf numFmtId="0" fontId="14" fillId="0" borderId="29" xfId="0" applyFont="1" applyBorder="1"/>
    <xf numFmtId="4" fontId="14" fillId="0" borderId="29" xfId="0" applyNumberFormat="1" applyFont="1" applyBorder="1" applyAlignment="1">
      <alignment horizontal="center"/>
    </xf>
    <xf numFmtId="4" fontId="14" fillId="0" borderId="63" xfId="0" applyNumberFormat="1" applyFont="1" applyBorder="1" applyAlignment="1">
      <alignment horizontal="center"/>
    </xf>
    <xf numFmtId="0" fontId="14" fillId="0" borderId="62" xfId="0" applyFont="1" applyBorder="1" applyAlignment="1">
      <alignment horizontal="center"/>
    </xf>
    <xf numFmtId="0" fontId="14" fillId="0" borderId="63" xfId="0" applyFont="1" applyBorder="1"/>
    <xf numFmtId="0" fontId="4" fillId="0" borderId="63" xfId="0" applyFont="1" applyBorder="1"/>
    <xf numFmtId="4" fontId="14" fillId="0" borderId="59" xfId="0" applyNumberFormat="1" applyFont="1" applyBorder="1" applyAlignment="1">
      <alignment horizontal="center"/>
    </xf>
    <xf numFmtId="0" fontId="14" fillId="0" borderId="59" xfId="0" applyFont="1" applyBorder="1"/>
    <xf numFmtId="10" fontId="14" fillId="18" borderId="38" xfId="0" applyNumberFormat="1" applyFont="1" applyFill="1" applyBorder="1" applyAlignment="1">
      <alignment horizontal="center"/>
    </xf>
    <xf numFmtId="10" fontId="14" fillId="14" borderId="0" xfId="0" applyNumberFormat="1" applyFont="1" applyFill="1" applyAlignment="1">
      <alignment horizontal="center"/>
    </xf>
    <xf numFmtId="1" fontId="0" fillId="0" borderId="0" xfId="0" applyNumberFormat="1"/>
    <xf numFmtId="167" fontId="14" fillId="0" borderId="43" xfId="0" applyNumberFormat="1" applyFont="1" applyBorder="1" applyAlignment="1">
      <alignment horizontal="center"/>
    </xf>
    <xf numFmtId="8" fontId="65" fillId="0" borderId="67" xfId="0" applyNumberFormat="1" applyFont="1" applyBorder="1" applyAlignment="1">
      <alignment horizontal="right"/>
    </xf>
    <xf numFmtId="2" fontId="14" fillId="15" borderId="65" xfId="0" applyNumberFormat="1" applyFont="1" applyFill="1" applyBorder="1" applyAlignment="1">
      <alignment horizontal="center"/>
    </xf>
    <xf numFmtId="0" fontId="4" fillId="19" borderId="0" xfId="0" applyFont="1" applyFill="1"/>
    <xf numFmtId="4" fontId="4" fillId="19" borderId="0" xfId="0" applyNumberFormat="1" applyFont="1" applyFill="1"/>
    <xf numFmtId="173" fontId="4" fillId="19" borderId="0" xfId="0" applyNumberFormat="1" applyFont="1" applyFill="1"/>
    <xf numFmtId="10" fontId="4" fillId="19" borderId="0" xfId="0" applyNumberFormat="1" applyFont="1" applyFill="1" applyAlignment="1">
      <alignment horizontal="center"/>
    </xf>
    <xf numFmtId="0" fontId="4" fillId="19" borderId="0" xfId="0" applyFont="1" applyFill="1" applyAlignment="1">
      <alignment horizontal="center"/>
    </xf>
    <xf numFmtId="0" fontId="14" fillId="19" borderId="0" xfId="0" applyFont="1" applyFill="1"/>
    <xf numFmtId="0" fontId="0" fillId="19" borderId="0" xfId="0" applyFill="1"/>
    <xf numFmtId="4" fontId="14" fillId="0" borderId="23" xfId="0" applyNumberFormat="1" applyFont="1" applyBorder="1" applyAlignment="1">
      <alignment horizontal="center"/>
    </xf>
    <xf numFmtId="173" fontId="14" fillId="0" borderId="44" xfId="0" applyNumberFormat="1" applyFont="1" applyBorder="1" applyAlignment="1">
      <alignment horizontal="center"/>
    </xf>
    <xf numFmtId="169" fontId="10" fillId="2" borderId="29" xfId="0" applyNumberFormat="1" applyFont="1" applyFill="1" applyBorder="1"/>
    <xf numFmtId="10" fontId="4" fillId="0" borderId="29" xfId="2" applyNumberFormat="1" applyFont="1" applyBorder="1" applyAlignment="1">
      <alignment horizontal="center"/>
    </xf>
    <xf numFmtId="10" fontId="10" fillId="0" borderId="29" xfId="0" applyNumberFormat="1" applyFont="1" applyBorder="1"/>
    <xf numFmtId="0" fontId="10" fillId="0" borderId="68" xfId="0" applyFont="1" applyBorder="1"/>
    <xf numFmtId="10" fontId="4" fillId="0" borderId="68" xfId="2" applyNumberFormat="1" applyFont="1" applyBorder="1" applyAlignment="1">
      <alignment horizontal="center"/>
    </xf>
    <xf numFmtId="0" fontId="4" fillId="0" borderId="29" xfId="0" applyFont="1" applyBorder="1" applyAlignment="1">
      <alignment horizontal="center"/>
    </xf>
    <xf numFmtId="4" fontId="4" fillId="0" borderId="29" xfId="0" applyNumberFormat="1" applyFont="1" applyBorder="1" applyAlignment="1">
      <alignment horizontal="center"/>
    </xf>
    <xf numFmtId="4" fontId="14" fillId="0" borderId="29" xfId="0" applyNumberFormat="1" applyFont="1" applyBorder="1"/>
    <xf numFmtId="10" fontId="4" fillId="0" borderId="29" xfId="0" applyNumberFormat="1" applyFont="1" applyBorder="1" applyAlignment="1">
      <alignment horizontal="right"/>
    </xf>
    <xf numFmtId="10" fontId="14" fillId="0" borderId="29" xfId="0" applyNumberFormat="1" applyFont="1" applyBorder="1"/>
    <xf numFmtId="2" fontId="4" fillId="0" borderId="29" xfId="0" applyNumberFormat="1" applyFont="1" applyBorder="1" applyAlignment="1">
      <alignment horizontal="right"/>
    </xf>
    <xf numFmtId="180" fontId="14" fillId="0" borderId="29" xfId="0" applyNumberFormat="1" applyFont="1" applyBorder="1"/>
    <xf numFmtId="4" fontId="14" fillId="0" borderId="29" xfId="0" applyNumberFormat="1" applyFont="1" applyBorder="1" applyAlignment="1">
      <alignment horizontal="left"/>
    </xf>
    <xf numFmtId="0" fontId="14" fillId="0" borderId="29" xfId="0" applyFont="1" applyBorder="1" applyAlignment="1">
      <alignment horizontal="left"/>
    </xf>
    <xf numFmtId="0" fontId="0" fillId="21" borderId="0" xfId="0" applyFill="1"/>
    <xf numFmtId="0" fontId="4" fillId="0" borderId="71" xfId="0" applyFont="1" applyBorder="1"/>
    <xf numFmtId="1" fontId="0" fillId="0" borderId="0" xfId="0" applyNumberFormat="1" applyAlignment="1">
      <alignment horizontal="center"/>
    </xf>
    <xf numFmtId="1" fontId="0" fillId="20" borderId="0" xfId="0" applyNumberFormat="1" applyFill="1" applyAlignment="1">
      <alignment horizontal="center"/>
    </xf>
    <xf numFmtId="169" fontId="0" fillId="20" borderId="0" xfId="2" applyNumberFormat="1" applyFont="1" applyFill="1" applyAlignment="1"/>
    <xf numFmtId="0" fontId="0" fillId="20" borderId="0" xfId="0" applyFill="1"/>
    <xf numFmtId="169" fontId="4" fillId="20" borderId="0" xfId="0" applyNumberFormat="1" applyFont="1" applyFill="1" applyAlignment="1">
      <alignment horizontal="center"/>
    </xf>
    <xf numFmtId="1" fontId="4" fillId="20" borderId="0" xfId="0" applyNumberFormat="1" applyFont="1" applyFill="1" applyAlignment="1">
      <alignment horizontal="center"/>
    </xf>
    <xf numFmtId="0" fontId="66" fillId="22" borderId="0" xfId="0" applyFont="1" applyFill="1"/>
    <xf numFmtId="0" fontId="66" fillId="22" borderId="0" xfId="0" applyFont="1" applyFill="1" applyAlignment="1">
      <alignment horizontal="center"/>
    </xf>
    <xf numFmtId="10" fontId="66" fillId="22" borderId="0" xfId="0" applyNumberFormat="1" applyFont="1" applyFill="1" applyAlignment="1">
      <alignment horizontal="center"/>
    </xf>
    <xf numFmtId="1" fontId="4" fillId="0" borderId="29" xfId="0" applyNumberFormat="1" applyFont="1" applyBorder="1" applyAlignment="1">
      <alignment horizontal="center"/>
    </xf>
    <xf numFmtId="1" fontId="14" fillId="0" borderId="29" xfId="0" applyNumberFormat="1" applyFont="1" applyBorder="1" applyAlignment="1">
      <alignment horizontal="center"/>
    </xf>
    <xf numFmtId="10" fontId="4" fillId="0" borderId="0" xfId="2" applyNumberFormat="1" applyFont="1" applyAlignment="1">
      <alignment horizontal="center"/>
    </xf>
    <xf numFmtId="1" fontId="48" fillId="0" borderId="0" xfId="0" applyNumberFormat="1" applyFont="1" applyAlignment="1">
      <alignment horizontal="center"/>
    </xf>
    <xf numFmtId="10" fontId="0" fillId="0" borderId="0" xfId="2" applyNumberFormat="1" applyFont="1" applyAlignment="1">
      <alignment horizontal="center"/>
    </xf>
    <xf numFmtId="2" fontId="0" fillId="0" borderId="0" xfId="0" applyNumberFormat="1" applyAlignment="1">
      <alignment horizontal="center"/>
    </xf>
    <xf numFmtId="2" fontId="0" fillId="0" borderId="0" xfId="2" applyNumberFormat="1" applyFont="1" applyAlignment="1">
      <alignment horizontal="center"/>
    </xf>
    <xf numFmtId="8" fontId="14" fillId="0" borderId="0" xfId="1" applyNumberFormat="1" applyFont="1" applyAlignment="1">
      <alignment horizontal="center"/>
    </xf>
    <xf numFmtId="0" fontId="46" fillId="0" borderId="29" xfId="0" applyFont="1" applyBorder="1"/>
    <xf numFmtId="44" fontId="46" fillId="0" borderId="29" xfId="0" applyNumberFormat="1" applyFont="1" applyBorder="1"/>
    <xf numFmtId="10" fontId="14" fillId="0" borderId="0" xfId="2" applyNumberFormat="1" applyFont="1" applyAlignment="1">
      <alignment horizontal="center"/>
    </xf>
    <xf numFmtId="44" fontId="26" fillId="0" borderId="29" xfId="0" applyNumberFormat="1" applyFont="1" applyBorder="1" applyAlignment="1">
      <alignment horizontal="right"/>
    </xf>
    <xf numFmtId="0" fontId="14" fillId="2" borderId="24" xfId="0" applyFont="1" applyFill="1" applyBorder="1" applyAlignment="1">
      <alignment horizontal="center"/>
    </xf>
    <xf numFmtId="0" fontId="10" fillId="2" borderId="56" xfId="0" applyFont="1" applyFill="1" applyBorder="1" applyAlignment="1">
      <alignment horizontal="left"/>
    </xf>
    <xf numFmtId="0" fontId="67" fillId="0" borderId="0" xfId="0" applyFont="1"/>
    <xf numFmtId="170" fontId="7" fillId="0" borderId="29" xfId="0" applyNumberFormat="1" applyFont="1" applyBorder="1"/>
    <xf numFmtId="0" fontId="68" fillId="0" borderId="56" xfId="0" applyFont="1" applyBorder="1"/>
    <xf numFmtId="44" fontId="38" fillId="0" borderId="29" xfId="0" applyNumberFormat="1" applyFont="1" applyBorder="1" applyAlignment="1">
      <alignment horizontal="right"/>
    </xf>
    <xf numFmtId="169" fontId="24" fillId="2" borderId="28" xfId="2" applyNumberFormat="1" applyFont="1" applyFill="1" applyBorder="1" applyAlignment="1">
      <alignment horizontal="right"/>
    </xf>
    <xf numFmtId="0" fontId="68" fillId="0" borderId="29" xfId="0" applyFont="1" applyBorder="1"/>
    <xf numFmtId="0" fontId="14" fillId="2" borderId="72" xfId="0" applyFont="1" applyFill="1" applyBorder="1" applyAlignment="1">
      <alignment horizontal="center"/>
    </xf>
    <xf numFmtId="10" fontId="14" fillId="0" borderId="0" xfId="2" applyNumberFormat="1" applyFont="1" applyFill="1" applyAlignment="1">
      <alignment horizontal="center"/>
    </xf>
    <xf numFmtId="1" fontId="0" fillId="0" borderId="0" xfId="0" applyNumberFormat="1" applyAlignment="1">
      <alignment horizontal="right"/>
    </xf>
    <xf numFmtId="10" fontId="0" fillId="0" borderId="0" xfId="0" applyNumberFormat="1" applyAlignment="1">
      <alignment horizontal="center"/>
    </xf>
    <xf numFmtId="0" fontId="11" fillId="2" borderId="29" xfId="0" applyFont="1" applyFill="1" applyBorder="1" applyAlignment="1">
      <alignment horizontal="center"/>
    </xf>
    <xf numFmtId="169" fontId="4" fillId="2" borderId="29" xfId="0" applyNumberFormat="1" applyFont="1" applyFill="1" applyBorder="1" applyAlignment="1">
      <alignment horizontal="center"/>
    </xf>
    <xf numFmtId="0" fontId="4" fillId="2" borderId="29" xfId="0" applyFont="1" applyFill="1" applyBorder="1" applyAlignment="1">
      <alignment horizontal="center"/>
    </xf>
    <xf numFmtId="0" fontId="10" fillId="2" borderId="29" xfId="0" applyFont="1" applyFill="1" applyBorder="1" applyAlignment="1">
      <alignment horizontal="center"/>
    </xf>
    <xf numFmtId="169" fontId="10" fillId="2" borderId="29" xfId="0" applyNumberFormat="1" applyFont="1" applyFill="1" applyBorder="1" applyAlignment="1">
      <alignment horizontal="center"/>
    </xf>
    <xf numFmtId="10" fontId="38" fillId="23" borderId="15" xfId="0" applyNumberFormat="1" applyFont="1" applyFill="1" applyBorder="1"/>
    <xf numFmtId="0" fontId="14" fillId="25" borderId="47" xfId="0" applyFont="1" applyFill="1" applyBorder="1" applyAlignment="1">
      <alignment horizontal="center"/>
    </xf>
    <xf numFmtId="0" fontId="10" fillId="25" borderId="29" xfId="0" applyFont="1" applyFill="1" applyBorder="1"/>
    <xf numFmtId="0" fontId="10" fillId="25" borderId="28" xfId="0" applyFont="1" applyFill="1" applyBorder="1"/>
    <xf numFmtId="3" fontId="10" fillId="20" borderId="0" xfId="0" applyNumberFormat="1" applyFont="1" applyFill="1" applyAlignment="1">
      <alignment horizontal="center" vertical="top" wrapText="1"/>
    </xf>
    <xf numFmtId="44" fontId="10" fillId="20" borderId="0" xfId="0" applyNumberFormat="1" applyFont="1" applyFill="1" applyAlignment="1">
      <alignment horizontal="center"/>
    </xf>
    <xf numFmtId="44" fontId="10" fillId="20" borderId="29" xfId="0" applyNumberFormat="1" applyFont="1" applyFill="1" applyBorder="1" applyAlignment="1">
      <alignment horizontal="right"/>
    </xf>
    <xf numFmtId="44" fontId="24" fillId="20" borderId="29" xfId="1" applyFont="1" applyFill="1" applyBorder="1" applyAlignment="1">
      <alignment horizontal="right"/>
    </xf>
    <xf numFmtId="10" fontId="4" fillId="20" borderId="28" xfId="0" applyNumberFormat="1" applyFont="1" applyFill="1" applyBorder="1" applyAlignment="1">
      <alignment horizontal="left"/>
    </xf>
    <xf numFmtId="0" fontId="24" fillId="20" borderId="29" xfId="0" applyFont="1" applyFill="1" applyBorder="1"/>
    <xf numFmtId="175" fontId="7" fillId="25" borderId="29" xfId="0" applyNumberFormat="1" applyFont="1" applyFill="1" applyBorder="1"/>
    <xf numFmtId="170" fontId="7" fillId="25" borderId="29" xfId="0" applyNumberFormat="1" applyFont="1" applyFill="1" applyBorder="1"/>
    <xf numFmtId="44" fontId="10" fillId="25" borderId="29" xfId="0" applyNumberFormat="1" applyFont="1" applyFill="1" applyBorder="1"/>
    <xf numFmtId="0" fontId="4" fillId="25" borderId="29" xfId="0" applyFont="1" applyFill="1" applyBorder="1"/>
    <xf numFmtId="44" fontId="4" fillId="25" borderId="29" xfId="0" applyNumberFormat="1" applyFont="1" applyFill="1" applyBorder="1"/>
    <xf numFmtId="0" fontId="4" fillId="20" borderId="0" xfId="0" applyFont="1" applyFill="1"/>
    <xf numFmtId="44" fontId="10" fillId="20" borderId="29" xfId="0" applyNumberFormat="1" applyFont="1" applyFill="1" applyBorder="1" applyAlignment="1">
      <alignment horizontal="center"/>
    </xf>
    <xf numFmtId="14" fontId="24" fillId="20" borderId="29" xfId="0" applyNumberFormat="1" applyFont="1" applyFill="1" applyBorder="1" applyAlignment="1">
      <alignment horizontal="center"/>
    </xf>
    <xf numFmtId="10" fontId="38" fillId="0" borderId="0" xfId="0" applyNumberFormat="1" applyFont="1" applyAlignment="1">
      <alignment horizontal="right"/>
    </xf>
    <xf numFmtId="177" fontId="24" fillId="20" borderId="24" xfId="0" applyNumberFormat="1" applyFont="1" applyFill="1" applyBorder="1" applyAlignment="1">
      <alignment horizontal="right"/>
    </xf>
    <xf numFmtId="10" fontId="10" fillId="20" borderId="29" xfId="0" applyNumberFormat="1" applyFont="1" applyFill="1" applyBorder="1" applyAlignment="1">
      <alignment horizontal="center"/>
    </xf>
    <xf numFmtId="175" fontId="10" fillId="20" borderId="60" xfId="0" applyNumberFormat="1" applyFont="1" applyFill="1" applyBorder="1"/>
    <xf numFmtId="10" fontId="13" fillId="0" borderId="29" xfId="0" applyNumberFormat="1" applyFont="1" applyBorder="1" applyAlignment="1">
      <alignment horizontal="center"/>
    </xf>
    <xf numFmtId="0" fontId="10" fillId="2" borderId="73" xfId="0" applyFont="1" applyFill="1" applyBorder="1"/>
    <xf numFmtId="44" fontId="10" fillId="2" borderId="57" xfId="0" applyNumberFormat="1" applyFont="1" applyFill="1" applyBorder="1"/>
    <xf numFmtId="44" fontId="4" fillId="0" borderId="57" xfId="0" applyNumberFormat="1" applyFont="1" applyBorder="1"/>
    <xf numFmtId="0" fontId="10" fillId="2" borderId="74" xfId="0" applyFont="1" applyFill="1" applyBorder="1"/>
    <xf numFmtId="169" fontId="11" fillId="2" borderId="56" xfId="0" applyNumberFormat="1" applyFont="1" applyFill="1" applyBorder="1" applyAlignment="1">
      <alignment horizontal="right"/>
    </xf>
    <xf numFmtId="0" fontId="4" fillId="0" borderId="56" xfId="0" applyFont="1" applyBorder="1"/>
    <xf numFmtId="169" fontId="11" fillId="2" borderId="75" xfId="0" applyNumberFormat="1" applyFont="1" applyFill="1" applyBorder="1"/>
    <xf numFmtId="175" fontId="38" fillId="20" borderId="60" xfId="0" applyNumberFormat="1" applyFont="1" applyFill="1" applyBorder="1"/>
    <xf numFmtId="169" fontId="24" fillId="0" borderId="29" xfId="0" applyNumberFormat="1" applyFont="1" applyBorder="1" applyAlignment="1">
      <alignment horizontal="right"/>
    </xf>
    <xf numFmtId="44" fontId="12" fillId="0" borderId="29" xfId="0" applyNumberFormat="1" applyFont="1" applyBorder="1" applyAlignment="1">
      <alignment horizontal="right"/>
    </xf>
    <xf numFmtId="169" fontId="46" fillId="0" borderId="0" xfId="2" applyNumberFormat="1" applyFont="1"/>
    <xf numFmtId="169" fontId="46" fillId="0" borderId="0" xfId="0" applyNumberFormat="1" applyFont="1"/>
    <xf numFmtId="0" fontId="24" fillId="0" borderId="29" xfId="0" applyFont="1" applyBorder="1" applyAlignment="1">
      <alignment horizontal="center"/>
    </xf>
    <xf numFmtId="44" fontId="46" fillId="0" borderId="0" xfId="1" applyFont="1"/>
    <xf numFmtId="44" fontId="46" fillId="0" borderId="29" xfId="1" applyFont="1" applyFill="1" applyBorder="1"/>
    <xf numFmtId="169" fontId="11" fillId="2" borderId="29" xfId="0" applyNumberFormat="1" applyFont="1" applyFill="1" applyBorder="1" applyAlignment="1">
      <alignment horizontal="right"/>
    </xf>
    <xf numFmtId="169" fontId="11" fillId="2" borderId="8" xfId="0" applyNumberFormat="1" applyFont="1" applyFill="1" applyBorder="1"/>
    <xf numFmtId="0" fontId="10" fillId="2" borderId="57" xfId="0" applyFont="1" applyFill="1" applyBorder="1"/>
    <xf numFmtId="0" fontId="13" fillId="27" borderId="23" xfId="0" applyFont="1" applyFill="1" applyBorder="1" applyAlignment="1">
      <alignment horizontal="left"/>
    </xf>
    <xf numFmtId="0" fontId="48" fillId="0" borderId="29" xfId="0" applyFont="1" applyBorder="1"/>
    <xf numFmtId="7" fontId="14" fillId="28" borderId="38" xfId="0" applyNumberFormat="1" applyFont="1" applyFill="1" applyBorder="1" applyAlignment="1">
      <alignment horizontal="center"/>
    </xf>
    <xf numFmtId="4" fontId="14" fillId="28" borderId="38" xfId="0" applyNumberFormat="1" applyFont="1" applyFill="1" applyBorder="1" applyAlignment="1">
      <alignment horizontal="center"/>
    </xf>
    <xf numFmtId="173" fontId="14" fillId="28" borderId="44" xfId="0" applyNumberFormat="1" applyFont="1" applyFill="1" applyBorder="1" applyAlignment="1">
      <alignment horizontal="center"/>
    </xf>
    <xf numFmtId="10" fontId="14" fillId="28" borderId="38" xfId="0" applyNumberFormat="1" applyFont="1" applyFill="1" applyBorder="1" applyAlignment="1">
      <alignment horizontal="center"/>
    </xf>
    <xf numFmtId="17" fontId="14" fillId="14" borderId="0" xfId="0" applyNumberFormat="1" applyFont="1" applyFill="1" applyAlignment="1">
      <alignment horizontal="center"/>
    </xf>
    <xf numFmtId="4" fontId="14" fillId="18" borderId="38" xfId="0" applyNumberFormat="1" applyFont="1" applyFill="1" applyBorder="1" applyAlignment="1">
      <alignment horizontal="center"/>
    </xf>
    <xf numFmtId="173" fontId="14" fillId="18" borderId="44" xfId="0" applyNumberFormat="1" applyFont="1" applyFill="1" applyBorder="1" applyAlignment="1">
      <alignment horizontal="center"/>
    </xf>
    <xf numFmtId="173" fontId="4" fillId="14" borderId="0" xfId="0" applyNumberFormat="1" applyFont="1" applyFill="1"/>
    <xf numFmtId="167" fontId="14" fillId="14" borderId="0" xfId="0" applyNumberFormat="1" applyFont="1" applyFill="1" applyAlignment="1">
      <alignment horizontal="center"/>
    </xf>
    <xf numFmtId="4" fontId="14" fillId="14" borderId="38" xfId="0" applyNumberFormat="1" applyFont="1" applyFill="1" applyBorder="1" applyAlignment="1">
      <alignment horizontal="center"/>
    </xf>
    <xf numFmtId="173" fontId="14" fillId="14" borderId="44" xfId="0" applyNumberFormat="1" applyFont="1" applyFill="1" applyBorder="1" applyAlignment="1">
      <alignment horizontal="center"/>
    </xf>
    <xf numFmtId="10" fontId="14" fillId="14" borderId="38" xfId="0" applyNumberFormat="1" applyFont="1" applyFill="1" applyBorder="1" applyAlignment="1">
      <alignment horizontal="center"/>
    </xf>
    <xf numFmtId="10" fontId="14" fillId="14" borderId="0" xfId="2" applyNumberFormat="1" applyFont="1" applyFill="1" applyAlignment="1">
      <alignment horizontal="center"/>
    </xf>
    <xf numFmtId="0" fontId="69" fillId="0" borderId="0" xfId="3" applyAlignment="1"/>
    <xf numFmtId="169" fontId="0" fillId="0" borderId="0" xfId="2" applyNumberFormat="1" applyFont="1" applyAlignment="1"/>
    <xf numFmtId="0" fontId="68" fillId="0" borderId="56" xfId="4" applyFont="1" applyBorder="1"/>
    <xf numFmtId="0" fontId="68" fillId="0" borderId="29" xfId="4" applyFont="1"/>
    <xf numFmtId="44" fontId="4" fillId="2" borderId="29" xfId="0" applyNumberFormat="1" applyFont="1" applyFill="1" applyBorder="1" applyAlignment="1">
      <alignment horizontal="center"/>
    </xf>
    <xf numFmtId="14" fontId="45" fillId="0" borderId="29" xfId="4" applyNumberFormat="1" applyFont="1" applyAlignment="1">
      <alignment horizontal="left"/>
    </xf>
    <xf numFmtId="2" fontId="14" fillId="0" borderId="23" xfId="2" applyNumberFormat="1" applyFont="1" applyBorder="1" applyAlignment="1">
      <alignment horizontal="center"/>
    </xf>
    <xf numFmtId="0" fontId="65" fillId="30" borderId="0" xfId="0" applyFont="1" applyFill="1"/>
    <xf numFmtId="10" fontId="14" fillId="30" borderId="0" xfId="0" applyNumberFormat="1" applyFont="1" applyFill="1"/>
    <xf numFmtId="0" fontId="4" fillId="30" borderId="0" xfId="0" applyFont="1" applyFill="1"/>
    <xf numFmtId="4" fontId="4" fillId="30" borderId="0" xfId="0" applyNumberFormat="1" applyFont="1" applyFill="1"/>
    <xf numFmtId="173" fontId="4" fillId="30" borderId="0" xfId="0" applyNumberFormat="1" applyFont="1" applyFill="1"/>
    <xf numFmtId="10" fontId="4" fillId="0" borderId="45" xfId="2" applyNumberFormat="1" applyFont="1" applyBorder="1" applyAlignment="1">
      <alignment horizontal="right" vertical="center"/>
    </xf>
    <xf numFmtId="10" fontId="4" fillId="0" borderId="45" xfId="2" applyNumberFormat="1" applyFont="1" applyBorder="1" applyAlignment="1">
      <alignment vertical="center"/>
    </xf>
    <xf numFmtId="10" fontId="4" fillId="0" borderId="45" xfId="0" applyNumberFormat="1" applyFont="1" applyBorder="1" applyAlignment="1">
      <alignment vertical="center"/>
    </xf>
    <xf numFmtId="14" fontId="24" fillId="0" borderId="0" xfId="0" applyNumberFormat="1" applyFont="1" applyAlignment="1">
      <alignment horizontal="center"/>
    </xf>
    <xf numFmtId="0" fontId="4" fillId="2" borderId="57" xfId="0" applyFont="1" applyFill="1" applyBorder="1" applyAlignment="1">
      <alignment horizontal="center"/>
    </xf>
    <xf numFmtId="0" fontId="0" fillId="0" borderId="57" xfId="0" applyBorder="1"/>
    <xf numFmtId="179" fontId="4" fillId="2" borderId="76" xfId="0" applyNumberFormat="1" applyFont="1" applyFill="1" applyBorder="1" applyAlignment="1">
      <alignment horizontal="center"/>
    </xf>
    <xf numFmtId="44" fontId="4" fillId="2" borderId="76" xfId="0" applyNumberFormat="1" applyFont="1" applyFill="1" applyBorder="1" applyAlignment="1">
      <alignment horizontal="center"/>
    </xf>
    <xf numFmtId="0" fontId="4" fillId="2" borderId="72" xfId="0" applyFont="1" applyFill="1" applyBorder="1" applyAlignment="1">
      <alignment horizontal="center"/>
    </xf>
    <xf numFmtId="0" fontId="0" fillId="0" borderId="76" xfId="0" applyBorder="1"/>
    <xf numFmtId="0" fontId="13" fillId="2" borderId="72" xfId="0" applyFont="1" applyFill="1" applyBorder="1" applyAlignment="1">
      <alignment horizontal="center"/>
    </xf>
    <xf numFmtId="0" fontId="0" fillId="0" borderId="57" xfId="0" applyBorder="1" applyAlignment="1">
      <alignment horizontal="center"/>
    </xf>
    <xf numFmtId="44" fontId="0" fillId="0" borderId="76" xfId="1" applyFont="1" applyBorder="1" applyAlignment="1"/>
    <xf numFmtId="0" fontId="11" fillId="2" borderId="51" xfId="0" applyFont="1" applyFill="1" applyBorder="1"/>
    <xf numFmtId="0" fontId="11" fillId="2" borderId="52" xfId="0" applyFont="1" applyFill="1" applyBorder="1"/>
    <xf numFmtId="3" fontId="11" fillId="2" borderId="53" xfId="0" applyNumberFormat="1" applyFont="1" applyFill="1" applyBorder="1" applyAlignment="1">
      <alignment horizontal="center" vertical="top" wrapText="1"/>
    </xf>
    <xf numFmtId="44" fontId="11" fillId="2" borderId="53" xfId="0" applyNumberFormat="1" applyFont="1" applyFill="1" applyBorder="1" applyAlignment="1">
      <alignment horizontal="right"/>
    </xf>
    <xf numFmtId="44" fontId="11" fillId="2" borderId="53" xfId="0" applyNumberFormat="1" applyFont="1" applyFill="1" applyBorder="1" applyAlignment="1">
      <alignment horizontal="center"/>
    </xf>
    <xf numFmtId="169" fontId="11" fillId="2" borderId="53" xfId="0" applyNumberFormat="1" applyFont="1" applyFill="1" applyBorder="1" applyAlignment="1">
      <alignment horizontal="center"/>
    </xf>
    <xf numFmtId="7" fontId="12" fillId="2" borderId="53" xfId="0" applyNumberFormat="1" applyFont="1" applyFill="1" applyBorder="1" applyAlignment="1">
      <alignment horizontal="center"/>
    </xf>
    <xf numFmtId="0" fontId="0" fillId="0" borderId="29" xfId="7" applyFont="1" applyAlignment="1">
      <alignment horizontal="center" vertical="center"/>
    </xf>
    <xf numFmtId="166" fontId="7" fillId="2" borderId="29" xfId="7" applyNumberFormat="1" applyFont="1" applyFill="1" applyAlignment="1">
      <alignment horizontal="center" vertical="center"/>
    </xf>
    <xf numFmtId="0" fontId="7" fillId="2" borderId="29" xfId="7" applyFont="1" applyFill="1" applyAlignment="1">
      <alignment horizontal="center" vertical="center"/>
    </xf>
    <xf numFmtId="0" fontId="4" fillId="0" borderId="25" xfId="7" applyFont="1" applyBorder="1" applyAlignment="1">
      <alignment horizontal="center" vertical="center"/>
    </xf>
    <xf numFmtId="0" fontId="4" fillId="2" borderId="25" xfId="7" applyFont="1" applyFill="1" applyBorder="1" applyAlignment="1">
      <alignment horizontal="center" vertical="center"/>
    </xf>
    <xf numFmtId="0" fontId="35" fillId="2" borderId="25" xfId="7" applyFont="1" applyFill="1" applyBorder="1" applyAlignment="1">
      <alignment horizontal="center" vertical="center"/>
    </xf>
    <xf numFmtId="0" fontId="0" fillId="0" borderId="77" xfId="7" applyFont="1" applyBorder="1" applyAlignment="1">
      <alignment horizontal="center" vertical="center"/>
    </xf>
    <xf numFmtId="0" fontId="10" fillId="0" borderId="10" xfId="7" applyFont="1" applyBorder="1" applyAlignment="1">
      <alignment horizontal="center" vertical="center"/>
    </xf>
    <xf numFmtId="0" fontId="11" fillId="2" borderId="29" xfId="7" applyFont="1" applyFill="1" applyAlignment="1">
      <alignment horizontal="center" vertical="center"/>
    </xf>
    <xf numFmtId="0" fontId="11" fillId="2" borderId="24" xfId="7" applyFont="1" applyFill="1" applyBorder="1" applyAlignment="1">
      <alignment horizontal="center" vertical="center"/>
    </xf>
    <xf numFmtId="0" fontId="11" fillId="2" borderId="28" xfId="7" applyFont="1" applyFill="1" applyBorder="1" applyAlignment="1">
      <alignment horizontal="center" vertical="center"/>
    </xf>
    <xf numFmtId="0" fontId="0" fillId="0" borderId="76" xfId="7" applyFont="1" applyBorder="1" applyAlignment="1">
      <alignment horizontal="center" vertical="center"/>
    </xf>
    <xf numFmtId="0" fontId="10" fillId="0" borderId="25" xfId="7" applyFont="1" applyBorder="1" applyAlignment="1">
      <alignment horizontal="center" vertical="center"/>
    </xf>
    <xf numFmtId="0" fontId="11" fillId="2" borderId="25" xfId="7" applyFont="1" applyFill="1" applyBorder="1" applyAlignment="1">
      <alignment horizontal="center" vertical="center"/>
    </xf>
    <xf numFmtId="0" fontId="11" fillId="2" borderId="26" xfId="7" applyFont="1" applyFill="1" applyBorder="1" applyAlignment="1">
      <alignment horizontal="center" vertical="center"/>
    </xf>
    <xf numFmtId="0" fontId="11" fillId="2" borderId="5" xfId="7" applyFont="1" applyFill="1" applyBorder="1" applyAlignment="1">
      <alignment horizontal="center" vertical="center"/>
    </xf>
    <xf numFmtId="0" fontId="12" fillId="2" borderId="25" xfId="7" applyFont="1" applyFill="1" applyBorder="1" applyAlignment="1">
      <alignment horizontal="center" vertical="center"/>
    </xf>
    <xf numFmtId="0" fontId="6" fillId="0" borderId="78" xfId="7" applyFont="1" applyBorder="1" applyAlignment="1">
      <alignment horizontal="center" vertical="center"/>
    </xf>
    <xf numFmtId="0" fontId="10" fillId="0" borderId="28" xfId="7" applyFont="1" applyBorder="1" applyAlignment="1">
      <alignment horizontal="center" vertical="center"/>
    </xf>
    <xf numFmtId="0" fontId="11" fillId="0" borderId="24" xfId="7" applyFont="1" applyBorder="1" applyAlignment="1">
      <alignment horizontal="center" vertical="center"/>
    </xf>
    <xf numFmtId="0" fontId="11" fillId="0" borderId="29" xfId="7" applyFont="1" applyAlignment="1">
      <alignment horizontal="center" vertical="center"/>
    </xf>
    <xf numFmtId="0" fontId="12" fillId="2" borderId="29" xfId="7" applyFont="1" applyFill="1" applyAlignment="1">
      <alignment horizontal="center" vertical="center"/>
    </xf>
    <xf numFmtId="0" fontId="14" fillId="0" borderId="47" xfId="7" applyFont="1" applyBorder="1" applyAlignment="1">
      <alignment horizontal="center" vertical="center"/>
    </xf>
    <xf numFmtId="0" fontId="10" fillId="26" borderId="28" xfId="7" applyFont="1" applyFill="1" applyBorder="1" applyAlignment="1">
      <alignment horizontal="center" vertical="center"/>
    </xf>
    <xf numFmtId="0" fontId="10" fillId="26" borderId="29" xfId="7" applyFont="1" applyFill="1" applyAlignment="1">
      <alignment horizontal="center" vertical="center"/>
    </xf>
    <xf numFmtId="44" fontId="24" fillId="26" borderId="29" xfId="7" applyNumberFormat="1" applyFont="1" applyFill="1" applyAlignment="1">
      <alignment horizontal="center" vertical="center"/>
    </xf>
    <xf numFmtId="165" fontId="0" fillId="26" borderId="29" xfId="7" applyNumberFormat="1" applyFont="1" applyFill="1" applyAlignment="1">
      <alignment horizontal="center" vertical="center"/>
    </xf>
    <xf numFmtId="10" fontId="10" fillId="26" borderId="28" xfId="7" applyNumberFormat="1" applyFont="1" applyFill="1" applyBorder="1" applyAlignment="1">
      <alignment horizontal="center" vertical="center"/>
    </xf>
    <xf numFmtId="3" fontId="10" fillId="26" borderId="29" xfId="7" applyNumberFormat="1" applyFont="1" applyFill="1" applyAlignment="1">
      <alignment horizontal="center" vertical="center" wrapText="1"/>
    </xf>
    <xf numFmtId="0" fontId="10" fillId="31" borderId="28" xfId="7" applyFont="1" applyFill="1" applyBorder="1" applyAlignment="1">
      <alignment horizontal="center" vertical="center"/>
    </xf>
    <xf numFmtId="0" fontId="10" fillId="31" borderId="29" xfId="7" applyFont="1" applyFill="1" applyAlignment="1">
      <alignment horizontal="center" vertical="center"/>
    </xf>
    <xf numFmtId="44" fontId="24" fillId="31" borderId="29" xfId="7" applyNumberFormat="1" applyFont="1" applyFill="1" applyAlignment="1">
      <alignment horizontal="center" vertical="center"/>
    </xf>
    <xf numFmtId="165" fontId="0" fillId="31" borderId="29" xfId="7" applyNumberFormat="1" applyFont="1" applyFill="1" applyAlignment="1">
      <alignment horizontal="center" vertical="center"/>
    </xf>
    <xf numFmtId="10" fontId="10" fillId="31" borderId="28" xfId="7" applyNumberFormat="1" applyFont="1" applyFill="1" applyBorder="1" applyAlignment="1">
      <alignment horizontal="center" vertical="center"/>
    </xf>
    <xf numFmtId="3" fontId="10" fillId="31" borderId="29" xfId="7" applyNumberFormat="1" applyFont="1" applyFill="1" applyAlignment="1">
      <alignment horizontal="center" vertical="center" wrapText="1"/>
    </xf>
    <xf numFmtId="0" fontId="10" fillId="30" borderId="28" xfId="7" applyFont="1" applyFill="1" applyBorder="1" applyAlignment="1">
      <alignment horizontal="center" vertical="center"/>
    </xf>
    <xf numFmtId="44" fontId="24" fillId="30" borderId="29" xfId="7" applyNumberFormat="1" applyFont="1" applyFill="1" applyAlignment="1">
      <alignment horizontal="center" vertical="center"/>
    </xf>
    <xf numFmtId="165" fontId="0" fillId="30" borderId="29" xfId="7" applyNumberFormat="1" applyFont="1" applyFill="1" applyAlignment="1">
      <alignment horizontal="center" vertical="center"/>
    </xf>
    <xf numFmtId="10" fontId="10" fillId="30" borderId="28" xfId="7" applyNumberFormat="1" applyFont="1" applyFill="1" applyBorder="1" applyAlignment="1">
      <alignment horizontal="center" vertical="center"/>
    </xf>
    <xf numFmtId="3" fontId="10" fillId="30" borderId="29" xfId="7" applyNumberFormat="1" applyFont="1" applyFill="1" applyAlignment="1">
      <alignment horizontal="center" vertical="center" wrapText="1"/>
    </xf>
    <xf numFmtId="0" fontId="10" fillId="32" borderId="28" xfId="7" applyFont="1" applyFill="1" applyBorder="1" applyAlignment="1">
      <alignment horizontal="center" vertical="center"/>
    </xf>
    <xf numFmtId="0" fontId="10" fillId="32" borderId="29" xfId="7" applyFont="1" applyFill="1" applyAlignment="1">
      <alignment horizontal="center" vertical="center"/>
    </xf>
    <xf numFmtId="44" fontId="24" fillId="32" borderId="29" xfId="7" applyNumberFormat="1" applyFont="1" applyFill="1" applyAlignment="1">
      <alignment horizontal="center" vertical="center"/>
    </xf>
    <xf numFmtId="165" fontId="0" fillId="32" borderId="29" xfId="7" applyNumberFormat="1" applyFont="1" applyFill="1" applyAlignment="1">
      <alignment horizontal="center" vertical="center"/>
    </xf>
    <xf numFmtId="10" fontId="10" fillId="32" borderId="28" xfId="7" applyNumberFormat="1" applyFont="1" applyFill="1" applyBorder="1" applyAlignment="1">
      <alignment horizontal="center" vertical="center"/>
    </xf>
    <xf numFmtId="3" fontId="10" fillId="32" borderId="29" xfId="7" applyNumberFormat="1" applyFont="1" applyFill="1" applyAlignment="1">
      <alignment horizontal="center" vertical="center" wrapText="1"/>
    </xf>
    <xf numFmtId="0" fontId="10" fillId="33" borderId="28" xfId="7" applyFont="1" applyFill="1" applyBorder="1" applyAlignment="1">
      <alignment horizontal="center" vertical="center"/>
    </xf>
    <xf numFmtId="44" fontId="24" fillId="33" borderId="29" xfId="7" applyNumberFormat="1" applyFont="1" applyFill="1" applyAlignment="1">
      <alignment horizontal="center" vertical="center"/>
    </xf>
    <xf numFmtId="165" fontId="0" fillId="33" borderId="29" xfId="7" applyNumberFormat="1" applyFont="1" applyFill="1" applyAlignment="1">
      <alignment horizontal="center" vertical="center"/>
    </xf>
    <xf numFmtId="10" fontId="10" fillId="33" borderId="28" xfId="7" applyNumberFormat="1" applyFont="1" applyFill="1" applyBorder="1" applyAlignment="1">
      <alignment horizontal="center" vertical="center"/>
    </xf>
    <xf numFmtId="3" fontId="10" fillId="33" borderId="29" xfId="7" applyNumberFormat="1" applyFont="1" applyFill="1" applyAlignment="1">
      <alignment horizontal="center" vertical="center" wrapText="1"/>
    </xf>
    <xf numFmtId="0" fontId="10" fillId="34" borderId="28" xfId="7" applyFont="1" applyFill="1" applyBorder="1" applyAlignment="1">
      <alignment horizontal="center" vertical="center"/>
    </xf>
    <xf numFmtId="44" fontId="24" fillId="34" borderId="29" xfId="7" applyNumberFormat="1" applyFont="1" applyFill="1" applyAlignment="1">
      <alignment horizontal="center" vertical="center"/>
    </xf>
    <xf numFmtId="165" fontId="0" fillId="34" borderId="29" xfId="7" applyNumberFormat="1" applyFont="1" applyFill="1" applyAlignment="1">
      <alignment horizontal="center" vertical="center"/>
    </xf>
    <xf numFmtId="10" fontId="10" fillId="34" borderId="28" xfId="7" applyNumberFormat="1" applyFont="1" applyFill="1" applyBorder="1" applyAlignment="1">
      <alignment horizontal="center" vertical="center"/>
    </xf>
    <xf numFmtId="3" fontId="10" fillId="34" borderId="29" xfId="7" applyNumberFormat="1" applyFont="1" applyFill="1" applyAlignment="1">
      <alignment horizontal="center" vertical="center" wrapText="1"/>
    </xf>
    <xf numFmtId="0" fontId="10" fillId="35" borderId="28" xfId="7" applyFont="1" applyFill="1" applyBorder="1" applyAlignment="1">
      <alignment horizontal="center" vertical="center"/>
    </xf>
    <xf numFmtId="44" fontId="24" fillId="35" borderId="29" xfId="7" applyNumberFormat="1" applyFont="1" applyFill="1" applyAlignment="1">
      <alignment horizontal="center" vertical="center"/>
    </xf>
    <xf numFmtId="165" fontId="0" fillId="35" borderId="29" xfId="7" applyNumberFormat="1" applyFont="1" applyFill="1" applyAlignment="1">
      <alignment horizontal="center" vertical="center"/>
    </xf>
    <xf numFmtId="10" fontId="10" fillId="35" borderId="28" xfId="7" applyNumberFormat="1" applyFont="1" applyFill="1" applyBorder="1" applyAlignment="1">
      <alignment horizontal="center" vertical="center"/>
    </xf>
    <xf numFmtId="3" fontId="10" fillId="35" borderId="29" xfId="7" applyNumberFormat="1" applyFont="1" applyFill="1" applyAlignment="1">
      <alignment horizontal="center" vertical="center" wrapText="1"/>
    </xf>
    <xf numFmtId="0" fontId="10" fillId="36" borderId="28" xfId="7" applyFont="1" applyFill="1" applyBorder="1" applyAlignment="1">
      <alignment horizontal="center" vertical="center"/>
    </xf>
    <xf numFmtId="0" fontId="10" fillId="36" borderId="29" xfId="7" applyFont="1" applyFill="1" applyAlignment="1">
      <alignment horizontal="center" vertical="center"/>
    </xf>
    <xf numFmtId="44" fontId="24" fillId="36" borderId="29" xfId="7" applyNumberFormat="1" applyFont="1" applyFill="1" applyAlignment="1">
      <alignment horizontal="center" vertical="center"/>
    </xf>
    <xf numFmtId="165" fontId="0" fillId="36" borderId="29" xfId="7" applyNumberFormat="1" applyFont="1" applyFill="1" applyAlignment="1">
      <alignment horizontal="center" vertical="center"/>
    </xf>
    <xf numFmtId="10" fontId="10" fillId="36" borderId="28" xfId="7" applyNumberFormat="1" applyFont="1" applyFill="1" applyBorder="1" applyAlignment="1">
      <alignment horizontal="center" vertical="center"/>
    </xf>
    <xf numFmtId="0" fontId="10" fillId="37" borderId="28" xfId="7" applyFont="1" applyFill="1" applyBorder="1" applyAlignment="1">
      <alignment horizontal="center" vertical="center"/>
    </xf>
    <xf numFmtId="0" fontId="10" fillId="37" borderId="29" xfId="7" applyFont="1" applyFill="1" applyAlignment="1">
      <alignment horizontal="center" vertical="center"/>
    </xf>
    <xf numFmtId="44" fontId="24" fillId="37" borderId="29" xfId="7" applyNumberFormat="1" applyFont="1" applyFill="1" applyAlignment="1">
      <alignment horizontal="center" vertical="center"/>
    </xf>
    <xf numFmtId="165" fontId="0" fillId="37" borderId="29" xfId="7" applyNumberFormat="1" applyFont="1" applyFill="1" applyAlignment="1">
      <alignment horizontal="center" vertical="center"/>
    </xf>
    <xf numFmtId="10" fontId="10" fillId="37" borderId="28" xfId="7" applyNumberFormat="1" applyFont="1" applyFill="1" applyBorder="1" applyAlignment="1">
      <alignment horizontal="center" vertical="center"/>
    </xf>
    <xf numFmtId="3" fontId="10" fillId="37" borderId="29" xfId="7" applyNumberFormat="1" applyFont="1" applyFill="1" applyAlignment="1">
      <alignment horizontal="center" vertical="center" wrapText="1"/>
    </xf>
    <xf numFmtId="0" fontId="10" fillId="38" borderId="28" xfId="7" applyFont="1" applyFill="1" applyBorder="1" applyAlignment="1">
      <alignment horizontal="center" vertical="center"/>
    </xf>
    <xf numFmtId="44" fontId="24" fillId="38" borderId="29" xfId="7" applyNumberFormat="1" applyFont="1" applyFill="1" applyAlignment="1">
      <alignment horizontal="center" vertical="center"/>
    </xf>
    <xf numFmtId="165" fontId="0" fillId="38" borderId="29" xfId="7" applyNumberFormat="1" applyFont="1" applyFill="1" applyAlignment="1">
      <alignment horizontal="center" vertical="center"/>
    </xf>
    <xf numFmtId="10" fontId="10" fillId="38" borderId="28" xfId="7" applyNumberFormat="1" applyFont="1" applyFill="1" applyBorder="1" applyAlignment="1">
      <alignment horizontal="center" vertical="center"/>
    </xf>
    <xf numFmtId="3" fontId="10" fillId="38" borderId="29" xfId="7" applyNumberFormat="1" applyFont="1" applyFill="1" applyAlignment="1">
      <alignment horizontal="center" vertical="center" wrapText="1"/>
    </xf>
    <xf numFmtId="0" fontId="10" fillId="39" borderId="28" xfId="7" applyFont="1" applyFill="1" applyBorder="1" applyAlignment="1">
      <alignment horizontal="center" vertical="center"/>
    </xf>
    <xf numFmtId="0" fontId="10" fillId="39" borderId="29" xfId="7" applyFont="1" applyFill="1" applyAlignment="1">
      <alignment horizontal="center" vertical="center"/>
    </xf>
    <xf numFmtId="44" fontId="24" fillId="39" borderId="29" xfId="7" applyNumberFormat="1" applyFont="1" applyFill="1" applyAlignment="1">
      <alignment horizontal="center" vertical="center"/>
    </xf>
    <xf numFmtId="165" fontId="0" fillId="39" borderId="29" xfId="7" applyNumberFormat="1" applyFont="1" applyFill="1" applyAlignment="1">
      <alignment horizontal="center" vertical="center"/>
    </xf>
    <xf numFmtId="10" fontId="10" fillId="39" borderId="28" xfId="7" applyNumberFormat="1" applyFont="1" applyFill="1" applyBorder="1" applyAlignment="1">
      <alignment horizontal="center" vertical="center"/>
    </xf>
    <xf numFmtId="3" fontId="10" fillId="39" borderId="29" xfId="7" applyNumberFormat="1" applyFont="1" applyFill="1" applyAlignment="1">
      <alignment horizontal="center" vertical="center" wrapText="1"/>
    </xf>
    <xf numFmtId="0" fontId="11" fillId="0" borderId="29" xfId="7" applyFont="1" applyAlignment="1">
      <alignment horizontal="left" vertical="center" wrapText="1"/>
    </xf>
    <xf numFmtId="3" fontId="10" fillId="0" borderId="24" xfId="7" applyNumberFormat="1" applyFont="1" applyBorder="1" applyAlignment="1">
      <alignment horizontal="center" vertical="center" wrapText="1"/>
    </xf>
    <xf numFmtId="44" fontId="10" fillId="0" borderId="29" xfId="7" applyNumberFormat="1" applyFont="1" applyAlignment="1">
      <alignment horizontal="center" vertical="center"/>
    </xf>
    <xf numFmtId="44" fontId="11" fillId="0" borderId="29" xfId="7" applyNumberFormat="1" applyFont="1" applyAlignment="1">
      <alignment horizontal="center" vertical="center"/>
    </xf>
    <xf numFmtId="10" fontId="11" fillId="0" borderId="29" xfId="7" applyNumberFormat="1" applyFont="1" applyAlignment="1">
      <alignment horizontal="center" vertical="center"/>
    </xf>
    <xf numFmtId="3" fontId="10" fillId="0" borderId="29" xfId="7" applyNumberFormat="1" applyFont="1" applyAlignment="1">
      <alignment horizontal="center" vertical="center" wrapText="1"/>
    </xf>
    <xf numFmtId="165" fontId="0" fillId="0" borderId="29" xfId="7" applyNumberFormat="1" applyFont="1" applyAlignment="1">
      <alignment horizontal="center" vertical="center"/>
    </xf>
    <xf numFmtId="165" fontId="6" fillId="0" borderId="29" xfId="7" applyNumberFormat="1" applyFont="1" applyAlignment="1">
      <alignment horizontal="center" vertical="center"/>
    </xf>
    <xf numFmtId="10" fontId="11" fillId="0" borderId="28" xfId="7" applyNumberFormat="1" applyFont="1" applyBorder="1" applyAlignment="1">
      <alignment horizontal="center" vertical="center"/>
    </xf>
    <xf numFmtId="44" fontId="12" fillId="0" borderId="29" xfId="7" applyNumberFormat="1" applyFont="1" applyAlignment="1">
      <alignment horizontal="center" vertical="center"/>
    </xf>
    <xf numFmtId="0" fontId="10" fillId="0" borderId="29" xfId="7" applyFont="1" applyAlignment="1">
      <alignment horizontal="left" vertical="center"/>
    </xf>
    <xf numFmtId="0" fontId="10" fillId="0" borderId="29" xfId="7" applyFont="1" applyAlignment="1">
      <alignment horizontal="center" vertical="center"/>
    </xf>
    <xf numFmtId="3" fontId="4" fillId="0" borderId="24" xfId="7" applyNumberFormat="1" applyFont="1" applyBorder="1" applyAlignment="1">
      <alignment horizontal="center" vertical="center" wrapText="1"/>
    </xf>
    <xf numFmtId="43" fontId="4" fillId="0" borderId="29" xfId="7" applyNumberFormat="1" applyFont="1" applyAlignment="1">
      <alignment horizontal="center" vertical="center"/>
    </xf>
    <xf numFmtId="168" fontId="4" fillId="0" borderId="29" xfId="7" applyNumberFormat="1" applyFont="1" applyAlignment="1">
      <alignment horizontal="center" vertical="center"/>
    </xf>
    <xf numFmtId="169" fontId="4" fillId="0" borderId="29" xfId="7" applyNumberFormat="1" applyFont="1" applyAlignment="1">
      <alignment horizontal="center" vertical="center"/>
    </xf>
    <xf numFmtId="3" fontId="4" fillId="0" borderId="29" xfId="7" applyNumberFormat="1" applyFont="1" applyAlignment="1">
      <alignment horizontal="center" vertical="center" wrapText="1"/>
    </xf>
    <xf numFmtId="2" fontId="4" fillId="0" borderId="29" xfId="7" applyNumberFormat="1" applyFont="1" applyAlignment="1">
      <alignment horizontal="center" vertical="center"/>
    </xf>
    <xf numFmtId="7" fontId="24" fillId="0" borderId="29" xfId="7" applyNumberFormat="1" applyFont="1" applyAlignment="1">
      <alignment horizontal="center" vertical="center"/>
    </xf>
    <xf numFmtId="10" fontId="4" fillId="0" borderId="28" xfId="7" applyNumberFormat="1" applyFont="1" applyBorder="1" applyAlignment="1">
      <alignment horizontal="center" vertical="center"/>
    </xf>
    <xf numFmtId="0" fontId="4" fillId="0" borderId="24" xfId="7" applyFont="1" applyBorder="1" applyAlignment="1">
      <alignment horizontal="center" vertical="center"/>
    </xf>
    <xf numFmtId="0" fontId="13" fillId="2" borderId="29" xfId="7" applyFont="1" applyFill="1" applyAlignment="1">
      <alignment horizontal="center" vertical="center"/>
    </xf>
    <xf numFmtId="169" fontId="13" fillId="0" borderId="29" xfId="7" applyNumberFormat="1" applyFont="1" applyAlignment="1">
      <alignment horizontal="center" vertical="center"/>
    </xf>
    <xf numFmtId="43" fontId="11" fillId="2" borderId="29" xfId="7" applyNumberFormat="1" applyFont="1" applyFill="1" applyAlignment="1">
      <alignment horizontal="center" vertical="center"/>
    </xf>
    <xf numFmtId="0" fontId="13" fillId="0" borderId="29" xfId="7" applyFont="1" applyAlignment="1">
      <alignment horizontal="center" vertical="center"/>
    </xf>
    <xf numFmtId="10" fontId="13" fillId="0" borderId="29" xfId="7" applyNumberFormat="1" applyFont="1" applyAlignment="1">
      <alignment horizontal="center" vertical="center"/>
    </xf>
    <xf numFmtId="44" fontId="12" fillId="0" borderId="29" xfId="7" applyNumberFormat="1" applyFont="1" applyAlignment="1">
      <alignment horizontal="center"/>
    </xf>
    <xf numFmtId="0" fontId="4" fillId="0" borderId="7" xfId="7" applyFont="1" applyBorder="1" applyAlignment="1">
      <alignment horizontal="center" vertical="center"/>
    </xf>
    <xf numFmtId="0" fontId="13" fillId="2" borderId="8" xfId="7" applyFont="1" applyFill="1" applyBorder="1" applyAlignment="1">
      <alignment horizontal="center" vertical="center"/>
    </xf>
    <xf numFmtId="0" fontId="11" fillId="2" borderId="7" xfId="7" applyFont="1" applyFill="1" applyBorder="1" applyAlignment="1">
      <alignment horizontal="center" vertical="center"/>
    </xf>
    <xf numFmtId="0" fontId="11" fillId="2" borderId="8" xfId="7" applyFont="1" applyFill="1" applyBorder="1" applyAlignment="1">
      <alignment horizontal="center" vertical="center"/>
    </xf>
    <xf numFmtId="44" fontId="11" fillId="0" borderId="8" xfId="7" applyNumberFormat="1" applyFont="1" applyBorder="1" applyAlignment="1">
      <alignment horizontal="center" vertical="center"/>
    </xf>
    <xf numFmtId="10" fontId="11" fillId="0" borderId="8" xfId="7" applyNumberFormat="1" applyFont="1" applyBorder="1" applyAlignment="1">
      <alignment horizontal="center" vertical="center"/>
    </xf>
    <xf numFmtId="169" fontId="13" fillId="0" borderId="8" xfId="7" applyNumberFormat="1" applyFont="1" applyBorder="1" applyAlignment="1">
      <alignment horizontal="center" vertical="center"/>
    </xf>
    <xf numFmtId="0" fontId="13" fillId="0" borderId="8" xfId="7" applyFont="1" applyBorder="1" applyAlignment="1">
      <alignment horizontal="center" vertical="center"/>
    </xf>
    <xf numFmtId="44" fontId="12" fillId="0" borderId="8" xfId="7" applyNumberFormat="1" applyFont="1" applyBorder="1" applyAlignment="1">
      <alignment horizontal="center" vertical="center"/>
    </xf>
    <xf numFmtId="0" fontId="11" fillId="2" borderId="16" xfId="7" applyFont="1" applyFill="1" applyBorder="1" applyAlignment="1">
      <alignment horizontal="center" vertical="center"/>
    </xf>
    <xf numFmtId="0" fontId="11" fillId="2" borderId="30" xfId="7" applyFont="1" applyFill="1" applyBorder="1" applyAlignment="1">
      <alignment horizontal="center" vertical="center"/>
    </xf>
    <xf numFmtId="9" fontId="13" fillId="0" borderId="30" xfId="7" applyNumberFormat="1" applyFont="1" applyBorder="1" applyAlignment="1">
      <alignment horizontal="center" vertical="center"/>
    </xf>
    <xf numFmtId="0" fontId="13" fillId="0" borderId="31" xfId="7" applyFont="1" applyBorder="1" applyAlignment="1">
      <alignment horizontal="center" vertical="center"/>
    </xf>
    <xf numFmtId="44" fontId="12" fillId="0" borderId="30" xfId="7" applyNumberFormat="1" applyFont="1" applyBorder="1" applyAlignment="1">
      <alignment horizontal="center" vertical="center"/>
    </xf>
    <xf numFmtId="10" fontId="12" fillId="0" borderId="31" xfId="7" applyNumberFormat="1" applyFont="1" applyBorder="1" applyAlignment="1">
      <alignment horizontal="center" vertical="center"/>
    </xf>
    <xf numFmtId="0" fontId="4" fillId="2" borderId="29" xfId="7" applyFont="1" applyFill="1" applyAlignment="1">
      <alignment horizontal="center" vertical="center"/>
    </xf>
    <xf numFmtId="0" fontId="10" fillId="2" borderId="29" xfId="7" applyFont="1" applyFill="1" applyAlignment="1">
      <alignment horizontal="center" vertical="center"/>
    </xf>
    <xf numFmtId="44" fontId="24" fillId="2" borderId="29" xfId="7" applyNumberFormat="1" applyFont="1" applyFill="1" applyAlignment="1">
      <alignment horizontal="center" vertical="center"/>
    </xf>
    <xf numFmtId="169" fontId="4" fillId="2" borderId="29" xfId="7" applyNumberFormat="1" applyFont="1" applyFill="1" applyAlignment="1">
      <alignment horizontal="center" vertical="center"/>
    </xf>
    <xf numFmtId="4" fontId="10" fillId="2" borderId="29" xfId="7" applyNumberFormat="1" applyFont="1" applyFill="1" applyAlignment="1">
      <alignment horizontal="center" vertical="center"/>
    </xf>
    <xf numFmtId="39" fontId="10" fillId="0" borderId="29" xfId="7" applyNumberFormat="1" applyFont="1" applyAlignment="1">
      <alignment horizontal="center" vertical="center"/>
    </xf>
    <xf numFmtId="2" fontId="0" fillId="0" borderId="29" xfId="7" applyNumberFormat="1" applyFont="1" applyAlignment="1">
      <alignment horizontal="center" vertical="center"/>
    </xf>
    <xf numFmtId="0" fontId="24" fillId="0" borderId="29" xfId="7" applyFont="1" applyAlignment="1">
      <alignment horizontal="center" vertical="center"/>
    </xf>
    <xf numFmtId="0" fontId="44" fillId="2" borderId="29" xfId="7" applyFont="1" applyFill="1" applyAlignment="1">
      <alignment horizontal="center" vertical="center"/>
    </xf>
    <xf numFmtId="175" fontId="42" fillId="20" borderId="29" xfId="7" applyNumberFormat="1" applyFont="1" applyFill="1" applyAlignment="1">
      <alignment horizontal="center" vertical="center"/>
    </xf>
    <xf numFmtId="0" fontId="4" fillId="2" borderId="29" xfId="7" applyFont="1" applyFill="1" applyAlignment="1">
      <alignment horizontal="center" vertical="center" wrapText="1"/>
    </xf>
    <xf numFmtId="0" fontId="0" fillId="2" borderId="29" xfId="7" applyFont="1" applyFill="1" applyAlignment="1">
      <alignment horizontal="center" vertical="center"/>
    </xf>
    <xf numFmtId="0" fontId="7" fillId="0" borderId="29" xfId="7" applyFont="1" applyAlignment="1">
      <alignment horizontal="center" vertical="center"/>
    </xf>
    <xf numFmtId="0" fontId="4" fillId="2" borderId="29" xfId="7" applyFont="1" applyFill="1" applyAlignment="1">
      <alignment horizontal="left" vertical="center"/>
    </xf>
    <xf numFmtId="0" fontId="40" fillId="2" borderId="29" xfId="7" applyFont="1" applyFill="1" applyAlignment="1">
      <alignment horizontal="left" vertical="center"/>
    </xf>
    <xf numFmtId="0" fontId="13" fillId="2" borderId="29" xfId="7" applyFont="1" applyFill="1" applyAlignment="1">
      <alignment horizontal="left" vertical="center"/>
    </xf>
    <xf numFmtId="0" fontId="13" fillId="0" borderId="29" xfId="7" applyFont="1" applyAlignment="1">
      <alignment horizontal="left" vertical="center"/>
    </xf>
    <xf numFmtId="39" fontId="10" fillId="0" borderId="29" xfId="7" applyNumberFormat="1" applyFont="1" applyAlignment="1">
      <alignment horizontal="right" vertical="center"/>
    </xf>
    <xf numFmtId="0" fontId="48" fillId="0" borderId="29" xfId="7" applyAlignment="1">
      <alignment horizontal="left" vertical="center"/>
    </xf>
    <xf numFmtId="0" fontId="13" fillId="2" borderId="29" xfId="0" applyFont="1" applyFill="1" applyBorder="1" applyAlignment="1">
      <alignment horizontal="center"/>
    </xf>
    <xf numFmtId="0" fontId="11" fillId="2" borderId="29" xfId="0" applyFont="1" applyFill="1" applyBorder="1" applyAlignment="1">
      <alignment horizontal="right"/>
    </xf>
    <xf numFmtId="10" fontId="11" fillId="0" borderId="29" xfId="0" applyNumberFormat="1" applyFont="1" applyBorder="1" applyAlignment="1">
      <alignment horizontal="right"/>
    </xf>
    <xf numFmtId="0" fontId="13" fillId="2" borderId="57" xfId="0" applyFont="1" applyFill="1" applyBorder="1" applyAlignment="1">
      <alignment horizontal="center"/>
    </xf>
    <xf numFmtId="179" fontId="13" fillId="2" borderId="76" xfId="0" applyNumberFormat="1" applyFont="1" applyFill="1" applyBorder="1" applyAlignment="1">
      <alignment horizontal="center"/>
    </xf>
    <xf numFmtId="167" fontId="13" fillId="2" borderId="76" xfId="0" applyNumberFormat="1" applyFont="1" applyFill="1" applyBorder="1" applyAlignment="1">
      <alignment horizontal="center"/>
    </xf>
    <xf numFmtId="0" fontId="0" fillId="0" borderId="82" xfId="0" applyBorder="1"/>
    <xf numFmtId="0" fontId="13" fillId="2" borderId="53" xfId="0" applyFont="1" applyFill="1" applyBorder="1" applyAlignment="1">
      <alignment horizontal="left"/>
    </xf>
    <xf numFmtId="0" fontId="10" fillId="0" borderId="83" xfId="0" applyFont="1" applyBorder="1"/>
    <xf numFmtId="44" fontId="0" fillId="0" borderId="0" xfId="0" applyNumberFormat="1"/>
    <xf numFmtId="0" fontId="71" fillId="0" borderId="29" xfId="0" applyFont="1" applyBorder="1"/>
    <xf numFmtId="167" fontId="4" fillId="2" borderId="76" xfId="0" applyNumberFormat="1" applyFont="1" applyFill="1" applyBorder="1" applyAlignment="1">
      <alignment horizontal="center"/>
    </xf>
    <xf numFmtId="2" fontId="14" fillId="2" borderId="29" xfId="0" applyNumberFormat="1" applyFont="1" applyFill="1" applyBorder="1" applyAlignment="1">
      <alignment horizontal="center"/>
    </xf>
    <xf numFmtId="9" fontId="4" fillId="0" borderId="29" xfId="6" applyFont="1" applyBorder="1" applyAlignment="1">
      <alignment horizontal="center" vertical="center"/>
    </xf>
    <xf numFmtId="10" fontId="11" fillId="0" borderId="30" xfId="7" applyNumberFormat="1" applyFont="1" applyBorder="1" applyAlignment="1">
      <alignment horizontal="center" vertical="center"/>
    </xf>
    <xf numFmtId="169" fontId="46" fillId="0" borderId="0" xfId="2" applyNumberFormat="1" applyFont="1" applyFill="1" applyAlignment="1"/>
    <xf numFmtId="169" fontId="46" fillId="0" borderId="29" xfId="0" applyNumberFormat="1" applyFont="1" applyBorder="1"/>
    <xf numFmtId="169" fontId="46" fillId="0" borderId="29" xfId="1" applyNumberFormat="1" applyFont="1" applyFill="1" applyBorder="1" applyAlignment="1"/>
    <xf numFmtId="169" fontId="0" fillId="0" borderId="0" xfId="0" applyNumberFormat="1"/>
    <xf numFmtId="3" fontId="7" fillId="0" borderId="0" xfId="0" applyNumberFormat="1" applyFont="1" applyAlignment="1">
      <alignment horizontal="right"/>
    </xf>
    <xf numFmtId="171" fontId="62" fillId="0" borderId="0" xfId="1" applyNumberFormat="1" applyFont="1" applyAlignment="1"/>
    <xf numFmtId="184" fontId="24" fillId="0" borderId="24" xfId="0" applyNumberFormat="1" applyFont="1" applyBorder="1" applyAlignment="1">
      <alignment horizontal="right"/>
    </xf>
    <xf numFmtId="0" fontId="13" fillId="2" borderId="84" xfId="0" applyFont="1" applyFill="1" applyBorder="1" applyAlignment="1">
      <alignment horizontal="center"/>
    </xf>
    <xf numFmtId="0" fontId="13" fillId="2" borderId="85" xfId="0" applyFont="1" applyFill="1" applyBorder="1" applyAlignment="1">
      <alignment horizontal="center"/>
    </xf>
    <xf numFmtId="171" fontId="4" fillId="2" borderId="72" xfId="0" applyNumberFormat="1" applyFont="1" applyFill="1" applyBorder="1" applyAlignment="1">
      <alignment horizontal="center"/>
    </xf>
    <xf numFmtId="0" fontId="0" fillId="2" borderId="72" xfId="0" applyFill="1" applyBorder="1" applyAlignment="1">
      <alignment horizontal="center"/>
    </xf>
    <xf numFmtId="0" fontId="10" fillId="2" borderId="72" xfId="0" applyFont="1" applyFill="1" applyBorder="1" applyAlignment="1">
      <alignment horizontal="center"/>
    </xf>
    <xf numFmtId="1" fontId="10" fillId="2" borderId="72" xfId="0" applyNumberFormat="1" applyFont="1" applyFill="1" applyBorder="1" applyAlignment="1">
      <alignment horizontal="center"/>
    </xf>
    <xf numFmtId="0" fontId="11" fillId="2" borderId="72" xfId="0" applyFont="1" applyFill="1" applyBorder="1" applyAlignment="1">
      <alignment horizontal="center"/>
    </xf>
    <xf numFmtId="0" fontId="11" fillId="2" borderId="72" xfId="0" applyFont="1" applyFill="1" applyBorder="1" applyAlignment="1">
      <alignment horizontal="left"/>
    </xf>
    <xf numFmtId="0" fontId="4" fillId="0" borderId="72" xfId="0" applyFont="1" applyBorder="1"/>
    <xf numFmtId="3" fontId="10" fillId="2" borderId="72" xfId="0" applyNumberFormat="1" applyFont="1" applyFill="1" applyBorder="1" applyAlignment="1">
      <alignment horizontal="center" vertical="top" wrapText="1"/>
    </xf>
    <xf numFmtId="0" fontId="4" fillId="2" borderId="72" xfId="0" applyFont="1" applyFill="1" applyBorder="1"/>
    <xf numFmtId="0" fontId="20" fillId="2" borderId="72" xfId="0" applyFont="1" applyFill="1" applyBorder="1"/>
    <xf numFmtId="0" fontId="58" fillId="2" borderId="72" xfId="0" applyFont="1" applyFill="1" applyBorder="1" applyAlignment="1">
      <alignment horizontal="right"/>
    </xf>
    <xf numFmtId="0" fontId="59" fillId="2" borderId="72" xfId="0" applyFont="1" applyFill="1" applyBorder="1" applyAlignment="1">
      <alignment horizontal="right"/>
    </xf>
    <xf numFmtId="0" fontId="58" fillId="2" borderId="72" xfId="0" applyFont="1" applyFill="1" applyBorder="1" applyAlignment="1">
      <alignment horizontal="center"/>
    </xf>
    <xf numFmtId="0" fontId="59" fillId="2" borderId="72" xfId="0" applyFont="1" applyFill="1" applyBorder="1" applyAlignment="1">
      <alignment horizontal="center"/>
    </xf>
    <xf numFmtId="179" fontId="13" fillId="2" borderId="86" xfId="0" applyNumberFormat="1" applyFont="1" applyFill="1" applyBorder="1" applyAlignment="1">
      <alignment horizontal="center"/>
    </xf>
    <xf numFmtId="179" fontId="13" fillId="2" borderId="87" xfId="0" applyNumberFormat="1" applyFont="1" applyFill="1" applyBorder="1" applyAlignment="1">
      <alignment horizontal="center"/>
    </xf>
    <xf numFmtId="179" fontId="4" fillId="20" borderId="76" xfId="0" applyNumberFormat="1" applyFont="1" applyFill="1" applyBorder="1" applyAlignment="1">
      <alignment horizontal="center"/>
    </xf>
    <xf numFmtId="179" fontId="24" fillId="2" borderId="76" xfId="0" applyNumberFormat="1" applyFont="1" applyFill="1" applyBorder="1" applyAlignment="1">
      <alignment horizontal="right"/>
    </xf>
    <xf numFmtId="179" fontId="0" fillId="0" borderId="76" xfId="0" applyNumberFormat="1" applyBorder="1" applyAlignment="1">
      <alignment horizontal="center"/>
    </xf>
    <xf numFmtId="179" fontId="48" fillId="2" borderId="76" xfId="0" applyNumberFormat="1" applyFont="1" applyFill="1" applyBorder="1"/>
    <xf numFmtId="179" fontId="0" fillId="0" borderId="76" xfId="0" applyNumberFormat="1" applyBorder="1"/>
    <xf numFmtId="179" fontId="10" fillId="2" borderId="76" xfId="0" applyNumberFormat="1" applyFont="1" applyFill="1" applyBorder="1" applyAlignment="1">
      <alignment horizontal="center"/>
    </xf>
    <xf numFmtId="179" fontId="11" fillId="2" borderId="76" xfId="0" applyNumberFormat="1" applyFont="1" applyFill="1" applyBorder="1" applyAlignment="1">
      <alignment horizontal="center"/>
    </xf>
    <xf numFmtId="179" fontId="11" fillId="2" borderId="76" xfId="0" applyNumberFormat="1" applyFont="1" applyFill="1" applyBorder="1"/>
    <xf numFmtId="179" fontId="4" fillId="0" borderId="76" xfId="0" applyNumberFormat="1" applyFont="1" applyBorder="1"/>
    <xf numFmtId="179" fontId="10" fillId="2" borderId="76" xfId="0" applyNumberFormat="1" applyFont="1" applyFill="1" applyBorder="1" applyAlignment="1">
      <alignment horizontal="right"/>
    </xf>
    <xf numFmtId="179" fontId="4" fillId="2" borderId="76" xfId="0" applyNumberFormat="1" applyFont="1" applyFill="1" applyBorder="1"/>
    <xf numFmtId="179" fontId="20" fillId="2" borderId="76" xfId="0" applyNumberFormat="1" applyFont="1" applyFill="1" applyBorder="1"/>
    <xf numFmtId="179" fontId="58" fillId="2" borderId="76" xfId="0" applyNumberFormat="1" applyFont="1" applyFill="1" applyBorder="1" applyAlignment="1">
      <alignment horizontal="right"/>
    </xf>
    <xf numFmtId="179" fontId="59" fillId="2" borderId="76" xfId="0" applyNumberFormat="1" applyFont="1" applyFill="1" applyBorder="1" applyAlignment="1">
      <alignment horizontal="right"/>
    </xf>
    <xf numFmtId="179" fontId="58" fillId="2" borderId="76" xfId="0" applyNumberFormat="1" applyFont="1" applyFill="1" applyBorder="1" applyAlignment="1">
      <alignment horizontal="center"/>
    </xf>
    <xf numFmtId="179" fontId="59" fillId="2" borderId="76" xfId="0" applyNumberFormat="1" applyFont="1" applyFill="1" applyBorder="1" applyAlignment="1">
      <alignment horizontal="center"/>
    </xf>
    <xf numFmtId="167" fontId="13" fillId="2" borderId="86" xfId="0" applyNumberFormat="1" applyFont="1" applyFill="1" applyBorder="1" applyAlignment="1">
      <alignment horizontal="center"/>
    </xf>
    <xf numFmtId="167" fontId="13" fillId="2" borderId="87" xfId="0" applyNumberFormat="1" applyFont="1" applyFill="1" applyBorder="1" applyAlignment="1">
      <alignment horizontal="center"/>
    </xf>
    <xf numFmtId="8" fontId="0" fillId="0" borderId="76" xfId="1" applyNumberFormat="1" applyFont="1" applyBorder="1" applyAlignment="1">
      <alignment horizontal="center"/>
    </xf>
    <xf numFmtId="167" fontId="0" fillId="2" borderId="76" xfId="0" applyNumberFormat="1" applyFill="1" applyBorder="1" applyAlignment="1">
      <alignment horizontal="center"/>
    </xf>
    <xf numFmtId="167" fontId="10" fillId="2" borderId="76" xfId="0" applyNumberFormat="1" applyFont="1" applyFill="1" applyBorder="1" applyAlignment="1">
      <alignment horizontal="center"/>
    </xf>
    <xf numFmtId="167" fontId="11" fillId="2" borderId="76" xfId="0" applyNumberFormat="1" applyFont="1" applyFill="1" applyBorder="1" applyAlignment="1">
      <alignment horizontal="center"/>
    </xf>
    <xf numFmtId="167" fontId="11" fillId="2" borderId="76" xfId="0" applyNumberFormat="1" applyFont="1" applyFill="1" applyBorder="1" applyAlignment="1">
      <alignment horizontal="left"/>
    </xf>
    <xf numFmtId="0" fontId="4" fillId="0" borderId="76" xfId="0" applyFont="1" applyBorder="1"/>
    <xf numFmtId="0" fontId="4" fillId="2" borderId="76" xfId="0" applyFont="1" applyFill="1" applyBorder="1"/>
    <xf numFmtId="0" fontId="20" fillId="2" borderId="76" xfId="0" applyFont="1" applyFill="1" applyBorder="1"/>
    <xf numFmtId="167" fontId="13" fillId="2" borderId="76" xfId="0" applyNumberFormat="1" applyFont="1" applyFill="1" applyBorder="1" applyAlignment="1">
      <alignment horizontal="left"/>
    </xf>
    <xf numFmtId="167" fontId="58" fillId="2" borderId="76" xfId="0" applyNumberFormat="1" applyFont="1" applyFill="1" applyBorder="1" applyAlignment="1">
      <alignment horizontal="right"/>
    </xf>
    <xf numFmtId="167" fontId="59" fillId="2" borderId="76" xfId="0" applyNumberFormat="1" applyFont="1" applyFill="1" applyBorder="1" applyAlignment="1">
      <alignment horizontal="right"/>
    </xf>
    <xf numFmtId="167" fontId="58" fillId="2" borderId="76" xfId="0" applyNumberFormat="1" applyFont="1" applyFill="1" applyBorder="1" applyAlignment="1">
      <alignment horizontal="center"/>
    </xf>
    <xf numFmtId="167" fontId="59" fillId="2" borderId="76" xfId="0" applyNumberFormat="1" applyFont="1" applyFill="1" applyBorder="1" applyAlignment="1">
      <alignment horizontal="center"/>
    </xf>
    <xf numFmtId="167" fontId="4" fillId="2" borderId="76" xfId="0" applyNumberFormat="1" applyFont="1" applyFill="1" applyBorder="1" applyAlignment="1">
      <alignment horizontal="left"/>
    </xf>
    <xf numFmtId="0" fontId="4" fillId="2" borderId="28" xfId="0" applyFont="1" applyFill="1" applyBorder="1" applyAlignment="1">
      <alignment horizontal="center"/>
    </xf>
    <xf numFmtId="0" fontId="10" fillId="2" borderId="28" xfId="0" applyFont="1" applyFill="1" applyBorder="1" applyAlignment="1">
      <alignment horizontal="center"/>
    </xf>
    <xf numFmtId="0" fontId="11" fillId="2" borderId="28" xfId="0" applyFont="1" applyFill="1" applyBorder="1" applyAlignment="1">
      <alignment horizontal="center"/>
    </xf>
    <xf numFmtId="44" fontId="4" fillId="2" borderId="76" xfId="1" applyFont="1" applyFill="1" applyBorder="1" applyAlignment="1">
      <alignment horizontal="center"/>
    </xf>
    <xf numFmtId="44" fontId="4" fillId="2" borderId="76" xfId="5" applyFont="1" applyFill="1" applyBorder="1" applyAlignment="1">
      <alignment horizontal="center"/>
    </xf>
    <xf numFmtId="44" fontId="13" fillId="2" borderId="76" xfId="0" applyNumberFormat="1" applyFont="1" applyFill="1" applyBorder="1" applyAlignment="1">
      <alignment horizontal="center"/>
    </xf>
    <xf numFmtId="44" fontId="0" fillId="2" borderId="76" xfId="0" applyNumberFormat="1" applyFill="1" applyBorder="1" applyAlignment="1">
      <alignment horizontal="center"/>
    </xf>
    <xf numFmtId="44" fontId="10" fillId="2" borderId="76" xfId="0" applyNumberFormat="1" applyFont="1" applyFill="1" applyBorder="1" applyAlignment="1">
      <alignment horizontal="center"/>
    </xf>
    <xf numFmtId="44" fontId="4" fillId="2" borderId="76" xfId="0" applyNumberFormat="1" applyFont="1" applyFill="1" applyBorder="1"/>
    <xf numFmtId="44" fontId="20" fillId="2" borderId="76" xfId="0" applyNumberFormat="1" applyFont="1" applyFill="1" applyBorder="1"/>
    <xf numFmtId="44" fontId="58" fillId="2" borderId="76" xfId="0" applyNumberFormat="1" applyFont="1" applyFill="1" applyBorder="1" applyAlignment="1">
      <alignment horizontal="right"/>
    </xf>
    <xf numFmtId="44" fontId="59" fillId="2" borderId="76" xfId="0" applyNumberFormat="1" applyFont="1" applyFill="1" applyBorder="1" applyAlignment="1">
      <alignment horizontal="right"/>
    </xf>
    <xf numFmtId="44" fontId="58" fillId="2" borderId="76" xfId="0" applyNumberFormat="1" applyFont="1" applyFill="1" applyBorder="1" applyAlignment="1">
      <alignment horizontal="center"/>
    </xf>
    <xf numFmtId="44" fontId="59" fillId="2" borderId="76" xfId="0" applyNumberFormat="1" applyFont="1" applyFill="1" applyBorder="1" applyAlignment="1">
      <alignment horizontal="center"/>
    </xf>
    <xf numFmtId="14" fontId="45" fillId="0" borderId="81" xfId="4" applyNumberFormat="1" applyFont="1" applyBorder="1" applyAlignment="1">
      <alignment horizontal="left"/>
    </xf>
    <xf numFmtId="0" fontId="13" fillId="2" borderId="81" xfId="0" applyFont="1" applyFill="1" applyBorder="1" applyAlignment="1">
      <alignment horizontal="left"/>
    </xf>
    <xf numFmtId="0" fontId="4" fillId="2" borderId="81" xfId="0" applyFont="1" applyFill="1" applyBorder="1" applyAlignment="1">
      <alignment horizontal="left"/>
    </xf>
    <xf numFmtId="0" fontId="13" fillId="2" borderId="35" xfId="0" applyFont="1" applyFill="1" applyBorder="1" applyAlignment="1">
      <alignment horizontal="left"/>
    </xf>
    <xf numFmtId="14" fontId="13" fillId="2" borderId="81" xfId="0" applyNumberFormat="1" applyFont="1" applyFill="1" applyBorder="1" applyAlignment="1">
      <alignment horizontal="left"/>
    </xf>
    <xf numFmtId="0" fontId="21" fillId="2" borderId="29" xfId="0" applyFont="1" applyFill="1" applyBorder="1"/>
    <xf numFmtId="0" fontId="21" fillId="2" borderId="29" xfId="0" applyFont="1" applyFill="1" applyBorder="1" applyAlignment="1">
      <alignment horizontal="left"/>
    </xf>
    <xf numFmtId="0" fontId="27" fillId="2" borderId="29" xfId="0" applyFont="1" applyFill="1" applyBorder="1"/>
    <xf numFmtId="0" fontId="27" fillId="2" borderId="29" xfId="0" applyFont="1" applyFill="1" applyBorder="1" applyAlignment="1">
      <alignment horizontal="right"/>
    </xf>
    <xf numFmtId="172" fontId="27" fillId="2" borderId="29" xfId="0" applyNumberFormat="1" applyFont="1" applyFill="1" applyBorder="1" applyAlignment="1">
      <alignment horizontal="right"/>
    </xf>
    <xf numFmtId="43" fontId="27" fillId="2" borderId="29" xfId="0" applyNumberFormat="1" applyFont="1" applyFill="1" applyBorder="1" applyAlignment="1">
      <alignment horizontal="right"/>
    </xf>
    <xf numFmtId="0" fontId="21" fillId="2" borderId="29" xfId="0" applyFont="1" applyFill="1" applyBorder="1" applyAlignment="1">
      <alignment horizontal="center"/>
    </xf>
    <xf numFmtId="0" fontId="21" fillId="2" borderId="29" xfId="0" applyFont="1" applyFill="1" applyBorder="1" applyAlignment="1">
      <alignment horizontal="right"/>
    </xf>
    <xf numFmtId="43" fontId="28" fillId="2" borderId="29" xfId="0" applyNumberFormat="1" applyFont="1" applyFill="1" applyBorder="1" applyAlignment="1">
      <alignment horizontal="right"/>
    </xf>
    <xf numFmtId="43" fontId="21" fillId="2" borderId="29" xfId="0" applyNumberFormat="1" applyFont="1" applyFill="1" applyBorder="1" applyAlignment="1">
      <alignment horizontal="right"/>
    </xf>
    <xf numFmtId="175" fontId="10" fillId="2" borderId="29" xfId="0" applyNumberFormat="1" applyFont="1" applyFill="1" applyBorder="1"/>
    <xf numFmtId="0" fontId="10" fillId="0" borderId="0" xfId="0" applyFont="1" applyAlignment="1">
      <alignment horizontal="left"/>
    </xf>
    <xf numFmtId="0" fontId="4" fillId="0" borderId="29" xfId="7" applyFont="1" applyAlignment="1">
      <alignment horizontal="center" vertical="center"/>
    </xf>
    <xf numFmtId="0" fontId="24" fillId="2" borderId="29" xfId="7" applyFont="1" applyFill="1" applyAlignment="1">
      <alignment horizontal="center" vertical="center"/>
    </xf>
    <xf numFmtId="0" fontId="14" fillId="0" borderId="46" xfId="0" applyFont="1" applyBorder="1" applyAlignment="1">
      <alignment horizontal="center"/>
    </xf>
    <xf numFmtId="4" fontId="14" fillId="0" borderId="46" xfId="0" applyNumberFormat="1" applyFont="1" applyBorder="1" applyAlignment="1">
      <alignment horizontal="right"/>
    </xf>
    <xf numFmtId="10" fontId="4" fillId="0" borderId="0" xfId="0" applyNumberFormat="1" applyFont="1" applyAlignment="1">
      <alignment horizontal="center"/>
    </xf>
    <xf numFmtId="10" fontId="4" fillId="0" borderId="29" xfId="0" applyNumberFormat="1" applyFont="1" applyBorder="1" applyAlignment="1">
      <alignment horizontal="center"/>
    </xf>
    <xf numFmtId="0" fontId="14" fillId="0" borderId="29" xfId="0" applyFont="1" applyBorder="1" applyAlignment="1">
      <alignment horizontal="center"/>
    </xf>
    <xf numFmtId="1" fontId="10" fillId="0" borderId="57" xfId="0" applyNumberFormat="1" applyFont="1" applyBorder="1" applyAlignment="1">
      <alignment horizontal="center"/>
    </xf>
    <xf numFmtId="170" fontId="11" fillId="2" borderId="29" xfId="0" applyNumberFormat="1" applyFont="1" applyFill="1" applyBorder="1"/>
    <xf numFmtId="0" fontId="11" fillId="2" borderId="5" xfId="0" applyFont="1" applyFill="1" applyBorder="1" applyAlignment="1">
      <alignment horizontal="center"/>
    </xf>
    <xf numFmtId="166" fontId="7" fillId="2" borderId="29" xfId="0" applyNumberFormat="1" applyFont="1" applyFill="1" applyBorder="1" applyAlignment="1">
      <alignment horizontal="center"/>
    </xf>
    <xf numFmtId="169" fontId="24" fillId="2" borderId="29" xfId="0" applyNumberFormat="1" applyFont="1" applyFill="1" applyBorder="1" applyAlignment="1">
      <alignment horizontal="right"/>
    </xf>
    <xf numFmtId="44" fontId="74" fillId="2" borderId="29" xfId="1" applyFont="1" applyFill="1" applyBorder="1" applyAlignment="1">
      <alignment horizontal="right"/>
    </xf>
    <xf numFmtId="0" fontId="4" fillId="2" borderId="25" xfId="0" applyFont="1" applyFill="1" applyBorder="1"/>
    <xf numFmtId="0" fontId="8" fillId="2" borderId="25" xfId="0" applyFont="1" applyFill="1" applyBorder="1"/>
    <xf numFmtId="0" fontId="9" fillId="2" borderId="25" xfId="0" applyFont="1" applyFill="1" applyBorder="1"/>
    <xf numFmtId="0" fontId="11" fillId="2" borderId="29" xfId="0" applyFont="1" applyFill="1" applyBorder="1"/>
    <xf numFmtId="0" fontId="11" fillId="2" borderId="29" xfId="0" applyFont="1" applyFill="1" applyBorder="1" applyAlignment="1">
      <alignment horizontal="left"/>
    </xf>
    <xf numFmtId="166" fontId="11" fillId="2" borderId="29" xfId="0" applyNumberFormat="1" applyFont="1" applyFill="1" applyBorder="1"/>
    <xf numFmtId="0" fontId="11" fillId="2" borderId="28" xfId="0" applyFont="1" applyFill="1" applyBorder="1"/>
    <xf numFmtId="0" fontId="10" fillId="2" borderId="25" xfId="0" applyFont="1" applyFill="1" applyBorder="1"/>
    <xf numFmtId="0" fontId="11" fillId="2" borderId="25" xfId="0" applyFont="1" applyFill="1" applyBorder="1"/>
    <xf numFmtId="0" fontId="11" fillId="2" borderId="25" xfId="0" applyFont="1" applyFill="1" applyBorder="1" applyAlignment="1">
      <alignment horizontal="left"/>
    </xf>
    <xf numFmtId="0" fontId="12" fillId="2" borderId="25" xfId="0" applyFont="1" applyFill="1" applyBorder="1"/>
    <xf numFmtId="0" fontId="11" fillId="2" borderId="26" xfId="0" applyFont="1" applyFill="1" applyBorder="1"/>
    <xf numFmtId="0" fontId="4" fillId="0" borderId="6" xfId="0" applyFont="1" applyBorder="1"/>
    <xf numFmtId="10" fontId="4" fillId="0" borderId="10" xfId="0" applyNumberFormat="1" applyFont="1" applyBorder="1"/>
    <xf numFmtId="10" fontId="4" fillId="0" borderId="6" xfId="0" applyNumberFormat="1" applyFont="1" applyBorder="1"/>
    <xf numFmtId="10" fontId="4" fillId="0" borderId="28" xfId="0" applyNumberFormat="1" applyFont="1" applyBorder="1"/>
    <xf numFmtId="0" fontId="10" fillId="2" borderId="29" xfId="0" applyFont="1" applyFill="1" applyBorder="1" applyAlignment="1">
      <alignment vertical="top" wrapText="1"/>
    </xf>
    <xf numFmtId="0" fontId="4" fillId="0" borderId="13" xfId="0" applyFont="1" applyBorder="1"/>
    <xf numFmtId="0" fontId="11" fillId="2" borderId="30" xfId="0" applyFont="1" applyFill="1" applyBorder="1"/>
    <xf numFmtId="0" fontId="4" fillId="0" borderId="30" xfId="0" applyFont="1" applyBorder="1"/>
    <xf numFmtId="10" fontId="4" fillId="0" borderId="30" xfId="0" applyNumberFormat="1" applyFont="1" applyBorder="1"/>
    <xf numFmtId="0" fontId="10" fillId="2" borderId="30" xfId="0" applyFont="1" applyFill="1" applyBorder="1"/>
    <xf numFmtId="44" fontId="4" fillId="0" borderId="30" xfId="0" applyNumberFormat="1" applyFont="1" applyBorder="1"/>
    <xf numFmtId="0" fontId="4" fillId="0" borderId="19" xfId="0" applyFont="1" applyBorder="1"/>
    <xf numFmtId="0" fontId="13" fillId="2" borderId="24" xfId="0" applyFont="1" applyFill="1" applyBorder="1" applyAlignment="1">
      <alignment horizontal="right"/>
    </xf>
    <xf numFmtId="43" fontId="13" fillId="2" borderId="29" xfId="0" applyNumberFormat="1" applyFont="1" applyFill="1" applyBorder="1" applyAlignment="1">
      <alignment horizontal="right"/>
    </xf>
    <xf numFmtId="0" fontId="4" fillId="2" borderId="8" xfId="0" applyFont="1" applyFill="1" applyBorder="1"/>
    <xf numFmtId="0" fontId="13" fillId="2" borderId="8" xfId="0" applyFont="1" applyFill="1" applyBorder="1"/>
    <xf numFmtId="0" fontId="13" fillId="2" borderId="8" xfId="0" applyFont="1" applyFill="1" applyBorder="1" applyAlignment="1">
      <alignment horizontal="right"/>
    </xf>
    <xf numFmtId="0" fontId="4" fillId="0" borderId="14" xfId="0" applyFont="1" applyBorder="1"/>
    <xf numFmtId="0" fontId="13" fillId="2" borderId="16" xfId="0" applyFont="1" applyFill="1" applyBorder="1" applyAlignment="1">
      <alignment horizontal="right"/>
    </xf>
    <xf numFmtId="0" fontId="13" fillId="2" borderId="30" xfId="0" applyFont="1" applyFill="1" applyBorder="1" applyAlignment="1">
      <alignment horizontal="right"/>
    </xf>
    <xf numFmtId="44" fontId="4" fillId="0" borderId="31" xfId="0" applyNumberFormat="1" applyFont="1" applyBorder="1"/>
    <xf numFmtId="167" fontId="14" fillId="0" borderId="31" xfId="0" applyNumberFormat="1" applyFont="1" applyBorder="1" applyAlignment="1">
      <alignment horizontal="center"/>
    </xf>
    <xf numFmtId="0" fontId="4" fillId="0" borderId="31" xfId="0" applyFont="1" applyBorder="1"/>
    <xf numFmtId="10" fontId="4" fillId="0" borderId="15" xfId="0" applyNumberFormat="1" applyFont="1" applyBorder="1"/>
    <xf numFmtId="166" fontId="4" fillId="2" borderId="29" xfId="0" applyNumberFormat="1" applyFont="1" applyFill="1" applyBorder="1" applyAlignment="1">
      <alignment horizontal="center"/>
    </xf>
    <xf numFmtId="0" fontId="4" fillId="2" borderId="26" xfId="0" applyFont="1" applyFill="1" applyBorder="1"/>
    <xf numFmtId="0" fontId="8" fillId="2" borderId="25" xfId="0" applyFont="1" applyFill="1" applyBorder="1" applyAlignment="1">
      <alignment horizontal="center"/>
    </xf>
    <xf numFmtId="0" fontId="13" fillId="2" borderId="29" xfId="0" applyFont="1" applyFill="1" applyBorder="1" applyAlignment="1">
      <alignment horizontal="left"/>
    </xf>
    <xf numFmtId="166" fontId="13" fillId="2" borderId="29" xfId="0" applyNumberFormat="1" applyFont="1" applyFill="1" applyBorder="1" applyAlignment="1">
      <alignment horizontal="center"/>
    </xf>
    <xf numFmtId="166" fontId="13" fillId="2" borderId="28" xfId="0" applyNumberFormat="1" applyFont="1" applyFill="1" applyBorder="1" applyAlignment="1">
      <alignment horizontal="center"/>
    </xf>
    <xf numFmtId="0" fontId="13" fillId="2" borderId="21" xfId="0" applyFont="1" applyFill="1" applyBorder="1" applyAlignment="1">
      <alignment horizontal="center"/>
    </xf>
    <xf numFmtId="0" fontId="4" fillId="2" borderId="29" xfId="0" applyFont="1" applyFill="1" applyBorder="1" applyAlignment="1">
      <alignment horizontal="right"/>
    </xf>
    <xf numFmtId="0" fontId="13" fillId="2" borderId="25" xfId="0" applyFont="1" applyFill="1" applyBorder="1"/>
    <xf numFmtId="0" fontId="13" fillId="2" borderId="25" xfId="0" applyFont="1" applyFill="1" applyBorder="1" applyAlignment="1">
      <alignment horizontal="left"/>
    </xf>
    <xf numFmtId="0" fontId="13" fillId="2" borderId="25" xfId="0" applyFont="1" applyFill="1" applyBorder="1" applyAlignment="1">
      <alignment horizontal="right"/>
    </xf>
    <xf numFmtId="0" fontId="13" fillId="2" borderId="26" xfId="0" applyFont="1" applyFill="1" applyBorder="1" applyAlignment="1">
      <alignment horizontal="center"/>
    </xf>
    <xf numFmtId="0" fontId="13" fillId="2" borderId="25" xfId="0" applyFont="1" applyFill="1" applyBorder="1" applyAlignment="1">
      <alignment horizontal="center"/>
    </xf>
    <xf numFmtId="3" fontId="4" fillId="2" borderId="24" xfId="0" applyNumberFormat="1" applyFont="1" applyFill="1" applyBorder="1" applyAlignment="1">
      <alignment horizontal="right" vertical="top" wrapText="1"/>
    </xf>
    <xf numFmtId="2" fontId="4" fillId="2" borderId="29" xfId="0" applyNumberFormat="1" applyFont="1" applyFill="1" applyBorder="1" applyAlignment="1">
      <alignment horizontal="right"/>
    </xf>
    <xf numFmtId="168" fontId="4" fillId="2" borderId="29" xfId="0" applyNumberFormat="1" applyFont="1" applyFill="1" applyBorder="1" applyAlignment="1">
      <alignment horizontal="right"/>
    </xf>
    <xf numFmtId="169" fontId="4" fillId="2" borderId="29" xfId="0" applyNumberFormat="1" applyFont="1" applyFill="1" applyBorder="1" applyAlignment="1">
      <alignment horizontal="right"/>
    </xf>
    <xf numFmtId="3" fontId="4" fillId="2" borderId="29" xfId="0" applyNumberFormat="1" applyFont="1" applyFill="1" applyBorder="1" applyAlignment="1">
      <alignment horizontal="right" vertical="top" wrapText="1"/>
    </xf>
    <xf numFmtId="169" fontId="4" fillId="2" borderId="28" xfId="0" applyNumberFormat="1" applyFont="1" applyFill="1" applyBorder="1" applyAlignment="1">
      <alignment horizontal="center"/>
    </xf>
    <xf numFmtId="169" fontId="4" fillId="2" borderId="29" xfId="0" applyNumberFormat="1" applyFont="1" applyFill="1" applyBorder="1"/>
    <xf numFmtId="1" fontId="4" fillId="2" borderId="29" xfId="0" applyNumberFormat="1" applyFont="1" applyFill="1" applyBorder="1"/>
    <xf numFmtId="3" fontId="4" fillId="2" borderId="24" xfId="0" applyNumberFormat="1" applyFont="1" applyFill="1" applyBorder="1"/>
    <xf numFmtId="4" fontId="4" fillId="2" borderId="29" xfId="0" applyNumberFormat="1" applyFont="1" applyFill="1" applyBorder="1"/>
    <xf numFmtId="10" fontId="4" fillId="2" borderId="29" xfId="0" applyNumberFormat="1" applyFont="1" applyFill="1" applyBorder="1"/>
    <xf numFmtId="171" fontId="4" fillId="2" borderId="29" xfId="0" applyNumberFormat="1" applyFont="1" applyFill="1" applyBorder="1"/>
    <xf numFmtId="171" fontId="4" fillId="2" borderId="28" xfId="0" applyNumberFormat="1" applyFont="1" applyFill="1" applyBorder="1"/>
    <xf numFmtId="0" fontId="4" fillId="2" borderId="29" xfId="0" applyFont="1" applyFill="1" applyBorder="1" applyAlignment="1">
      <alignment vertical="top" wrapText="1"/>
    </xf>
    <xf numFmtId="171" fontId="4" fillId="2" borderId="28" xfId="0" applyNumberFormat="1" applyFont="1" applyFill="1" applyBorder="1" applyAlignment="1">
      <alignment horizontal="right"/>
    </xf>
    <xf numFmtId="169" fontId="19" fillId="2" borderId="29" xfId="0" applyNumberFormat="1" applyFont="1" applyFill="1" applyBorder="1" applyAlignment="1">
      <alignment horizontal="right"/>
    </xf>
    <xf numFmtId="169" fontId="7" fillId="2" borderId="29" xfId="0" applyNumberFormat="1" applyFont="1" applyFill="1" applyBorder="1"/>
    <xf numFmtId="0" fontId="20" fillId="2" borderId="29" xfId="0" applyFont="1" applyFill="1" applyBorder="1"/>
    <xf numFmtId="43" fontId="4" fillId="2" borderId="29" xfId="0" applyNumberFormat="1" applyFont="1" applyFill="1" applyBorder="1" applyAlignment="1">
      <alignment horizontal="right"/>
    </xf>
    <xf numFmtId="169" fontId="4" fillId="2" borderId="28" xfId="0" applyNumberFormat="1" applyFont="1" applyFill="1" applyBorder="1" applyAlignment="1">
      <alignment horizontal="right"/>
    </xf>
    <xf numFmtId="2" fontId="13" fillId="2" borderId="29" xfId="0" applyNumberFormat="1" applyFont="1" applyFill="1" applyBorder="1" applyAlignment="1">
      <alignment horizontal="right"/>
    </xf>
    <xf numFmtId="10" fontId="13" fillId="2" borderId="29" xfId="0" applyNumberFormat="1" applyFont="1" applyFill="1" applyBorder="1" applyAlignment="1">
      <alignment horizontal="right"/>
    </xf>
    <xf numFmtId="169" fontId="13" fillId="2" borderId="29" xfId="0" applyNumberFormat="1" applyFont="1" applyFill="1" applyBorder="1" applyAlignment="1">
      <alignment horizontal="right"/>
    </xf>
    <xf numFmtId="10" fontId="13" fillId="2" borderId="28" xfId="0" applyNumberFormat="1" applyFont="1" applyFill="1" applyBorder="1" applyAlignment="1">
      <alignment horizontal="right"/>
    </xf>
    <xf numFmtId="169" fontId="13" fillId="2" borderId="29" xfId="0" applyNumberFormat="1" applyFont="1" applyFill="1" applyBorder="1"/>
    <xf numFmtId="3" fontId="13" fillId="2" borderId="16" xfId="0" applyNumberFormat="1" applyFont="1" applyFill="1" applyBorder="1"/>
    <xf numFmtId="0" fontId="4" fillId="2" borderId="30" xfId="0" applyFont="1" applyFill="1" applyBorder="1"/>
    <xf numFmtId="2" fontId="13" fillId="2" borderId="30" xfId="0" applyNumberFormat="1" applyFont="1" applyFill="1" applyBorder="1"/>
    <xf numFmtId="0" fontId="13" fillId="2" borderId="30" xfId="0" applyFont="1" applyFill="1" applyBorder="1"/>
    <xf numFmtId="10" fontId="13" fillId="2" borderId="30" xfId="0" applyNumberFormat="1" applyFont="1" applyFill="1" applyBorder="1"/>
    <xf numFmtId="2" fontId="13" fillId="2" borderId="28" xfId="0" applyNumberFormat="1" applyFont="1" applyFill="1" applyBorder="1" applyAlignment="1">
      <alignment horizontal="right"/>
    </xf>
    <xf numFmtId="43" fontId="4" fillId="2" borderId="29" xfId="0" applyNumberFormat="1" applyFont="1" applyFill="1" applyBorder="1"/>
    <xf numFmtId="2" fontId="13" fillId="2" borderId="8" xfId="0" applyNumberFormat="1" applyFont="1" applyFill="1" applyBorder="1" applyAlignment="1">
      <alignment horizontal="right"/>
    </xf>
    <xf numFmtId="10" fontId="13" fillId="2" borderId="8" xfId="0" applyNumberFormat="1" applyFont="1" applyFill="1" applyBorder="1" applyAlignment="1">
      <alignment horizontal="right"/>
    </xf>
    <xf numFmtId="169" fontId="13" fillId="2" borderId="8" xfId="0" applyNumberFormat="1" applyFont="1" applyFill="1" applyBorder="1" applyAlignment="1">
      <alignment horizontal="right"/>
    </xf>
    <xf numFmtId="169" fontId="13" fillId="2" borderId="8" xfId="0" applyNumberFormat="1" applyFont="1" applyFill="1" applyBorder="1"/>
    <xf numFmtId="2" fontId="13" fillId="2" borderId="30" xfId="0" applyNumberFormat="1" applyFont="1" applyFill="1" applyBorder="1" applyAlignment="1">
      <alignment horizontal="right"/>
    </xf>
    <xf numFmtId="9" fontId="13" fillId="2" borderId="30" xfId="0" applyNumberFormat="1" applyFont="1" applyFill="1" applyBorder="1" applyAlignment="1">
      <alignment horizontal="right"/>
    </xf>
    <xf numFmtId="10" fontId="13" fillId="2" borderId="29" xfId="0" applyNumberFormat="1" applyFont="1" applyFill="1" applyBorder="1"/>
    <xf numFmtId="0" fontId="4" fillId="2" borderId="29" xfId="0" applyFont="1" applyFill="1" applyBorder="1" applyAlignment="1">
      <alignment horizontal="left"/>
    </xf>
    <xf numFmtId="172" fontId="21" fillId="2" borderId="29" xfId="0" applyNumberFormat="1" applyFont="1" applyFill="1" applyBorder="1" applyAlignment="1">
      <alignment horizontal="right"/>
    </xf>
    <xf numFmtId="10" fontId="21" fillId="2" borderId="29" xfId="0" applyNumberFormat="1" applyFont="1" applyFill="1" applyBorder="1"/>
    <xf numFmtId="0" fontId="14" fillId="2" borderId="29" xfId="0" applyFont="1" applyFill="1" applyBorder="1"/>
    <xf numFmtId="170" fontId="16" fillId="2" borderId="29" xfId="0" applyNumberFormat="1" applyFont="1" applyFill="1" applyBorder="1"/>
    <xf numFmtId="0" fontId="15" fillId="2" borderId="29" xfId="0" applyFont="1" applyFill="1" applyBorder="1"/>
    <xf numFmtId="170" fontId="17" fillId="2" borderId="29" xfId="0" applyNumberFormat="1" applyFont="1" applyFill="1" applyBorder="1"/>
    <xf numFmtId="166" fontId="13" fillId="2" borderId="29" xfId="0" applyNumberFormat="1" applyFont="1" applyFill="1" applyBorder="1"/>
    <xf numFmtId="166" fontId="7" fillId="2" borderId="28" xfId="0" applyNumberFormat="1" applyFont="1" applyFill="1" applyBorder="1" applyAlignment="1">
      <alignment horizontal="center"/>
    </xf>
    <xf numFmtId="170" fontId="7" fillId="2" borderId="29" xfId="0" applyNumberFormat="1" applyFont="1" applyFill="1" applyBorder="1" applyAlignment="1">
      <alignment horizontal="center"/>
    </xf>
    <xf numFmtId="170" fontId="18" fillId="2" borderId="29" xfId="0" applyNumberFormat="1" applyFont="1" applyFill="1" applyBorder="1"/>
    <xf numFmtId="0" fontId="8" fillId="2" borderId="29" xfId="0" applyFont="1" applyFill="1" applyBorder="1"/>
    <xf numFmtId="170" fontId="17" fillId="2" borderId="29" xfId="0" applyNumberFormat="1" applyFont="1" applyFill="1" applyBorder="1" applyAlignment="1">
      <alignment horizontal="right"/>
    </xf>
    <xf numFmtId="0" fontId="6" fillId="2" borderId="25" xfId="0" applyFont="1" applyFill="1" applyBorder="1" applyAlignment="1">
      <alignment horizontal="right"/>
    </xf>
    <xf numFmtId="0" fontId="13" fillId="2" borderId="26" xfId="0" applyFont="1" applyFill="1" applyBorder="1" applyAlignment="1">
      <alignment horizontal="right"/>
    </xf>
    <xf numFmtId="0" fontId="14" fillId="2" borderId="28" xfId="0" applyFont="1" applyFill="1" applyBorder="1" applyAlignment="1">
      <alignment horizontal="center"/>
    </xf>
    <xf numFmtId="169" fontId="0" fillId="2" borderId="29" xfId="0" applyNumberFormat="1" applyFill="1" applyBorder="1" applyAlignment="1">
      <alignment horizontal="right"/>
    </xf>
    <xf numFmtId="0" fontId="13" fillId="2" borderId="30" xfId="0" applyFont="1" applyFill="1" applyBorder="1" applyAlignment="1">
      <alignment vertical="top" wrapText="1"/>
    </xf>
    <xf numFmtId="3" fontId="4" fillId="2" borderId="16" xfId="0" applyNumberFormat="1" applyFont="1" applyFill="1" applyBorder="1" applyAlignment="1">
      <alignment horizontal="right" vertical="top" wrapText="1"/>
    </xf>
    <xf numFmtId="2" fontId="4" fillId="2" borderId="30" xfId="0" applyNumberFormat="1" applyFont="1" applyFill="1" applyBorder="1" applyAlignment="1">
      <alignment horizontal="right"/>
    </xf>
    <xf numFmtId="168" fontId="4" fillId="2" borderId="30" xfId="0" applyNumberFormat="1" applyFont="1" applyFill="1" applyBorder="1" applyAlignment="1">
      <alignment horizontal="right"/>
    </xf>
    <xf numFmtId="169" fontId="4" fillId="2" borderId="30" xfId="0" applyNumberFormat="1" applyFont="1" applyFill="1" applyBorder="1" applyAlignment="1">
      <alignment horizontal="right"/>
    </xf>
    <xf numFmtId="3" fontId="4" fillId="2" borderId="30" xfId="0" applyNumberFormat="1" applyFont="1" applyFill="1" applyBorder="1" applyAlignment="1">
      <alignment horizontal="right" vertical="top" wrapText="1"/>
    </xf>
    <xf numFmtId="43" fontId="4" fillId="2" borderId="30" xfId="0" applyNumberFormat="1" applyFont="1" applyFill="1" applyBorder="1" applyAlignment="1">
      <alignment horizontal="right"/>
    </xf>
    <xf numFmtId="168" fontId="0" fillId="2" borderId="30" xfId="0" applyNumberFormat="1" applyFill="1" applyBorder="1" applyAlignment="1">
      <alignment horizontal="right"/>
    </xf>
    <xf numFmtId="168" fontId="0" fillId="2" borderId="29" xfId="0" applyNumberFormat="1" applyFill="1" applyBorder="1" applyAlignment="1">
      <alignment horizontal="right"/>
    </xf>
    <xf numFmtId="0" fontId="20" fillId="2" borderId="30" xfId="0" applyFont="1" applyFill="1" applyBorder="1"/>
    <xf numFmtId="43" fontId="6" fillId="2" borderId="29" xfId="0" applyNumberFormat="1" applyFont="1" applyFill="1" applyBorder="1" applyAlignment="1">
      <alignment horizontal="right"/>
    </xf>
    <xf numFmtId="0" fontId="4" fillId="2" borderId="19" xfId="0" applyFont="1" applyFill="1" applyBorder="1"/>
    <xf numFmtId="2" fontId="6" fillId="2" borderId="29" xfId="0" applyNumberFormat="1" applyFont="1" applyFill="1" applyBorder="1" applyAlignment="1">
      <alignment horizontal="right"/>
    </xf>
    <xf numFmtId="2" fontId="6" fillId="2" borderId="8" xfId="0" applyNumberFormat="1" applyFont="1" applyFill="1" applyBorder="1" applyAlignment="1">
      <alignment horizontal="right"/>
    </xf>
    <xf numFmtId="2" fontId="6" fillId="2" borderId="30" xfId="0" applyNumberFormat="1" applyFont="1" applyFill="1" applyBorder="1" applyAlignment="1">
      <alignment horizontal="right"/>
    </xf>
    <xf numFmtId="0" fontId="0" fillId="2" borderId="29" xfId="0" applyFill="1" applyBorder="1" applyAlignment="1">
      <alignment horizontal="right"/>
    </xf>
    <xf numFmtId="43" fontId="22" fillId="2" borderId="29" xfId="0" applyNumberFormat="1" applyFont="1" applyFill="1" applyBorder="1" applyAlignment="1">
      <alignment horizontal="right"/>
    </xf>
    <xf numFmtId="170" fontId="23" fillId="2" borderId="29" xfId="0" applyNumberFormat="1" applyFont="1" applyFill="1" applyBorder="1"/>
    <xf numFmtId="0" fontId="0" fillId="2" borderId="29" xfId="0" applyFill="1" applyBorder="1"/>
    <xf numFmtId="44" fontId="15" fillId="2" borderId="29" xfId="0" applyNumberFormat="1" applyFont="1" applyFill="1" applyBorder="1"/>
    <xf numFmtId="44" fontId="13" fillId="2" borderId="29" xfId="0" applyNumberFormat="1" applyFont="1" applyFill="1" applyBorder="1"/>
    <xf numFmtId="0" fontId="10" fillId="2" borderId="29" xfId="0" applyFont="1" applyFill="1" applyBorder="1" applyAlignment="1">
      <alignment horizontal="left"/>
    </xf>
    <xf numFmtId="0" fontId="10" fillId="2" borderId="29" xfId="0" applyFont="1" applyFill="1" applyBorder="1" applyAlignment="1">
      <alignment horizontal="right"/>
    </xf>
    <xf numFmtId="10" fontId="24" fillId="2" borderId="29" xfId="0" applyNumberFormat="1" applyFont="1" applyFill="1" applyBorder="1"/>
    <xf numFmtId="10" fontId="10" fillId="2" borderId="28" xfId="0" applyNumberFormat="1" applyFont="1" applyFill="1" applyBorder="1"/>
    <xf numFmtId="169" fontId="0" fillId="2" borderId="28" xfId="0" applyNumberFormat="1" applyFill="1" applyBorder="1" applyAlignment="1">
      <alignment horizontal="right"/>
    </xf>
    <xf numFmtId="170" fontId="10" fillId="2" borderId="29" xfId="0" applyNumberFormat="1" applyFont="1" applyFill="1" applyBorder="1"/>
    <xf numFmtId="0" fontId="4" fillId="2" borderId="24" xfId="0" applyFont="1" applyFill="1" applyBorder="1" applyAlignment="1">
      <alignment horizontal="right"/>
    </xf>
    <xf numFmtId="10" fontId="0" fillId="2" borderId="29" xfId="0" applyNumberFormat="1" applyFill="1" applyBorder="1" applyAlignment="1">
      <alignment horizontal="right"/>
    </xf>
    <xf numFmtId="10" fontId="4" fillId="2" borderId="28" xfId="0" applyNumberFormat="1" applyFont="1" applyFill="1" applyBorder="1" applyAlignment="1">
      <alignment horizontal="right"/>
    </xf>
    <xf numFmtId="2" fontId="4" fillId="2" borderId="29" xfId="0" applyNumberFormat="1" applyFont="1" applyFill="1" applyBorder="1" applyAlignment="1">
      <alignment horizontal="center"/>
    </xf>
    <xf numFmtId="169" fontId="4" fillId="2" borderId="28" xfId="0" applyNumberFormat="1" applyFont="1" applyFill="1" applyBorder="1"/>
    <xf numFmtId="10" fontId="0" fillId="2" borderId="30" xfId="0" applyNumberFormat="1" applyFill="1" applyBorder="1" applyAlignment="1">
      <alignment horizontal="right"/>
    </xf>
    <xf numFmtId="10" fontId="25" fillId="2" borderId="29" xfId="0" applyNumberFormat="1" applyFont="1" applyFill="1" applyBorder="1"/>
    <xf numFmtId="0" fontId="14" fillId="2" borderId="19" xfId="0" applyFont="1" applyFill="1" applyBorder="1" applyAlignment="1">
      <alignment horizontal="center"/>
    </xf>
    <xf numFmtId="10" fontId="4" fillId="2" borderId="29" xfId="0" applyNumberFormat="1" applyFont="1" applyFill="1" applyBorder="1" applyAlignment="1">
      <alignment horizontal="right"/>
    </xf>
    <xf numFmtId="8" fontId="4" fillId="2" borderId="29" xfId="0" applyNumberFormat="1" applyFont="1" applyFill="1" applyBorder="1" applyAlignment="1">
      <alignment horizontal="right"/>
    </xf>
    <xf numFmtId="0" fontId="14" fillId="2" borderId="29" xfId="0" applyFont="1" applyFill="1" applyBorder="1" applyAlignment="1">
      <alignment horizontal="center"/>
    </xf>
    <xf numFmtId="10" fontId="6" fillId="2" borderId="29" xfId="0" applyNumberFormat="1" applyFont="1" applyFill="1" applyBorder="1" applyAlignment="1">
      <alignment horizontal="right"/>
    </xf>
    <xf numFmtId="10" fontId="14" fillId="2" borderId="29" xfId="0" applyNumberFormat="1" applyFont="1" applyFill="1" applyBorder="1"/>
    <xf numFmtId="10" fontId="10" fillId="2" borderId="29" xfId="0" applyNumberFormat="1" applyFont="1" applyFill="1" applyBorder="1"/>
    <xf numFmtId="7" fontId="0" fillId="2" borderId="29" xfId="0" applyNumberFormat="1" applyFill="1" applyBorder="1" applyAlignment="1">
      <alignment horizontal="right"/>
    </xf>
    <xf numFmtId="169" fontId="0" fillId="2" borderId="24" xfId="0" applyNumberFormat="1" applyFill="1" applyBorder="1" applyAlignment="1">
      <alignment horizontal="right"/>
    </xf>
    <xf numFmtId="7" fontId="0" fillId="2" borderId="30" xfId="0" applyNumberFormat="1" applyFill="1" applyBorder="1" applyAlignment="1">
      <alignment horizontal="right"/>
    </xf>
    <xf numFmtId="7" fontId="4" fillId="2" borderId="29" xfId="0" applyNumberFormat="1" applyFont="1" applyFill="1" applyBorder="1" applyAlignment="1">
      <alignment horizontal="right"/>
    </xf>
    <xf numFmtId="174" fontId="4" fillId="2" borderId="29" xfId="0" applyNumberFormat="1" applyFont="1" applyFill="1" applyBorder="1" applyAlignment="1">
      <alignment horizontal="right"/>
    </xf>
    <xf numFmtId="0" fontId="4" fillId="2" borderId="16" xfId="0" applyFont="1" applyFill="1" applyBorder="1" applyAlignment="1">
      <alignment vertical="top" wrapText="1"/>
    </xf>
    <xf numFmtId="2" fontId="4" fillId="2" borderId="30" xfId="0" applyNumberFormat="1" applyFont="1" applyFill="1" applyBorder="1" applyAlignment="1">
      <alignment horizontal="center"/>
    </xf>
    <xf numFmtId="169" fontId="0" fillId="2" borderId="30" xfId="0" applyNumberFormat="1" applyFill="1" applyBorder="1" applyAlignment="1">
      <alignment horizontal="right"/>
    </xf>
    <xf numFmtId="10" fontId="4" fillId="2" borderId="30" xfId="0" applyNumberFormat="1" applyFont="1" applyFill="1" applyBorder="1"/>
    <xf numFmtId="166" fontId="26" fillId="2" borderId="29" xfId="0" applyNumberFormat="1" applyFont="1" applyFill="1" applyBorder="1" applyAlignment="1">
      <alignment horizontal="center"/>
    </xf>
    <xf numFmtId="0" fontId="10" fillId="2" borderId="21" xfId="0" applyFont="1" applyFill="1" applyBorder="1"/>
    <xf numFmtId="0" fontId="10" fillId="2" borderId="21" xfId="0" applyFont="1" applyFill="1" applyBorder="1" applyAlignment="1">
      <alignment horizontal="right"/>
    </xf>
    <xf numFmtId="44" fontId="10" fillId="2" borderId="29" xfId="0" applyNumberFormat="1" applyFont="1" applyFill="1" applyBorder="1" applyAlignment="1">
      <alignment horizontal="center"/>
    </xf>
    <xf numFmtId="7" fontId="24" fillId="2" borderId="29" xfId="0" applyNumberFormat="1" applyFont="1" applyFill="1" applyBorder="1" applyAlignment="1">
      <alignment horizontal="right"/>
    </xf>
    <xf numFmtId="0" fontId="10" fillId="2" borderId="24" xfId="0" applyFont="1" applyFill="1" applyBorder="1" applyAlignment="1">
      <alignment horizontal="right"/>
    </xf>
    <xf numFmtId="44" fontId="10" fillId="2" borderId="29" xfId="0" applyNumberFormat="1" applyFont="1" applyFill="1" applyBorder="1" applyAlignment="1">
      <alignment horizontal="right"/>
    </xf>
    <xf numFmtId="0" fontId="10" fillId="2" borderId="24" xfId="0" applyFont="1" applyFill="1" applyBorder="1" applyAlignment="1">
      <alignment vertical="top" wrapText="1"/>
    </xf>
    <xf numFmtId="3" fontId="10" fillId="2" borderId="24" xfId="0" applyNumberFormat="1" applyFont="1" applyFill="1" applyBorder="1" applyAlignment="1">
      <alignment horizontal="right" vertical="top" wrapText="1"/>
    </xf>
    <xf numFmtId="169" fontId="10" fillId="2" borderId="29" xfId="0" applyNumberFormat="1" applyFont="1" applyFill="1" applyBorder="1" applyAlignment="1">
      <alignment horizontal="right"/>
    </xf>
    <xf numFmtId="3" fontId="10" fillId="2" borderId="29" xfId="0" applyNumberFormat="1" applyFont="1" applyFill="1" applyBorder="1" applyAlignment="1">
      <alignment horizontal="right" vertical="top" wrapText="1"/>
    </xf>
    <xf numFmtId="2" fontId="10" fillId="2" borderId="29" xfId="0" applyNumberFormat="1" applyFont="1" applyFill="1" applyBorder="1" applyAlignment="1">
      <alignment horizontal="right"/>
    </xf>
    <xf numFmtId="168" fontId="10" fillId="2" borderId="29" xfId="0" applyNumberFormat="1" applyFont="1" applyFill="1" applyBorder="1" applyAlignment="1">
      <alignment horizontal="right"/>
    </xf>
    <xf numFmtId="2" fontId="10" fillId="2" borderId="29" xfId="0" applyNumberFormat="1" applyFont="1" applyFill="1" applyBorder="1" applyAlignment="1">
      <alignment horizontal="center"/>
    </xf>
    <xf numFmtId="10" fontId="24" fillId="2" borderId="29" xfId="0" applyNumberFormat="1" applyFont="1" applyFill="1" applyBorder="1" applyAlignment="1">
      <alignment horizontal="right"/>
    </xf>
    <xf numFmtId="10" fontId="10" fillId="2" borderId="28" xfId="0" applyNumberFormat="1" applyFont="1" applyFill="1" applyBorder="1" applyAlignment="1">
      <alignment horizontal="right"/>
    </xf>
    <xf numFmtId="169" fontId="10" fillId="2" borderId="28" xfId="0" applyNumberFormat="1" applyFont="1" applyFill="1" applyBorder="1"/>
    <xf numFmtId="0" fontId="10" fillId="2" borderId="19" xfId="0" applyFont="1" applyFill="1" applyBorder="1" applyAlignment="1">
      <alignment horizontal="center"/>
    </xf>
    <xf numFmtId="43" fontId="10" fillId="2" borderId="29" xfId="0" applyNumberFormat="1" applyFont="1" applyFill="1" applyBorder="1" applyAlignment="1">
      <alignment horizontal="right"/>
    </xf>
    <xf numFmtId="7" fontId="10" fillId="2" borderId="29" xfId="0" applyNumberFormat="1" applyFont="1" applyFill="1" applyBorder="1" applyAlignment="1">
      <alignment horizontal="right"/>
    </xf>
    <xf numFmtId="10" fontId="10" fillId="2" borderId="29" xfId="0" applyNumberFormat="1" applyFont="1" applyFill="1" applyBorder="1" applyAlignment="1">
      <alignment horizontal="right"/>
    </xf>
    <xf numFmtId="169" fontId="10" fillId="2" borderId="28" xfId="0" applyNumberFormat="1" applyFont="1" applyFill="1" applyBorder="1" applyAlignment="1">
      <alignment horizontal="right"/>
    </xf>
    <xf numFmtId="174" fontId="10" fillId="2" borderId="29" xfId="0" applyNumberFormat="1" applyFont="1" applyFill="1" applyBorder="1" applyAlignment="1">
      <alignment horizontal="right"/>
    </xf>
    <xf numFmtId="0" fontId="11" fillId="2" borderId="16" xfId="0" applyFont="1" applyFill="1" applyBorder="1"/>
    <xf numFmtId="0" fontId="10" fillId="2" borderId="27" xfId="0" applyFont="1" applyFill="1" applyBorder="1" applyAlignment="1">
      <alignment horizontal="center"/>
    </xf>
    <xf numFmtId="0" fontId="10" fillId="2" borderId="18" xfId="0" applyFont="1" applyFill="1" applyBorder="1"/>
    <xf numFmtId="0" fontId="10" fillId="2" borderId="27" xfId="0" applyFont="1" applyFill="1" applyBorder="1"/>
    <xf numFmtId="3" fontId="10" fillId="2" borderId="18" xfId="0" applyNumberFormat="1" applyFont="1" applyFill="1" applyBorder="1" applyAlignment="1">
      <alignment horizontal="right" vertical="top" wrapText="1"/>
    </xf>
    <xf numFmtId="44" fontId="10" fillId="2" borderId="27" xfId="0" applyNumberFormat="1" applyFont="1" applyFill="1" applyBorder="1" applyAlignment="1">
      <alignment horizontal="center"/>
    </xf>
    <xf numFmtId="7" fontId="24" fillId="2" borderId="27" xfId="0" applyNumberFormat="1" applyFont="1" applyFill="1" applyBorder="1" applyAlignment="1">
      <alignment horizontal="right"/>
    </xf>
    <xf numFmtId="169" fontId="10" fillId="2" borderId="27" xfId="0" applyNumberFormat="1" applyFont="1" applyFill="1" applyBorder="1" applyAlignment="1">
      <alignment horizontal="right"/>
    </xf>
    <xf numFmtId="0" fontId="4" fillId="0" borderId="27" xfId="0" applyFont="1" applyBorder="1"/>
    <xf numFmtId="10" fontId="24" fillId="2" borderId="27" xfId="0" applyNumberFormat="1" applyFont="1" applyFill="1" applyBorder="1" applyAlignment="1">
      <alignment horizontal="right"/>
    </xf>
    <xf numFmtId="10" fontId="10" fillId="2" borderId="19" xfId="0" applyNumberFormat="1" applyFont="1" applyFill="1" applyBorder="1" applyAlignment="1">
      <alignment horizontal="right"/>
    </xf>
    <xf numFmtId="169" fontId="24" fillId="2" borderId="19" xfId="0" applyNumberFormat="1" applyFont="1" applyFill="1" applyBorder="1" applyAlignment="1">
      <alignment horizontal="right"/>
    </xf>
    <xf numFmtId="0" fontId="10" fillId="0" borderId="30" xfId="0" applyFont="1" applyBorder="1"/>
    <xf numFmtId="44" fontId="10" fillId="0" borderId="30" xfId="0" applyNumberFormat="1" applyFont="1" applyBorder="1"/>
    <xf numFmtId="7" fontId="24" fillId="2" borderId="30" xfId="0" applyNumberFormat="1" applyFont="1" applyFill="1" applyBorder="1" applyAlignment="1">
      <alignment horizontal="right"/>
    </xf>
    <xf numFmtId="44" fontId="11" fillId="2" borderId="29" xfId="0" applyNumberFormat="1" applyFont="1" applyFill="1" applyBorder="1" applyAlignment="1">
      <alignment horizontal="right"/>
    </xf>
    <xf numFmtId="10" fontId="11" fillId="2" borderId="29" xfId="0" applyNumberFormat="1" applyFont="1" applyFill="1" applyBorder="1" applyAlignment="1">
      <alignment horizontal="right"/>
    </xf>
    <xf numFmtId="7" fontId="12" fillId="2" borderId="29" xfId="0" applyNumberFormat="1" applyFont="1" applyFill="1" applyBorder="1" applyAlignment="1">
      <alignment horizontal="right"/>
    </xf>
    <xf numFmtId="43" fontId="12" fillId="2" borderId="29" xfId="0" applyNumberFormat="1" applyFont="1" applyFill="1" applyBorder="1" applyAlignment="1">
      <alignment horizontal="right"/>
    </xf>
    <xf numFmtId="10" fontId="11" fillId="2" borderId="28" xfId="0" applyNumberFormat="1" applyFont="1" applyFill="1" applyBorder="1" applyAlignment="1">
      <alignment horizontal="right"/>
    </xf>
    <xf numFmtId="2" fontId="12" fillId="2" borderId="29" xfId="0" applyNumberFormat="1" applyFont="1" applyFill="1" applyBorder="1" applyAlignment="1">
      <alignment horizontal="right"/>
    </xf>
    <xf numFmtId="44" fontId="12" fillId="2" borderId="29" xfId="0" applyNumberFormat="1" applyFont="1" applyFill="1" applyBorder="1" applyAlignment="1">
      <alignment horizontal="right"/>
    </xf>
    <xf numFmtId="0" fontId="10" fillId="2" borderId="8" xfId="0" applyFont="1" applyFill="1" applyBorder="1"/>
    <xf numFmtId="0" fontId="11" fillId="2" borderId="8" xfId="0" applyFont="1" applyFill="1" applyBorder="1"/>
    <xf numFmtId="0" fontId="11" fillId="2" borderId="8" xfId="0" applyFont="1" applyFill="1" applyBorder="1" applyAlignment="1">
      <alignment horizontal="right"/>
    </xf>
    <xf numFmtId="44" fontId="11" fillId="2" borderId="8" xfId="0" applyNumberFormat="1" applyFont="1" applyFill="1" applyBorder="1" applyAlignment="1">
      <alignment horizontal="right"/>
    </xf>
    <xf numFmtId="10" fontId="11" fillId="2" borderId="8" xfId="0" applyNumberFormat="1" applyFont="1" applyFill="1" applyBorder="1" applyAlignment="1">
      <alignment horizontal="right"/>
    </xf>
    <xf numFmtId="169" fontId="11" fillId="2" borderId="8" xfId="0" applyNumberFormat="1" applyFont="1" applyFill="1" applyBorder="1" applyAlignment="1">
      <alignment horizontal="right"/>
    </xf>
    <xf numFmtId="44" fontId="12" fillId="2" borderId="8" xfId="0" applyNumberFormat="1" applyFont="1" applyFill="1" applyBorder="1" applyAlignment="1">
      <alignment horizontal="right"/>
    </xf>
    <xf numFmtId="2" fontId="12" fillId="2" borderId="8" xfId="0" applyNumberFormat="1" applyFont="1" applyFill="1" applyBorder="1" applyAlignment="1">
      <alignment horizontal="right"/>
    </xf>
    <xf numFmtId="0" fontId="11" fillId="2" borderId="16" xfId="0" applyFont="1" applyFill="1" applyBorder="1" applyAlignment="1">
      <alignment horizontal="right"/>
    </xf>
    <xf numFmtId="0" fontId="11" fillId="2" borderId="30" xfId="0" applyFont="1" applyFill="1" applyBorder="1" applyAlignment="1">
      <alignment horizontal="right"/>
    </xf>
    <xf numFmtId="44" fontId="11" fillId="2" borderId="30" xfId="0" applyNumberFormat="1" applyFont="1" applyFill="1" applyBorder="1" applyAlignment="1">
      <alignment horizontal="right"/>
    </xf>
    <xf numFmtId="9" fontId="11" fillId="2" borderId="30" xfId="0" applyNumberFormat="1" applyFont="1" applyFill="1" applyBorder="1" applyAlignment="1">
      <alignment horizontal="right"/>
    </xf>
    <xf numFmtId="44" fontId="12" fillId="2" borderId="30" xfId="0" applyNumberFormat="1" applyFont="1" applyFill="1" applyBorder="1" applyAlignment="1">
      <alignment horizontal="right"/>
    </xf>
    <xf numFmtId="2" fontId="12" fillId="2" borderId="30" xfId="0" applyNumberFormat="1" applyFont="1" applyFill="1" applyBorder="1" applyAlignment="1">
      <alignment horizontal="right"/>
    </xf>
    <xf numFmtId="0" fontId="24" fillId="2" borderId="29" xfId="0" applyFont="1" applyFill="1" applyBorder="1" applyAlignment="1">
      <alignment horizontal="right"/>
    </xf>
    <xf numFmtId="0" fontId="27" fillId="2" borderId="29" xfId="0" applyFont="1" applyFill="1" applyBorder="1" applyAlignment="1">
      <alignment horizontal="left"/>
    </xf>
    <xf numFmtId="10" fontId="27" fillId="2" borderId="29" xfId="0" applyNumberFormat="1" applyFont="1" applyFill="1" applyBorder="1"/>
    <xf numFmtId="4" fontId="10" fillId="2" borderId="29" xfId="0" applyNumberFormat="1" applyFont="1" applyFill="1" applyBorder="1"/>
    <xf numFmtId="10" fontId="12" fillId="2" borderId="29" xfId="0" applyNumberFormat="1" applyFont="1" applyFill="1" applyBorder="1" applyAlignment="1">
      <alignment horizontal="right"/>
    </xf>
    <xf numFmtId="170" fontId="11" fillId="2" borderId="29" xfId="0" applyNumberFormat="1" applyFont="1" applyFill="1" applyBorder="1" applyAlignment="1">
      <alignment horizontal="center"/>
    </xf>
    <xf numFmtId="44" fontId="0" fillId="2" borderId="29" xfId="0" applyNumberFormat="1" applyFill="1" applyBorder="1" applyAlignment="1">
      <alignment horizontal="right"/>
    </xf>
    <xf numFmtId="10" fontId="10" fillId="2" borderId="28" xfId="0" applyNumberFormat="1" applyFont="1" applyFill="1" applyBorder="1" applyAlignment="1">
      <alignment horizontal="center"/>
    </xf>
    <xf numFmtId="3" fontId="4" fillId="2" borderId="29" xfId="0" applyNumberFormat="1" applyFont="1" applyFill="1" applyBorder="1" applyAlignment="1">
      <alignment horizontal="center" vertical="top" wrapText="1"/>
    </xf>
    <xf numFmtId="0" fontId="29" fillId="2" borderId="24" xfId="0" applyFont="1" applyFill="1" applyBorder="1"/>
    <xf numFmtId="0" fontId="14" fillId="2" borderId="35" xfId="0" applyFont="1" applyFill="1" applyBorder="1" applyAlignment="1">
      <alignment horizontal="center"/>
    </xf>
    <xf numFmtId="0" fontId="11" fillId="2" borderId="46" xfId="0" applyFont="1" applyFill="1" applyBorder="1"/>
    <xf numFmtId="0" fontId="10" fillId="2" borderId="23" xfId="0" applyFont="1" applyFill="1" applyBorder="1"/>
    <xf numFmtId="3" fontId="4" fillId="2" borderId="18" xfId="0" applyNumberFormat="1" applyFont="1" applyFill="1" applyBorder="1" applyAlignment="1">
      <alignment horizontal="center" vertical="top" wrapText="1"/>
    </xf>
    <xf numFmtId="44" fontId="4" fillId="2" borderId="27" xfId="0" applyNumberFormat="1" applyFont="1" applyFill="1" applyBorder="1" applyAlignment="1">
      <alignment horizontal="center"/>
    </xf>
    <xf numFmtId="44" fontId="0" fillId="2" borderId="27" xfId="0" applyNumberFormat="1" applyFill="1" applyBorder="1" applyAlignment="1">
      <alignment horizontal="right"/>
    </xf>
    <xf numFmtId="10" fontId="10" fillId="2" borderId="27" xfId="0" applyNumberFormat="1" applyFont="1" applyFill="1" applyBorder="1" applyAlignment="1">
      <alignment horizontal="center"/>
    </xf>
    <xf numFmtId="169" fontId="4" fillId="2" borderId="27" xfId="0" applyNumberFormat="1" applyFont="1" applyFill="1" applyBorder="1" applyAlignment="1">
      <alignment horizontal="right"/>
    </xf>
    <xf numFmtId="10" fontId="4" fillId="2" borderId="19" xfId="0" applyNumberFormat="1" applyFont="1" applyFill="1" applyBorder="1" applyAlignment="1">
      <alignment horizontal="right"/>
    </xf>
    <xf numFmtId="0" fontId="4" fillId="2" borderId="27" xfId="0" applyFont="1" applyFill="1" applyBorder="1"/>
    <xf numFmtId="169" fontId="0" fillId="2" borderId="27" xfId="0" applyNumberFormat="1" applyFill="1" applyBorder="1" applyAlignment="1">
      <alignment horizontal="right"/>
    </xf>
    <xf numFmtId="169" fontId="0" fillId="2" borderId="19" xfId="0" applyNumberFormat="1" applyFill="1" applyBorder="1" applyAlignment="1">
      <alignment horizontal="right"/>
    </xf>
    <xf numFmtId="3" fontId="4" fillId="2" borderId="24" xfId="0" applyNumberFormat="1" applyFont="1" applyFill="1" applyBorder="1" applyAlignment="1">
      <alignment horizontal="center" vertical="top" wrapText="1"/>
    </xf>
    <xf numFmtId="0" fontId="11" fillId="2" borderId="24" xfId="0" applyFont="1" applyFill="1" applyBorder="1"/>
    <xf numFmtId="0" fontId="4" fillId="0" borderId="24" xfId="0" applyFont="1" applyBorder="1" applyAlignment="1">
      <alignment horizontal="center"/>
    </xf>
    <xf numFmtId="44" fontId="0" fillId="2" borderId="30" xfId="0" applyNumberFormat="1" applyFill="1" applyBorder="1" applyAlignment="1">
      <alignment horizontal="right"/>
    </xf>
    <xf numFmtId="10" fontId="10" fillId="2" borderId="30" xfId="0" applyNumberFormat="1" applyFont="1" applyFill="1" applyBorder="1" applyAlignment="1">
      <alignment horizontal="center"/>
    </xf>
    <xf numFmtId="7" fontId="13" fillId="2" borderId="29" xfId="0" applyNumberFormat="1" applyFont="1" applyFill="1" applyBorder="1" applyAlignment="1">
      <alignment horizontal="right"/>
    </xf>
    <xf numFmtId="44" fontId="6" fillId="2" borderId="29" xfId="0" applyNumberFormat="1" applyFont="1" applyFill="1" applyBorder="1" applyAlignment="1">
      <alignment horizontal="right"/>
    </xf>
    <xf numFmtId="44" fontId="13" fillId="2" borderId="29" xfId="0" applyNumberFormat="1" applyFont="1" applyFill="1" applyBorder="1" applyAlignment="1">
      <alignment horizontal="right"/>
    </xf>
    <xf numFmtId="7" fontId="6" fillId="2" borderId="29" xfId="0" applyNumberFormat="1" applyFont="1" applyFill="1" applyBorder="1" applyAlignment="1">
      <alignment horizontal="right"/>
    </xf>
    <xf numFmtId="44" fontId="13" fillId="2" borderId="8" xfId="0" applyNumberFormat="1" applyFont="1" applyFill="1" applyBorder="1" applyAlignment="1">
      <alignment horizontal="right"/>
    </xf>
    <xf numFmtId="44" fontId="6" fillId="2" borderId="8" xfId="0" applyNumberFormat="1" applyFont="1" applyFill="1" applyBorder="1" applyAlignment="1">
      <alignment horizontal="right"/>
    </xf>
    <xf numFmtId="44" fontId="13" fillId="2" borderId="30" xfId="0" applyNumberFormat="1" applyFont="1" applyFill="1" applyBorder="1" applyAlignment="1">
      <alignment horizontal="right"/>
    </xf>
    <xf numFmtId="44" fontId="6" fillId="2" borderId="30" xfId="0" applyNumberFormat="1" applyFont="1" applyFill="1" applyBorder="1" applyAlignment="1">
      <alignment horizontal="right"/>
    </xf>
    <xf numFmtId="2" fontId="0" fillId="2" borderId="29" xfId="0" applyNumberFormat="1" applyFill="1" applyBorder="1"/>
    <xf numFmtId="44" fontId="24" fillId="2" borderId="29" xfId="0" applyNumberFormat="1" applyFont="1" applyFill="1" applyBorder="1" applyAlignment="1">
      <alignment horizontal="right"/>
    </xf>
    <xf numFmtId="169" fontId="24" fillId="2" borderId="24" xfId="0" applyNumberFormat="1" applyFont="1" applyFill="1" applyBorder="1" applyAlignment="1">
      <alignment horizontal="right"/>
    </xf>
    <xf numFmtId="169" fontId="30" fillId="2" borderId="28" xfId="0" applyNumberFormat="1" applyFont="1" applyFill="1" applyBorder="1" applyAlignment="1">
      <alignment horizontal="right"/>
    </xf>
    <xf numFmtId="166" fontId="10" fillId="2" borderId="29" xfId="0" applyNumberFormat="1" applyFont="1" applyFill="1" applyBorder="1" applyAlignment="1">
      <alignment horizontal="center"/>
    </xf>
    <xf numFmtId="170" fontId="26" fillId="2" borderId="29" xfId="0" applyNumberFormat="1" applyFont="1" applyFill="1" applyBorder="1"/>
    <xf numFmtId="3" fontId="10" fillId="2" borderId="18" xfId="0" applyNumberFormat="1" applyFont="1" applyFill="1" applyBorder="1" applyAlignment="1">
      <alignment horizontal="center" vertical="top" wrapText="1"/>
    </xf>
    <xf numFmtId="44" fontId="24" fillId="2" borderId="27" xfId="0" applyNumberFormat="1" applyFont="1" applyFill="1" applyBorder="1" applyAlignment="1">
      <alignment horizontal="right"/>
    </xf>
    <xf numFmtId="0" fontId="10" fillId="0" borderId="27" xfId="0" applyFont="1" applyBorder="1"/>
    <xf numFmtId="3" fontId="10" fillId="2" borderId="24" xfId="0" applyNumberFormat="1" applyFont="1" applyFill="1" applyBorder="1" applyAlignment="1">
      <alignment horizontal="center" vertical="top" wrapText="1"/>
    </xf>
    <xf numFmtId="44" fontId="10" fillId="0" borderId="30" xfId="0" applyNumberFormat="1" applyFont="1" applyBorder="1" applyAlignment="1">
      <alignment horizontal="center"/>
    </xf>
    <xf numFmtId="44" fontId="24" fillId="2" borderId="30" xfId="0" applyNumberFormat="1" applyFont="1" applyFill="1" applyBorder="1" applyAlignment="1">
      <alignment horizontal="right"/>
    </xf>
    <xf numFmtId="170" fontId="31" fillId="2" borderId="29" xfId="0" applyNumberFormat="1" applyFont="1" applyFill="1" applyBorder="1"/>
    <xf numFmtId="2" fontId="24" fillId="2" borderId="29" xfId="0" applyNumberFormat="1" applyFont="1" applyFill="1" applyBorder="1"/>
    <xf numFmtId="10" fontId="10" fillId="2" borderId="30" xfId="0" applyNumberFormat="1" applyFont="1" applyFill="1" applyBorder="1"/>
    <xf numFmtId="10" fontId="11" fillId="2" borderId="29" xfId="0" applyNumberFormat="1" applyFont="1" applyFill="1" applyBorder="1"/>
    <xf numFmtId="175" fontId="32" fillId="2" borderId="29" xfId="0" applyNumberFormat="1" applyFont="1" applyFill="1" applyBorder="1"/>
    <xf numFmtId="175" fontId="7" fillId="2" borderId="29" xfId="0" applyNumberFormat="1" applyFont="1" applyFill="1" applyBorder="1" applyAlignment="1">
      <alignment horizontal="center"/>
    </xf>
    <xf numFmtId="175" fontId="33" fillId="2" borderId="29" xfId="0" applyNumberFormat="1" applyFont="1" applyFill="1" applyBorder="1"/>
    <xf numFmtId="44" fontId="4" fillId="2" borderId="27" xfId="0" applyNumberFormat="1" applyFont="1" applyFill="1" applyBorder="1" applyAlignment="1">
      <alignment horizontal="right"/>
    </xf>
    <xf numFmtId="3" fontId="4" fillId="2" borderId="27" xfId="0" applyNumberFormat="1" applyFont="1" applyFill="1" applyBorder="1" applyAlignment="1">
      <alignment horizontal="right" vertical="top" wrapText="1"/>
    </xf>
    <xf numFmtId="2" fontId="4" fillId="2" borderId="27" xfId="0" applyNumberFormat="1" applyFont="1" applyFill="1" applyBorder="1" applyAlignment="1">
      <alignment horizontal="center"/>
    </xf>
    <xf numFmtId="44" fontId="4" fillId="2" borderId="29" xfId="0" applyNumberFormat="1" applyFont="1" applyFill="1" applyBorder="1" applyAlignment="1">
      <alignment horizontal="right"/>
    </xf>
    <xf numFmtId="0" fontId="14" fillId="2" borderId="16" xfId="0" applyFont="1" applyFill="1" applyBorder="1" applyAlignment="1">
      <alignment horizontal="center"/>
    </xf>
    <xf numFmtId="175" fontId="26" fillId="2" borderId="29" xfId="0" applyNumberFormat="1" applyFont="1" applyFill="1" applyBorder="1"/>
    <xf numFmtId="175" fontId="27" fillId="2" borderId="29" xfId="0" applyNumberFormat="1" applyFont="1" applyFill="1" applyBorder="1"/>
    <xf numFmtId="175" fontId="23" fillId="2" borderId="29" xfId="0" applyNumberFormat="1" applyFont="1" applyFill="1" applyBorder="1"/>
    <xf numFmtId="175" fontId="10" fillId="2" borderId="30" xfId="0" applyNumberFormat="1" applyFont="1" applyFill="1" applyBorder="1"/>
    <xf numFmtId="175" fontId="34" fillId="2" borderId="29" xfId="0" applyNumberFormat="1" applyFont="1" applyFill="1" applyBorder="1"/>
    <xf numFmtId="0" fontId="35" fillId="2" borderId="25" xfId="0" applyFont="1" applyFill="1" applyBorder="1"/>
    <xf numFmtId="0" fontId="11" fillId="2" borderId="26" xfId="0" applyFont="1" applyFill="1" applyBorder="1" applyAlignment="1">
      <alignment horizontal="left"/>
    </xf>
    <xf numFmtId="0" fontId="10" fillId="2" borderId="47" xfId="0" applyFont="1" applyFill="1" applyBorder="1"/>
    <xf numFmtId="0" fontId="11" fillId="2" borderId="28" xfId="0" applyFont="1" applyFill="1" applyBorder="1" applyAlignment="1">
      <alignment horizontal="left"/>
    </xf>
    <xf numFmtId="0" fontId="12" fillId="2" borderId="29" xfId="0" applyFont="1" applyFill="1" applyBorder="1" applyAlignment="1">
      <alignment horizontal="center"/>
    </xf>
    <xf numFmtId="0" fontId="36" fillId="2" borderId="28" xfId="0" applyFont="1" applyFill="1" applyBorder="1" applyAlignment="1">
      <alignment horizontal="center"/>
    </xf>
    <xf numFmtId="3" fontId="10" fillId="2" borderId="29" xfId="0" applyNumberFormat="1" applyFont="1" applyFill="1" applyBorder="1" applyAlignment="1">
      <alignment horizontal="center" vertical="top" wrapText="1"/>
    </xf>
    <xf numFmtId="0" fontId="10" fillId="2" borderId="24" xfId="0" applyFont="1" applyFill="1" applyBorder="1" applyAlignment="1">
      <alignment horizontal="left"/>
    </xf>
    <xf numFmtId="0" fontId="11" fillId="2" borderId="29" xfId="0" applyFont="1" applyFill="1" applyBorder="1" applyAlignment="1">
      <alignment vertical="top" wrapText="1"/>
    </xf>
    <xf numFmtId="10" fontId="11" fillId="2" borderId="28" xfId="0" applyNumberFormat="1" applyFont="1" applyFill="1" applyBorder="1" applyAlignment="1">
      <alignment horizontal="center"/>
    </xf>
    <xf numFmtId="44" fontId="10" fillId="2" borderId="27" xfId="0" applyNumberFormat="1" applyFont="1" applyFill="1" applyBorder="1" applyAlignment="1">
      <alignment horizontal="right"/>
    </xf>
    <xf numFmtId="0" fontId="10" fillId="2" borderId="24" xfId="0" applyFont="1" applyFill="1" applyBorder="1" applyAlignment="1">
      <alignment horizontal="center"/>
    </xf>
    <xf numFmtId="0" fontId="10" fillId="0" borderId="30" xfId="0" applyFont="1" applyBorder="1" applyAlignment="1">
      <alignment horizontal="center"/>
    </xf>
    <xf numFmtId="4" fontId="24" fillId="2" borderId="29" xfId="0" applyNumberFormat="1" applyFont="1" applyFill="1" applyBorder="1"/>
    <xf numFmtId="39" fontId="10" fillId="2" borderId="29" xfId="0" applyNumberFormat="1" applyFont="1" applyFill="1" applyBorder="1" applyAlignment="1">
      <alignment horizontal="center"/>
    </xf>
    <xf numFmtId="170" fontId="16" fillId="2" borderId="24" xfId="0" applyNumberFormat="1" applyFont="1" applyFill="1" applyBorder="1"/>
    <xf numFmtId="170" fontId="17" fillId="2" borderId="24" xfId="0" applyNumberFormat="1" applyFont="1" applyFill="1" applyBorder="1"/>
    <xf numFmtId="166" fontId="7" fillId="2" borderId="24" xfId="0" applyNumberFormat="1" applyFont="1" applyFill="1" applyBorder="1" applyAlignment="1">
      <alignment horizontal="center"/>
    </xf>
    <xf numFmtId="170" fontId="7" fillId="2" borderId="24" xfId="0" applyNumberFormat="1" applyFont="1" applyFill="1" applyBorder="1" applyAlignment="1">
      <alignment horizontal="center"/>
    </xf>
    <xf numFmtId="170" fontId="18" fillId="2" borderId="24" xfId="0" applyNumberFormat="1" applyFont="1" applyFill="1" applyBorder="1"/>
    <xf numFmtId="166" fontId="11" fillId="2" borderId="29" xfId="0" applyNumberFormat="1" applyFont="1" applyFill="1" applyBorder="1" applyAlignment="1">
      <alignment horizontal="center"/>
    </xf>
    <xf numFmtId="170" fontId="11" fillId="2" borderId="24" xfId="0" applyNumberFormat="1" applyFont="1" applyFill="1" applyBorder="1" applyAlignment="1">
      <alignment horizontal="center"/>
    </xf>
    <xf numFmtId="176" fontId="38" fillId="2" borderId="28" xfId="0" applyNumberFormat="1" applyFont="1" applyFill="1" applyBorder="1" applyAlignment="1">
      <alignment horizontal="right"/>
    </xf>
    <xf numFmtId="167" fontId="26" fillId="2" borderId="29" xfId="0" applyNumberFormat="1" applyFont="1" applyFill="1" applyBorder="1"/>
    <xf numFmtId="0" fontId="13" fillId="2" borderId="24" xfId="0" applyFont="1" applyFill="1" applyBorder="1"/>
    <xf numFmtId="167" fontId="10" fillId="2" borderId="29" xfId="0" applyNumberFormat="1" applyFont="1" applyFill="1" applyBorder="1"/>
    <xf numFmtId="169" fontId="38" fillId="2" borderId="28" xfId="0" applyNumberFormat="1" applyFont="1" applyFill="1" applyBorder="1" applyAlignment="1">
      <alignment horizontal="right"/>
    </xf>
    <xf numFmtId="167" fontId="38" fillId="2" borderId="29" xfId="0" applyNumberFormat="1" applyFont="1" applyFill="1" applyBorder="1"/>
    <xf numFmtId="0" fontId="11" fillId="2" borderId="24" xfId="0" applyFont="1" applyFill="1" applyBorder="1" applyAlignment="1">
      <alignment vertical="top" wrapText="1"/>
    </xf>
    <xf numFmtId="170" fontId="26" fillId="2" borderId="24" xfId="0" applyNumberFormat="1" applyFont="1" applyFill="1" applyBorder="1"/>
    <xf numFmtId="167" fontId="7" fillId="2" borderId="29" xfId="0" applyNumberFormat="1" applyFont="1" applyFill="1" applyBorder="1"/>
    <xf numFmtId="169" fontId="4" fillId="2" borderId="30" xfId="0" applyNumberFormat="1" applyFont="1" applyFill="1" applyBorder="1" applyAlignment="1">
      <alignment horizontal="center"/>
    </xf>
    <xf numFmtId="169" fontId="10" fillId="2" borderId="27" xfId="0" applyNumberFormat="1" applyFont="1" applyFill="1" applyBorder="1" applyAlignment="1">
      <alignment horizontal="center"/>
    </xf>
    <xf numFmtId="0" fontId="4" fillId="2" borderId="18" xfId="0" applyFont="1" applyFill="1" applyBorder="1"/>
    <xf numFmtId="167" fontId="10" fillId="2" borderId="29" xfId="0" applyNumberFormat="1" applyFont="1" applyFill="1" applyBorder="1" applyAlignment="1">
      <alignment horizontal="center"/>
    </xf>
    <xf numFmtId="167" fontId="10" fillId="2" borderId="29" xfId="0" applyNumberFormat="1" applyFont="1" applyFill="1" applyBorder="1" applyAlignment="1">
      <alignment horizontal="right"/>
    </xf>
    <xf numFmtId="167" fontId="26" fillId="2" borderId="29" xfId="0" applyNumberFormat="1" applyFont="1" applyFill="1" applyBorder="1" applyAlignment="1">
      <alignment horizontal="right"/>
    </xf>
    <xf numFmtId="10" fontId="26" fillId="2" borderId="29" xfId="0" applyNumberFormat="1" applyFont="1" applyFill="1" applyBorder="1" applyAlignment="1">
      <alignment horizontal="right"/>
    </xf>
    <xf numFmtId="44" fontId="4" fillId="2" borderId="28" xfId="0" applyNumberFormat="1" applyFont="1" applyFill="1" applyBorder="1" applyAlignment="1">
      <alignment horizontal="right"/>
    </xf>
    <xf numFmtId="0" fontId="4" fillId="0" borderId="30" xfId="0" applyFont="1" applyBorder="1" applyAlignment="1">
      <alignment horizontal="center"/>
    </xf>
    <xf numFmtId="167" fontId="10" fillId="2" borderId="30" xfId="0" applyNumberFormat="1" applyFont="1" applyFill="1" applyBorder="1" applyAlignment="1">
      <alignment horizontal="right"/>
    </xf>
    <xf numFmtId="0" fontId="4" fillId="0" borderId="30" xfId="0" applyFont="1" applyBorder="1" applyAlignment="1">
      <alignment horizontal="right"/>
    </xf>
    <xf numFmtId="169" fontId="13" fillId="2" borderId="29" xfId="0" applyNumberFormat="1" applyFont="1" applyFill="1" applyBorder="1" applyAlignment="1">
      <alignment horizontal="center"/>
    </xf>
    <xf numFmtId="167" fontId="39" fillId="2" borderId="29" xfId="0" applyNumberFormat="1" applyFont="1" applyFill="1" applyBorder="1"/>
    <xf numFmtId="169" fontId="13" fillId="2" borderId="8" xfId="0" applyNumberFormat="1" applyFont="1" applyFill="1" applyBorder="1" applyAlignment="1">
      <alignment horizontal="center"/>
    </xf>
    <xf numFmtId="9" fontId="13" fillId="2" borderId="30" xfId="0" applyNumberFormat="1" applyFont="1" applyFill="1" applyBorder="1" applyAlignment="1">
      <alignment horizontal="center"/>
    </xf>
    <xf numFmtId="0" fontId="21" fillId="2" borderId="24" xfId="0" applyFont="1" applyFill="1" applyBorder="1"/>
    <xf numFmtId="10" fontId="27" fillId="2" borderId="28" xfId="0" applyNumberFormat="1" applyFont="1" applyFill="1" applyBorder="1"/>
    <xf numFmtId="0" fontId="4" fillId="2" borderId="16" xfId="0" applyFont="1" applyFill="1" applyBorder="1"/>
    <xf numFmtId="0" fontId="7" fillId="0" borderId="30" xfId="0" applyFont="1" applyBorder="1" applyAlignment="1">
      <alignment horizontal="center"/>
    </xf>
    <xf numFmtId="175" fontId="26" fillId="0" borderId="30" xfId="0" applyNumberFormat="1" applyFont="1" applyBorder="1" applyAlignment="1">
      <alignment horizontal="right"/>
    </xf>
    <xf numFmtId="44" fontId="12" fillId="2" borderId="29" xfId="0" applyNumberFormat="1" applyFont="1" applyFill="1" applyBorder="1" applyAlignment="1">
      <alignment horizontal="center"/>
    </xf>
    <xf numFmtId="44" fontId="11" fillId="2" borderId="29" xfId="0" applyNumberFormat="1" applyFont="1" applyFill="1" applyBorder="1"/>
    <xf numFmtId="10" fontId="11" fillId="2" borderId="29" xfId="0" applyNumberFormat="1" applyFont="1" applyFill="1" applyBorder="1" applyAlignment="1">
      <alignment horizontal="center"/>
    </xf>
    <xf numFmtId="44" fontId="7" fillId="2" borderId="29" xfId="0" applyNumberFormat="1" applyFont="1" applyFill="1" applyBorder="1"/>
    <xf numFmtId="44" fontId="26" fillId="2" borderId="29" xfId="0" applyNumberFormat="1" applyFont="1" applyFill="1" applyBorder="1" applyAlignment="1">
      <alignment horizontal="right"/>
    </xf>
    <xf numFmtId="43" fontId="11" fillId="2" borderId="8" xfId="0" applyNumberFormat="1" applyFont="1" applyFill="1" applyBorder="1" applyAlignment="1">
      <alignment horizontal="right"/>
    </xf>
    <xf numFmtId="43" fontId="13" fillId="2" borderId="8" xfId="0" applyNumberFormat="1" applyFont="1" applyFill="1" applyBorder="1" applyAlignment="1">
      <alignment horizontal="right"/>
    </xf>
    <xf numFmtId="9" fontId="11" fillId="2" borderId="29" xfId="0" applyNumberFormat="1" applyFont="1" applyFill="1" applyBorder="1" applyAlignment="1">
      <alignment horizontal="right"/>
    </xf>
    <xf numFmtId="9" fontId="13" fillId="2" borderId="29" xfId="0" applyNumberFormat="1" applyFont="1" applyFill="1" applyBorder="1" applyAlignment="1">
      <alignment horizontal="center"/>
    </xf>
    <xf numFmtId="0" fontId="40" fillId="2" borderId="29" xfId="0" applyFont="1" applyFill="1" applyBorder="1"/>
    <xf numFmtId="0" fontId="36" fillId="0" borderId="28" xfId="0" applyFont="1" applyBorder="1" applyAlignment="1">
      <alignment horizontal="center"/>
    </xf>
    <xf numFmtId="169" fontId="10" fillId="0" borderId="24" xfId="0" applyNumberFormat="1" applyFont="1" applyBorder="1"/>
    <xf numFmtId="169" fontId="38" fillId="0" borderId="28" xfId="0" applyNumberFormat="1" applyFont="1" applyBorder="1" applyAlignment="1">
      <alignment horizontal="right"/>
    </xf>
    <xf numFmtId="0" fontId="11" fillId="2" borderId="16" xfId="0" applyFont="1" applyFill="1" applyBorder="1" applyAlignment="1">
      <alignment vertical="top" wrapText="1"/>
    </xf>
    <xf numFmtId="3" fontId="10" fillId="2" borderId="30" xfId="0" applyNumberFormat="1" applyFont="1" applyFill="1" applyBorder="1" applyAlignment="1">
      <alignment horizontal="center" vertical="top" wrapText="1"/>
    </xf>
    <xf numFmtId="44" fontId="10" fillId="2" borderId="30" xfId="0" applyNumberFormat="1" applyFont="1" applyFill="1" applyBorder="1" applyAlignment="1">
      <alignment horizontal="center"/>
    </xf>
    <xf numFmtId="44" fontId="10" fillId="2" borderId="30" xfId="0" applyNumberFormat="1" applyFont="1" applyFill="1" applyBorder="1"/>
    <xf numFmtId="169" fontId="10" fillId="2" borderId="30" xfId="0" applyNumberFormat="1" applyFont="1" applyFill="1" applyBorder="1" applyAlignment="1">
      <alignment horizontal="center"/>
    </xf>
    <xf numFmtId="3" fontId="10" fillId="0" borderId="30" xfId="0" applyNumberFormat="1" applyFont="1" applyBorder="1" applyAlignment="1">
      <alignment horizontal="center" vertical="top" wrapText="1"/>
    </xf>
    <xf numFmtId="44" fontId="24" fillId="0" borderId="30" xfId="0" applyNumberFormat="1" applyFont="1" applyBorder="1" applyAlignment="1">
      <alignment horizontal="right"/>
    </xf>
    <xf numFmtId="10" fontId="10" fillId="0" borderId="30" xfId="0" applyNumberFormat="1" applyFont="1" applyBorder="1" applyAlignment="1">
      <alignment horizontal="center"/>
    </xf>
    <xf numFmtId="169" fontId="24" fillId="0" borderId="13" xfId="0" applyNumberFormat="1" applyFont="1" applyBorder="1" applyAlignment="1">
      <alignment horizontal="right"/>
    </xf>
    <xf numFmtId="10" fontId="10" fillId="2" borderId="19" xfId="0" applyNumberFormat="1" applyFont="1" applyFill="1" applyBorder="1" applyAlignment="1">
      <alignment horizontal="center"/>
    </xf>
    <xf numFmtId="169" fontId="24" fillId="0" borderId="24" xfId="0" applyNumberFormat="1" applyFont="1" applyBorder="1" applyAlignment="1">
      <alignment horizontal="right"/>
    </xf>
    <xf numFmtId="3" fontId="4" fillId="2" borderId="46" xfId="0" applyNumberFormat="1" applyFont="1" applyFill="1" applyBorder="1" applyAlignment="1">
      <alignment horizontal="right" vertical="top" wrapText="1"/>
    </xf>
    <xf numFmtId="43" fontId="4" fillId="2" borderId="22" xfId="0" applyNumberFormat="1" applyFont="1" applyFill="1" applyBorder="1" applyAlignment="1">
      <alignment horizontal="right"/>
    </xf>
    <xf numFmtId="168" fontId="4" fillId="2" borderId="22" xfId="0" applyNumberFormat="1" applyFont="1" applyFill="1" applyBorder="1" applyAlignment="1">
      <alignment horizontal="right"/>
    </xf>
    <xf numFmtId="169" fontId="4" fillId="2" borderId="22" xfId="0" applyNumberFormat="1" applyFont="1" applyFill="1" applyBorder="1" applyAlignment="1">
      <alignment horizontal="right"/>
    </xf>
    <xf numFmtId="169" fontId="4" fillId="2" borderId="22" xfId="0" applyNumberFormat="1" applyFont="1" applyFill="1" applyBorder="1" applyAlignment="1">
      <alignment horizontal="center"/>
    </xf>
    <xf numFmtId="44" fontId="10" fillId="0" borderId="27" xfId="0" applyNumberFormat="1" applyFont="1" applyBorder="1" applyAlignment="1">
      <alignment horizontal="right"/>
    </xf>
    <xf numFmtId="44" fontId="10" fillId="0" borderId="27" xfId="0" applyNumberFormat="1" applyFont="1" applyBorder="1" applyAlignment="1">
      <alignment horizontal="center"/>
    </xf>
    <xf numFmtId="169" fontId="10" fillId="0" borderId="27" xfId="0" applyNumberFormat="1" applyFont="1" applyBorder="1" applyAlignment="1">
      <alignment horizontal="center"/>
    </xf>
    <xf numFmtId="7" fontId="24" fillId="0" borderId="27" xfId="0" applyNumberFormat="1" applyFont="1" applyBorder="1" applyAlignment="1">
      <alignment horizontal="right"/>
    </xf>
    <xf numFmtId="10" fontId="4" fillId="0" borderId="19" xfId="0" applyNumberFormat="1" applyFont="1" applyBorder="1" applyAlignment="1">
      <alignment horizontal="right"/>
    </xf>
    <xf numFmtId="169" fontId="24" fillId="0" borderId="19" xfId="0" applyNumberFormat="1" applyFont="1" applyBorder="1" applyAlignment="1">
      <alignment horizontal="right"/>
    </xf>
    <xf numFmtId="0" fontId="4" fillId="2" borderId="29" xfId="0" applyFont="1" applyFill="1" applyBorder="1" applyAlignment="1">
      <alignment vertical="top"/>
    </xf>
    <xf numFmtId="0" fontId="4" fillId="2" borderId="30" xfId="0" applyFont="1" applyFill="1" applyBorder="1" applyAlignment="1">
      <alignment vertical="top"/>
    </xf>
    <xf numFmtId="44" fontId="11" fillId="2" borderId="27" xfId="0" applyNumberFormat="1" applyFont="1" applyFill="1" applyBorder="1" applyAlignment="1">
      <alignment horizontal="right"/>
    </xf>
    <xf numFmtId="10" fontId="11" fillId="2" borderId="27" xfId="0" applyNumberFormat="1" applyFont="1" applyFill="1" applyBorder="1" applyAlignment="1">
      <alignment horizontal="right"/>
    </xf>
    <xf numFmtId="0" fontId="13" fillId="0" borderId="27" xfId="0" applyFont="1" applyBorder="1" applyAlignment="1">
      <alignment horizontal="right"/>
    </xf>
    <xf numFmtId="10" fontId="10" fillId="0" borderId="27" xfId="0" applyNumberFormat="1" applyFont="1" applyBorder="1" applyAlignment="1">
      <alignment horizontal="right"/>
    </xf>
    <xf numFmtId="44" fontId="10" fillId="2" borderId="8" xfId="0" applyNumberFormat="1" applyFont="1" applyFill="1" applyBorder="1" applyAlignment="1">
      <alignment horizontal="right"/>
    </xf>
    <xf numFmtId="10" fontId="13" fillId="0" borderId="14" xfId="0" applyNumberFormat="1" applyFont="1" applyBorder="1" applyAlignment="1">
      <alignment horizontal="center"/>
    </xf>
    <xf numFmtId="0" fontId="10" fillId="0" borderId="14" xfId="0" applyFont="1" applyBorder="1"/>
    <xf numFmtId="44" fontId="12" fillId="0" borderId="30" xfId="0" applyNumberFormat="1" applyFont="1" applyBorder="1" applyAlignment="1">
      <alignment horizontal="right"/>
    </xf>
    <xf numFmtId="9" fontId="13" fillId="0" borderId="13" xfId="0" applyNumberFormat="1" applyFont="1" applyBorder="1" applyAlignment="1">
      <alignment horizontal="center"/>
    </xf>
    <xf numFmtId="175" fontId="4" fillId="2" borderId="29" xfId="0" applyNumberFormat="1" applyFont="1" applyFill="1" applyBorder="1"/>
    <xf numFmtId="175" fontId="10" fillId="0" borderId="30" xfId="0" applyNumberFormat="1" applyFont="1" applyBorder="1"/>
    <xf numFmtId="175" fontId="40" fillId="2" borderId="29" xfId="0" applyNumberFormat="1" applyFont="1" applyFill="1" applyBorder="1"/>
    <xf numFmtId="0" fontId="7" fillId="2" borderId="29" xfId="0" applyFont="1" applyFill="1" applyBorder="1" applyAlignment="1">
      <alignment horizontal="center"/>
    </xf>
    <xf numFmtId="166" fontId="11" fillId="2" borderId="10" xfId="0" applyNumberFormat="1" applyFont="1" applyFill="1" applyBorder="1" applyAlignment="1">
      <alignment horizontal="center"/>
    </xf>
    <xf numFmtId="0" fontId="11" fillId="0" borderId="24" xfId="0" applyFont="1" applyBorder="1" applyAlignment="1">
      <alignment horizontal="center"/>
    </xf>
    <xf numFmtId="9" fontId="10" fillId="2" borderId="29" xfId="0" applyNumberFormat="1" applyFont="1" applyFill="1" applyBorder="1"/>
    <xf numFmtId="169" fontId="42" fillId="2" borderId="29" xfId="0" applyNumberFormat="1" applyFont="1" applyFill="1" applyBorder="1" applyAlignment="1">
      <alignment horizontal="right"/>
    </xf>
    <xf numFmtId="169" fontId="26" fillId="2" borderId="28" xfId="0" applyNumberFormat="1" applyFont="1" applyFill="1" applyBorder="1" applyAlignment="1">
      <alignment horizontal="right"/>
    </xf>
    <xf numFmtId="177" fontId="26" fillId="2" borderId="29" xfId="0" applyNumberFormat="1" applyFont="1" applyFill="1" applyBorder="1" applyAlignment="1">
      <alignment horizontal="right"/>
    </xf>
    <xf numFmtId="178" fontId="24" fillId="2" borderId="24" xfId="0" applyNumberFormat="1" applyFont="1" applyFill="1" applyBorder="1" applyAlignment="1">
      <alignment horizontal="right"/>
    </xf>
    <xf numFmtId="3" fontId="10" fillId="0" borderId="24" xfId="0" applyNumberFormat="1" applyFont="1" applyBorder="1" applyAlignment="1">
      <alignment horizontal="center" vertical="top" wrapText="1"/>
    </xf>
    <xf numFmtId="2" fontId="24" fillId="2" borderId="28" xfId="0" applyNumberFormat="1" applyFont="1" applyFill="1" applyBorder="1" applyAlignment="1">
      <alignment horizontal="right"/>
    </xf>
    <xf numFmtId="173" fontId="10" fillId="2" borderId="29" xfId="0" applyNumberFormat="1" applyFont="1" applyFill="1" applyBorder="1" applyAlignment="1">
      <alignment horizontal="center" vertical="top" wrapText="1"/>
    </xf>
    <xf numFmtId="175" fontId="7" fillId="2" borderId="24" xfId="0" applyNumberFormat="1" applyFont="1" applyFill="1" applyBorder="1"/>
    <xf numFmtId="3" fontId="10" fillId="2" borderId="27" xfId="0" applyNumberFormat="1" applyFont="1" applyFill="1" applyBorder="1" applyAlignment="1">
      <alignment horizontal="center" vertical="top" wrapText="1"/>
    </xf>
    <xf numFmtId="7" fontId="24" fillId="2" borderId="29" xfId="0" applyNumberFormat="1" applyFont="1" applyFill="1" applyBorder="1" applyAlignment="1">
      <alignment horizontal="center"/>
    </xf>
    <xf numFmtId="10" fontId="4" fillId="2" borderId="28" xfId="0" applyNumberFormat="1" applyFont="1" applyFill="1" applyBorder="1" applyAlignment="1">
      <alignment horizontal="center"/>
    </xf>
    <xf numFmtId="44" fontId="4" fillId="0" borderId="29" xfId="0" applyNumberFormat="1" applyFont="1" applyBorder="1" applyAlignment="1">
      <alignment horizontal="center"/>
    </xf>
    <xf numFmtId="179" fontId="10" fillId="2" borderId="29" xfId="0" applyNumberFormat="1" applyFont="1" applyFill="1" applyBorder="1" applyAlignment="1">
      <alignment horizontal="center"/>
    </xf>
    <xf numFmtId="0" fontId="10" fillId="2" borderId="30" xfId="0" applyFont="1" applyFill="1" applyBorder="1" applyAlignment="1">
      <alignment horizontal="center"/>
    </xf>
    <xf numFmtId="169" fontId="11" fillId="2" borderId="16" xfId="0" applyNumberFormat="1" applyFont="1" applyFill="1" applyBorder="1"/>
    <xf numFmtId="169" fontId="13" fillId="2" borderId="27" xfId="0" applyNumberFormat="1" applyFont="1" applyFill="1" applyBorder="1" applyAlignment="1">
      <alignment horizontal="center"/>
    </xf>
    <xf numFmtId="0" fontId="13" fillId="2" borderId="27" xfId="0" applyFont="1" applyFill="1" applyBorder="1" applyAlignment="1">
      <alignment horizontal="right"/>
    </xf>
    <xf numFmtId="44" fontId="12" fillId="2" borderId="27" xfId="0" applyNumberFormat="1" applyFont="1" applyFill="1" applyBorder="1" applyAlignment="1">
      <alignment horizontal="right"/>
    </xf>
    <xf numFmtId="10" fontId="13" fillId="2" borderId="19" xfId="0" applyNumberFormat="1" applyFont="1" applyFill="1" applyBorder="1" applyAlignment="1">
      <alignment horizontal="center"/>
    </xf>
    <xf numFmtId="169" fontId="11" fillId="2" borderId="28" xfId="0" applyNumberFormat="1" applyFont="1" applyFill="1" applyBorder="1" applyAlignment="1">
      <alignment horizontal="right"/>
    </xf>
    <xf numFmtId="0" fontId="43" fillId="2" borderId="29" xfId="0" applyFont="1" applyFill="1" applyBorder="1"/>
    <xf numFmtId="0" fontId="13" fillId="2" borderId="31" xfId="0" applyFont="1" applyFill="1" applyBorder="1" applyAlignment="1">
      <alignment horizontal="center"/>
    </xf>
    <xf numFmtId="39" fontId="10" fillId="2" borderId="29" xfId="0" applyNumberFormat="1" applyFont="1" applyFill="1" applyBorder="1" applyAlignment="1">
      <alignment horizontal="right"/>
    </xf>
    <xf numFmtId="175" fontId="10" fillId="3" borderId="30" xfId="0" applyNumberFormat="1" applyFont="1" applyFill="1" applyBorder="1"/>
    <xf numFmtId="175" fontId="10" fillId="3" borderId="29" xfId="0" applyNumberFormat="1" applyFont="1" applyFill="1" applyBorder="1"/>
    <xf numFmtId="0" fontId="44" fillId="2" borderId="29" xfId="0" applyFont="1" applyFill="1" applyBorder="1"/>
    <xf numFmtId="175" fontId="42" fillId="3" borderId="29" xfId="0" applyNumberFormat="1" applyFont="1" applyFill="1" applyBorder="1"/>
    <xf numFmtId="0" fontId="11" fillId="0" borderId="29" xfId="0" applyFont="1" applyBorder="1" applyAlignment="1">
      <alignment horizontal="center"/>
    </xf>
    <xf numFmtId="0" fontId="12" fillId="0" borderId="29" xfId="0" applyFont="1" applyBorder="1" applyAlignment="1">
      <alignment horizontal="center"/>
    </xf>
    <xf numFmtId="0" fontId="11" fillId="0" borderId="28" xfId="0" applyFont="1" applyBorder="1" applyAlignment="1">
      <alignment horizontal="center"/>
    </xf>
    <xf numFmtId="0" fontId="14" fillId="0" borderId="47" xfId="0" applyFont="1" applyBorder="1" applyAlignment="1">
      <alignment horizontal="center"/>
    </xf>
    <xf numFmtId="169" fontId="42" fillId="0" borderId="29" xfId="0" applyNumberFormat="1" applyFont="1" applyBorder="1" applyAlignment="1">
      <alignment horizontal="right"/>
    </xf>
    <xf numFmtId="169" fontId="26" fillId="0" borderId="28" xfId="0" applyNumberFormat="1" applyFont="1" applyBorder="1" applyAlignment="1">
      <alignment horizontal="right"/>
    </xf>
    <xf numFmtId="2" fontId="24" fillId="0" borderId="28" xfId="0" applyNumberFormat="1" applyFont="1" applyBorder="1" applyAlignment="1">
      <alignment horizontal="right"/>
    </xf>
    <xf numFmtId="44" fontId="24" fillId="2" borderId="24" xfId="1" applyFont="1" applyFill="1" applyBorder="1" applyAlignment="1">
      <alignment horizontal="right"/>
    </xf>
    <xf numFmtId="169" fontId="24" fillId="20" borderId="28" xfId="0" applyNumberFormat="1" applyFont="1" applyFill="1" applyBorder="1" applyAlignment="1">
      <alignment horizontal="right"/>
    </xf>
    <xf numFmtId="0" fontId="4" fillId="20" borderId="28" xfId="0" applyFont="1" applyFill="1" applyBorder="1"/>
    <xf numFmtId="0" fontId="10" fillId="20" borderId="29" xfId="0" applyFont="1" applyFill="1" applyBorder="1" applyAlignment="1">
      <alignment horizontal="center"/>
    </xf>
    <xf numFmtId="169" fontId="11" fillId="0" borderId="16" xfId="0" applyNumberFormat="1" applyFont="1" applyBorder="1"/>
    <xf numFmtId="0" fontId="11" fillId="0" borderId="29" xfId="0" applyFont="1" applyBorder="1" applyAlignment="1">
      <alignment horizontal="right"/>
    </xf>
    <xf numFmtId="169" fontId="13" fillId="0" borderId="27" xfId="0" applyNumberFormat="1" applyFont="1" applyBorder="1" applyAlignment="1">
      <alignment horizontal="center"/>
    </xf>
    <xf numFmtId="44" fontId="12" fillId="0" borderId="27" xfId="0" applyNumberFormat="1" applyFont="1" applyBorder="1" applyAlignment="1">
      <alignment horizontal="right"/>
    </xf>
    <xf numFmtId="10" fontId="11" fillId="0" borderId="19" xfId="0" applyNumberFormat="1" applyFont="1" applyBorder="1" applyAlignment="1">
      <alignment horizontal="center"/>
    </xf>
    <xf numFmtId="169" fontId="11" fillId="0" borderId="28" xfId="0" applyNumberFormat="1" applyFont="1" applyBorder="1" applyAlignment="1">
      <alignment horizontal="right"/>
    </xf>
    <xf numFmtId="44" fontId="7" fillId="2" borderId="29" xfId="1" applyFont="1" applyFill="1" applyBorder="1"/>
    <xf numFmtId="0" fontId="13" fillId="0" borderId="29" xfId="0" applyFont="1" applyBorder="1"/>
    <xf numFmtId="0" fontId="11" fillId="0" borderId="8" xfId="0" applyFont="1" applyBorder="1" applyAlignment="1">
      <alignment horizontal="right"/>
    </xf>
    <xf numFmtId="44" fontId="11" fillId="0" borderId="8" xfId="0" applyNumberFormat="1" applyFont="1" applyBorder="1" applyAlignment="1">
      <alignment horizontal="right"/>
    </xf>
    <xf numFmtId="10" fontId="11" fillId="0" borderId="8" xfId="0" applyNumberFormat="1" applyFont="1" applyBorder="1" applyAlignment="1">
      <alignment horizontal="right"/>
    </xf>
    <xf numFmtId="169" fontId="13" fillId="0" borderId="8" xfId="0" applyNumberFormat="1" applyFont="1" applyBorder="1" applyAlignment="1">
      <alignment horizontal="center"/>
    </xf>
    <xf numFmtId="0" fontId="11" fillId="0" borderId="16" xfId="0" applyFont="1" applyBorder="1" applyAlignment="1">
      <alignment horizontal="right"/>
    </xf>
    <xf numFmtId="0" fontId="11" fillId="0" borderId="30" xfId="0" applyFont="1" applyBorder="1" applyAlignment="1">
      <alignment horizontal="right"/>
    </xf>
    <xf numFmtId="9" fontId="11" fillId="0" borderId="30" xfId="0" applyNumberFormat="1" applyFont="1" applyBorder="1" applyAlignment="1">
      <alignment horizontal="right"/>
    </xf>
    <xf numFmtId="9" fontId="13" fillId="0" borderId="30" xfId="0" applyNumberFormat="1" applyFont="1" applyBorder="1" applyAlignment="1">
      <alignment horizontal="center"/>
    </xf>
    <xf numFmtId="0" fontId="13" fillId="0" borderId="31" xfId="0" applyFont="1" applyBorder="1" applyAlignment="1">
      <alignment horizontal="center"/>
    </xf>
    <xf numFmtId="175" fontId="10" fillId="0" borderId="29" xfId="0" applyNumberFormat="1" applyFont="1" applyBorder="1"/>
    <xf numFmtId="39" fontId="10" fillId="0" borderId="29" xfId="0" applyNumberFormat="1" applyFont="1" applyBorder="1" applyAlignment="1">
      <alignment horizontal="center"/>
    </xf>
    <xf numFmtId="39" fontId="10" fillId="0" borderId="29" xfId="0" applyNumberFormat="1" applyFont="1" applyBorder="1" applyAlignment="1">
      <alignment horizontal="right"/>
    </xf>
    <xf numFmtId="2" fontId="0" fillId="0" borderId="29" xfId="0" applyNumberFormat="1" applyBorder="1"/>
    <xf numFmtId="0" fontId="43" fillId="0" borderId="29" xfId="0" applyFont="1" applyBorder="1"/>
    <xf numFmtId="0" fontId="44" fillId="0" borderId="29" xfId="0" applyFont="1" applyBorder="1"/>
    <xf numFmtId="175" fontId="42" fillId="24" borderId="29" xfId="0" applyNumberFormat="1" applyFont="1" applyFill="1" applyBorder="1"/>
    <xf numFmtId="175" fontId="10" fillId="25" borderId="29" xfId="0" applyNumberFormat="1" applyFont="1" applyFill="1" applyBorder="1"/>
    <xf numFmtId="177" fontId="26" fillId="0" borderId="29" xfId="0" applyNumberFormat="1" applyFont="1" applyBorder="1" applyAlignment="1">
      <alignment horizontal="right"/>
    </xf>
    <xf numFmtId="10" fontId="4" fillId="0" borderId="29" xfId="0" applyNumberFormat="1" applyFont="1" applyBorder="1"/>
    <xf numFmtId="178" fontId="24" fillId="0" borderId="24" xfId="0" applyNumberFormat="1" applyFont="1" applyBorder="1" applyAlignment="1">
      <alignment horizontal="right"/>
    </xf>
    <xf numFmtId="0" fontId="11" fillId="0" borderId="29" xfId="0" applyFont="1" applyBorder="1" applyAlignment="1">
      <alignment vertical="top" wrapText="1"/>
    </xf>
    <xf numFmtId="0" fontId="10" fillId="0" borderId="29" xfId="0" applyFont="1" applyBorder="1" applyAlignment="1">
      <alignment vertical="top" wrapText="1"/>
    </xf>
    <xf numFmtId="44" fontId="24" fillId="0" borderId="24" xfId="1" applyFont="1" applyFill="1" applyBorder="1" applyAlignment="1">
      <alignment horizontal="right"/>
    </xf>
    <xf numFmtId="175" fontId="42" fillId="20" borderId="29" xfId="0" applyNumberFormat="1" applyFont="1" applyFill="1" applyBorder="1"/>
    <xf numFmtId="175" fontId="10" fillId="20" borderId="29" xfId="0" applyNumberFormat="1" applyFont="1" applyFill="1" applyBorder="1"/>
    <xf numFmtId="44" fontId="4" fillId="2" borderId="29" xfId="1" applyFont="1" applyFill="1" applyBorder="1" applyAlignment="1">
      <alignment horizontal="right"/>
    </xf>
    <xf numFmtId="2" fontId="0" fillId="0" borderId="29" xfId="0" applyNumberFormat="1" applyBorder="1" applyAlignment="1">
      <alignment horizontal="right"/>
    </xf>
    <xf numFmtId="0" fontId="4" fillId="0" borderId="29" xfId="0" applyFont="1" applyBorder="1" applyAlignment="1">
      <alignment horizontal="right"/>
    </xf>
    <xf numFmtId="175" fontId="38" fillId="20" borderId="29" xfId="0" applyNumberFormat="1" applyFont="1" applyFill="1" applyBorder="1"/>
    <xf numFmtId="9" fontId="46" fillId="0" borderId="29" xfId="2" applyFont="1" applyFill="1" applyBorder="1"/>
    <xf numFmtId="0" fontId="13" fillId="2" borderId="35" xfId="0" applyFont="1" applyFill="1" applyBorder="1"/>
    <xf numFmtId="0" fontId="13" fillId="2" borderId="35" xfId="0" applyFont="1" applyFill="1" applyBorder="1" applyAlignment="1">
      <alignment horizontal="center" vertical="top"/>
    </xf>
    <xf numFmtId="14" fontId="13" fillId="12" borderId="23" xfId="0" applyNumberFormat="1" applyFont="1" applyFill="1" applyBorder="1" applyAlignment="1">
      <alignment horizontal="left" vertical="top"/>
    </xf>
    <xf numFmtId="14" fontId="13" fillId="9" borderId="23" xfId="0" applyNumberFormat="1" applyFont="1" applyFill="1" applyBorder="1" applyAlignment="1">
      <alignment horizontal="left"/>
    </xf>
    <xf numFmtId="14" fontId="13" fillId="10" borderId="23" xfId="0" applyNumberFormat="1" applyFont="1" applyFill="1" applyBorder="1" applyAlignment="1">
      <alignment horizontal="left"/>
    </xf>
    <xf numFmtId="0" fontId="4" fillId="2" borderId="28" xfId="0" applyFont="1" applyFill="1" applyBorder="1" applyAlignment="1">
      <alignment vertical="top"/>
    </xf>
    <xf numFmtId="0" fontId="4" fillId="2" borderId="28" xfId="0" applyFont="1" applyFill="1" applyBorder="1" applyAlignment="1">
      <alignment horizontal="left"/>
    </xf>
    <xf numFmtId="0" fontId="13" fillId="0" borderId="28" xfId="0" applyFont="1" applyBorder="1" applyAlignment="1">
      <alignment horizontal="left"/>
    </xf>
    <xf numFmtId="0" fontId="13" fillId="2" borderId="28" xfId="0" applyFont="1" applyFill="1" applyBorder="1" applyAlignment="1">
      <alignment horizontal="left"/>
    </xf>
    <xf numFmtId="0" fontId="13" fillId="0" borderId="19" xfId="0" applyFont="1" applyBorder="1" applyAlignment="1">
      <alignment horizontal="left"/>
    </xf>
    <xf numFmtId="0" fontId="13" fillId="2" borderId="19" xfId="0" applyFont="1" applyFill="1" applyBorder="1" applyAlignment="1">
      <alignment horizontal="left"/>
    </xf>
    <xf numFmtId="182" fontId="13" fillId="2" borderId="23" xfId="0" applyNumberFormat="1" applyFont="1" applyFill="1" applyBorder="1" applyAlignment="1">
      <alignment horizontal="left"/>
    </xf>
    <xf numFmtId="0" fontId="11" fillId="2" borderId="47" xfId="0" applyFont="1" applyFill="1" applyBorder="1"/>
    <xf numFmtId="182" fontId="13" fillId="2" borderId="23" xfId="0" quotePrefix="1" applyNumberFormat="1" applyFont="1" applyFill="1" applyBorder="1" applyAlignment="1">
      <alignment horizontal="left"/>
    </xf>
    <xf numFmtId="15" fontId="13" fillId="2" borderId="23" xfId="0" quotePrefix="1" applyNumberFormat="1" applyFont="1" applyFill="1" applyBorder="1" applyAlignment="1">
      <alignment horizontal="left"/>
    </xf>
    <xf numFmtId="15" fontId="13" fillId="2" borderId="19" xfId="0" applyNumberFormat="1" applyFont="1" applyFill="1" applyBorder="1" applyAlignment="1">
      <alignment horizontal="left"/>
    </xf>
    <xf numFmtId="0" fontId="4" fillId="0" borderId="47" xfId="0" applyFont="1" applyBorder="1"/>
    <xf numFmtId="182" fontId="11" fillId="2" borderId="23" xfId="0" applyNumberFormat="1" applyFont="1" applyFill="1" applyBorder="1" applyAlignment="1">
      <alignment horizontal="left"/>
    </xf>
    <xf numFmtId="0" fontId="11" fillId="2" borderId="47" xfId="0" applyFont="1" applyFill="1" applyBorder="1" applyAlignment="1">
      <alignment horizontal="left"/>
    </xf>
    <xf numFmtId="0" fontId="10" fillId="2" borderId="47" xfId="0" applyFont="1" applyFill="1" applyBorder="1" applyAlignment="1">
      <alignment horizontal="left"/>
    </xf>
    <xf numFmtId="0" fontId="11" fillId="2" borderId="35" xfId="0" applyFont="1" applyFill="1" applyBorder="1" applyAlignment="1">
      <alignment horizontal="left"/>
    </xf>
    <xf numFmtId="0" fontId="10" fillId="2" borderId="28" xfId="0" applyFont="1" applyFill="1" applyBorder="1" applyAlignment="1">
      <alignment vertical="top" wrapText="1"/>
    </xf>
    <xf numFmtId="0" fontId="13" fillId="2" borderId="28" xfId="0" applyFont="1" applyFill="1" applyBorder="1"/>
    <xf numFmtId="0" fontId="13" fillId="2" borderId="19" xfId="0" applyFont="1" applyFill="1" applyBorder="1"/>
    <xf numFmtId="0" fontId="11" fillId="2" borderId="28" xfId="0" applyFont="1" applyFill="1" applyBorder="1" applyAlignment="1">
      <alignment vertical="top" wrapText="1"/>
    </xf>
    <xf numFmtId="182" fontId="13" fillId="2" borderId="28" xfId="0" applyNumberFormat="1" applyFont="1" applyFill="1" applyBorder="1" applyAlignment="1">
      <alignment horizontal="left"/>
    </xf>
    <xf numFmtId="182" fontId="4" fillId="2" borderId="23" xfId="0" applyNumberFormat="1" applyFont="1" applyFill="1" applyBorder="1" applyAlignment="1">
      <alignment horizontal="left"/>
    </xf>
    <xf numFmtId="0" fontId="13" fillId="2" borderId="47" xfId="0" applyFont="1" applyFill="1" applyBorder="1" applyAlignment="1">
      <alignment horizontal="left"/>
    </xf>
    <xf numFmtId="0" fontId="4" fillId="2" borderId="47" xfId="0" applyFont="1" applyFill="1" applyBorder="1" applyAlignment="1">
      <alignment horizontal="left"/>
    </xf>
    <xf numFmtId="182" fontId="13" fillId="2" borderId="19" xfId="0" applyNumberFormat="1" applyFont="1" applyFill="1" applyBorder="1" applyAlignment="1">
      <alignment horizontal="left"/>
    </xf>
    <xf numFmtId="183" fontId="13" fillId="2" borderId="23" xfId="0" applyNumberFormat="1" applyFont="1" applyFill="1" applyBorder="1" applyAlignment="1">
      <alignment horizontal="left"/>
    </xf>
    <xf numFmtId="0" fontId="57" fillId="2" borderId="28" xfId="0" applyFont="1" applyFill="1" applyBorder="1" applyAlignment="1">
      <alignment horizontal="left"/>
    </xf>
    <xf numFmtId="0" fontId="20" fillId="2" borderId="28" xfId="0" applyFont="1" applyFill="1" applyBorder="1" applyAlignment="1">
      <alignment horizontal="left"/>
    </xf>
    <xf numFmtId="44" fontId="58" fillId="2" borderId="29" xfId="0" applyNumberFormat="1" applyFont="1" applyFill="1" applyBorder="1" applyAlignment="1">
      <alignment horizontal="right"/>
    </xf>
    <xf numFmtId="0" fontId="58" fillId="2" borderId="29" xfId="0" applyFont="1" applyFill="1" applyBorder="1" applyAlignment="1">
      <alignment horizontal="center"/>
    </xf>
    <xf numFmtId="0" fontId="58" fillId="2" borderId="29" xfId="0" applyFont="1" applyFill="1" applyBorder="1"/>
    <xf numFmtId="182" fontId="58" fillId="2" borderId="29" xfId="0" applyNumberFormat="1" applyFont="1" applyFill="1" applyBorder="1" applyAlignment="1">
      <alignment horizontal="left"/>
    </xf>
    <xf numFmtId="0" fontId="58" fillId="2" borderId="29" xfId="0" applyFont="1" applyFill="1" applyBorder="1" applyAlignment="1">
      <alignment horizontal="right"/>
    </xf>
    <xf numFmtId="44" fontId="58" fillId="2" borderId="47" xfId="0" applyNumberFormat="1" applyFont="1" applyFill="1" applyBorder="1" applyAlignment="1">
      <alignment horizontal="right"/>
    </xf>
    <xf numFmtId="44" fontId="59" fillId="2" borderId="29" xfId="0" applyNumberFormat="1" applyFont="1" applyFill="1" applyBorder="1" applyAlignment="1">
      <alignment horizontal="right"/>
    </xf>
    <xf numFmtId="0" fontId="59" fillId="2" borderId="29" xfId="0" applyFont="1" applyFill="1" applyBorder="1" applyAlignment="1">
      <alignment horizontal="center"/>
    </xf>
    <xf numFmtId="0" fontId="59" fillId="2" borderId="29" xfId="0" applyFont="1" applyFill="1" applyBorder="1"/>
    <xf numFmtId="0" fontId="59" fillId="2" borderId="29" xfId="0" applyFont="1" applyFill="1" applyBorder="1" applyAlignment="1">
      <alignment horizontal="left"/>
    </xf>
    <xf numFmtId="0" fontId="59" fillId="2" borderId="29" xfId="0" applyFont="1" applyFill="1" applyBorder="1" applyAlignment="1">
      <alignment horizontal="right"/>
    </xf>
    <xf numFmtId="44" fontId="59" fillId="2" borderId="47" xfId="0" applyNumberFormat="1" applyFont="1" applyFill="1" applyBorder="1" applyAlignment="1">
      <alignment horizontal="right"/>
    </xf>
    <xf numFmtId="0" fontId="58" fillId="2" borderId="29" xfId="0" applyFont="1" applyFill="1" applyBorder="1" applyAlignment="1">
      <alignment horizontal="left"/>
    </xf>
    <xf numFmtId="0" fontId="58" fillId="2" borderId="28" xfId="0" applyFont="1" applyFill="1" applyBorder="1" applyAlignment="1">
      <alignment horizontal="left"/>
    </xf>
    <xf numFmtId="0" fontId="58" fillId="2" borderId="47" xfId="0" applyFont="1" applyFill="1" applyBorder="1"/>
    <xf numFmtId="0" fontId="59" fillId="2" borderId="47" xfId="0" applyFont="1" applyFill="1" applyBorder="1"/>
    <xf numFmtId="0" fontId="13" fillId="2" borderId="30" xfId="0" applyFont="1" applyFill="1" applyBorder="1" applyAlignment="1">
      <alignment horizontal="left"/>
    </xf>
    <xf numFmtId="182" fontId="58" fillId="2" borderId="23" xfId="0" applyNumberFormat="1" applyFont="1" applyFill="1" applyBorder="1" applyAlignment="1">
      <alignment horizontal="left"/>
    </xf>
    <xf numFmtId="0" fontId="59" fillId="2" borderId="28" xfId="0" applyFont="1" applyFill="1" applyBorder="1" applyAlignment="1">
      <alignment horizontal="left"/>
    </xf>
    <xf numFmtId="182" fontId="13" fillId="2" borderId="29" xfId="0" applyNumberFormat="1" applyFont="1" applyFill="1" applyBorder="1" applyAlignment="1">
      <alignment horizontal="left"/>
    </xf>
    <xf numFmtId="0" fontId="58" fillId="2" borderId="23" xfId="0" applyFont="1" applyFill="1" applyBorder="1" applyAlignment="1">
      <alignment horizontal="left"/>
    </xf>
    <xf numFmtId="15" fontId="4" fillId="2" borderId="28" xfId="0" applyNumberFormat="1" applyFont="1" applyFill="1" applyBorder="1" applyAlignment="1">
      <alignment horizontal="left"/>
    </xf>
    <xf numFmtId="15" fontId="13" fillId="2" borderId="28" xfId="0" applyNumberFormat="1" applyFont="1" applyFill="1" applyBorder="1" applyAlignment="1">
      <alignment horizontal="left"/>
    </xf>
    <xf numFmtId="15" fontId="13" fillId="2" borderId="29" xfId="0" applyNumberFormat="1" applyFont="1" applyFill="1" applyBorder="1" applyAlignment="1">
      <alignment horizontal="left"/>
    </xf>
    <xf numFmtId="0" fontId="61" fillId="0" borderId="47" xfId="0" applyFont="1" applyBorder="1" applyAlignment="1">
      <alignment horizontal="left" vertical="top"/>
    </xf>
    <xf numFmtId="0" fontId="61" fillId="0" borderId="47" xfId="0" applyFont="1" applyBorder="1"/>
    <xf numFmtId="15" fontId="4" fillId="2" borderId="29" xfId="0" applyNumberFormat="1" applyFont="1" applyFill="1" applyBorder="1" applyAlignment="1">
      <alignment horizontal="left"/>
    </xf>
    <xf numFmtId="0" fontId="4" fillId="2" borderId="28" xfId="0" applyFont="1" applyFill="1" applyBorder="1" applyAlignment="1">
      <alignment vertical="top" wrapText="1"/>
    </xf>
    <xf numFmtId="0" fontId="13" fillId="2" borderId="28" xfId="0" applyFont="1" applyFill="1" applyBorder="1" applyAlignment="1">
      <alignment vertical="top" wrapText="1"/>
    </xf>
    <xf numFmtId="0" fontId="13" fillId="2" borderId="23" xfId="0" quotePrefix="1" applyFont="1" applyFill="1" applyBorder="1" applyAlignment="1">
      <alignment horizontal="left"/>
    </xf>
    <xf numFmtId="15" fontId="13" fillId="2" borderId="47" xfId="0" applyNumberFormat="1" applyFont="1" applyFill="1" applyBorder="1" applyAlignment="1">
      <alignment horizontal="left"/>
    </xf>
    <xf numFmtId="15" fontId="4" fillId="2" borderId="47" xfId="0" applyNumberFormat="1" applyFont="1" applyFill="1" applyBorder="1" applyAlignment="1">
      <alignment horizontal="left"/>
    </xf>
    <xf numFmtId="15" fontId="57" fillId="2" borderId="28" xfId="0" applyNumberFormat="1" applyFont="1" applyFill="1" applyBorder="1" applyAlignment="1">
      <alignment horizontal="left"/>
    </xf>
    <xf numFmtId="15" fontId="13" fillId="2" borderId="23" xfId="0" applyNumberFormat="1" applyFont="1" applyFill="1" applyBorder="1" applyAlignment="1">
      <alignment horizontal="left"/>
    </xf>
    <xf numFmtId="0" fontId="57" fillId="2" borderId="29" xfId="0" applyFont="1" applyFill="1" applyBorder="1" applyAlignment="1">
      <alignment horizontal="left"/>
    </xf>
    <xf numFmtId="166" fontId="13" fillId="2" borderId="30" xfId="0" applyNumberFormat="1" applyFont="1" applyFill="1" applyBorder="1" applyAlignment="1">
      <alignment horizontal="left"/>
    </xf>
    <xf numFmtId="0" fontId="14" fillId="2" borderId="29" xfId="0" applyFont="1" applyFill="1" applyBorder="1" applyAlignment="1">
      <alignment horizontal="left"/>
    </xf>
    <xf numFmtId="166" fontId="13" fillId="2" borderId="29" xfId="0" applyNumberFormat="1" applyFont="1" applyFill="1" applyBorder="1" applyAlignment="1">
      <alignment horizontal="left"/>
    </xf>
    <xf numFmtId="166" fontId="4" fillId="2" borderId="29" xfId="0" applyNumberFormat="1" applyFont="1" applyFill="1" applyBorder="1" applyAlignment="1">
      <alignment horizontal="left"/>
    </xf>
    <xf numFmtId="166" fontId="57" fillId="2" borderId="29" xfId="0" applyNumberFormat="1" applyFont="1" applyFill="1" applyBorder="1" applyAlignment="1">
      <alignment horizontal="left"/>
    </xf>
    <xf numFmtId="167" fontId="14" fillId="5" borderId="42" xfId="0" applyNumberFormat="1" applyFont="1" applyFill="1" applyBorder="1" applyAlignment="1">
      <alignment horizontal="center"/>
    </xf>
    <xf numFmtId="4" fontId="14" fillId="5" borderId="42" xfId="0" applyNumberFormat="1" applyFont="1" applyFill="1" applyBorder="1" applyAlignment="1">
      <alignment horizontal="center"/>
    </xf>
    <xf numFmtId="173" fontId="14" fillId="5" borderId="29" xfId="0" applyNumberFormat="1" applyFont="1" applyFill="1" applyBorder="1"/>
    <xf numFmtId="4" fontId="14" fillId="5" borderId="43" xfId="0" applyNumberFormat="1" applyFont="1" applyFill="1" applyBorder="1" applyAlignment="1">
      <alignment horizontal="center"/>
    </xf>
    <xf numFmtId="2" fontId="14" fillId="5" borderId="42" xfId="0" applyNumberFormat="1" applyFont="1" applyFill="1" applyBorder="1" applyAlignment="1">
      <alignment horizontal="center" wrapText="1"/>
    </xf>
    <xf numFmtId="2" fontId="14" fillId="5" borderId="42" xfId="0" applyNumberFormat="1" applyFont="1" applyFill="1" applyBorder="1" applyAlignment="1">
      <alignment horizontal="center"/>
    </xf>
    <xf numFmtId="0" fontId="14" fillId="5" borderId="29" xfId="0" applyFont="1" applyFill="1" applyBorder="1"/>
    <xf numFmtId="0" fontId="4" fillId="5" borderId="29" xfId="0" applyFont="1" applyFill="1" applyBorder="1"/>
    <xf numFmtId="173" fontId="14" fillId="5" borderId="25" xfId="0" applyNumberFormat="1" applyFont="1" applyFill="1" applyBorder="1" applyAlignment="1">
      <alignment horizontal="center"/>
    </xf>
    <xf numFmtId="0" fontId="14" fillId="5" borderId="25" xfId="0" applyFont="1" applyFill="1" applyBorder="1" applyAlignment="1">
      <alignment horizontal="center"/>
    </xf>
    <xf numFmtId="0" fontId="14" fillId="5" borderId="29" xfId="0" applyFont="1" applyFill="1" applyBorder="1" applyAlignment="1">
      <alignment horizontal="center"/>
    </xf>
    <xf numFmtId="17" fontId="14" fillId="5" borderId="29" xfId="0" applyNumberFormat="1" applyFont="1" applyFill="1" applyBorder="1" applyAlignment="1">
      <alignment horizontal="center"/>
    </xf>
    <xf numFmtId="167" fontId="14" fillId="5" borderId="29" xfId="0" applyNumberFormat="1" applyFont="1" applyFill="1" applyBorder="1" applyAlignment="1">
      <alignment horizontal="center"/>
    </xf>
    <xf numFmtId="8" fontId="14" fillId="5" borderId="29" xfId="0" applyNumberFormat="1" applyFont="1" applyFill="1" applyBorder="1" applyAlignment="1">
      <alignment horizontal="center"/>
    </xf>
    <xf numFmtId="4" fontId="14" fillId="5" borderId="29" xfId="0" applyNumberFormat="1" applyFont="1" applyFill="1" applyBorder="1" applyAlignment="1">
      <alignment horizontal="center"/>
    </xf>
    <xf numFmtId="173" fontId="14" fillId="5" borderId="29" xfId="0" applyNumberFormat="1" applyFont="1" applyFill="1" applyBorder="1" applyAlignment="1">
      <alignment horizontal="center"/>
    </xf>
    <xf numFmtId="10" fontId="14" fillId="5" borderId="29" xfId="0" applyNumberFormat="1" applyFont="1" applyFill="1" applyBorder="1" applyAlignment="1">
      <alignment horizontal="center"/>
    </xf>
    <xf numFmtId="10" fontId="14" fillId="29" borderId="29" xfId="0" applyNumberFormat="1" applyFont="1" applyFill="1" applyBorder="1" applyAlignment="1">
      <alignment horizontal="center"/>
    </xf>
    <xf numFmtId="10" fontId="14" fillId="6" borderId="29" xfId="0" applyNumberFormat="1" applyFont="1" applyFill="1" applyBorder="1" applyAlignment="1">
      <alignment horizontal="center"/>
    </xf>
    <xf numFmtId="2" fontId="14" fillId="5" borderId="29" xfId="0" applyNumberFormat="1" applyFont="1" applyFill="1" applyBorder="1" applyAlignment="1">
      <alignment horizontal="center"/>
    </xf>
    <xf numFmtId="2" fontId="14" fillId="6" borderId="29" xfId="0" applyNumberFormat="1" applyFont="1" applyFill="1" applyBorder="1" applyAlignment="1">
      <alignment horizontal="center"/>
    </xf>
    <xf numFmtId="17" fontId="14" fillId="6" borderId="29" xfId="0" applyNumberFormat="1" applyFont="1" applyFill="1" applyBorder="1" applyAlignment="1">
      <alignment horizontal="center"/>
    </xf>
    <xf numFmtId="167" fontId="14" fillId="6" borderId="29" xfId="0" applyNumberFormat="1" applyFont="1" applyFill="1" applyBorder="1" applyAlignment="1">
      <alignment horizontal="center"/>
    </xf>
    <xf numFmtId="0" fontId="14" fillId="6" borderId="29" xfId="0" applyFont="1" applyFill="1" applyBorder="1"/>
    <xf numFmtId="4" fontId="14" fillId="6" borderId="29" xfId="0" applyNumberFormat="1" applyFont="1" applyFill="1" applyBorder="1" applyAlignment="1">
      <alignment horizontal="center"/>
    </xf>
    <xf numFmtId="173" fontId="14" fillId="6" borderId="29" xfId="0" applyNumberFormat="1" applyFont="1" applyFill="1" applyBorder="1" applyAlignment="1">
      <alignment horizontal="center"/>
    </xf>
    <xf numFmtId="173" fontId="14" fillId="6" borderId="29" xfId="0" applyNumberFormat="1" applyFont="1" applyFill="1" applyBorder="1"/>
    <xf numFmtId="0" fontId="14" fillId="6" borderId="29" xfId="0" applyFont="1" applyFill="1" applyBorder="1" applyAlignment="1">
      <alignment horizontal="center"/>
    </xf>
    <xf numFmtId="0" fontId="4" fillId="6" borderId="29" xfId="0" applyFont="1" applyFill="1" applyBorder="1"/>
    <xf numFmtId="7" fontId="14" fillId="6" borderId="29" xfId="0" applyNumberFormat="1" applyFont="1" applyFill="1" applyBorder="1" applyAlignment="1">
      <alignment horizontal="center"/>
    </xf>
    <xf numFmtId="0" fontId="4" fillId="6" borderId="29" xfId="0" applyFont="1" applyFill="1" applyBorder="1" applyAlignment="1">
      <alignment horizontal="center"/>
    </xf>
    <xf numFmtId="10" fontId="14" fillId="2" borderId="29" xfId="0" applyNumberFormat="1" applyFont="1" applyFill="1" applyBorder="1" applyAlignment="1">
      <alignment horizontal="center"/>
    </xf>
    <xf numFmtId="167" fontId="14" fillId="6" borderId="42" xfId="0" applyNumberFormat="1" applyFont="1" applyFill="1" applyBorder="1" applyAlignment="1">
      <alignment horizontal="center"/>
    </xf>
    <xf numFmtId="167" fontId="14" fillId="2" borderId="29" xfId="0" applyNumberFormat="1" applyFont="1" applyFill="1" applyBorder="1" applyAlignment="1">
      <alignment horizontal="center"/>
    </xf>
    <xf numFmtId="0" fontId="14" fillId="6" borderId="42" xfId="0" applyFont="1" applyFill="1" applyBorder="1"/>
    <xf numFmtId="173" fontId="14" fillId="2" borderId="29" xfId="0" applyNumberFormat="1" applyFont="1" applyFill="1" applyBorder="1"/>
    <xf numFmtId="8" fontId="14" fillId="6" borderId="29" xfId="0" applyNumberFormat="1" applyFont="1" applyFill="1" applyBorder="1" applyAlignment="1">
      <alignment horizontal="center"/>
    </xf>
    <xf numFmtId="17" fontId="14" fillId="28" borderId="29" xfId="0" applyNumberFormat="1" applyFont="1" applyFill="1" applyBorder="1" applyAlignment="1">
      <alignment horizontal="center"/>
    </xf>
    <xf numFmtId="7" fontId="14" fillId="28" borderId="29" xfId="0" applyNumberFormat="1" applyFont="1" applyFill="1" applyBorder="1" applyAlignment="1">
      <alignment horizontal="center"/>
    </xf>
    <xf numFmtId="0" fontId="14" fillId="28" borderId="29" xfId="0" applyFont="1" applyFill="1" applyBorder="1"/>
    <xf numFmtId="173" fontId="14" fillId="28" borderId="29" xfId="0" applyNumberFormat="1" applyFont="1" applyFill="1" applyBorder="1"/>
    <xf numFmtId="10" fontId="14" fillId="28" borderId="29" xfId="0" applyNumberFormat="1" applyFont="1" applyFill="1" applyBorder="1" applyAlignment="1">
      <alignment horizontal="center"/>
    </xf>
    <xf numFmtId="2" fontId="14" fillId="28" borderId="29" xfId="0" applyNumberFormat="1" applyFont="1" applyFill="1" applyBorder="1" applyAlignment="1">
      <alignment horizontal="center"/>
    </xf>
    <xf numFmtId="6" fontId="14" fillId="14" borderId="0" xfId="1" applyNumberFormat="1" applyFont="1" applyFill="1" applyAlignment="1">
      <alignment horizontal="center"/>
    </xf>
    <xf numFmtId="2" fontId="14" fillId="18" borderId="29" xfId="0" applyNumberFormat="1" applyFont="1" applyFill="1" applyBorder="1" applyAlignment="1">
      <alignment horizontal="center"/>
    </xf>
    <xf numFmtId="17" fontId="14" fillId="14" borderId="29" xfId="0" applyNumberFormat="1" applyFont="1" applyFill="1" applyBorder="1" applyAlignment="1">
      <alignment horizontal="center"/>
    </xf>
    <xf numFmtId="10" fontId="14" fillId="2" borderId="23" xfId="0" applyNumberFormat="1" applyFont="1" applyFill="1" applyBorder="1" applyAlignment="1">
      <alignment horizontal="center"/>
    </xf>
    <xf numFmtId="4" fontId="14" fillId="0" borderId="47" xfId="0" applyNumberFormat="1" applyFont="1" applyBorder="1" applyAlignment="1">
      <alignment horizontal="right"/>
    </xf>
    <xf numFmtId="4" fontId="14" fillId="0" borderId="19" xfId="0" applyNumberFormat="1" applyFont="1" applyBorder="1" applyAlignment="1">
      <alignment horizontal="right"/>
    </xf>
    <xf numFmtId="4" fontId="14" fillId="0" borderId="13" xfId="0" applyNumberFormat="1" applyFont="1" applyBorder="1" applyAlignment="1">
      <alignment horizontal="right"/>
    </xf>
    <xf numFmtId="10" fontId="14" fillId="0" borderId="15" xfId="0" applyNumberFormat="1" applyFont="1" applyBorder="1" applyAlignment="1">
      <alignment horizontal="center"/>
    </xf>
    <xf numFmtId="10" fontId="4" fillId="7" borderId="24" xfId="0" applyNumberFormat="1" applyFont="1" applyFill="1" applyBorder="1" applyAlignment="1">
      <alignment horizontal="center"/>
    </xf>
    <xf numFmtId="0" fontId="4" fillId="7" borderId="24" xfId="0" applyFont="1" applyFill="1" applyBorder="1" applyAlignment="1">
      <alignment horizontal="center"/>
    </xf>
    <xf numFmtId="10" fontId="14" fillId="7" borderId="24" xfId="0" applyNumberFormat="1" applyFont="1" applyFill="1" applyBorder="1" applyAlignment="1">
      <alignment horizontal="center"/>
    </xf>
    <xf numFmtId="10" fontId="14" fillId="7" borderId="47" xfId="0" applyNumberFormat="1" applyFont="1" applyFill="1" applyBorder="1" applyAlignment="1">
      <alignment horizontal="center"/>
    </xf>
    <xf numFmtId="10" fontId="14" fillId="0" borderId="24" xfId="0" applyNumberFormat="1" applyFont="1" applyBorder="1" applyAlignment="1">
      <alignment horizontal="center"/>
    </xf>
    <xf numFmtId="10" fontId="14" fillId="0" borderId="47" xfId="0" applyNumberFormat="1" applyFont="1" applyBorder="1" applyAlignment="1">
      <alignment horizontal="center"/>
    </xf>
    <xf numFmtId="10" fontId="14" fillId="7" borderId="28" xfId="0" applyNumberFormat="1" applyFont="1" applyFill="1" applyBorder="1" applyAlignment="1">
      <alignment horizontal="center"/>
    </xf>
    <xf numFmtId="2" fontId="14" fillId="0" borderId="29" xfId="0" applyNumberFormat="1" applyFont="1" applyBorder="1" applyAlignment="1">
      <alignment horizontal="center"/>
    </xf>
    <xf numFmtId="0" fontId="51" fillId="0" borderId="27" xfId="0" applyFont="1" applyBorder="1"/>
    <xf numFmtId="0" fontId="4" fillId="0" borderId="15" xfId="0" applyFont="1" applyBorder="1"/>
    <xf numFmtId="0" fontId="13" fillId="0" borderId="30" xfId="0" applyFont="1" applyBorder="1"/>
    <xf numFmtId="0" fontId="52" fillId="0" borderId="30" xfId="0" applyFont="1" applyBorder="1" applyAlignment="1">
      <alignment horizontal="right"/>
    </xf>
    <xf numFmtId="0" fontId="52" fillId="0" borderId="0" xfId="0" applyFont="1" applyAlignment="1">
      <alignment horizontal="right"/>
    </xf>
    <xf numFmtId="169" fontId="24" fillId="2" borderId="79" xfId="0" applyNumberFormat="1" applyFont="1" applyFill="1" applyBorder="1" applyAlignment="1">
      <alignment horizontal="right"/>
    </xf>
    <xf numFmtId="44" fontId="0" fillId="0" borderId="29" xfId="0" applyNumberFormat="1" applyBorder="1"/>
    <xf numFmtId="0" fontId="0" fillId="0" borderId="29" xfId="0" applyBorder="1" applyAlignment="1">
      <alignment horizontal="center"/>
    </xf>
    <xf numFmtId="44" fontId="24" fillId="0" borderId="72" xfId="0" applyNumberFormat="1" applyFont="1" applyBorder="1" applyAlignment="1">
      <alignment horizontal="right"/>
    </xf>
    <xf numFmtId="0" fontId="24" fillId="2" borderId="29" xfId="0" applyFont="1" applyFill="1" applyBorder="1" applyAlignment="1">
      <alignment horizontal="center"/>
    </xf>
    <xf numFmtId="0" fontId="10" fillId="2" borderId="29" xfId="0" quotePrefix="1" applyFont="1" applyFill="1" applyBorder="1" applyAlignment="1">
      <alignment horizontal="center"/>
    </xf>
    <xf numFmtId="0" fontId="13" fillId="2" borderId="27" xfId="0" applyFont="1" applyFill="1" applyBorder="1" applyAlignment="1">
      <alignment horizontal="center"/>
    </xf>
    <xf numFmtId="0" fontId="13" fillId="2" borderId="82" xfId="0" applyFont="1" applyFill="1" applyBorder="1" applyAlignment="1">
      <alignment horizontal="center"/>
    </xf>
    <xf numFmtId="0" fontId="13" fillId="2" borderId="86" xfId="0" applyFont="1" applyFill="1" applyBorder="1" applyAlignment="1">
      <alignment horizontal="center"/>
    </xf>
    <xf numFmtId="0" fontId="4" fillId="2" borderId="76" xfId="0" applyFont="1" applyFill="1" applyBorder="1" applyAlignment="1">
      <alignment horizontal="center"/>
    </xf>
    <xf numFmtId="0" fontId="0" fillId="0" borderId="56" xfId="0" applyBorder="1"/>
    <xf numFmtId="44" fontId="12" fillId="0" borderId="56" xfId="0" applyNumberFormat="1" applyFont="1" applyBorder="1" applyAlignment="1">
      <alignment horizontal="right"/>
    </xf>
    <xf numFmtId="0" fontId="13" fillId="2" borderId="91" xfId="0" applyFont="1" applyFill="1" applyBorder="1" applyAlignment="1">
      <alignment horizontal="center"/>
    </xf>
    <xf numFmtId="0" fontId="13" fillId="2" borderId="56" xfId="0" applyFont="1" applyFill="1" applyBorder="1" applyAlignment="1">
      <alignment horizontal="center"/>
    </xf>
    <xf numFmtId="0" fontId="13" fillId="2" borderId="92" xfId="0" applyFont="1" applyFill="1" applyBorder="1" applyAlignment="1">
      <alignment horizontal="center"/>
    </xf>
    <xf numFmtId="0" fontId="13" fillId="2" borderId="56" xfId="0" applyFont="1" applyFill="1" applyBorder="1"/>
    <xf numFmtId="0" fontId="4" fillId="2" borderId="56" xfId="0" applyFont="1" applyFill="1" applyBorder="1"/>
    <xf numFmtId="44" fontId="4" fillId="0" borderId="56" xfId="0" applyNumberFormat="1" applyFont="1" applyBorder="1"/>
    <xf numFmtId="44" fontId="4" fillId="2" borderId="56" xfId="0" applyNumberFormat="1" applyFont="1" applyFill="1" applyBorder="1"/>
    <xf numFmtId="44" fontId="13" fillId="2" borderId="56" xfId="0" applyNumberFormat="1" applyFont="1" applyFill="1" applyBorder="1"/>
    <xf numFmtId="0" fontId="6" fillId="2" borderId="56" xfId="0" applyFont="1" applyFill="1" applyBorder="1"/>
    <xf numFmtId="167" fontId="4" fillId="2" borderId="56" xfId="0" applyNumberFormat="1" applyFont="1" applyFill="1" applyBorder="1"/>
    <xf numFmtId="44" fontId="13" fillId="2" borderId="56" xfId="0" applyNumberFormat="1" applyFont="1" applyFill="1" applyBorder="1" applyAlignment="1">
      <alignment horizontal="center"/>
    </xf>
    <xf numFmtId="0" fontId="11" fillId="2" borderId="56" xfId="0" applyFont="1" applyFill="1" applyBorder="1"/>
    <xf numFmtId="0" fontId="13" fillId="0" borderId="56" xfId="0" applyFont="1" applyBorder="1"/>
    <xf numFmtId="0" fontId="57" fillId="2" borderId="56" xfId="0" applyFont="1" applyFill="1" applyBorder="1"/>
    <xf numFmtId="7" fontId="13" fillId="2" borderId="56" xfId="0" applyNumberFormat="1" applyFont="1" applyFill="1" applyBorder="1"/>
    <xf numFmtId="0" fontId="58" fillId="2" borderId="56" xfId="0" applyFont="1" applyFill="1" applyBorder="1"/>
    <xf numFmtId="0" fontId="59" fillId="2" borderId="56" xfId="0" applyFont="1" applyFill="1" applyBorder="1"/>
    <xf numFmtId="0" fontId="14" fillId="2" borderId="56" xfId="0" applyFont="1" applyFill="1" applyBorder="1"/>
    <xf numFmtId="44" fontId="65" fillId="2" borderId="56" xfId="0" applyNumberFormat="1" applyFont="1" applyFill="1" applyBorder="1"/>
    <xf numFmtId="0" fontId="13" fillId="2" borderId="56" xfId="0" applyFont="1" applyFill="1" applyBorder="1" applyAlignment="1">
      <alignment horizontal="right"/>
    </xf>
    <xf numFmtId="0" fontId="13" fillId="2" borderId="56" xfId="0" applyFont="1" applyFill="1" applyBorder="1" applyAlignment="1">
      <alignment horizontal="left"/>
    </xf>
    <xf numFmtId="0" fontId="13" fillId="2" borderId="87" xfId="0" applyFont="1" applyFill="1" applyBorder="1" applyAlignment="1">
      <alignment horizontal="center"/>
    </xf>
    <xf numFmtId="0" fontId="13" fillId="2" borderId="76" xfId="0" applyFont="1" applyFill="1" applyBorder="1" applyAlignment="1">
      <alignment horizontal="center"/>
    </xf>
    <xf numFmtId="0" fontId="4" fillId="0" borderId="76" xfId="0" applyFont="1" applyBorder="1" applyAlignment="1">
      <alignment horizontal="center"/>
    </xf>
    <xf numFmtId="0" fontId="6" fillId="2" borderId="76" xfId="0" applyFont="1" applyFill="1" applyBorder="1" applyAlignment="1">
      <alignment horizontal="center"/>
    </xf>
    <xf numFmtId="0" fontId="11" fillId="2" borderId="76" xfId="0" applyFont="1" applyFill="1" applyBorder="1" applyAlignment="1">
      <alignment horizontal="center"/>
    </xf>
    <xf numFmtId="0" fontId="13" fillId="0" borderId="76" xfId="0" applyFont="1" applyBorder="1"/>
    <xf numFmtId="0" fontId="57" fillId="2" borderId="76" xfId="0" applyFont="1" applyFill="1" applyBorder="1" applyAlignment="1">
      <alignment horizontal="center"/>
    </xf>
    <xf numFmtId="1" fontId="13" fillId="2" borderId="76" xfId="0" applyNumberFormat="1" applyFont="1" applyFill="1" applyBorder="1" applyAlignment="1">
      <alignment horizontal="center"/>
    </xf>
    <xf numFmtId="0" fontId="13" fillId="2" borderId="76" xfId="0" applyFont="1" applyFill="1" applyBorder="1" applyAlignment="1">
      <alignment horizontal="left"/>
    </xf>
    <xf numFmtId="0" fontId="13" fillId="2" borderId="76" xfId="0" applyFont="1" applyFill="1" applyBorder="1"/>
    <xf numFmtId="0" fontId="58" fillId="2" borderId="76" xfId="0" applyFont="1" applyFill="1" applyBorder="1"/>
    <xf numFmtId="0" fontId="59" fillId="2" borderId="76" xfId="0" applyFont="1" applyFill="1" applyBorder="1"/>
    <xf numFmtId="0" fontId="14" fillId="2" borderId="76" xfId="0" applyFont="1" applyFill="1" applyBorder="1" applyAlignment="1">
      <alignment horizontal="center"/>
    </xf>
    <xf numFmtId="0" fontId="65" fillId="2" borderId="76" xfId="0" applyFont="1" applyFill="1" applyBorder="1" applyAlignment="1">
      <alignment horizontal="center"/>
    </xf>
    <xf numFmtId="185" fontId="13" fillId="2" borderId="23" xfId="0" applyNumberFormat="1" applyFont="1" applyFill="1" applyBorder="1" applyAlignment="1">
      <alignment horizontal="left"/>
    </xf>
    <xf numFmtId="0" fontId="48" fillId="0" borderId="29" xfId="0" applyFont="1" applyBorder="1" applyAlignment="1">
      <alignment horizontal="center"/>
    </xf>
    <xf numFmtId="0" fontId="48" fillId="0" borderId="82" xfId="0" applyFont="1" applyBorder="1"/>
    <xf numFmtId="169" fontId="11" fillId="2" borderId="56" xfId="0" applyNumberFormat="1" applyFont="1" applyFill="1" applyBorder="1"/>
    <xf numFmtId="0" fontId="73" fillId="7" borderId="24" xfId="0" applyFont="1" applyFill="1" applyBorder="1" applyAlignment="1">
      <alignment horizontal="center"/>
    </xf>
    <xf numFmtId="10" fontId="4" fillId="7" borderId="84" xfId="0" applyNumberFormat="1" applyFont="1" applyFill="1" applyBorder="1" applyAlignment="1">
      <alignment horizontal="center"/>
    </xf>
    <xf numFmtId="10" fontId="4" fillId="0" borderId="57" xfId="0" applyNumberFormat="1" applyFont="1" applyBorder="1" applyAlignment="1">
      <alignment horizontal="center"/>
    </xf>
    <xf numFmtId="10" fontId="4" fillId="7" borderId="47" xfId="0" applyNumberFormat="1" applyFont="1" applyFill="1" applyBorder="1" applyAlignment="1">
      <alignment horizontal="center"/>
    </xf>
    <xf numFmtId="0" fontId="73" fillId="0" borderId="24" xfId="0" applyFont="1" applyBorder="1" applyAlignment="1">
      <alignment horizontal="center"/>
    </xf>
    <xf numFmtId="10" fontId="4" fillId="0" borderId="24" xfId="0" applyNumberFormat="1" applyFont="1" applyBorder="1" applyAlignment="1">
      <alignment horizontal="center"/>
    </xf>
    <xf numFmtId="10" fontId="4" fillId="0" borderId="47" xfId="0" applyNumberFormat="1" applyFont="1" applyBorder="1" applyAlignment="1">
      <alignment horizontal="center"/>
    </xf>
    <xf numFmtId="10" fontId="7" fillId="0" borderId="57" xfId="0" applyNumberFormat="1" applyFont="1" applyBorder="1" applyAlignment="1">
      <alignment horizontal="center"/>
    </xf>
    <xf numFmtId="0" fontId="73" fillId="0" borderId="47" xfId="0" applyFont="1" applyBorder="1" applyAlignment="1">
      <alignment horizontal="center"/>
    </xf>
    <xf numFmtId="0" fontId="73" fillId="7" borderId="47" xfId="0" applyFont="1" applyFill="1" applyBorder="1" applyAlignment="1">
      <alignment horizontal="center"/>
    </xf>
    <xf numFmtId="10" fontId="4" fillId="7" borderId="28" xfId="0" applyNumberFormat="1" applyFont="1" applyFill="1" applyBorder="1" applyAlignment="1">
      <alignment horizontal="center"/>
    </xf>
    <xf numFmtId="10" fontId="4" fillId="0" borderId="76" xfId="0" applyNumberFormat="1" applyFont="1" applyBorder="1" applyAlignment="1">
      <alignment horizontal="center"/>
    </xf>
    <xf numFmtId="0" fontId="73" fillId="40" borderId="24" xfId="0" applyFont="1" applyFill="1" applyBorder="1" applyAlignment="1">
      <alignment horizontal="center"/>
    </xf>
    <xf numFmtId="10" fontId="4" fillId="26" borderId="76" xfId="0" applyNumberFormat="1" applyFont="1" applyFill="1" applyBorder="1" applyAlignment="1">
      <alignment horizontal="center"/>
    </xf>
    <xf numFmtId="10" fontId="4" fillId="40" borderId="28" xfId="0" applyNumberFormat="1" applyFont="1" applyFill="1" applyBorder="1" applyAlignment="1">
      <alignment horizontal="center"/>
    </xf>
    <xf numFmtId="0" fontId="14" fillId="40" borderId="47" xfId="0" applyFont="1" applyFill="1" applyBorder="1" applyAlignment="1">
      <alignment horizontal="center"/>
    </xf>
    <xf numFmtId="10" fontId="4" fillId="40" borderId="72" xfId="0" applyNumberFormat="1" applyFont="1" applyFill="1" applyBorder="1" applyAlignment="1">
      <alignment horizontal="center"/>
    </xf>
    <xf numFmtId="0" fontId="73" fillId="2" borderId="24" xfId="0" applyFont="1" applyFill="1" applyBorder="1" applyAlignment="1">
      <alignment horizontal="center"/>
    </xf>
    <xf numFmtId="10" fontId="4" fillId="2" borderId="29" xfId="0" applyNumberFormat="1" applyFont="1" applyFill="1" applyBorder="1" applyAlignment="1">
      <alignment horizontal="center"/>
    </xf>
    <xf numFmtId="10" fontId="4" fillId="2" borderId="72" xfId="0" applyNumberFormat="1" applyFont="1" applyFill="1" applyBorder="1" applyAlignment="1">
      <alignment horizontal="center"/>
    </xf>
    <xf numFmtId="0" fontId="73" fillId="41" borderId="76" xfId="0" applyFont="1" applyFill="1" applyBorder="1" applyAlignment="1">
      <alignment horizontal="center"/>
    </xf>
    <xf numFmtId="10" fontId="4" fillId="20" borderId="76" xfId="0" applyNumberFormat="1" applyFont="1" applyFill="1" applyBorder="1" applyAlignment="1">
      <alignment horizontal="center"/>
    </xf>
    <xf numFmtId="10" fontId="4" fillId="41" borderId="76" xfId="0" applyNumberFormat="1" applyFont="1" applyFill="1" applyBorder="1" applyAlignment="1">
      <alignment horizontal="center"/>
    </xf>
    <xf numFmtId="0" fontId="14" fillId="41" borderId="76" xfId="0" applyFont="1" applyFill="1" applyBorder="1" applyAlignment="1">
      <alignment horizontal="center"/>
    </xf>
    <xf numFmtId="10" fontId="4" fillId="41" borderId="57" xfId="0" applyNumberFormat="1" applyFont="1" applyFill="1" applyBorder="1" applyAlignment="1">
      <alignment horizontal="center"/>
    </xf>
    <xf numFmtId="0" fontId="73" fillId="42" borderId="76" xfId="0" applyFont="1" applyFill="1" applyBorder="1" applyAlignment="1">
      <alignment horizontal="center"/>
    </xf>
    <xf numFmtId="10" fontId="4" fillId="42" borderId="76" xfId="0" applyNumberFormat="1" applyFont="1" applyFill="1" applyBorder="1" applyAlignment="1">
      <alignment horizontal="center"/>
    </xf>
    <xf numFmtId="0" fontId="14" fillId="42" borderId="76" xfId="0" applyFont="1" applyFill="1" applyBorder="1" applyAlignment="1">
      <alignment horizontal="center"/>
    </xf>
    <xf numFmtId="10" fontId="4" fillId="42" borderId="57" xfId="0" applyNumberFormat="1" applyFont="1" applyFill="1" applyBorder="1" applyAlignment="1">
      <alignment horizontal="center"/>
    </xf>
    <xf numFmtId="10" fontId="14" fillId="0" borderId="46" xfId="0" applyNumberFormat="1" applyFont="1" applyBorder="1" applyAlignment="1">
      <alignment horizontal="center"/>
    </xf>
    <xf numFmtId="0" fontId="14" fillId="0" borderId="81" xfId="0" applyFont="1" applyBorder="1" applyAlignment="1">
      <alignment horizontal="center"/>
    </xf>
    <xf numFmtId="0" fontId="14" fillId="2" borderId="94" xfId="0" applyFont="1" applyFill="1" applyBorder="1" applyAlignment="1">
      <alignment horizontal="center"/>
    </xf>
    <xf numFmtId="0" fontId="10" fillId="0" borderId="51" xfId="0" applyFont="1" applyBorder="1"/>
    <xf numFmtId="0" fontId="4" fillId="2" borderId="54" xfId="0" applyFont="1" applyFill="1" applyBorder="1"/>
    <xf numFmtId="0" fontId="10" fillId="2" borderId="53" xfId="0" applyFont="1" applyFill="1" applyBorder="1" applyAlignment="1">
      <alignment horizontal="center"/>
    </xf>
    <xf numFmtId="44" fontId="0" fillId="0" borderId="53" xfId="1" applyFont="1" applyBorder="1" applyAlignment="1"/>
    <xf numFmtId="44" fontId="26" fillId="0" borderId="53" xfId="0" applyNumberFormat="1" applyFont="1" applyBorder="1" applyAlignment="1">
      <alignment horizontal="right"/>
    </xf>
    <xf numFmtId="169" fontId="24" fillId="0" borderId="53" xfId="0" applyNumberFormat="1" applyFont="1" applyBorder="1" applyAlignment="1">
      <alignment horizontal="right"/>
    </xf>
    <xf numFmtId="14" fontId="24" fillId="0" borderId="53" xfId="0" applyNumberFormat="1" applyFont="1" applyBorder="1" applyAlignment="1">
      <alignment horizontal="center"/>
    </xf>
    <xf numFmtId="186" fontId="24" fillId="0" borderId="57" xfId="2" applyNumberFormat="1" applyFont="1" applyFill="1" applyBorder="1" applyAlignment="1">
      <alignment horizontal="right"/>
    </xf>
    <xf numFmtId="0" fontId="48" fillId="0" borderId="60" xfId="0" applyFont="1" applyBorder="1"/>
    <xf numFmtId="0" fontId="10" fillId="2" borderId="95" xfId="0" applyFont="1" applyFill="1" applyBorder="1"/>
    <xf numFmtId="0" fontId="10" fillId="2" borderId="96" xfId="0" applyFont="1" applyFill="1" applyBorder="1"/>
    <xf numFmtId="0" fontId="10" fillId="2" borderId="97" xfId="0" applyFont="1" applyFill="1" applyBorder="1"/>
    <xf numFmtId="0" fontId="14" fillId="2" borderId="97" xfId="0" applyFont="1" applyFill="1" applyBorder="1" applyAlignment="1">
      <alignment horizontal="center"/>
    </xf>
    <xf numFmtId="0" fontId="14" fillId="2" borderId="98" xfId="0" applyFont="1" applyFill="1" applyBorder="1" applyAlignment="1">
      <alignment horizontal="center"/>
    </xf>
    <xf numFmtId="0" fontId="14" fillId="2" borderId="91" xfId="0" applyFont="1" applyFill="1" applyBorder="1" applyAlignment="1">
      <alignment horizontal="center"/>
    </xf>
    <xf numFmtId="0" fontId="4" fillId="2" borderId="99" xfId="0" applyFont="1" applyFill="1" applyBorder="1"/>
    <xf numFmtId="0" fontId="0" fillId="0" borderId="75" xfId="0" applyBorder="1" applyAlignment="1">
      <alignment horizontal="center"/>
    </xf>
    <xf numFmtId="14" fontId="0" fillId="0" borderId="0" xfId="0" applyNumberFormat="1" applyAlignment="1">
      <alignment horizontal="center"/>
    </xf>
    <xf numFmtId="0" fontId="14" fillId="2" borderId="57" xfId="0" applyFont="1" applyFill="1" applyBorder="1" applyAlignment="1">
      <alignment horizontal="center"/>
    </xf>
    <xf numFmtId="0" fontId="10" fillId="0" borderId="28" xfId="0" applyFont="1" applyBorder="1" applyAlignment="1">
      <alignment horizontal="center"/>
    </xf>
    <xf numFmtId="0" fontId="4" fillId="2" borderId="57" xfId="0" applyFont="1" applyFill="1" applyBorder="1"/>
    <xf numFmtId="0" fontId="10" fillId="0" borderId="57" xfId="0" applyFont="1" applyBorder="1" applyAlignment="1">
      <alignment horizontal="center"/>
    </xf>
    <xf numFmtId="7" fontId="14" fillId="0" borderId="29" xfId="5" applyNumberFormat="1" applyFont="1" applyAlignment="1">
      <alignment horizontal="center"/>
    </xf>
    <xf numFmtId="10" fontId="14" fillId="14" borderId="29" xfId="6" applyNumberFormat="1" applyFont="1" applyFill="1" applyAlignment="1">
      <alignment horizontal="center"/>
    </xf>
    <xf numFmtId="7" fontId="14" fillId="0" borderId="0" xfId="1" applyNumberFormat="1" applyFont="1" applyAlignment="1">
      <alignment horizontal="center"/>
    </xf>
    <xf numFmtId="0" fontId="13" fillId="2" borderId="35" xfId="0" applyFont="1" applyFill="1" applyBorder="1" applyAlignment="1">
      <alignment horizontal="center"/>
    </xf>
    <xf numFmtId="0" fontId="13" fillId="2" borderId="29" xfId="0" applyFont="1" applyFill="1" applyBorder="1" applyAlignment="1">
      <alignment horizontal="center" vertical="top"/>
    </xf>
    <xf numFmtId="0" fontId="4" fillId="0" borderId="18" xfId="7" applyFont="1" applyBorder="1" applyAlignment="1">
      <alignment horizontal="center" vertical="center"/>
    </xf>
    <xf numFmtId="0" fontId="13" fillId="2" borderId="27" xfId="7" applyFont="1" applyFill="1" applyBorder="1" applyAlignment="1">
      <alignment horizontal="left" vertical="center"/>
    </xf>
    <xf numFmtId="0" fontId="13" fillId="2" borderId="27" xfId="7" applyFont="1" applyFill="1" applyBorder="1" applyAlignment="1">
      <alignment horizontal="center" vertical="center"/>
    </xf>
    <xf numFmtId="0" fontId="11" fillId="2" borderId="18" xfId="7" applyFont="1" applyFill="1" applyBorder="1" applyAlignment="1">
      <alignment horizontal="center" vertical="center"/>
    </xf>
    <xf numFmtId="0" fontId="11" fillId="2" borderId="27" xfId="7" applyFont="1" applyFill="1" applyBorder="1" applyAlignment="1">
      <alignment horizontal="center" vertical="center"/>
    </xf>
    <xf numFmtId="44" fontId="11" fillId="0" borderId="27" xfId="0" applyNumberFormat="1" applyFont="1" applyBorder="1" applyAlignment="1">
      <alignment horizontal="right"/>
    </xf>
    <xf numFmtId="169" fontId="13" fillId="0" borderId="27" xfId="7" applyNumberFormat="1" applyFont="1" applyBorder="1" applyAlignment="1">
      <alignment horizontal="center" vertical="center"/>
    </xf>
    <xf numFmtId="0" fontId="13" fillId="0" borderId="27" xfId="7" applyFont="1" applyBorder="1" applyAlignment="1">
      <alignment horizontal="center" vertical="center"/>
    </xf>
    <xf numFmtId="44" fontId="12" fillId="0" borderId="27" xfId="7" applyNumberFormat="1" applyFont="1" applyBorder="1" applyAlignment="1">
      <alignment horizontal="center" vertical="center"/>
    </xf>
    <xf numFmtId="0" fontId="4" fillId="2" borderId="27" xfId="0" applyFont="1" applyFill="1" applyBorder="1" applyAlignment="1">
      <alignment horizontal="left"/>
    </xf>
    <xf numFmtId="0" fontId="4" fillId="2" borderId="29" xfId="0" applyFont="1" applyFill="1" applyBorder="1" applyAlignment="1">
      <alignment horizontal="center" vertical="top"/>
    </xf>
    <xf numFmtId="3" fontId="10" fillId="0" borderId="56" xfId="0" applyNumberFormat="1" applyFont="1" applyBorder="1" applyAlignment="1">
      <alignment horizontal="center" vertical="top" wrapText="1"/>
    </xf>
    <xf numFmtId="0" fontId="14" fillId="2" borderId="81" xfId="0" applyFont="1" applyFill="1" applyBorder="1" applyAlignment="1">
      <alignment horizontal="center"/>
    </xf>
    <xf numFmtId="0" fontId="10" fillId="0" borderId="53" xfId="0" applyFont="1" applyBorder="1"/>
    <xf numFmtId="166" fontId="11" fillId="2" borderId="101" xfId="7" applyNumberFormat="1" applyFont="1" applyFill="1" applyBorder="1" applyAlignment="1">
      <alignment horizontal="center" vertical="center"/>
    </xf>
    <xf numFmtId="167" fontId="46" fillId="0" borderId="29" xfId="0" applyNumberFormat="1" applyFont="1" applyBorder="1"/>
    <xf numFmtId="0" fontId="4" fillId="2" borderId="56" xfId="0" applyFont="1" applyFill="1" applyBorder="1" applyAlignment="1">
      <alignment horizontal="left"/>
    </xf>
    <xf numFmtId="0" fontId="10" fillId="0" borderId="74" xfId="0" applyFont="1" applyBorder="1"/>
    <xf numFmtId="0" fontId="10" fillId="0" borderId="57" xfId="0" applyFont="1" applyBorder="1"/>
    <xf numFmtId="10" fontId="10" fillId="26" borderId="29" xfId="7" applyNumberFormat="1" applyFont="1" applyFill="1" applyAlignment="1">
      <alignment horizontal="center" vertical="center"/>
    </xf>
    <xf numFmtId="10" fontId="10" fillId="31" borderId="29" xfId="7" applyNumberFormat="1" applyFont="1" applyFill="1" applyAlignment="1">
      <alignment horizontal="center" vertical="center"/>
    </xf>
    <xf numFmtId="10" fontId="10" fillId="30" borderId="29" xfId="7" applyNumberFormat="1" applyFont="1" applyFill="1" applyAlignment="1">
      <alignment horizontal="center" vertical="center"/>
    </xf>
    <xf numFmtId="10" fontId="10" fillId="32" borderId="29" xfId="7" applyNumberFormat="1" applyFont="1" applyFill="1" applyAlignment="1">
      <alignment horizontal="center" vertical="center"/>
    </xf>
    <xf numFmtId="10" fontId="10" fillId="33" borderId="29" xfId="7" applyNumberFormat="1" applyFont="1" applyFill="1" applyAlignment="1">
      <alignment horizontal="center" vertical="center"/>
    </xf>
    <xf numFmtId="10" fontId="10" fillId="34" borderId="29" xfId="7" applyNumberFormat="1" applyFont="1" applyFill="1" applyAlignment="1">
      <alignment horizontal="center" vertical="center"/>
    </xf>
    <xf numFmtId="10" fontId="10" fillId="35" borderId="29" xfId="7" applyNumberFormat="1" applyFont="1" applyFill="1" applyAlignment="1">
      <alignment horizontal="center" vertical="center"/>
    </xf>
    <xf numFmtId="10" fontId="10" fillId="36" borderId="29" xfId="7" applyNumberFormat="1" applyFont="1" applyFill="1" applyAlignment="1">
      <alignment horizontal="center" vertical="center"/>
    </xf>
    <xf numFmtId="10" fontId="10" fillId="37" borderId="29" xfId="7" applyNumberFormat="1" applyFont="1" applyFill="1" applyAlignment="1">
      <alignment horizontal="center" vertical="center"/>
    </xf>
    <xf numFmtId="10" fontId="10" fillId="38" borderId="29" xfId="7" applyNumberFormat="1" applyFont="1" applyFill="1" applyAlignment="1">
      <alignment horizontal="center" vertical="center"/>
    </xf>
    <xf numFmtId="10" fontId="10" fillId="39" borderId="29" xfId="7" applyNumberFormat="1" applyFont="1" applyFill="1" applyAlignment="1">
      <alignment horizontal="center" vertical="center"/>
    </xf>
    <xf numFmtId="0" fontId="48" fillId="0" borderId="0" xfId="0" applyFont="1"/>
    <xf numFmtId="0" fontId="77" fillId="0" borderId="0" xfId="0" applyFont="1"/>
    <xf numFmtId="0" fontId="4" fillId="0" borderId="24" xfId="0" applyFont="1" applyBorder="1"/>
    <xf numFmtId="0" fontId="4" fillId="13" borderId="72" xfId="0" applyFont="1" applyFill="1" applyBorder="1" applyAlignment="1">
      <alignment horizontal="center"/>
    </xf>
    <xf numFmtId="0" fontId="4" fillId="0" borderId="25" xfId="0" applyFont="1" applyBorder="1"/>
    <xf numFmtId="175" fontId="32" fillId="0" borderId="29" xfId="0" applyNumberFormat="1" applyFont="1" applyBorder="1"/>
    <xf numFmtId="170" fontId="16" fillId="0" borderId="29" xfId="0" applyNumberFormat="1" applyFont="1" applyBorder="1"/>
    <xf numFmtId="0" fontId="15" fillId="0" borderId="29" xfId="0" applyFont="1" applyBorder="1"/>
    <xf numFmtId="44" fontId="15" fillId="0" borderId="29" xfId="0" applyNumberFormat="1" applyFont="1" applyBorder="1"/>
    <xf numFmtId="175" fontId="7" fillId="0" borderId="29" xfId="0" applyNumberFormat="1" applyFont="1" applyBorder="1"/>
    <xf numFmtId="170" fontId="17" fillId="0" borderId="29" xfId="0" applyNumberFormat="1" applyFont="1" applyBorder="1"/>
    <xf numFmtId="44" fontId="13" fillId="0" borderId="29" xfId="0" applyNumberFormat="1" applyFont="1" applyBorder="1"/>
    <xf numFmtId="166" fontId="13" fillId="0" borderId="29" xfId="0" applyNumberFormat="1" applyFont="1" applyBorder="1"/>
    <xf numFmtId="166" fontId="7" fillId="0" borderId="29" xfId="0" applyNumberFormat="1" applyFont="1" applyBorder="1" applyAlignment="1">
      <alignment horizontal="center"/>
    </xf>
    <xf numFmtId="0" fontId="7" fillId="0" borderId="29" xfId="0" applyFont="1" applyBorder="1" applyAlignment="1">
      <alignment horizontal="center"/>
    </xf>
    <xf numFmtId="175" fontId="7" fillId="0" borderId="29" xfId="0" applyNumberFormat="1" applyFont="1" applyBorder="1" applyAlignment="1">
      <alignment horizontal="center"/>
    </xf>
    <xf numFmtId="170" fontId="7" fillId="0" borderId="29" xfId="0" applyNumberFormat="1" applyFont="1" applyBorder="1" applyAlignment="1">
      <alignment horizontal="center"/>
    </xf>
    <xf numFmtId="166" fontId="4" fillId="0" borderId="29" xfId="0" applyNumberFormat="1" applyFont="1" applyBorder="1" applyAlignment="1">
      <alignment horizontal="center"/>
    </xf>
    <xf numFmtId="0" fontId="35" fillId="0" borderId="25" xfId="0" applyFont="1" applyBorder="1"/>
    <xf numFmtId="0" fontId="9" fillId="0" borderId="60" xfId="0" applyFont="1" applyBorder="1" applyAlignment="1">
      <alignment horizontal="center"/>
    </xf>
    <xf numFmtId="175" fontId="33" fillId="0" borderId="60" xfId="0" applyNumberFormat="1" applyFont="1" applyBorder="1"/>
    <xf numFmtId="170" fontId="18" fillId="0" borderId="60" xfId="0" applyNumberFormat="1" applyFont="1" applyBorder="1"/>
    <xf numFmtId="0" fontId="10" fillId="0" borderId="95" xfId="0" applyFont="1" applyBorder="1"/>
    <xf numFmtId="0" fontId="11" fillId="0" borderId="29" xfId="0" applyFont="1" applyBorder="1"/>
    <xf numFmtId="0" fontId="11" fillId="0" borderId="29" xfId="0" applyFont="1" applyBorder="1" applyAlignment="1">
      <alignment horizontal="left"/>
    </xf>
    <xf numFmtId="166" fontId="11" fillId="0" borderId="10" xfId="0" applyNumberFormat="1" applyFont="1" applyBorder="1" applyAlignment="1">
      <alignment horizontal="center"/>
    </xf>
    <xf numFmtId="170" fontId="11" fillId="0" borderId="29" xfId="0" applyNumberFormat="1" applyFont="1" applyBorder="1" applyAlignment="1">
      <alignment horizontal="center"/>
    </xf>
    <xf numFmtId="0" fontId="10" fillId="0" borderId="96" xfId="0" applyFont="1" applyBorder="1"/>
    <xf numFmtId="0" fontId="11" fillId="0" borderId="25" xfId="0" applyFont="1" applyBorder="1"/>
    <xf numFmtId="0" fontId="11" fillId="0" borderId="26" xfId="0" applyFont="1" applyBorder="1" applyAlignment="1">
      <alignment horizontal="left"/>
    </xf>
    <xf numFmtId="0" fontId="11" fillId="0" borderId="5" xfId="0" applyFont="1" applyBorder="1" applyAlignment="1">
      <alignment horizontal="center"/>
    </xf>
    <xf numFmtId="0" fontId="11" fillId="0" borderId="25" xfId="0" applyFont="1" applyBorder="1" applyAlignment="1">
      <alignment horizontal="center"/>
    </xf>
    <xf numFmtId="0" fontId="12" fillId="0" borderId="25" xfId="0" applyFont="1" applyBorder="1" applyAlignment="1">
      <alignment horizontal="center"/>
    </xf>
    <xf numFmtId="0" fontId="11" fillId="0" borderId="26" xfId="0" applyFont="1" applyBorder="1" applyAlignment="1">
      <alignment horizontal="center"/>
    </xf>
    <xf numFmtId="0" fontId="10" fillId="0" borderId="97" xfId="0" applyFont="1" applyBorder="1"/>
    <xf numFmtId="0" fontId="11" fillId="0" borderId="28" xfId="0" applyFont="1" applyBorder="1" applyAlignment="1">
      <alignment horizontal="left"/>
    </xf>
    <xf numFmtId="0" fontId="36" fillId="0" borderId="90" xfId="0" applyFont="1" applyBorder="1" applyAlignment="1">
      <alignment horizontal="center"/>
    </xf>
    <xf numFmtId="175" fontId="10" fillId="0" borderId="88" xfId="0" applyNumberFormat="1" applyFont="1" applyBorder="1"/>
    <xf numFmtId="170" fontId="11" fillId="0" borderId="29" xfId="0" applyNumberFormat="1" applyFont="1" applyBorder="1"/>
    <xf numFmtId="0" fontId="14" fillId="0" borderId="97" xfId="0" applyFont="1" applyBorder="1" applyAlignment="1">
      <alignment horizontal="center"/>
    </xf>
    <xf numFmtId="10" fontId="10" fillId="0" borderId="29" xfId="2" applyNumberFormat="1" applyFont="1" applyFill="1" applyBorder="1"/>
    <xf numFmtId="165" fontId="4" fillId="0" borderId="29" xfId="0" applyNumberFormat="1" applyFont="1" applyBorder="1"/>
    <xf numFmtId="0" fontId="4" fillId="0" borderId="56" xfId="0" applyFont="1" applyBorder="1" applyAlignment="1">
      <alignment horizontal="left"/>
    </xf>
    <xf numFmtId="44" fontId="74" fillId="0" borderId="57" xfId="1" applyFont="1" applyFill="1" applyBorder="1" applyAlignment="1">
      <alignment horizontal="right"/>
    </xf>
    <xf numFmtId="44" fontId="10" fillId="0" borderId="57" xfId="0" applyNumberFormat="1" applyFont="1" applyBorder="1"/>
    <xf numFmtId="183" fontId="10" fillId="0" borderId="57" xfId="0" applyNumberFormat="1" applyFont="1" applyBorder="1"/>
    <xf numFmtId="170" fontId="7" fillId="0" borderId="56" xfId="0" applyNumberFormat="1" applyFont="1" applyBorder="1"/>
    <xf numFmtId="0" fontId="14" fillId="0" borderId="98" xfId="0" applyFont="1" applyBorder="1" applyAlignment="1">
      <alignment horizontal="center"/>
    </xf>
    <xf numFmtId="44" fontId="74" fillId="0" borderId="78" xfId="1" applyFont="1" applyFill="1" applyBorder="1" applyAlignment="1">
      <alignment horizontal="right"/>
    </xf>
    <xf numFmtId="183" fontId="7" fillId="0" borderId="74" xfId="0" applyNumberFormat="1" applyFont="1" applyBorder="1"/>
    <xf numFmtId="170" fontId="7" fillId="0" borderId="75" xfId="0" applyNumberFormat="1" applyFont="1" applyBorder="1"/>
    <xf numFmtId="44" fontId="10" fillId="0" borderId="74" xfId="0" applyNumberFormat="1" applyFont="1" applyBorder="1"/>
    <xf numFmtId="0" fontId="14" fillId="0" borderId="87" xfId="0" applyFont="1" applyBorder="1" applyAlignment="1">
      <alignment horizontal="center"/>
    </xf>
    <xf numFmtId="0" fontId="11" fillId="0" borderId="51" xfId="0" applyFont="1" applyBorder="1"/>
    <xf numFmtId="0" fontId="11" fillId="0" borderId="52" xfId="0" applyFont="1" applyBorder="1"/>
    <xf numFmtId="3" fontId="11" fillId="0" borderId="53" xfId="0" applyNumberFormat="1" applyFont="1" applyBorder="1" applyAlignment="1">
      <alignment horizontal="center" vertical="top" wrapText="1"/>
    </xf>
    <xf numFmtId="44" fontId="11" fillId="0" borderId="53" xfId="0" applyNumberFormat="1" applyFont="1" applyBorder="1" applyAlignment="1">
      <alignment horizontal="right"/>
    </xf>
    <xf numFmtId="44" fontId="11" fillId="0" borderId="53" xfId="0" applyNumberFormat="1" applyFont="1" applyBorder="1" applyAlignment="1">
      <alignment horizontal="center"/>
    </xf>
    <xf numFmtId="169" fontId="11" fillId="0" borderId="53" xfId="0" applyNumberFormat="1" applyFont="1" applyBorder="1" applyAlignment="1">
      <alignment horizontal="center"/>
    </xf>
    <xf numFmtId="7" fontId="12" fillId="0" borderId="53" xfId="0" applyNumberFormat="1" applyFont="1" applyBorder="1" applyAlignment="1">
      <alignment horizontal="center"/>
    </xf>
    <xf numFmtId="44" fontId="74" fillId="0" borderId="29" xfId="1" applyFont="1" applyFill="1" applyBorder="1" applyAlignment="1">
      <alignment horizontal="right"/>
    </xf>
    <xf numFmtId="175" fontId="7" fillId="0" borderId="93" xfId="0" applyNumberFormat="1" applyFont="1" applyBorder="1"/>
    <xf numFmtId="170" fontId="7" fillId="0" borderId="93" xfId="0" applyNumberFormat="1" applyFont="1" applyBorder="1"/>
    <xf numFmtId="0" fontId="14" fillId="0" borderId="76" xfId="0" applyFont="1" applyBorder="1" applyAlignment="1">
      <alignment horizontal="center"/>
    </xf>
    <xf numFmtId="0" fontId="14" fillId="0" borderId="57" xfId="0" applyFont="1" applyBorder="1" applyAlignment="1">
      <alignment horizontal="center"/>
    </xf>
    <xf numFmtId="0" fontId="14" fillId="0" borderId="78" xfId="0" applyFont="1" applyBorder="1" applyAlignment="1">
      <alignment horizontal="center"/>
    </xf>
    <xf numFmtId="0" fontId="4" fillId="0" borderId="54" xfId="0" applyFont="1" applyBorder="1"/>
    <xf numFmtId="0" fontId="10" fillId="0" borderId="53" xfId="0" applyFont="1" applyBorder="1" applyAlignment="1">
      <alignment horizontal="center"/>
    </xf>
    <xf numFmtId="44" fontId="0" fillId="0" borderId="53" xfId="1" applyFont="1" applyFill="1" applyBorder="1" applyAlignment="1"/>
    <xf numFmtId="44" fontId="7" fillId="0" borderId="29" xfId="1" applyFont="1" applyFill="1" applyBorder="1"/>
    <xf numFmtId="44" fontId="43" fillId="0" borderId="29" xfId="0" applyNumberFormat="1" applyFont="1" applyBorder="1"/>
    <xf numFmtId="0" fontId="4" fillId="0" borderId="99" xfId="0" applyFont="1" applyBorder="1"/>
    <xf numFmtId="0" fontId="13" fillId="0" borderId="8" xfId="0" applyFont="1" applyBorder="1"/>
    <xf numFmtId="0" fontId="4" fillId="0" borderId="29" xfId="0" applyFont="1" applyBorder="1" applyAlignment="1">
      <alignment horizontal="left"/>
    </xf>
    <xf numFmtId="0" fontId="10" fillId="0" borderId="29" xfId="0" applyFont="1" applyBorder="1" applyAlignment="1">
      <alignment horizontal="right"/>
    </xf>
    <xf numFmtId="0" fontId="21" fillId="0" borderId="29" xfId="0" applyFont="1" applyBorder="1" applyAlignment="1">
      <alignment horizontal="left"/>
    </xf>
    <xf numFmtId="0" fontId="27" fillId="0" borderId="29" xfId="0" applyFont="1" applyBorder="1"/>
    <xf numFmtId="0" fontId="27" fillId="0" borderId="29" xfId="0" applyFont="1" applyBorder="1" applyAlignment="1">
      <alignment horizontal="right"/>
    </xf>
    <xf numFmtId="172" fontId="27" fillId="0" borderId="29" xfId="0" applyNumberFormat="1" applyFont="1" applyBorder="1" applyAlignment="1">
      <alignment horizontal="right"/>
    </xf>
    <xf numFmtId="43" fontId="27" fillId="0" borderId="29" xfId="0" applyNumberFormat="1" applyFont="1" applyBorder="1" applyAlignment="1">
      <alignment horizontal="right"/>
    </xf>
    <xf numFmtId="0" fontId="21" fillId="0" borderId="29" xfId="0" applyFont="1" applyBorder="1" applyAlignment="1">
      <alignment horizontal="center"/>
    </xf>
    <xf numFmtId="0" fontId="21" fillId="0" borderId="29" xfId="0" applyFont="1" applyBorder="1" applyAlignment="1">
      <alignment horizontal="right"/>
    </xf>
    <xf numFmtId="44" fontId="4" fillId="0" borderId="29" xfId="0" applyNumberFormat="1" applyFont="1" applyBorder="1" applyAlignment="1">
      <alignment horizontal="right"/>
    </xf>
    <xf numFmtId="43" fontId="28" fillId="0" borderId="29" xfId="0" applyNumberFormat="1" applyFont="1" applyBorder="1" applyAlignment="1">
      <alignment horizontal="right"/>
    </xf>
    <xf numFmtId="0" fontId="21" fillId="0" borderId="29" xfId="0" applyFont="1" applyBorder="1"/>
    <xf numFmtId="44" fontId="12" fillId="0" borderId="0" xfId="0" applyNumberFormat="1" applyFont="1" applyAlignment="1">
      <alignment horizontal="center"/>
    </xf>
    <xf numFmtId="44" fontId="12" fillId="0" borderId="29" xfId="0" applyNumberFormat="1" applyFont="1" applyBorder="1" applyAlignment="1">
      <alignment horizontal="center"/>
    </xf>
    <xf numFmtId="0" fontId="36" fillId="0" borderId="88" xfId="0" applyFont="1" applyBorder="1" applyAlignment="1">
      <alignment horizontal="center"/>
    </xf>
    <xf numFmtId="44" fontId="24" fillId="0" borderId="57" xfId="0" applyNumberFormat="1" applyFont="1" applyBorder="1" applyAlignment="1">
      <alignment horizontal="right"/>
    </xf>
    <xf numFmtId="44" fontId="74" fillId="0" borderId="74" xfId="1" applyFont="1" applyFill="1" applyBorder="1" applyAlignment="1">
      <alignment horizontal="right"/>
    </xf>
    <xf numFmtId="10" fontId="11" fillId="0" borderId="30" xfId="0" applyNumberFormat="1" applyFont="1" applyBorder="1" applyAlignment="1">
      <alignment horizontal="right"/>
    </xf>
    <xf numFmtId="187" fontId="10" fillId="0" borderId="0" xfId="0" applyNumberFormat="1" applyFont="1" applyAlignment="1">
      <alignment horizontal="center" vertical="top" wrapText="1"/>
    </xf>
    <xf numFmtId="169" fontId="24" fillId="0" borderId="28" xfId="2" applyNumberFormat="1" applyFont="1" applyFill="1" applyBorder="1" applyAlignment="1">
      <alignment horizontal="right"/>
    </xf>
    <xf numFmtId="169" fontId="24" fillId="0" borderId="79" xfId="0" applyNumberFormat="1" applyFont="1" applyBorder="1" applyAlignment="1">
      <alignment horizontal="right"/>
    </xf>
    <xf numFmtId="169" fontId="24" fillId="0" borderId="57" xfId="0" applyNumberFormat="1" applyFont="1" applyBorder="1" applyAlignment="1">
      <alignment horizontal="right"/>
    </xf>
    <xf numFmtId="0" fontId="10" fillId="0" borderId="93" xfId="0" applyFont="1" applyBorder="1"/>
    <xf numFmtId="0" fontId="10" fillId="0" borderId="73" xfId="0" applyFont="1" applyBorder="1"/>
    <xf numFmtId="4" fontId="10" fillId="0" borderId="29" xfId="0" applyNumberFormat="1" applyFont="1" applyBorder="1"/>
    <xf numFmtId="0" fontId="40" fillId="0" borderId="29" xfId="0" applyFont="1" applyBorder="1"/>
    <xf numFmtId="44" fontId="0" fillId="0" borderId="29" xfId="1" applyFont="1" applyBorder="1"/>
    <xf numFmtId="0" fontId="4" fillId="0" borderId="27" xfId="0" applyFont="1" applyBorder="1" applyAlignment="1">
      <alignment horizontal="left"/>
    </xf>
    <xf numFmtId="0" fontId="52" fillId="0" borderId="30" xfId="0" applyFont="1" applyBorder="1" applyAlignment="1">
      <alignment horizontal="left"/>
    </xf>
    <xf numFmtId="17" fontId="14" fillId="34" borderId="29" xfId="0" applyNumberFormat="1" applyFont="1" applyFill="1" applyBorder="1" applyAlignment="1">
      <alignment horizontal="center"/>
    </xf>
    <xf numFmtId="167" fontId="14" fillId="34" borderId="0" xfId="0" applyNumberFormat="1" applyFont="1" applyFill="1" applyAlignment="1">
      <alignment horizontal="center"/>
    </xf>
    <xf numFmtId="44" fontId="14" fillId="34" borderId="0" xfId="0" applyNumberFormat="1" applyFont="1" applyFill="1"/>
    <xf numFmtId="4" fontId="14" fillId="34" borderId="38" xfId="0" applyNumberFormat="1" applyFont="1" applyFill="1" applyBorder="1" applyAlignment="1">
      <alignment horizontal="center"/>
    </xf>
    <xf numFmtId="173" fontId="14" fillId="34" borderId="44" xfId="0" applyNumberFormat="1" applyFont="1" applyFill="1" applyBorder="1" applyAlignment="1">
      <alignment horizontal="center"/>
    </xf>
    <xf numFmtId="173" fontId="4" fillId="34" borderId="0" xfId="0" applyNumberFormat="1" applyFont="1" applyFill="1"/>
    <xf numFmtId="10" fontId="14" fillId="34" borderId="38" xfId="0" applyNumberFormat="1" applyFont="1" applyFill="1" applyBorder="1" applyAlignment="1">
      <alignment horizontal="center"/>
    </xf>
    <xf numFmtId="10" fontId="14" fillId="34" borderId="0" xfId="0" applyNumberFormat="1" applyFont="1" applyFill="1" applyAlignment="1">
      <alignment horizontal="center"/>
    </xf>
    <xf numFmtId="10" fontId="14" fillId="34" borderId="0" xfId="2" applyNumberFormat="1" applyFont="1" applyFill="1" applyAlignment="1">
      <alignment horizontal="center"/>
    </xf>
    <xf numFmtId="2" fontId="14" fillId="44" borderId="29" xfId="0" applyNumberFormat="1" applyFont="1" applyFill="1" applyBorder="1" applyAlignment="1">
      <alignment horizontal="center"/>
    </xf>
    <xf numFmtId="0" fontId="4" fillId="34" borderId="0" xfId="0" applyFont="1" applyFill="1"/>
    <xf numFmtId="0" fontId="14" fillId="34" borderId="0" xfId="0" applyFont="1" applyFill="1"/>
    <xf numFmtId="0" fontId="0" fillId="34" borderId="0" xfId="0" applyFill="1"/>
    <xf numFmtId="184" fontId="4" fillId="0" borderId="45" xfId="2" applyNumberFormat="1" applyFont="1" applyBorder="1" applyAlignment="1">
      <alignment vertical="center"/>
    </xf>
    <xf numFmtId="44" fontId="4" fillId="0" borderId="29" xfId="1" applyFont="1" applyBorder="1" applyAlignment="1">
      <alignment horizontal="right"/>
    </xf>
    <xf numFmtId="2" fontId="4" fillId="0" borderId="0" xfId="0" applyNumberFormat="1" applyFont="1" applyAlignment="1">
      <alignment horizontal="right"/>
    </xf>
    <xf numFmtId="169" fontId="10" fillId="0" borderId="28" xfId="0" applyNumberFormat="1" applyFont="1" applyBorder="1"/>
    <xf numFmtId="169" fontId="11" fillId="0" borderId="75" xfId="0" applyNumberFormat="1" applyFont="1" applyBorder="1"/>
    <xf numFmtId="169" fontId="11" fillId="0" borderId="56" xfId="0" applyNumberFormat="1" applyFont="1" applyBorder="1" applyAlignment="1">
      <alignment horizontal="right"/>
    </xf>
    <xf numFmtId="43" fontId="21" fillId="0" borderId="29" xfId="0" applyNumberFormat="1" applyFont="1" applyBorder="1" applyAlignment="1">
      <alignment horizontal="right"/>
    </xf>
    <xf numFmtId="175" fontId="38" fillId="0" borderId="60" xfId="0" applyNumberFormat="1" applyFont="1" applyBorder="1"/>
    <xf numFmtId="175" fontId="42" fillId="0" borderId="29" xfId="0" applyNumberFormat="1" applyFont="1" applyBorder="1"/>
    <xf numFmtId="175" fontId="38" fillId="0" borderId="29" xfId="0" applyNumberFormat="1" applyFont="1" applyBorder="1"/>
    <xf numFmtId="0" fontId="9" fillId="2" borderId="75" xfId="7" applyFont="1" applyFill="1" applyBorder="1" applyAlignment="1">
      <alignment horizontal="center" vertical="center"/>
    </xf>
    <xf numFmtId="0" fontId="6" fillId="0" borderId="0" xfId="0" applyFont="1"/>
    <xf numFmtId="0" fontId="4" fillId="2" borderId="56" xfId="0" applyFont="1" applyFill="1" applyBorder="1" applyAlignment="1">
      <alignment horizontal="center"/>
    </xf>
    <xf numFmtId="165" fontId="0" fillId="0" borderId="0" xfId="0" applyNumberFormat="1"/>
    <xf numFmtId="165" fontId="6" fillId="0" borderId="0" xfId="0" applyNumberFormat="1" applyFont="1"/>
    <xf numFmtId="2" fontId="46" fillId="0" borderId="0" xfId="0" applyNumberFormat="1" applyFont="1" applyAlignment="1">
      <alignment horizontal="center"/>
    </xf>
    <xf numFmtId="1" fontId="46" fillId="0" borderId="29" xfId="0" applyNumberFormat="1" applyFont="1" applyBorder="1" applyAlignment="1">
      <alignment horizontal="center"/>
    </xf>
    <xf numFmtId="1" fontId="46" fillId="0" borderId="0" xfId="0" applyNumberFormat="1" applyFont="1" applyAlignment="1">
      <alignment horizontal="center"/>
    </xf>
    <xf numFmtId="1" fontId="0" fillId="0" borderId="29" xfId="0" applyNumberFormat="1" applyBorder="1" applyAlignment="1">
      <alignment horizontal="center"/>
    </xf>
    <xf numFmtId="1" fontId="46" fillId="0" borderId="29" xfId="1" applyNumberFormat="1" applyFont="1" applyFill="1" applyBorder="1" applyAlignment="1">
      <alignment horizontal="center"/>
    </xf>
    <xf numFmtId="169" fontId="46" fillId="0" borderId="0" xfId="0" applyNumberFormat="1" applyFont="1" applyAlignment="1">
      <alignment horizontal="center"/>
    </xf>
    <xf numFmtId="169" fontId="0" fillId="0" borderId="0" xfId="0" applyNumberFormat="1" applyAlignment="1">
      <alignment horizontal="center"/>
    </xf>
    <xf numFmtId="44" fontId="46" fillId="0" borderId="0" xfId="1" applyFont="1" applyAlignment="1">
      <alignment horizontal="center"/>
    </xf>
    <xf numFmtId="44" fontId="0" fillId="0" borderId="29" xfId="1" applyFont="1" applyBorder="1" applyAlignment="1">
      <alignment horizontal="center"/>
    </xf>
    <xf numFmtId="167" fontId="46" fillId="0" borderId="93" xfId="0" applyNumberFormat="1" applyFont="1" applyBorder="1"/>
    <xf numFmtId="169" fontId="46" fillId="26" borderId="93" xfId="0" applyNumberFormat="1" applyFont="1" applyFill="1" applyBorder="1"/>
    <xf numFmtId="179" fontId="13" fillId="2" borderId="76" xfId="0" applyNumberFormat="1" applyFont="1" applyFill="1" applyBorder="1" applyAlignment="1">
      <alignment horizontal="left"/>
    </xf>
    <xf numFmtId="1" fontId="4" fillId="2" borderId="57" xfId="0" applyNumberFormat="1" applyFont="1" applyFill="1" applyBorder="1" applyAlignment="1">
      <alignment horizontal="center"/>
    </xf>
    <xf numFmtId="1" fontId="4" fillId="2" borderId="29" xfId="0" applyNumberFormat="1" applyFont="1" applyFill="1" applyBorder="1" applyAlignment="1">
      <alignment horizontal="center"/>
    </xf>
    <xf numFmtId="167" fontId="4" fillId="2" borderId="76" xfId="1" applyNumberFormat="1" applyFont="1" applyFill="1" applyBorder="1" applyAlignment="1">
      <alignment horizontal="center"/>
    </xf>
    <xf numFmtId="44" fontId="4" fillId="2" borderId="76" xfId="0" applyNumberFormat="1" applyFont="1" applyFill="1" applyBorder="1" applyAlignment="1">
      <alignment horizontal="left"/>
    </xf>
    <xf numFmtId="0" fontId="0" fillId="0" borderId="0" xfId="0" applyAlignment="1">
      <alignment horizontal="center"/>
    </xf>
    <xf numFmtId="10" fontId="10" fillId="0" borderId="57" xfId="0" applyNumberFormat="1" applyFont="1" applyBorder="1" applyAlignment="1">
      <alignment horizontal="center"/>
    </xf>
    <xf numFmtId="0" fontId="11" fillId="2" borderId="90" xfId="7" applyFont="1" applyFill="1" applyBorder="1" applyAlignment="1">
      <alignment horizontal="center" vertical="center"/>
    </xf>
    <xf numFmtId="169" fontId="10" fillId="2" borderId="72" xfId="7" applyNumberFormat="1" applyFont="1" applyFill="1" applyBorder="1" applyAlignment="1">
      <alignment horizontal="center" vertical="center"/>
    </xf>
    <xf numFmtId="169" fontId="10" fillId="2" borderId="102" xfId="7" applyNumberFormat="1" applyFont="1" applyFill="1" applyBorder="1" applyAlignment="1">
      <alignment horizontal="center" vertical="center"/>
    </xf>
    <xf numFmtId="2" fontId="4" fillId="0" borderId="29" xfId="7" applyNumberFormat="1" applyFont="1" applyAlignment="1">
      <alignment horizontal="right" vertical="center"/>
    </xf>
    <xf numFmtId="0" fontId="14" fillId="0" borderId="24" xfId="7" applyFont="1" applyBorder="1" applyAlignment="1">
      <alignment horizontal="center" vertical="center"/>
    </xf>
    <xf numFmtId="0" fontId="10" fillId="26" borderId="29" xfId="7" applyFont="1" applyFill="1" applyAlignment="1">
      <alignment horizontal="left" vertical="center"/>
    </xf>
    <xf numFmtId="0" fontId="10" fillId="31" borderId="29" xfId="7" applyFont="1" applyFill="1" applyAlignment="1">
      <alignment horizontal="left" vertical="center"/>
    </xf>
    <xf numFmtId="0" fontId="10" fillId="30" borderId="29" xfId="7" applyFont="1" applyFill="1" applyAlignment="1">
      <alignment horizontal="left" vertical="center"/>
    </xf>
    <xf numFmtId="0" fontId="10" fillId="32" borderId="29" xfId="7" applyFont="1" applyFill="1" applyAlignment="1">
      <alignment horizontal="left" vertical="center"/>
    </xf>
    <xf numFmtId="0" fontId="10" fillId="33" borderId="29" xfId="7" applyFont="1" applyFill="1" applyAlignment="1">
      <alignment horizontal="left" vertical="center"/>
    </xf>
    <xf numFmtId="0" fontId="10" fillId="34" borderId="29" xfId="7" applyFont="1" applyFill="1" applyAlignment="1">
      <alignment horizontal="left" vertical="center"/>
    </xf>
    <xf numFmtId="0" fontId="10" fillId="35" borderId="29" xfId="7" applyFont="1" applyFill="1" applyAlignment="1">
      <alignment horizontal="left" vertical="center"/>
    </xf>
    <xf numFmtId="0" fontId="10" fillId="36" borderId="29" xfId="7" applyFont="1" applyFill="1" applyAlignment="1">
      <alignment horizontal="left" vertical="center"/>
    </xf>
    <xf numFmtId="0" fontId="10" fillId="37" borderId="29" xfId="7" applyFont="1" applyFill="1" applyAlignment="1">
      <alignment horizontal="left" vertical="center"/>
    </xf>
    <xf numFmtId="0" fontId="10" fillId="38" borderId="29" xfId="7" applyFont="1" applyFill="1" applyAlignment="1">
      <alignment horizontal="left" vertical="center"/>
    </xf>
    <xf numFmtId="0" fontId="10" fillId="39" borderId="29" xfId="7" applyFont="1" applyFill="1" applyAlignment="1">
      <alignment horizontal="left" vertical="center"/>
    </xf>
    <xf numFmtId="10" fontId="0" fillId="0" borderId="57" xfId="2" applyNumberFormat="1" applyFont="1" applyBorder="1" applyAlignment="1">
      <alignment horizontal="center"/>
    </xf>
    <xf numFmtId="10" fontId="11" fillId="0" borderId="57" xfId="0" applyNumberFormat="1" applyFont="1" applyBorder="1" applyAlignment="1">
      <alignment horizontal="center"/>
    </xf>
    <xf numFmtId="44" fontId="24" fillId="0" borderId="29" xfId="0" applyNumberFormat="1" applyFont="1" applyBorder="1" applyAlignment="1">
      <alignment horizontal="center"/>
    </xf>
    <xf numFmtId="0" fontId="14" fillId="0" borderId="56" xfId="0" applyFont="1" applyBorder="1" applyAlignment="1">
      <alignment horizontal="center"/>
    </xf>
    <xf numFmtId="186" fontId="24" fillId="0" borderId="57" xfId="6" applyNumberFormat="1" applyFont="1" applyFill="1" applyBorder="1" applyAlignment="1">
      <alignment horizontal="right"/>
    </xf>
    <xf numFmtId="169" fontId="10" fillId="0" borderId="29" xfId="2" applyNumberFormat="1" applyFont="1" applyBorder="1"/>
    <xf numFmtId="169" fontId="26" fillId="0" borderId="28" xfId="2" applyNumberFormat="1" applyFont="1" applyBorder="1" applyAlignment="1">
      <alignment horizontal="right"/>
    </xf>
    <xf numFmtId="169" fontId="38" fillId="0" borderId="28" xfId="2" applyNumberFormat="1" applyFont="1" applyBorder="1" applyAlignment="1">
      <alignment horizontal="right"/>
    </xf>
    <xf numFmtId="0" fontId="4" fillId="0" borderId="103" xfId="0" applyFont="1" applyBorder="1"/>
    <xf numFmtId="165" fontId="6" fillId="0" borderId="29" xfId="0" applyNumberFormat="1" applyFont="1" applyBorder="1"/>
    <xf numFmtId="169" fontId="38" fillId="0" borderId="57" xfId="2" applyNumberFormat="1" applyFont="1" applyBorder="1" applyAlignment="1">
      <alignment horizontal="right"/>
    </xf>
    <xf numFmtId="0" fontId="10" fillId="0" borderId="56" xfId="0" applyFont="1" applyBorder="1"/>
    <xf numFmtId="44" fontId="24" fillId="0" borderId="76" xfId="0" applyNumberFormat="1" applyFont="1" applyBorder="1" applyAlignment="1">
      <alignment horizontal="right"/>
    </xf>
    <xf numFmtId="186" fontId="24" fillId="0" borderId="76" xfId="6" applyNumberFormat="1" applyFont="1" applyFill="1" applyBorder="1" applyAlignment="1">
      <alignment horizontal="right"/>
    </xf>
    <xf numFmtId="186" fontId="24" fillId="0" borderId="76" xfId="2" applyNumberFormat="1" applyFont="1" applyFill="1" applyBorder="1" applyAlignment="1">
      <alignment horizontal="right"/>
    </xf>
    <xf numFmtId="44" fontId="13" fillId="0" borderId="0" xfId="1" applyFont="1"/>
    <xf numFmtId="10" fontId="11" fillId="0" borderId="93" xfId="7" applyNumberFormat="1" applyFont="1" applyBorder="1" applyAlignment="1">
      <alignment horizontal="center" vertical="center"/>
    </xf>
    <xf numFmtId="10" fontId="11" fillId="0" borderId="73" xfId="7" applyNumberFormat="1" applyFont="1" applyBorder="1" applyAlignment="1">
      <alignment horizontal="center" vertical="center"/>
    </xf>
    <xf numFmtId="44" fontId="46" fillId="0" borderId="93" xfId="1" applyFont="1" applyFill="1" applyBorder="1"/>
    <xf numFmtId="44" fontId="46" fillId="0" borderId="93" xfId="0" applyNumberFormat="1" applyFont="1" applyBorder="1"/>
    <xf numFmtId="0" fontId="3" fillId="0" borderId="29" xfId="0" applyFont="1" applyBorder="1"/>
    <xf numFmtId="0" fontId="45" fillId="0" borderId="81" xfId="0" applyFont="1" applyBorder="1"/>
    <xf numFmtId="0" fontId="46" fillId="0" borderId="81" xfId="0" applyFont="1" applyBorder="1" applyAlignment="1">
      <alignment horizontal="center"/>
    </xf>
    <xf numFmtId="0" fontId="10" fillId="0" borderId="81" xfId="0" applyFont="1" applyBorder="1" applyAlignment="1">
      <alignment horizontal="center"/>
    </xf>
    <xf numFmtId="0" fontId="24" fillId="0" borderId="81" xfId="0" applyFont="1" applyBorder="1" applyAlignment="1">
      <alignment horizontal="center"/>
    </xf>
    <xf numFmtId="169" fontId="24" fillId="43" borderId="81" xfId="0" applyNumberFormat="1" applyFont="1" applyFill="1" applyBorder="1" applyAlignment="1">
      <alignment horizontal="center"/>
    </xf>
    <xf numFmtId="0" fontId="10" fillId="43" borderId="81" xfId="0" applyFont="1" applyFill="1" applyBorder="1" applyAlignment="1">
      <alignment horizontal="center"/>
    </xf>
    <xf numFmtId="169" fontId="24" fillId="0" borderId="81" xfId="0" applyNumberFormat="1" applyFont="1" applyBorder="1" applyAlignment="1">
      <alignment horizontal="center"/>
    </xf>
    <xf numFmtId="0" fontId="61" fillId="45" borderId="81" xfId="0" applyFont="1" applyFill="1" applyBorder="1"/>
    <xf numFmtId="0" fontId="46" fillId="0" borderId="51" xfId="0" applyFont="1" applyBorder="1" applyAlignment="1">
      <alignment horizontal="center"/>
    </xf>
    <xf numFmtId="0" fontId="46" fillId="0" borderId="73" xfId="0" applyFont="1" applyBorder="1"/>
    <xf numFmtId="0" fontId="46" fillId="0" borderId="57" xfId="0" applyFont="1" applyBorder="1"/>
    <xf numFmtId="169" fontId="4" fillId="0" borderId="57" xfId="0" applyNumberFormat="1" applyFont="1" applyBorder="1"/>
    <xf numFmtId="169" fontId="4" fillId="26" borderId="57" xfId="0" applyNumberFormat="1" applyFont="1" applyFill="1" applyBorder="1"/>
    <xf numFmtId="169" fontId="46" fillId="0" borderId="57" xfId="0" applyNumberFormat="1" applyFont="1" applyBorder="1"/>
    <xf numFmtId="0" fontId="46" fillId="0" borderId="104" xfId="0" applyFont="1" applyBorder="1"/>
    <xf numFmtId="0" fontId="46" fillId="0" borderId="56" xfId="0" applyFont="1" applyBorder="1"/>
    <xf numFmtId="169" fontId="4" fillId="0" borderId="29" xfId="0" applyNumberFormat="1" applyFont="1" applyBorder="1"/>
    <xf numFmtId="0" fontId="46" fillId="0" borderId="75" xfId="0" applyFont="1" applyBorder="1"/>
    <xf numFmtId="0" fontId="46" fillId="0" borderId="60" xfId="0" applyFont="1" applyBorder="1"/>
    <xf numFmtId="44" fontId="46" fillId="0" borderId="53" xfId="0" applyNumberFormat="1" applyFont="1" applyBorder="1"/>
    <xf numFmtId="169" fontId="46" fillId="26" borderId="53" xfId="0" applyNumberFormat="1" applyFont="1" applyFill="1" applyBorder="1"/>
    <xf numFmtId="169" fontId="4" fillId="26" borderId="74" xfId="0" applyNumberFormat="1" applyFont="1" applyFill="1" applyBorder="1"/>
    <xf numFmtId="2" fontId="46" fillId="0" borderId="104" xfId="0" applyNumberFormat="1" applyFont="1" applyBorder="1" applyAlignment="1">
      <alignment horizontal="center"/>
    </xf>
    <xf numFmtId="1" fontId="46" fillId="0" borderId="56" xfId="2" applyNumberFormat="1" applyFont="1" applyBorder="1" applyAlignment="1">
      <alignment horizontal="center"/>
    </xf>
    <xf numFmtId="1" fontId="46" fillId="0" borderId="56" xfId="0" applyNumberFormat="1" applyFont="1" applyBorder="1" applyAlignment="1">
      <alignment horizontal="center"/>
    </xf>
    <xf numFmtId="1" fontId="46" fillId="0" borderId="56" xfId="2" applyNumberFormat="1" applyFont="1" applyFill="1" applyBorder="1" applyAlignment="1">
      <alignment horizontal="center"/>
    </xf>
    <xf numFmtId="169" fontId="0" fillId="0" borderId="56" xfId="0" applyNumberFormat="1" applyBorder="1" applyAlignment="1">
      <alignment horizontal="center"/>
    </xf>
    <xf numFmtId="1" fontId="0" fillId="0" borderId="56" xfId="0" applyNumberFormat="1" applyBorder="1" applyAlignment="1">
      <alignment horizontal="center"/>
    </xf>
    <xf numFmtId="169" fontId="46" fillId="0" borderId="73" xfId="0" applyNumberFormat="1" applyFont="1" applyBorder="1"/>
    <xf numFmtId="169" fontId="46" fillId="0" borderId="57" xfId="2" applyNumberFormat="1" applyFont="1" applyFill="1" applyBorder="1" applyAlignment="1"/>
    <xf numFmtId="169" fontId="46" fillId="26" borderId="57" xfId="0" applyNumberFormat="1" applyFont="1" applyFill="1" applyBorder="1"/>
    <xf numFmtId="169" fontId="46" fillId="0" borderId="76" xfId="2" applyNumberFormat="1" applyFont="1" applyBorder="1"/>
    <xf numFmtId="169" fontId="46" fillId="26" borderId="76" xfId="2" applyNumberFormat="1" applyFont="1" applyFill="1" applyBorder="1" applyAlignment="1"/>
    <xf numFmtId="169" fontId="45" fillId="0" borderId="76" xfId="2" applyNumberFormat="1" applyFont="1" applyBorder="1" applyAlignment="1"/>
    <xf numFmtId="169" fontId="45" fillId="0" borderId="76" xfId="2" applyNumberFormat="1" applyFont="1" applyBorder="1"/>
    <xf numFmtId="169" fontId="46" fillId="0" borderId="76" xfId="2" applyNumberFormat="1" applyFont="1" applyFill="1" applyBorder="1" applyAlignment="1"/>
    <xf numFmtId="1" fontId="0" fillId="0" borderId="75" xfId="0" applyNumberFormat="1" applyBorder="1" applyAlignment="1">
      <alignment horizontal="center"/>
    </xf>
    <xf numFmtId="1" fontId="0" fillId="0" borderId="60" xfId="0" applyNumberFormat="1" applyBorder="1" applyAlignment="1">
      <alignment horizontal="center"/>
    </xf>
    <xf numFmtId="167" fontId="46" fillId="0" borderId="53" xfId="0" applyNumberFormat="1" applyFont="1" applyBorder="1"/>
    <xf numFmtId="169" fontId="46" fillId="26" borderId="74" xfId="0" applyNumberFormat="1" applyFont="1" applyFill="1" applyBorder="1"/>
    <xf numFmtId="169" fontId="46" fillId="26" borderId="78" xfId="2" applyNumberFormat="1" applyFont="1" applyFill="1" applyBorder="1" applyAlignment="1"/>
    <xf numFmtId="0" fontId="10" fillId="0" borderId="78" xfId="0" applyFont="1" applyBorder="1" applyAlignment="1">
      <alignment horizontal="center"/>
    </xf>
    <xf numFmtId="185" fontId="0" fillId="0" borderId="29" xfId="0" applyNumberFormat="1" applyBorder="1" applyAlignment="1">
      <alignment horizontal="center"/>
    </xf>
    <xf numFmtId="169" fontId="11" fillId="0" borderId="105" xfId="0" applyNumberFormat="1" applyFont="1" applyBorder="1"/>
    <xf numFmtId="0" fontId="10" fillId="0" borderId="106" xfId="0" applyFont="1" applyBorder="1"/>
    <xf numFmtId="10" fontId="10" fillId="0" borderId="45" xfId="2" applyNumberFormat="1" applyFont="1" applyFill="1" applyBorder="1" applyAlignment="1">
      <alignment horizontal="center"/>
    </xf>
    <xf numFmtId="10" fontId="10" fillId="0" borderId="45" xfId="2" applyNumberFormat="1" applyFont="1" applyBorder="1" applyAlignment="1">
      <alignment horizontal="center"/>
    </xf>
    <xf numFmtId="0" fontId="47" fillId="26" borderId="73" xfId="0" applyFont="1" applyFill="1" applyBorder="1"/>
    <xf numFmtId="0" fontId="73" fillId="0" borderId="72" xfId="0" applyFont="1" applyBorder="1"/>
    <xf numFmtId="0" fontId="73" fillId="0" borderId="57" xfId="0" applyFont="1" applyBorder="1"/>
    <xf numFmtId="0" fontId="47" fillId="0" borderId="57" xfId="0" applyFont="1" applyBorder="1"/>
    <xf numFmtId="0" fontId="45" fillId="26" borderId="57" xfId="0" applyFont="1" applyFill="1" applyBorder="1"/>
    <xf numFmtId="0" fontId="78" fillId="0" borderId="57" xfId="0" applyFont="1" applyBorder="1" applyAlignment="1">
      <alignment horizontal="left"/>
    </xf>
    <xf numFmtId="188" fontId="10" fillId="0" borderId="29" xfId="0" applyNumberFormat="1" applyFont="1" applyBorder="1" applyAlignment="1">
      <alignment horizontal="center"/>
    </xf>
    <xf numFmtId="10" fontId="14" fillId="0" borderId="76" xfId="2" applyNumberFormat="1" applyFont="1" applyBorder="1" applyAlignment="1">
      <alignment horizontal="center"/>
    </xf>
    <xf numFmtId="0" fontId="73" fillId="0" borderId="78" xfId="0" applyFont="1" applyBorder="1" applyAlignment="1">
      <alignment horizontal="center"/>
    </xf>
    <xf numFmtId="10" fontId="4" fillId="0" borderId="78" xfId="0" applyNumberFormat="1" applyFont="1" applyBorder="1" applyAlignment="1">
      <alignment horizontal="center"/>
    </xf>
    <xf numFmtId="0" fontId="0" fillId="0" borderId="78" xfId="0" applyBorder="1"/>
    <xf numFmtId="10" fontId="14" fillId="42" borderId="76" xfId="0" applyNumberFormat="1" applyFont="1" applyFill="1" applyBorder="1" applyAlignment="1">
      <alignment horizontal="center"/>
    </xf>
    <xf numFmtId="10" fontId="25" fillId="0" borderId="78" xfId="2" applyNumberFormat="1" applyFont="1" applyBorder="1" applyAlignment="1">
      <alignment horizontal="center"/>
    </xf>
    <xf numFmtId="175" fontId="38" fillId="20" borderId="60" xfId="7" applyNumberFormat="1" applyFont="1" applyFill="1" applyBorder="1" applyAlignment="1">
      <alignment horizontal="right"/>
    </xf>
    <xf numFmtId="175" fontId="10" fillId="0" borderId="29" xfId="7" applyNumberFormat="1" applyFont="1" applyAlignment="1">
      <alignment horizontal="center"/>
    </xf>
    <xf numFmtId="175" fontId="10" fillId="0" borderId="29" xfId="7" applyNumberFormat="1" applyFont="1" applyAlignment="1">
      <alignment horizontal="right"/>
    </xf>
    <xf numFmtId="175" fontId="38" fillId="20" borderId="29" xfId="7" applyNumberFormat="1" applyFont="1" applyFill="1"/>
    <xf numFmtId="0" fontId="0" fillId="0" borderId="29" xfId="7" applyFont="1"/>
    <xf numFmtId="175" fontId="10" fillId="2" borderId="29" xfId="7" applyNumberFormat="1" applyFont="1" applyFill="1"/>
    <xf numFmtId="175" fontId="26" fillId="0" borderId="29" xfId="7" applyNumberFormat="1" applyFont="1"/>
    <xf numFmtId="189" fontId="24" fillId="0" borderId="28" xfId="0" applyNumberFormat="1" applyFont="1" applyBorder="1" applyAlignment="1">
      <alignment horizontal="right"/>
    </xf>
    <xf numFmtId="39" fontId="10" fillId="0" borderId="29" xfId="0" applyNumberFormat="1" applyFont="1" applyBorder="1"/>
    <xf numFmtId="164" fontId="4" fillId="0" borderId="29" xfId="7" applyNumberFormat="1" applyFont="1" applyAlignment="1">
      <alignment horizontal="center" vertical="center"/>
    </xf>
    <xf numFmtId="0" fontId="11" fillId="2" borderId="109" xfId="7" applyFont="1" applyFill="1" applyBorder="1" applyAlignment="1">
      <alignment horizontal="center" vertical="center"/>
    </xf>
    <xf numFmtId="0" fontId="11" fillId="2" borderId="110" xfId="7" applyFont="1" applyFill="1" applyBorder="1" applyAlignment="1">
      <alignment horizontal="center" vertical="center"/>
    </xf>
    <xf numFmtId="169" fontId="11" fillId="2" borderId="79" xfId="7" applyNumberFormat="1" applyFont="1" applyFill="1" applyBorder="1" applyAlignment="1">
      <alignment horizontal="center" vertical="center"/>
    </xf>
    <xf numFmtId="0" fontId="4" fillId="0" borderId="76" xfId="7" applyFont="1" applyBorder="1" applyAlignment="1">
      <alignment horizontal="center" vertical="center"/>
    </xf>
    <xf numFmtId="169" fontId="11" fillId="2" borderId="78" xfId="7" applyNumberFormat="1" applyFont="1" applyFill="1" applyBorder="1" applyAlignment="1">
      <alignment horizontal="center" vertical="center"/>
    </xf>
    <xf numFmtId="175" fontId="10" fillId="0" borderId="102" xfId="0" applyNumberFormat="1" applyFont="1" applyBorder="1"/>
    <xf numFmtId="0" fontId="13" fillId="2" borderId="0" xfId="0" applyFont="1" applyFill="1" applyAlignment="1">
      <alignment horizontal="center"/>
    </xf>
    <xf numFmtId="0" fontId="13" fillId="2" borderId="0" xfId="0" applyFont="1" applyFill="1" applyAlignment="1">
      <alignment horizontal="center" vertical="top"/>
    </xf>
    <xf numFmtId="0" fontId="4" fillId="2" borderId="0" xfId="0" applyFont="1" applyFill="1"/>
    <xf numFmtId="1" fontId="4" fillId="2" borderId="0" xfId="0" applyNumberFormat="1" applyFont="1" applyFill="1" applyAlignment="1">
      <alignment horizontal="center"/>
    </xf>
    <xf numFmtId="14" fontId="10" fillId="0" borderId="29" xfId="0" applyNumberFormat="1" applyFont="1" applyBorder="1" applyAlignment="1">
      <alignment horizontal="center"/>
    </xf>
    <xf numFmtId="14" fontId="10" fillId="0" borderId="0" xfId="0" applyNumberFormat="1" applyFont="1" applyAlignment="1">
      <alignment horizontal="center"/>
    </xf>
    <xf numFmtId="0" fontId="10" fillId="0" borderId="29" xfId="0" applyFont="1" applyBorder="1" applyAlignment="1">
      <alignment wrapText="1"/>
    </xf>
    <xf numFmtId="8" fontId="10" fillId="0" borderId="29" xfId="0" applyNumberFormat="1" applyFont="1" applyBorder="1"/>
    <xf numFmtId="8" fontId="0" fillId="0" borderId="29" xfId="0" applyNumberFormat="1" applyBorder="1"/>
    <xf numFmtId="10" fontId="0" fillId="0" borderId="57" xfId="0" applyNumberFormat="1" applyBorder="1"/>
    <xf numFmtId="10" fontId="42" fillId="0" borderId="29" xfId="0" applyNumberFormat="1" applyFont="1" applyBorder="1"/>
    <xf numFmtId="10" fontId="26" fillId="0" borderId="28" xfId="0" applyNumberFormat="1" applyFont="1" applyBorder="1"/>
    <xf numFmtId="10" fontId="26" fillId="0" borderId="29" xfId="0" applyNumberFormat="1" applyFont="1" applyBorder="1"/>
    <xf numFmtId="167" fontId="4" fillId="2" borderId="76" xfId="5" applyNumberFormat="1" applyFont="1" applyFill="1" applyBorder="1" applyAlignment="1">
      <alignment horizontal="center"/>
    </xf>
    <xf numFmtId="0" fontId="2" fillId="0" borderId="29" xfId="0" applyFont="1" applyBorder="1"/>
    <xf numFmtId="44" fontId="0" fillId="0" borderId="29" xfId="5" applyFont="1" applyBorder="1"/>
    <xf numFmtId="44" fontId="46" fillId="0" borderId="29" xfId="5" applyFont="1"/>
    <xf numFmtId="169" fontId="46" fillId="0" borderId="29" xfId="6" applyNumberFormat="1" applyFont="1"/>
    <xf numFmtId="1" fontId="46" fillId="0" borderId="56" xfId="6" applyNumberFormat="1" applyFont="1" applyBorder="1" applyAlignment="1">
      <alignment horizontal="center"/>
    </xf>
    <xf numFmtId="44" fontId="46" fillId="0" borderId="29" xfId="5" applyFont="1" applyAlignment="1">
      <alignment horizontal="center"/>
    </xf>
    <xf numFmtId="169" fontId="45" fillId="0" borderId="76" xfId="6" applyNumberFormat="1" applyFont="1" applyBorder="1"/>
    <xf numFmtId="10" fontId="26" fillId="0" borderId="57" xfId="0" applyNumberFormat="1" applyFont="1" applyBorder="1"/>
    <xf numFmtId="0" fontId="13" fillId="0" borderId="104" xfId="0" applyFont="1" applyBorder="1"/>
    <xf numFmtId="0" fontId="13" fillId="0" borderId="93" xfId="0" applyFont="1" applyBorder="1"/>
    <xf numFmtId="0" fontId="11" fillId="0" borderId="89" xfId="0" applyFont="1" applyBorder="1" applyAlignment="1">
      <alignment horizontal="right"/>
    </xf>
    <xf numFmtId="0" fontId="11" fillId="0" borderId="93" xfId="0" applyFont="1" applyBorder="1" applyAlignment="1">
      <alignment horizontal="right"/>
    </xf>
    <xf numFmtId="44" fontId="11" fillId="0" borderId="93" xfId="0" applyNumberFormat="1" applyFont="1" applyBorder="1" applyAlignment="1">
      <alignment horizontal="right"/>
    </xf>
    <xf numFmtId="10" fontId="11" fillId="0" borderId="93" xfId="0" applyNumberFormat="1" applyFont="1" applyBorder="1" applyAlignment="1">
      <alignment horizontal="center"/>
    </xf>
    <xf numFmtId="169" fontId="13" fillId="0" borderId="93" xfId="0" applyNumberFormat="1" applyFont="1" applyBorder="1" applyAlignment="1">
      <alignment horizontal="center"/>
    </xf>
    <xf numFmtId="0" fontId="13" fillId="0" borderId="93" xfId="0" applyFont="1" applyBorder="1" applyAlignment="1">
      <alignment horizontal="right"/>
    </xf>
    <xf numFmtId="44" fontId="12" fillId="0" borderId="93" xfId="0" applyNumberFormat="1" applyFont="1" applyBorder="1" applyAlignment="1">
      <alignment horizontal="right"/>
    </xf>
    <xf numFmtId="169" fontId="11" fillId="0" borderId="104" xfId="0" applyNumberFormat="1" applyFont="1" applyBorder="1" applyAlignment="1">
      <alignment horizontal="right"/>
    </xf>
    <xf numFmtId="10" fontId="26" fillId="0" borderId="74" xfId="0" applyNumberFormat="1" applyFont="1" applyBorder="1"/>
    <xf numFmtId="44" fontId="24" fillId="0" borderId="78" xfId="0" applyNumberFormat="1" applyFont="1" applyBorder="1" applyAlignment="1">
      <alignment horizontal="right"/>
    </xf>
    <xf numFmtId="1" fontId="10" fillId="0" borderId="74" xfId="0" applyNumberFormat="1" applyFont="1" applyBorder="1" applyAlignment="1">
      <alignment horizontal="center"/>
    </xf>
    <xf numFmtId="10" fontId="46" fillId="26" borderId="76" xfId="2" applyNumberFormat="1" applyFont="1" applyFill="1" applyBorder="1" applyAlignment="1"/>
    <xf numFmtId="0" fontId="13" fillId="2" borderId="54" xfId="0" applyFont="1" applyFill="1" applyBorder="1" applyAlignment="1">
      <alignment horizontal="left"/>
    </xf>
    <xf numFmtId="10" fontId="0" fillId="0" borderId="74" xfId="0" applyNumberFormat="1" applyBorder="1"/>
    <xf numFmtId="167" fontId="4" fillId="25" borderId="76" xfId="1" applyNumberFormat="1" applyFont="1" applyFill="1" applyBorder="1" applyAlignment="1">
      <alignment horizontal="center"/>
    </xf>
    <xf numFmtId="44" fontId="24" fillId="20" borderId="57" xfId="0" applyNumberFormat="1" applyFont="1" applyFill="1" applyBorder="1" applyAlignment="1">
      <alignment horizontal="right"/>
    </xf>
    <xf numFmtId="0" fontId="45" fillId="34" borderId="28" xfId="7" applyFont="1" applyFill="1" applyBorder="1" applyAlignment="1">
      <alignment horizontal="center" vertical="center"/>
    </xf>
    <xf numFmtId="0" fontId="10" fillId="0" borderId="57" xfId="0" applyFont="1" applyBorder="1" applyAlignment="1">
      <alignment horizontal="left"/>
    </xf>
    <xf numFmtId="0" fontId="10" fillId="0" borderId="56" xfId="0" applyFont="1" applyBorder="1" applyAlignment="1">
      <alignment horizontal="center"/>
    </xf>
    <xf numFmtId="0" fontId="10" fillId="0" borderId="60" xfId="0" applyFont="1" applyBorder="1" applyAlignment="1">
      <alignment horizontal="center"/>
    </xf>
    <xf numFmtId="186" fontId="24" fillId="0" borderId="78" xfId="2" applyNumberFormat="1" applyFont="1" applyFill="1" applyBorder="1" applyAlignment="1">
      <alignment horizontal="right"/>
    </xf>
    <xf numFmtId="10" fontId="38" fillId="0" borderId="57" xfId="0" applyNumberFormat="1" applyFont="1" applyBorder="1"/>
    <xf numFmtId="0" fontId="11" fillId="0" borderId="29" xfId="7" applyFont="1" applyAlignment="1">
      <alignment horizontal="center" vertical="center" wrapText="1"/>
    </xf>
    <xf numFmtId="10" fontId="10" fillId="0" borderId="28" xfId="7" applyNumberFormat="1" applyFont="1" applyBorder="1" applyAlignment="1">
      <alignment horizontal="center" vertical="center"/>
    </xf>
    <xf numFmtId="169" fontId="10" fillId="0" borderId="72" xfId="0" applyNumberFormat="1" applyFont="1" applyBorder="1"/>
    <xf numFmtId="10" fontId="10" fillId="0" borderId="29" xfId="7" applyNumberFormat="1" applyFont="1" applyAlignment="1">
      <alignment horizontal="center" vertical="center"/>
    </xf>
    <xf numFmtId="169" fontId="10" fillId="2" borderId="72" xfId="7" applyNumberFormat="1" applyFont="1" applyFill="1" applyBorder="1" applyAlignment="1">
      <alignment horizontal="right" vertical="center"/>
    </xf>
    <xf numFmtId="169" fontId="10" fillId="0" borderId="72" xfId="7" applyNumberFormat="1" applyFont="1" applyBorder="1" applyAlignment="1">
      <alignment horizontal="right" vertical="center"/>
    </xf>
    <xf numFmtId="175" fontId="38" fillId="20" borderId="60" xfId="7" applyNumberFormat="1" applyFont="1" applyFill="1" applyBorder="1"/>
    <xf numFmtId="0" fontId="4" fillId="2" borderId="29" xfId="7" applyFont="1" applyFill="1"/>
    <xf numFmtId="0" fontId="10" fillId="0" borderId="57" xfId="0" applyFont="1" applyBorder="1" applyAlignment="1">
      <alignment wrapText="1"/>
    </xf>
    <xf numFmtId="186" fontId="24" fillId="0" borderId="29" xfId="2" applyNumberFormat="1" applyFont="1" applyFill="1" applyBorder="1" applyAlignment="1">
      <alignment horizontal="right"/>
    </xf>
    <xf numFmtId="14" fontId="10" fillId="0" borderId="29" xfId="0" applyNumberFormat="1" applyFont="1" applyBorder="1" applyAlignment="1">
      <alignment horizontal="center" vertical="top" wrapText="1"/>
    </xf>
    <xf numFmtId="10" fontId="38" fillId="0" borderId="29" xfId="0" applyNumberFormat="1" applyFont="1" applyBorder="1"/>
    <xf numFmtId="169" fontId="10" fillId="27" borderId="72" xfId="7" applyNumberFormat="1" applyFont="1" applyFill="1" applyBorder="1" applyAlignment="1">
      <alignment horizontal="right" vertical="center"/>
    </xf>
    <xf numFmtId="10" fontId="0" fillId="0" borderId="57" xfId="2" applyNumberFormat="1" applyFont="1" applyFill="1" applyBorder="1" applyAlignment="1">
      <alignment horizontal="center"/>
    </xf>
    <xf numFmtId="44" fontId="0" fillId="0" borderId="29" xfId="1" applyFont="1" applyFill="1" applyBorder="1"/>
    <xf numFmtId="169" fontId="46" fillId="0" borderId="0" xfId="2" applyNumberFormat="1" applyFont="1" applyFill="1"/>
    <xf numFmtId="44" fontId="46" fillId="0" borderId="0" xfId="1" applyFont="1" applyFill="1" applyAlignment="1">
      <alignment horizontal="center"/>
    </xf>
    <xf numFmtId="169" fontId="46" fillId="0" borderId="76" xfId="2" applyNumberFormat="1" applyFont="1" applyFill="1" applyBorder="1"/>
    <xf numFmtId="0" fontId="4" fillId="2" borderId="54" xfId="0" applyFont="1" applyFill="1" applyBorder="1" applyAlignment="1">
      <alignment horizontal="left"/>
    </xf>
    <xf numFmtId="44" fontId="24" fillId="20" borderId="72" xfId="0" applyNumberFormat="1" applyFont="1" applyFill="1" applyBorder="1" applyAlignment="1">
      <alignment horizontal="right"/>
    </xf>
    <xf numFmtId="0" fontId="10" fillId="20" borderId="0" xfId="0" applyFont="1" applyFill="1"/>
    <xf numFmtId="0" fontId="10" fillId="20" borderId="28" xfId="0" applyFont="1" applyFill="1" applyBorder="1"/>
    <xf numFmtId="3" fontId="10" fillId="20" borderId="29" xfId="0" applyNumberFormat="1" applyFont="1" applyFill="1" applyBorder="1" applyAlignment="1">
      <alignment horizontal="center" vertical="top" wrapText="1"/>
    </xf>
    <xf numFmtId="44" fontId="24" fillId="20" borderId="29" xfId="0" applyNumberFormat="1" applyFont="1" applyFill="1" applyBorder="1" applyAlignment="1">
      <alignment horizontal="right"/>
    </xf>
    <xf numFmtId="0" fontId="10" fillId="20" borderId="74" xfId="0" applyFont="1" applyFill="1" applyBorder="1"/>
    <xf numFmtId="165" fontId="0" fillId="20" borderId="0" xfId="0" applyNumberFormat="1" applyFill="1"/>
    <xf numFmtId="10" fontId="0" fillId="20" borderId="57" xfId="2" applyNumberFormat="1" applyFont="1" applyFill="1" applyBorder="1" applyAlignment="1">
      <alignment horizontal="center"/>
    </xf>
    <xf numFmtId="169" fontId="10" fillId="20" borderId="29" xfId="0" applyNumberFormat="1" applyFont="1" applyFill="1" applyBorder="1"/>
    <xf numFmtId="186" fontId="24" fillId="20" borderId="57" xfId="2" applyNumberFormat="1" applyFont="1" applyFill="1" applyBorder="1" applyAlignment="1">
      <alignment horizontal="right"/>
    </xf>
    <xf numFmtId="1" fontId="10" fillId="20" borderId="57" xfId="0" applyNumberFormat="1" applyFont="1" applyFill="1" applyBorder="1" applyAlignment="1">
      <alignment horizontal="center"/>
    </xf>
    <xf numFmtId="4" fontId="10" fillId="20" borderId="29" xfId="0" applyNumberFormat="1" applyFont="1" applyFill="1" applyBorder="1"/>
    <xf numFmtId="39" fontId="10" fillId="20" borderId="29" xfId="0" applyNumberFormat="1" applyFont="1" applyFill="1" applyBorder="1"/>
    <xf numFmtId="0" fontId="0" fillId="20" borderId="29" xfId="0" applyFill="1" applyBorder="1"/>
    <xf numFmtId="0" fontId="10" fillId="20" borderId="24" xfId="0" applyFont="1" applyFill="1" applyBorder="1"/>
    <xf numFmtId="0" fontId="10" fillId="20" borderId="29" xfId="0" applyFont="1" applyFill="1" applyBorder="1"/>
    <xf numFmtId="0" fontId="10" fillId="20" borderId="57" xfId="0" applyFont="1" applyFill="1" applyBorder="1"/>
    <xf numFmtId="44" fontId="4" fillId="0" borderId="76" xfId="1" applyFont="1" applyFill="1" applyBorder="1" applyAlignment="1">
      <alignment horizontal="center"/>
    </xf>
    <xf numFmtId="169" fontId="10" fillId="0" borderId="28" xfId="2" applyNumberFormat="1" applyFont="1" applyFill="1" applyBorder="1" applyAlignment="1">
      <alignment horizontal="right"/>
    </xf>
    <xf numFmtId="186" fontId="24" fillId="0" borderId="56" xfId="2" applyNumberFormat="1" applyFont="1" applyFill="1" applyBorder="1" applyAlignment="1">
      <alignment horizontal="right"/>
    </xf>
    <xf numFmtId="1" fontId="10" fillId="0" borderId="29" xfId="0" applyNumberFormat="1" applyFont="1" applyBorder="1" applyAlignment="1">
      <alignment horizontal="center"/>
    </xf>
    <xf numFmtId="0" fontId="4" fillId="0" borderId="119" xfId="0" applyFont="1" applyBorder="1" applyAlignment="1">
      <alignment horizontal="left"/>
    </xf>
    <xf numFmtId="166" fontId="11" fillId="2" borderId="3" xfId="0" applyNumberFormat="1" applyFont="1" applyFill="1" applyBorder="1"/>
    <xf numFmtId="0" fontId="4" fillId="0" borderId="4" xfId="0" applyFont="1" applyBorder="1"/>
    <xf numFmtId="166" fontId="11" fillId="2" borderId="4" xfId="0" applyNumberFormat="1" applyFont="1" applyFill="1" applyBorder="1"/>
    <xf numFmtId="0" fontId="4" fillId="0" borderId="48" xfId="0" applyFont="1" applyBorder="1"/>
    <xf numFmtId="0" fontId="5" fillId="2" borderId="29" xfId="0" applyFont="1" applyFill="1" applyBorder="1" applyAlignment="1">
      <alignment horizontal="center"/>
    </xf>
    <xf numFmtId="0" fontId="4" fillId="0" borderId="29" xfId="0" applyFont="1" applyBorder="1"/>
    <xf numFmtId="0" fontId="6" fillId="2" borderId="29" xfId="0" applyFont="1" applyFill="1" applyBorder="1" applyAlignment="1">
      <alignment horizontal="center"/>
    </xf>
    <xf numFmtId="166" fontId="6" fillId="2" borderId="29" xfId="0" quotePrefix="1" applyNumberFormat="1" applyFont="1" applyFill="1" applyBorder="1" applyAlignment="1">
      <alignment horizontal="center"/>
    </xf>
    <xf numFmtId="0" fontId="9" fillId="2" borderId="11" xfId="0" applyFont="1" applyFill="1" applyBorder="1" applyAlignment="1">
      <alignment horizontal="center"/>
    </xf>
    <xf numFmtId="0" fontId="4" fillId="0" borderId="1" xfId="0" applyFont="1" applyBorder="1"/>
    <xf numFmtId="0" fontId="4" fillId="0" borderId="2" xfId="0" applyFont="1" applyBorder="1"/>
    <xf numFmtId="0" fontId="9" fillId="2" borderId="25" xfId="0" applyFont="1" applyFill="1" applyBorder="1" applyAlignment="1">
      <alignment horizontal="center"/>
    </xf>
    <xf numFmtId="0" fontId="4" fillId="0" borderId="25" xfId="0" applyFont="1" applyBorder="1"/>
    <xf numFmtId="166" fontId="13" fillId="2" borderId="3" xfId="0" applyNumberFormat="1" applyFont="1" applyFill="1" applyBorder="1" applyAlignment="1">
      <alignment horizontal="center"/>
    </xf>
    <xf numFmtId="166" fontId="13" fillId="2" borderId="4" xfId="0" applyNumberFormat="1" applyFont="1" applyFill="1" applyBorder="1" applyAlignment="1">
      <alignment horizontal="center"/>
    </xf>
    <xf numFmtId="0" fontId="15" fillId="2" borderId="29" xfId="0" applyFont="1" applyFill="1" applyBorder="1" applyAlignment="1">
      <alignment horizontal="center"/>
    </xf>
    <xf numFmtId="0" fontId="13" fillId="2" borderId="29" xfId="0" applyFont="1" applyFill="1" applyBorder="1" applyAlignment="1">
      <alignment horizontal="center"/>
    </xf>
    <xf numFmtId="166" fontId="13" fillId="2" borderId="29" xfId="0" applyNumberFormat="1" applyFont="1" applyFill="1" applyBorder="1" applyAlignment="1">
      <alignment horizontal="center"/>
    </xf>
    <xf numFmtId="0" fontId="8" fillId="2" borderId="25" xfId="0" applyFont="1" applyFill="1" applyBorder="1" applyAlignment="1">
      <alignment horizontal="center"/>
    </xf>
    <xf numFmtId="0" fontId="8" fillId="2" borderId="11" xfId="0" applyFont="1" applyFill="1" applyBorder="1" applyAlignment="1">
      <alignment horizontal="center"/>
    </xf>
    <xf numFmtId="0" fontId="4" fillId="0" borderId="28" xfId="0" applyFont="1" applyBorder="1"/>
    <xf numFmtId="166" fontId="6" fillId="2" borderId="29" xfId="0" applyNumberFormat="1" applyFont="1" applyFill="1" applyBorder="1" applyAlignment="1">
      <alignment horizontal="center"/>
    </xf>
    <xf numFmtId="0" fontId="4" fillId="0" borderId="26" xfId="0" applyFont="1" applyBorder="1"/>
    <xf numFmtId="166" fontId="11" fillId="2" borderId="4" xfId="0" applyNumberFormat="1" applyFont="1" applyFill="1" applyBorder="1" applyAlignment="1">
      <alignment horizontal="center"/>
    </xf>
    <xf numFmtId="0" fontId="12" fillId="2" borderId="29" xfId="0" applyFont="1" applyFill="1" applyBorder="1" applyAlignment="1">
      <alignment horizontal="center"/>
    </xf>
    <xf numFmtId="166" fontId="12" fillId="2" borderId="29" xfId="0" applyNumberFormat="1" applyFont="1" applyFill="1" applyBorder="1" applyAlignment="1">
      <alignment horizontal="center"/>
    </xf>
    <xf numFmtId="0" fontId="11" fillId="2" borderId="11" xfId="0" applyFont="1" applyFill="1" applyBorder="1" applyAlignment="1">
      <alignment horizontal="center"/>
    </xf>
    <xf numFmtId="0" fontId="11" fillId="2" borderId="25" xfId="0" applyFont="1" applyFill="1" applyBorder="1" applyAlignment="1">
      <alignment horizontal="center"/>
    </xf>
    <xf numFmtId="166" fontId="11" fillId="2" borderId="3" xfId="0" applyNumberFormat="1" applyFont="1" applyFill="1" applyBorder="1" applyAlignment="1">
      <alignment horizontal="center"/>
    </xf>
    <xf numFmtId="0" fontId="13" fillId="2" borderId="31" xfId="0" applyFont="1" applyFill="1" applyBorder="1" applyAlignment="1">
      <alignment horizontal="center"/>
    </xf>
    <xf numFmtId="0" fontId="4" fillId="0" borderId="31" xfId="0" applyFont="1" applyBorder="1"/>
    <xf numFmtId="0" fontId="37" fillId="2" borderId="18" xfId="0" applyFont="1" applyFill="1" applyBorder="1" applyAlignment="1">
      <alignment horizontal="center"/>
    </xf>
    <xf numFmtId="0" fontId="4" fillId="0" borderId="27" xfId="0" applyFont="1" applyBorder="1"/>
    <xf numFmtId="0" fontId="4" fillId="0" borderId="19" xfId="0" applyFont="1" applyBorder="1"/>
    <xf numFmtId="0" fontId="6" fillId="2" borderId="24" xfId="0" applyFont="1" applyFill="1" applyBorder="1" applyAlignment="1">
      <alignment horizontal="center"/>
    </xf>
    <xf numFmtId="166" fontId="6" fillId="2" borderId="24" xfId="0" applyNumberFormat="1" applyFont="1" applyFill="1" applyBorder="1" applyAlignment="1">
      <alignment horizontal="center"/>
    </xf>
    <xf numFmtId="7" fontId="24" fillId="2" borderId="29" xfId="0" applyNumberFormat="1" applyFont="1" applyFill="1" applyBorder="1" applyAlignment="1">
      <alignment horizontal="center"/>
    </xf>
    <xf numFmtId="44" fontId="24" fillId="2" borderId="29" xfId="0" applyNumberFormat="1" applyFont="1" applyFill="1" applyBorder="1" applyAlignment="1">
      <alignment horizontal="center"/>
    </xf>
    <xf numFmtId="0" fontId="10" fillId="0" borderId="0" xfId="0" applyFont="1" applyAlignment="1">
      <alignment horizontal="center"/>
    </xf>
    <xf numFmtId="0" fontId="13" fillId="2" borderId="30" xfId="0" applyFont="1" applyFill="1" applyBorder="1" applyAlignment="1">
      <alignment horizontal="center"/>
    </xf>
    <xf numFmtId="0" fontId="4" fillId="0" borderId="30" xfId="0" applyFont="1" applyBorder="1"/>
    <xf numFmtId="7" fontId="24" fillId="0" borderId="0" xfId="0" applyNumberFormat="1" applyFont="1" applyAlignment="1">
      <alignment horizontal="left"/>
    </xf>
    <xf numFmtId="0" fontId="10" fillId="0" borderId="0" xfId="0" applyFont="1" applyAlignment="1">
      <alignment horizontal="left"/>
    </xf>
    <xf numFmtId="0" fontId="13" fillId="0" borderId="30" xfId="0" applyFont="1" applyBorder="1" applyAlignment="1">
      <alignment horizontal="center"/>
    </xf>
    <xf numFmtId="0" fontId="9" fillId="2" borderId="75" xfId="0" applyFont="1" applyFill="1" applyBorder="1" applyAlignment="1">
      <alignment horizontal="center"/>
    </xf>
    <xf numFmtId="0" fontId="4" fillId="0" borderId="60" xfId="0" applyFont="1" applyBorder="1"/>
    <xf numFmtId="0" fontId="24" fillId="2" borderId="29" xfId="0" applyFont="1" applyFill="1" applyBorder="1"/>
    <xf numFmtId="0" fontId="24" fillId="0" borderId="29" xfId="0" applyFont="1" applyBorder="1"/>
    <xf numFmtId="0" fontId="11" fillId="0" borderId="89" xfId="0" applyFont="1" applyBorder="1" applyAlignment="1">
      <alignment horizontal="center"/>
    </xf>
    <xf numFmtId="0" fontId="11" fillId="0" borderId="73" xfId="0" applyFont="1" applyBorder="1" applyAlignment="1">
      <alignment horizontal="center"/>
    </xf>
    <xf numFmtId="0" fontId="11" fillId="0" borderId="5" xfId="0" applyFont="1" applyBorder="1" applyAlignment="1">
      <alignment horizontal="center"/>
    </xf>
    <xf numFmtId="0" fontId="11" fillId="0" borderId="80" xfId="0" applyFont="1" applyBorder="1" applyAlignment="1">
      <alignment horizontal="center"/>
    </xf>
    <xf numFmtId="166" fontId="11" fillId="0" borderId="3" xfId="0" applyNumberFormat="1" applyFont="1" applyBorder="1" applyAlignment="1">
      <alignment horizontal="center"/>
    </xf>
    <xf numFmtId="166" fontId="11" fillId="0" borderId="4" xfId="0" applyNumberFormat="1" applyFont="1" applyBorder="1" applyAlignment="1">
      <alignment horizontal="center"/>
    </xf>
    <xf numFmtId="0" fontId="5" fillId="0" borderId="29" xfId="0" applyFont="1" applyBorder="1" applyAlignment="1">
      <alignment horizontal="center"/>
    </xf>
    <xf numFmtId="0" fontId="6" fillId="0" borderId="29" xfId="0" applyFont="1" applyBorder="1" applyAlignment="1">
      <alignment horizontal="center"/>
    </xf>
    <xf numFmtId="166" fontId="6" fillId="0" borderId="29" xfId="0" applyNumberFormat="1" applyFont="1" applyBorder="1" applyAlignment="1">
      <alignment horizontal="center"/>
    </xf>
    <xf numFmtId="0" fontId="9" fillId="0" borderId="11" xfId="0" applyFont="1" applyBorder="1" applyAlignment="1">
      <alignment horizontal="center"/>
    </xf>
    <xf numFmtId="0" fontId="9" fillId="0" borderId="75" xfId="0" applyFont="1" applyBorder="1" applyAlignment="1">
      <alignment horizontal="center"/>
    </xf>
    <xf numFmtId="185" fontId="6" fillId="0" borderId="29" xfId="0" applyNumberFormat="1" applyFont="1" applyBorder="1" applyAlignment="1">
      <alignment horizontal="center"/>
    </xf>
    <xf numFmtId="185" fontId="4" fillId="0" borderId="29" xfId="0" applyNumberFormat="1" applyFont="1" applyBorder="1"/>
    <xf numFmtId="0" fontId="9" fillId="0" borderId="107" xfId="0" applyFont="1" applyBorder="1" applyAlignment="1">
      <alignment horizontal="center"/>
    </xf>
    <xf numFmtId="0" fontId="4" fillId="0" borderId="108" xfId="0" applyFont="1" applyBorder="1"/>
    <xf numFmtId="0" fontId="4" fillId="0" borderId="51" xfId="0" applyFont="1" applyBorder="1" applyAlignment="1">
      <alignment horizontal="center"/>
    </xf>
    <xf numFmtId="0" fontId="4" fillId="0" borderId="53" xfId="0" applyFont="1" applyBorder="1" applyAlignment="1">
      <alignment horizontal="center"/>
    </xf>
    <xf numFmtId="0" fontId="4" fillId="0" borderId="54" xfId="0" applyFont="1" applyBorder="1" applyAlignment="1">
      <alignment horizontal="center"/>
    </xf>
    <xf numFmtId="0" fontId="45" fillId="33" borderId="47" xfId="7" applyFont="1" applyFill="1" applyBorder="1" applyAlignment="1">
      <alignment horizontal="center" vertical="center"/>
    </xf>
    <xf numFmtId="0" fontId="5" fillId="2" borderId="29" xfId="7" applyFont="1" applyFill="1" applyAlignment="1">
      <alignment horizontal="center" vertical="center"/>
    </xf>
    <xf numFmtId="0" fontId="4" fillId="0" borderId="29" xfId="7" applyFont="1" applyAlignment="1">
      <alignment horizontal="center" vertical="center"/>
    </xf>
    <xf numFmtId="0" fontId="6" fillId="2" borderId="29" xfId="7" applyFont="1" applyFill="1" applyAlignment="1">
      <alignment horizontal="center" vertical="center"/>
    </xf>
    <xf numFmtId="166" fontId="6" fillId="2" borderId="29" xfId="7" applyNumberFormat="1" applyFont="1" applyFill="1" applyAlignment="1">
      <alignment horizontal="center" vertical="center"/>
    </xf>
    <xf numFmtId="0" fontId="9" fillId="2" borderId="11" xfId="7" applyFont="1" applyFill="1" applyBorder="1" applyAlignment="1">
      <alignment horizontal="center" vertical="center"/>
    </xf>
    <xf numFmtId="0" fontId="4" fillId="0" borderId="1" xfId="7" applyFont="1" applyBorder="1" applyAlignment="1">
      <alignment horizontal="center" vertical="center"/>
    </xf>
    <xf numFmtId="166" fontId="11" fillId="2" borderId="3" xfId="7" applyNumberFormat="1" applyFont="1" applyFill="1" applyBorder="1" applyAlignment="1">
      <alignment horizontal="center" vertical="center"/>
    </xf>
    <xf numFmtId="0" fontId="4" fillId="0" borderId="4" xfId="7" applyFont="1" applyBorder="1" applyAlignment="1">
      <alignment horizontal="center" vertical="center"/>
    </xf>
    <xf numFmtId="166" fontId="11" fillId="2" borderId="4" xfId="7" applyNumberFormat="1" applyFont="1" applyFill="1" applyBorder="1" applyAlignment="1">
      <alignment horizontal="center" vertical="center"/>
    </xf>
    <xf numFmtId="0" fontId="45" fillId="30" borderId="24" xfId="7" applyFont="1" applyFill="1" applyBorder="1" applyAlignment="1">
      <alignment horizontal="center" vertical="center"/>
    </xf>
    <xf numFmtId="0" fontId="45" fillId="32" borderId="47" xfId="7" applyFont="1" applyFill="1" applyBorder="1" applyAlignment="1">
      <alignment horizontal="center" vertical="center"/>
    </xf>
    <xf numFmtId="0" fontId="45" fillId="26" borderId="100" xfId="7" applyFont="1" applyFill="1" applyBorder="1" applyAlignment="1">
      <alignment horizontal="center" vertical="center"/>
    </xf>
    <xf numFmtId="0" fontId="45" fillId="26" borderId="47" xfId="7" applyFont="1" applyFill="1" applyBorder="1" applyAlignment="1">
      <alignment horizontal="center" vertical="center"/>
    </xf>
    <xf numFmtId="0" fontId="45" fillId="31" borderId="47" xfId="7" applyFont="1" applyFill="1" applyBorder="1" applyAlignment="1">
      <alignment horizontal="center" vertical="center"/>
    </xf>
    <xf numFmtId="0" fontId="45" fillId="39" borderId="24" xfId="7" applyFont="1" applyFill="1" applyBorder="1" applyAlignment="1">
      <alignment horizontal="center" vertical="center"/>
    </xf>
    <xf numFmtId="0" fontId="45" fillId="34" borderId="47" xfId="7" applyFont="1" applyFill="1" applyBorder="1" applyAlignment="1">
      <alignment horizontal="center" vertical="center"/>
    </xf>
    <xf numFmtId="0" fontId="45" fillId="35" borderId="28" xfId="7" applyFont="1" applyFill="1" applyBorder="1" applyAlignment="1">
      <alignment horizontal="center" vertical="center"/>
    </xf>
    <xf numFmtId="0" fontId="45" fillId="36" borderId="28" xfId="7" applyFont="1" applyFill="1" applyBorder="1" applyAlignment="1">
      <alignment horizontal="center" vertical="center"/>
    </xf>
    <xf numFmtId="0" fontId="45" fillId="37" borderId="47" xfId="7" applyFont="1" applyFill="1" applyBorder="1" applyAlignment="1">
      <alignment horizontal="center" vertical="center"/>
    </xf>
    <xf numFmtId="0" fontId="45" fillId="38" borderId="47" xfId="7" applyFont="1" applyFill="1" applyBorder="1" applyAlignment="1">
      <alignment horizontal="center" vertical="center"/>
    </xf>
    <xf numFmtId="185" fontId="79" fillId="0" borderId="51" xfId="0" applyNumberFormat="1" applyFont="1" applyBorder="1" applyAlignment="1">
      <alignment horizontal="center"/>
    </xf>
    <xf numFmtId="185" fontId="79" fillId="0" borderId="53" xfId="0" applyNumberFormat="1" applyFont="1" applyBorder="1" applyAlignment="1">
      <alignment horizontal="center"/>
    </xf>
    <xf numFmtId="185" fontId="79" fillId="0" borderId="54" xfId="0" applyNumberFormat="1" applyFont="1" applyBorder="1" applyAlignment="1">
      <alignment horizontal="center"/>
    </xf>
    <xf numFmtId="4" fontId="4" fillId="0" borderId="46" xfId="0" applyNumberFormat="1" applyFont="1" applyBorder="1" applyAlignment="1">
      <alignment horizontal="center"/>
    </xf>
    <xf numFmtId="0" fontId="4" fillId="0" borderId="23" xfId="0" applyFont="1" applyBorder="1"/>
    <xf numFmtId="0" fontId="14" fillId="5" borderId="29" xfId="0" applyFont="1" applyFill="1" applyBorder="1" applyAlignment="1">
      <alignment horizontal="center"/>
    </xf>
    <xf numFmtId="0" fontId="14" fillId="0" borderId="46" xfId="0" applyFont="1" applyBorder="1" applyAlignment="1">
      <alignment horizontal="center"/>
    </xf>
    <xf numFmtId="0" fontId="4" fillId="0" borderId="22" xfId="0" applyFont="1" applyBorder="1"/>
    <xf numFmtId="4" fontId="14" fillId="0" borderId="46" xfId="0" applyNumberFormat="1" applyFont="1" applyBorder="1" applyAlignment="1">
      <alignment horizontal="right"/>
    </xf>
    <xf numFmtId="10" fontId="4" fillId="0" borderId="0" xfId="0" applyNumberFormat="1" applyFont="1" applyAlignment="1">
      <alignment horizontal="center"/>
    </xf>
    <xf numFmtId="0" fontId="48" fillId="0" borderId="0" xfId="0" applyFont="1"/>
    <xf numFmtId="0" fontId="0" fillId="0" borderId="29" xfId="0" applyBorder="1"/>
    <xf numFmtId="0" fontId="69" fillId="0" borderId="29" xfId="3" applyBorder="1"/>
    <xf numFmtId="0" fontId="54" fillId="8" borderId="46" xfId="0" applyFont="1" applyFill="1" applyBorder="1" applyAlignment="1">
      <alignment horizontal="center"/>
    </xf>
    <xf numFmtId="10" fontId="4" fillId="0" borderId="29" xfId="0" applyNumberFormat="1" applyFont="1" applyBorder="1" applyAlignment="1">
      <alignment horizontal="center"/>
    </xf>
    <xf numFmtId="0" fontId="40" fillId="0" borderId="0" xfId="0" applyFont="1" applyAlignment="1">
      <alignment horizontal="left"/>
    </xf>
    <xf numFmtId="0" fontId="0" fillId="0" borderId="0" xfId="0"/>
    <xf numFmtId="10" fontId="11" fillId="0" borderId="18" xfId="2" applyNumberFormat="1" applyFont="1" applyBorder="1" applyAlignment="1">
      <alignment horizontal="center" vertical="center"/>
    </xf>
    <xf numFmtId="10" fontId="11" fillId="0" borderId="27" xfId="2" applyNumberFormat="1" applyFont="1" applyBorder="1" applyAlignment="1">
      <alignment horizontal="center" vertical="center"/>
    </xf>
    <xf numFmtId="10" fontId="11" fillId="0" borderId="19" xfId="2" applyNumberFormat="1" applyFont="1" applyBorder="1" applyAlignment="1">
      <alignment horizontal="center" vertical="center"/>
    </xf>
    <xf numFmtId="10" fontId="11" fillId="0" borderId="24" xfId="2" applyNumberFormat="1" applyFont="1" applyBorder="1" applyAlignment="1">
      <alignment horizontal="center" vertical="center"/>
    </xf>
    <xf numFmtId="10" fontId="11" fillId="0" borderId="29" xfId="2" applyNumberFormat="1" applyFont="1" applyBorder="1" applyAlignment="1">
      <alignment horizontal="center" vertical="center"/>
    </xf>
    <xf numFmtId="10" fontId="11" fillId="0" borderId="28" xfId="2" applyNumberFormat="1" applyFont="1" applyBorder="1" applyAlignment="1">
      <alignment horizontal="center" vertical="center"/>
    </xf>
    <xf numFmtId="10" fontId="11" fillId="0" borderId="69" xfId="2" applyNumberFormat="1" applyFont="1" applyBorder="1" applyAlignment="1">
      <alignment horizontal="center" vertical="center"/>
    </xf>
    <xf numFmtId="10" fontId="11" fillId="0" borderId="60" xfId="2" applyNumberFormat="1" applyFont="1" applyBorder="1" applyAlignment="1">
      <alignment horizontal="center" vertical="center"/>
    </xf>
    <xf numFmtId="10" fontId="11" fillId="0" borderId="70" xfId="2" applyNumberFormat="1" applyFont="1" applyBorder="1" applyAlignment="1">
      <alignment horizontal="center" vertical="center"/>
    </xf>
    <xf numFmtId="0" fontId="0" fillId="0" borderId="0" xfId="0" applyAlignment="1">
      <alignment horizontal="center"/>
    </xf>
    <xf numFmtId="0" fontId="14" fillId="0" borderId="29" xfId="0" applyFont="1" applyBorder="1" applyAlignment="1">
      <alignment horizontal="center"/>
    </xf>
    <xf numFmtId="0" fontId="50" fillId="4" borderId="32" xfId="0" applyFont="1" applyFill="1" applyBorder="1" applyAlignment="1">
      <alignment horizontal="center"/>
    </xf>
    <xf numFmtId="0" fontId="4" fillId="0" borderId="33" xfId="0" applyFont="1" applyBorder="1"/>
    <xf numFmtId="0" fontId="4" fillId="0" borderId="34" xfId="0" applyFont="1" applyBorder="1"/>
  </cellXfs>
  <cellStyles count="52">
    <cellStyle name="_x000a_bidires=100_x000d_ 2" xfId="9" xr:uid="{FA2C2094-5C4E-4BC1-BD2D-6CB4EE473C01}"/>
    <cellStyle name="20% - Accent1 2" xfId="29" xr:uid="{C76B5C0A-9B5B-4CD8-9C8B-97D0285A2073}"/>
    <cellStyle name="20% - Accent2 2" xfId="33" xr:uid="{B5BED8E2-2BD3-4CF2-80E5-03D74BC5E171}"/>
    <cellStyle name="20% - Accent3 2" xfId="37" xr:uid="{738533EB-3350-47C0-802C-9A77AAF8AFA2}"/>
    <cellStyle name="20% - Accent4 2" xfId="41" xr:uid="{EACA8CA6-B181-4A65-886C-40F07DC31209}"/>
    <cellStyle name="20% - Accent5 2" xfId="45" xr:uid="{DDEF3D53-D416-4FF6-9D51-C946EB8A435C}"/>
    <cellStyle name="20% - Accent6 2" xfId="49" xr:uid="{8578D88E-F827-437A-8B1B-31B91864DE68}"/>
    <cellStyle name="40% - Accent1 2" xfId="30" xr:uid="{66CC5E03-952D-4D55-A8A4-837D365B622E}"/>
    <cellStyle name="40% - Accent2 2" xfId="34" xr:uid="{9C304E04-A036-4562-93FE-FF7DA7CDCD5B}"/>
    <cellStyle name="40% - Accent3 2" xfId="38" xr:uid="{A0E8043E-38E3-4D53-BBF5-2830C250ECE6}"/>
    <cellStyle name="40% - Accent4 2" xfId="42" xr:uid="{467639AA-EEA1-48FF-898F-311CB726C766}"/>
    <cellStyle name="40% - Accent5 2" xfId="46" xr:uid="{CB58D229-57D8-4B74-8C0B-167760AC1E75}"/>
    <cellStyle name="40% - Accent6 2" xfId="50" xr:uid="{5BFEBF97-E1F8-4CA7-8616-5B453A72B19C}"/>
    <cellStyle name="60% - Accent1 2" xfId="31" xr:uid="{9D8B7EA9-3384-45CD-9A3E-74E7B74A9FC1}"/>
    <cellStyle name="60% - Accent2 2" xfId="35" xr:uid="{1A080694-ECD6-4188-8D8D-5173557A9D54}"/>
    <cellStyle name="60% - Accent3 2" xfId="39" xr:uid="{CE523449-AA1F-495D-9B4B-DF4103929516}"/>
    <cellStyle name="60% - Accent4 2" xfId="43" xr:uid="{5182D167-DCFC-4E0C-A256-503AE850C1E3}"/>
    <cellStyle name="60% - Accent5 2" xfId="47" xr:uid="{428B84D3-8B66-40A8-A80B-DDDB7BEC6630}"/>
    <cellStyle name="60% - Accent6 2" xfId="51" xr:uid="{13D911DF-555E-4C03-A0D0-B45B3561167A}"/>
    <cellStyle name="Accent1 2" xfId="28" xr:uid="{3BF3CC96-7F47-4EF7-9306-1ADBE4E6EF73}"/>
    <cellStyle name="Accent2 2" xfId="32" xr:uid="{D45539DA-7644-4AD1-BA5A-FD8A748D41B9}"/>
    <cellStyle name="Accent3 2" xfId="36" xr:uid="{82D8B145-6886-49D6-9FD0-EC823F7C936F}"/>
    <cellStyle name="Accent4 2" xfId="40" xr:uid="{3F108625-3673-475E-AE11-1F977C9C138E}"/>
    <cellStyle name="Accent5 2" xfId="44" xr:uid="{A156D1FC-A774-41A9-A672-DF593BB40006}"/>
    <cellStyle name="Accent6 2" xfId="48" xr:uid="{FCB92E60-7CC0-4A6A-A5DF-8038FB3F7C65}"/>
    <cellStyle name="Bad 2" xfId="23" xr:uid="{64454859-A184-4B55-BF71-7767E5B9FE69}"/>
    <cellStyle name="Calculation" xfId="15" builtinId="22" customBuiltin="1"/>
    <cellStyle name="Check Cell" xfId="17" builtinId="23" customBuiltin="1"/>
    <cellStyle name="Currency" xfId="1" builtinId="4"/>
    <cellStyle name="Currency 2" xfId="5" xr:uid="{00000000-0005-0000-0000-000002000000}"/>
    <cellStyle name="Explanatory Text 2" xfId="27" xr:uid="{48866AF7-FD3C-4534-A3AB-EFFA501D8B3C}"/>
    <cellStyle name="Good 2" xfId="22" xr:uid="{91734F75-A515-45C0-9D78-8D8D85125808}"/>
    <cellStyle name="Heading 1" xfId="10" builtinId="16" customBuiltin="1"/>
    <cellStyle name="Heading 2" xfId="11" builtinId="17" customBuiltin="1"/>
    <cellStyle name="Heading 3" xfId="12" builtinId="18" customBuiltin="1"/>
    <cellStyle name="Heading 4 2" xfId="21" xr:uid="{5EE95998-730F-46AA-9659-74A9937439BB}"/>
    <cellStyle name="Hyperlink" xfId="3" builtinId="8"/>
    <cellStyle name="Input" xfId="13" builtinId="20" customBuiltin="1"/>
    <cellStyle name="Linked Cell" xfId="16" builtinId="24" customBuiltin="1"/>
    <cellStyle name="Neutral 2" xfId="24" xr:uid="{4A422010-61FE-496D-AF78-E10F7906D5B8}"/>
    <cellStyle name="Normal" xfId="0" builtinId="0"/>
    <cellStyle name="Normal 2" xfId="4" xr:uid="{00000000-0005-0000-0000-000005000000}"/>
    <cellStyle name="Normal 2 2" xfId="7" xr:uid="{718F929D-4D5A-4B24-9B12-3BC8CE79C44D}"/>
    <cellStyle name="Normal 3" xfId="8" xr:uid="{32F85F0C-B807-4D61-8D5D-FC19A62805EB}"/>
    <cellStyle name="Normal 4" xfId="19" xr:uid="{A14D1990-B731-4D98-BED4-C2C1E381706D}"/>
    <cellStyle name="Note 2" xfId="26" xr:uid="{A930E89B-454F-4020-866E-2F5CC35D62D5}"/>
    <cellStyle name="Output" xfId="14" builtinId="21" customBuiltin="1"/>
    <cellStyle name="Percent" xfId="2" builtinId="5"/>
    <cellStyle name="Percent 2" xfId="6" xr:uid="{00000000-0005-0000-0000-000007000000}"/>
    <cellStyle name="Title 2" xfId="20" xr:uid="{332842C5-D323-4975-B9C5-019060805391}"/>
    <cellStyle name="Total" xfId="18" builtinId="25" customBuiltin="1"/>
    <cellStyle name="Warning Text 2" xfId="25" xr:uid="{65CF0206-218A-45F6-A6D4-115BFE3534DF}"/>
  </cellStyles>
  <dxfs count="506">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ill>
        <patternFill patternType="solid">
          <fgColor rgb="FFFFC000"/>
          <bgColor rgb="FFFFC000"/>
        </patternFill>
      </fill>
    </dxf>
    <dxf>
      <fill>
        <patternFill patternType="solid">
          <fgColor rgb="FF00B050"/>
          <bgColor rgb="FF00B050"/>
        </patternFill>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ill>
        <patternFill patternType="solid">
          <fgColor rgb="FFFFC000"/>
          <bgColor rgb="FFFFC000"/>
        </patternFill>
      </fill>
    </dxf>
    <dxf>
      <fill>
        <patternFill patternType="solid">
          <fgColor rgb="FF00B050"/>
          <bgColor rgb="FF00B050"/>
        </patternFill>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dxf>
    <dxf>
      <font>
        <color rgb="FF3333FF"/>
      </font>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dxf>
    <dxf>
      <font>
        <color rgb="FF3333FF"/>
      </font>
    </dxf>
    <dxf>
      <fill>
        <patternFill patternType="solid">
          <fgColor rgb="FFFFC000"/>
          <bgColor rgb="FFFFC000"/>
        </patternFill>
      </fill>
    </dxf>
    <dxf>
      <fill>
        <patternFill patternType="solid">
          <fgColor rgb="FF00B050"/>
          <bgColor rgb="FF00B050"/>
        </patternFill>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ill>
        <patternFill patternType="solid">
          <fgColor rgb="FFFFC000"/>
          <bgColor rgb="FFFFC000"/>
        </patternFill>
      </fill>
    </dxf>
    <dxf>
      <fill>
        <patternFill patternType="solid">
          <fgColor rgb="FF00B050"/>
          <bgColor rgb="FF00B050"/>
        </patternFill>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3333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3333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3333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3333FF"/>
      </font>
      <fill>
        <patternFill patternType="none"/>
      </fill>
    </dxf>
    <dxf>
      <font>
        <color rgb="FFFF0000"/>
      </font>
      <fill>
        <patternFill patternType="none"/>
      </fill>
    </dxf>
    <dxf>
      <font>
        <color rgb="FF0000FF"/>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3333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ont>
        <color rgb="FFFF0000"/>
      </font>
      <fill>
        <patternFill patternType="none"/>
      </fill>
    </dxf>
    <dxf>
      <font>
        <color rgb="FF0000FF"/>
      </font>
      <fill>
        <patternFill patternType="none"/>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microsoft.com/office/2017/06/relationships/richStyles" Target="richData/richStyles.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 Target="richData/rdrichvalue.xml"/><Relationship Id="rId37" Type="http://schemas.microsoft.com/office/2017/06/relationships/rdRichValueTypes" Target="richData/rdRichValueTyp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microsoft.com/office/2017/06/relationships/rdSupportingPropertyBag" Target="richData/rdsupportingpropertybag.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06/relationships/rdSupportingPropertyBagStructure" Target="richData/rdsupportingpropertybagstructur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Structure" Target="richData/rdrichvaluestructure.xml"/><Relationship Id="rId38" Type="http://schemas.microsoft.com/office/2017/10/relationships/person" Target="persons/person.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overlay val="0"/>
    </c:title>
    <c:autoTitleDeleted val="0"/>
    <c:plotArea>
      <c:layout>
        <c:manualLayout>
          <c:xMode val="edge"/>
          <c:yMode val="edge"/>
          <c:x val="0.11609492563429571"/>
          <c:y val="0.17171296296296298"/>
          <c:w val="0.85334951881014875"/>
          <c:h val="0.4723530912802566"/>
        </c:manualLayout>
      </c:layout>
      <c:barChart>
        <c:barDir val="col"/>
        <c:grouping val="clustered"/>
        <c:varyColors val="1"/>
        <c:ser>
          <c:idx val="0"/>
          <c:order val="0"/>
          <c:tx>
            <c:strRef>
              <c:f>'Monthly Returns'!$A$434</c:f>
              <c:strCache>
                <c:ptCount val="1"/>
                <c:pt idx="0">
                  <c:v>Average Annual Return (%)</c:v>
                </c:pt>
              </c:strCache>
            </c:strRef>
          </c:tx>
          <c:spPr>
            <a:solidFill>
              <a:srgbClr val="4F81BD"/>
            </a:solidFill>
          </c:spPr>
          <c:invertIfNegative val="1"/>
          <c:val>
            <c:numRef>
              <c:f>'Monthly Returns'!$B$434:$I$434</c:f>
              <c:numCache>
                <c:formatCode>0.00%</c:formatCode>
                <c:ptCount val="8"/>
                <c:pt idx="0">
                  <c:v>0.23201859781472534</c:v>
                </c:pt>
                <c:pt idx="1">
                  <c:v>0.16915393211850011</c:v>
                </c:pt>
                <c:pt idx="2">
                  <c:v>0.14611059386044123</c:v>
                </c:pt>
                <c:pt idx="3">
                  <c:v>9.7347367279587732E-2</c:v>
                </c:pt>
                <c:pt idx="4">
                  <c:v>0.11912087755927092</c:v>
                </c:pt>
                <c:pt idx="5">
                  <c:v>0.10000350026030227</c:v>
                </c:pt>
                <c:pt idx="6">
                  <c:v>0.12696536787685186</c:v>
                </c:pt>
                <c:pt idx="7">
                  <c:v>9.8586860382538707E-2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1502-43DB-96A5-5254ABFDECF5}"/>
            </c:ext>
          </c:extLst>
        </c:ser>
        <c:dLbls>
          <c:showLegendKey val="0"/>
          <c:showVal val="0"/>
          <c:showCatName val="0"/>
          <c:showSerName val="0"/>
          <c:showPercent val="0"/>
          <c:showBubbleSize val="0"/>
        </c:dLbls>
        <c:gapWidth val="150"/>
        <c:axId val="440529480"/>
        <c:axId val="440531832"/>
      </c:barChart>
      <c:catAx>
        <c:axId val="440529480"/>
        <c:scaling>
          <c:orientation val="minMax"/>
        </c:scaling>
        <c:delete val="0"/>
        <c:axPos val="b"/>
        <c:majorTickMark val="cross"/>
        <c:minorTickMark val="cross"/>
        <c:tickLblPos val="nextTo"/>
        <c:txPr>
          <a:bodyPr/>
          <a:lstStyle/>
          <a:p>
            <a:pPr lvl="0">
              <a:defRPr sz="900" b="0" i="0">
                <a:solidFill>
                  <a:srgbClr val="595959"/>
                </a:solidFill>
              </a:defRPr>
            </a:pPr>
            <a:endParaRPr lang="en-US"/>
          </a:p>
        </c:txPr>
        <c:crossAx val="440531832"/>
        <c:crosses val="autoZero"/>
        <c:auto val="1"/>
        <c:lblAlgn val="ctr"/>
        <c:lblOffset val="100"/>
        <c:noMultiLvlLbl val="1"/>
      </c:catAx>
      <c:valAx>
        <c:axId val="440531832"/>
        <c:scaling>
          <c:orientation val="minMax"/>
        </c:scaling>
        <c:delete val="0"/>
        <c:axPos val="l"/>
        <c:majorGridlines>
          <c:spPr>
            <a:ln>
              <a:solidFill>
                <a:srgbClr val="D9D9D9"/>
              </a:solidFill>
            </a:ln>
          </c:spPr>
        </c:majorGridlines>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440529480"/>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overlay val="0"/>
    </c:title>
    <c:autoTitleDeleted val="0"/>
    <c:plotArea>
      <c:layout/>
      <c:barChart>
        <c:barDir val="col"/>
        <c:grouping val="clustered"/>
        <c:varyColors val="1"/>
        <c:ser>
          <c:idx val="0"/>
          <c:order val="0"/>
          <c:tx>
            <c:strRef>
              <c:f>'Monthly Returns'!$A$440</c:f>
              <c:strCache>
                <c:ptCount val="1"/>
                <c:pt idx="0">
                  <c:v>Sharpe Ratio</c:v>
                </c:pt>
              </c:strCache>
            </c:strRef>
          </c:tx>
          <c:spPr>
            <a:solidFill>
              <a:srgbClr val="FF0000"/>
            </a:solidFill>
          </c:spPr>
          <c:invertIfNegative val="1"/>
          <c:val>
            <c:numRef>
              <c:f>'Monthly Returns'!$B$440:$I$440</c:f>
              <c:numCache>
                <c:formatCode>0.00</c:formatCode>
                <c:ptCount val="8"/>
                <c:pt idx="0">
                  <c:v>3.5605516549964209</c:v>
                </c:pt>
                <c:pt idx="1">
                  <c:v>2.2293156032018628</c:v>
                </c:pt>
                <c:pt idx="2">
                  <c:v>0.82907543545042695</c:v>
                </c:pt>
                <c:pt idx="3">
                  <c:v>0.59372720832936698</c:v>
                </c:pt>
                <c:pt idx="4">
                  <c:v>0.71850012701604671</c:v>
                </c:pt>
                <c:pt idx="5">
                  <c:v>0.65765468224892354</c:v>
                </c:pt>
                <c:pt idx="6">
                  <c:v>0.75294644975433844</c:v>
                </c:pt>
                <c:pt idx="7">
                  <c:v>0.63653267054010665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83F5-4AAD-8568-C651FA250A3E}"/>
            </c:ext>
          </c:extLst>
        </c:ser>
        <c:dLbls>
          <c:showLegendKey val="0"/>
          <c:showVal val="0"/>
          <c:showCatName val="0"/>
          <c:showSerName val="0"/>
          <c:showPercent val="0"/>
          <c:showBubbleSize val="0"/>
        </c:dLbls>
        <c:gapWidth val="150"/>
        <c:axId val="440530264"/>
        <c:axId val="440529088"/>
      </c:barChart>
      <c:catAx>
        <c:axId val="440530264"/>
        <c:scaling>
          <c:orientation val="minMax"/>
        </c:scaling>
        <c:delete val="0"/>
        <c:axPos val="b"/>
        <c:majorTickMark val="cross"/>
        <c:minorTickMark val="cross"/>
        <c:tickLblPos val="nextTo"/>
        <c:txPr>
          <a:bodyPr/>
          <a:lstStyle/>
          <a:p>
            <a:pPr lvl="0">
              <a:defRPr sz="900" b="0" i="0">
                <a:solidFill>
                  <a:srgbClr val="595959"/>
                </a:solidFill>
              </a:defRPr>
            </a:pPr>
            <a:endParaRPr lang="en-US"/>
          </a:p>
        </c:txPr>
        <c:crossAx val="440529088"/>
        <c:crosses val="autoZero"/>
        <c:auto val="1"/>
        <c:lblAlgn val="ctr"/>
        <c:lblOffset val="100"/>
        <c:noMultiLvlLbl val="1"/>
      </c:catAx>
      <c:valAx>
        <c:axId val="440529088"/>
        <c:scaling>
          <c:orientation val="minMax"/>
        </c:scaling>
        <c:delete val="0"/>
        <c:axPos val="l"/>
        <c:majorGridlines>
          <c:spPr>
            <a:ln>
              <a:solidFill>
                <a:srgbClr val="D9D9D9"/>
              </a:solidFill>
            </a:ln>
          </c:spPr>
        </c:majorGridlines>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440530264"/>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overlay val="0"/>
    </c:title>
    <c:autoTitleDeleted val="0"/>
    <c:plotArea>
      <c:layout/>
      <c:barChart>
        <c:barDir val="col"/>
        <c:grouping val="clustered"/>
        <c:varyColors val="1"/>
        <c:ser>
          <c:idx val="0"/>
          <c:order val="0"/>
          <c:tx>
            <c:strRef>
              <c:f>'Monthly Returns'!$A$441</c:f>
              <c:strCache>
                <c:ptCount val="1"/>
                <c:pt idx="0">
                  <c:v>Treynor Ratio (%)</c:v>
                </c:pt>
              </c:strCache>
            </c:strRef>
          </c:tx>
          <c:spPr>
            <a:solidFill>
              <a:srgbClr val="4F81BD"/>
            </a:solidFill>
          </c:spPr>
          <c:invertIfNegative val="1"/>
          <c:val>
            <c:numRef>
              <c:f>'Monthly Returns'!$B$441:$I$441</c:f>
              <c:numCache>
                <c:formatCode>0.00%</c:formatCode>
                <c:ptCount val="8"/>
                <c:pt idx="0">
                  <c:v>0.28539890368334453</c:v>
                </c:pt>
                <c:pt idx="1">
                  <c:v>0.16915393211850011</c:v>
                </c:pt>
                <c:pt idx="2">
                  <c:v>0.1383498496916736</c:v>
                </c:pt>
                <c:pt idx="3">
                  <c:v>9.7347367279587732E-2</c:v>
                </c:pt>
                <c:pt idx="4">
                  <c:v>0.11133561791408854</c:v>
                </c:pt>
                <c:pt idx="5">
                  <c:v>0.10000350026030227</c:v>
                </c:pt>
                <c:pt idx="6">
                  <c:v>0.11836371812814644</c:v>
                </c:pt>
                <c:pt idx="7">
                  <c:v>9.8586860382538707E-2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2E1-4620-BB22-024D8AB2A34A}"/>
            </c:ext>
          </c:extLst>
        </c:ser>
        <c:dLbls>
          <c:showLegendKey val="0"/>
          <c:showVal val="0"/>
          <c:showCatName val="0"/>
          <c:showSerName val="0"/>
          <c:showPercent val="0"/>
          <c:showBubbleSize val="0"/>
        </c:dLbls>
        <c:gapWidth val="150"/>
        <c:axId val="527366128"/>
        <c:axId val="527364952"/>
      </c:barChart>
      <c:catAx>
        <c:axId val="527366128"/>
        <c:scaling>
          <c:orientation val="minMax"/>
        </c:scaling>
        <c:delete val="0"/>
        <c:axPos val="b"/>
        <c:majorTickMark val="cross"/>
        <c:minorTickMark val="cross"/>
        <c:tickLblPos val="nextTo"/>
        <c:txPr>
          <a:bodyPr/>
          <a:lstStyle/>
          <a:p>
            <a:pPr lvl="0">
              <a:defRPr sz="900" b="0" i="0">
                <a:solidFill>
                  <a:srgbClr val="595959"/>
                </a:solidFill>
              </a:defRPr>
            </a:pPr>
            <a:endParaRPr lang="en-US"/>
          </a:p>
        </c:txPr>
        <c:crossAx val="527364952"/>
        <c:crosses val="autoZero"/>
        <c:auto val="1"/>
        <c:lblAlgn val="ctr"/>
        <c:lblOffset val="100"/>
        <c:noMultiLvlLbl val="1"/>
      </c:catAx>
      <c:valAx>
        <c:axId val="527364952"/>
        <c:scaling>
          <c:orientation val="minMax"/>
        </c:scaling>
        <c:delete val="0"/>
        <c:axPos val="l"/>
        <c:majorGridlines>
          <c:spPr>
            <a:ln>
              <a:solidFill>
                <a:srgbClr val="D9D9D9"/>
              </a:solidFill>
            </a:ln>
          </c:spPr>
        </c:majorGridlines>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52736612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overlay val="0"/>
    </c:title>
    <c:autoTitleDeleted val="0"/>
    <c:plotArea>
      <c:layout>
        <c:manualLayout>
          <c:xMode val="edge"/>
          <c:yMode val="edge"/>
          <c:x val="0.12355314960629921"/>
          <c:y val="0.17171296296296298"/>
          <c:w val="0.84589129483814518"/>
          <c:h val="0.4723530912802566"/>
        </c:manualLayout>
      </c:layout>
      <c:barChart>
        <c:barDir val="col"/>
        <c:grouping val="clustered"/>
        <c:varyColors val="1"/>
        <c:ser>
          <c:idx val="0"/>
          <c:order val="0"/>
          <c:tx>
            <c:strRef>
              <c:f>'Monthly Returns'!$A$435</c:f>
              <c:strCache>
                <c:ptCount val="1"/>
                <c:pt idx="0">
                  <c:v>Growth from $100 Investment ($)</c:v>
                </c:pt>
              </c:strCache>
            </c:strRef>
          </c:tx>
          <c:spPr>
            <a:solidFill>
              <a:srgbClr val="FF0000"/>
            </a:solidFill>
          </c:spPr>
          <c:invertIfNegative val="1"/>
          <c:val>
            <c:numRef>
              <c:f>'Monthly Returns'!$B$435:$I$435</c:f>
              <c:numCache>
                <c:formatCode>"$"#,##0.00</c:formatCode>
                <c:ptCount val="8"/>
                <c:pt idx="0">
                  <c:v>123.20185978147254</c:v>
                </c:pt>
                <c:pt idx="1">
                  <c:v>116.91539321185</c:v>
                </c:pt>
                <c:pt idx="2">
                  <c:v>114.61105938604412</c:v>
                </c:pt>
                <c:pt idx="3">
                  <c:v>109.73473672795878</c:v>
                </c:pt>
                <c:pt idx="4">
                  <c:v>140.16222825486659</c:v>
                </c:pt>
                <c:pt idx="5">
                  <c:v>133.10127059853286</c:v>
                </c:pt>
                <c:pt idx="6">
                  <c:v>181.78282612444687</c:v>
                </c:pt>
                <c:pt idx="7">
                  <c:v>160.01916568914714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F64-4652-A9F1-83FAD8876CFB}"/>
            </c:ext>
          </c:extLst>
        </c:ser>
        <c:dLbls>
          <c:showLegendKey val="0"/>
          <c:showVal val="0"/>
          <c:showCatName val="0"/>
          <c:showSerName val="0"/>
          <c:showPercent val="0"/>
          <c:showBubbleSize val="0"/>
        </c:dLbls>
        <c:gapWidth val="150"/>
        <c:axId val="527366520"/>
        <c:axId val="527366912"/>
      </c:barChart>
      <c:catAx>
        <c:axId val="527366520"/>
        <c:scaling>
          <c:orientation val="minMax"/>
        </c:scaling>
        <c:delete val="0"/>
        <c:axPos val="b"/>
        <c:majorTickMark val="cross"/>
        <c:minorTickMark val="cross"/>
        <c:tickLblPos val="nextTo"/>
        <c:txPr>
          <a:bodyPr/>
          <a:lstStyle/>
          <a:p>
            <a:pPr lvl="0">
              <a:defRPr sz="900" b="0" i="0">
                <a:solidFill>
                  <a:srgbClr val="595959"/>
                </a:solidFill>
              </a:defRPr>
            </a:pPr>
            <a:endParaRPr lang="en-US"/>
          </a:p>
        </c:txPr>
        <c:crossAx val="527366912"/>
        <c:crosses val="autoZero"/>
        <c:auto val="1"/>
        <c:lblAlgn val="ctr"/>
        <c:lblOffset val="100"/>
        <c:noMultiLvlLbl val="1"/>
      </c:catAx>
      <c:valAx>
        <c:axId val="527366912"/>
        <c:scaling>
          <c:orientation val="minMax"/>
        </c:scaling>
        <c:delete val="0"/>
        <c:axPos val="l"/>
        <c:majorGridlines>
          <c:spPr>
            <a:ln>
              <a:solidFill>
                <a:srgbClr val="D9D9D9"/>
              </a:solidFill>
            </a:ln>
          </c:spPr>
        </c:majorGridlines>
        <c:numFmt formatCode="&quot;$&quot;#,##0.00" sourceLinked="1"/>
        <c:majorTickMark val="cross"/>
        <c:minorTickMark val="cross"/>
        <c:tickLblPos val="nextTo"/>
        <c:spPr>
          <a:ln w="47625">
            <a:noFill/>
          </a:ln>
        </c:spPr>
        <c:txPr>
          <a:bodyPr/>
          <a:lstStyle/>
          <a:p>
            <a:pPr lvl="0">
              <a:defRPr sz="900" b="0" i="0">
                <a:solidFill>
                  <a:srgbClr val="595959"/>
                </a:solidFill>
              </a:defRPr>
            </a:pPr>
            <a:endParaRPr lang="en-US"/>
          </a:p>
        </c:txPr>
        <c:crossAx val="527366520"/>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Growth of $10,000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8334426490891761E-2"/>
          <c:y val="0.18265053917171631"/>
          <c:w val="0.89967403512414357"/>
          <c:h val="0.58159133995824508"/>
        </c:manualLayout>
      </c:layout>
      <c:lineChart>
        <c:grouping val="standard"/>
        <c:varyColors val="0"/>
        <c:ser>
          <c:idx val="13"/>
          <c:order val="13"/>
          <c:tx>
            <c:v>IMP</c:v>
          </c:tx>
          <c:spPr>
            <a:ln w="22225" cap="rnd">
              <a:solidFill>
                <a:schemeClr val="accent2">
                  <a:lumMod val="80000"/>
                  <a:lumOff val="20000"/>
                </a:schemeClr>
              </a:solidFill>
            </a:ln>
            <a:effectLst>
              <a:glow rad="139700">
                <a:schemeClr val="accent2">
                  <a:lumMod val="80000"/>
                  <a:lumOff val="20000"/>
                  <a:satMod val="175000"/>
                  <a:alpha val="14000"/>
                </a:schemeClr>
              </a:glow>
            </a:effectLst>
          </c:spPr>
          <c:marker>
            <c:symbol val="none"/>
          </c:marker>
          <c:cat>
            <c:numRef>
              <c:f>'Monthly Returns'!$A$4:$A$339</c:f>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f>'Monthly Returns'!$O$4:$O$339</c:f>
              <c:numCache>
                <c:formatCode>0.00</c:formatCode>
                <c:ptCount val="336"/>
                <c:pt idx="1">
                  <c:v>10000</c:v>
                </c:pt>
                <c:pt idx="2">
                  <c:v>10076.666666666668</c:v>
                </c:pt>
                <c:pt idx="3">
                  <c:v>10015.786666666669</c:v>
                </c:pt>
                <c:pt idx="4">
                  <c:v>10466.520000000002</c:v>
                </c:pt>
                <c:pt idx="5">
                  <c:v>10878.060000000001</c:v>
                </c:pt>
                <c:pt idx="6">
                  <c:v>11701.52666666667</c:v>
                </c:pt>
                <c:pt idx="7">
                  <c:v>11927.52666666667</c:v>
                </c:pt>
                <c:pt idx="8">
                  <c:v>12584.906666666671</c:v>
                </c:pt>
                <c:pt idx="9">
                  <c:v>12261.68666666667</c:v>
                </c:pt>
                <c:pt idx="10">
                  <c:v>13011.575046666672</c:v>
                </c:pt>
                <c:pt idx="11">
                  <c:v>13581.43226666667</c:v>
                </c:pt>
                <c:pt idx="12">
                  <c:v>13575.498386666672</c:v>
                </c:pt>
                <c:pt idx="13">
                  <c:v>14613.535333333341</c:v>
                </c:pt>
                <c:pt idx="14">
                  <c:v>15435.54277967394</c:v>
                </c:pt>
                <c:pt idx="15">
                  <c:v>16118.975529880698</c:v>
                </c:pt>
                <c:pt idx="16">
                  <c:v>17948.035631029397</c:v>
                </c:pt>
                <c:pt idx="17">
                  <c:v>17513.622825555016</c:v>
                </c:pt>
                <c:pt idx="18">
                  <c:v>16218.033384642127</c:v>
                </c:pt>
                <c:pt idx="19">
                  <c:v>16839.707093968856</c:v>
                </c:pt>
                <c:pt idx="20">
                  <c:v>17568.108171256765</c:v>
                </c:pt>
                <c:pt idx="21">
                  <c:v>16729.298046931464</c:v>
                </c:pt>
                <c:pt idx="22">
                  <c:v>17675.514903095591</c:v>
                </c:pt>
                <c:pt idx="23">
                  <c:v>17346.881548039495</c:v>
                </c:pt>
                <c:pt idx="24">
                  <c:v>17986.343225912664</c:v>
                </c:pt>
                <c:pt idx="25">
                  <c:v>18261.665518772301</c:v>
                </c:pt>
                <c:pt idx="26">
                  <c:v>18278.592185949889</c:v>
                </c:pt>
                <c:pt idx="27">
                  <c:v>17954.716900916777</c:v>
                </c:pt>
                <c:pt idx="28">
                  <c:v>19590.413577970223</c:v>
                </c:pt>
                <c:pt idx="29">
                  <c:v>19499.422025732296</c:v>
                </c:pt>
                <c:pt idx="30">
                  <c:v>21076.36779822658</c:v>
                </c:pt>
                <c:pt idx="31">
                  <c:v>20397.801414451813</c:v>
                </c:pt>
                <c:pt idx="32">
                  <c:v>21534.761958600142</c:v>
                </c:pt>
                <c:pt idx="33">
                  <c:v>20774.280169031779</c:v>
                </c:pt>
                <c:pt idx="34">
                  <c:v>21720.188420159378</c:v>
                </c:pt>
                <c:pt idx="35">
                  <c:v>22502.280093574063</c:v>
                </c:pt>
                <c:pt idx="36">
                  <c:v>22699.54373921013</c:v>
                </c:pt>
                <c:pt idx="37">
                  <c:v>23833.231124797669</c:v>
                </c:pt>
                <c:pt idx="38">
                  <c:v>25021.286935847384</c:v>
                </c:pt>
                <c:pt idx="39">
                  <c:v>25237.299944598471</c:v>
                </c:pt>
                <c:pt idx="40">
                  <c:v>26480.381577814675</c:v>
                </c:pt>
                <c:pt idx="41">
                  <c:v>27243.227770987272</c:v>
                </c:pt>
                <c:pt idx="42">
                  <c:v>26497.587978073607</c:v>
                </c:pt>
                <c:pt idx="43">
                  <c:v>22833.843490579016</c:v>
                </c:pt>
                <c:pt idx="44">
                  <c:v>24366.928784616412</c:v>
                </c:pt>
                <c:pt idx="45">
                  <c:v>26101.861282925627</c:v>
                </c:pt>
                <c:pt idx="46">
                  <c:v>26939.690344126881</c:v>
                </c:pt>
                <c:pt idx="47">
                  <c:v>29386.838796307107</c:v>
                </c:pt>
                <c:pt idx="48">
                  <c:v>30206.717735371803</c:v>
                </c:pt>
                <c:pt idx="49">
                  <c:v>28653.114087469523</c:v>
                </c:pt>
                <c:pt idx="50">
                  <c:v>29410.342251575927</c:v>
                </c:pt>
                <c:pt idx="51">
                  <c:v>30778.501667460881</c:v>
                </c:pt>
                <c:pt idx="52">
                  <c:v>29752.583650819044</c:v>
                </c:pt>
                <c:pt idx="53">
                  <c:v>31381.651697657213</c:v>
                </c:pt>
                <c:pt idx="54">
                  <c:v>30409.246335455751</c:v>
                </c:pt>
                <c:pt idx="55">
                  <c:v>30349.235533047577</c:v>
                </c:pt>
                <c:pt idx="56">
                  <c:v>30541.790007728923</c:v>
                </c:pt>
                <c:pt idx="57">
                  <c:v>30608.94177709569</c:v>
                </c:pt>
                <c:pt idx="58">
                  <c:v>32344.907962818848</c:v>
                </c:pt>
                <c:pt idx="59">
                  <c:v>36128.928670022673</c:v>
                </c:pt>
                <c:pt idx="60">
                  <c:v>34626.156824097277</c:v>
                </c:pt>
                <c:pt idx="61">
                  <c:v>35874.339610499628</c:v>
                </c:pt>
                <c:pt idx="62">
                  <c:v>38900.915644655761</c:v>
                </c:pt>
                <c:pt idx="63">
                  <c:v>36743.424446742021</c:v>
                </c:pt>
                <c:pt idx="64">
                  <c:v>34821.321029641942</c:v>
                </c:pt>
                <c:pt idx="65">
                  <c:v>36858.819739933657</c:v>
                </c:pt>
                <c:pt idx="66">
                  <c:v>35751.139579362731</c:v>
                </c:pt>
                <c:pt idx="67">
                  <c:v>37841.235416082331</c:v>
                </c:pt>
                <c:pt idx="68">
                  <c:v>36255.602434994318</c:v>
                </c:pt>
                <c:pt idx="69">
                  <c:v>35142.287223646694</c:v>
                </c:pt>
                <c:pt idx="70">
                  <c:v>32213.908454191438</c:v>
                </c:pt>
                <c:pt idx="71">
                  <c:v>32583.788715259765</c:v>
                </c:pt>
                <c:pt idx="72">
                  <c:v>32917.099160408055</c:v>
                </c:pt>
                <c:pt idx="73">
                  <c:v>28187.222991651328</c:v>
                </c:pt>
                <c:pt idx="74">
                  <c:v>26435.503761310531</c:v>
                </c:pt>
                <c:pt idx="75">
                  <c:v>28644.548645832561</c:v>
                </c:pt>
                <c:pt idx="76">
                  <c:v>29051.005072950204</c:v>
                </c:pt>
                <c:pt idx="77">
                  <c:v>27374.191378427473</c:v>
                </c:pt>
                <c:pt idx="78">
                  <c:v>27080.646848857763</c:v>
                </c:pt>
                <c:pt idx="79">
                  <c:v>24693.417421107155</c:v>
                </c:pt>
                <c:pt idx="80">
                  <c:v>22477.401360462205</c:v>
                </c:pt>
                <c:pt idx="81">
                  <c:v>24443.032644400235</c:v>
                </c:pt>
                <c:pt idx="82">
                  <c:v>25349.013747131969</c:v>
                </c:pt>
                <c:pt idx="83">
                  <c:v>26007.953274208627</c:v>
                </c:pt>
                <c:pt idx="84">
                  <c:v>26126.938760087272</c:v>
                </c:pt>
                <c:pt idx="85">
                  <c:v>24838.328871851008</c:v>
                </c:pt>
                <c:pt idx="86">
                  <c:v>26100.991241249318</c:v>
                </c:pt>
                <c:pt idx="87">
                  <c:v>25083.491864674332</c:v>
                </c:pt>
                <c:pt idx="88">
                  <c:v>24740.01175937798</c:v>
                </c:pt>
                <c:pt idx="89">
                  <c:v>22035.983267500833</c:v>
                </c:pt>
                <c:pt idx="90">
                  <c:v>20405.407609738235</c:v>
                </c:pt>
                <c:pt idx="91">
                  <c:v>20406.602791026547</c:v>
                </c:pt>
                <c:pt idx="92">
                  <c:v>19015.726122115324</c:v>
                </c:pt>
                <c:pt idx="93">
                  <c:v>20252.479823825503</c:v>
                </c:pt>
                <c:pt idx="94">
                  <c:v>21542.920502368968</c:v>
                </c:pt>
                <c:pt idx="95">
                  <c:v>20565.330198041702</c:v>
                </c:pt>
                <c:pt idx="96">
                  <c:v>20286.219049460462</c:v>
                </c:pt>
                <c:pt idx="97">
                  <c:v>20286.219049460462</c:v>
                </c:pt>
                <c:pt idx="98">
                  <c:v>20570.239188092124</c:v>
                </c:pt>
                <c:pt idx="99">
                  <c:v>21630.230396837222</c:v>
                </c:pt>
                <c:pt idx="100">
                  <c:v>22632.015009270151</c:v>
                </c:pt>
                <c:pt idx="101">
                  <c:v>23641.864391071631</c:v>
                </c:pt>
                <c:pt idx="102">
                  <c:v>23741.096118519486</c:v>
                </c:pt>
                <c:pt idx="103">
                  <c:v>23962.877276154708</c:v>
                </c:pt>
                <c:pt idx="104">
                  <c:v>24184.658433789926</c:v>
                </c:pt>
                <c:pt idx="105">
                  <c:v>24535.300580248775</c:v>
                </c:pt>
                <c:pt idx="106">
                  <c:v>25236.58487316647</c:v>
                </c:pt>
                <c:pt idx="107">
                  <c:v>25411.204662102973</c:v>
                </c:pt>
                <c:pt idx="108">
                  <c:v>25303.557523140109</c:v>
                </c:pt>
                <c:pt idx="109">
                  <c:v>25816.897625555863</c:v>
                </c:pt>
                <c:pt idx="110">
                  <c:v>25977.842370780472</c:v>
                </c:pt>
                <c:pt idx="111">
                  <c:v>25977.842370780472</c:v>
                </c:pt>
                <c:pt idx="112">
                  <c:v>25874.935913637732</c:v>
                </c:pt>
                <c:pt idx="113">
                  <c:v>26872.512820313153</c:v>
                </c:pt>
                <c:pt idx="114">
                  <c:v>25966.453513863489</c:v>
                </c:pt>
                <c:pt idx="115">
                  <c:v>25314.259121450035</c:v>
                </c:pt>
                <c:pt idx="116">
                  <c:v>25881.24747227399</c:v>
                </c:pt>
                <c:pt idx="117">
                  <c:v>26940.888038872625</c:v>
                </c:pt>
                <c:pt idx="118">
                  <c:v>28369.404143545966</c:v>
                </c:pt>
                <c:pt idx="119">
                  <c:v>28973.209919748104</c:v>
                </c:pt>
                <c:pt idx="120">
                  <c:v>28124.305283171234</c:v>
                </c:pt>
                <c:pt idx="121">
                  <c:v>28706.020604146463</c:v>
                </c:pt>
                <c:pt idx="122">
                  <c:v>26782.748430819684</c:v>
                </c:pt>
                <c:pt idx="123">
                  <c:v>25581.448437051673</c:v>
                </c:pt>
                <c:pt idx="124">
                  <c:v>26627.063317791955</c:v>
                </c:pt>
                <c:pt idx="125">
                  <c:v>26903.018687055068</c:v>
                </c:pt>
                <c:pt idx="126">
                  <c:v>27663.561502724308</c:v>
                </c:pt>
                <c:pt idx="127">
                  <c:v>26619.699832716316</c:v>
                </c:pt>
                <c:pt idx="128">
                  <c:v>26412.119682012679</c:v>
                </c:pt>
                <c:pt idx="129">
                  <c:v>25859.157017047077</c:v>
                </c:pt>
                <c:pt idx="130">
                  <c:v>27214.73955525698</c:v>
                </c:pt>
                <c:pt idx="131">
                  <c:v>27137.068813394882</c:v>
                </c:pt>
                <c:pt idx="132">
                  <c:v>27786.408978736166</c:v>
                </c:pt>
                <c:pt idx="133">
                  <c:v>28230.009864642721</c:v>
                </c:pt>
                <c:pt idx="134">
                  <c:v>28502.409722540742</c:v>
                </c:pt>
                <c:pt idx="135">
                  <c:v>28464.291414799201</c:v>
                </c:pt>
                <c:pt idx="136">
                  <c:v>26640.13876343341</c:v>
                </c:pt>
                <c:pt idx="137">
                  <c:v>26385.526981625248</c:v>
                </c:pt>
                <c:pt idx="138">
                  <c:v>26045.870453614956</c:v>
                </c:pt>
                <c:pt idx="139">
                  <c:v>26208.066991302425</c:v>
                </c:pt>
                <c:pt idx="140">
                  <c:v>26382.353670199798</c:v>
                </c:pt>
                <c:pt idx="141">
                  <c:v>26511.810750672401</c:v>
                </c:pt>
                <c:pt idx="142">
                  <c:v>26679.400164572406</c:v>
                </c:pt>
                <c:pt idx="143">
                  <c:v>26468.538003377911</c:v>
                </c:pt>
                <c:pt idx="144">
                  <c:v>26707.195567522198</c:v>
                </c:pt>
                <c:pt idx="145">
                  <c:v>26496.505220979474</c:v>
                </c:pt>
                <c:pt idx="146">
                  <c:v>26115.574605909507</c:v>
                </c:pt>
                <c:pt idx="147">
                  <c:v>27826.592568720353</c:v>
                </c:pt>
                <c:pt idx="148">
                  <c:v>28592.030348754161</c:v>
                </c:pt>
                <c:pt idx="149">
                  <c:v>28189.268753645672</c:v>
                </c:pt>
                <c:pt idx="150">
                  <c:v>27291.396941315819</c:v>
                </c:pt>
                <c:pt idx="151">
                  <c:v>27771.468116875556</c:v>
                </c:pt>
                <c:pt idx="152">
                  <c:v>28784.890542149449</c:v>
                </c:pt>
                <c:pt idx="153">
                  <c:v>29207.06018006444</c:v>
                </c:pt>
                <c:pt idx="154">
                  <c:v>28080.345277269691</c:v>
                </c:pt>
                <c:pt idx="155">
                  <c:v>27994.837683434238</c:v>
                </c:pt>
                <c:pt idx="156">
                  <c:v>25633.809828782378</c:v>
                </c:pt>
                <c:pt idx="157">
                  <c:v>24738.879904061319</c:v>
                </c:pt>
                <c:pt idx="158">
                  <c:v>24798.268164407051</c:v>
                </c:pt>
                <c:pt idx="159">
                  <c:v>26021.546407915099</c:v>
                </c:pt>
                <c:pt idx="160">
                  <c:v>26791.223451499591</c:v>
                </c:pt>
                <c:pt idx="161">
                  <c:v>25095.907244007176</c:v>
                </c:pt>
                <c:pt idx="162">
                  <c:v>24331.184773952147</c:v>
                </c:pt>
                <c:pt idx="163">
                  <c:v>24267.034793257502</c:v>
                </c:pt>
                <c:pt idx="164">
                  <c:v>21502.999893994627</c:v>
                </c:pt>
                <c:pt idx="165">
                  <c:v>17717.807403706975</c:v>
                </c:pt>
                <c:pt idx="166">
                  <c:v>16192.240565736749</c:v>
                </c:pt>
                <c:pt idx="167">
                  <c:v>16619.056212092317</c:v>
                </c:pt>
                <c:pt idx="168">
                  <c:v>15967.454404906377</c:v>
                </c:pt>
                <c:pt idx="169">
                  <c:v>14792.343873057378</c:v>
                </c:pt>
                <c:pt idx="170">
                  <c:v>15532.763335941345</c:v>
                </c:pt>
                <c:pt idx="171">
                  <c:v>16986.171526591803</c:v>
                </c:pt>
                <c:pt idx="172">
                  <c:v>18044.416537447531</c:v>
                </c:pt>
                <c:pt idx="173">
                  <c:v>18316.42367614152</c:v>
                </c:pt>
                <c:pt idx="174">
                  <c:v>18982.198438887321</c:v>
                </c:pt>
                <c:pt idx="175">
                  <c:v>18906.940114992856</c:v>
                </c:pt>
                <c:pt idx="176">
                  <c:v>19631.46146295638</c:v>
                </c:pt>
                <c:pt idx="177">
                  <c:v>19395.41968922468</c:v>
                </c:pt>
                <c:pt idx="178">
                  <c:v>20208.115651124142</c:v>
                </c:pt>
                <c:pt idx="179">
                  <c:v>20895.950290884066</c:v>
                </c:pt>
                <c:pt idx="180">
                  <c:v>20165.926239873024</c:v>
                </c:pt>
                <c:pt idx="181">
                  <c:v>20852.677247494648</c:v>
                </c:pt>
                <c:pt idx="182">
                  <c:v>22020.860213397431</c:v>
                </c:pt>
                <c:pt idx="183">
                  <c:v>22904.003205601162</c:v>
                </c:pt>
                <c:pt idx="184">
                  <c:v>21053.152633182031</c:v>
                </c:pt>
                <c:pt idx="185">
                  <c:v>20034.00176726465</c:v>
                </c:pt>
                <c:pt idx="186">
                  <c:v>21298.122298478185</c:v>
                </c:pt>
                <c:pt idx="187">
                  <c:v>20565.349605948089</c:v>
                </c:pt>
                <c:pt idx="188">
                  <c:v>22584.235401946153</c:v>
                </c:pt>
                <c:pt idx="189">
                  <c:v>23351.006622802637</c:v>
                </c:pt>
                <c:pt idx="190">
                  <c:v>23458.37908724897</c:v>
                </c:pt>
                <c:pt idx="191">
                  <c:v>24773.372402552479</c:v>
                </c:pt>
                <c:pt idx="192">
                  <c:v>24962.407479038462</c:v>
                </c:pt>
                <c:pt idx="193">
                  <c:v>25232.548533916975</c:v>
                </c:pt>
                <c:pt idx="194">
                  <c:v>24823.277226983981</c:v>
                </c:pt>
                <c:pt idx="195">
                  <c:v>25520.514928908957</c:v>
                </c:pt>
                <c:pt idx="196">
                  <c:v>25008.585394112415</c:v>
                </c:pt>
                <c:pt idx="197">
                  <c:v>24317.708210760007</c:v>
                </c:pt>
                <c:pt idx="198">
                  <c:v>24171.434388583537</c:v>
                </c:pt>
                <c:pt idx="199">
                  <c:v>23325.948745757934</c:v>
                </c:pt>
                <c:pt idx="200">
                  <c:v>22077.461104076476</c:v>
                </c:pt>
                <c:pt idx="201">
                  <c:v>23790.051936202821</c:v>
                </c:pt>
                <c:pt idx="202">
                  <c:v>23258.673962584398</c:v>
                </c:pt>
                <c:pt idx="203">
                  <c:v>23581.82944642222</c:v>
                </c:pt>
                <c:pt idx="204">
                  <c:v>25067.183006928397</c:v>
                </c:pt>
                <c:pt idx="205">
                  <c:v>25927.677483223026</c:v>
                </c:pt>
                <c:pt idx="206">
                  <c:v>26726.597718718949</c:v>
                </c:pt>
                <c:pt idx="207">
                  <c:v>26583.931466248887</c:v>
                </c:pt>
                <c:pt idx="208">
                  <c:v>24928.887968674324</c:v>
                </c:pt>
                <c:pt idx="209">
                  <c:v>25671.114154585284</c:v>
                </c:pt>
                <c:pt idx="210">
                  <c:v>25772.265847932777</c:v>
                </c:pt>
                <c:pt idx="211">
                  <c:v>26475.019370676851</c:v>
                </c:pt>
                <c:pt idx="212">
                  <c:v>26905.721694139804</c:v>
                </c:pt>
                <c:pt idx="213">
                  <c:v>26660.011551483552</c:v>
                </c:pt>
                <c:pt idx="214">
                  <c:v>26739.609565967381</c:v>
                </c:pt>
                <c:pt idx="215">
                  <c:v>26826.98594656981</c:v>
                </c:pt>
                <c:pt idx="216">
                  <c:v>27758.617443256215</c:v>
                </c:pt>
                <c:pt idx="217">
                  <c:v>27818.479126156606</c:v>
                </c:pt>
                <c:pt idx="218">
                  <c:v>28464.837997549683</c:v>
                </c:pt>
                <c:pt idx="219">
                  <c:v>28666.174327948924</c:v>
                </c:pt>
                <c:pt idx="220">
                  <c:v>28797.526321157176</c:v>
                </c:pt>
                <c:pt idx="221">
                  <c:v>28506.469321983506</c:v>
                </c:pt>
                <c:pt idx="222">
                  <c:v>29443.271426170617</c:v>
                </c:pt>
                <c:pt idx="223">
                  <c:v>29175.040548354984</c:v>
                </c:pt>
                <c:pt idx="224">
                  <c:v>29585.58738270693</c:v>
                </c:pt>
                <c:pt idx="225">
                  <c:v>30187.964653529507</c:v>
                </c:pt>
                <c:pt idx="226">
                  <c:v>30820.715875188554</c:v>
                </c:pt>
                <c:pt idx="227">
                  <c:v>31384.760951869459</c:v>
                </c:pt>
                <c:pt idx="228">
                  <c:v>30445.388367666619</c:v>
                </c:pt>
                <c:pt idx="229">
                  <c:v>31377.102201032827</c:v>
                </c:pt>
                <c:pt idx="230">
                  <c:v>31731.07648559946</c:v>
                </c:pt>
                <c:pt idx="231">
                  <c:v>31956.157096059113</c:v>
                </c:pt>
                <c:pt idx="232">
                  <c:v>32622.788922312731</c:v>
                </c:pt>
                <c:pt idx="233">
                  <c:v>33289.423312594081</c:v>
                </c:pt>
                <c:pt idx="234">
                  <c:v>32990.75510621498</c:v>
                </c:pt>
                <c:pt idx="235">
                  <c:v>34209.406719084618</c:v>
                </c:pt>
                <c:pt idx="236">
                  <c:v>34065.746809266842</c:v>
                </c:pt>
                <c:pt idx="237">
                  <c:v>34879.341491450017</c:v>
                </c:pt>
                <c:pt idx="238">
                  <c:v>36022.895884462203</c:v>
                </c:pt>
                <c:pt idx="239">
                  <c:v>35899.887450072907</c:v>
                </c:pt>
                <c:pt idx="240">
                  <c:v>35497.625621206098</c:v>
                </c:pt>
                <c:pt idx="241">
                  <c:v>36954.196981788751</c:v>
                </c:pt>
                <c:pt idx="242">
                  <c:v>36556.691771114747</c:v>
                </c:pt>
                <c:pt idx="243">
                  <c:v>36524.036935459109</c:v>
                </c:pt>
                <c:pt idx="244">
                  <c:v>37289.221822540807</c:v>
                </c:pt>
                <c:pt idx="245">
                  <c:v>36358.419735856922</c:v>
                </c:pt>
                <c:pt idx="246">
                  <c:v>37011.392392895526</c:v>
                </c:pt>
                <c:pt idx="247">
                  <c:v>35000.036153326313</c:v>
                </c:pt>
                <c:pt idx="248">
                  <c:v>34519.534208813682</c:v>
                </c:pt>
                <c:pt idx="249">
                  <c:v>36440.907662409874</c:v>
                </c:pt>
                <c:pt idx="250">
                  <c:v>36258.217538194956</c:v>
                </c:pt>
                <c:pt idx="251">
                  <c:v>35613.029984976187</c:v>
                </c:pt>
                <c:pt idx="252">
                  <c:v>33961.771077624733</c:v>
                </c:pt>
                <c:pt idx="253">
                  <c:v>33828.092284048878</c:v>
                </c:pt>
                <c:pt idx="254">
                  <c:v>35652.812786011411</c:v>
                </c:pt>
                <c:pt idx="255">
                  <c:v>35545.119212469646</c:v>
                </c:pt>
                <c:pt idx="256">
                  <c:v>36276.450794167838</c:v>
                </c:pt>
                <c:pt idx="257">
                  <c:v>36481.166522407264</c:v>
                </c:pt>
                <c:pt idx="258">
                  <c:v>37595.571010586114</c:v>
                </c:pt>
                <c:pt idx="259">
                  <c:v>37600.006793584369</c:v>
                </c:pt>
                <c:pt idx="260">
                  <c:v>37623.847119036291</c:v>
                </c:pt>
                <c:pt idx="261">
                  <c:v>36475.314454008876</c:v>
                </c:pt>
                <c:pt idx="262">
                  <c:v>36934.735762369703</c:v>
                </c:pt>
                <c:pt idx="263">
                  <c:v>37530.272205955254</c:v>
                </c:pt>
                <c:pt idx="264">
                  <c:v>38055.804432829893</c:v>
                </c:pt>
                <c:pt idx="265">
                  <c:v>39236.353778610195</c:v>
                </c:pt>
                <c:pt idx="266">
                  <c:v>39347.543078179493</c:v>
                </c:pt>
                <c:pt idx="267">
                  <c:v>39619.261838093713</c:v>
                </c:pt>
                <c:pt idx="268">
                  <c:v>39864.927499798556</c:v>
                </c:pt>
                <c:pt idx="269">
                  <c:v>40112.36526672262</c:v>
                </c:pt>
                <c:pt idx="270">
                  <c:v>40933.897246501634</c:v>
                </c:pt>
                <c:pt idx="271">
                  <c:v>41491.773423902872</c:v>
                </c:pt>
                <c:pt idx="272">
                  <c:v>41790.919815076137</c:v>
                </c:pt>
                <c:pt idx="273">
                  <c:v>42809.761529326097</c:v>
                </c:pt>
                <c:pt idx="274">
                  <c:v>44175.880109472411</c:v>
                </c:pt>
                <c:pt idx="275">
                  <c:v>44447.842614134184</c:v>
                </c:pt>
                <c:pt idx="276">
                  <c:v>46496.661447996601</c:v>
                </c:pt>
                <c:pt idx="277">
                  <c:v>45032.914731747303</c:v>
                </c:pt>
                <c:pt idx="278">
                  <c:v>43835.6913454729</c:v>
                </c:pt>
                <c:pt idx="279">
                  <c:v>44126.348707197176</c:v>
                </c:pt>
                <c:pt idx="280">
                  <c:v>44830.476400388383</c:v>
                </c:pt>
                <c:pt idx="281">
                  <c:v>45471.383694283984</c:v>
                </c:pt>
                <c:pt idx="282">
                  <c:v>46761.403254876219</c:v>
                </c:pt>
                <c:pt idx="283">
                  <c:v>48111.899918361392</c:v>
                </c:pt>
                <c:pt idx="284">
                  <c:v>48358.716862097797</c:v>
                </c:pt>
                <c:pt idx="285">
                  <c:v>45485.723086470411</c:v>
                </c:pt>
                <c:pt idx="286">
                  <c:v>46958.950495555393</c:v>
                </c:pt>
                <c:pt idx="287">
                  <c:v>43110.469422177397</c:v>
                </c:pt>
                <c:pt idx="288">
                  <c:v>46447.037931960993</c:v>
                </c:pt>
                <c:pt idx="289">
                  <c:v>47153.627366156579</c:v>
                </c:pt>
                <c:pt idx="290">
                  <c:v>48547.368945504073</c:v>
                </c:pt>
                <c:pt idx="291">
                  <c:v>50446.390340922022</c:v>
                </c:pt>
                <c:pt idx="292">
                  <c:v>48265.863380044051</c:v>
                </c:pt>
                <c:pt idx="293">
                  <c:v>51012.575822084567</c:v>
                </c:pt>
                <c:pt idx="294">
                  <c:v>51693.782912543727</c:v>
                </c:pt>
                <c:pt idx="295">
                  <c:v>51096.805735700924</c:v>
                </c:pt>
                <c:pt idx="296">
                  <c:v>51519.098966860671</c:v>
                </c:pt>
                <c:pt idx="297">
                  <c:v>52865.778436804641</c:v>
                </c:pt>
                <c:pt idx="298">
                  <c:v>54559.685478759719</c:v>
                </c:pt>
                <c:pt idx="299">
                  <c:v>56298.638892797921</c:v>
                </c:pt>
                <c:pt idx="300">
                  <c:v>56529.813592621584</c:v>
                </c:pt>
                <c:pt idx="301">
                  <c:v>52604.911718125732</c:v>
                </c:pt>
                <c:pt idx="302">
                  <c:v>47776.459655096442</c:v>
                </c:pt>
                <c:pt idx="303">
                  <c:v>53611.177906298632</c:v>
                </c:pt>
                <c:pt idx="304">
                  <c:v>55762.210750902144</c:v>
                </c:pt>
                <c:pt idx="305">
                  <c:v>57158.43438928407</c:v>
                </c:pt>
                <c:pt idx="306">
                  <c:v>60647.009847470501</c:v>
                </c:pt>
                <c:pt idx="307">
                  <c:v>64877.837842742192</c:v>
                </c:pt>
                <c:pt idx="308">
                  <c:v>62777.25335289316</c:v>
                </c:pt>
                <c:pt idx="309">
                  <c:v>60475.833501573987</c:v>
                </c:pt>
                <c:pt idx="310">
                  <c:v>65060.454822652951</c:v>
                </c:pt>
                <c:pt idx="311">
                  <c:v>67535.012999421204</c:v>
                </c:pt>
                <c:pt idx="312">
                  <c:v>66306.951392895979</c:v>
                </c:pt>
                <c:pt idx="313">
                  <c:v>67784.096988348523</c:v>
                </c:pt>
                <c:pt idx="314">
                  <c:v>69093.23887745259</c:v>
                </c:pt>
                <c:pt idx="315">
                  <c:v>73058.121670980792</c:v>
                </c:pt>
                <c:pt idx="316">
                  <c:v>73282.090241592217</c:v>
                </c:pt>
                <c:pt idx="317">
                  <c:v>75842.860782169068</c:v>
                </c:pt>
                <c:pt idx="318">
                  <c:v>77405.959285157616</c:v>
                </c:pt>
                <c:pt idx="319">
                  <c:v>79735.034975932693</c:v>
                </c:pt>
                <c:pt idx="320">
                  <c:v>75464.104235619801</c:v>
                </c:pt>
                <c:pt idx="321">
                  <c:v>80629.072513459978</c:v>
                </c:pt>
                <c:pt idx="322">
                  <c:v>81107.52767810208</c:v>
                </c:pt>
                <c:pt idx="323">
                  <c:v>84181.186505173304</c:v>
                </c:pt>
                <c:pt idx="324">
                  <c:v>79728.973977495902</c:v>
                </c:pt>
                <c:pt idx="325">
                  <c:v>78291.342792998272</c:v>
                </c:pt>
                <c:pt idx="326">
                  <c:v>80724.412904604324</c:v>
                </c:pt>
                <c:pt idx="327">
                  <c:v>73589.883666382768</c:v>
                </c:pt>
                <c:pt idx="328">
                  <c:v>73395.478507189357</c:v>
                </c:pt>
                <c:pt idx="329">
                  <c:v>68487.656667043921</c:v>
                </c:pt>
                <c:pt idx="330">
                  <c:v>74167.53743270415</c:v>
                </c:pt>
                <c:pt idx="331">
                  <c:v>71178.226267993348</c:v>
                </c:pt>
                <c:pt idx="332">
                  <c:v>64934.409957810116</c:v>
                </c:pt>
                <c:pt idx="333">
                  <c:v>69718.595481125129</c:v>
                </c:pt>
                <c:pt idx="334">
                  <c:v>73091.602287681148</c:v>
                </c:pt>
                <c:pt idx="335">
                  <c:v>68995.874350385609</c:v>
                </c:pt>
              </c:numCache>
            </c:numRef>
          </c:val>
          <c:smooth val="0"/>
          <c:extLst>
            <c:ext xmlns:c16="http://schemas.microsoft.com/office/drawing/2014/chart" uri="{C3380CC4-5D6E-409C-BE32-E72D297353CC}">
              <c16:uniqueId val="{0000000D-7000-43A6-AFE6-277F268E6866}"/>
            </c:ext>
          </c:extLst>
        </c:ser>
        <c:ser>
          <c:idx val="14"/>
          <c:order val="14"/>
          <c:tx>
            <c:v>S&amp;P500</c:v>
          </c:tx>
          <c:spPr>
            <a:ln w="22225" cap="rnd">
              <a:solidFill>
                <a:schemeClr val="accent3">
                  <a:lumMod val="80000"/>
                  <a:lumOff val="20000"/>
                </a:schemeClr>
              </a:solidFill>
            </a:ln>
            <a:effectLst>
              <a:glow rad="139700">
                <a:schemeClr val="accent3">
                  <a:lumMod val="80000"/>
                  <a:lumOff val="20000"/>
                  <a:satMod val="175000"/>
                  <a:alpha val="14000"/>
                </a:schemeClr>
              </a:glow>
            </a:effectLst>
          </c:spPr>
          <c:marker>
            <c:symbol val="none"/>
          </c:marker>
          <c:cat>
            <c:numRef>
              <c:f>'Monthly Returns'!$A$4:$A$339</c:f>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f>'Monthly Returns'!$P$4:$P$339</c:f>
              <c:numCache>
                <c:formatCode>0.00</c:formatCode>
                <c:ptCount val="336"/>
                <c:pt idx="1">
                  <c:v>10000</c:v>
                </c:pt>
                <c:pt idx="2">
                  <c:v>10296</c:v>
                </c:pt>
                <c:pt idx="3">
                  <c:v>10595.613599999999</c:v>
                </c:pt>
                <c:pt idx="4">
                  <c:v>11014.1403372</c:v>
                </c:pt>
                <c:pt idx="5">
                  <c:v>11272.972635124201</c:v>
                </c:pt>
                <c:pt idx="6">
                  <c:v>11648.362623873838</c:v>
                </c:pt>
                <c:pt idx="7">
                  <c:v>11679.813202958296</c:v>
                </c:pt>
                <c:pt idx="8">
                  <c:v>12169.197376162248</c:v>
                </c:pt>
                <c:pt idx="9">
                  <c:v>12126.605185345681</c:v>
                </c:pt>
                <c:pt idx="10">
                  <c:v>12660.175813500891</c:v>
                </c:pt>
                <c:pt idx="11">
                  <c:v>12894.389066050657</c:v>
                </c:pt>
                <c:pt idx="12">
                  <c:v>13337.956049922799</c:v>
                </c:pt>
                <c:pt idx="13">
                  <c:v>13466.000428002058</c:v>
                </c:pt>
                <c:pt idx="14">
                  <c:v>13595.274032110879</c:v>
                </c:pt>
                <c:pt idx="15">
                  <c:v>13795.124560382908</c:v>
                </c:pt>
                <c:pt idx="16">
                  <c:v>14151.038774040788</c:v>
                </c:pt>
                <c:pt idx="17">
                  <c:v>14209.058033014355</c:v>
                </c:pt>
                <c:pt idx="18">
                  <c:v>13576.754950545217</c:v>
                </c:pt>
                <c:pt idx="19">
                  <c:v>13864.582155496777</c:v>
                </c:pt>
                <c:pt idx="20">
                  <c:v>14643.771672635696</c:v>
                </c:pt>
                <c:pt idx="21">
                  <c:v>15045.011016465915</c:v>
                </c:pt>
                <c:pt idx="22">
                  <c:v>16186.927352615679</c:v>
                </c:pt>
                <c:pt idx="23">
                  <c:v>15869.663576504412</c:v>
                </c:pt>
                <c:pt idx="24">
                  <c:v>16855.169684605338</c:v>
                </c:pt>
                <c:pt idx="25">
                  <c:v>16991.696559050641</c:v>
                </c:pt>
                <c:pt idx="26">
                  <c:v>16284.841982194135</c:v>
                </c:pt>
                <c:pt idx="27">
                  <c:v>17257.047048531127</c:v>
                </c:pt>
                <c:pt idx="28">
                  <c:v>18316.629737310937</c:v>
                </c:pt>
                <c:pt idx="29">
                  <c:v>19133.551423595003</c:v>
                </c:pt>
                <c:pt idx="30">
                  <c:v>20652.755406628447</c:v>
                </c:pt>
                <c:pt idx="31">
                  <c:v>19504.462206019904</c:v>
                </c:pt>
                <c:pt idx="32">
                  <c:v>20573.306734909795</c:v>
                </c:pt>
                <c:pt idx="33">
                  <c:v>19886.158289963809</c:v>
                </c:pt>
                <c:pt idx="34">
                  <c:v>20806.887418789134</c:v>
                </c:pt>
                <c:pt idx="35">
                  <c:v>21164.765882392308</c:v>
                </c:pt>
                <c:pt idx="36">
                  <c:v>21399.694783686864</c:v>
                </c:pt>
                <c:pt idx="37">
                  <c:v>22942.612777590686</c:v>
                </c:pt>
                <c:pt idx="38">
                  <c:v>24117.274551803326</c:v>
                </c:pt>
                <c:pt idx="39">
                  <c:v>24360.859024776539</c:v>
                </c:pt>
                <c:pt idx="40">
                  <c:v>23941.852249550382</c:v>
                </c:pt>
                <c:pt idx="41">
                  <c:v>24913.891450882125</c:v>
                </c:pt>
                <c:pt idx="42">
                  <c:v>24649.804201502775</c:v>
                </c:pt>
                <c:pt idx="43">
                  <c:v>21085.44251396547</c:v>
                </c:pt>
                <c:pt idx="44">
                  <c:v>22437.019379110658</c:v>
                </c:pt>
                <c:pt idx="45">
                  <c:v>24261.149054632351</c:v>
                </c:pt>
                <c:pt idx="46">
                  <c:v>25731.374687343072</c:v>
                </c:pt>
                <c:pt idx="47">
                  <c:v>27213.501869334035</c:v>
                </c:pt>
                <c:pt idx="48">
                  <c:v>28351.0262474722</c:v>
                </c:pt>
                <c:pt idx="49">
                  <c:v>27469.309331175813</c:v>
                </c:pt>
                <c:pt idx="50">
                  <c:v>28568.081704422846</c:v>
                </c:pt>
                <c:pt idx="51">
                  <c:v>29673.666466384009</c:v>
                </c:pt>
                <c:pt idx="52">
                  <c:v>28973.367937777348</c:v>
                </c:pt>
                <c:pt idx="53">
                  <c:v>30581.389858323993</c:v>
                </c:pt>
                <c:pt idx="54">
                  <c:v>29627.250494744283</c:v>
                </c:pt>
                <c:pt idx="55">
                  <c:v>29479.11424227056</c:v>
                </c:pt>
                <c:pt idx="56">
                  <c:v>28671.386512032346</c:v>
                </c:pt>
                <c:pt idx="57">
                  <c:v>30486.285278243991</c:v>
                </c:pt>
                <c:pt idx="58">
                  <c:v>31105.156869392344</c:v>
                </c:pt>
                <c:pt idx="59">
                  <c:v>32937.250608999551</c:v>
                </c:pt>
                <c:pt idx="60">
                  <c:v>31283.800628427773</c:v>
                </c:pt>
                <c:pt idx="61">
                  <c:v>30692.536796550488</c:v>
                </c:pt>
                <c:pt idx="62">
                  <c:v>33694.266895253124</c:v>
                </c:pt>
                <c:pt idx="63">
                  <c:v>32680.069461706003</c:v>
                </c:pt>
                <c:pt idx="64">
                  <c:v>32010.128037741033</c:v>
                </c:pt>
                <c:pt idx="65">
                  <c:v>32797.577187469462</c:v>
                </c:pt>
                <c:pt idx="66">
                  <c:v>32285.934983344941</c:v>
                </c:pt>
                <c:pt idx="67">
                  <c:v>34290.891545810664</c:v>
                </c:pt>
                <c:pt idx="68">
                  <c:v>32480.332472191862</c:v>
                </c:pt>
                <c:pt idx="69">
                  <c:v>32343.915075808658</c:v>
                </c:pt>
                <c:pt idx="70">
                  <c:v>29795.214567834937</c:v>
                </c:pt>
                <c:pt idx="71">
                  <c:v>29941.211119217325</c:v>
                </c:pt>
                <c:pt idx="72">
                  <c:v>31004.124113949543</c:v>
                </c:pt>
                <c:pt idx="73">
                  <c:v>28176.547994757348</c:v>
                </c:pt>
                <c:pt idx="74">
                  <c:v>26390.154851889733</c:v>
                </c:pt>
                <c:pt idx="75">
                  <c:v>28440.669883881568</c:v>
                </c:pt>
                <c:pt idx="76">
                  <c:v>28631.222372103573</c:v>
                </c:pt>
                <c:pt idx="77">
                  <c:v>27935.483668461457</c:v>
                </c:pt>
                <c:pt idx="78">
                  <c:v>27661.715928510534</c:v>
                </c:pt>
                <c:pt idx="79">
                  <c:v>25930.092511385774</c:v>
                </c:pt>
                <c:pt idx="80">
                  <c:v>23834.941036465803</c:v>
                </c:pt>
                <c:pt idx="81">
                  <c:v>24290.188410262297</c:v>
                </c:pt>
                <c:pt idx="82">
                  <c:v>26153.245861329415</c:v>
                </c:pt>
                <c:pt idx="83">
                  <c:v>26383.394424909111</c:v>
                </c:pt>
                <c:pt idx="84">
                  <c:v>25998.196866305439</c:v>
                </c:pt>
                <c:pt idx="85">
                  <c:v>25496.431666785746</c:v>
                </c:pt>
                <c:pt idx="86">
                  <c:v>26455.097497456893</c:v>
                </c:pt>
                <c:pt idx="87">
                  <c:v>24851.918589111006</c:v>
                </c:pt>
                <c:pt idx="88">
                  <c:v>24668.014391551587</c:v>
                </c:pt>
                <c:pt idx="89">
                  <c:v>22911.651766873114</c:v>
                </c:pt>
                <c:pt idx="90">
                  <c:v>21124.542929057014</c:v>
                </c:pt>
                <c:pt idx="91">
                  <c:v>21263.96491238879</c:v>
                </c:pt>
                <c:pt idx="92">
                  <c:v>18952.571926412129</c:v>
                </c:pt>
                <c:pt idx="93">
                  <c:v>20620.398255936398</c:v>
                </c:pt>
                <c:pt idx="94">
                  <c:v>21834.93971321105</c:v>
                </c:pt>
                <c:pt idx="95">
                  <c:v>20551.045258074242</c:v>
                </c:pt>
                <c:pt idx="96">
                  <c:v>20012.607872312696</c:v>
                </c:pt>
                <c:pt idx="97">
                  <c:v>19712.418754228005</c:v>
                </c:pt>
                <c:pt idx="98">
                  <c:v>19903.629216144018</c:v>
                </c:pt>
                <c:pt idx="99">
                  <c:v>21543.688263554286</c:v>
                </c:pt>
                <c:pt idx="100">
                  <c:v>22679.040635043595</c:v>
                </c:pt>
                <c:pt idx="101">
                  <c:v>22969.332355172151</c:v>
                </c:pt>
                <c:pt idx="102">
                  <c:v>23373.592604623183</c:v>
                </c:pt>
                <c:pt idx="103">
                  <c:v>23829.377660413338</c:v>
                </c:pt>
                <c:pt idx="104">
                  <c:v>23576.786257212956</c:v>
                </c:pt>
                <c:pt idx="105">
                  <c:v>24911.23235937121</c:v>
                </c:pt>
                <c:pt idx="106">
                  <c:v>25130.451204133675</c:v>
                </c:pt>
                <c:pt idx="107">
                  <c:v>26447.28684723028</c:v>
                </c:pt>
                <c:pt idx="108">
                  <c:v>26933.916925219317</c:v>
                </c:pt>
                <c:pt idx="109">
                  <c:v>27308.298370479864</c:v>
                </c:pt>
                <c:pt idx="110">
                  <c:v>26895.943065085619</c:v>
                </c:pt>
                <c:pt idx="111">
                  <c:v>26473.676758963775</c:v>
                </c:pt>
                <c:pt idx="112">
                  <c:v>26836.366130561579</c:v>
                </c:pt>
                <c:pt idx="113">
                  <c:v>27356.991633494476</c:v>
                </c:pt>
                <c:pt idx="114">
                  <c:v>26451.475210425808</c:v>
                </c:pt>
                <c:pt idx="115">
                  <c:v>26557.281111267512</c:v>
                </c:pt>
                <c:pt idx="116">
                  <c:v>26844.0997472692</c:v>
                </c:pt>
                <c:pt idx="117">
                  <c:v>27254.814473402421</c:v>
                </c:pt>
                <c:pt idx="118">
                  <c:v>28358.63445957522</c:v>
                </c:pt>
                <c:pt idx="119">
                  <c:v>29322.828031200777</c:v>
                </c:pt>
                <c:pt idx="120">
                  <c:v>28607.351027239478</c:v>
                </c:pt>
                <c:pt idx="121">
                  <c:v>29208.105398811505</c:v>
                </c:pt>
                <c:pt idx="122">
                  <c:v>28691.12193325254</c:v>
                </c:pt>
                <c:pt idx="123">
                  <c:v>28145.990616520739</c:v>
                </c:pt>
                <c:pt idx="124">
                  <c:v>29041.033118126099</c:v>
                </c:pt>
                <c:pt idx="125">
                  <c:v>29081.690564491477</c:v>
                </c:pt>
                <c:pt idx="126">
                  <c:v>30163.529453490555</c:v>
                </c:pt>
                <c:pt idx="127">
                  <c:v>29889.041335463789</c:v>
                </c:pt>
                <c:pt idx="128">
                  <c:v>30131.142570281045</c:v>
                </c:pt>
                <c:pt idx="129">
                  <c:v>29627.952489357351</c:v>
                </c:pt>
                <c:pt idx="130">
                  <c:v>30747.889093455062</c:v>
                </c:pt>
                <c:pt idx="131">
                  <c:v>30757.113460183096</c:v>
                </c:pt>
                <c:pt idx="132">
                  <c:v>31572.176966877949</c:v>
                </c:pt>
                <c:pt idx="133">
                  <c:v>31657.421844688517</c:v>
                </c:pt>
                <c:pt idx="134">
                  <c:v>32053.139617747122</c:v>
                </c:pt>
                <c:pt idx="135">
                  <c:v>32482.651688624934</c:v>
                </c:pt>
                <c:pt idx="136">
                  <c:v>31547.151319992536</c:v>
                </c:pt>
                <c:pt idx="137">
                  <c:v>31591.317331840528</c:v>
                </c:pt>
                <c:pt idx="138">
                  <c:v>31787.183499297938</c:v>
                </c:pt>
                <c:pt idx="139">
                  <c:v>32543.718466581231</c:v>
                </c:pt>
                <c:pt idx="140">
                  <c:v>33383.34640301903</c:v>
                </c:pt>
                <c:pt idx="141">
                  <c:v>34471.643495757446</c:v>
                </c:pt>
                <c:pt idx="142">
                  <c:v>35126.604722176831</c:v>
                </c:pt>
                <c:pt idx="143">
                  <c:v>35618.377188287304</c:v>
                </c:pt>
                <c:pt idx="144">
                  <c:v>36156.927051374209</c:v>
                </c:pt>
                <c:pt idx="145">
                  <c:v>35449.697558249325</c:v>
                </c:pt>
                <c:pt idx="146">
                  <c:v>35846.025176950548</c:v>
                </c:pt>
                <c:pt idx="147">
                  <c:v>37434.004092289455</c:v>
                </c:pt>
                <c:pt idx="148">
                  <c:v>38740.450835110358</c:v>
                </c:pt>
                <c:pt idx="149">
                  <c:v>38097.359351247527</c:v>
                </c:pt>
                <c:pt idx="150">
                  <c:v>36916.341211358849</c:v>
                </c:pt>
                <c:pt idx="151">
                  <c:v>37469.717166117123</c:v>
                </c:pt>
                <c:pt idx="152">
                  <c:v>38871.08458812991</c:v>
                </c:pt>
                <c:pt idx="153">
                  <c:v>39489.134833081174</c:v>
                </c:pt>
                <c:pt idx="154">
                  <c:v>37838.488997058383</c:v>
                </c:pt>
                <c:pt idx="155">
                  <c:v>37577.403422978678</c:v>
                </c:pt>
                <c:pt idx="156">
                  <c:v>35322.759217599953</c:v>
                </c:pt>
                <c:pt idx="157">
                  <c:v>34174.769543027956</c:v>
                </c:pt>
                <c:pt idx="158">
                  <c:v>34027.818033992939</c:v>
                </c:pt>
                <c:pt idx="159">
                  <c:v>35684.972772248395</c:v>
                </c:pt>
                <c:pt idx="160">
                  <c:v>36148.877418287622</c:v>
                </c:pt>
                <c:pt idx="161">
                  <c:v>33101.527051925972</c:v>
                </c:pt>
                <c:pt idx="162">
                  <c:v>32823.474224689795</c:v>
                </c:pt>
                <c:pt idx="163">
                  <c:v>33299.414600947799</c:v>
                </c:pt>
                <c:pt idx="164">
                  <c:v>30332.436760003351</c:v>
                </c:pt>
                <c:pt idx="165">
                  <c:v>25239.620627998789</c:v>
                </c:pt>
                <c:pt idx="166">
                  <c:v>23427.415866908475</c:v>
                </c:pt>
                <c:pt idx="167">
                  <c:v>23675.746475097705</c:v>
                </c:pt>
                <c:pt idx="168">
                  <c:v>21679.881047246967</c:v>
                </c:pt>
                <c:pt idx="169">
                  <c:v>19370.973715715165</c:v>
                </c:pt>
                <c:pt idx="170">
                  <c:v>21067.87101321181</c:v>
                </c:pt>
                <c:pt idx="171">
                  <c:v>23084.066269176179</c:v>
                </c:pt>
                <c:pt idx="172">
                  <c:v>24374.465573623129</c:v>
                </c:pt>
                <c:pt idx="173">
                  <c:v>24423.214504770374</c:v>
                </c:pt>
                <c:pt idx="174">
                  <c:v>26269.609521331018</c:v>
                </c:pt>
                <c:pt idx="175">
                  <c:v>27217.942425051067</c:v>
                </c:pt>
                <c:pt idx="176">
                  <c:v>28233.171677505474</c:v>
                </c:pt>
                <c:pt idx="177">
                  <c:v>27708.034684303875</c:v>
                </c:pt>
                <c:pt idx="178">
                  <c:v>29370.51676536211</c:v>
                </c:pt>
                <c:pt idx="179">
                  <c:v>29937.367738933601</c:v>
                </c:pt>
                <c:pt idx="180">
                  <c:v>28859.622500331989</c:v>
                </c:pt>
                <c:pt idx="181">
                  <c:v>29754.270797842277</c:v>
                </c:pt>
                <c:pt idx="182">
                  <c:v>31548.453326952167</c:v>
                </c:pt>
                <c:pt idx="183">
                  <c:v>32046.918889518012</c:v>
                </c:pt>
                <c:pt idx="184">
                  <c:v>29486.370070245524</c:v>
                </c:pt>
                <c:pt idx="185">
                  <c:v>27944.232915571683</c:v>
                </c:pt>
                <c:pt idx="186">
                  <c:v>29903.123642953258</c:v>
                </c:pt>
                <c:pt idx="187">
                  <c:v>28554.492766656065</c:v>
                </c:pt>
                <c:pt idx="188">
                  <c:v>31101.553521441783</c:v>
                </c:pt>
                <c:pt idx="189">
                  <c:v>32283.412555256571</c:v>
                </c:pt>
                <c:pt idx="190">
                  <c:v>32286.640896512097</c:v>
                </c:pt>
                <c:pt idx="191">
                  <c:v>34443.388508399104</c:v>
                </c:pt>
                <c:pt idx="192">
                  <c:v>35259.696816048163</c:v>
                </c:pt>
                <c:pt idx="193">
                  <c:v>36469.104416838614</c:v>
                </c:pt>
                <c:pt idx="194">
                  <c:v>36483.692058605346</c:v>
                </c:pt>
                <c:pt idx="195">
                  <c:v>37563.609343540069</c:v>
                </c:pt>
                <c:pt idx="196">
                  <c:v>37139.140557958068</c:v>
                </c:pt>
                <c:pt idx="197">
                  <c:v>36518.916910640168</c:v>
                </c:pt>
                <c:pt idx="198">
                  <c:v>35777.582897354172</c:v>
                </c:pt>
                <c:pt idx="199">
                  <c:v>33834.860146027837</c:v>
                </c:pt>
                <c:pt idx="200">
                  <c:v>31456.269477762078</c:v>
                </c:pt>
                <c:pt idx="201">
                  <c:v>34894.439731681472</c:v>
                </c:pt>
                <c:pt idx="202">
                  <c:v>34817.671964271773</c:v>
                </c:pt>
                <c:pt idx="203">
                  <c:v>35172.812218307343</c:v>
                </c:pt>
                <c:pt idx="204">
                  <c:v>36434.024849706519</c:v>
                </c:pt>
                <c:pt idx="205">
                  <c:v>37691.727387518389</c:v>
                </c:pt>
                <c:pt idx="206">
                  <c:v>38642.312752231606</c:v>
                </c:pt>
                <c:pt idx="207">
                  <c:v>38533.34143027031</c:v>
                </c:pt>
                <c:pt idx="208">
                  <c:v>36750.018388877397</c:v>
                </c:pt>
                <c:pt idx="209">
                  <c:v>37964.238996445907</c:v>
                </c:pt>
                <c:pt idx="210">
                  <c:v>38491.182633716569</c:v>
                </c:pt>
                <c:pt idx="211">
                  <c:v>39189.412686692187</c:v>
                </c:pt>
                <c:pt idx="212">
                  <c:v>40009.255200097788</c:v>
                </c:pt>
                <c:pt idx="213">
                  <c:v>39433.121925216379</c:v>
                </c:pt>
                <c:pt idx="214">
                  <c:v>39628.710209965458</c:v>
                </c:pt>
                <c:pt idx="215">
                  <c:v>39906.111181435212</c:v>
                </c:pt>
                <c:pt idx="216">
                  <c:v>41503.951873139878</c:v>
                </c:pt>
                <c:pt idx="217">
                  <c:v>41997.018821392783</c:v>
                </c:pt>
                <c:pt idx="218">
                  <c:v>43263.648909045987</c:v>
                </c:pt>
                <c:pt idx="219">
                  <c:v>44019.032218997934</c:v>
                </c:pt>
                <c:pt idx="220">
                  <c:v>44686.360747437946</c:v>
                </c:pt>
                <c:pt idx="221">
                  <c:v>44068.795241908352</c:v>
                </c:pt>
                <c:pt idx="222">
                  <c:v>45875.615846826593</c:v>
                </c:pt>
                <c:pt idx="223">
                  <c:v>44764.508431016453</c:v>
                </c:pt>
                <c:pt idx="224">
                  <c:v>45974.045448822522</c:v>
                </c:pt>
                <c:pt idx="225">
                  <c:v>47740.368274966277</c:v>
                </c:pt>
                <c:pt idx="226">
                  <c:v>48869.905388351981</c:v>
                </c:pt>
                <c:pt idx="227">
                  <c:v>49803.320581269501</c:v>
                </c:pt>
                <c:pt idx="228">
                  <c:v>48572.182496500522</c:v>
                </c:pt>
                <c:pt idx="229">
                  <c:v>50399.468002018868</c:v>
                </c:pt>
                <c:pt idx="230">
                  <c:v>50721.016607871752</c:v>
                </c:pt>
                <c:pt idx="231">
                  <c:v>51106.496334091578</c:v>
                </c:pt>
                <c:pt idx="232">
                  <c:v>52183.821276814226</c:v>
                </c:pt>
                <c:pt idx="233">
                  <c:v>53053.203739285942</c:v>
                </c:pt>
                <c:pt idx="234">
                  <c:v>52440.969768134586</c:v>
                </c:pt>
                <c:pt idx="235">
                  <c:v>54234.45093420479</c:v>
                </c:pt>
                <c:pt idx="236">
                  <c:v>53553.266230471178</c:v>
                </c:pt>
                <c:pt idx="237">
                  <c:v>54703.590389101693</c:v>
                </c:pt>
                <c:pt idx="238">
                  <c:v>55958.490752627687</c:v>
                </c:pt>
                <c:pt idx="239">
                  <c:v>55856.646299457905</c:v>
                </c:pt>
                <c:pt idx="240">
                  <c:v>54749.82532881941</c:v>
                </c:pt>
                <c:pt idx="241">
                  <c:v>57164.139702922374</c:v>
                </c:pt>
                <c:pt idx="242">
                  <c:v>56493.51375978531</c:v>
                </c:pt>
                <c:pt idx="243">
                  <c:v>56886.401779259162</c:v>
                </c:pt>
                <c:pt idx="244">
                  <c:v>57444.309947504684</c:v>
                </c:pt>
                <c:pt idx="245">
                  <c:v>56429.473403264768</c:v>
                </c:pt>
                <c:pt idx="246">
                  <c:v>57454.288000322224</c:v>
                </c:pt>
                <c:pt idx="247">
                  <c:v>54665.050761928411</c:v>
                </c:pt>
                <c:pt idx="248">
                  <c:v>53657.311938257313</c:v>
                </c:pt>
                <c:pt idx="249">
                  <c:v>57280.428395726325</c:v>
                </c:pt>
                <c:pt idx="250">
                  <c:v>57386.917285063013</c:v>
                </c:pt>
                <c:pt idx="251">
                  <c:v>56626.111025191574</c:v>
                </c:pt>
                <c:pt idx="252">
                  <c:v>54534.377073206117</c:v>
                </c:pt>
                <c:pt idx="253">
                  <c:v>54555.100136493937</c:v>
                </c:pt>
                <c:pt idx="254">
                  <c:v>57614.550152148513</c:v>
                </c:pt>
                <c:pt idx="255">
                  <c:v>57838.094606738858</c:v>
                </c:pt>
                <c:pt idx="256">
                  <c:v>58674.433454752296</c:v>
                </c:pt>
                <c:pt idx="257">
                  <c:v>59007.70423677528</c:v>
                </c:pt>
                <c:pt idx="258">
                  <c:v>60823.961373183221</c:v>
                </c:pt>
                <c:pt idx="259">
                  <c:v>60878.702938419083</c:v>
                </c:pt>
                <c:pt idx="260">
                  <c:v>60881.138086536623</c:v>
                </c:pt>
                <c:pt idx="261">
                  <c:v>59902.169386105117</c:v>
                </c:pt>
                <c:pt idx="262">
                  <c:v>61391.337317043697</c:v>
                </c:pt>
                <c:pt idx="263">
                  <c:v>62379.301166927507</c:v>
                </c:pt>
                <c:pt idx="264">
                  <c:v>63350.743589832018</c:v>
                </c:pt>
                <c:pt idx="265">
                  <c:v>65447.953338354244</c:v>
                </c:pt>
                <c:pt idx="266">
                  <c:v>65502.483300656415</c:v>
                </c:pt>
                <c:pt idx="267">
                  <c:v>66141.521117434357</c:v>
                </c:pt>
                <c:pt idx="268">
                  <c:v>66988.016201170787</c:v>
                </c:pt>
                <c:pt idx="269">
                  <c:v>67309.104941308819</c:v>
                </c:pt>
                <c:pt idx="270">
                  <c:v>68474.235314349149</c:v>
                </c:pt>
                <c:pt idx="271">
                  <c:v>68765.180336129415</c:v>
                </c:pt>
                <c:pt idx="272">
                  <c:v>69833.964548161763</c:v>
                </c:pt>
                <c:pt idx="273">
                  <c:v>71146.027452847091</c:v>
                </c:pt>
                <c:pt idx="274">
                  <c:v>72874.875919951271</c:v>
                </c:pt>
                <c:pt idx="275">
                  <c:v>73589.049703966797</c:v>
                </c:pt>
                <c:pt idx="276">
                  <c:v>76793.116928077507</c:v>
                </c:pt>
                <c:pt idx="277">
                  <c:v>74380.277194197304</c:v>
                </c:pt>
                <c:pt idx="278">
                  <c:v>72964.07671641979</c:v>
                </c:pt>
                <c:pt idx="279">
                  <c:v>73077.900676097401</c:v>
                </c:pt>
                <c:pt idx="280">
                  <c:v>74590.613220092608</c:v>
                </c:pt>
                <c:pt idx="281">
                  <c:v>74942.680914491444</c:v>
                </c:pt>
                <c:pt idx="282">
                  <c:v>77175.972805743295</c:v>
                </c:pt>
                <c:pt idx="283">
                  <c:v>79287.507421708433</c:v>
                </c:pt>
                <c:pt idx="284">
                  <c:v>79547.570446051628</c:v>
                </c:pt>
                <c:pt idx="285">
                  <c:v>75069.042229938917</c:v>
                </c:pt>
                <c:pt idx="286">
                  <c:v>76384.25184980745</c:v>
                </c:pt>
                <c:pt idx="287">
                  <c:v>71147.347542984659</c:v>
                </c:pt>
                <c:pt idx="288">
                  <c:v>75857.301950330249</c:v>
                </c:pt>
                <c:pt idx="289">
                  <c:v>77796.214588180694</c:v>
                </c:pt>
                <c:pt idx="290">
                  <c:v>79302.34930260788</c:v>
                </c:pt>
                <c:pt idx="291">
                  <c:v>81876.503560970523</c:v>
                </c:pt>
                <c:pt idx="292">
                  <c:v>78008.65753275028</c:v>
                </c:pt>
                <c:pt idx="293">
                  <c:v>82604.92763457993</c:v>
                </c:pt>
                <c:pt idx="294">
                  <c:v>83592.882569089503</c:v>
                </c:pt>
                <c:pt idx="295">
                  <c:v>82969.279665124093</c:v>
                </c:pt>
                <c:pt idx="296">
                  <c:v>84122.552652469327</c:v>
                </c:pt>
                <c:pt idx="297">
                  <c:v>85633.393698107669</c:v>
                </c:pt>
                <c:pt idx="298">
                  <c:v>88111.624111730896</c:v>
                </c:pt>
                <c:pt idx="299">
                  <c:v>90228.065322894661</c:v>
                </c:pt>
                <c:pt idx="300">
                  <c:v>90545.668112831248</c:v>
                </c:pt>
                <c:pt idx="301">
                  <c:v>84910.105729488641</c:v>
                </c:pt>
                <c:pt idx="302">
                  <c:v>76420.793358654366</c:v>
                </c:pt>
                <c:pt idx="303">
                  <c:v>84530.567949874763</c:v>
                </c:pt>
                <c:pt idx="304">
                  <c:v>87828.950711278885</c:v>
                </c:pt>
                <c:pt idx="305">
                  <c:v>89337.852084498649</c:v>
                </c:pt>
                <c:pt idx="306">
                  <c:v>93636.789526804714</c:v>
                </c:pt>
                <c:pt idx="307">
                  <c:v>98871.086061353097</c:v>
                </c:pt>
                <c:pt idx="308">
                  <c:v>95853.540514760607</c:v>
                </c:pt>
                <c:pt idx="309">
                  <c:v>93727.508986143221</c:v>
                </c:pt>
                <c:pt idx="310">
                  <c:v>102123.61924112192</c:v>
                </c:pt>
                <c:pt idx="311">
                  <c:v>105285.36649282707</c:v>
                </c:pt>
                <c:pt idx="312">
                  <c:v>104283.04980381536</c:v>
                </c:pt>
                <c:pt idx="313">
                  <c:v>106285.28436004862</c:v>
                </c:pt>
                <c:pt idx="314">
                  <c:v>109743.8075131246</c:v>
                </c:pt>
                <c:pt idx="315">
                  <c:v>114605.45818595603</c:v>
                </c:pt>
                <c:pt idx="316">
                  <c:v>115322.8883542001</c:v>
                </c:pt>
                <c:pt idx="317">
                  <c:v>117633.95903681827</c:v>
                </c:pt>
                <c:pt idx="318">
                  <c:v>120132.96597859799</c:v>
                </c:pt>
                <c:pt idx="319">
                  <c:v>123008.94918412564</c:v>
                </c:pt>
                <c:pt idx="320">
                  <c:v>118218.98070289579</c:v>
                </c:pt>
                <c:pt idx="321">
                  <c:v>124841.60800187201</c:v>
                </c:pt>
                <c:pt idx="322">
                  <c:v>124227.3872905028</c:v>
                </c:pt>
                <c:pt idx="323">
                  <c:v>128615.09860960336</c:v>
                </c:pt>
                <c:pt idx="324">
                  <c:v>122741.4013942211</c:v>
                </c:pt>
                <c:pt idx="325">
                  <c:v>119531.54190980026</c:v>
                </c:pt>
                <c:pt idx="326">
                  <c:v>122415.02520159875</c:v>
                </c:pt>
                <c:pt idx="327">
                  <c:v>112946.27196826517</c:v>
                </c:pt>
                <c:pt idx="328">
                  <c:v>112963.28167682359</c:v>
                </c:pt>
                <c:pt idx="329">
                  <c:v>105153.29408622037</c:v>
                </c:pt>
                <c:pt idx="330">
                  <c:v>113423.26417556053</c:v>
                </c:pt>
                <c:pt idx="331">
                  <c:v>109080.21933631982</c:v>
                </c:pt>
                <c:pt idx="332">
                  <c:v>100100.53933615917</c:v>
                </c:pt>
                <c:pt idx="333">
                  <c:v>106327.73382793803</c:v>
                </c:pt>
                <c:pt idx="334">
                  <c:v>111864.77183257467</c:v>
                </c:pt>
                <c:pt idx="335">
                  <c:v>106609.16349529101</c:v>
                </c:pt>
              </c:numCache>
            </c:numRef>
          </c:val>
          <c:smooth val="0"/>
          <c:extLst>
            <c:ext xmlns:c16="http://schemas.microsoft.com/office/drawing/2014/chart" uri="{C3380CC4-5D6E-409C-BE32-E72D297353CC}">
              <c16:uniqueId val="{0000000E-7000-43A6-AFE6-277F268E6866}"/>
            </c:ext>
          </c:extLst>
        </c:ser>
        <c:dLbls>
          <c:showLegendKey val="0"/>
          <c:showVal val="0"/>
          <c:showCatName val="0"/>
          <c:showSerName val="0"/>
          <c:showPercent val="0"/>
          <c:showBubbleSize val="0"/>
        </c:dLbls>
        <c:smooth val="0"/>
        <c:axId val="1544277791"/>
        <c:axId val="1544278623"/>
        <c:extLst>
          <c:ext xmlns:c15="http://schemas.microsoft.com/office/drawing/2012/chart" uri="{02D57815-91ED-43cb-92C2-25804820EDAC}">
            <c15:filteredLineSeries>
              <c15:ser>
                <c:idx val="0"/>
                <c:order val="0"/>
                <c:spPr>
                  <a:ln w="22225" cap="rnd">
                    <a:solidFill>
                      <a:schemeClr val="accent1"/>
                    </a:solidFill>
                  </a:ln>
                  <a:effectLst>
                    <a:glow rad="139700">
                      <a:schemeClr val="accent1">
                        <a:satMod val="175000"/>
                        <a:alpha val="14000"/>
                      </a:schemeClr>
                    </a:glow>
                  </a:effectLst>
                </c:spPr>
                <c:marker>
                  <c:symbol val="circle"/>
                  <c:size val="4"/>
                  <c:spPr>
                    <a:solidFill>
                      <a:schemeClr val="accent1">
                        <a:lumMod val="60000"/>
                        <a:lumOff val="40000"/>
                      </a:schemeClr>
                    </a:solidFill>
                    <a:ln>
                      <a:noFill/>
                    </a:ln>
                    <a:effectLst>
                      <a:glow rad="63500">
                        <a:schemeClr val="accent1">
                          <a:satMod val="175000"/>
                          <a:alpha val="25000"/>
                        </a:schemeClr>
                      </a:glow>
                    </a:effectLst>
                  </c:spPr>
                </c:marker>
                <c:cat>
                  <c:numRef>
                    <c:extLst>
                      <c:ex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c:ext uri="{02D57815-91ED-43cb-92C2-25804820EDAC}">
                        <c15:formulaRef>
                          <c15:sqref>'Monthly Returns'!$B$4:$B$339</c15:sqref>
                        </c15:formulaRef>
                      </c:ext>
                    </c:extLst>
                    <c:numCache>
                      <c:formatCode>"$"#,##0.00</c:formatCode>
                      <c:ptCount val="336"/>
                      <c:pt idx="0">
                        <c:v>0</c:v>
                      </c:pt>
                      <c:pt idx="1">
                        <c:v>15000</c:v>
                      </c:pt>
                      <c:pt idx="2">
                        <c:v>15000</c:v>
                      </c:pt>
                      <c:pt idx="3">
                        <c:v>15115</c:v>
                      </c:pt>
                      <c:pt idx="4">
                        <c:v>15023.68</c:v>
                      </c:pt>
                      <c:pt idx="5">
                        <c:v>15699.78</c:v>
                      </c:pt>
                      <c:pt idx="6">
                        <c:v>16317.09</c:v>
                      </c:pt>
                      <c:pt idx="7">
                        <c:v>17552.29</c:v>
                      </c:pt>
                      <c:pt idx="8">
                        <c:v>17891.29</c:v>
                      </c:pt>
                      <c:pt idx="9">
                        <c:v>18877.36</c:v>
                      </c:pt>
                      <c:pt idx="10">
                        <c:v>18392.53</c:v>
                      </c:pt>
                      <c:pt idx="11">
                        <c:v>19517.362570000001</c:v>
                      </c:pt>
                      <c:pt idx="12">
                        <c:v>20372.148399999998</c:v>
                      </c:pt>
                      <c:pt idx="13">
                        <c:v>20363.247579999999</c:v>
                      </c:pt>
                      <c:pt idx="14">
                        <c:v>21920.303</c:v>
                      </c:pt>
                      <c:pt idx="15">
                        <c:v>28797.585300000002</c:v>
                      </c:pt>
                      <c:pt idx="16">
                        <c:v>39995.881359999999</c:v>
                      </c:pt>
                      <c:pt idx="17">
                        <c:v>44534.313139999998</c:v>
                      </c:pt>
                      <c:pt idx="18">
                        <c:v>43456.408219999998</c:v>
                      </c:pt>
                      <c:pt idx="19">
                        <c:v>40241.6728</c:v>
                      </c:pt>
                      <c:pt idx="20">
                        <c:v>41784.22666</c:v>
                      </c:pt>
                      <c:pt idx="21">
                        <c:v>43591.60226</c:v>
                      </c:pt>
                      <c:pt idx="22">
                        <c:v>41510.2696</c:v>
                      </c:pt>
                      <c:pt idx="23">
                        <c:v>43858.109700000001</c:v>
                      </c:pt>
                      <c:pt idx="24">
                        <c:v>43042.674460000002</c:v>
                      </c:pt>
                      <c:pt idx="25">
                        <c:v>44629.365460000001</c:v>
                      </c:pt>
                      <c:pt idx="26">
                        <c:v>45312.520400000001</c:v>
                      </c:pt>
                      <c:pt idx="27">
                        <c:v>45354.520400000001</c:v>
                      </c:pt>
                      <c:pt idx="28">
                        <c:v>44550.891320000002</c:v>
                      </c:pt>
                      <c:pt idx="29">
                        <c:v>49272.376020000003</c:v>
                      </c:pt>
                      <c:pt idx="30">
                        <c:v>49043.52072</c:v>
                      </c:pt>
                      <c:pt idx="31">
                        <c:v>53009.739439999998</c:v>
                      </c:pt>
                      <c:pt idx="32">
                        <c:v>51303.058879999997</c:v>
                      </c:pt>
                      <c:pt idx="33">
                        <c:v>54162.658920000002</c:v>
                      </c:pt>
                      <c:pt idx="34">
                        <c:v>52249.950720000001</c:v>
                      </c:pt>
                      <c:pt idx="35">
                        <c:v>54629.03</c:v>
                      </c:pt>
                      <c:pt idx="36">
                        <c:v>56596.089800000002</c:v>
                      </c:pt>
                      <c:pt idx="37">
                        <c:v>57092.232900000003</c:v>
                      </c:pt>
                      <c:pt idx="38">
                        <c:v>61023.299099999997</c:v>
                      </c:pt>
                      <c:pt idx="39">
                        <c:v>64065.231800000001</c:v>
                      </c:pt>
                      <c:pt idx="40">
                        <c:v>65226.5236</c:v>
                      </c:pt>
                      <c:pt idx="41">
                        <c:v>68425.400999999998</c:v>
                      </c:pt>
                      <c:pt idx="42">
                        <c:v>70396.598300000012</c:v>
                      </c:pt>
                      <c:pt idx="43">
                        <c:v>68469.862399999998</c:v>
                      </c:pt>
                      <c:pt idx="44">
                        <c:v>59002.733500000002</c:v>
                      </c:pt>
                      <c:pt idx="45">
                        <c:v>62964.231400000004</c:v>
                      </c:pt>
                      <c:pt idx="46">
                        <c:v>67447.303199999995</c:v>
                      </c:pt>
                      <c:pt idx="47">
                        <c:v>69612.256500000003</c:v>
                      </c:pt>
                      <c:pt idx="48">
                        <c:v>75935.696880000003</c:v>
                      </c:pt>
                      <c:pt idx="49">
                        <c:v>78054.266999999993</c:v>
                      </c:pt>
                      <c:pt idx="50">
                        <c:v>74039.749599999996</c:v>
                      </c:pt>
                      <c:pt idx="51">
                        <c:v>79668.802480000013</c:v>
                      </c:pt>
                      <c:pt idx="52">
                        <c:v>83374.96888</c:v>
                      </c:pt>
                      <c:pt idx="53">
                        <c:v>80595.890040000013</c:v>
                      </c:pt>
                      <c:pt idx="54">
                        <c:v>85008.824080000006</c:v>
                      </c:pt>
                      <c:pt idx="55">
                        <c:v>82374.70408000001</c:v>
                      </c:pt>
                      <c:pt idx="56">
                        <c:v>82212.142600000006</c:v>
                      </c:pt>
                      <c:pt idx="57">
                        <c:v>76556.462239999993</c:v>
                      </c:pt>
                      <c:pt idx="58">
                        <c:v>76741.281959999993</c:v>
                      </c:pt>
                      <c:pt idx="59">
                        <c:v>87554.481520000001</c:v>
                      </c:pt>
                      <c:pt idx="60">
                        <c:v>97797.453039999993</c:v>
                      </c:pt>
                      <c:pt idx="61">
                        <c:v>93729.597600000008</c:v>
                      </c:pt>
                      <c:pt idx="62">
                        <c:v>97108.305520000009</c:v>
                      </c:pt>
                      <c:pt idx="63">
                        <c:v>105300.94888</c:v>
                      </c:pt>
                      <c:pt idx="64">
                        <c:v>101387.10144000001</c:v>
                      </c:pt>
                      <c:pt idx="65">
                        <c:v>96083.390719999996</c:v>
                      </c:pt>
                      <c:pt idx="66">
                        <c:v>101705.51472000001</c:v>
                      </c:pt>
                      <c:pt idx="67">
                        <c:v>98649.063599999994</c:v>
                      </c:pt>
                      <c:pt idx="68">
                        <c:v>104416.32024</c:v>
                      </c:pt>
                      <c:pt idx="69">
                        <c:v>100041.04128</c:v>
                      </c:pt>
                      <c:pt idx="70">
                        <c:v>100222.656</c:v>
                      </c:pt>
                      <c:pt idx="71">
                        <c:v>91871.182000000001</c:v>
                      </c:pt>
                      <c:pt idx="72">
                        <c:v>92926.047380000004</c:v>
                      </c:pt>
                      <c:pt idx="73">
                        <c:v>93876.618919999994</c:v>
                      </c:pt>
                      <c:pt idx="74">
                        <c:v>80387.435670000006</c:v>
                      </c:pt>
                      <c:pt idx="75">
                        <c:v>75391.689299999998</c:v>
                      </c:pt>
                      <c:pt idx="76">
                        <c:v>81691.687479999993</c:v>
                      </c:pt>
                      <c:pt idx="77">
                        <c:v>82850.864809999999</c:v>
                      </c:pt>
                      <c:pt idx="78">
                        <c:v>78068.742320000005</c:v>
                      </c:pt>
                      <c:pt idx="79">
                        <c:v>77231.579610000001</c:v>
                      </c:pt>
                      <c:pt idx="80">
                        <c:v>70423.415070000003</c:v>
                      </c:pt>
                      <c:pt idx="81">
                        <c:v>64103.53572</c:v>
                      </c:pt>
                      <c:pt idx="82">
                        <c:v>69709.340110000005</c:v>
                      </c:pt>
                      <c:pt idx="83">
                        <c:v>72293.117079999996</c:v>
                      </c:pt>
                      <c:pt idx="84">
                        <c:v>74172.353600000002</c:v>
                      </c:pt>
                      <c:pt idx="85">
                        <c:v>74511.689549999996</c:v>
                      </c:pt>
                      <c:pt idx="86">
                        <c:v>70836.689549999996</c:v>
                      </c:pt>
                      <c:pt idx="87">
                        <c:v>74437.689549999996</c:v>
                      </c:pt>
                      <c:pt idx="88">
                        <c:v>71535.872449999995</c:v>
                      </c:pt>
                      <c:pt idx="89">
                        <c:v>70556.297950000007</c:v>
                      </c:pt>
                      <c:pt idx="90">
                        <c:v>62844.650849999998</c:v>
                      </c:pt>
                      <c:pt idx="91">
                        <c:v>58194.395100000002</c:v>
                      </c:pt>
                      <c:pt idx="92">
                        <c:v>58197.803650000002</c:v>
                      </c:pt>
                      <c:pt idx="93">
                        <c:v>54231.147949999999</c:v>
                      </c:pt>
                      <c:pt idx="94">
                        <c:v>57758.258750000001</c:v>
                      </c:pt>
                      <c:pt idx="95">
                        <c:v>61438.48</c:v>
                      </c:pt>
                      <c:pt idx="96">
                        <c:v>58650.48</c:v>
                      </c:pt>
                      <c:pt idx="97">
                        <c:v>57854.48</c:v>
                      </c:pt>
                      <c:pt idx="98">
                        <c:v>57854.48</c:v>
                      </c:pt>
                      <c:pt idx="99">
                        <c:v>58664.480000000003</c:v>
                      </c:pt>
                      <c:pt idx="100">
                        <c:v>61687.48</c:v>
                      </c:pt>
                      <c:pt idx="101">
                        <c:v>64544.480000000003</c:v>
                      </c:pt>
                      <c:pt idx="102">
                        <c:v>67424.479999999996</c:v>
                      </c:pt>
                      <c:pt idx="103">
                        <c:v>67707.48</c:v>
                      </c:pt>
                      <c:pt idx="104">
                        <c:v>68339.98</c:v>
                      </c:pt>
                      <c:pt idx="105">
                        <c:v>68972.479999999996</c:v>
                      </c:pt>
                      <c:pt idx="106">
                        <c:v>69972.479999999996</c:v>
                      </c:pt>
                      <c:pt idx="107">
                        <c:v>71972.479999999996</c:v>
                      </c:pt>
                      <c:pt idx="108">
                        <c:v>72470.48</c:v>
                      </c:pt>
                      <c:pt idx="109">
                        <c:v>72163.48</c:v>
                      </c:pt>
                      <c:pt idx="110">
                        <c:v>73627.48</c:v>
                      </c:pt>
                      <c:pt idx="111">
                        <c:v>74086.48</c:v>
                      </c:pt>
                      <c:pt idx="112">
                        <c:v>74086.48</c:v>
                      </c:pt>
                      <c:pt idx="113">
                        <c:v>73793</c:v>
                      </c:pt>
                      <c:pt idx="114">
                        <c:v>76638</c:v>
                      </c:pt>
                      <c:pt idx="115">
                        <c:v>74054</c:v>
                      </c:pt>
                      <c:pt idx="116">
                        <c:v>72194</c:v>
                      </c:pt>
                      <c:pt idx="117">
                        <c:v>73811</c:v>
                      </c:pt>
                      <c:pt idx="118">
                        <c:v>76833</c:v>
                      </c:pt>
                      <c:pt idx="119">
                        <c:v>80907</c:v>
                      </c:pt>
                      <c:pt idx="120">
                        <c:v>82629</c:v>
                      </c:pt>
                      <c:pt idx="121">
                        <c:v>80208</c:v>
                      </c:pt>
                      <c:pt idx="122">
                        <c:v>81867</c:v>
                      </c:pt>
                      <c:pt idx="123">
                        <c:v>76382</c:v>
                      </c:pt>
                      <c:pt idx="124">
                        <c:v>72956</c:v>
                      </c:pt>
                      <c:pt idx="125">
                        <c:v>75938</c:v>
                      </c:pt>
                      <c:pt idx="126">
                        <c:v>76725</c:v>
                      </c:pt>
                      <c:pt idx="127">
                        <c:v>78894</c:v>
                      </c:pt>
                      <c:pt idx="128">
                        <c:v>75917</c:v>
                      </c:pt>
                      <c:pt idx="129">
                        <c:v>75325</c:v>
                      </c:pt>
                      <c:pt idx="130">
                        <c:v>73748</c:v>
                      </c:pt>
                      <c:pt idx="131">
                        <c:v>77614</c:v>
                      </c:pt>
                      <c:pt idx="132">
                        <c:v>77392.490000000005</c:v>
                      </c:pt>
                      <c:pt idx="133">
                        <c:v>79244.350000000006</c:v>
                      </c:pt>
                      <c:pt idx="134">
                        <c:v>80509.460000000006</c:v>
                      </c:pt>
                      <c:pt idx="135">
                        <c:v>81286.320000000007</c:v>
                      </c:pt>
                      <c:pt idx="136">
                        <c:v>81177.61</c:v>
                      </c:pt>
                      <c:pt idx="137">
                        <c:v>75975.289999999994</c:v>
                      </c:pt>
                      <c:pt idx="138">
                        <c:v>75249.16</c:v>
                      </c:pt>
                      <c:pt idx="139">
                        <c:v>74280.490000000005</c:v>
                      </c:pt>
                      <c:pt idx="140">
                        <c:v>74743.06</c:v>
                      </c:pt>
                      <c:pt idx="141">
                        <c:v>75240.11</c:v>
                      </c:pt>
                      <c:pt idx="142">
                        <c:v>75609.31</c:v>
                      </c:pt>
                      <c:pt idx="143">
                        <c:v>76087.259999999995</c:v>
                      </c:pt>
                      <c:pt idx="144">
                        <c:v>75485.899999999994</c:v>
                      </c:pt>
                      <c:pt idx="145">
                        <c:v>76166.53</c:v>
                      </c:pt>
                      <c:pt idx="146">
                        <c:v>75565.66</c:v>
                      </c:pt>
                      <c:pt idx="147">
                        <c:v>74479.28</c:v>
                      </c:pt>
                      <c:pt idx="148">
                        <c:v>79358.95</c:v>
                      </c:pt>
                      <c:pt idx="149">
                        <c:v>81541.91</c:v>
                      </c:pt>
                      <c:pt idx="150">
                        <c:v>80393.27</c:v>
                      </c:pt>
                      <c:pt idx="151">
                        <c:v>77832.62</c:v>
                      </c:pt>
                      <c:pt idx="152">
                        <c:v>79201.740000000005</c:v>
                      </c:pt>
                      <c:pt idx="153">
                        <c:v>82091.929999999993</c:v>
                      </c:pt>
                      <c:pt idx="154">
                        <c:v>83295.92</c:v>
                      </c:pt>
                      <c:pt idx="155">
                        <c:v>80082.63</c:v>
                      </c:pt>
                      <c:pt idx="156">
                        <c:v>79838.77</c:v>
                      </c:pt>
                      <c:pt idx="157">
                        <c:v>73105.33</c:v>
                      </c:pt>
                      <c:pt idx="158">
                        <c:v>70553.070000000007</c:v>
                      </c:pt>
                      <c:pt idx="159">
                        <c:v>70722.44</c:v>
                      </c:pt>
                      <c:pt idx="160">
                        <c:v>74211.12</c:v>
                      </c:pt>
                      <c:pt idx="161">
                        <c:v>76406.17</c:v>
                      </c:pt>
                      <c:pt idx="162">
                        <c:v>71571.28</c:v>
                      </c:pt>
                      <c:pt idx="163">
                        <c:v>69390.36</c:v>
                      </c:pt>
                      <c:pt idx="164">
                        <c:v>69207.41</c:v>
                      </c:pt>
                      <c:pt idx="165">
                        <c:v>61324.63</c:v>
                      </c:pt>
                      <c:pt idx="166">
                        <c:v>50529.599999999999</c:v>
                      </c:pt>
                      <c:pt idx="167">
                        <c:v>46178.82</c:v>
                      </c:pt>
                      <c:pt idx="168">
                        <c:v>47396.06</c:v>
                      </c:pt>
                      <c:pt idx="169">
                        <c:v>45537.75</c:v>
                      </c:pt>
                      <c:pt idx="170">
                        <c:v>42186.44</c:v>
                      </c:pt>
                      <c:pt idx="171">
                        <c:v>44298.05</c:v>
                      </c:pt>
                      <c:pt idx="172">
                        <c:v>48443.040000000001</c:v>
                      </c:pt>
                      <c:pt idx="173">
                        <c:v>51461.06</c:v>
                      </c:pt>
                      <c:pt idx="174">
                        <c:v>52236.800000000003</c:v>
                      </c:pt>
                      <c:pt idx="175">
                        <c:v>54135.53</c:v>
                      </c:pt>
                      <c:pt idx="176">
                        <c:v>53920.9</c:v>
                      </c:pt>
                      <c:pt idx="177" formatCode="&quot;$&quot;#,##0.00_);\(&quot;$&quot;#,##0.00\)">
                        <c:v>55987.17</c:v>
                      </c:pt>
                      <c:pt idx="178">
                        <c:v>55314</c:v>
                      </c:pt>
                      <c:pt idx="179">
                        <c:v>57872.78</c:v>
                      </c:pt>
                      <c:pt idx="180">
                        <c:v>60742.239999999998</c:v>
                      </c:pt>
                      <c:pt idx="181">
                        <c:v>58620.14</c:v>
                      </c:pt>
                      <c:pt idx="182">
                        <c:v>60616.45</c:v>
                      </c:pt>
                      <c:pt idx="183">
                        <c:v>64012.23</c:v>
                      </c:pt>
                      <c:pt idx="184">
                        <c:v>66579.429999999993</c:v>
                      </c:pt>
                      <c:pt idx="185">
                        <c:v>61199.21</c:v>
                      </c:pt>
                      <c:pt idx="186">
                        <c:v>58236.65</c:v>
                      </c:pt>
                      <c:pt idx="187">
                        <c:v>61911.31</c:v>
                      </c:pt>
                      <c:pt idx="188">
                        <c:v>59781.22</c:v>
                      </c:pt>
                      <c:pt idx="189">
                        <c:v>65649.899999999994</c:v>
                      </c:pt>
                      <c:pt idx="190" formatCode="&quot;$&quot;#,##0.00_);\(&quot;$&quot;#,##0.00\)">
                        <c:v>67878.820000000007</c:v>
                      </c:pt>
                      <c:pt idx="191">
                        <c:v>68190.94</c:v>
                      </c:pt>
                      <c:pt idx="192">
                        <c:v>72769.09</c:v>
                      </c:pt>
                      <c:pt idx="193">
                        <c:v>73324.36</c:v>
                      </c:pt>
                      <c:pt idx="194">
                        <c:v>74117.87</c:v>
                      </c:pt>
                      <c:pt idx="195">
                        <c:v>72915.679999999993</c:v>
                      </c:pt>
                      <c:pt idx="196">
                        <c:v>74963.740000000005</c:v>
                      </c:pt>
                      <c:pt idx="197">
                        <c:v>73700.479999999996</c:v>
                      </c:pt>
                      <c:pt idx="198">
                        <c:v>71664.460000000006</c:v>
                      </c:pt>
                      <c:pt idx="199">
                        <c:v>71233.39</c:v>
                      </c:pt>
                      <c:pt idx="200">
                        <c:v>77909.440000000002</c:v>
                      </c:pt>
                      <c:pt idx="201">
                        <c:v>73739.45</c:v>
                      </c:pt>
                      <c:pt idx="202">
                        <c:v>79459.56</c:v>
                      </c:pt>
                      <c:pt idx="203">
                        <c:v>77684.740000000005</c:v>
                      </c:pt>
                      <c:pt idx="204">
                        <c:v>78764.09</c:v>
                      </c:pt>
                      <c:pt idx="205">
                        <c:v>83725.22</c:v>
                      </c:pt>
                      <c:pt idx="206">
                        <c:v>86599.3</c:v>
                      </c:pt>
                      <c:pt idx="207">
                        <c:v>89267.72</c:v>
                      </c:pt>
                      <c:pt idx="208">
                        <c:v>88791.21</c:v>
                      </c:pt>
                      <c:pt idx="209">
                        <c:v>83263.31</c:v>
                      </c:pt>
                      <c:pt idx="210">
                        <c:v>85742.37</c:v>
                      </c:pt>
                      <c:pt idx="211">
                        <c:v>86080.22</c:v>
                      </c:pt>
                      <c:pt idx="212">
                        <c:v>88427.44</c:v>
                      </c:pt>
                      <c:pt idx="213">
                        <c:v>89866</c:v>
                      </c:pt>
                      <c:pt idx="214">
                        <c:v>89045.32</c:v>
                      </c:pt>
                      <c:pt idx="215">
                        <c:v>89311.18</c:v>
                      </c:pt>
                      <c:pt idx="216">
                        <c:v>89603.02</c:v>
                      </c:pt>
                      <c:pt idx="217" formatCode="&quot;$&quot;#,##0.00_);\(&quot;$&quot;#,##0.00\)">
                        <c:v>92714.7</c:v>
                      </c:pt>
                      <c:pt idx="218" formatCode="&quot;$&quot;#,##0.00_);\(&quot;$&quot;#,##0.00\)">
                        <c:v>92914.64</c:v>
                      </c:pt>
                      <c:pt idx="219" formatCode="&quot;$&quot;#,##0.00_);\(&quot;$&quot;#,##0.00\)">
                        <c:v>95073.5</c:v>
                      </c:pt>
                      <c:pt idx="220" formatCode="&quot;$&quot;#,##0.00_);\(&quot;$&quot;#,##0.00\)">
                        <c:v>95745.97</c:v>
                      </c:pt>
                      <c:pt idx="221" formatCode="&quot;$&quot;#,##0.00_);\(&quot;$&quot;#,##0.00\)">
                        <c:v>96184.69</c:v>
                      </c:pt>
                      <c:pt idx="222" formatCode="&quot;$&quot;#,##0.00_);\(&quot;$&quot;#,##0.00\)">
                        <c:v>95212.55</c:v>
                      </c:pt>
                      <c:pt idx="223" formatCode="&quot;$&quot;#,##0.00_);\(&quot;$&quot;#,##0.00\)">
                        <c:v>98341.5</c:v>
                      </c:pt>
                      <c:pt idx="224" formatCode="&quot;$&quot;#,##0.00_);\(&quot;$&quot;#,##0.00\)">
                        <c:v>97445.6</c:v>
                      </c:pt>
                      <c:pt idx="225" formatCode="&quot;$&quot;#,##0.00_);\(&quot;$&quot;#,##0.00\)">
                        <c:v>98816.84</c:v>
                      </c:pt>
                      <c:pt idx="226" formatCode="&quot;$&quot;#,##0.00_);\(&quot;$&quot;#,##0.00\)">
                        <c:v>100828.8</c:v>
                      </c:pt>
                      <c:pt idx="227" formatCode="&quot;$&quot;#,##0.00_);\(&quot;$&quot;#,##0.00\)">
                        <c:v>102942.21</c:v>
                      </c:pt>
                      <c:pt idx="228" formatCode="&quot;$&quot;#,##0.00_);\(&quot;$&quot;#,##0.00\)">
                        <c:v>122404.14</c:v>
                      </c:pt>
                      <c:pt idx="229" formatCode="&quot;$&quot;#,##0.00_);\(&quot;$&quot;#,##0.00\)">
                        <c:v>118740.48</c:v>
                      </c:pt>
                      <c:pt idx="230" formatCode="&quot;$&quot;#,##0.00_);\(&quot;$&quot;#,##0.00\)">
                        <c:v>122374.27</c:v>
                      </c:pt>
                      <c:pt idx="231" formatCode="&quot;$&quot;#,##0.00_);\(&quot;$&quot;#,##0.00\)">
                        <c:v>123754.81</c:v>
                      </c:pt>
                      <c:pt idx="232" formatCode="&quot;$&quot;#,##0.00_);\(&quot;$&quot;#,##0.00\)">
                        <c:v>124632.65</c:v>
                      </c:pt>
                      <c:pt idx="233" formatCode="&quot;$&quot;#,##0.00_);\(&quot;$&quot;#,##0.00\)">
                        <c:v>127232.59</c:v>
                      </c:pt>
                      <c:pt idx="234" formatCode="&quot;$&quot;#,##0.00_);\(&quot;$&quot;#,##0.00\)">
                        <c:v>129832.54</c:v>
                      </c:pt>
                      <c:pt idx="235" formatCode="&quot;$&quot;#,##0.00_);\(&quot;$&quot;#,##0.00\)">
                        <c:v>128667.7</c:v>
                      </c:pt>
                      <c:pt idx="236" formatCode="&quot;$&quot;#,##0.00_);\(&quot;$&quot;#,##0.00\)">
                        <c:v>133420.57999999999</c:v>
                      </c:pt>
                      <c:pt idx="237" formatCode="&quot;$&quot;#,##0.00_);\(&quot;$&quot;#,##0.00\)">
                        <c:v>132860.29</c:v>
                      </c:pt>
                      <c:pt idx="238" formatCode="&quot;$&quot;#,##0.00_);\(&quot;$&quot;#,##0.00\)">
                        <c:v>140077.74</c:v>
                      </c:pt>
                      <c:pt idx="239" formatCode="&quot;$&quot;#,##0.00_);\(&quot;$&quot;#,##0.00\)">
                        <c:v>144670.32999999999</c:v>
                      </c:pt>
                      <c:pt idx="240" formatCode="&quot;$&quot;#,##0.00_);\(&quot;$&quot;#,##0.00\)">
                        <c:v>144176.32000000001</c:v>
                      </c:pt>
                      <c:pt idx="241" formatCode="&quot;$&quot;#,##0.00_);\(&quot;$&quot;#,##0.00\)">
                        <c:v>137630.70000000001</c:v>
                      </c:pt>
                      <c:pt idx="242" formatCode="&quot;$&quot;#,##0.00_);\(&quot;$&quot;#,##0.00\)">
                        <c:v>143278.09</c:v>
                      </c:pt>
                      <c:pt idx="243" formatCode="&quot;$&quot;#,##0.00_);\(&quot;$&quot;#,##0.00\)">
                        <c:v>156179.75</c:v>
                      </c:pt>
                      <c:pt idx="244" formatCode="&quot;$&quot;#,##0.00_);\(&quot;$&quot;#,##0.00\)">
                        <c:v>156040.24</c:v>
                      </c:pt>
                      <c:pt idx="245" formatCode="&quot;$&quot;#,##0.00_);\(&quot;$&quot;#,##0.00\)">
                        <c:v>159309.31</c:v>
                      </c:pt>
                      <c:pt idx="246" formatCode="&quot;$&quot;#,##0.00_);\(&quot;$&quot;#,##0.00\)">
                        <c:v>155332.68</c:v>
                      </c:pt>
                      <c:pt idx="247" formatCode="&quot;$&quot;#,##0.00_);\(&quot;$&quot;#,##0.00\)">
                        <c:v>158122.35</c:v>
                      </c:pt>
                      <c:pt idx="248" formatCode="&quot;$&quot;#,##0.00_);\(&quot;$&quot;#,##0.00\)">
                        <c:v>149529.31</c:v>
                      </c:pt>
                      <c:pt idx="249" formatCode="&quot;$&quot;#,##0.00_);\(&quot;$&quot;#,##0.00\)">
                        <c:v>147476.48000000001</c:v>
                      </c:pt>
                      <c:pt idx="250" formatCode="&quot;$&quot;#,##0.00_);\(&quot;$&quot;#,##0.00\)">
                        <c:v>155685.09</c:v>
                      </c:pt>
                      <c:pt idx="251" formatCode="&quot;$&quot;#,##0.00_);\(&quot;$&quot;#,##0.00\)">
                        <c:v>154904.59</c:v>
                      </c:pt>
                      <c:pt idx="252" formatCode="&quot;$&quot;#,##0.00_);\(&quot;$&quot;#,##0.00\)">
                        <c:v>152148.18</c:v>
                      </c:pt>
                      <c:pt idx="253" formatCode="&quot;$&quot;#,##0.00_);\(&quot;$&quot;#,##0.00\)">
                        <c:v>145093.57</c:v>
                      </c:pt>
                      <c:pt idx="254" formatCode="&quot;$&quot;#,##0.00_);\(&quot;$&quot;#,##0.00\)">
                        <c:v>139542.14000000001</c:v>
                      </c:pt>
                      <c:pt idx="255" formatCode="&quot;$&quot;#,##0.00_);\(&quot;$&quot;#,##0.00\)">
                        <c:v>147069.18</c:v>
                      </c:pt>
                      <c:pt idx="256" formatCode="&quot;$&quot;#,##0.00_);\(&quot;$&quot;#,##0.00\)">
                        <c:v>146624.94</c:v>
                      </c:pt>
                      <c:pt idx="257" formatCode="&quot;$&quot;#,##0.00_);\(&quot;$&quot;#,##0.00\)">
                        <c:v>149641.71</c:v>
                      </c:pt>
                      <c:pt idx="258" formatCode="&quot;$&quot;#,##0.00_);\(&quot;$&quot;#,##0.00\)">
                        <c:v>150486.17000000001</c:v>
                      </c:pt>
                      <c:pt idx="259" formatCode="&quot;$&quot;#,##0.00_);\(&quot;$&quot;#,##0.00\)">
                        <c:v>155083.13</c:v>
                      </c:pt>
                      <c:pt idx="260" formatCode="&quot;$&quot;#,##0.00_);\(&quot;$&quot;#,##0.00\)">
                        <c:v>155101.43</c:v>
                      </c:pt>
                      <c:pt idx="261" formatCode="&quot;$&quot;#,##0.00_);\(&quot;$&quot;#,##0.00\)">
                        <c:v>155199.76999999999</c:v>
                      </c:pt>
                      <c:pt idx="262" formatCode="&quot;$&quot;#,##0.00_);\(&quot;$&quot;#,##0.00\)">
                        <c:v>150462.03</c:v>
                      </c:pt>
                      <c:pt idx="263" formatCode="&quot;$&quot;#,##0.00_);\(&quot;$&quot;#,##0.00\)">
                        <c:v>152357.16</c:v>
                      </c:pt>
                      <c:pt idx="264" formatCode="&quot;$&quot;#,##0.00_);\(&quot;$&quot;#,##0.00\)">
                        <c:v>154813.76999999999</c:v>
                      </c:pt>
                      <c:pt idx="265" formatCode="&quot;$&quot;#,##0.00_);\(&quot;$&quot;#,##0.00\)">
                        <c:v>156981.60999999999</c:v>
                      </c:pt>
                      <c:pt idx="266" formatCode="&quot;$&quot;#,##0.00_);\(&quot;$&quot;#,##0.00\)">
                        <c:v>161851.42000000001</c:v>
                      </c:pt>
                      <c:pt idx="267" formatCode="&quot;$&quot;#,##0.00_);\(&quot;$&quot;#,##0.00\)">
                        <c:v>162310.07999999999</c:v>
                      </c:pt>
                      <c:pt idx="268" formatCode="&quot;$&quot;#,##0.00_);\(&quot;$&quot;#,##0.00\)">
                        <c:v>163430.93</c:v>
                      </c:pt>
                      <c:pt idx="269" formatCode="&quot;$&quot;#,##0.00_);\(&quot;$&quot;#,##0.00\)">
                        <c:v>164444.31</c:v>
                      </c:pt>
                      <c:pt idx="270" formatCode="&quot;$&quot;#,##0.00_);\(&quot;$&quot;#,##0.00\)">
                        <c:v>165465</c:v>
                      </c:pt>
                      <c:pt idx="271" formatCode="&quot;$&quot;#,##0.00_);\(&quot;$&quot;#,##0.00\)">
                        <c:v>168853.85</c:v>
                      </c:pt>
                      <c:pt idx="272" formatCode="&quot;$&quot;#,##0.00_);\(&quot;$&quot;#,##0.00\)">
                        <c:v>171155.11</c:v>
                      </c:pt>
                      <c:pt idx="273" formatCode="&quot;$&quot;#,##0.00_);\(&quot;$&quot;#,##0.00\)">
                        <c:v>172389.1</c:v>
                      </c:pt>
                      <c:pt idx="274" formatCode="&quot;$&quot;#,##0.00_);\(&quot;$&quot;#,##0.00\)">
                        <c:v>176591.86</c:v>
                      </c:pt>
                      <c:pt idx="275" formatCode="&quot;$&quot;#,##0.00_);\(&quot;$&quot;#,##0.00\)">
                        <c:v>182227.15</c:v>
                      </c:pt>
                      <c:pt idx="276" formatCode="&quot;$&quot;#,##0.00_);\(&quot;$&quot;#,##0.00\)">
                        <c:v>178387.85</c:v>
                      </c:pt>
                      <c:pt idx="277" formatCode="&quot;$&quot;#,##0.00_);\(&quot;$&quot;#,##0.00\)">
                        <c:v>186610.62</c:v>
                      </c:pt>
                      <c:pt idx="278" formatCode="&quot;$&quot;#,##0.00_);\(&quot;$&quot;#,##0.00\)">
                        <c:v>180735.99</c:v>
                      </c:pt>
                      <c:pt idx="279" formatCode="&quot;$&quot;#,##0.00_);\(&quot;$&quot;#,##0.00\)">
                        <c:v>175931.03</c:v>
                      </c:pt>
                      <c:pt idx="280" formatCode="&quot;$&quot;#,##0.00_);\(&quot;$&quot;#,##0.00\)">
                        <c:v>177097.56</c:v>
                      </c:pt>
                      <c:pt idx="281" formatCode="&quot;$&quot;#,##0.00_);\(&quot;$&quot;#,##0.00\)">
                        <c:v>179923.52</c:v>
                      </c:pt>
                      <c:pt idx="282" formatCode="&quot;$&quot;#,##0.00_);\(&quot;$&quot;#,##0.00\)">
                        <c:v>182495.75</c:v>
                      </c:pt>
                      <c:pt idx="283" formatCode="&quot;$&quot;#,##0.00_);\(&quot;$&quot;#,##0.00\)">
                        <c:v>187673.14</c:v>
                      </c:pt>
                      <c:pt idx="284" formatCode="&quot;$&quot;#,##0.00_);\(&quot;$&quot;#,##0.00\)">
                        <c:v>193093.25</c:v>
                      </c:pt>
                      <c:pt idx="285" formatCode="&quot;$&quot;#,##0.00_);\(&quot;$&quot;#,##0.00\)">
                        <c:v>194083.83</c:v>
                      </c:pt>
                      <c:pt idx="286" formatCode="&quot;$&quot;#,##0.00_);\(&quot;$&quot;#,##0.00\)">
                        <c:v>182553.3</c:v>
                      </c:pt>
                      <c:pt idx="287" formatCode="&quot;$&quot;#,##0.00_);\(&quot;$&quot;#,##0.00\)">
                        <c:v>188465.98</c:v>
                      </c:pt>
                      <c:pt idx="288" formatCode="&quot;$&quot;#,##0.00_);\(&quot;$&quot;#,##0.00\)">
                        <c:v>173020.41</c:v>
                      </c:pt>
                      <c:pt idx="289" formatCode="&quot;$&quot;#,##0.00_);\(&quot;$&quot;#,##0.00\)">
                        <c:v>186411.46</c:v>
                      </c:pt>
                      <c:pt idx="290" formatCode="&quot;$&quot;#,##0.00_);\(&quot;$&quot;#,##0.00\)">
                        <c:v>189247.3</c:v>
                      </c:pt>
                      <c:pt idx="291" formatCode="&quot;$&quot;#,##0.00_);[Red]\(&quot;$&quot;#,##0.00\)">
                        <c:v>194840.97</c:v>
                      </c:pt>
                      <c:pt idx="292">
                        <c:v>202462.54</c:v>
                      </c:pt>
                      <c:pt idx="293">
                        <c:v>193711.17</c:v>
                      </c:pt>
                      <c:pt idx="294">
                        <c:v>204734.88</c:v>
                      </c:pt>
                      <c:pt idx="295">
                        <c:v>207468.85</c:v>
                      </c:pt>
                      <c:pt idx="296">
                        <c:v>205072.93</c:v>
                      </c:pt>
                      <c:pt idx="297">
                        <c:v>206767.77</c:v>
                      </c:pt>
                      <c:pt idx="298">
                        <c:v>212172.56</c:v>
                      </c:pt>
                      <c:pt idx="299">
                        <c:v>218970.92</c:v>
                      </c:pt>
                      <c:pt idx="300">
                        <c:v>225950.07</c:v>
                      </c:pt>
                      <c:pt idx="301">
                        <c:v>221857.34</c:v>
                      </c:pt>
                      <c:pt idx="302">
                        <c:v>206453.64</c:v>
                      </c:pt>
                      <c:pt idx="303">
                        <c:v>187503.86</c:v>
                      </c:pt>
                      <c:pt idx="304">
                        <c:v>210402.84</c:v>
                      </c:pt>
                      <c:pt idx="305">
                        <c:v>218844.79999999999</c:v>
                      </c:pt>
                      <c:pt idx="306">
                        <c:v>224324.43</c:v>
                      </c:pt>
                      <c:pt idx="307">
                        <c:v>238015.72</c:v>
                      </c:pt>
                      <c:pt idx="308">
                        <c:v>254620.06</c:v>
                      </c:pt>
                      <c:pt idx="309">
                        <c:v>246376.09</c:v>
                      </c:pt>
                      <c:pt idx="310">
                        <c:v>237343.92</c:v>
                      </c:pt>
                      <c:pt idx="311">
                        <c:v>255336.76</c:v>
                      </c:pt>
                      <c:pt idx="312">
                        <c:v>265048.43</c:v>
                      </c:pt>
                      <c:pt idx="313">
                        <c:v>260228.77</c:v>
                      </c:pt>
                      <c:pt idx="314">
                        <c:v>260914.6</c:v>
                      </c:pt>
                      <c:pt idx="315">
                        <c:v>265953.75</c:v>
                      </c:pt>
                      <c:pt idx="316" formatCode="&quot;$&quot;#,##0.00_);\(&quot;$&quot;#,##0.00\)">
                        <c:v>281215.38</c:v>
                      </c:pt>
                      <c:pt idx="317">
                        <c:v>282077.48</c:v>
                      </c:pt>
                      <c:pt idx="318" formatCode="&quot;$&quot;#,##0.00_);\(&quot;$&quot;#,##0.00\)">
                        <c:v>291934.40000000002</c:v>
                      </c:pt>
                      <c:pt idx="319" formatCode="&quot;$&quot;#,##0.00_);\(&quot;$&quot;#,##0.00\)">
                        <c:v>297951.08</c:v>
                      </c:pt>
                      <c:pt idx="320" formatCode="&quot;$&quot;#,##0.00_);\(&quot;$&quot;#,##0.00\)">
                        <c:v>306916.15999999997</c:v>
                      </c:pt>
                      <c:pt idx="321" formatCode="&quot;$&quot;#,##0.00_);\(&quot;$&quot;#,##0.00\)">
                        <c:v>290476.49</c:v>
                      </c:pt>
                      <c:pt idx="322" formatCode="&quot;$&quot;#,##0.00_);\(&quot;$&quot;#,##0.00\)">
                        <c:v>310357.49</c:v>
                      </c:pt>
                      <c:pt idx="323">
                        <c:v>312199.15999999997</c:v>
                      </c:pt>
                      <c:pt idx="324">
                        <c:v>324030.28999999998</c:v>
                      </c:pt>
                      <c:pt idx="325">
                        <c:v>306892.83</c:v>
                      </c:pt>
                      <c:pt idx="326">
                        <c:v>313491.32</c:v>
                      </c:pt>
                      <c:pt idx="327">
                        <c:v>323233.73</c:v>
                      </c:pt>
                      <c:pt idx="328">
                        <c:v>294665.90999999997</c:v>
                      </c:pt>
                      <c:pt idx="329">
                        <c:v>293887.48</c:v>
                      </c:pt>
                      <c:pt idx="330">
                        <c:v>274235.76</c:v>
                      </c:pt>
                      <c:pt idx="331">
                        <c:v>296978.93</c:v>
                      </c:pt>
                      <c:pt idx="332">
                        <c:v>285009.24</c:v>
                      </c:pt>
                      <c:pt idx="333">
                        <c:v>260007.98</c:v>
                      </c:pt>
                      <c:pt idx="334">
                        <c:v>279164.64</c:v>
                      </c:pt>
                      <c:pt idx="335">
                        <c:v>292670.71000000002</c:v>
                      </c:pt>
                    </c:numCache>
                  </c:numRef>
                </c:val>
                <c:smooth val="0"/>
                <c:extLst>
                  <c:ext xmlns:c16="http://schemas.microsoft.com/office/drawing/2014/chart" uri="{C3380CC4-5D6E-409C-BE32-E72D297353CC}">
                    <c16:uniqueId val="{00000000-7000-43A6-AFE6-277F268E6866}"/>
                  </c:ext>
                </c:extLst>
              </c15:ser>
            </c15:filteredLineSeries>
            <c15:filteredLineSeries>
              <c15:ser>
                <c:idx val="1"/>
                <c:order val="1"/>
                <c:spPr>
                  <a:ln w="22225" cap="rnd">
                    <a:solidFill>
                      <a:schemeClr val="accent2"/>
                    </a:solidFill>
                  </a:ln>
                  <a:effectLst>
                    <a:glow rad="139700">
                      <a:schemeClr val="accent2">
                        <a:satMod val="175000"/>
                        <a:alpha val="14000"/>
                      </a:schemeClr>
                    </a:glow>
                  </a:effectLst>
                </c:spPr>
                <c:marker>
                  <c:symbol val="circle"/>
                  <c:size val="4"/>
                  <c:spPr>
                    <a:solidFill>
                      <a:schemeClr val="accent2">
                        <a:lumMod val="60000"/>
                        <a:lumOff val="40000"/>
                      </a:schemeClr>
                    </a:solidFill>
                    <a:ln>
                      <a:noFill/>
                    </a:ln>
                    <a:effectLst>
                      <a:glow rad="63500">
                        <a:schemeClr val="accent2">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Returns'!$C$4:$C$339</c15:sqref>
                        </c15:formulaRef>
                      </c:ext>
                    </c:extLst>
                    <c:numCache>
                      <c:formatCode>"$"#,##0.00_);[Red]\("$"#,##0.00\)</c:formatCode>
                      <c:ptCount val="336"/>
                      <c:pt idx="0">
                        <c:v>15000</c:v>
                      </c:pt>
                      <c:pt idx="14">
                        <c:v>5343.69</c:v>
                      </c:pt>
                      <c:pt idx="15">
                        <c:v>9502.5</c:v>
                      </c:pt>
                      <c:pt idx="28">
                        <c:v>607.5</c:v>
                      </c:pt>
                      <c:pt idx="37">
                        <c:v>1028.3399999999999</c:v>
                      </c:pt>
                      <c:pt idx="39">
                        <c:v>603</c:v>
                      </c:pt>
                      <c:pt idx="40">
                        <c:v>-13.25</c:v>
                      </c:pt>
                      <c:pt idx="50">
                        <c:v>3577.82</c:v>
                      </c:pt>
                      <c:pt idx="56">
                        <c:v>-6138.34</c:v>
                      </c:pt>
                      <c:pt idx="57">
                        <c:v>16.46</c:v>
                      </c:pt>
                      <c:pt idx="58">
                        <c:v>6114.1100000000006</c:v>
                      </c:pt>
                      <c:pt idx="63">
                        <c:v>2039.375</c:v>
                      </c:pt>
                      <c:pt idx="69">
                        <c:v>3356.69</c:v>
                      </c:pt>
                      <c:pt idx="178" formatCode="&quot;$&quot;#,##0.00">
                        <c:v>231.35</c:v>
                      </c:pt>
                      <c:pt idx="179" formatCode="&quot;$&quot;#,##0.00_);\(&quot;$&quot;#,##0.00\)">
                        <c:v>870</c:v>
                      </c:pt>
                      <c:pt idx="191" formatCode="&quot;$&quot;#,##0.00">
                        <c:v>715.5</c:v>
                      </c:pt>
                      <c:pt idx="196" formatCode="&quot;$&quot;#,##0.00">
                        <c:v>245.4</c:v>
                      </c:pt>
                      <c:pt idx="199" formatCode="&quot;$&quot;#,##0.00">
                        <c:v>9500</c:v>
                      </c:pt>
                      <c:pt idx="227">
                        <c:v>17262.09</c:v>
                      </c:pt>
                      <c:pt idx="237" formatCode="_(&quot;$&quot;* #,##0.00_);_(&quot;$&quot;* \(#,##0.00\);_(&quot;$&quot;* &quot;-&quot;??_);_(@_)">
                        <c:v>3950</c:v>
                      </c:pt>
                      <c:pt idx="240">
                        <c:v>-5000</c:v>
                      </c:pt>
                      <c:pt idx="242" formatCode="_(&quot;$&quot;* #,##0.00_);_(&quot;$&quot;* \(#,##0.00\);_(&quot;$&quot;* &quot;-&quot;??_);_(@_)">
                        <c:v>14250</c:v>
                      </c:pt>
                      <c:pt idx="253">
                        <c:v>-5000</c:v>
                      </c:pt>
                      <c:pt idx="275" formatCode="&quot;$&quot;#,##0_);[Red]\(&quot;$&quot;#,##0\)">
                        <c:v>-5000</c:v>
                      </c:pt>
                      <c:pt idx="300">
                        <c:v>-5000</c:v>
                      </c:pt>
                      <c:pt idx="313">
                        <c:v>-5000</c:v>
                      </c:pt>
                      <c:pt idx="325" formatCode="_(&quot;$&quot;* #,##0.00_);_(&quot;$&quot;* \(#,##0.00\);_(&quot;$&quot;* &quot;-&quot;??_);_(@_)">
                        <c:v>12355</c:v>
                      </c:pt>
                      <c:pt idx="335" formatCode="_(&quot;$&quot;* #,##0.00_);_(&quot;$&quot;* \(#,##0.00\);_(&quot;$&quot;* &quot;-&quot;??_);_(@_)">
                        <c:v>9750</c:v>
                      </c:pt>
                    </c:numCache>
                  </c:numRef>
                </c:val>
                <c:smooth val="0"/>
                <c:extLst xmlns:c15="http://schemas.microsoft.com/office/drawing/2012/chart">
                  <c:ext xmlns:c16="http://schemas.microsoft.com/office/drawing/2014/chart" uri="{C3380CC4-5D6E-409C-BE32-E72D297353CC}">
                    <c16:uniqueId val="{00000001-7000-43A6-AFE6-277F268E6866}"/>
                  </c:ext>
                </c:extLst>
              </c15:ser>
            </c15:filteredLineSeries>
            <c15:filteredLineSeries>
              <c15:ser>
                <c:idx val="2"/>
                <c:order val="2"/>
                <c:spPr>
                  <a:ln w="22225" cap="rnd">
                    <a:solidFill>
                      <a:schemeClr val="accent3"/>
                    </a:solidFill>
                  </a:ln>
                  <a:effectLst>
                    <a:glow rad="139700">
                      <a:schemeClr val="accent3">
                        <a:satMod val="175000"/>
                        <a:alpha val="14000"/>
                      </a:schemeClr>
                    </a:glow>
                  </a:effectLst>
                </c:spPr>
                <c:marker>
                  <c:symbol val="circle"/>
                  <c:size val="4"/>
                  <c:spPr>
                    <a:solidFill>
                      <a:schemeClr val="accent3">
                        <a:lumMod val="60000"/>
                        <a:lumOff val="40000"/>
                      </a:schemeClr>
                    </a:solidFill>
                    <a:ln>
                      <a:noFill/>
                    </a:ln>
                    <a:effectLst>
                      <a:glow rad="63500">
                        <a:schemeClr val="accent3">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Returns'!$D$4:$D$339</c15:sqref>
                        </c15:formulaRef>
                      </c:ext>
                    </c:extLst>
                    <c:numCache>
                      <c:formatCode>"$"#,##0.00</c:formatCode>
                      <c:ptCount val="336"/>
                      <c:pt idx="0">
                        <c:v>15000</c:v>
                      </c:pt>
                      <c:pt idx="1">
                        <c:v>15000</c:v>
                      </c:pt>
                      <c:pt idx="2">
                        <c:v>15115</c:v>
                      </c:pt>
                      <c:pt idx="3">
                        <c:v>15023.68</c:v>
                      </c:pt>
                      <c:pt idx="4">
                        <c:v>15699.78</c:v>
                      </c:pt>
                      <c:pt idx="5">
                        <c:v>16317.09</c:v>
                      </c:pt>
                      <c:pt idx="6">
                        <c:v>17552.29</c:v>
                      </c:pt>
                      <c:pt idx="7">
                        <c:v>17891.29</c:v>
                      </c:pt>
                      <c:pt idx="8">
                        <c:v>18877.36</c:v>
                      </c:pt>
                      <c:pt idx="9">
                        <c:v>18392.53</c:v>
                      </c:pt>
                      <c:pt idx="10">
                        <c:v>19517.362570000001</c:v>
                      </c:pt>
                      <c:pt idx="11">
                        <c:v>20372.148399999998</c:v>
                      </c:pt>
                      <c:pt idx="12">
                        <c:v>20363.247579999999</c:v>
                      </c:pt>
                      <c:pt idx="13">
                        <c:v>21920.303</c:v>
                      </c:pt>
                      <c:pt idx="14">
                        <c:v>28797.585300000002</c:v>
                      </c:pt>
                      <c:pt idx="15">
                        <c:v>39995.881359999999</c:v>
                      </c:pt>
                      <c:pt idx="16">
                        <c:v>44534.313139999998</c:v>
                      </c:pt>
                      <c:pt idx="17">
                        <c:v>43456.408219999998</c:v>
                      </c:pt>
                      <c:pt idx="18">
                        <c:v>40241.6728</c:v>
                      </c:pt>
                      <c:pt idx="19">
                        <c:v>41784.22666</c:v>
                      </c:pt>
                      <c:pt idx="20">
                        <c:v>43591.60226</c:v>
                      </c:pt>
                      <c:pt idx="21">
                        <c:v>41510.2696</c:v>
                      </c:pt>
                      <c:pt idx="22">
                        <c:v>43858.109700000001</c:v>
                      </c:pt>
                      <c:pt idx="23">
                        <c:v>43042.674460000002</c:v>
                      </c:pt>
                      <c:pt idx="24">
                        <c:v>44629.365460000001</c:v>
                      </c:pt>
                      <c:pt idx="25">
                        <c:v>45312.520400000001</c:v>
                      </c:pt>
                      <c:pt idx="26">
                        <c:v>45354.520400000001</c:v>
                      </c:pt>
                      <c:pt idx="27">
                        <c:v>44550.891320000002</c:v>
                      </c:pt>
                      <c:pt idx="28">
                        <c:v>49272.376020000003</c:v>
                      </c:pt>
                      <c:pt idx="29">
                        <c:v>49043.52072</c:v>
                      </c:pt>
                      <c:pt idx="30">
                        <c:v>53009.739439999998</c:v>
                      </c:pt>
                      <c:pt idx="31">
                        <c:v>51303.058879999997</c:v>
                      </c:pt>
                      <c:pt idx="32">
                        <c:v>54162.658920000002</c:v>
                      </c:pt>
                      <c:pt idx="33">
                        <c:v>52249.950720000001</c:v>
                      </c:pt>
                      <c:pt idx="34">
                        <c:v>54629.03</c:v>
                      </c:pt>
                      <c:pt idx="35">
                        <c:v>56596.089800000002</c:v>
                      </c:pt>
                      <c:pt idx="36">
                        <c:v>57092.232900000003</c:v>
                      </c:pt>
                      <c:pt idx="37">
                        <c:v>61023.299099999997</c:v>
                      </c:pt>
                      <c:pt idx="38">
                        <c:v>64065.231800000001</c:v>
                      </c:pt>
                      <c:pt idx="39">
                        <c:v>65226.5236</c:v>
                      </c:pt>
                      <c:pt idx="40">
                        <c:v>68425.400999999998</c:v>
                      </c:pt>
                      <c:pt idx="41">
                        <c:v>70396.598300000012</c:v>
                      </c:pt>
                      <c:pt idx="42">
                        <c:v>68469.862399999998</c:v>
                      </c:pt>
                      <c:pt idx="43">
                        <c:v>59002.733500000002</c:v>
                      </c:pt>
                      <c:pt idx="44">
                        <c:v>62964.231400000004</c:v>
                      </c:pt>
                      <c:pt idx="45">
                        <c:v>67447.303199999995</c:v>
                      </c:pt>
                      <c:pt idx="46">
                        <c:v>69612.256500000003</c:v>
                      </c:pt>
                      <c:pt idx="47">
                        <c:v>75935.696880000003</c:v>
                      </c:pt>
                      <c:pt idx="48">
                        <c:v>78054.266999999993</c:v>
                      </c:pt>
                      <c:pt idx="49">
                        <c:v>74039.749599999996</c:v>
                      </c:pt>
                      <c:pt idx="50">
                        <c:v>79668.802480000013</c:v>
                      </c:pt>
                      <c:pt idx="51">
                        <c:v>83374.96888</c:v>
                      </c:pt>
                      <c:pt idx="52">
                        <c:v>80595.890040000013</c:v>
                      </c:pt>
                      <c:pt idx="53">
                        <c:v>85008.824080000006</c:v>
                      </c:pt>
                      <c:pt idx="54">
                        <c:v>82374.70408000001</c:v>
                      </c:pt>
                      <c:pt idx="55">
                        <c:v>82212.142600000006</c:v>
                      </c:pt>
                      <c:pt idx="56">
                        <c:v>76556.462239999993</c:v>
                      </c:pt>
                      <c:pt idx="57">
                        <c:v>76741.281959999993</c:v>
                      </c:pt>
                      <c:pt idx="58">
                        <c:v>87554.481520000001</c:v>
                      </c:pt>
                      <c:pt idx="59">
                        <c:v>97797.453039999993</c:v>
                      </c:pt>
                      <c:pt idx="60">
                        <c:v>93729.597600000008</c:v>
                      </c:pt>
                      <c:pt idx="61">
                        <c:v>97108.305520000009</c:v>
                      </c:pt>
                      <c:pt idx="62">
                        <c:v>105300.94888</c:v>
                      </c:pt>
                      <c:pt idx="63">
                        <c:v>101387.10144000001</c:v>
                      </c:pt>
                      <c:pt idx="64">
                        <c:v>96083.390719999996</c:v>
                      </c:pt>
                      <c:pt idx="65">
                        <c:v>101705.51472000001</c:v>
                      </c:pt>
                      <c:pt idx="66">
                        <c:v>98649.063599999994</c:v>
                      </c:pt>
                      <c:pt idx="67">
                        <c:v>104416.32024</c:v>
                      </c:pt>
                      <c:pt idx="68">
                        <c:v>100041.04128</c:v>
                      </c:pt>
                      <c:pt idx="69">
                        <c:v>100222.656</c:v>
                      </c:pt>
                      <c:pt idx="70">
                        <c:v>91871.182000000001</c:v>
                      </c:pt>
                      <c:pt idx="71">
                        <c:v>92926.047380000004</c:v>
                      </c:pt>
                      <c:pt idx="72">
                        <c:v>93876.618919999994</c:v>
                      </c:pt>
                      <c:pt idx="73">
                        <c:v>80387.435670000006</c:v>
                      </c:pt>
                      <c:pt idx="74">
                        <c:v>75391.689299999998</c:v>
                      </c:pt>
                      <c:pt idx="75">
                        <c:v>81691.687479999993</c:v>
                      </c:pt>
                      <c:pt idx="76">
                        <c:v>82850.864809999999</c:v>
                      </c:pt>
                      <c:pt idx="77">
                        <c:v>78068.742320000005</c:v>
                      </c:pt>
                      <c:pt idx="78">
                        <c:v>77231.579610000001</c:v>
                      </c:pt>
                      <c:pt idx="79">
                        <c:v>70423.415070000003</c:v>
                      </c:pt>
                      <c:pt idx="80">
                        <c:v>64103.53572</c:v>
                      </c:pt>
                      <c:pt idx="81">
                        <c:v>69709.340110000005</c:v>
                      </c:pt>
                      <c:pt idx="82">
                        <c:v>72293.117079999996</c:v>
                      </c:pt>
                      <c:pt idx="83">
                        <c:v>74172.353600000002</c:v>
                      </c:pt>
                      <c:pt idx="84">
                        <c:v>74511.689549999996</c:v>
                      </c:pt>
                      <c:pt idx="85">
                        <c:v>70836.689549999996</c:v>
                      </c:pt>
                      <c:pt idx="86">
                        <c:v>74437.689549999996</c:v>
                      </c:pt>
                      <c:pt idx="87">
                        <c:v>71535.872449999995</c:v>
                      </c:pt>
                      <c:pt idx="88">
                        <c:v>70556.297950000007</c:v>
                      </c:pt>
                      <c:pt idx="89">
                        <c:v>62844.650849999998</c:v>
                      </c:pt>
                      <c:pt idx="90">
                        <c:v>58194.395100000002</c:v>
                      </c:pt>
                      <c:pt idx="91">
                        <c:v>58197.803650000002</c:v>
                      </c:pt>
                      <c:pt idx="92">
                        <c:v>54231.147949999999</c:v>
                      </c:pt>
                      <c:pt idx="93">
                        <c:v>57758.258750000001</c:v>
                      </c:pt>
                      <c:pt idx="94">
                        <c:v>61438.48</c:v>
                      </c:pt>
                      <c:pt idx="95">
                        <c:v>58650.48</c:v>
                      </c:pt>
                      <c:pt idx="96">
                        <c:v>57854.48</c:v>
                      </c:pt>
                      <c:pt idx="97">
                        <c:v>57854.48</c:v>
                      </c:pt>
                      <c:pt idx="98">
                        <c:v>58664.480000000003</c:v>
                      </c:pt>
                      <c:pt idx="99">
                        <c:v>61687.48</c:v>
                      </c:pt>
                      <c:pt idx="100">
                        <c:v>64544.480000000003</c:v>
                      </c:pt>
                      <c:pt idx="101">
                        <c:v>67424.479999999996</c:v>
                      </c:pt>
                      <c:pt idx="102">
                        <c:v>67707.48</c:v>
                      </c:pt>
                      <c:pt idx="103">
                        <c:v>68339.98</c:v>
                      </c:pt>
                      <c:pt idx="104">
                        <c:v>68972.479999999996</c:v>
                      </c:pt>
                      <c:pt idx="105">
                        <c:v>69972.479999999996</c:v>
                      </c:pt>
                      <c:pt idx="106">
                        <c:v>71972.479999999996</c:v>
                      </c:pt>
                      <c:pt idx="107">
                        <c:v>72470.48</c:v>
                      </c:pt>
                      <c:pt idx="108">
                        <c:v>72163.48</c:v>
                      </c:pt>
                      <c:pt idx="109">
                        <c:v>73627.48</c:v>
                      </c:pt>
                      <c:pt idx="110">
                        <c:v>74086.48</c:v>
                      </c:pt>
                      <c:pt idx="111">
                        <c:v>74086.48</c:v>
                      </c:pt>
                      <c:pt idx="112">
                        <c:v>73793</c:v>
                      </c:pt>
                      <c:pt idx="113">
                        <c:v>76638</c:v>
                      </c:pt>
                      <c:pt idx="114">
                        <c:v>74054</c:v>
                      </c:pt>
                      <c:pt idx="115">
                        <c:v>72194</c:v>
                      </c:pt>
                      <c:pt idx="116">
                        <c:v>73811</c:v>
                      </c:pt>
                      <c:pt idx="117">
                        <c:v>76833</c:v>
                      </c:pt>
                      <c:pt idx="118">
                        <c:v>80907</c:v>
                      </c:pt>
                      <c:pt idx="119">
                        <c:v>82629</c:v>
                      </c:pt>
                      <c:pt idx="120">
                        <c:v>80208</c:v>
                      </c:pt>
                      <c:pt idx="121">
                        <c:v>81867</c:v>
                      </c:pt>
                      <c:pt idx="122">
                        <c:v>76382</c:v>
                      </c:pt>
                      <c:pt idx="123">
                        <c:v>72956</c:v>
                      </c:pt>
                      <c:pt idx="124">
                        <c:v>75938</c:v>
                      </c:pt>
                      <c:pt idx="125">
                        <c:v>76725</c:v>
                      </c:pt>
                      <c:pt idx="126">
                        <c:v>78894</c:v>
                      </c:pt>
                      <c:pt idx="127">
                        <c:v>75917</c:v>
                      </c:pt>
                      <c:pt idx="128">
                        <c:v>75325</c:v>
                      </c:pt>
                      <c:pt idx="129">
                        <c:v>73748</c:v>
                      </c:pt>
                      <c:pt idx="130">
                        <c:v>77614</c:v>
                      </c:pt>
                      <c:pt idx="131">
                        <c:v>77392.490000000005</c:v>
                      </c:pt>
                      <c:pt idx="132">
                        <c:v>79244.350000000006</c:v>
                      </c:pt>
                      <c:pt idx="133">
                        <c:v>80509.460000000006</c:v>
                      </c:pt>
                      <c:pt idx="134">
                        <c:v>81286.320000000007</c:v>
                      </c:pt>
                      <c:pt idx="135">
                        <c:v>81177.61</c:v>
                      </c:pt>
                      <c:pt idx="136">
                        <c:v>75975.289999999994</c:v>
                      </c:pt>
                      <c:pt idx="137">
                        <c:v>75249.16</c:v>
                      </c:pt>
                      <c:pt idx="138">
                        <c:v>74280.490000000005</c:v>
                      </c:pt>
                      <c:pt idx="139">
                        <c:v>74743.06</c:v>
                      </c:pt>
                      <c:pt idx="140">
                        <c:v>75240.11</c:v>
                      </c:pt>
                      <c:pt idx="141">
                        <c:v>75609.31</c:v>
                      </c:pt>
                      <c:pt idx="142">
                        <c:v>76087.259999999995</c:v>
                      </c:pt>
                      <c:pt idx="143">
                        <c:v>75485.899999999994</c:v>
                      </c:pt>
                      <c:pt idx="144">
                        <c:v>76166.53</c:v>
                      </c:pt>
                      <c:pt idx="145">
                        <c:v>75565.66</c:v>
                      </c:pt>
                      <c:pt idx="146">
                        <c:v>74479.28</c:v>
                      </c:pt>
                      <c:pt idx="147">
                        <c:v>79358.95</c:v>
                      </c:pt>
                      <c:pt idx="148">
                        <c:v>81541.91</c:v>
                      </c:pt>
                      <c:pt idx="149">
                        <c:v>80393.27</c:v>
                      </c:pt>
                      <c:pt idx="150">
                        <c:v>77832.62</c:v>
                      </c:pt>
                      <c:pt idx="151">
                        <c:v>79201.740000000005</c:v>
                      </c:pt>
                      <c:pt idx="152">
                        <c:v>82091.929999999993</c:v>
                      </c:pt>
                      <c:pt idx="153">
                        <c:v>83295.92</c:v>
                      </c:pt>
                      <c:pt idx="154">
                        <c:v>80082.63</c:v>
                      </c:pt>
                      <c:pt idx="155">
                        <c:v>79838.77</c:v>
                      </c:pt>
                      <c:pt idx="156">
                        <c:v>73105.33</c:v>
                      </c:pt>
                      <c:pt idx="157">
                        <c:v>70553.070000000007</c:v>
                      </c:pt>
                      <c:pt idx="158">
                        <c:v>70722.44</c:v>
                      </c:pt>
                      <c:pt idx="159">
                        <c:v>74211.12</c:v>
                      </c:pt>
                      <c:pt idx="160">
                        <c:v>76406.17</c:v>
                      </c:pt>
                      <c:pt idx="161">
                        <c:v>71571.28</c:v>
                      </c:pt>
                      <c:pt idx="162">
                        <c:v>69390.36</c:v>
                      </c:pt>
                      <c:pt idx="163">
                        <c:v>69207.41</c:v>
                      </c:pt>
                      <c:pt idx="164">
                        <c:v>61324.63</c:v>
                      </c:pt>
                      <c:pt idx="165">
                        <c:v>50529.599999999999</c:v>
                      </c:pt>
                      <c:pt idx="166">
                        <c:v>46178.82</c:v>
                      </c:pt>
                      <c:pt idx="167">
                        <c:v>47396.06</c:v>
                      </c:pt>
                      <c:pt idx="168">
                        <c:v>45537.75</c:v>
                      </c:pt>
                      <c:pt idx="169">
                        <c:v>42186.44</c:v>
                      </c:pt>
                      <c:pt idx="170">
                        <c:v>44298.05</c:v>
                      </c:pt>
                      <c:pt idx="171">
                        <c:v>48443.040000000001</c:v>
                      </c:pt>
                      <c:pt idx="172">
                        <c:v>51461.06</c:v>
                      </c:pt>
                      <c:pt idx="173" formatCode="&quot;$&quot;#,##0.00_);\(&quot;$&quot;#,##0.00\)">
                        <c:v>52236.800000000003</c:v>
                      </c:pt>
                      <c:pt idx="174" formatCode="&quot;$&quot;#,##0.00_);\(&quot;$&quot;#,##0.00\)">
                        <c:v>54135.53</c:v>
                      </c:pt>
                      <c:pt idx="175" formatCode="&quot;$&quot;#,##0.00_);\(&quot;$&quot;#,##0.00\)">
                        <c:v>53920.9</c:v>
                      </c:pt>
                      <c:pt idx="176" formatCode="&quot;$&quot;#,##0.00_);\(&quot;$&quot;#,##0.00\)">
                        <c:v>55987.17</c:v>
                      </c:pt>
                      <c:pt idx="177" formatCode="&quot;$&quot;#,##0.00_);\(&quot;$&quot;#,##0.00\)">
                        <c:v>55314</c:v>
                      </c:pt>
                      <c:pt idx="178" formatCode="&quot;$&quot;#,##0.00_);\(&quot;$&quot;#,##0.00\)">
                        <c:v>57872.78</c:v>
                      </c:pt>
                      <c:pt idx="179" formatCode="&quot;$&quot;#,##0.00_);\(&quot;$&quot;#,##0.00\)">
                        <c:v>60742.239999999998</c:v>
                      </c:pt>
                      <c:pt idx="180" formatCode="&quot;$&quot;#,##0.00_);\(&quot;$&quot;#,##0.00\)">
                        <c:v>58620.14</c:v>
                      </c:pt>
                      <c:pt idx="181" formatCode="&quot;$&quot;#,##0.00_);\(&quot;$&quot;#,##0.00\)">
                        <c:v>60616.45</c:v>
                      </c:pt>
                      <c:pt idx="182">
                        <c:v>64012.23</c:v>
                      </c:pt>
                      <c:pt idx="183">
                        <c:v>66579.429999999993</c:v>
                      </c:pt>
                      <c:pt idx="184">
                        <c:v>61199.21</c:v>
                      </c:pt>
                      <c:pt idx="185">
                        <c:v>58236.65</c:v>
                      </c:pt>
                      <c:pt idx="186">
                        <c:v>61911.31</c:v>
                      </c:pt>
                      <c:pt idx="187">
                        <c:v>59781.22</c:v>
                      </c:pt>
                      <c:pt idx="188">
                        <c:v>65649.899999999994</c:v>
                      </c:pt>
                      <c:pt idx="189" formatCode="&quot;$&quot;#,##0.00_);\(&quot;$&quot;#,##0.00\)">
                        <c:v>67878.820000000007</c:v>
                      </c:pt>
                      <c:pt idx="190">
                        <c:v>68190.94</c:v>
                      </c:pt>
                      <c:pt idx="191">
                        <c:v>72769.09</c:v>
                      </c:pt>
                      <c:pt idx="192">
                        <c:v>73324.36</c:v>
                      </c:pt>
                      <c:pt idx="193">
                        <c:v>74117.87</c:v>
                      </c:pt>
                      <c:pt idx="194">
                        <c:v>72915.679999999993</c:v>
                      </c:pt>
                      <c:pt idx="195">
                        <c:v>74963.740000000005</c:v>
                      </c:pt>
                      <c:pt idx="196">
                        <c:v>73700.479999999996</c:v>
                      </c:pt>
                      <c:pt idx="197">
                        <c:v>71664.460000000006</c:v>
                      </c:pt>
                      <c:pt idx="198">
                        <c:v>71233.39</c:v>
                      </c:pt>
                      <c:pt idx="199">
                        <c:v>77909.440000000002</c:v>
                      </c:pt>
                      <c:pt idx="200">
                        <c:v>73739.45</c:v>
                      </c:pt>
                      <c:pt idx="201">
                        <c:v>79459.56</c:v>
                      </c:pt>
                      <c:pt idx="202">
                        <c:v>77684.740000000005</c:v>
                      </c:pt>
                      <c:pt idx="203">
                        <c:v>78764.09</c:v>
                      </c:pt>
                      <c:pt idx="204">
                        <c:v>83725.22</c:v>
                      </c:pt>
                      <c:pt idx="205">
                        <c:v>86599.3</c:v>
                      </c:pt>
                      <c:pt idx="206">
                        <c:v>89267.72</c:v>
                      </c:pt>
                      <c:pt idx="207">
                        <c:v>88791.21</c:v>
                      </c:pt>
                      <c:pt idx="208">
                        <c:v>83263.31</c:v>
                      </c:pt>
                      <c:pt idx="209">
                        <c:v>85742.37</c:v>
                      </c:pt>
                      <c:pt idx="210">
                        <c:v>86080.22</c:v>
                      </c:pt>
                      <c:pt idx="211">
                        <c:v>88427.44</c:v>
                      </c:pt>
                      <c:pt idx="212">
                        <c:v>89866</c:v>
                      </c:pt>
                      <c:pt idx="213">
                        <c:v>89045.32</c:v>
                      </c:pt>
                      <c:pt idx="214">
                        <c:v>89311.18</c:v>
                      </c:pt>
                      <c:pt idx="215">
                        <c:v>89603.02</c:v>
                      </c:pt>
                      <c:pt idx="216" formatCode="&quot;$&quot;#,##0.00_);\(&quot;$&quot;#,##0.00\)">
                        <c:v>92714.7</c:v>
                      </c:pt>
                      <c:pt idx="217" formatCode="&quot;$&quot;#,##0.00_);\(&quot;$&quot;#,##0.00\)">
                        <c:v>92914.64</c:v>
                      </c:pt>
                      <c:pt idx="218" formatCode="&quot;$&quot;#,##0.00_);\(&quot;$&quot;#,##0.00\)">
                        <c:v>95073.5</c:v>
                      </c:pt>
                      <c:pt idx="219" formatCode="&quot;$&quot;#,##0.00_);\(&quot;$&quot;#,##0.00\)">
                        <c:v>95745.97</c:v>
                      </c:pt>
                      <c:pt idx="220" formatCode="&quot;$&quot;#,##0.00_);\(&quot;$&quot;#,##0.00\)">
                        <c:v>96184.69</c:v>
                      </c:pt>
                      <c:pt idx="221" formatCode="&quot;$&quot;#,##0.00_);\(&quot;$&quot;#,##0.00\)">
                        <c:v>95212.55</c:v>
                      </c:pt>
                      <c:pt idx="222" formatCode="&quot;$&quot;#,##0.00_);\(&quot;$&quot;#,##0.00\)">
                        <c:v>98341.5</c:v>
                      </c:pt>
                      <c:pt idx="223" formatCode="&quot;$&quot;#,##0.00_);\(&quot;$&quot;#,##0.00\)">
                        <c:v>97445.6</c:v>
                      </c:pt>
                      <c:pt idx="224" formatCode="&quot;$&quot;#,##0.00_);\(&quot;$&quot;#,##0.00\)">
                        <c:v>98816.84</c:v>
                      </c:pt>
                      <c:pt idx="225" formatCode="&quot;$&quot;#,##0.00_);\(&quot;$&quot;#,##0.00\)">
                        <c:v>100828.8</c:v>
                      </c:pt>
                      <c:pt idx="226" formatCode="&quot;$&quot;#,##0.00_);\(&quot;$&quot;#,##0.00\)">
                        <c:v>102942.21</c:v>
                      </c:pt>
                      <c:pt idx="227" formatCode="&quot;$&quot;#,##0.00_);\(&quot;$&quot;#,##0.00\)">
                        <c:v>122404.14</c:v>
                      </c:pt>
                      <c:pt idx="228" formatCode="&quot;$&quot;#,##0.00_);\(&quot;$&quot;#,##0.00\)">
                        <c:v>118740.48</c:v>
                      </c:pt>
                      <c:pt idx="229" formatCode="&quot;$&quot;#,##0.00_);\(&quot;$&quot;#,##0.00\)">
                        <c:v>122374.27</c:v>
                      </c:pt>
                      <c:pt idx="230" formatCode="&quot;$&quot;#,##0.00_);\(&quot;$&quot;#,##0.00\)">
                        <c:v>123754.81</c:v>
                      </c:pt>
                      <c:pt idx="231" formatCode="&quot;$&quot;#,##0.00_);\(&quot;$&quot;#,##0.00\)">
                        <c:v>124632.65</c:v>
                      </c:pt>
                      <c:pt idx="232" formatCode="&quot;$&quot;#,##0.00_);\(&quot;$&quot;#,##0.00\)">
                        <c:v>127232.59</c:v>
                      </c:pt>
                      <c:pt idx="233" formatCode="&quot;$&quot;#,##0.00_);\(&quot;$&quot;#,##0.00\)">
                        <c:v>129832.54</c:v>
                      </c:pt>
                      <c:pt idx="234" formatCode="&quot;$&quot;#,##0.00_);\(&quot;$&quot;#,##0.00\)">
                        <c:v>128667.7</c:v>
                      </c:pt>
                      <c:pt idx="235" formatCode="&quot;$&quot;#,##0.00_);\(&quot;$&quot;#,##0.00\)">
                        <c:v>133420.57999999999</c:v>
                      </c:pt>
                      <c:pt idx="236" formatCode="&quot;$&quot;#,##0.00_);\(&quot;$&quot;#,##0.00\)">
                        <c:v>132860.29</c:v>
                      </c:pt>
                      <c:pt idx="237" formatCode="&quot;$&quot;#,##0.00_);\(&quot;$&quot;#,##0.00\)">
                        <c:v>140077.74</c:v>
                      </c:pt>
                      <c:pt idx="238" formatCode="&quot;$&quot;#,##0.00_);\(&quot;$&quot;#,##0.00\)">
                        <c:v>144670.32999999999</c:v>
                      </c:pt>
                      <c:pt idx="239" formatCode="&quot;$&quot;#,##0.00_);\(&quot;$&quot;#,##0.00\)">
                        <c:v>144176.32000000001</c:v>
                      </c:pt>
                      <c:pt idx="240" formatCode="&quot;$&quot;#,##0.00_);\(&quot;$&quot;#,##0.00\)">
                        <c:v>137630.70000000001</c:v>
                      </c:pt>
                      <c:pt idx="241" formatCode="&quot;$&quot;#,##0.00_);\(&quot;$&quot;#,##0.00\)">
                        <c:v>143278.09</c:v>
                      </c:pt>
                      <c:pt idx="242" formatCode="&quot;$&quot;#,##0.00_);\(&quot;$&quot;#,##0.00\)">
                        <c:v>156179.75</c:v>
                      </c:pt>
                      <c:pt idx="243" formatCode="&quot;$&quot;#,##0.00_);\(&quot;$&quot;#,##0.00\)">
                        <c:v>156040.24</c:v>
                      </c:pt>
                      <c:pt idx="244" formatCode="&quot;$&quot;#,##0.00_);\(&quot;$&quot;#,##0.00\)">
                        <c:v>159309.31</c:v>
                      </c:pt>
                      <c:pt idx="245" formatCode="&quot;$&quot;#,##0.00_);\(&quot;$&quot;#,##0.00\)">
                        <c:v>155332.68</c:v>
                      </c:pt>
                      <c:pt idx="246" formatCode="&quot;$&quot;#,##0.00_);\(&quot;$&quot;#,##0.00\)">
                        <c:v>158122.35</c:v>
                      </c:pt>
                      <c:pt idx="247" formatCode="&quot;$&quot;#,##0.00_);\(&quot;$&quot;#,##0.00\)">
                        <c:v>149529.31</c:v>
                      </c:pt>
                      <c:pt idx="248" formatCode="&quot;$&quot;#,##0.00_);\(&quot;$&quot;#,##0.00\)">
                        <c:v>147476.48000000001</c:v>
                      </c:pt>
                      <c:pt idx="249" formatCode="&quot;$&quot;#,##0.00_);\(&quot;$&quot;#,##0.00\)">
                        <c:v>155685.09</c:v>
                      </c:pt>
                      <c:pt idx="250" formatCode="&quot;$&quot;#,##0.00_);\(&quot;$&quot;#,##0.00\)">
                        <c:v>154904.59</c:v>
                      </c:pt>
                      <c:pt idx="251" formatCode="&quot;$&quot;#,##0.00_);\(&quot;$&quot;#,##0.00\)">
                        <c:v>152148.18</c:v>
                      </c:pt>
                      <c:pt idx="252" formatCode="&quot;$&quot;#,##0.00_);\(&quot;$&quot;#,##0.00\)">
                        <c:v>145093.57</c:v>
                      </c:pt>
                      <c:pt idx="253" formatCode="&quot;$&quot;#,##0.00_);\(&quot;$&quot;#,##0.00\)">
                        <c:v>139542.14000000001</c:v>
                      </c:pt>
                      <c:pt idx="254" formatCode="&quot;$&quot;#,##0.00_);\(&quot;$&quot;#,##0.00\)">
                        <c:v>147069.18</c:v>
                      </c:pt>
                      <c:pt idx="255" formatCode="&quot;$&quot;#,##0.00_);\(&quot;$&quot;#,##0.00\)">
                        <c:v>146624.94</c:v>
                      </c:pt>
                      <c:pt idx="256" formatCode="&quot;$&quot;#,##0.00_);\(&quot;$&quot;#,##0.00\)">
                        <c:v>149641.71</c:v>
                      </c:pt>
                      <c:pt idx="257" formatCode="&quot;$&quot;#,##0.00_);\(&quot;$&quot;#,##0.00\)">
                        <c:v>150486.17000000001</c:v>
                      </c:pt>
                      <c:pt idx="258" formatCode="&quot;$&quot;#,##0.00_);\(&quot;$&quot;#,##0.00\)">
                        <c:v>155083.13</c:v>
                      </c:pt>
                      <c:pt idx="259" formatCode="&quot;$&quot;#,##0.00_);\(&quot;$&quot;#,##0.00\)">
                        <c:v>155101.42777000001</c:v>
                      </c:pt>
                      <c:pt idx="260" formatCode="&quot;$&quot;#,##0.00_);\(&quot;$&quot;#,##0.00\)">
                        <c:v>155199.76999999999</c:v>
                      </c:pt>
                      <c:pt idx="261" formatCode="&quot;$&quot;#,##0.00_);\(&quot;$&quot;#,##0.00\)">
                        <c:v>150462.03</c:v>
                      </c:pt>
                      <c:pt idx="262" formatCode="&quot;$&quot;#,##0.00_);\(&quot;$&quot;#,##0.00\)">
                        <c:v>152357.16</c:v>
                      </c:pt>
                      <c:pt idx="263" formatCode="&quot;$&quot;#,##0.00_);\(&quot;$&quot;#,##0.00\)">
                        <c:v>154813.76999999999</c:v>
                      </c:pt>
                      <c:pt idx="264" formatCode="&quot;$&quot;#,##0.00_);\(&quot;$&quot;#,##0.00\)">
                        <c:v>156981.60999999999</c:v>
                      </c:pt>
                      <c:pt idx="265" formatCode="&quot;$&quot;#,##0.00_);\(&quot;$&quot;#,##0.00\)">
                        <c:v>161851.42000000001</c:v>
                      </c:pt>
                      <c:pt idx="266" formatCode="&quot;$&quot;#,##0.00_);\(&quot;$&quot;#,##0.00\)">
                        <c:v>162310.07999999999</c:v>
                      </c:pt>
                      <c:pt idx="267" formatCode="&quot;$&quot;#,##0.00_);\(&quot;$&quot;#,##0.00\)">
                        <c:v>163430.93</c:v>
                      </c:pt>
                      <c:pt idx="268" formatCode="&quot;$&quot;#,##0.00_);\(&quot;$&quot;#,##0.00\)">
                        <c:v>164444.31</c:v>
                      </c:pt>
                      <c:pt idx="269" formatCode="&quot;$&quot;#,##0.00_);\(&quot;$&quot;#,##0.00\)">
                        <c:v>165465</c:v>
                      </c:pt>
                      <c:pt idx="270" formatCode="&quot;$&quot;#,##0.00_);\(&quot;$&quot;#,##0.00\)">
                        <c:v>168853.85</c:v>
                      </c:pt>
                      <c:pt idx="271" formatCode="&quot;$&quot;#,##0.00_);\(&quot;$&quot;#,##0.00\)">
                        <c:v>171155.11</c:v>
                      </c:pt>
                      <c:pt idx="272" formatCode="&quot;$&quot;#,##0.00_);\(&quot;$&quot;#,##0.00\)">
                        <c:v>172389.1</c:v>
                      </c:pt>
                      <c:pt idx="273" formatCode="&quot;$&quot;#,##0.00_);\(&quot;$&quot;#,##0.00\)">
                        <c:v>176591.86</c:v>
                      </c:pt>
                      <c:pt idx="274" formatCode="&quot;$&quot;#,##0.00_);\(&quot;$&quot;#,##0.00\)">
                        <c:v>182227.15</c:v>
                      </c:pt>
                      <c:pt idx="275" formatCode="&quot;$&quot;#,##0.00_);\(&quot;$&quot;#,##0.00\)">
                        <c:v>178387.85</c:v>
                      </c:pt>
                      <c:pt idx="276" formatCode="&quot;$&quot;#,##0.00_);\(&quot;$&quot;#,##0.00\)">
                        <c:v>186610.62</c:v>
                      </c:pt>
                      <c:pt idx="277" formatCode="&quot;$&quot;#,##0.00_);\(&quot;$&quot;#,##0.00\)">
                        <c:v>180735.99</c:v>
                      </c:pt>
                      <c:pt idx="278" formatCode="&quot;$&quot;#,##0.00_);\(&quot;$&quot;#,##0.00\)">
                        <c:v>175931.03</c:v>
                      </c:pt>
                      <c:pt idx="279" formatCode="&quot;$&quot;#,##0.00_);\(&quot;$&quot;#,##0.00\)">
                        <c:v>177097.56</c:v>
                      </c:pt>
                      <c:pt idx="280" formatCode="&quot;$&quot;#,##0.00_);\(&quot;$&quot;#,##0.00\)">
                        <c:v>179923.52</c:v>
                      </c:pt>
                      <c:pt idx="281" formatCode="&quot;$&quot;#,##0.00_);\(&quot;$&quot;#,##0.00\)">
                        <c:v>182495.75</c:v>
                      </c:pt>
                      <c:pt idx="282" formatCode="&quot;$&quot;#,##0.00_);\(&quot;$&quot;#,##0.00\)">
                        <c:v>187673.14</c:v>
                      </c:pt>
                      <c:pt idx="283" formatCode="&quot;$&quot;#,##0.00_);\(&quot;$&quot;#,##0.00\)">
                        <c:v>193093.25</c:v>
                      </c:pt>
                      <c:pt idx="284" formatCode="&quot;$&quot;#,##0.00_);\(&quot;$&quot;#,##0.00\)">
                        <c:v>194083.83</c:v>
                      </c:pt>
                      <c:pt idx="285" formatCode="&quot;$&quot;#,##0.00_);\(&quot;$&quot;#,##0.00\)">
                        <c:v>182553.3</c:v>
                      </c:pt>
                      <c:pt idx="286" formatCode="&quot;$&quot;#,##0.00_);\(&quot;$&quot;#,##0.00\)">
                        <c:v>188465.98</c:v>
                      </c:pt>
                      <c:pt idx="287" formatCode="&quot;$&quot;#,##0.00_);\(&quot;$&quot;#,##0.00\)">
                        <c:v>173020.41</c:v>
                      </c:pt>
                      <c:pt idx="288" formatCode="&quot;$&quot;#,##0.00_);\(&quot;$&quot;#,##0.00\)">
                        <c:v>186411.46</c:v>
                      </c:pt>
                      <c:pt idx="289" formatCode="&quot;$&quot;#,##0.00_);\(&quot;$&quot;#,##0.00\)">
                        <c:v>189247.3</c:v>
                      </c:pt>
                      <c:pt idx="290" formatCode="&quot;$&quot;#,##0.00_);\(&quot;$&quot;#,##0.00\)">
                        <c:v>194840.97</c:v>
                      </c:pt>
                      <c:pt idx="291" formatCode="&quot;$&quot;#,##0.00_);[Red]\(&quot;$&quot;#,##0.00\)">
                        <c:v>202462.54</c:v>
                      </c:pt>
                      <c:pt idx="292">
                        <c:v>193711.17</c:v>
                      </c:pt>
                      <c:pt idx="293">
                        <c:v>204734.88</c:v>
                      </c:pt>
                      <c:pt idx="294">
                        <c:v>207468.85</c:v>
                      </c:pt>
                      <c:pt idx="295">
                        <c:v>205072.93</c:v>
                      </c:pt>
                      <c:pt idx="296">
                        <c:v>206767.77</c:v>
                      </c:pt>
                      <c:pt idx="297">
                        <c:v>212172.56</c:v>
                      </c:pt>
                      <c:pt idx="298">
                        <c:v>218970.92</c:v>
                      </c:pt>
                      <c:pt idx="299">
                        <c:v>225950.07</c:v>
                      </c:pt>
                      <c:pt idx="300">
                        <c:v>221857.34</c:v>
                      </c:pt>
                      <c:pt idx="301">
                        <c:v>206453.64</c:v>
                      </c:pt>
                      <c:pt idx="302">
                        <c:v>187503.86</c:v>
                      </c:pt>
                      <c:pt idx="303">
                        <c:v>210402.84</c:v>
                      </c:pt>
                      <c:pt idx="304">
                        <c:v>218844.79999999999</c:v>
                      </c:pt>
                      <c:pt idx="305">
                        <c:v>224324.43</c:v>
                      </c:pt>
                      <c:pt idx="306">
                        <c:v>238015.72</c:v>
                      </c:pt>
                      <c:pt idx="307">
                        <c:v>254620.06</c:v>
                      </c:pt>
                      <c:pt idx="308">
                        <c:v>246376.09</c:v>
                      </c:pt>
                      <c:pt idx="309">
                        <c:v>237343.92</c:v>
                      </c:pt>
                      <c:pt idx="310">
                        <c:v>255336.76</c:v>
                      </c:pt>
                      <c:pt idx="311">
                        <c:v>265048.43</c:v>
                      </c:pt>
                      <c:pt idx="312">
                        <c:v>260228.77</c:v>
                      </c:pt>
                      <c:pt idx="313">
                        <c:v>260914.6</c:v>
                      </c:pt>
                      <c:pt idx="314">
                        <c:v>265953.75</c:v>
                      </c:pt>
                      <c:pt idx="315" formatCode="&quot;$&quot;#,##0.00_);\(&quot;$&quot;#,##0.00\)">
                        <c:v>281215.38</c:v>
                      </c:pt>
                      <c:pt idx="316">
                        <c:v>282077.48</c:v>
                      </c:pt>
                      <c:pt idx="317" formatCode="&quot;$&quot;#,##0.00_);\(&quot;$&quot;#,##0.00\)">
                        <c:v>291934.40000000002</c:v>
                      </c:pt>
                      <c:pt idx="318" formatCode="&quot;$&quot;#,##0.00_);\(&quot;$&quot;#,##0.00\)">
                        <c:v>297951.08</c:v>
                      </c:pt>
                      <c:pt idx="319" formatCode="&quot;$&quot;#,##0.00_);\(&quot;$&quot;#,##0.00\)">
                        <c:v>306916.15999999997</c:v>
                      </c:pt>
                      <c:pt idx="320" formatCode="&quot;$&quot;#,##0.00_);\(&quot;$&quot;#,##0.00\)">
                        <c:v>290476.49</c:v>
                      </c:pt>
                      <c:pt idx="321" formatCode="&quot;$&quot;#,##0.00_);\(&quot;$&quot;#,##0.00\)">
                        <c:v>310357.49</c:v>
                      </c:pt>
                      <c:pt idx="322" formatCode="&quot;$&quot;#,##0.00_);\(&quot;$&quot;#,##0.00\)">
                        <c:v>312199.15999999997</c:v>
                      </c:pt>
                      <c:pt idx="323">
                        <c:v>324030.28999999998</c:v>
                      </c:pt>
                      <c:pt idx="324">
                        <c:v>306892.83</c:v>
                      </c:pt>
                      <c:pt idx="325">
                        <c:v>313491.32</c:v>
                      </c:pt>
                      <c:pt idx="326">
                        <c:v>323233.73</c:v>
                      </c:pt>
                      <c:pt idx="327">
                        <c:v>294665.90999999997</c:v>
                      </c:pt>
                      <c:pt idx="328">
                        <c:v>293887.48</c:v>
                      </c:pt>
                      <c:pt idx="329">
                        <c:v>274235.76</c:v>
                      </c:pt>
                      <c:pt idx="330">
                        <c:v>296978.93</c:v>
                      </c:pt>
                      <c:pt idx="331">
                        <c:v>285009.24</c:v>
                      </c:pt>
                      <c:pt idx="332">
                        <c:v>260007.98</c:v>
                      </c:pt>
                      <c:pt idx="333">
                        <c:v>279164.64</c:v>
                      </c:pt>
                      <c:pt idx="334">
                        <c:v>292670.71000000002</c:v>
                      </c:pt>
                      <c:pt idx="335">
                        <c:v>285474.40000000002</c:v>
                      </c:pt>
                    </c:numCache>
                  </c:numRef>
                </c:val>
                <c:smooth val="0"/>
                <c:extLst xmlns:c15="http://schemas.microsoft.com/office/drawing/2012/chart">
                  <c:ext xmlns:c16="http://schemas.microsoft.com/office/drawing/2014/chart" uri="{C3380CC4-5D6E-409C-BE32-E72D297353CC}">
                    <c16:uniqueId val="{00000002-7000-43A6-AFE6-277F268E6866}"/>
                  </c:ext>
                </c:extLst>
              </c15:ser>
            </c15:filteredLineSeries>
            <c15:filteredLineSeries>
              <c15:ser>
                <c:idx val="3"/>
                <c:order val="3"/>
                <c:spPr>
                  <a:ln w="22225" cap="rnd">
                    <a:solidFill>
                      <a:schemeClr val="accent4"/>
                    </a:solidFill>
                  </a:ln>
                  <a:effectLst>
                    <a:glow rad="139700">
                      <a:schemeClr val="accent4">
                        <a:satMod val="175000"/>
                        <a:alpha val="14000"/>
                      </a:schemeClr>
                    </a:glow>
                  </a:effectLst>
                </c:spPr>
                <c:marker>
                  <c:symbol val="circle"/>
                  <c:size val="4"/>
                  <c:spPr>
                    <a:solidFill>
                      <a:schemeClr val="accent4">
                        <a:lumMod val="60000"/>
                        <a:lumOff val="40000"/>
                      </a:schemeClr>
                    </a:solidFill>
                    <a:ln>
                      <a:noFill/>
                    </a:ln>
                    <a:effectLst>
                      <a:glow rad="63500">
                        <a:schemeClr val="accent4">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Returns'!$E$4:$E$339</c15:sqref>
                        </c15:formulaRef>
                      </c:ext>
                    </c:extLst>
                    <c:numCache>
                      <c:formatCode>#,##0.00</c:formatCode>
                      <c:ptCount val="336"/>
                      <c:pt idx="0">
                        <c:v>3000</c:v>
                      </c:pt>
                      <c:pt idx="1">
                        <c:v>3000</c:v>
                      </c:pt>
                      <c:pt idx="2">
                        <c:v>3000</c:v>
                      </c:pt>
                      <c:pt idx="3">
                        <c:v>3000</c:v>
                      </c:pt>
                      <c:pt idx="4">
                        <c:v>3000</c:v>
                      </c:pt>
                      <c:pt idx="5">
                        <c:v>3000</c:v>
                      </c:pt>
                      <c:pt idx="6">
                        <c:v>3000</c:v>
                      </c:pt>
                      <c:pt idx="7">
                        <c:v>3000</c:v>
                      </c:pt>
                      <c:pt idx="8">
                        <c:v>3000</c:v>
                      </c:pt>
                      <c:pt idx="9">
                        <c:v>3000</c:v>
                      </c:pt>
                      <c:pt idx="10">
                        <c:v>3000</c:v>
                      </c:pt>
                      <c:pt idx="11">
                        <c:v>3000</c:v>
                      </c:pt>
                      <c:pt idx="12">
                        <c:v>3000</c:v>
                      </c:pt>
                      <c:pt idx="13">
                        <c:v>3000</c:v>
                      </c:pt>
                      <c:pt idx="14">
                        <c:v>3731.334325077532</c:v>
                      </c:pt>
                      <c:pt idx="15">
                        <c:v>4962.5835445754337</c:v>
                      </c:pt>
                      <c:pt idx="16">
                        <c:v>4962.5835445754337</c:v>
                      </c:pt>
                      <c:pt idx="17">
                        <c:v>4962.5835445754337</c:v>
                      </c:pt>
                      <c:pt idx="18">
                        <c:v>4962.5835445754337</c:v>
                      </c:pt>
                      <c:pt idx="19">
                        <c:v>4962.5835445754337</c:v>
                      </c:pt>
                      <c:pt idx="20">
                        <c:v>4962.5835445754337</c:v>
                      </c:pt>
                      <c:pt idx="21">
                        <c:v>4962.5835445754337</c:v>
                      </c:pt>
                      <c:pt idx="22">
                        <c:v>4962.5835445754337</c:v>
                      </c:pt>
                      <c:pt idx="23">
                        <c:v>4962.5835445754337</c:v>
                      </c:pt>
                      <c:pt idx="24">
                        <c:v>4962.5835445754337</c:v>
                      </c:pt>
                      <c:pt idx="25">
                        <c:v>4962.5835445754337</c:v>
                      </c:pt>
                      <c:pt idx="26">
                        <c:v>4962.5835445754337</c:v>
                      </c:pt>
                      <c:pt idx="27">
                        <c:v>4962.5835445754337</c:v>
                      </c:pt>
                      <c:pt idx="28">
                        <c:v>5030.2537844742292</c:v>
                      </c:pt>
                      <c:pt idx="29">
                        <c:v>5030.2537844742292</c:v>
                      </c:pt>
                      <c:pt idx="30">
                        <c:v>5030.2537844742292</c:v>
                      </c:pt>
                      <c:pt idx="31">
                        <c:v>5030.2537844742292</c:v>
                      </c:pt>
                      <c:pt idx="32">
                        <c:v>5030.2537844742292</c:v>
                      </c:pt>
                      <c:pt idx="33">
                        <c:v>5030.2537844742292</c:v>
                      </c:pt>
                      <c:pt idx="34">
                        <c:v>5030.2537844742292</c:v>
                      </c:pt>
                      <c:pt idx="35">
                        <c:v>5030.2537844742292</c:v>
                      </c:pt>
                      <c:pt idx="36">
                        <c:v>5030.2537844742292</c:v>
                      </c:pt>
                      <c:pt idx="37">
                        <c:v>5120.8582487590065</c:v>
                      </c:pt>
                      <c:pt idx="38">
                        <c:v>5120.8582487590065</c:v>
                      </c:pt>
                      <c:pt idx="39">
                        <c:v>5169.0572084325077</c:v>
                      </c:pt>
                      <c:pt idx="40">
                        <c:v>5168.0071753442544</c:v>
                      </c:pt>
                      <c:pt idx="41">
                        <c:v>5168.0071753442544</c:v>
                      </c:pt>
                      <c:pt idx="42">
                        <c:v>5168.0071753442544</c:v>
                      </c:pt>
                      <c:pt idx="43">
                        <c:v>5168.0071753442544</c:v>
                      </c:pt>
                      <c:pt idx="44">
                        <c:v>5168.0071753442544</c:v>
                      </c:pt>
                      <c:pt idx="45">
                        <c:v>5168.0071753442544</c:v>
                      </c:pt>
                      <c:pt idx="46">
                        <c:v>5168.0071753442544</c:v>
                      </c:pt>
                      <c:pt idx="47">
                        <c:v>5168.0071753442544</c:v>
                      </c:pt>
                      <c:pt idx="48">
                        <c:v>5168.0071753442544</c:v>
                      </c:pt>
                      <c:pt idx="49">
                        <c:v>5168.0071753442544</c:v>
                      </c:pt>
                      <c:pt idx="50">
                        <c:v>5417.7405892466995</c:v>
                      </c:pt>
                      <c:pt idx="51">
                        <c:v>5417.7405892466995</c:v>
                      </c:pt>
                      <c:pt idx="52">
                        <c:v>5417.7405892466995</c:v>
                      </c:pt>
                      <c:pt idx="53">
                        <c:v>5417.7405892466995</c:v>
                      </c:pt>
                      <c:pt idx="54">
                        <c:v>5417.7405892466995</c:v>
                      </c:pt>
                      <c:pt idx="55">
                        <c:v>5417.7405892466995</c:v>
                      </c:pt>
                      <c:pt idx="56">
                        <c:v>5013.226940570712</c:v>
                      </c:pt>
                      <c:pt idx="57">
                        <c:v>5014.3048079776872</c:v>
                      </c:pt>
                      <c:pt idx="58">
                        <c:v>5413.8031012885076</c:v>
                      </c:pt>
                      <c:pt idx="59">
                        <c:v>5413.8031012885076</c:v>
                      </c:pt>
                      <c:pt idx="60">
                        <c:v>5413.8031012885076</c:v>
                      </c:pt>
                      <c:pt idx="61">
                        <c:v>5413.8031012885076</c:v>
                      </c:pt>
                      <c:pt idx="62">
                        <c:v>5413.8031012885076</c:v>
                      </c:pt>
                      <c:pt idx="63">
                        <c:v>5518.6528183814862</c:v>
                      </c:pt>
                      <c:pt idx="64">
                        <c:v>5518.6528183814862</c:v>
                      </c:pt>
                      <c:pt idx="65">
                        <c:v>5518.6528183814862</c:v>
                      </c:pt>
                      <c:pt idx="66">
                        <c:v>5518.6528183814862</c:v>
                      </c:pt>
                      <c:pt idx="67">
                        <c:v>5518.6528183814862</c:v>
                      </c:pt>
                      <c:pt idx="68">
                        <c:v>5518.6528183814862</c:v>
                      </c:pt>
                      <c:pt idx="69">
                        <c:v>5703.8208903239392</c:v>
                      </c:pt>
                      <c:pt idx="70">
                        <c:v>5703.8208903239392</c:v>
                      </c:pt>
                      <c:pt idx="71">
                        <c:v>5703.8208903239392</c:v>
                      </c:pt>
                      <c:pt idx="72">
                        <c:v>5703.8208903239392</c:v>
                      </c:pt>
                      <c:pt idx="73">
                        <c:v>5703.8208903239392</c:v>
                      </c:pt>
                      <c:pt idx="74">
                        <c:v>5703.8208903239392</c:v>
                      </c:pt>
                      <c:pt idx="75">
                        <c:v>5703.8208903239392</c:v>
                      </c:pt>
                      <c:pt idx="76">
                        <c:v>5703.8208903239392</c:v>
                      </c:pt>
                      <c:pt idx="77">
                        <c:v>5703.8208903239392</c:v>
                      </c:pt>
                      <c:pt idx="78">
                        <c:v>5703.8208903239392</c:v>
                      </c:pt>
                      <c:pt idx="79">
                        <c:v>5703.8208903239392</c:v>
                      </c:pt>
                      <c:pt idx="80">
                        <c:v>5703.8208903239392</c:v>
                      </c:pt>
                      <c:pt idx="81">
                        <c:v>5703.8208903239392</c:v>
                      </c:pt>
                      <c:pt idx="82">
                        <c:v>5703.8208903239392</c:v>
                      </c:pt>
                      <c:pt idx="83">
                        <c:v>5703.8208903239392</c:v>
                      </c:pt>
                      <c:pt idx="84">
                        <c:v>5703.8208903239392</c:v>
                      </c:pt>
                      <c:pt idx="85">
                        <c:v>5703.8208903239392</c:v>
                      </c:pt>
                      <c:pt idx="86">
                        <c:v>5703.8208903239392</c:v>
                      </c:pt>
                      <c:pt idx="87">
                        <c:v>5703.8208903239392</c:v>
                      </c:pt>
                      <c:pt idx="88">
                        <c:v>5703.8208903239392</c:v>
                      </c:pt>
                      <c:pt idx="89">
                        <c:v>5703.8208903239392</c:v>
                      </c:pt>
                      <c:pt idx="90">
                        <c:v>5703.8208903239392</c:v>
                      </c:pt>
                      <c:pt idx="91">
                        <c:v>5703.8208903239392</c:v>
                      </c:pt>
                      <c:pt idx="92">
                        <c:v>5703.8208903239392</c:v>
                      </c:pt>
                      <c:pt idx="93">
                        <c:v>5703.8208903239392</c:v>
                      </c:pt>
                      <c:pt idx="94">
                        <c:v>5703.8208903239392</c:v>
                      </c:pt>
                      <c:pt idx="95">
                        <c:v>5703.8208903239392</c:v>
                      </c:pt>
                      <c:pt idx="96">
                        <c:v>5703.8208903239392</c:v>
                      </c:pt>
                      <c:pt idx="97">
                        <c:v>5703.8208903239392</c:v>
                      </c:pt>
                      <c:pt idx="98">
                        <c:v>5703.8208903239392</c:v>
                      </c:pt>
                      <c:pt idx="99">
                        <c:v>5703.8208903239392</c:v>
                      </c:pt>
                      <c:pt idx="100">
                        <c:v>5703.8208903239392</c:v>
                      </c:pt>
                      <c:pt idx="101">
                        <c:v>5703.8208903239392</c:v>
                      </c:pt>
                      <c:pt idx="102">
                        <c:v>5703.8208903239392</c:v>
                      </c:pt>
                      <c:pt idx="103">
                        <c:v>5703.8208903239392</c:v>
                      </c:pt>
                      <c:pt idx="104">
                        <c:v>5703.8208903239392</c:v>
                      </c:pt>
                      <c:pt idx="105">
                        <c:v>5703.8208903239392</c:v>
                      </c:pt>
                      <c:pt idx="106">
                        <c:v>5703.8208903239392</c:v>
                      </c:pt>
                      <c:pt idx="107">
                        <c:v>5703.8208903239392</c:v>
                      </c:pt>
                      <c:pt idx="108">
                        <c:v>5703.8208903239392</c:v>
                      </c:pt>
                      <c:pt idx="109">
                        <c:v>5703.8208903239392</c:v>
                      </c:pt>
                      <c:pt idx="110">
                        <c:v>5703.8208903239392</c:v>
                      </c:pt>
                      <c:pt idx="111">
                        <c:v>5703.8208903239392</c:v>
                      </c:pt>
                      <c:pt idx="112">
                        <c:v>5703.8208903239392</c:v>
                      </c:pt>
                      <c:pt idx="113">
                        <c:v>5703.8208903239392</c:v>
                      </c:pt>
                      <c:pt idx="114">
                        <c:v>5703.8208903239392</c:v>
                      </c:pt>
                      <c:pt idx="115">
                        <c:v>5703.8208903239392</c:v>
                      </c:pt>
                      <c:pt idx="116">
                        <c:v>5703.8208903239392</c:v>
                      </c:pt>
                      <c:pt idx="117">
                        <c:v>5703.8208903239392</c:v>
                      </c:pt>
                      <c:pt idx="118">
                        <c:v>5703.8208903239392</c:v>
                      </c:pt>
                      <c:pt idx="119">
                        <c:v>5703.8208903239392</c:v>
                      </c:pt>
                      <c:pt idx="120">
                        <c:v>5703.8208903239392</c:v>
                      </c:pt>
                      <c:pt idx="121">
                        <c:v>5703.8208903239392</c:v>
                      </c:pt>
                      <c:pt idx="122">
                        <c:v>5703.8208903239392</c:v>
                      </c:pt>
                      <c:pt idx="123">
                        <c:v>5703.8208903239392</c:v>
                      </c:pt>
                      <c:pt idx="124">
                        <c:v>5703.8208903239392</c:v>
                      </c:pt>
                      <c:pt idx="125">
                        <c:v>5703.8208903239392</c:v>
                      </c:pt>
                      <c:pt idx="126">
                        <c:v>5703.8208903239392</c:v>
                      </c:pt>
                      <c:pt idx="127">
                        <c:v>5703.8208903239392</c:v>
                      </c:pt>
                      <c:pt idx="128">
                        <c:v>5703.8208903239392</c:v>
                      </c:pt>
                      <c:pt idx="129">
                        <c:v>5703.8208903239392</c:v>
                      </c:pt>
                      <c:pt idx="130">
                        <c:v>5703.8208903239392</c:v>
                      </c:pt>
                      <c:pt idx="131">
                        <c:v>5703.8208903239392</c:v>
                      </c:pt>
                      <c:pt idx="132">
                        <c:v>5703.8208903239392</c:v>
                      </c:pt>
                      <c:pt idx="133">
                        <c:v>5703.8208903239392</c:v>
                      </c:pt>
                      <c:pt idx="134">
                        <c:v>5703.8208903239392</c:v>
                      </c:pt>
                      <c:pt idx="135">
                        <c:v>5703.8208903239392</c:v>
                      </c:pt>
                      <c:pt idx="136">
                        <c:v>5703.8208903239392</c:v>
                      </c:pt>
                      <c:pt idx="137">
                        <c:v>5703.8208903239392</c:v>
                      </c:pt>
                      <c:pt idx="138">
                        <c:v>5703.8208903239392</c:v>
                      </c:pt>
                      <c:pt idx="139">
                        <c:v>5703.8208903239392</c:v>
                      </c:pt>
                      <c:pt idx="140">
                        <c:v>5703.8208903239392</c:v>
                      </c:pt>
                      <c:pt idx="141">
                        <c:v>5703.8208903239392</c:v>
                      </c:pt>
                      <c:pt idx="142">
                        <c:v>5703.8208903239392</c:v>
                      </c:pt>
                      <c:pt idx="143">
                        <c:v>5703.8208903239392</c:v>
                      </c:pt>
                      <c:pt idx="144">
                        <c:v>5703.8208903239392</c:v>
                      </c:pt>
                      <c:pt idx="145">
                        <c:v>5703.8208903239392</c:v>
                      </c:pt>
                      <c:pt idx="146">
                        <c:v>5703.8208903239392</c:v>
                      </c:pt>
                      <c:pt idx="147">
                        <c:v>5703.8208903239392</c:v>
                      </c:pt>
                      <c:pt idx="148">
                        <c:v>5703.8208903239392</c:v>
                      </c:pt>
                      <c:pt idx="149">
                        <c:v>5703.8208903239392</c:v>
                      </c:pt>
                      <c:pt idx="150">
                        <c:v>5703.8208903239392</c:v>
                      </c:pt>
                      <c:pt idx="151">
                        <c:v>5703.8208903239392</c:v>
                      </c:pt>
                      <c:pt idx="152">
                        <c:v>5703.8208903239392</c:v>
                      </c:pt>
                      <c:pt idx="153">
                        <c:v>5703.8208903239392</c:v>
                      </c:pt>
                      <c:pt idx="154">
                        <c:v>5703.8208903239392</c:v>
                      </c:pt>
                      <c:pt idx="155">
                        <c:v>5703.8208903239392</c:v>
                      </c:pt>
                      <c:pt idx="156">
                        <c:v>5703.8208903239392</c:v>
                      </c:pt>
                      <c:pt idx="157">
                        <c:v>5703.8208903239392</c:v>
                      </c:pt>
                      <c:pt idx="158">
                        <c:v>5703.8208903239392</c:v>
                      </c:pt>
                      <c:pt idx="159">
                        <c:v>5703.8208903239392</c:v>
                      </c:pt>
                      <c:pt idx="160">
                        <c:v>5703.8208903239392</c:v>
                      </c:pt>
                      <c:pt idx="161">
                        <c:v>5703.8208903239392</c:v>
                      </c:pt>
                      <c:pt idx="162">
                        <c:v>5703.8208903239392</c:v>
                      </c:pt>
                      <c:pt idx="163">
                        <c:v>5703.8208903239392</c:v>
                      </c:pt>
                      <c:pt idx="164">
                        <c:v>5703.8208903239392</c:v>
                      </c:pt>
                      <c:pt idx="165">
                        <c:v>5703.8208903239392</c:v>
                      </c:pt>
                      <c:pt idx="166">
                        <c:v>5703.8208903239392</c:v>
                      </c:pt>
                      <c:pt idx="167">
                        <c:v>5703.8208903239392</c:v>
                      </c:pt>
                      <c:pt idx="168">
                        <c:v>5703.8208903239392</c:v>
                      </c:pt>
                      <c:pt idx="169">
                        <c:v>5703.8208903239392</c:v>
                      </c:pt>
                      <c:pt idx="170">
                        <c:v>5703.8208903239392</c:v>
                      </c:pt>
                      <c:pt idx="171">
                        <c:v>5703.8208903239392</c:v>
                      </c:pt>
                      <c:pt idx="172">
                        <c:v>5703.8208903239392</c:v>
                      </c:pt>
                      <c:pt idx="173">
                        <c:v>5703.8208903239392</c:v>
                      </c:pt>
                      <c:pt idx="174">
                        <c:v>5703.8208903239392</c:v>
                      </c:pt>
                      <c:pt idx="175">
                        <c:v>5703.8208903239392</c:v>
                      </c:pt>
                      <c:pt idx="176">
                        <c:v>5703.8208903239392</c:v>
                      </c:pt>
                      <c:pt idx="177">
                        <c:v>5703.8208903239392</c:v>
                      </c:pt>
                      <c:pt idx="178">
                        <c:v>5727.6770381884298</c:v>
                      </c:pt>
                      <c:pt idx="179">
                        <c:v>5813.781058476101</c:v>
                      </c:pt>
                      <c:pt idx="180">
                        <c:v>5813.781058476101</c:v>
                      </c:pt>
                      <c:pt idx="181">
                        <c:v>5813.781058476101</c:v>
                      </c:pt>
                      <c:pt idx="182">
                        <c:v>5813.781058476101</c:v>
                      </c:pt>
                      <c:pt idx="183">
                        <c:v>5813.781058476101</c:v>
                      </c:pt>
                      <c:pt idx="184">
                        <c:v>5813.781058476101</c:v>
                      </c:pt>
                      <c:pt idx="185">
                        <c:v>5813.781058476101</c:v>
                      </c:pt>
                      <c:pt idx="186">
                        <c:v>5813.781058476101</c:v>
                      </c:pt>
                      <c:pt idx="187">
                        <c:v>5813.781058476101</c:v>
                      </c:pt>
                      <c:pt idx="188">
                        <c:v>5813.781058476101</c:v>
                      </c:pt>
                      <c:pt idx="189">
                        <c:v>5813.781058476101</c:v>
                      </c:pt>
                      <c:pt idx="190">
                        <c:v>5813.781058476101</c:v>
                      </c:pt>
                      <c:pt idx="191">
                        <c:v>5874.782715695369</c:v>
                      </c:pt>
                      <c:pt idx="192">
                        <c:v>5874.782715695369</c:v>
                      </c:pt>
                      <c:pt idx="193">
                        <c:v>5874.782715695369</c:v>
                      </c:pt>
                      <c:pt idx="194">
                        <c:v>5874.782715695369</c:v>
                      </c:pt>
                      <c:pt idx="195">
                        <c:v>5874.782715695369</c:v>
                      </c:pt>
                      <c:pt idx="196">
                        <c:v>5894.0143025723264</c:v>
                      </c:pt>
                      <c:pt idx="197">
                        <c:v>5894.0143025723264</c:v>
                      </c:pt>
                      <c:pt idx="198">
                        <c:v>5894.0143025723264</c:v>
                      </c:pt>
                      <c:pt idx="199">
                        <c:v>6680.0661228554418</c:v>
                      </c:pt>
                      <c:pt idx="200">
                        <c:v>6680.0661228554418</c:v>
                      </c:pt>
                      <c:pt idx="201">
                        <c:v>6680.0661228554418</c:v>
                      </c:pt>
                      <c:pt idx="202">
                        <c:v>6680.0661228554418</c:v>
                      </c:pt>
                      <c:pt idx="203">
                        <c:v>6680.0661228554418</c:v>
                      </c:pt>
                      <c:pt idx="204">
                        <c:v>6680.0661228554418</c:v>
                      </c:pt>
                      <c:pt idx="205">
                        <c:v>6680.0661228554418</c:v>
                      </c:pt>
                      <c:pt idx="206">
                        <c:v>6680.0661228554418</c:v>
                      </c:pt>
                      <c:pt idx="207">
                        <c:v>6680.0661228554418</c:v>
                      </c:pt>
                      <c:pt idx="208">
                        <c:v>6680.0661228554418</c:v>
                      </c:pt>
                      <c:pt idx="209">
                        <c:v>6680.0661228554418</c:v>
                      </c:pt>
                      <c:pt idx="210">
                        <c:v>6680.0661228554418</c:v>
                      </c:pt>
                      <c:pt idx="211">
                        <c:v>6680.0661228554418</c:v>
                      </c:pt>
                      <c:pt idx="212">
                        <c:v>6680.0661228554418</c:v>
                      </c:pt>
                      <c:pt idx="213">
                        <c:v>6680.0661228554418</c:v>
                      </c:pt>
                      <c:pt idx="214">
                        <c:v>6680.0661228554418</c:v>
                      </c:pt>
                      <c:pt idx="215">
                        <c:v>6680.0661228554418</c:v>
                      </c:pt>
                      <c:pt idx="216">
                        <c:v>6680.0661228554418</c:v>
                      </c:pt>
                      <c:pt idx="217">
                        <c:v>6680.0661228554418</c:v>
                      </c:pt>
                      <c:pt idx="218">
                        <c:v>6680.0661228554418</c:v>
                      </c:pt>
                      <c:pt idx="219">
                        <c:v>6680.0661228554418</c:v>
                      </c:pt>
                      <c:pt idx="220">
                        <c:v>6680.0661228554418</c:v>
                      </c:pt>
                      <c:pt idx="221">
                        <c:v>6680.0661228554418</c:v>
                      </c:pt>
                      <c:pt idx="222">
                        <c:v>6680.0661228554418</c:v>
                      </c:pt>
                      <c:pt idx="223">
                        <c:v>6680.0661228554418</c:v>
                      </c:pt>
                      <c:pt idx="224">
                        <c:v>6680.0661228554418</c:v>
                      </c:pt>
                      <c:pt idx="225">
                        <c:v>6680.0661228554418</c:v>
                      </c:pt>
                      <c:pt idx="226">
                        <c:v>6680.0661228554418</c:v>
                      </c:pt>
                      <c:pt idx="227">
                        <c:v>7800.2276447295271</c:v>
                      </c:pt>
                      <c:pt idx="228">
                        <c:v>7800.2276447295271</c:v>
                      </c:pt>
                      <c:pt idx="229">
                        <c:v>7800.2276447295271</c:v>
                      </c:pt>
                      <c:pt idx="230">
                        <c:v>7800.2276447295271</c:v>
                      </c:pt>
                      <c:pt idx="231">
                        <c:v>7800.2276447295271</c:v>
                      </c:pt>
                      <c:pt idx="232">
                        <c:v>7800.2276447295271</c:v>
                      </c:pt>
                      <c:pt idx="233">
                        <c:v>7800.2276447295271</c:v>
                      </c:pt>
                      <c:pt idx="234">
                        <c:v>7800.2276447295271</c:v>
                      </c:pt>
                      <c:pt idx="235">
                        <c:v>7800.2276447295271</c:v>
                      </c:pt>
                      <c:pt idx="236">
                        <c:v>7800.2276447295271</c:v>
                      </c:pt>
                      <c:pt idx="237">
                        <c:v>8032.132145289338</c:v>
                      </c:pt>
                      <c:pt idx="238">
                        <c:v>8032.132145289338</c:v>
                      </c:pt>
                      <c:pt idx="239">
                        <c:v>8032.132145289338</c:v>
                      </c:pt>
                      <c:pt idx="240">
                        <c:v>7753.5797399675303</c:v>
                      </c:pt>
                      <c:pt idx="241">
                        <c:v>7753.5797399675303</c:v>
                      </c:pt>
                      <c:pt idx="242">
                        <c:v>8524.7270332803964</c:v>
                      </c:pt>
                      <c:pt idx="243">
                        <c:v>8524.7270332803964</c:v>
                      </c:pt>
                      <c:pt idx="244">
                        <c:v>8524.7270332803964</c:v>
                      </c:pt>
                      <c:pt idx="245">
                        <c:v>8524.7270332803964</c:v>
                      </c:pt>
                      <c:pt idx="246">
                        <c:v>8524.7270332803964</c:v>
                      </c:pt>
                      <c:pt idx="247">
                        <c:v>8524.7270332803964</c:v>
                      </c:pt>
                      <c:pt idx="248">
                        <c:v>8524.7270332803964</c:v>
                      </c:pt>
                      <c:pt idx="249">
                        <c:v>8524.7270332803964</c:v>
                      </c:pt>
                      <c:pt idx="250">
                        <c:v>8524.7270332803964</c:v>
                      </c:pt>
                      <c:pt idx="251">
                        <c:v>8524.7270332803964</c:v>
                      </c:pt>
                      <c:pt idx="252">
                        <c:v>8524.7270332803964</c:v>
                      </c:pt>
                      <c:pt idx="253" formatCode="0.00">
                        <c:v>8230.9604992678833</c:v>
                      </c:pt>
                      <c:pt idx="254">
                        <c:v>8230.9604992678833</c:v>
                      </c:pt>
                      <c:pt idx="255">
                        <c:v>8230.9604992678833</c:v>
                      </c:pt>
                      <c:pt idx="256">
                        <c:v>8230.9604992678833</c:v>
                      </c:pt>
                      <c:pt idx="257">
                        <c:v>8230.9604992678833</c:v>
                      </c:pt>
                      <c:pt idx="258">
                        <c:v>8230.9604992678833</c:v>
                      </c:pt>
                      <c:pt idx="259">
                        <c:v>8230.9604992678833</c:v>
                      </c:pt>
                      <c:pt idx="260">
                        <c:v>8230.9604992678833</c:v>
                      </c:pt>
                      <c:pt idx="261">
                        <c:v>8230.9604992678833</c:v>
                      </c:pt>
                      <c:pt idx="262">
                        <c:v>8230.9604992678833</c:v>
                      </c:pt>
                      <c:pt idx="263">
                        <c:v>8230.9604992678833</c:v>
                      </c:pt>
                      <c:pt idx="264">
                        <c:v>8230.9604992678833</c:v>
                      </c:pt>
                      <c:pt idx="265">
                        <c:v>8230.9604992678833</c:v>
                      </c:pt>
                      <c:pt idx="266">
                        <c:v>8230.9604992678833</c:v>
                      </c:pt>
                      <c:pt idx="267">
                        <c:v>8230.9604992678833</c:v>
                      </c:pt>
                      <c:pt idx="268">
                        <c:v>8230.9604992678833</c:v>
                      </c:pt>
                      <c:pt idx="269">
                        <c:v>8230.9604992678833</c:v>
                      </c:pt>
                      <c:pt idx="270">
                        <c:v>8230.9604992678833</c:v>
                      </c:pt>
                      <c:pt idx="271">
                        <c:v>8230.9604992678833</c:v>
                      </c:pt>
                      <c:pt idx="272">
                        <c:v>8230.9604992678833</c:v>
                      </c:pt>
                      <c:pt idx="273">
                        <c:v>8230.9604992678833</c:v>
                      </c:pt>
                      <c:pt idx="274">
                        <c:v>8230.9604992678833</c:v>
                      </c:pt>
                      <c:pt idx="275">
                        <c:v>8005.117080785295</c:v>
                      </c:pt>
                      <c:pt idx="276">
                        <c:v>8005.117080785295</c:v>
                      </c:pt>
                      <c:pt idx="277">
                        <c:v>8005.117080785295</c:v>
                      </c:pt>
                      <c:pt idx="278">
                        <c:v>8005.117080785295</c:v>
                      </c:pt>
                      <c:pt idx="279">
                        <c:v>8005.117080785295</c:v>
                      </c:pt>
                      <c:pt idx="280">
                        <c:v>8005.117080785295</c:v>
                      </c:pt>
                      <c:pt idx="281">
                        <c:v>8005.117080785295</c:v>
                      </c:pt>
                      <c:pt idx="282">
                        <c:v>8005.117080785295</c:v>
                      </c:pt>
                      <c:pt idx="283">
                        <c:v>8005.117080785295</c:v>
                      </c:pt>
                      <c:pt idx="284">
                        <c:v>8005.117080785295</c:v>
                      </c:pt>
                      <c:pt idx="285">
                        <c:v>8005.117080785295</c:v>
                      </c:pt>
                      <c:pt idx="286">
                        <c:v>8005.117080785295</c:v>
                      </c:pt>
                      <c:pt idx="287">
                        <c:v>8005.117080785295</c:v>
                      </c:pt>
                      <c:pt idx="288">
                        <c:v>8005.117080785295</c:v>
                      </c:pt>
                      <c:pt idx="289">
                        <c:v>8005.117080785295</c:v>
                      </c:pt>
                      <c:pt idx="290">
                        <c:v>8005.117080785295</c:v>
                      </c:pt>
                      <c:pt idx="291">
                        <c:v>8005.117080785295</c:v>
                      </c:pt>
                      <c:pt idx="292">
                        <c:v>8005.117080785295</c:v>
                      </c:pt>
                      <c:pt idx="293">
                        <c:v>8005.117080785295</c:v>
                      </c:pt>
                      <c:pt idx="294">
                        <c:v>8005.117080785295</c:v>
                      </c:pt>
                      <c:pt idx="295">
                        <c:v>8005.117080785295</c:v>
                      </c:pt>
                      <c:pt idx="296">
                        <c:v>8005.117080785295</c:v>
                      </c:pt>
                      <c:pt idx="297">
                        <c:v>8005.117080785295</c:v>
                      </c:pt>
                      <c:pt idx="298">
                        <c:v>8005.117080785295</c:v>
                      </c:pt>
                      <c:pt idx="299">
                        <c:v>8005.117080785295</c:v>
                      </c:pt>
                      <c:pt idx="300">
                        <c:v>7827.9735844193656</c:v>
                      </c:pt>
                      <c:pt idx="301">
                        <c:v>7827.9735844193656</c:v>
                      </c:pt>
                      <c:pt idx="302">
                        <c:v>7827.9735844193656</c:v>
                      </c:pt>
                      <c:pt idx="303">
                        <c:v>7827.9735844193656</c:v>
                      </c:pt>
                      <c:pt idx="304">
                        <c:v>7827.9735844193656</c:v>
                      </c:pt>
                      <c:pt idx="305">
                        <c:v>7827.9735844193656</c:v>
                      </c:pt>
                      <c:pt idx="306">
                        <c:v>7827.9735844193656</c:v>
                      </c:pt>
                      <c:pt idx="307">
                        <c:v>7827.9735844193656</c:v>
                      </c:pt>
                      <c:pt idx="308">
                        <c:v>7827.9735844193656</c:v>
                      </c:pt>
                      <c:pt idx="309">
                        <c:v>7827.9735844193656</c:v>
                      </c:pt>
                      <c:pt idx="310">
                        <c:v>7827.9735844193656</c:v>
                      </c:pt>
                      <c:pt idx="311">
                        <c:v>7827.9735844193656</c:v>
                      </c:pt>
                      <c:pt idx="312">
                        <c:v>7827.9735844193656</c:v>
                      </c:pt>
                      <c:pt idx="313">
                        <c:v>7677.567970458631</c:v>
                      </c:pt>
                      <c:pt idx="314">
                        <c:v>7677.567970458631</c:v>
                      </c:pt>
                      <c:pt idx="315">
                        <c:v>7677.567970458631</c:v>
                      </c:pt>
                      <c:pt idx="316">
                        <c:v>7677.567970458631</c:v>
                      </c:pt>
                      <c:pt idx="317">
                        <c:v>7677.567970458631</c:v>
                      </c:pt>
                      <c:pt idx="318">
                        <c:v>7677.567970458631</c:v>
                      </c:pt>
                      <c:pt idx="319">
                        <c:v>7677.567970458631</c:v>
                      </c:pt>
                      <c:pt idx="320">
                        <c:v>7677.567970458631</c:v>
                      </c:pt>
                      <c:pt idx="321">
                        <c:v>7677.567970458631</c:v>
                      </c:pt>
                      <c:pt idx="322">
                        <c:v>7677.567970458631</c:v>
                      </c:pt>
                      <c:pt idx="323">
                        <c:v>7677.567970458631</c:v>
                      </c:pt>
                      <c:pt idx="324">
                        <c:v>7677.567970458631</c:v>
                      </c:pt>
                      <c:pt idx="325">
                        <c:v>7986.6542149141187</c:v>
                      </c:pt>
                      <c:pt idx="326">
                        <c:v>7986.6542149141187</c:v>
                      </c:pt>
                      <c:pt idx="327">
                        <c:v>7986.6542149141187</c:v>
                      </c:pt>
                      <c:pt idx="328">
                        <c:v>7986.6542149141187</c:v>
                      </c:pt>
                      <c:pt idx="329">
                        <c:v>7986.6542149141187</c:v>
                      </c:pt>
                      <c:pt idx="330">
                        <c:v>7986.6542149141187</c:v>
                      </c:pt>
                      <c:pt idx="331">
                        <c:v>7986.6542149141187</c:v>
                      </c:pt>
                      <c:pt idx="332">
                        <c:v>7986.6542149141187</c:v>
                      </c:pt>
                      <c:pt idx="333">
                        <c:v>7986.6542149141187</c:v>
                      </c:pt>
                      <c:pt idx="334">
                        <c:v>7986.6542149141187</c:v>
                      </c:pt>
                      <c:pt idx="335">
                        <c:v>8252.720739286895</c:v>
                      </c:pt>
                    </c:numCache>
                  </c:numRef>
                </c:val>
                <c:smooth val="0"/>
                <c:extLst xmlns:c15="http://schemas.microsoft.com/office/drawing/2012/chart">
                  <c:ext xmlns:c16="http://schemas.microsoft.com/office/drawing/2014/chart" uri="{C3380CC4-5D6E-409C-BE32-E72D297353CC}">
                    <c16:uniqueId val="{00000003-7000-43A6-AFE6-277F268E6866}"/>
                  </c:ext>
                </c:extLst>
              </c15:ser>
            </c15:filteredLineSeries>
            <c15:filteredLineSeries>
              <c15:ser>
                <c:idx val="4"/>
                <c:order val="4"/>
                <c:spPr>
                  <a:ln w="22225" cap="rnd">
                    <a:solidFill>
                      <a:schemeClr val="accent5"/>
                    </a:solidFill>
                  </a:ln>
                  <a:effectLst>
                    <a:glow rad="139700">
                      <a:schemeClr val="accent5">
                        <a:satMod val="175000"/>
                        <a:alpha val="14000"/>
                      </a:schemeClr>
                    </a:glow>
                  </a:effectLst>
                </c:spPr>
                <c:marker>
                  <c:symbol val="circle"/>
                  <c:size val="4"/>
                  <c:spPr>
                    <a:solidFill>
                      <a:schemeClr val="accent5">
                        <a:lumMod val="60000"/>
                        <a:lumOff val="40000"/>
                      </a:schemeClr>
                    </a:solidFill>
                    <a:ln>
                      <a:noFill/>
                    </a:ln>
                    <a:effectLst>
                      <a:glow rad="63500">
                        <a:schemeClr val="accent5">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Returns'!$F$4:$F$339</c15:sqref>
                        </c15:formulaRef>
                      </c:ext>
                    </c:extLst>
                    <c:numCache>
                      <c:formatCode>#,##0.000</c:formatCode>
                      <c:ptCount val="336"/>
                      <c:pt idx="0">
                        <c:v>5</c:v>
                      </c:pt>
                      <c:pt idx="1">
                        <c:v>5</c:v>
                      </c:pt>
                      <c:pt idx="2">
                        <c:v>5.0383333333333331</c:v>
                      </c:pt>
                      <c:pt idx="3">
                        <c:v>5.0078933333333335</c:v>
                      </c:pt>
                      <c:pt idx="4">
                        <c:v>5.2332600000000005</c:v>
                      </c:pt>
                      <c:pt idx="5">
                        <c:v>5.4390299999999998</c:v>
                      </c:pt>
                      <c:pt idx="6">
                        <c:v>5.850763333333334</c:v>
                      </c:pt>
                      <c:pt idx="7">
                        <c:v>5.9637633333333335</c:v>
                      </c:pt>
                      <c:pt idx="8">
                        <c:v>6.2924533333333335</c:v>
                      </c:pt>
                      <c:pt idx="9">
                        <c:v>6.130843333333333</c:v>
                      </c:pt>
                      <c:pt idx="10">
                        <c:v>6.5057875233333338</c:v>
                      </c:pt>
                      <c:pt idx="11">
                        <c:v>6.7907161333333326</c:v>
                      </c:pt>
                      <c:pt idx="12">
                        <c:v>6.7877491933333332</c:v>
                      </c:pt>
                      <c:pt idx="13">
                        <c:v>7.3067676666666665</c:v>
                      </c:pt>
                      <c:pt idx="14">
                        <c:v>7.7177713898369662</c:v>
                      </c:pt>
                      <c:pt idx="15">
                        <c:v>8.0594877649403447</c:v>
                      </c:pt>
                      <c:pt idx="16">
                        <c:v>8.9740178155146939</c:v>
                      </c:pt>
                      <c:pt idx="17">
                        <c:v>8.7568114127775036</c:v>
                      </c:pt>
                      <c:pt idx="18">
                        <c:v>8.1090166923210596</c:v>
                      </c:pt>
                      <c:pt idx="19">
                        <c:v>8.4198535469844238</c:v>
                      </c:pt>
                      <c:pt idx="20">
                        <c:v>8.7840540856283784</c:v>
                      </c:pt>
                      <c:pt idx="21">
                        <c:v>8.3646490234657289</c:v>
                      </c:pt>
                      <c:pt idx="22">
                        <c:v>8.8377574515477928</c:v>
                      </c:pt>
                      <c:pt idx="23">
                        <c:v>8.6734407740197454</c:v>
                      </c:pt>
                      <c:pt idx="24">
                        <c:v>8.9931716129563313</c:v>
                      </c:pt>
                      <c:pt idx="25">
                        <c:v>9.1308327593861485</c:v>
                      </c:pt>
                      <c:pt idx="26">
                        <c:v>9.1392960929749414</c:v>
                      </c:pt>
                      <c:pt idx="27">
                        <c:v>8.9773584504583859</c:v>
                      </c:pt>
                      <c:pt idx="28">
                        <c:v>9.7952067889851087</c:v>
                      </c:pt>
                      <c:pt idx="29">
                        <c:v>9.7497110128661451</c:v>
                      </c:pt>
                      <c:pt idx="30">
                        <c:v>10.538183899113287</c:v>
                      </c:pt>
                      <c:pt idx="31">
                        <c:v>10.198900707225905</c:v>
                      </c:pt>
                      <c:pt idx="32">
                        <c:v>10.767380979300068</c:v>
                      </c:pt>
                      <c:pt idx="33">
                        <c:v>10.387140084515886</c:v>
                      </c:pt>
                      <c:pt idx="34">
                        <c:v>10.860094210079685</c:v>
                      </c:pt>
                      <c:pt idx="35">
                        <c:v>11.251140046787027</c:v>
                      </c:pt>
                      <c:pt idx="36">
                        <c:v>11.34977186960506</c:v>
                      </c:pt>
                      <c:pt idx="37">
                        <c:v>11.91661556239883</c:v>
                      </c:pt>
                      <c:pt idx="38">
                        <c:v>12.510643467923687</c:v>
                      </c:pt>
                      <c:pt idx="39">
                        <c:v>12.618649972299231</c:v>
                      </c:pt>
                      <c:pt idx="40">
                        <c:v>13.240190788907332</c:v>
                      </c:pt>
                      <c:pt idx="41">
                        <c:v>13.62161388549363</c:v>
                      </c:pt>
                      <c:pt idx="42">
                        <c:v>13.248793989036798</c:v>
                      </c:pt>
                      <c:pt idx="43">
                        <c:v>11.416921745289503</c:v>
                      </c:pt>
                      <c:pt idx="44">
                        <c:v>12.183464392308201</c:v>
                      </c:pt>
                      <c:pt idx="45">
                        <c:v>13.050930641462809</c:v>
                      </c:pt>
                      <c:pt idx="46">
                        <c:v>13.469845172063437</c:v>
                      </c:pt>
                      <c:pt idx="47">
                        <c:v>14.69341939815355</c:v>
                      </c:pt>
                      <c:pt idx="48">
                        <c:v>15.103358867685898</c:v>
                      </c:pt>
                      <c:pt idx="49">
                        <c:v>14.326557043734757</c:v>
                      </c:pt>
                      <c:pt idx="50">
                        <c:v>14.70517112578796</c:v>
                      </c:pt>
                      <c:pt idx="51">
                        <c:v>15.389250833730436</c:v>
                      </c:pt>
                      <c:pt idx="52">
                        <c:v>14.876291825409517</c:v>
                      </c:pt>
                      <c:pt idx="53">
                        <c:v>15.690825848828601</c:v>
                      </c:pt>
                      <c:pt idx="54">
                        <c:v>15.20462316772787</c:v>
                      </c:pt>
                      <c:pt idx="55">
                        <c:v>15.174617766523784</c:v>
                      </c:pt>
                      <c:pt idx="56">
                        <c:v>15.270895003864458</c:v>
                      </c:pt>
                      <c:pt idx="57">
                        <c:v>15.304470888547842</c:v>
                      </c:pt>
                      <c:pt idx="58">
                        <c:v>16.172453981409422</c:v>
                      </c:pt>
                      <c:pt idx="59">
                        <c:v>18.064464335011333</c:v>
                      </c:pt>
                      <c:pt idx="60">
                        <c:v>17.313078412048636</c:v>
                      </c:pt>
                      <c:pt idx="61">
                        <c:v>17.937169805249813</c:v>
                      </c:pt>
                      <c:pt idx="62">
                        <c:v>19.450457822327881</c:v>
                      </c:pt>
                      <c:pt idx="63">
                        <c:v>18.371712223371009</c:v>
                      </c:pt>
                      <c:pt idx="64">
                        <c:v>17.410660514820968</c:v>
                      </c:pt>
                      <c:pt idx="65">
                        <c:v>18.429409869966825</c:v>
                      </c:pt>
                      <c:pt idx="66">
                        <c:v>17.875569789681361</c:v>
                      </c:pt>
                      <c:pt idx="67">
                        <c:v>18.92061770804116</c:v>
                      </c:pt>
                      <c:pt idx="68">
                        <c:v>18.127801217497154</c:v>
                      </c:pt>
                      <c:pt idx="69">
                        <c:v>17.571143611823342</c:v>
                      </c:pt>
                      <c:pt idx="70">
                        <c:v>16.106954227095713</c:v>
                      </c:pt>
                      <c:pt idx="71">
                        <c:v>16.291894357629875</c:v>
                      </c:pt>
                      <c:pt idx="72">
                        <c:v>16.458549580204021</c:v>
                      </c:pt>
                      <c:pt idx="73">
                        <c:v>14.093611495825657</c:v>
                      </c:pt>
                      <c:pt idx="74">
                        <c:v>13.217751880655259</c:v>
                      </c:pt>
                      <c:pt idx="75">
                        <c:v>14.322274322916273</c:v>
                      </c:pt>
                      <c:pt idx="76">
                        <c:v>14.525502536475093</c:v>
                      </c:pt>
                      <c:pt idx="77">
                        <c:v>13.687095689213729</c:v>
                      </c:pt>
                      <c:pt idx="78">
                        <c:v>13.540323424428875</c:v>
                      </c:pt>
                      <c:pt idx="79">
                        <c:v>12.346708710553571</c:v>
                      </c:pt>
                      <c:pt idx="80">
                        <c:v>11.238700680231098</c:v>
                      </c:pt>
                      <c:pt idx="81">
                        <c:v>12.221516322200113</c:v>
                      </c:pt>
                      <c:pt idx="82">
                        <c:v>12.67450687356598</c:v>
                      </c:pt>
                      <c:pt idx="83">
                        <c:v>13.003976637104309</c:v>
                      </c:pt>
                      <c:pt idx="84">
                        <c:v>13.063469380043633</c:v>
                      </c:pt>
                      <c:pt idx="85">
                        <c:v>12.4191644359255</c:v>
                      </c:pt>
                      <c:pt idx="86">
                        <c:v>13.050495620624655</c:v>
                      </c:pt>
                      <c:pt idx="87">
                        <c:v>12.541745932337163</c:v>
                      </c:pt>
                      <c:pt idx="88">
                        <c:v>12.370005879688987</c:v>
                      </c:pt>
                      <c:pt idx="89">
                        <c:v>11.017991633750414</c:v>
                      </c:pt>
                      <c:pt idx="90">
                        <c:v>10.202703804869115</c:v>
                      </c:pt>
                      <c:pt idx="91">
                        <c:v>10.203301395513272</c:v>
                      </c:pt>
                      <c:pt idx="92">
                        <c:v>9.5078630610576607</c:v>
                      </c:pt>
                      <c:pt idx="93">
                        <c:v>10.126239911912752</c:v>
                      </c:pt>
                      <c:pt idx="94">
                        <c:v>10.771460251184484</c:v>
                      </c:pt>
                      <c:pt idx="95">
                        <c:v>10.28266509902085</c:v>
                      </c:pt>
                      <c:pt idx="96">
                        <c:v>10.14310952473023</c:v>
                      </c:pt>
                      <c:pt idx="97">
                        <c:v>10.14310952473023</c:v>
                      </c:pt>
                      <c:pt idx="98">
                        <c:v>10.285119594046062</c:v>
                      </c:pt>
                      <c:pt idx="99">
                        <c:v>10.81511519841861</c:v>
                      </c:pt>
                      <c:pt idx="100">
                        <c:v>11.316007504635074</c:v>
                      </c:pt>
                      <c:pt idx="101">
                        <c:v>11.820932195535812</c:v>
                      </c:pt>
                      <c:pt idx="102">
                        <c:v>11.87054805925974</c:v>
                      </c:pt>
                      <c:pt idx="103">
                        <c:v>11.98143863807735</c:v>
                      </c:pt>
                      <c:pt idx="104">
                        <c:v>12.09232921689496</c:v>
                      </c:pt>
                      <c:pt idx="105">
                        <c:v>12.267650290124385</c:v>
                      </c:pt>
                      <c:pt idx="106">
                        <c:v>12.618292436583232</c:v>
                      </c:pt>
                      <c:pt idx="107">
                        <c:v>12.705602331051484</c:v>
                      </c:pt>
                      <c:pt idx="108">
                        <c:v>12.651778761570052</c:v>
                      </c:pt>
                      <c:pt idx="109">
                        <c:v>12.908448812777928</c:v>
                      </c:pt>
                      <c:pt idx="110">
                        <c:v>12.988921185390232</c:v>
                      </c:pt>
                      <c:pt idx="111">
                        <c:v>12.988921185390232</c:v>
                      </c:pt>
                      <c:pt idx="112">
                        <c:v>12.937467956818862</c:v>
                      </c:pt>
                      <c:pt idx="113">
                        <c:v>13.436256410156574</c:v>
                      </c:pt>
                      <c:pt idx="114">
                        <c:v>12.983226756931742</c:v>
                      </c:pt>
                      <c:pt idx="115">
                        <c:v>12.657129560725014</c:v>
                      </c:pt>
                      <c:pt idx="116">
                        <c:v>12.940623736136992</c:v>
                      </c:pt>
                      <c:pt idx="117">
                        <c:v>13.470444019436311</c:v>
                      </c:pt>
                      <c:pt idx="118">
                        <c:v>14.184702071772982</c:v>
                      </c:pt>
                      <c:pt idx="119">
                        <c:v>14.48660495987405</c:v>
                      </c:pt>
                      <c:pt idx="120">
                        <c:v>14.062152641585616</c:v>
                      </c:pt>
                      <c:pt idx="121">
                        <c:v>14.35301030207323</c:v>
                      </c:pt>
                      <c:pt idx="122">
                        <c:v>13.39137421540984</c:v>
                      </c:pt>
                      <c:pt idx="123">
                        <c:v>12.790724218525835</c:v>
                      </c:pt>
                      <c:pt idx="124">
                        <c:v>13.313531658895977</c:v>
                      </c:pt>
                      <c:pt idx="125">
                        <c:v>13.451509343527533</c:v>
                      </c:pt>
                      <c:pt idx="126">
                        <c:v>13.831780751362153</c:v>
                      </c:pt>
                      <c:pt idx="127">
                        <c:v>13.309849916358159</c:v>
                      </c:pt>
                      <c:pt idx="128">
                        <c:v>13.20605984100634</c:v>
                      </c:pt>
                      <c:pt idx="129">
                        <c:v>12.929578508523539</c:v>
                      </c:pt>
                      <c:pt idx="130">
                        <c:v>13.60736977762849</c:v>
                      </c:pt>
                      <c:pt idx="131">
                        <c:v>13.568534406697442</c:v>
                      </c:pt>
                      <c:pt idx="132">
                        <c:v>13.893204489368083</c:v>
                      </c:pt>
                      <c:pt idx="133">
                        <c:v>14.115004932321359</c:v>
                      </c:pt>
                      <c:pt idx="134">
                        <c:v>14.251204861270368</c:v>
                      </c:pt>
                      <c:pt idx="135">
                        <c:v>14.232145707399598</c:v>
                      </c:pt>
                      <c:pt idx="136">
                        <c:v>13.320069381716701</c:v>
                      </c:pt>
                      <c:pt idx="137">
                        <c:v>13.19276349081262</c:v>
                      </c:pt>
                      <c:pt idx="138">
                        <c:v>13.022935226807475</c:v>
                      </c:pt>
                      <c:pt idx="139">
                        <c:v>13.104033495651208</c:v>
                      </c:pt>
                      <c:pt idx="140">
                        <c:v>13.191176835099894</c:v>
                      </c:pt>
                      <c:pt idx="141">
                        <c:v>13.255905375336196</c:v>
                      </c:pt>
                      <c:pt idx="142">
                        <c:v>13.3397000822862</c:v>
                      </c:pt>
                      <c:pt idx="143">
                        <c:v>13.234269001688952</c:v>
                      </c:pt>
                      <c:pt idx="144">
                        <c:v>13.353597783761096</c:v>
                      </c:pt>
                      <c:pt idx="145">
                        <c:v>13.248252610489734</c:v>
                      </c:pt>
                      <c:pt idx="146">
                        <c:v>13.05778730295475</c:v>
                      </c:pt>
                      <c:pt idx="147">
                        <c:v>13.913296284360174</c:v>
                      </c:pt>
                      <c:pt idx="148">
                        <c:v>14.296015174377077</c:v>
                      </c:pt>
                      <c:pt idx="149">
                        <c:v>14.094634376822832</c:v>
                      </c:pt>
                      <c:pt idx="150">
                        <c:v>13.645698470657907</c:v>
                      </c:pt>
                      <c:pt idx="151">
                        <c:v>13.885734058437777</c:v>
                      </c:pt>
                      <c:pt idx="152">
                        <c:v>14.392445271074722</c:v>
                      </c:pt>
                      <c:pt idx="153">
                        <c:v>14.603530090032217</c:v>
                      </c:pt>
                      <c:pt idx="154">
                        <c:v>14.040172638634843</c:v>
                      </c:pt>
                      <c:pt idx="155">
                        <c:v>13.997418841717117</c:v>
                      </c:pt>
                      <c:pt idx="156">
                        <c:v>12.816904914391186</c:v>
                      </c:pt>
                      <c:pt idx="157">
                        <c:v>12.369439952030657</c:v>
                      </c:pt>
                      <c:pt idx="158">
                        <c:v>12.399134082203524</c:v>
                      </c:pt>
                      <c:pt idx="159">
                        <c:v>13.010773203957548</c:v>
                      </c:pt>
                      <c:pt idx="160">
                        <c:v>13.395611725749795</c:v>
                      </c:pt>
                      <c:pt idx="161">
                        <c:v>12.547953622003588</c:v>
                      </c:pt>
                      <c:pt idx="162">
                        <c:v>12.165592386976073</c:v>
                      </c:pt>
                      <c:pt idx="163">
                        <c:v>12.133517396628751</c:v>
                      </c:pt>
                      <c:pt idx="164">
                        <c:v>10.751499946997313</c:v>
                      </c:pt>
                      <c:pt idx="165">
                        <c:v>8.8589037018534871</c:v>
                      </c:pt>
                      <c:pt idx="166">
                        <c:v>8.0961202828683749</c:v>
                      </c:pt>
                      <c:pt idx="167">
                        <c:v>8.3095281060461588</c:v>
                      </c:pt>
                      <c:pt idx="168">
                        <c:v>7.9837272024531885</c:v>
                      </c:pt>
                      <c:pt idx="169">
                        <c:v>7.3961719365286891</c:v>
                      </c:pt>
                      <c:pt idx="170">
                        <c:v>7.7663816679706725</c:v>
                      </c:pt>
                      <c:pt idx="171">
                        <c:v>8.4930857632959018</c:v>
                      </c:pt>
                      <c:pt idx="172">
                        <c:v>9.0222082687237659</c:v>
                      </c:pt>
                      <c:pt idx="173">
                        <c:v>9.1582118380707609</c:v>
                      </c:pt>
                      <c:pt idx="174">
                        <c:v>9.4910992194436634</c:v>
                      </c:pt>
                      <c:pt idx="175">
                        <c:v>9.4534700574964319</c:v>
                      </c:pt>
                      <c:pt idx="176">
                        <c:v>9.8157307314781939</c:v>
                      </c:pt>
                      <c:pt idx="177">
                        <c:v>9.6977098446123424</c:v>
                      </c:pt>
                      <c:pt idx="178">
                        <c:v>10.104057825562073</c:v>
                      </c:pt>
                      <c:pt idx="179">
                        <c:v>10.447975145442037</c:v>
                      </c:pt>
                      <c:pt idx="180">
                        <c:v>10.082963119936515</c:v>
                      </c:pt>
                      <c:pt idx="181">
                        <c:v>10.426338623747329</c:v>
                      </c:pt>
                      <c:pt idx="182">
                        <c:v>11.010430106698719</c:v>
                      </c:pt>
                      <c:pt idx="183">
                        <c:v>11.452001602800586</c:v>
                      </c:pt>
                      <c:pt idx="184">
                        <c:v>10.52657631659102</c:v>
                      </c:pt>
                      <c:pt idx="185">
                        <c:v>10.017000883632329</c:v>
                      </c:pt>
                      <c:pt idx="186">
                        <c:v>10.649061149239097</c:v>
                      </c:pt>
                      <c:pt idx="187">
                        <c:v>10.28267480297405</c:v>
                      </c:pt>
                      <c:pt idx="188">
                        <c:v>11.292117700973082</c:v>
                      </c:pt>
                      <c:pt idx="189">
                        <c:v>11.675503311401323</c:v>
                      </c:pt>
                      <c:pt idx="190">
                        <c:v>11.729189543624489</c:v>
                      </c:pt>
                      <c:pt idx="191">
                        <c:v>12.386686201276243</c:v>
                      </c:pt>
                      <c:pt idx="192">
                        <c:v>12.481203739519234</c:v>
                      </c:pt>
                      <c:pt idx="193">
                        <c:v>12.61627426695849</c:v>
                      </c:pt>
                      <c:pt idx="194">
                        <c:v>12.411638613491993</c:v>
                      </c:pt>
                      <c:pt idx="195">
                        <c:v>12.760257464454481</c:v>
                      </c:pt>
                      <c:pt idx="196">
                        <c:v>12.504292697056211</c:v>
                      </c:pt>
                      <c:pt idx="197">
                        <c:v>12.158854105380007</c:v>
                      </c:pt>
                      <c:pt idx="198">
                        <c:v>12.085717194291773</c:v>
                      </c:pt>
                      <c:pt idx="199">
                        <c:v>11.662974372878971</c:v>
                      </c:pt>
                      <c:pt idx="200">
                        <c:v>11.03873055203824</c:v>
                      </c:pt>
                      <c:pt idx="201">
                        <c:v>11.895025968101413</c:v>
                      </c:pt>
                      <c:pt idx="202">
                        <c:v>11.629336981292202</c:v>
                      </c:pt>
                      <c:pt idx="203">
                        <c:v>11.790914723211111</c:v>
                      </c:pt>
                      <c:pt idx="204">
                        <c:v>12.5335915034642</c:v>
                      </c:pt>
                      <c:pt idx="205">
                        <c:v>12.963838741611514</c:v>
                      </c:pt>
                      <c:pt idx="206">
                        <c:v>13.363298859359476</c:v>
                      </c:pt>
                      <c:pt idx="207">
                        <c:v>13.291965733124446</c:v>
                      </c:pt>
                      <c:pt idx="208">
                        <c:v>12.464443984337164</c:v>
                      </c:pt>
                      <c:pt idx="209">
                        <c:v>12.835557077292643</c:v>
                      </c:pt>
                      <c:pt idx="210">
                        <c:v>12.886132923966388</c:v>
                      </c:pt>
                      <c:pt idx="211">
                        <c:v>13.237509685338424</c:v>
                      </c:pt>
                      <c:pt idx="212">
                        <c:v>13.4528608470699</c:v>
                      </c:pt>
                      <c:pt idx="213">
                        <c:v>13.330005775741775</c:v>
                      </c:pt>
                      <c:pt idx="214">
                        <c:v>13.369804782983689</c:v>
                      </c:pt>
                      <c:pt idx="215">
                        <c:v>13.413492973284905</c:v>
                      </c:pt>
                      <c:pt idx="216">
                        <c:v>13.879308721628108</c:v>
                      </c:pt>
                      <c:pt idx="217">
                        <c:v>13.909239563078303</c:v>
                      </c:pt>
                      <c:pt idx="218">
                        <c:v>14.232418998774843</c:v>
                      </c:pt>
                      <c:pt idx="219">
                        <c:v>14.333087163974465</c:v>
                      </c:pt>
                      <c:pt idx="220">
                        <c:v>14.398763160578593</c:v>
                      </c:pt>
                      <c:pt idx="221">
                        <c:v>14.253234660991756</c:v>
                      </c:pt>
                      <c:pt idx="222">
                        <c:v>14.721635713085311</c:v>
                      </c:pt>
                      <c:pt idx="223">
                        <c:v>14.587520274177495</c:v>
                      </c:pt>
                      <c:pt idx="224">
                        <c:v>14.792793691353468</c:v>
                      </c:pt>
                      <c:pt idx="225">
                        <c:v>15.093982326764756</c:v>
                      </c:pt>
                      <c:pt idx="226">
                        <c:v>15.410357937594281</c:v>
                      </c:pt>
                      <c:pt idx="227">
                        <c:v>15.692380475934733</c:v>
                      </c:pt>
                      <c:pt idx="228">
                        <c:v>15.222694183833314</c:v>
                      </c:pt>
                      <c:pt idx="229">
                        <c:v>15.688551100516417</c:v>
                      </c:pt>
                      <c:pt idx="230">
                        <c:v>15.865538242799733</c:v>
                      </c:pt>
                      <c:pt idx="231">
                        <c:v>15.97807854802956</c:v>
                      </c:pt>
                      <c:pt idx="232">
                        <c:v>16.311394461156368</c:v>
                      </c:pt>
                      <c:pt idx="233">
                        <c:v>16.644711656297044</c:v>
                      </c:pt>
                      <c:pt idx="234">
                        <c:v>16.495377553107495</c:v>
                      </c:pt>
                      <c:pt idx="235">
                        <c:v>17.104703359542317</c:v>
                      </c:pt>
                      <c:pt idx="236">
                        <c:v>17.032873404633428</c:v>
                      </c:pt>
                      <c:pt idx="237">
                        <c:v>17.439670745725017</c:v>
                      </c:pt>
                      <c:pt idx="238">
                        <c:v>18.011447942231108</c:v>
                      </c:pt>
                      <c:pt idx="239">
                        <c:v>17.949943725036462</c:v>
                      </c:pt>
                      <c:pt idx="240">
                        <c:v>17.750600963133497</c:v>
                      </c:pt>
                      <c:pt idx="241">
                        <c:v>18.478960016551014</c:v>
                      </c:pt>
                      <c:pt idx="242">
                        <c:v>18.320791902224762</c:v>
                      </c:pt>
                      <c:pt idx="243">
                        <c:v>18.304426568829879</c:v>
                      </c:pt>
                      <c:pt idx="244">
                        <c:v>18.687907469419141</c:v>
                      </c:pt>
                      <c:pt idx="245">
                        <c:v>18.221425670708719</c:v>
                      </c:pt>
                      <c:pt idx="246">
                        <c:v>18.548670166527668</c:v>
                      </c:pt>
                      <c:pt idx="247">
                        <c:v>17.540656658710596</c:v>
                      </c:pt>
                      <c:pt idx="248">
                        <c:v>17.299847775096403</c:v>
                      </c:pt>
                      <c:pt idx="249">
                        <c:v>18.262765410811152</c:v>
                      </c:pt>
                      <c:pt idx="250">
                        <c:v>18.171208226991315</c:v>
                      </c:pt>
                      <c:pt idx="251">
                        <c:v>17.847865322375245</c:v>
                      </c:pt>
                      <c:pt idx="252">
                        <c:v>17.020318590091748</c:v>
                      </c:pt>
                      <c:pt idx="253">
                        <c:v>16.953323978703558</c:v>
                      </c:pt>
                      <c:pt idx="254">
                        <c:v>17.867802914748687</c:v>
                      </c:pt>
                      <c:pt idx="255">
                        <c:v>17.813831084846271</c:v>
                      </c:pt>
                      <c:pt idx="256">
                        <c:v>18.18034602563214</c:v>
                      </c:pt>
                      <c:pt idx="257">
                        <c:v>18.282941585418282</c:v>
                      </c:pt>
                      <c:pt idx="258">
                        <c:v>18.841437765834758</c:v>
                      </c:pt>
                      <c:pt idx="259">
                        <c:v>18.843660807726604</c:v>
                      </c:pt>
                      <c:pt idx="260">
                        <c:v>18.855608651481742</c:v>
                      </c:pt>
                      <c:pt idx="261">
                        <c:v>18.280008756375771</c:v>
                      </c:pt>
                      <c:pt idx="262">
                        <c:v>18.51025284516329</c:v>
                      </c:pt>
                      <c:pt idx="263">
                        <c:v>18.808712545002514</c:v>
                      </c:pt>
                      <c:pt idx="264">
                        <c:v>19.072088854510113</c:v>
                      </c:pt>
                      <c:pt idx="265">
                        <c:v>19.663734264597206</c:v>
                      </c:pt>
                      <c:pt idx="266">
                        <c:v>19.719458016404882</c:v>
                      </c:pt>
                      <c:pt idx="267">
                        <c:v>19.855632889325204</c:v>
                      </c:pt>
                      <c:pt idx="268">
                        <c:v>19.978750962858683</c:v>
                      </c:pt>
                      <c:pt idx="269">
                        <c:v>20.10275714659517</c:v>
                      </c:pt>
                      <c:pt idx="270">
                        <c:v>20.514477018206929</c:v>
                      </c:pt>
                      <c:pt idx="271">
                        <c:v>20.794062857575817</c:v>
                      </c:pt>
                      <c:pt idx="272">
                        <c:v>20.943983392379717</c:v>
                      </c:pt>
                      <c:pt idx="273">
                        <c:v>21.454587227785535</c:v>
                      </c:pt>
                      <c:pt idx="274">
                        <c:v>22.139232719706101</c:v>
                      </c:pt>
                      <c:pt idx="275">
                        <c:v>22.284227475970948</c:v>
                      </c:pt>
                      <c:pt idx="276">
                        <c:v>23.311416699691001</c:v>
                      </c:pt>
                      <c:pt idx="277">
                        <c:v>22.57755735188697</c:v>
                      </c:pt>
                      <c:pt idx="278">
                        <c:v>21.977321283943208</c:v>
                      </c:pt>
                      <c:pt idx="279">
                        <c:v>22.123044324371939</c:v>
                      </c:pt>
                      <c:pt idx="280">
                        <c:v>22.476063520903512</c:v>
                      </c:pt>
                      <c:pt idx="281">
                        <c:v>22.797386741293899</c:v>
                      </c:pt>
                      <c:pt idx="282">
                        <c:v>23.444146800859713</c:v>
                      </c:pt>
                      <c:pt idx="283">
                        <c:v>24.121227466301807</c:v>
                      </c:pt>
                      <c:pt idx="284">
                        <c:v>24.244970815712357</c:v>
                      </c:pt>
                      <c:pt idx="285">
                        <c:v>22.804575892860228</c:v>
                      </c:pt>
                      <c:pt idx="286">
                        <c:v>23.543188450344523</c:v>
                      </c:pt>
                      <c:pt idx="287">
                        <c:v>21.613726352023182</c:v>
                      </c:pt>
                      <c:pt idx="288">
                        <c:v>23.28653761322791</c:v>
                      </c:pt>
                      <c:pt idx="289">
                        <c:v>23.640791020315095</c:v>
                      </c:pt>
                      <c:pt idx="290">
                        <c:v>24.339552817744206</c:v>
                      </c:pt>
                      <c:pt idx="291">
                        <c:v>25.291640079315194</c:v>
                      </c:pt>
                      <c:pt idx="292">
                        <c:v>24.198418092468064</c:v>
                      </c:pt>
                      <c:pt idx="293">
                        <c:v>25.575501011899714</c:v>
                      </c:pt>
                      <c:pt idx="294">
                        <c:v>25.917028808733861</c:v>
                      </c:pt>
                      <c:pt idx="295">
                        <c:v>25.617730250596473</c:v>
                      </c:pt>
                      <c:pt idx="296">
                        <c:v>25.829449827324233</c:v>
                      </c:pt>
                      <c:pt idx="297">
                        <c:v>26.504616716884552</c:v>
                      </c:pt>
                      <c:pt idx="298">
                        <c:v>27.353868505633294</c:v>
                      </c:pt>
                      <c:pt idx="299">
                        <c:v>28.225704598668344</c:v>
                      </c:pt>
                      <c:pt idx="300">
                        <c:v>28.341605602959646</c:v>
                      </c:pt>
                      <c:pt idx="301">
                        <c:v>26.373829417477982</c:v>
                      </c:pt>
                      <c:pt idx="302">
                        <c:v>23.953052214330889</c:v>
                      </c:pt>
                      <c:pt idx="303">
                        <c:v>26.878327798497097</c:v>
                      </c:pt>
                      <c:pt idx="304">
                        <c:v>27.956762710030613</c:v>
                      </c:pt>
                      <c:pt idx="305">
                        <c:v>28.656768904597563</c:v>
                      </c:pt>
                      <c:pt idx="306">
                        <c:v>30.405789880760647</c:v>
                      </c:pt>
                      <c:pt idx="307">
                        <c:v>32.526944202621024</c:v>
                      </c:pt>
                      <c:pt idx="308">
                        <c:v>31.473801916038884</c:v>
                      </c:pt>
                      <c:pt idx="309">
                        <c:v>30.31996945830328</c:v>
                      </c:pt>
                      <c:pt idx="310">
                        <c:v>32.618500464566836</c:v>
                      </c:pt>
                      <c:pt idx="311">
                        <c:v>33.859136996520633</c:v>
                      </c:pt>
                      <c:pt idx="312">
                        <c:v>33.243439977614884</c:v>
                      </c:pt>
                      <c:pt idx="313">
                        <c:v>33.984016944419693</c:v>
                      </c:pt>
                      <c:pt idx="314">
                        <c:v>34.640364113131106</c:v>
                      </c:pt>
                      <c:pt idx="315">
                        <c:v>36.628185003642656</c:v>
                      </c:pt>
                      <c:pt idx="316">
                        <c:v>36.740473166159369</c:v>
                      </c:pt>
                      <c:pt idx="317">
                        <c:v>38.024332851664859</c:v>
                      </c:pt>
                      <c:pt idx="318">
                        <c:v>38.808002891858663</c:v>
                      </c:pt>
                      <c:pt idx="319">
                        <c:v>39.975700792352072</c:v>
                      </c:pt>
                      <c:pt idx="320">
                        <c:v>37.834440687165674</c:v>
                      </c:pt>
                      <c:pt idx="321">
                        <c:v>40.423932577891634</c:v>
                      </c:pt>
                      <c:pt idx="322">
                        <c:v>40.663809321032986</c:v>
                      </c:pt>
                      <c:pt idx="323">
                        <c:v>42.204809028951331</c:v>
                      </c:pt>
                      <c:pt idx="324">
                        <c:v>39.972662069661538</c:v>
                      </c:pt>
                      <c:pt idx="325">
                        <c:v>39.251895920896708</c:v>
                      </c:pt>
                      <c:pt idx="326">
                        <c:v>40.471732129882341</c:v>
                      </c:pt>
                      <c:pt idx="327">
                        <c:v>36.894787488075636</c:v>
                      </c:pt>
                      <c:pt idx="328">
                        <c:v>36.797321142462934</c:v>
                      </c:pt>
                      <c:pt idx="329">
                        <c:v>34.336751363029791</c:v>
                      </c:pt>
                      <c:pt idx="330">
                        <c:v>37.184398123237571</c:v>
                      </c:pt>
                      <c:pt idx="331">
                        <c:v>35.685686688147761</c:v>
                      </c:pt>
                      <c:pt idx="332">
                        <c:v>32.555307016355648</c:v>
                      </c:pt>
                      <c:pt idx="333">
                        <c:v>34.953890889465768</c:v>
                      </c:pt>
                      <c:pt idx="334">
                        <c:v>36.644970737993461</c:v>
                      </c:pt>
                      <c:pt idx="335">
                        <c:v>34.591549746861716</c:v>
                      </c:pt>
                    </c:numCache>
                  </c:numRef>
                </c:val>
                <c:smooth val="0"/>
                <c:extLst xmlns:c15="http://schemas.microsoft.com/office/drawing/2012/chart">
                  <c:ext xmlns:c16="http://schemas.microsoft.com/office/drawing/2014/chart" uri="{C3380CC4-5D6E-409C-BE32-E72D297353CC}">
                    <c16:uniqueId val="{00000004-7000-43A6-AFE6-277F268E6866}"/>
                  </c:ext>
                </c:extLst>
              </c15:ser>
            </c15:filteredLineSeries>
            <c15:filteredLineSeries>
              <c15:ser>
                <c:idx val="5"/>
                <c:order val="5"/>
                <c:spPr>
                  <a:ln w="22225" cap="rnd">
                    <a:solidFill>
                      <a:schemeClr val="accent6"/>
                    </a:solidFill>
                  </a:ln>
                  <a:effectLst>
                    <a:glow rad="139700">
                      <a:schemeClr val="accent6">
                        <a:satMod val="175000"/>
                        <a:alpha val="14000"/>
                      </a:schemeClr>
                    </a:glow>
                  </a:effectLst>
                </c:spPr>
                <c:marker>
                  <c:symbol val="circle"/>
                  <c:size val="4"/>
                  <c:spPr>
                    <a:solidFill>
                      <a:schemeClr val="accent6">
                        <a:lumMod val="60000"/>
                        <a:lumOff val="40000"/>
                      </a:schemeClr>
                    </a:solidFill>
                    <a:ln>
                      <a:noFill/>
                    </a:ln>
                    <a:effectLst>
                      <a:glow rad="63500">
                        <a:schemeClr val="accent6">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Returns'!$G$4:$G$339</c15:sqref>
                        </c15:formulaRef>
                      </c:ext>
                    </c:extLst>
                    <c:numCache>
                      <c:formatCode>#,##0.000</c:formatCode>
                      <c:ptCount val="336"/>
                    </c:numCache>
                  </c:numRef>
                </c:val>
                <c:smooth val="0"/>
                <c:extLst xmlns:c15="http://schemas.microsoft.com/office/drawing/2012/chart">
                  <c:ext xmlns:c16="http://schemas.microsoft.com/office/drawing/2014/chart" uri="{C3380CC4-5D6E-409C-BE32-E72D297353CC}">
                    <c16:uniqueId val="{00000005-7000-43A6-AFE6-277F268E6866}"/>
                  </c:ext>
                </c:extLst>
              </c15:ser>
            </c15:filteredLineSeries>
            <c15:filteredLineSeries>
              <c15:ser>
                <c:idx val="6"/>
                <c:order val="6"/>
                <c:spPr>
                  <a:ln w="22225" cap="rnd">
                    <a:solidFill>
                      <a:schemeClr val="accent1">
                        <a:lumMod val="60000"/>
                      </a:schemeClr>
                    </a:solidFill>
                  </a:ln>
                  <a:effectLst>
                    <a:glow rad="139700">
                      <a:schemeClr val="accent1">
                        <a:lumMod val="60000"/>
                        <a:satMod val="175000"/>
                        <a:alpha val="14000"/>
                      </a:schemeClr>
                    </a:glow>
                  </a:effectLst>
                </c:spPr>
                <c:marker>
                  <c:symbol val="circle"/>
                  <c:size val="4"/>
                  <c:spPr>
                    <a:solidFill>
                      <a:schemeClr val="accent1">
                        <a:lumMod val="60000"/>
                        <a:lumMod val="60000"/>
                        <a:lumOff val="40000"/>
                      </a:schemeClr>
                    </a:solidFill>
                    <a:ln>
                      <a:noFill/>
                    </a:ln>
                    <a:effectLst>
                      <a:glow rad="63500">
                        <a:schemeClr val="accent1">
                          <a:lumMod val="6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Returns'!$H$4:$H$339</c15:sqref>
                        </c15:formulaRef>
                      </c:ext>
                    </c:extLst>
                    <c:numCache>
                      <c:formatCode>0.00%</c:formatCode>
                      <c:ptCount val="336"/>
                      <c:pt idx="1">
                        <c:v>0</c:v>
                      </c:pt>
                      <c:pt idx="2">
                        <c:v>7.666666666666622E-3</c:v>
                      </c:pt>
                      <c:pt idx="3">
                        <c:v>-6.0416804498841375E-3</c:v>
                      </c:pt>
                      <c:pt idx="4">
                        <c:v>4.5002289718630906E-2</c:v>
                      </c:pt>
                      <c:pt idx="5">
                        <c:v>3.9319659256371618E-2</c:v>
                      </c:pt>
                      <c:pt idx="6">
                        <c:v>7.5699772447170577E-2</c:v>
                      </c:pt>
                      <c:pt idx="7">
                        <c:v>1.9313719178523064E-2</c:v>
                      </c:pt>
                      <c:pt idx="8">
                        <c:v>5.5114527795368573E-2</c:v>
                      </c:pt>
                      <c:pt idx="9">
                        <c:v>-2.5683146372162284E-2</c:v>
                      </c:pt>
                      <c:pt idx="10">
                        <c:v>6.1157033317330592E-2</c:v>
                      </c:pt>
                      <c:pt idx="11">
                        <c:v>4.3796175171428212E-2</c:v>
                      </c:pt>
                      <c:pt idx="12">
                        <c:v>-4.3691120961980898E-4</c:v>
                      </c:pt>
                      <c:pt idx="13">
                        <c:v>7.6464002801266348E-2</c:v>
                      </c:pt>
                      <c:pt idx="14">
                        <c:v>5.6249732018343858E-2</c:v>
                      </c:pt>
                      <c:pt idx="15">
                        <c:v>4.427656091930407E-2</c:v>
                      </c:pt>
                      <c:pt idx="16">
                        <c:v>0.1134724783072015</c:v>
                      </c:pt>
                      <c:pt idx="17">
                        <c:v>-2.4203919270326595E-2</c:v>
                      </c:pt>
                      <c:pt idx="18">
                        <c:v>-7.3976095855075086E-2</c:v>
                      </c:pt>
                      <c:pt idx="19">
                        <c:v>3.833224994563339E-2</c:v>
                      </c:pt>
                      <c:pt idx="20">
                        <c:v>4.3254973095629826E-2</c:v>
                      </c:pt>
                      <c:pt idx="21">
                        <c:v>-4.7746183945843367E-2</c:v>
                      </c:pt>
                      <c:pt idx="22">
                        <c:v>5.656046377496908E-2</c:v>
                      </c:pt>
                      <c:pt idx="23">
                        <c:v>-1.8592576049851865E-2</c:v>
                      </c:pt>
                      <c:pt idx="24">
                        <c:v>3.6863206571295361E-2</c:v>
                      </c:pt>
                      <c:pt idx="25">
                        <c:v>1.530729673072076E-2</c:v>
                      </c:pt>
                      <c:pt idx="26">
                        <c:v>9.2689613442902409E-4</c:v>
                      </c:pt>
                      <c:pt idx="27">
                        <c:v>-1.7718830954719954E-2</c:v>
                      </c:pt>
                      <c:pt idx="28">
                        <c:v>9.1101223487958558E-2</c:v>
                      </c:pt>
                      <c:pt idx="29">
                        <c:v>-4.6446978710163065E-3</c:v>
                      </c:pt>
                      <c:pt idx="30">
                        <c:v>8.087141097891401E-2</c:v>
                      </c:pt>
                      <c:pt idx="31">
                        <c:v>-3.2195603638681111E-2</c:v>
                      </c:pt>
                      <c:pt idx="32">
                        <c:v>5.5739367250766149E-2</c:v>
                      </c:pt>
                      <c:pt idx="33">
                        <c:v>-3.5314148864536515E-2</c:v>
                      </c:pt>
                      <c:pt idx="34">
                        <c:v>4.5532660743531503E-2</c:v>
                      </c:pt>
                      <c:pt idx="35">
                        <c:v>3.6007591568072816E-2</c:v>
                      </c:pt>
                      <c:pt idx="36">
                        <c:v>8.7663847759320672E-3</c:v>
                      </c:pt>
                      <c:pt idx="37">
                        <c:v>4.9943179414186231E-2</c:v>
                      </c:pt>
                      <c:pt idx="38">
                        <c:v>4.9848709343215468E-2</c:v>
                      </c:pt>
                      <c:pt idx="39">
                        <c:v>8.633169401115446E-3</c:v>
                      </c:pt>
                      <c:pt idx="40">
                        <c:v>4.9255730048184489E-2</c:v>
                      </c:pt>
                      <c:pt idx="41">
                        <c:v>2.8807975856802247E-2</c:v>
                      </c:pt>
                      <c:pt idx="42">
                        <c:v>-2.7369730164930568E-2</c:v>
                      </c:pt>
                      <c:pt idx="43">
                        <c:v>-0.13826709399083004</c:v>
                      </c:pt>
                      <c:pt idx="44">
                        <c:v>6.7140921530356001E-2</c:v>
                      </c:pt>
                      <c:pt idx="45">
                        <c:v>7.1200294203860995E-2</c:v>
                      </c:pt>
                      <c:pt idx="46">
                        <c:v>3.2098441261325522E-2</c:v>
                      </c:pt>
                      <c:pt idx="47">
                        <c:v>9.083803194915821E-2</c:v>
                      </c:pt>
                      <c:pt idx="48">
                        <c:v>2.7899528246220461E-2</c:v>
                      </c:pt>
                      <c:pt idx="49">
                        <c:v>-5.1432388699518515E-2</c:v>
                      </c:pt>
                      <c:pt idx="50">
                        <c:v>2.6427429904994269E-2</c:v>
                      </c:pt>
                      <c:pt idx="51">
                        <c:v>4.651966999165548E-2</c:v>
                      </c:pt>
                      <c:pt idx="52">
                        <c:v>-3.3332292381420325E-2</c:v>
                      </c:pt>
                      <c:pt idx="53">
                        <c:v>5.475383469069995E-2</c:v>
                      </c:pt>
                      <c:pt idx="54">
                        <c:v>-3.0986430273651118E-2</c:v>
                      </c:pt>
                      <c:pt idx="55">
                        <c:v>-1.9734393199413915E-3</c:v>
                      </c:pt>
                      <c:pt idx="56">
                        <c:v>6.3446235563882165E-3</c:v>
                      </c:pt>
                      <c:pt idx="57">
                        <c:v>2.1986847971180879E-3</c:v>
                      </c:pt>
                      <c:pt idx="58">
                        <c:v>5.6714348322298554E-2</c:v>
                      </c:pt>
                      <c:pt idx="59">
                        <c:v>0.11698968850224073</c:v>
                      </c:pt>
                      <c:pt idx="60">
                        <c:v>-4.1594697137319017E-2</c:v>
                      </c:pt>
                      <c:pt idx="61">
                        <c:v>3.6047395982845808E-2</c:v>
                      </c:pt>
                      <c:pt idx="62">
                        <c:v>8.4366041772942477E-2</c:v>
                      </c:pt>
                      <c:pt idx="63">
                        <c:v>-5.5461193191994711E-2</c:v>
                      </c:pt>
                      <c:pt idx="64">
                        <c:v>-5.2311493717361233E-2</c:v>
                      </c:pt>
                      <c:pt idx="65">
                        <c:v>5.8512964185283983E-2</c:v>
                      </c:pt>
                      <c:pt idx="66">
                        <c:v>-3.0051970420822898E-2</c:v>
                      </c:pt>
                      <c:pt idx="67">
                        <c:v>5.8462355642674456E-2</c:v>
                      </c:pt>
                      <c:pt idx="68">
                        <c:v>-4.1902251965434664E-2</c:v>
                      </c:pt>
                      <c:pt idx="69">
                        <c:v>-3.0707397935085517E-2</c:v>
                      </c:pt>
                      <c:pt idx="70">
                        <c:v>-8.3329202530813024E-2</c:v>
                      </c:pt>
                      <c:pt idx="71">
                        <c:v>1.1482005097093349E-2</c:v>
                      </c:pt>
                      <c:pt idx="72">
                        <c:v>1.0229333613134908E-2</c:v>
                      </c:pt>
                      <c:pt idx="73">
                        <c:v>-0.14369055261241606</c:v>
                      </c:pt>
                      <c:pt idx="74">
                        <c:v>-6.2145860585827592E-2</c:v>
                      </c:pt>
                      <c:pt idx="75">
                        <c:v>8.3563563019936102E-2</c:v>
                      </c:pt>
                      <c:pt idx="76">
                        <c:v>1.4189660732419122E-2</c:v>
                      </c:pt>
                      <c:pt idx="77">
                        <c:v>-5.7719644821653142E-2</c:v>
                      </c:pt>
                      <c:pt idx="78">
                        <c:v>-1.0723404593460941E-2</c:v>
                      </c:pt>
                      <c:pt idx="79">
                        <c:v>-8.8152599938775097E-2</c:v>
                      </c:pt>
                      <c:pt idx="80">
                        <c:v>-8.974116554441619E-2</c:v>
                      </c:pt>
                      <c:pt idx="81">
                        <c:v>8.7449222995838877E-2</c:v>
                      </c:pt>
                      <c:pt idx="82">
                        <c:v>3.7065003999791679E-2</c:v>
                      </c:pt>
                      <c:pt idx="83">
                        <c:v>2.599468104163271E-2</c:v>
                      </c:pt>
                      <c:pt idx="84">
                        <c:v>4.5749653817105376E-3</c:v>
                      </c:pt>
                      <c:pt idx="85">
                        <c:v>-4.9321120245621991E-2</c:v>
                      </c:pt>
                      <c:pt idx="86">
                        <c:v>5.0835238389538795E-2</c:v>
                      </c:pt>
                      <c:pt idx="87">
                        <c:v>-3.8983169917583681E-2</c:v>
                      </c:pt>
                      <c:pt idx="88">
                        <c:v>-1.3693472469839095E-2</c:v>
                      </c:pt>
                      <c:pt idx="89">
                        <c:v>-0.10929778523052457</c:v>
                      </c:pt>
                      <c:pt idx="90">
                        <c:v>-7.3996047191023637E-2</c:v>
                      </c:pt>
                      <c:pt idx="91">
                        <c:v>5.8571791907892186E-5</c:v>
                      </c:pt>
                      <c:pt idx="92">
                        <c:v>-6.8158168371015501E-2</c:v>
                      </c:pt>
                      <c:pt idx="93">
                        <c:v>6.5038468358662102E-2</c:v>
                      </c:pt>
                      <c:pt idx="94">
                        <c:v>6.3717662714338805E-2</c:v>
                      </c:pt>
                      <c:pt idx="95">
                        <c:v>-4.5378726817460413E-2</c:v>
                      </c:pt>
                      <c:pt idx="96">
                        <c:v>-1.3571926436066559E-2</c:v>
                      </c:pt>
                      <c:pt idx="97">
                        <c:v>0</c:v>
                      </c:pt>
                      <c:pt idx="98">
                        <c:v>1.4000644375336085E-2</c:v>
                      </c:pt>
                      <c:pt idx="99">
                        <c:v>5.1530329766836781E-2</c:v>
                      </c:pt>
                      <c:pt idx="100">
                        <c:v>4.6314098095756276E-2</c:v>
                      </c:pt>
                      <c:pt idx="101">
                        <c:v>4.4620392014932786E-2</c:v>
                      </c:pt>
                      <c:pt idx="102">
                        <c:v>4.1972885812393643E-3</c:v>
                      </c:pt>
                      <c:pt idx="103">
                        <c:v>9.3416561951500561E-3</c:v>
                      </c:pt>
                      <c:pt idx="104">
                        <c:v>9.2551973237334651E-3</c:v>
                      </c:pt>
                      <c:pt idx="105">
                        <c:v>1.4498536227782518E-2</c:v>
                      </c:pt>
                      <c:pt idx="106">
                        <c:v>2.858266564226393E-2</c:v>
                      </c:pt>
                      <c:pt idx="107">
                        <c:v>6.9193113812389536E-3</c:v>
                      </c:pt>
                      <c:pt idx="108">
                        <c:v>-4.2362076255048255E-3</c:v>
                      </c:pt>
                      <c:pt idx="109">
                        <c:v>2.0287269959819051E-2</c:v>
                      </c:pt>
                      <c:pt idx="110">
                        <c:v>6.2340854257132202E-3</c:v>
                      </c:pt>
                      <c:pt idx="111">
                        <c:v>0</c:v>
                      </c:pt>
                      <c:pt idx="112">
                        <c:v>-3.9613165587026704E-3</c:v>
                      </c:pt>
                      <c:pt idx="113">
                        <c:v>3.8553792365129576E-2</c:v>
                      </c:pt>
                      <c:pt idx="114">
                        <c:v>-3.3716955035361096E-2</c:v>
                      </c:pt>
                      <c:pt idx="115">
                        <c:v>-2.5116806654603398E-2</c:v>
                      </c:pt>
                      <c:pt idx="116">
                        <c:v>2.2397983211901219E-2</c:v>
                      </c:pt>
                      <c:pt idx="117">
                        <c:v>4.0942406958312499E-2</c:v>
                      </c:pt>
                      <c:pt idx="118">
                        <c:v>5.3024091210807776E-2</c:v>
                      </c:pt>
                      <c:pt idx="119">
                        <c:v>2.128369609551713E-2</c:v>
                      </c:pt>
                      <c:pt idx="120">
                        <c:v>-2.9299640562030251E-2</c:v>
                      </c:pt>
                      <c:pt idx="121">
                        <c:v>2.0683722321962892E-2</c:v>
                      </c:pt>
                      <c:pt idx="122">
                        <c:v>-6.699891287087599E-2</c:v>
                      </c:pt>
                      <c:pt idx="123">
                        <c:v>-4.4853499515592664E-2</c:v>
                      </c:pt>
                      <c:pt idx="124">
                        <c:v>4.0873951422775445E-2</c:v>
                      </c:pt>
                      <c:pt idx="125">
                        <c:v>1.0363717769759516E-2</c:v>
                      </c:pt>
                      <c:pt idx="126">
                        <c:v>2.8269794721407615E-2</c:v>
                      </c:pt>
                      <c:pt idx="127">
                        <c:v>-3.7734174968945662E-2</c:v>
                      </c:pt>
                      <c:pt idx="128">
                        <c:v>-7.7979899100333429E-3</c:v>
                      </c:pt>
                      <c:pt idx="129">
                        <c:v>-2.0935944241619622E-2</c:v>
                      </c:pt>
                      <c:pt idx="130">
                        <c:v>5.2421760590117605E-2</c:v>
                      </c:pt>
                      <c:pt idx="131">
                        <c:v>-2.8539954131985494E-3</c:v>
                      </c:pt>
                      <c:pt idx="132">
                        <c:v>2.3928161505076317E-2</c:v>
                      </c:pt>
                      <c:pt idx="133">
                        <c:v>1.5964671298332282E-2</c:v>
                      </c:pt>
                      <c:pt idx="134">
                        <c:v>9.6493008399261108E-3</c:v>
                      </c:pt>
                      <c:pt idx="135">
                        <c:v>-1.3373714051761777E-3</c:v>
                      </c:pt>
                      <c:pt idx="136">
                        <c:v>-6.4085651203577024E-2</c:v>
                      </c:pt>
                      <c:pt idx="137">
                        <c:v>-9.5574495339207956E-3</c:v>
                      </c:pt>
                      <c:pt idx="138">
                        <c:v>-1.2872834726660055E-2</c:v>
                      </c:pt>
                      <c:pt idx="139">
                        <c:v>6.2273417959412504E-3</c:v>
                      </c:pt>
                      <c:pt idx="140">
                        <c:v>6.6501157431874177E-3</c:v>
                      </c:pt>
                      <c:pt idx="141">
                        <c:v>4.9069572067344898E-3</c:v>
                      </c:pt>
                      <c:pt idx="142">
                        <c:v>6.3213114892862136E-3</c:v>
                      </c:pt>
                      <c:pt idx="143">
                        <c:v>-7.9035570475268335E-3</c:v>
                      </c:pt>
                      <c:pt idx="144">
                        <c:v>9.0166507917373209E-3</c:v>
                      </c:pt>
                      <c:pt idx="145">
                        <c:v>-7.888898181392625E-3</c:v>
                      </c:pt>
                      <c:pt idx="146">
                        <c:v>-1.4376636159864337E-2</c:v>
                      </c:pt>
                      <c:pt idx="147">
                        <c:v>6.5517147856424054E-2</c:v>
                      </c:pt>
                      <c:pt idx="148">
                        <c:v>2.7507420398077392E-2</c:v>
                      </c:pt>
                      <c:pt idx="149">
                        <c:v>-1.4086498587045604E-2</c:v>
                      </c:pt>
                      <c:pt idx="150">
                        <c:v>-3.1851546777485314E-2</c:v>
                      </c:pt>
                      <c:pt idx="151">
                        <c:v>1.7590568067733136E-2</c:v>
                      </c:pt>
                      <c:pt idx="152">
                        <c:v>3.6491496272682715E-2</c:v>
                      </c:pt>
                      <c:pt idx="153">
                        <c:v>1.4666362454872336E-2</c:v>
                      </c:pt>
                      <c:pt idx="154">
                        <c:v>-3.8576799439876498E-2</c:v>
                      </c:pt>
                      <c:pt idx="155">
                        <c:v>-3.045104787392621E-3</c:v>
                      </c:pt>
                      <c:pt idx="156">
                        <c:v>-8.4337972641612607E-2</c:v>
                      </c:pt>
                      <c:pt idx="157">
                        <c:v>-3.4912091909030447E-2</c:v>
                      </c:pt>
                      <c:pt idx="158">
                        <c:v>2.4006042543577291E-3</c:v>
                      </c:pt>
                      <c:pt idx="159">
                        <c:v>4.9329180384613279E-2</c:v>
                      </c:pt>
                      <c:pt idx="160">
                        <c:v>2.9578451315651927E-2</c:v>
                      </c:pt>
                      <c:pt idx="161">
                        <c:v>-6.327879018147349E-2</c:v>
                      </c:pt>
                      <c:pt idx="162">
                        <c:v>-3.0471999382992766E-2</c:v>
                      </c:pt>
                      <c:pt idx="163">
                        <c:v>-2.6365333743764178E-3</c:v>
                      </c:pt>
                      <c:pt idx="164">
                        <c:v>-0.11390080917635848</c:v>
                      </c:pt>
                      <c:pt idx="165">
                        <c:v>-0.17603090308086658</c:v>
                      </c:pt>
                      <c:pt idx="166">
                        <c:v>-8.6103590766600194E-2</c:v>
                      </c:pt>
                      <c:pt idx="167">
                        <c:v>2.6359270332156622E-2</c:v>
                      </c:pt>
                      <c:pt idx="168">
                        <c:v>-3.9208111391537605E-2</c:v>
                      </c:pt>
                      <c:pt idx="169">
                        <c:v>-7.3594105988987094E-2</c:v>
                      </c:pt>
                      <c:pt idx="170">
                        <c:v>5.0054235436789649E-2</c:v>
                      </c:pt>
                      <c:pt idx="171">
                        <c:v>9.3570484479565175E-2</c:v>
                      </c:pt>
                      <c:pt idx="172">
                        <c:v>6.2300384121227591E-2</c:v>
                      </c:pt>
                      <c:pt idx="173">
                        <c:v>1.50743105563704E-2</c:v>
                      </c:pt>
                      <c:pt idx="174">
                        <c:v>3.6348512925753362E-2</c:v>
                      </c:pt>
                      <c:pt idx="175">
                        <c:v>-3.9646790194905615E-3</c:v>
                      </c:pt>
                      <c:pt idx="176">
                        <c:v>3.8320391536491492E-2</c:v>
                      </c:pt>
                      <c:pt idx="177">
                        <c:v>-1.2023647560682235E-2</c:v>
                      </c:pt>
                      <c:pt idx="178">
                        <c:v>4.1901437294030938E-2</c:v>
                      </c:pt>
                      <c:pt idx="179">
                        <c:v>3.4037544699110238E-2</c:v>
                      </c:pt>
                      <c:pt idx="180">
                        <c:v>-3.4936149868690973E-2</c:v>
                      </c:pt>
                      <c:pt idx="181">
                        <c:v>3.405501931588692E-2</c:v>
                      </c:pt>
                      <c:pt idx="182">
                        <c:v>5.6020766640078844E-2</c:v>
                      </c:pt>
                      <c:pt idx="183">
                        <c:v>4.0104836216454054E-2</c:v>
                      </c:pt>
                      <c:pt idx="184">
                        <c:v>-8.0809042672789391E-2</c:v>
                      </c:pt>
                      <c:pt idx="185">
                        <c:v>-4.8408468017806051E-2</c:v>
                      </c:pt>
                      <c:pt idx="186">
                        <c:v>6.309875310478881E-2</c:v>
                      </c:pt>
                      <c:pt idx="187">
                        <c:v>-3.4405506845195118E-2</c:v>
                      </c:pt>
                      <c:pt idx="188">
                        <c:v>9.8169291292482683E-2</c:v>
                      </c:pt>
                      <c:pt idx="189">
                        <c:v>3.3951613026067209E-2</c:v>
                      </c:pt>
                      <c:pt idx="190">
                        <c:v>4.5981942526400919E-3</c:v>
                      </c:pt>
                      <c:pt idx="191">
                        <c:v>5.6056444071120162E-2</c:v>
                      </c:pt>
                      <c:pt idx="192">
                        <c:v>7.630575014748721E-3</c:v>
                      </c:pt>
                      <c:pt idx="193">
                        <c:v>1.0821915117977109E-2</c:v>
                      </c:pt>
                      <c:pt idx="194">
                        <c:v>-1.6219975020868804E-2</c:v>
                      </c:pt>
                      <c:pt idx="195">
                        <c:v>2.808806007157864E-2</c:v>
                      </c:pt>
                      <c:pt idx="196">
                        <c:v>-2.0059529998614548E-2</c:v>
                      </c:pt>
                      <c:pt idx="197">
                        <c:v>-2.7625600267460831E-2</c:v>
                      </c:pt>
                      <c:pt idx="198">
                        <c:v>-6.0151154421593644E-3</c:v>
                      </c:pt>
                      <c:pt idx="199">
                        <c:v>-3.4978712029805611E-2</c:v>
                      </c:pt>
                      <c:pt idx="200">
                        <c:v>-5.3523552473230519E-2</c:v>
                      </c:pt>
                      <c:pt idx="201">
                        <c:v>7.7571910286827542E-2</c:v>
                      </c:pt>
                      <c:pt idx="202">
                        <c:v>-2.2336141805970204E-2</c:v>
                      </c:pt>
                      <c:pt idx="203">
                        <c:v>1.3893977118285888E-2</c:v>
                      </c:pt>
                      <c:pt idx="204">
                        <c:v>6.2987206479501137E-2</c:v>
                      </c:pt>
                      <c:pt idx="205">
                        <c:v>3.4327529984394131E-2</c:v>
                      </c:pt>
                      <c:pt idx="206">
                        <c:v>3.0813413041444984E-2</c:v>
                      </c:pt>
                      <c:pt idx="207">
                        <c:v>-5.3379877967085765E-3</c:v>
                      </c:pt>
                      <c:pt idx="208">
                        <c:v>-6.2257288756398438E-2</c:v>
                      </c:pt>
                      <c:pt idx="209">
                        <c:v>2.9773738276799213E-2</c:v>
                      </c:pt>
                      <c:pt idx="210">
                        <c:v>3.9402922965625174E-3</c:v>
                      </c:pt>
                      <c:pt idx="211">
                        <c:v>2.7267820644510395E-2</c:v>
                      </c:pt>
                      <c:pt idx="212">
                        <c:v>1.6268253383791252E-2</c:v>
                      </c:pt>
                      <c:pt idx="213">
                        <c:v>-9.1322635924598571E-3</c:v>
                      </c:pt>
                      <c:pt idx="214">
                        <c:v>2.9856706674757164E-3</c:v>
                      </c:pt>
                      <c:pt idx="215">
                        <c:v>3.267676006520294E-3</c:v>
                      </c:pt>
                      <c:pt idx="216">
                        <c:v>3.4727400929120349E-2</c:v>
                      </c:pt>
                      <c:pt idx="217">
                        <c:v>2.1565080833999967E-3</c:v>
                      </c:pt>
                      <c:pt idx="218">
                        <c:v>2.3234874504168498E-2</c:v>
                      </c:pt>
                      <c:pt idx="219">
                        <c:v>7.0731591873656524E-3</c:v>
                      </c:pt>
                      <c:pt idx="220">
                        <c:v>4.5821249708995924E-3</c:v>
                      </c:pt>
                      <c:pt idx="221">
                        <c:v>-1.0107013912505288E-2</c:v>
                      </c:pt>
                      <c:pt idx="222">
                        <c:v>3.286278962174629E-2</c:v>
                      </c:pt>
                      <c:pt idx="223">
                        <c:v>-9.1100908568609619E-3</c:v>
                      </c:pt>
                      <c:pt idx="224">
                        <c:v>1.4071851371431804E-2</c:v>
                      </c:pt>
                      <c:pt idx="225">
                        <c:v>2.0360497259374034E-2</c:v>
                      </c:pt>
                      <c:pt idx="226">
                        <c:v>2.0960380367514086E-2</c:v>
                      </c:pt>
                      <c:pt idx="227">
                        <c:v>1.8300842815107209E-2</c:v>
                      </c:pt>
                      <c:pt idx="228">
                        <c:v>-2.9930850378099973E-2</c:v>
                      </c:pt>
                      <c:pt idx="229">
                        <c:v>3.0602790219476979E-2</c:v>
                      </c:pt>
                      <c:pt idx="230">
                        <c:v>1.1281293036518229E-2</c:v>
                      </c:pt>
                      <c:pt idx="231">
                        <c:v>7.0933808552571878E-3</c:v>
                      </c:pt>
                      <c:pt idx="232">
                        <c:v>2.086082579484588E-2</c:v>
                      </c:pt>
                      <c:pt idx="233">
                        <c:v>2.0434622921690179E-2</c:v>
                      </c:pt>
                      <c:pt idx="234">
                        <c:v>-8.9718648345015195E-3</c:v>
                      </c:pt>
                      <c:pt idx="235">
                        <c:v>3.6939185203434942E-2</c:v>
                      </c:pt>
                      <c:pt idx="236">
                        <c:v>-4.1994271048738608E-3</c:v>
                      </c:pt>
                      <c:pt idx="237">
                        <c:v>2.3883071953140288E-2</c:v>
                      </c:pt>
                      <c:pt idx="238">
                        <c:v>3.2786008683463826E-2</c:v>
                      </c:pt>
                      <c:pt idx="239">
                        <c:v>-3.4147291984470505E-3</c:v>
                      </c:pt>
                      <c:pt idx="240">
                        <c:v>-1.1205100000000001E-2</c:v>
                      </c:pt>
                      <c:pt idx="241">
                        <c:v>4.1032923613699458E-2</c:v>
                      </c:pt>
                      <c:pt idx="242">
                        <c:v>-1.0756699999999999E-2</c:v>
                      </c:pt>
                      <c:pt idx="243">
                        <c:v>-8.9326561221932555E-4</c:v>
                      </c:pt>
                      <c:pt idx="244">
                        <c:v>2.0950172852848708E-2</c:v>
                      </c:pt>
                      <c:pt idx="245">
                        <c:v>-2.496169244597193E-2</c:v>
                      </c:pt>
                      <c:pt idx="246">
                        <c:v>1.7959324464111526E-2</c:v>
                      </c:pt>
                      <c:pt idx="247">
                        <c:v>-5.4344246717810567E-2</c:v>
                      </c:pt>
                      <c:pt idx="248">
                        <c:v>-1.3728612805074685E-2</c:v>
                      </c:pt>
                      <c:pt idx="249">
                        <c:v>5.5660468706603024E-2</c:v>
                      </c:pt>
                      <c:pt idx="250">
                        <c:v>-5.0133252965970663E-3</c:v>
                      </c:pt>
                      <c:pt idx="251">
                        <c:v>-1.7794243540491677E-2</c:v>
                      </c:pt>
                      <c:pt idx="252">
                        <c:v>-4.6366706456823795E-2</c:v>
                      </c:pt>
                      <c:pt idx="253">
                        <c:v>-3.9361549570047184E-3</c:v>
                      </c:pt>
                      <c:pt idx="254">
                        <c:v>5.394098155582229E-2</c:v>
                      </c:pt>
                      <c:pt idx="255">
                        <c:v>-3.0206192759080481E-3</c:v>
                      </c:pt>
                      <c:pt idx="256">
                        <c:v>2.0574739877131386E-2</c:v>
                      </c:pt>
                      <c:pt idx="257">
                        <c:v>5.6432127112154111E-3</c:v>
                      </c:pt>
                      <c:pt idx="258">
                        <c:v>3.0547391830093126E-2</c:v>
                      </c:pt>
                      <c:pt idx="259">
                        <c:v>1.1798685002035573E-4</c:v>
                      </c:pt>
                      <c:pt idx="260">
                        <c:v>6.34051094267142E-4</c:v>
                      </c:pt>
                      <c:pt idx="261">
                        <c:v>-3.0526720497072762E-2</c:v>
                      </c:pt>
                      <c:pt idx="262">
                        <c:v>1.2595403637715061E-2</c:v>
                      </c:pt>
                      <c:pt idx="263">
                        <c:v>1.6124020689280393E-2</c:v>
                      </c:pt>
                      <c:pt idx="264">
                        <c:v>1.4002888761122483E-2</c:v>
                      </c:pt>
                      <c:pt idx="265">
                        <c:v>3.1021531757764557E-2</c:v>
                      </c:pt>
                      <c:pt idx="266">
                        <c:v>2.8338336481693463E-3</c:v>
                      </c:pt>
                      <c:pt idx="267">
                        <c:v>6.9056093127425541E-3</c:v>
                      </c:pt>
                      <c:pt idx="268">
                        <c:v>6.2006622614215632E-3</c:v>
                      </c:pt>
                      <c:pt idx="269">
                        <c:v>6.2069037232117038E-3</c:v>
                      </c:pt>
                      <c:pt idx="270">
                        <c:v>2.0480766325204899E-2</c:v>
                      </c:pt>
                      <c:pt idx="271">
                        <c:v>1.3628709087770126E-2</c:v>
                      </c:pt>
                      <c:pt idx="272">
                        <c:v>7.2097759745532661E-3</c:v>
                      </c:pt>
                      <c:pt idx="273">
                        <c:v>2.4379499631937054E-2</c:v>
                      </c:pt>
                      <c:pt idx="274">
                        <c:v>3.1911380286724488E-2</c:v>
                      </c:pt>
                      <c:pt idx="275">
                        <c:v>6.1563573603473642E-3</c:v>
                      </c:pt>
                      <c:pt idx="276">
                        <c:v>4.6094899400379516E-2</c:v>
                      </c:pt>
                      <c:pt idx="277">
                        <c:v>-3.1480684218293739E-2</c:v>
                      </c:pt>
                      <c:pt idx="278">
                        <c:v>-2.6585518468125846E-2</c:v>
                      </c:pt>
                      <c:pt idx="279">
                        <c:v>6.6306097338258039E-3</c:v>
                      </c:pt>
                      <c:pt idx="280">
                        <c:v>1.5957080379876473E-2</c:v>
                      </c:pt>
                      <c:pt idx="281">
                        <c:v>1.4296240980612319E-2</c:v>
                      </c:pt>
                      <c:pt idx="282">
                        <c:v>2.8369920943364504E-2</c:v>
                      </c:pt>
                      <c:pt idx="283">
                        <c:v>2.8880584616423979E-2</c:v>
                      </c:pt>
                      <c:pt idx="284">
                        <c:v>5.1300602170193579E-3</c:v>
                      </c:pt>
                      <c:pt idx="285">
                        <c:v>-5.9410049770761392E-2</c:v>
                      </c:pt>
                      <c:pt idx="286">
                        <c:v>3.23887872747304E-2</c:v>
                      </c:pt>
                      <c:pt idx="287">
                        <c:v>-8.1954154272298921E-2</c:v>
                      </c:pt>
                      <c:pt idx="288">
                        <c:v>7.7395782381974254E-2</c:v>
                      </c:pt>
                      <c:pt idx="289">
                        <c:v>1.5212798612274231E-2</c:v>
                      </c:pt>
                      <c:pt idx="290">
                        <c:v>2.9557462642795997E-2</c:v>
                      </c:pt>
                      <c:pt idx="291">
                        <c:v>3.9116875675583071E-2</c:v>
                      </c:pt>
                      <c:pt idx="292">
                        <c:v>-4.3224637999701068E-2</c:v>
                      </c:pt>
                      <c:pt idx="293">
                        <c:v>5.6907972833987762E-2</c:v>
                      </c:pt>
                      <c:pt idx="294">
                        <c:v>1.3353708952768552E-2</c:v>
                      </c:pt>
                      <c:pt idx="295">
                        <c:v>-1.1548336051412101E-2</c:v>
                      </c:pt>
                      <c:pt idx="296">
                        <c:v>8.2645720232310486E-3</c:v>
                      </c:pt>
                      <c:pt idx="297">
                        <c:v>2.6139422019205376E-2</c:v>
                      </c:pt>
                      <c:pt idx="298">
                        <c:v>3.2041655150882926E-2</c:v>
                      </c:pt>
                      <c:pt idx="299">
                        <c:v>3.1872497042072963E-2</c:v>
                      </c:pt>
                      <c:pt idx="300">
                        <c:v>4.1062218264967792E-3</c:v>
                      </c:pt>
                      <c:pt idx="301">
                        <c:v>-6.9430653049387378E-2</c:v>
                      </c:pt>
                      <c:pt idx="302">
                        <c:v>-9.1787095640454855E-2</c:v>
                      </c:pt>
                      <c:pt idx="303">
                        <c:v>0.12212537917886067</c:v>
                      </c:pt>
                      <c:pt idx="304">
                        <c:v>4.012284244832439E-2</c:v>
                      </c:pt>
                      <c:pt idx="305">
                        <c:v>2.5038886005059303E-2</c:v>
                      </c:pt>
                      <c:pt idx="306">
                        <c:v>6.1033432693888924E-2</c:v>
                      </c:pt>
                      <c:pt idx="307">
                        <c:v>6.976152667563304E-2</c:v>
                      </c:pt>
                      <c:pt idx="308">
                        <c:v>-3.2377535375649524E-2</c:v>
                      </c:pt>
                      <c:pt idx="309">
                        <c:v>-3.6660091488585518E-2</c:v>
                      </c:pt>
                      <c:pt idx="310">
                        <c:v>7.5809146490881149E-2</c:v>
                      </c:pt>
                      <c:pt idx="311">
                        <c:v>3.8034750656348794E-2</c:v>
                      </c:pt>
                      <c:pt idx="312">
                        <c:v>-1.8184073001300004E-2</c:v>
                      </c:pt>
                      <c:pt idx="313">
                        <c:v>2.2277386675491204E-2</c:v>
                      </c:pt>
                      <c:pt idx="314">
                        <c:v>1.931340752874677E-2</c:v>
                      </c:pt>
                      <c:pt idx="315">
                        <c:v>5.7384526444917698E-2</c:v>
                      </c:pt>
                      <c:pt idx="316">
                        <c:v>3.0656218020506743E-3</c:v>
                      </c:pt>
                      <c:pt idx="317">
                        <c:v>3.4944016090898304E-2</c:v>
                      </c:pt>
                      <c:pt idx="318">
                        <c:v>2.0609698617223532E-2</c:v>
                      </c:pt>
                      <c:pt idx="319">
                        <c:v>3.0089100532879359E-2</c:v>
                      </c:pt>
                      <c:pt idx="320">
                        <c:v>-5.356404172396776E-2</c:v>
                      </c:pt>
                      <c:pt idx="321">
                        <c:v>6.8442716310707238E-2</c:v>
                      </c:pt>
                      <c:pt idx="322">
                        <c:v>5.9340278850688426E-3</c:v>
                      </c:pt>
                      <c:pt idx="323">
                        <c:v>3.7896098118905881E-2</c:v>
                      </c:pt>
                      <c:pt idx="324">
                        <c:v>-5.2888450644536782E-2</c:v>
                      </c:pt>
                      <c:pt idx="325">
                        <c:v>-1.8031477300879548E-2</c:v>
                      </c:pt>
                      <c:pt idx="326">
                        <c:v>3.1077128387478056E-2</c:v>
                      </c:pt>
                      <c:pt idx="327">
                        <c:v>-8.8381308472974013E-2</c:v>
                      </c:pt>
                      <c:pt idx="328">
                        <c:v>-2.6417375528779746E-3</c:v>
                      </c:pt>
                      <c:pt idx="329">
                        <c:v>-6.686817689545678E-2</c:v>
                      </c:pt>
                      <c:pt idx="330">
                        <c:v>8.2932911448164184E-2</c:v>
                      </c:pt>
                      <c:pt idx="331">
                        <c:v>-4.0304845869031908E-2</c:v>
                      </c:pt>
                      <c:pt idx="332">
                        <c:v>-8.7720875295130632E-2</c:v>
                      </c:pt>
                      <c:pt idx="333">
                        <c:v>7.3677200215162497E-2</c:v>
                      </c:pt>
                      <c:pt idx="334">
                        <c:v>4.8380303465367348E-2</c:v>
                      </c:pt>
                      <c:pt idx="335">
                        <c:v>-5.6035547300976839E-2</c:v>
                      </c:pt>
                    </c:numCache>
                  </c:numRef>
                </c:val>
                <c:smooth val="0"/>
                <c:extLst xmlns:c15="http://schemas.microsoft.com/office/drawing/2012/chart">
                  <c:ext xmlns:c16="http://schemas.microsoft.com/office/drawing/2014/chart" uri="{C3380CC4-5D6E-409C-BE32-E72D297353CC}">
                    <c16:uniqueId val="{00000006-7000-43A6-AFE6-277F268E6866}"/>
                  </c:ext>
                </c:extLst>
              </c15:ser>
            </c15:filteredLineSeries>
            <c15:filteredLineSeries>
              <c15:ser>
                <c:idx val="7"/>
                <c:order val="7"/>
                <c:spPr>
                  <a:ln w="22225" cap="rnd">
                    <a:solidFill>
                      <a:schemeClr val="accent2">
                        <a:lumMod val="60000"/>
                      </a:schemeClr>
                    </a:solidFill>
                  </a:ln>
                  <a:effectLst>
                    <a:glow rad="139700">
                      <a:schemeClr val="accent2">
                        <a:lumMod val="60000"/>
                        <a:satMod val="175000"/>
                        <a:alpha val="14000"/>
                      </a:schemeClr>
                    </a:glow>
                  </a:effectLst>
                </c:spPr>
                <c:marker>
                  <c:symbol val="circle"/>
                  <c:size val="4"/>
                  <c:spPr>
                    <a:solidFill>
                      <a:schemeClr val="accent2">
                        <a:lumMod val="60000"/>
                        <a:lumMod val="60000"/>
                        <a:lumOff val="40000"/>
                      </a:schemeClr>
                    </a:solidFill>
                    <a:ln>
                      <a:noFill/>
                    </a:ln>
                    <a:effectLst>
                      <a:glow rad="63500">
                        <a:schemeClr val="accent2">
                          <a:lumMod val="6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Returns'!$I$4:$I$339</c15:sqref>
                        </c15:formulaRef>
                      </c:ext>
                    </c:extLst>
                    <c:numCache>
                      <c:formatCode>#,##0.00</c:formatCode>
                      <c:ptCount val="336"/>
                      <c:pt idx="11" formatCode="0.00%">
                        <c:v>0.35814322666666665</c:v>
                      </c:pt>
                      <c:pt idx="12" formatCode="0.00%">
                        <c:v>0.35754983866666668</c:v>
                      </c:pt>
                      <c:pt idx="13" formatCode="0.00%">
                        <c:v>0.4613535333333334</c:v>
                      </c:pt>
                      <c:pt idx="14" formatCode="0.00%">
                        <c:v>0.53181039824749621</c:v>
                      </c:pt>
                      <c:pt idx="15" formatCode="0.00%">
                        <c:v>0.60935691487179144</c:v>
                      </c:pt>
                      <c:pt idx="16" formatCode="0.00%">
                        <c:v>0.71480450340986224</c:v>
                      </c:pt>
                      <c:pt idx="17" formatCode="0.00%">
                        <c:v>0.60999505661441566</c:v>
                      </c:pt>
                      <c:pt idx="18" formatCode="0.00%">
                        <c:v>0.38597585141102275</c:v>
                      </c:pt>
                      <c:pt idx="19" formatCode="0.00%">
                        <c:v>0.41183562733337142</c:v>
                      </c:pt>
                      <c:pt idx="20" formatCode="0.00%">
                        <c:v>0.39596650468524897</c:v>
                      </c:pt>
                      <c:pt idx="21" formatCode="0.00%">
                        <c:v>0.36435536983749328</c:v>
                      </c:pt>
                      <c:pt idx="22" formatCode="0.00%">
                        <c:v>0.35844544874094475</c:v>
                      </c:pt>
                      <c:pt idx="23" formatCode="0.00%">
                        <c:v>0.27724979276408734</c:v>
                      </c:pt>
                      <c:pt idx="24" formatCode="0.00%">
                        <c:v>0.32491218470315286</c:v>
                      </c:pt>
                      <c:pt idx="25" formatCode="0.00%">
                        <c:v>0.24964049439273039</c:v>
                      </c:pt>
                      <c:pt idx="26" formatCode="0.00%">
                        <c:v>0.1841884957890676</c:v>
                      </c:pt>
                      <c:pt idx="27" formatCode="0.00%">
                        <c:v>0.11388697548631788</c:v>
                      </c:pt>
                      <c:pt idx="28" formatCode="0.00%">
                        <c:v>9.1507392825842526E-2</c:v>
                      </c:pt>
                      <c:pt idx="29" formatCode="0.00%">
                        <c:v>0.1133859750182411</c:v>
                      </c:pt>
                      <c:pt idx="30" formatCode="0.00%">
                        <c:v>0.29956372011079369</c:v>
                      </c:pt>
                      <c:pt idx="31" formatCode="0.00%">
                        <c:v>0.21129193641125066</c:v>
                      </c:pt>
                      <c:pt idx="32" formatCode="0.00%">
                        <c:v>0.22578719055437224</c:v>
                      </c:pt>
                      <c:pt idx="33" formatCode="0.00%">
                        <c:v>0.24179030768372578</c:v>
                      </c:pt>
                      <c:pt idx="34" formatCode="0.00%">
                        <c:v>0.22882917636280165</c:v>
                      </c:pt>
                      <c:pt idx="35" formatCode="0.00%">
                        <c:v>0.29719454365659281</c:v>
                      </c:pt>
                      <c:pt idx="36" formatCode="0.00%">
                        <c:v>0.26204328773773322</c:v>
                      </c:pt>
                      <c:pt idx="37" formatCode="0.00%">
                        <c:v>0.30509624657718115</c:v>
                      </c:pt>
                      <c:pt idx="38" formatCode="0.00%">
                        <c:v>0.36888479601182622</c:v>
                      </c:pt>
                      <c:pt idx="39" formatCode="0.00%">
                        <c:v>0.40560834703608384</c:v>
                      </c:pt>
                      <c:pt idx="40" formatCode="0.00%">
                        <c:v>0.3517009976549117</c:v>
                      </c:pt>
                      <c:pt idx="41" formatCode="0.00%">
                        <c:v>0.39713001416328697</c:v>
                      </c:pt>
                      <c:pt idx="42" formatCode="0.00%">
                        <c:v>0.25721795291042415</c:v>
                      </c:pt>
                      <c:pt idx="43" formatCode="0.00%">
                        <c:v>0.11942669833040243</c:v>
                      </c:pt>
                      <c:pt idx="44" formatCode="0.00%">
                        <c:v>0.13151604979247122</c:v>
                      </c:pt>
                      <c:pt idx="45" formatCode="0.00%">
                        <c:v>0.25645081661292313</c:v>
                      </c:pt>
                      <c:pt idx="46" formatCode="0.00%">
                        <c:v>0.24030647538596228</c:v>
                      </c:pt>
                      <c:pt idx="47" formatCode="0.00%">
                        <c:v>0.30594938264496352</c:v>
                      </c:pt>
                      <c:pt idx="48" formatCode="0.00%">
                        <c:v>0.33071915816502195</c:v>
                      </c:pt>
                      <c:pt idx="49" formatCode="0.00%">
                        <c:v>0.20223371885387875</c:v>
                      </c:pt>
                      <c:pt idx="50" formatCode="0.00%">
                        <c:v>0.17541285254358563</c:v>
                      </c:pt>
                      <c:pt idx="51" formatCode="0.00%">
                        <c:v>0.21956396821476853</c:v>
                      </c:pt>
                      <c:pt idx="52" formatCode="0.00%">
                        <c:v>0.12357080517849561</c:v>
                      </c:pt>
                      <c:pt idx="53" formatCode="0.00%">
                        <c:v>0.15190652008853234</c:v>
                      </c:pt>
                      <c:pt idx="54" formatCode="0.00%">
                        <c:v>0.14762318595258495</c:v>
                      </c:pt>
                      <c:pt idx="55" formatCode="0.00%">
                        <c:v>0.32913390360975958</c:v>
                      </c:pt>
                      <c:pt idx="56" formatCode="0.00%">
                        <c:v>0.25341155127481185</c:v>
                      </c:pt>
                      <c:pt idx="57" formatCode="0.00%">
                        <c:v>0.17267276250212604</c:v>
                      </c:pt>
                      <c:pt idx="58" formatCode="0.00%">
                        <c:v>0.20064141605363162</c:v>
                      </c:pt>
                      <c:pt idx="59" formatCode="0.00%">
                        <c:v>0.22942548943246011</c:v>
                      </c:pt>
                      <c:pt idx="60" formatCode="0.00%">
                        <c:v>0.14630649802611106</c:v>
                      </c:pt>
                      <c:pt idx="61" formatCode="0.00%">
                        <c:v>0.25202236311857185</c:v>
                      </c:pt>
                      <c:pt idx="62" formatCode="0.00%">
                        <c:v>0.32269510201198992</c:v>
                      </c:pt>
                      <c:pt idx="63" formatCode="0.00%">
                        <c:v>0.19380159709292433</c:v>
                      </c:pt>
                      <c:pt idx="64" formatCode="0.00%">
                        <c:v>0.17036293178133288</c:v>
                      </c:pt>
                      <c:pt idx="65" formatCode="0.00%">
                        <c:v>0.17453409065416858</c:v>
                      </c:pt>
                      <c:pt idx="66" formatCode="0.00%">
                        <c:v>0.1756667424433529</c:v>
                      </c:pt>
                      <c:pt idx="67" formatCode="0.00%">
                        <c:v>0.24685959140145819</c:v>
                      </c:pt>
                      <c:pt idx="68" formatCode="0.00%">
                        <c:v>0.18708177961473327</c:v>
                      </c:pt>
                      <c:pt idx="69" formatCode="0.00%">
                        <c:v>0.14810526543401248</c:v>
                      </c:pt>
                      <c:pt idx="70" formatCode="0.00%">
                        <c:v>-4.0500813537018843E-3</c:v>
                      </c:pt>
                      <c:pt idx="71" formatCode="0.00%">
                        <c:v>-9.8124690802261161E-2</c:v>
                      </c:pt>
                      <c:pt idx="72" formatCode="0.00%">
                        <c:v>-4.9357417063964903E-2</c:v>
                      </c:pt>
                      <c:pt idx="73" formatCode="0.00%">
                        <c:v>-0.21427897216534275</c:v>
                      </c:pt>
                      <c:pt idx="74" formatCode="0.00%">
                        <c:v>-0.32044006360188981</c:v>
                      </c:pt>
                      <c:pt idx="75" formatCode="0.00%">
                        <c:v>-0.22041701128452063</c:v>
                      </c:pt>
                      <c:pt idx="76" formatCode="0.00%">
                        <c:v>-0.16571214951264235</c:v>
                      </c:pt>
                      <c:pt idx="77" formatCode="0.00%">
                        <c:v>-0.25732317063940946</c:v>
                      </c:pt>
                      <c:pt idx="78" formatCode="0.00%">
                        <c:v>-0.24252353442489982</c:v>
                      </c:pt>
                      <c:pt idx="79" formatCode="0.00%">
                        <c:v>-0.34744684866676989</c:v>
                      </c:pt>
                      <c:pt idx="80" formatCode="0.00%">
                        <c:v>-0.38002957196025622</c:v>
                      </c:pt>
                      <c:pt idx="81" formatCode="0.00%">
                        <c:v>-0.30445527097186498</c:v>
                      </c:pt>
                      <c:pt idx="82" formatCode="0.00%">
                        <c:v>-0.21310343998839609</c:v>
                      </c:pt>
                      <c:pt idx="83" formatCode="0.00%">
                        <c:v>-0.20181310094155869</c:v>
                      </c:pt>
                      <c:pt idx="84" formatCode="0.00%">
                        <c:v>-0.20628064360202902</c:v>
                      </c:pt>
                      <c:pt idx="85" formatCode="0.00%">
                        <c:v>-0.11880894122816632</c:v>
                      </c:pt>
                      <c:pt idx="86" formatCode="0.00%">
                        <c:v>-1.2653911311150789E-2</c:v>
                      </c:pt>
                      <c:pt idx="87" formatCode="0.00%">
                        <c:v>-0.12431883026637669</c:v>
                      </c:pt>
                      <c:pt idx="88" formatCode="0.00%">
                        <c:v>-0.14839394722305999</c:v>
                      </c:pt>
                      <c:pt idx="89" formatCode="0.00%">
                        <c:v>-0.19500879631949497</c:v>
                      </c:pt>
                      <c:pt idx="90" formatCode="0.00%">
                        <c:v>-0.24649482253416288</c:v>
                      </c:pt>
                      <c:pt idx="91" formatCode="0.00%">
                        <c:v>-0.1736015131877362</c:v>
                      </c:pt>
                      <c:pt idx="92" formatCode="0.00%">
                        <c:v>-0.1540069148934613</c:v>
                      </c:pt>
                      <c:pt idx="93" formatCode="0.00%">
                        <c:v>-0.17144160798454611</c:v>
                      </c:pt>
                      <c:pt idx="94" formatCode="0.00%">
                        <c:v>-0.15014758691326269</c:v>
                      </c:pt>
                      <c:pt idx="95" formatCode="0.00%">
                        <c:v>-0.2092676428161776</c:v>
                      </c:pt>
                      <c:pt idx="96" formatCode="0.00%">
                        <c:v>-0.22355162861825073</c:v>
                      </c:pt>
                      <c:pt idx="97" formatCode="0.00%">
                        <c:v>-0.18326956881343948</c:v>
                      </c:pt>
                      <c:pt idx="98" formatCode="0.00%">
                        <c:v>-0.21189816133942585</c:v>
                      </c:pt>
                      <c:pt idx="99" formatCode="0.00%">
                        <c:v>-0.13767068343065969</c:v>
                      </c:pt>
                      <c:pt idx="100" formatCode="0.00%">
                        <c:v>-8.5205972034704813E-2</c:v>
                      </c:pt>
                      <c:pt idx="101" formatCode="0.00%">
                        <c:v>7.2875401295987796E-2</c:v>
                      </c:pt>
                      <c:pt idx="102" formatCode="0.00%">
                        <c:v>0.16347080992341168</c:v>
                      </c:pt>
                      <c:pt idx="103" formatCode="0.00%">
                        <c:v>0.17427077507932709</c:v>
                      </c:pt>
                      <c:pt idx="104" formatCode="0.00%">
                        <c:v>0.2718240827870948</c:v>
                      </c:pt>
                      <c:pt idx="105" formatCode="0.00%">
                        <c:v>0.21147142442205324</c:v>
                      </c:pt>
                      <c:pt idx="106" formatCode="0.00%">
                        <c:v>0.17145606466826657</c:v>
                      </c:pt>
                      <c:pt idx="107" formatCode="0.00%">
                        <c:v>0.23563319515884573</c:v>
                      </c:pt>
                      <c:pt idx="108" formatCode="0.00%">
                        <c:v>0.24732743255146294</c:v>
                      </c:pt>
                      <c:pt idx="109" formatCode="0.00%">
                        <c:v>0.27263230090392243</c:v>
                      </c:pt>
                      <c:pt idx="110" formatCode="0.00%">
                        <c:v>0.26288479843339574</c:v>
                      </c:pt>
                      <c:pt idx="111" formatCode="0.00%">
                        <c:v>0.20099702565253086</c:v>
                      </c:pt>
                      <c:pt idx="112" formatCode="0.00%">
                        <c:v>0.14328909304095383</c:v>
                      </c:pt>
                      <c:pt idx="113" formatCode="0.00%">
                        <c:v>0.13664947805307515</c:v>
                      </c:pt>
                      <c:pt idx="114" formatCode="0.00%">
                        <c:v>9.373439980338949E-2</c:v>
                      </c:pt>
                      <c:pt idx="115" formatCode="0.00%">
                        <c:v>5.6394807256308743E-2</c:v>
                      </c:pt>
                      <c:pt idx="116" formatCode="0.00%">
                        <c:v>7.015145750884999E-2</c:v>
                      </c:pt>
                      <c:pt idx="117" formatCode="0.00%">
                        <c:v>9.8045974646032041E-2</c:v>
                      </c:pt>
                      <c:pt idx="118" formatCode="0.00%">
                        <c:v>0.12413800385925278</c:v>
                      </c:pt>
                      <c:pt idx="119" formatCode="0.00%">
                        <c:v>0.14017459246854735</c:v>
                      </c:pt>
                      <c:pt idx="120" formatCode="0.00%">
                        <c:v>0.11147633124123146</c:v>
                      </c:pt>
                      <c:pt idx="121" formatCode="0.00%">
                        <c:v>0.11190821687772035</c:v>
                      </c:pt>
                      <c:pt idx="122" formatCode="0.00%">
                        <c:v>3.0984330744287192E-2</c:v>
                      </c:pt>
                      <c:pt idx="123" formatCode="0.00%">
                        <c:v>-1.5258924435335386E-2</c:v>
                      </c:pt>
                      <c:pt idx="124" formatCode="0.00%">
                        <c:v>2.9067797758595137E-2</c:v>
                      </c:pt>
                      <c:pt idx="125" formatCode="0.00%">
                        <c:v>1.1352070774288681E-3</c:v>
                      </c:pt>
                      <c:pt idx="126" formatCode="0.00%">
                        <c:v>6.5357711939935781E-2</c:v>
                      </c:pt>
                      <c:pt idx="127" formatCode="0.00%">
                        <c:v>5.1569382497160365E-2</c:v>
                      </c:pt>
                      <c:pt idx="128" formatCode="0.00%">
                        <c:v>2.0511847827559215E-2</c:v>
                      </c:pt>
                      <c:pt idx="129" formatCode="0.00%">
                        <c:v>-4.0152018013093205E-2</c:v>
                      </c:pt>
                      <c:pt idx="130" formatCode="0.00%">
                        <c:v>-4.0701051824934664E-2</c:v>
                      </c:pt>
                      <c:pt idx="131" formatCode="0.00%">
                        <c:v>-6.337375497706621E-2</c:v>
                      </c:pt>
                      <c:pt idx="132" formatCode="0.00%">
                        <c:v>-1.2014387592260145E-2</c:v>
                      </c:pt>
                      <c:pt idx="133" formatCode="0.00%">
                        <c:v>-1.6582261472876558E-2</c:v>
                      </c:pt>
                      <c:pt idx="134" formatCode="0.00%">
                        <c:v>6.4207797648660803E-2</c:v>
                      </c:pt>
                      <c:pt idx="135" formatCode="0.00%">
                        <c:v>0.11269271889906274</c:v>
                      </c:pt>
                      <c:pt idx="136" formatCode="0.00%">
                        <c:v>4.9105849508834787E-4</c:v>
                      </c:pt>
                      <c:pt idx="137" formatCode="0.00%">
                        <c:v>-1.9235451287063943E-2</c:v>
                      </c:pt>
                      <c:pt idx="138" formatCode="0.00%">
                        <c:v>-5.8477324004360343E-2</c:v>
                      </c:pt>
                      <c:pt idx="139" formatCode="0.00%">
                        <c:v>-1.5463466680716742E-2</c:v>
                      </c:pt>
                      <c:pt idx="140" formatCode="0.00%">
                        <c:v>-1.1269830733482422E-3</c:v>
                      </c:pt>
                      <c:pt idx="141" formatCode="0.00%">
                        <c:v>2.5238786136573488E-2</c:v>
                      </c:pt>
                      <c:pt idx="142" formatCode="0.00%">
                        <c:v>-1.9670935655938027E-2</c:v>
                      </c:pt>
                      <c:pt idx="143" formatCode="0.00%">
                        <c:v>-2.4635336064261604E-2</c:v>
                      </c:pt>
                      <c:pt idx="144" formatCode="0.00%">
                        <c:v>-3.8839614433079483E-2</c:v>
                      </c:pt>
                      <c:pt idx="145" formatCode="0.00%">
                        <c:v>-6.1406448385071699E-2</c:v>
                      </c:pt>
                      <c:pt idx="146" formatCode="0.00%">
                        <c:v>-8.3741520098339017E-2</c:v>
                      </c:pt>
                      <c:pt idx="147" formatCode="0.00%">
                        <c:v>-2.2403468148421868E-2</c:v>
                      </c:pt>
                      <c:pt idx="148" formatCode="0.00%">
                        <c:v>7.3268822007787282E-2</c:v>
                      </c:pt>
                      <c:pt idx="149" formatCode="0.00%">
                        <c:v>6.8361028880588037E-2</c:v>
                      </c:pt>
                      <c:pt idx="150" formatCode="0.00%">
                        <c:v>4.7820497683846552E-2</c:v>
                      </c:pt>
                      <c:pt idx="151" formatCode="0.00%">
                        <c:v>5.9653431368745347E-2</c:v>
                      </c:pt>
                      <c:pt idx="152" formatCode="0.00%">
                        <c:v>9.106605506025911E-2</c:v>
                      </c:pt>
                      <c:pt idx="153" formatCode="0.00%">
                        <c:v>0.10166221593610647</c:v>
                      </c:pt>
                      <c:pt idx="154" formatCode="0.00%">
                        <c:v>5.2510367701505301E-2</c:v>
                      </c:pt>
                      <c:pt idx="155" formatCode="0.00%">
                        <c:v>5.7664676449509678E-2</c:v>
                      </c:pt>
                      <c:pt idx="156" formatCode="0.00%">
                        <c:v>-4.0190881742938611E-2</c:v>
                      </c:pt>
                      <c:pt idx="157" formatCode="0.00%">
                        <c:v>-6.6334231713187863E-2</c:v>
                      </c:pt>
                      <c:pt idx="158" formatCode="0.00%">
                        <c:v>-5.0441411356286103E-2</c:v>
                      </c:pt>
                      <c:pt idx="159" formatCode="0.00%">
                        <c:v>-6.4867667729979206E-2</c:v>
                      </c:pt>
                      <c:pt idx="160" formatCode="0.00%">
                        <c:v>-6.2982826867803654E-2</c:v>
                      </c:pt>
                      <c:pt idx="161" formatCode="0.00%">
                        <c:v>-0.10973542934626268</c:v>
                      </c:pt>
                      <c:pt idx="162" formatCode="0.00%">
                        <c:v>-0.10846686132369709</c:v>
                      </c:pt>
                      <c:pt idx="163" formatCode="0.00%">
                        <c:v>-0.12618826303563546</c:v>
                      </c:pt>
                      <c:pt idx="164" formatCode="0.00%">
                        <c:v>-0.25297614515823907</c:v>
                      </c:pt>
                      <c:pt idx="165" formatCode="0.00%">
                        <c:v>-0.39337244849447628</c:v>
                      </c:pt>
                      <c:pt idx="166" formatCode="0.00%">
                        <c:v>-0.42336034668192102</c:v>
                      </c:pt>
                      <c:pt idx="167" formatCode="0.00%">
                        <c:v>-0.40635282833139863</c:v>
                      </c:pt>
                      <c:pt idx="168" formatCode="0.00%">
                        <c:v>-0.37709398206669742</c:v>
                      </c:pt>
                      <c:pt idx="169" formatCode="0.00%">
                        <c:v>-0.4020608883497202</c:v>
                      </c:pt>
                      <c:pt idx="170" formatCode="0.00%">
                        <c:v>-0.37363515738427577</c:v>
                      </c:pt>
                      <c:pt idx="171" formatCode="0.00%">
                        <c:v>-0.34722666899515875</c:v>
                      </c:pt>
                      <c:pt idx="172" formatCode="0.00%">
                        <c:v>-0.32648030911639725</c:v>
                      </c:pt>
                      <c:pt idx="173" formatCode="0.00%">
                        <c:v>-0.27014299590562019</c:v>
                      </c:pt>
                      <c:pt idx="174" formatCode="0.00%">
                        <c:v>-0.21984076750718695</c:v>
                      </c:pt>
                      <c:pt idx="175" formatCode="0.00%">
                        <c:v>-0.22087967169989475</c:v>
                      </c:pt>
                      <c:pt idx="176" formatCode="0.00%">
                        <c:v>-8.7036154967424895E-2</c:v>
                      </c:pt>
                      <c:pt idx="177" formatCode="0.00%">
                        <c:v>9.4685095468794556E-2</c:v>
                      </c:pt>
                      <c:pt idx="178" formatCode="0.00%">
                        <c:v>0.24801231608954155</c:v>
                      </c:pt>
                      <c:pt idx="179" formatCode="0.00%">
                        <c:v>0.25734879431238777</c:v>
                      </c:pt>
                      <c:pt idx="180" formatCode="0.00%">
                        <c:v>0.26293933450510276</c:v>
                      </c:pt>
                      <c:pt idx="181" formatCode="0.00%">
                        <c:v>0.4096939218317861</c:v>
                      </c:pt>
                      <c:pt idx="182" formatCode="0.00%">
                        <c:v>0.41770396787307251</c:v>
                      </c:pt>
                      <c:pt idx="183" formatCode="0.00%">
                        <c:v>0.34839114097870816</c:v>
                      </c:pt>
                      <c:pt idx="184" formatCode="0.00%">
                        <c:v>0.16674055874793647</c:v>
                      </c:pt>
                      <c:pt idx="185" formatCode="0.00%">
                        <c:v>9.3772568351342622E-2</c:v>
                      </c:pt>
                      <c:pt idx="186" formatCode="0.00%">
                        <c:v>0.12200503893407921</c:v>
                      </c:pt>
                      <c:pt idx="187" formatCode="0.00%">
                        <c:v>8.7714325050415987E-2</c:v>
                      </c:pt>
                      <c:pt idx="188" formatCode="0.00%">
                        <c:v>0.15041029648055093</c:v>
                      </c:pt>
                      <c:pt idx="189" formatCode="0.00%">
                        <c:v>0.20394438465157472</c:v>
                      </c:pt>
                      <c:pt idx="190" formatCode="0.00%">
                        <c:v>0.16083951083009662</c:v>
                      </c:pt>
                      <c:pt idx="191" formatCode="0.00%">
                        <c:v>0.18555854400935989</c:v>
                      </c:pt>
                      <c:pt idx="192" formatCode="0.00%">
                        <c:v>0.23785077769855212</c:v>
                      </c:pt>
                      <c:pt idx="193" formatCode="0.00%">
                        <c:v>0.21003879906828526</c:v>
                      </c:pt>
                      <c:pt idx="194" formatCode="0.00%">
                        <c:v>0.12726192285084159</c:v>
                      </c:pt>
                      <c:pt idx="195" formatCode="0.00%">
                        <c:v>0.11423818359700211</c:v>
                      </c:pt>
                      <c:pt idx="196" formatCode="0.00%">
                        <c:v>0.18787840613933526</c:v>
                      </c:pt>
                      <c:pt idx="197" formatCode="0.00%">
                        <c:v>0.21382180621022462</c:v>
                      </c:pt>
                      <c:pt idx="198" formatCode="0.00%">
                        <c:v>0.13490917414398829</c:v>
                      </c:pt>
                      <c:pt idx="199" formatCode="0.00%">
                        <c:v>0.1342354588035497</c:v>
                      </c:pt>
                      <c:pt idx="200" formatCode="0.00%">
                        <c:v>-2.2439293996466381E-2</c:v>
                      </c:pt>
                      <c:pt idx="201" formatCode="0.00%">
                        <c:v>1.8801986590653019E-2</c:v>
                      </c:pt>
                      <c:pt idx="202" formatCode="0.00%">
                        <c:v>-8.5131681060235387E-3</c:v>
                      </c:pt>
                      <c:pt idx="203" formatCode="0.00%">
                        <c:v>-4.809772915727395E-2</c:v>
                      </c:pt>
                      <c:pt idx="204" formatCode="0.00%">
                        <c:v>4.1973326482196427E-3</c:v>
                      </c:pt>
                      <c:pt idx="205" formatCode="0.00%">
                        <c:v>2.7548899722581677E-2</c:v>
                      </c:pt>
                      <c:pt idx="206" formatCode="0.00%">
                        <c:v>7.6674827192679595E-2</c:v>
                      </c:pt>
                      <c:pt idx="207" formatCode="0.00%">
                        <c:v>4.1669086235220032E-2</c:v>
                      </c:pt>
                      <c:pt idx="208" formatCode="0.00%">
                        <c:v>-3.1868026192657384E-3</c:v>
                      </c:pt>
                      <c:pt idx="209" formatCode="0.00%">
                        <c:v>5.5655160103715184E-2</c:v>
                      </c:pt>
                      <c:pt idx="210" formatCode="0.00%">
                        <c:v>6.6228235925680945E-2</c:v>
                      </c:pt>
                      <c:pt idx="211" formatCode="0.00%">
                        <c:v>0.13500289566963941</c:v>
                      </c:pt>
                      <c:pt idx="212" formatCode="0.00%">
                        <c:v>0.21869636944674853</c:v>
                      </c:pt>
                      <c:pt idx="213" formatCode="0.00%">
                        <c:v>0.12063696300357063</c:v>
                      </c:pt>
                      <c:pt idx="214" formatCode="0.00%">
                        <c:v>0.14966182547563389</c:v>
                      </c:pt>
                      <c:pt idx="215" formatCode="0.00%">
                        <c:v>0.13761258461819392</c:v>
                      </c:pt>
                      <c:pt idx="216" formatCode="0.00%">
                        <c:v>0.107368842984229</c:v>
                      </c:pt>
                      <c:pt idx="217" formatCode="0.00%">
                        <c:v>7.2925993628124353E-2</c:v>
                      </c:pt>
                      <c:pt idx="218" formatCode="0.00%">
                        <c:v>6.5037843466820844E-2</c:v>
                      </c:pt>
                      <c:pt idx="219" formatCode="0.00%">
                        <c:v>7.8327122696041807E-2</c:v>
                      </c:pt>
                      <c:pt idx="220" formatCode="0.00%">
                        <c:v>0.15518696049916869</c:v>
                      </c:pt>
                      <c:pt idx="221" formatCode="0.00%">
                        <c:v>0.11044924463832761</c:v>
                      </c:pt>
                      <c:pt idx="222" formatCode="0.00%">
                        <c:v>0.14244015640294583</c:v>
                      </c:pt>
                      <c:pt idx="223" formatCode="0.00%">
                        <c:v>0.10198372812782996</c:v>
                      </c:pt>
                      <c:pt idx="224" formatCode="0.00%">
                        <c:v>9.9602074199363289E-2</c:v>
                      </c:pt>
                      <c:pt idx="225" formatCode="0.00%">
                        <c:v>0.13233126682008645</c:v>
                      </c:pt>
                      <c:pt idx="226" formatCode="0.00%">
                        <c:v>0.15262400519173513</c:v>
                      </c:pt>
                      <c:pt idx="227" formatCode="0.00%">
                        <c:v>0.16989515759903773</c:v>
                      </c:pt>
                      <c:pt idx="228" formatCode="0.00%">
                        <c:v>9.6790516671180216E-2</c:v>
                      </c:pt>
                      <c:pt idx="229" formatCode="0.00%">
                        <c:v>0.12792299171848676</c:v>
                      </c:pt>
                      <c:pt idx="230" formatCode="0.00%">
                        <c:v>0.11474642814868452</c:v>
                      </c:pt>
                      <c:pt idx="231" formatCode="0.00%">
                        <c:v>0.11476881185720411</c:v>
                      </c:pt>
                      <c:pt idx="232" formatCode="0.00%">
                        <c:v>0.13283302734044833</c:v>
                      </c:pt>
                      <c:pt idx="233" formatCode="0.00%">
                        <c:v>0.1677848609235546</c:v>
                      </c:pt>
                      <c:pt idx="234" formatCode="0.00%">
                        <c:v>0.12048537775225587</c:v>
                      </c:pt>
                      <c:pt idx="235" formatCode="0.00%">
                        <c:v>0.17255729815989929</c:v>
                      </c:pt>
                      <c:pt idx="236" formatCode="0.00%">
                        <c:v>0.15143047081020988</c:v>
                      </c:pt>
                      <c:pt idx="237" formatCode="0.00%">
                        <c:v>0.15540553633754239</c:v>
                      </c:pt>
                      <c:pt idx="238" formatCode="0.00%">
                        <c:v>0.16878842238254199</c:v>
                      </c:pt>
                      <c:pt idx="239" formatCode="0.00%">
                        <c:v>0.1438636574332266</c:v>
                      </c:pt>
                      <c:pt idx="240" formatCode="0.00%">
                        <c:v>0.16594425377424393</c:v>
                      </c:pt>
                      <c:pt idx="241" formatCode="0.00%">
                        <c:v>0.1777440996629811</c:v>
                      </c:pt>
                      <c:pt idx="242" formatCode="0.00%">
                        <c:v>0.15207852427273605</c:v>
                      </c:pt>
                      <c:pt idx="243" formatCode="0.00%">
                        <c:v>0.14294208861438196</c:v>
                      </c:pt>
                      <c:pt idx="244" formatCode="0.00%">
                        <c:v>0.14304212038218522</c:v>
                      </c:pt>
                      <c:pt idx="245" formatCode="0.00%">
                        <c:v>9.2191336402687618E-2</c:v>
                      </c:pt>
                      <c:pt idx="246" formatCode="0.00%">
                        <c:v>0.12187163566689985</c:v>
                      </c:pt>
                      <c:pt idx="247" formatCode="0.00%">
                        <c:v>2.3111462900659241E-2</c:v>
                      </c:pt>
                      <c:pt idx="248" formatCode="0.00%">
                        <c:v>1.3320929145853588E-2</c:v>
                      </c:pt>
                      <c:pt idx="249" formatCode="0.00%">
                        <c:v>4.4770517566755874E-2</c:v>
                      </c:pt>
                      <c:pt idx="250" formatCode="0.00%">
                        <c:v>6.5325579178177051E-3</c:v>
                      </c:pt>
                      <c:pt idx="251" formatCode="0.00%">
                        <c:v>-7.9904836887211284E-3</c:v>
                      </c:pt>
                      <c:pt idx="252" formatCode="0.00%">
                        <c:v>-4.3266402096028056E-2</c:v>
                      </c:pt>
                      <c:pt idx="253" formatCode="0.00%">
                        <c:v>-8.4594036755295421E-2</c:v>
                      </c:pt>
                      <c:pt idx="254" formatCode="0.00%">
                        <c:v>-2.4725404332608059E-2</c:v>
                      </c:pt>
                      <c:pt idx="255" formatCode="0.00%">
                        <c:v>-2.6802013280166292E-2</c:v>
                      </c:pt>
                      <c:pt idx="256" formatCode="0.00%">
                        <c:v>-2.7159886392715271E-2</c:v>
                      </c:pt>
                      <c:pt idx="257" formatCode="0.00%">
                        <c:v>3.3760209448623346E-3</c:v>
                      </c:pt>
                      <c:pt idx="258" formatCode="0.00%">
                        <c:v>1.5783751432240756E-2</c:v>
                      </c:pt>
                      <c:pt idx="259" formatCode="0.00%">
                        <c:v>7.4284798703299737E-2</c:v>
                      </c:pt>
                      <c:pt idx="260" formatCode="0.00%">
                        <c:v>8.9929165655717291E-2</c:v>
                      </c:pt>
                      <c:pt idx="261" formatCode="0.00%">
                        <c:v>9.4418042266530833E-4</c:v>
                      </c:pt>
                      <c:pt idx="262" formatCode="0.00%">
                        <c:v>1.8658342028592401E-2</c:v>
                      </c:pt>
                      <c:pt idx="263" formatCode="0.00%">
                        <c:v>5.3835414223049716E-2</c:v>
                      </c:pt>
                      <c:pt idx="264" formatCode="0.00%">
                        <c:v>0.12054828783362459</c:v>
                      </c:pt>
                      <c:pt idx="265" formatCode="0.00%">
                        <c:v>0.15987485930773304</c:v>
                      </c:pt>
                      <c:pt idx="266" formatCode="0.00%">
                        <c:v>0.10363082190299799</c:v>
                      </c:pt>
                      <c:pt idx="267" formatCode="0.00%">
                        <c:v>0.11461890453288448</c:v>
                      </c:pt>
                      <c:pt idx="268" formatCode="0.00%">
                        <c:v>9.8920280983155973E-2</c:v>
                      </c:pt>
                      <c:pt idx="269" formatCode="0.00%">
                        <c:v>9.9536256388211619E-2</c:v>
                      </c:pt>
                      <c:pt idx="270" formatCode="0.00%">
                        <c:v>8.879573168274324E-2</c:v>
                      </c:pt>
                      <c:pt idx="271" formatCode="0.00%">
                        <c:v>0.10350441295618507</c:v>
                      </c:pt>
                      <c:pt idx="272" formatCode="0.00%">
                        <c:v>0.11075615640409819</c:v>
                      </c:pt>
                      <c:pt idx="273" formatCode="0.00%">
                        <c:v>0.17366394697718746</c:v>
                      </c:pt>
                      <c:pt idx="274" formatCode="0.00%">
                        <c:v>0.19605242050980709</c:v>
                      </c:pt>
                      <c:pt idx="275" formatCode="0.00%">
                        <c:v>0.18431975047282667</c:v>
                      </c:pt>
                      <c:pt idx="276" formatCode="0.00%">
                        <c:v>0.22180209145401664</c:v>
                      </c:pt>
                      <c:pt idx="277" formatCode="0.00%">
                        <c:v>0.14773444509762657</c:v>
                      </c:pt>
                      <c:pt idx="278" formatCode="0.00%">
                        <c:v>0.11406425703317558</c:v>
                      </c:pt>
                      <c:pt idx="279" formatCode="0.00%">
                        <c:v>0.11375999097413581</c:v>
                      </c:pt>
                      <c:pt idx="280" formatCode="0.00%">
                        <c:v>0.12455933603829927</c:v>
                      </c:pt>
                      <c:pt idx="281" formatCode="0.00%">
                        <c:v>0.13360016024802324</c:v>
                      </c:pt>
                      <c:pt idx="282" formatCode="0.00%">
                        <c:v>0.14236382070540898</c:v>
                      </c:pt>
                      <c:pt idx="283" formatCode="0.00%">
                        <c:v>0.1595527486093129</c:v>
                      </c:pt>
                      <c:pt idx="284" formatCode="0.00%">
                        <c:v>0.15715847069373012</c:v>
                      </c:pt>
                      <c:pt idx="285" formatCode="0.00%">
                        <c:v>6.2508209846280138E-2</c:v>
                      </c:pt>
                      <c:pt idx="286" formatCode="0.00%">
                        <c:v>6.2999772255499353E-2</c:v>
                      </c:pt>
                      <c:pt idx="287" formatCode="0.00%">
                        <c:v>-3.0088596280520075E-2</c:v>
                      </c:pt>
                      <c:pt idx="288" formatCode="0.00%">
                        <c:v>-1.0672490129447487E-3</c:v>
                      </c:pt>
                      <c:pt idx="289" formatCode="0.00%">
                        <c:v>4.7092502162961569E-2</c:v>
                      </c:pt>
                      <c:pt idx="290" formatCode="0.00%">
                        <c:v>0.10748496157840948</c:v>
                      </c:pt>
                      <c:pt idx="291" formatCode="0.00%">
                        <c:v>0.14322602750709823</c:v>
                      </c:pt>
                      <c:pt idx="292" formatCode="0.00%">
                        <c:v>7.6630615052439843E-2</c:v>
                      </c:pt>
                      <c:pt idx="293" formatCode="0.00%">
                        <c:v>0.12186108443621313</c:v>
                      </c:pt>
                      <c:pt idx="294" formatCode="0.00%">
                        <c:v>0.10547971862142891</c:v>
                      </c:pt>
                      <c:pt idx="295" formatCode="0.00%">
                        <c:v>6.2040905106729438E-2</c:v>
                      </c:pt>
                      <c:pt idx="296" formatCode="0.00%">
                        <c:v>6.535289415918899E-2</c:v>
                      </c:pt>
                      <c:pt idx="297" formatCode="0.00%">
                        <c:v>0.16224992919876025</c:v>
                      </c:pt>
                      <c:pt idx="298" formatCode="0.00%">
                        <c:v>0.16185913234844773</c:v>
                      </c:pt>
                      <c:pt idx="299" formatCode="0.00%">
                        <c:v>0.30591570092800024</c:v>
                      </c:pt>
                      <c:pt idx="300" formatCode="0.00%">
                        <c:v>0.21708113390202777</c:v>
                      </c:pt>
                      <c:pt idx="301" formatCode="0.00%">
                        <c:v>0.11560689296793436</c:v>
                      </c:pt>
                      <c:pt idx="302" formatCode="0.00%">
                        <c:v>-1.5879527709792285E-2</c:v>
                      </c:pt>
                      <c:pt idx="303" formatCode="0.00%">
                        <c:v>6.2735659459252524E-2</c:v>
                      </c:pt>
                      <c:pt idx="304" formatCode="0.00%">
                        <c:v>0.15531364914850987</c:v>
                      </c:pt>
                      <c:pt idx="305" formatCode="0.00%">
                        <c:v>0.12047732285925461</c:v>
                      </c:pt>
                      <c:pt idx="306" formatCode="0.00%">
                        <c:v>0.17319736398618701</c:v>
                      </c:pt>
                      <c:pt idx="307" formatCode="0.00%">
                        <c:v>0.26970437600980124</c:v>
                      </c:pt>
                      <c:pt idx="308" formatCode="0.00%">
                        <c:v>0.21852389913251868</c:v>
                      </c:pt>
                      <c:pt idx="309" formatCode="0.00%">
                        <c:v>0.14395049670679394</c:v>
                      </c:pt>
                      <c:pt idx="310" formatCode="0.00%">
                        <c:v>0.19246389072351278</c:v>
                      </c:pt>
                      <c:pt idx="311" formatCode="0.00%">
                        <c:v>0.19958518229933064</c:v>
                      </c:pt>
                      <c:pt idx="312" formatCode="0.00%">
                        <c:v>0.17295542261527141</c:v>
                      </c:pt>
                      <c:pt idx="313" formatCode="0.00%">
                        <c:v>0.28855072225114298</c:v>
                      </c:pt>
                      <c:pt idx="314" formatCode="0.00%">
                        <c:v>0.44617745593215452</c:v>
                      </c:pt>
                      <c:pt idx="315" formatCode="0.00%">
                        <c:v>0.36274046801716286</c:v>
                      </c:pt>
                      <c:pt idx="316" formatCode="0.00%">
                        <c:v>0.31418911220995027</c:v>
                      </c:pt>
                      <c:pt idx="317" formatCode="0.00%">
                        <c:v>0.3268883515183878</c:v>
                      </c:pt>
                      <c:pt idx="318" formatCode="0.00%">
                        <c:v>0.27633595588366999</c:v>
                      </c:pt>
                      <c:pt idx="319" formatCode="0.00%">
                        <c:v>0.22900265525498797</c:v>
                      </c:pt>
                      <c:pt idx="320" formatCode="0.00%">
                        <c:v>0.20209311820970233</c:v>
                      </c:pt>
                      <c:pt idx="321" formatCode="0.00%">
                        <c:v>0.3332445018944874</c:v>
                      </c:pt>
                      <c:pt idx="322" formatCode="0.00%">
                        <c:v>0.24664864239254913</c:v>
                      </c:pt>
                      <c:pt idx="323" formatCode="0.00%">
                        <c:v>0.24648212484825827</c:v>
                      </c:pt>
                      <c:pt idx="324" formatCode="0.00%">
                        <c:v>0.2024225560464834</c:v>
                      </c:pt>
                      <c:pt idx="325" formatCode="0.00%">
                        <c:v>0.15501048581433263</c:v>
                      </c:pt>
                      <c:pt idx="326" formatCode="0.00%">
                        <c:v>0.16834026333287699</c:v>
                      </c:pt>
                      <c:pt idx="327" formatCode="0.00%">
                        <c:v>7.2786157546833596E-3</c:v>
                      </c:pt>
                      <c:pt idx="328" formatCode="0.00%">
                        <c:v>1.5472848171136366E-3</c:v>
                      </c:pt>
                      <c:pt idx="329" formatCode="0.00%">
                        <c:v>-9.6979518431540623E-2</c:v>
                      </c:pt>
                      <c:pt idx="330" formatCode="0.00%">
                        <c:v>-4.1836854453587202E-2</c:v>
                      </c:pt>
                      <c:pt idx="331" formatCode="0.00%">
                        <c:v>-0.10731554467270399</c:v>
                      </c:pt>
                      <c:pt idx="332" formatCode="0.00%">
                        <c:v>-0.13953248878344904</c:v>
                      </c:pt>
                      <c:pt idx="333" formatCode="0.00%">
                        <c:v>-0.13531691103743582</c:v>
                      </c:pt>
                      <c:pt idx="334" formatCode="0.00%">
                        <c:v>-9.8830843694734938E-2</c:v>
                      </c:pt>
                      <c:pt idx="335" formatCode="0.00%">
                        <c:v>-0.18038843101664359</c:v>
                      </c:pt>
                    </c:numCache>
                  </c:numRef>
                </c:val>
                <c:smooth val="0"/>
                <c:extLst xmlns:c15="http://schemas.microsoft.com/office/drawing/2012/chart">
                  <c:ext xmlns:c16="http://schemas.microsoft.com/office/drawing/2014/chart" uri="{C3380CC4-5D6E-409C-BE32-E72D297353CC}">
                    <c16:uniqueId val="{00000007-7000-43A6-AFE6-277F268E6866}"/>
                  </c:ext>
                </c:extLst>
              </c15:ser>
            </c15:filteredLineSeries>
            <c15:filteredLineSeries>
              <c15:ser>
                <c:idx val="8"/>
                <c:order val="8"/>
                <c:spPr>
                  <a:ln w="22225" cap="rnd">
                    <a:solidFill>
                      <a:schemeClr val="accent3">
                        <a:lumMod val="60000"/>
                      </a:schemeClr>
                    </a:solidFill>
                  </a:ln>
                  <a:effectLst>
                    <a:glow rad="139700">
                      <a:schemeClr val="accent3">
                        <a:lumMod val="60000"/>
                        <a:satMod val="175000"/>
                        <a:alpha val="14000"/>
                      </a:schemeClr>
                    </a:glow>
                  </a:effectLst>
                </c:spPr>
                <c:marker>
                  <c:symbol val="circle"/>
                  <c:size val="4"/>
                  <c:spPr>
                    <a:solidFill>
                      <a:schemeClr val="accent3">
                        <a:lumMod val="60000"/>
                        <a:lumMod val="60000"/>
                        <a:lumOff val="40000"/>
                      </a:schemeClr>
                    </a:solidFill>
                    <a:ln>
                      <a:noFill/>
                    </a:ln>
                    <a:effectLst>
                      <a:glow rad="63500">
                        <a:schemeClr val="accent3">
                          <a:lumMod val="6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Returns'!$J$4:$J$339</c15:sqref>
                        </c15:formulaRef>
                      </c:ext>
                    </c:extLst>
                    <c:numCache>
                      <c:formatCode>0.00%</c:formatCode>
                      <c:ptCount val="336"/>
                      <c:pt idx="1">
                        <c:v>3.8800000000000001E-2</c:v>
                      </c:pt>
                      <c:pt idx="2">
                        <c:v>2.9600000000000001E-2</c:v>
                      </c:pt>
                      <c:pt idx="3">
                        <c:v>2.9100000000000001E-2</c:v>
                      </c:pt>
                      <c:pt idx="4">
                        <c:v>3.95E-2</c:v>
                      </c:pt>
                      <c:pt idx="5">
                        <c:v>2.35E-2</c:v>
                      </c:pt>
                      <c:pt idx="6">
                        <c:v>3.3300000000000003E-2</c:v>
                      </c:pt>
                      <c:pt idx="7">
                        <c:v>2.7000000000000001E-3</c:v>
                      </c:pt>
                      <c:pt idx="8">
                        <c:v>4.19E-2</c:v>
                      </c:pt>
                      <c:pt idx="9">
                        <c:v>-3.5000000000000001E-3</c:v>
                      </c:pt>
                      <c:pt idx="10">
                        <c:v>4.3999999999999997E-2</c:v>
                      </c:pt>
                      <c:pt idx="11">
                        <c:v>1.8499999999999999E-2</c:v>
                      </c:pt>
                      <c:pt idx="12">
                        <c:v>3.44E-2</c:v>
                      </c:pt>
                      <c:pt idx="13">
                        <c:v>9.5999999999999992E-3</c:v>
                      </c:pt>
                      <c:pt idx="14">
                        <c:v>9.5999999999999992E-3</c:v>
                      </c:pt>
                      <c:pt idx="15">
                        <c:v>1.47E-2</c:v>
                      </c:pt>
                      <c:pt idx="16">
                        <c:v>2.58E-2</c:v>
                      </c:pt>
                      <c:pt idx="17">
                        <c:v>4.1000000000000003E-3</c:v>
                      </c:pt>
                      <c:pt idx="18">
                        <c:v>-4.4499999999999998E-2</c:v>
                      </c:pt>
                      <c:pt idx="19">
                        <c:v>2.12E-2</c:v>
                      </c:pt>
                      <c:pt idx="20">
                        <c:v>5.62E-2</c:v>
                      </c:pt>
                      <c:pt idx="21">
                        <c:v>2.7400000000000001E-2</c:v>
                      </c:pt>
                      <c:pt idx="22">
                        <c:v>7.5899999999999995E-2</c:v>
                      </c:pt>
                      <c:pt idx="23">
                        <c:v>-1.9599999999999999E-2</c:v>
                      </c:pt>
                      <c:pt idx="24">
                        <c:v>6.2100000000000002E-2</c:v>
                      </c:pt>
                      <c:pt idx="25">
                        <c:v>8.0999999999999996E-3</c:v>
                      </c:pt>
                      <c:pt idx="26">
                        <c:v>-4.1599999999999998E-2</c:v>
                      </c:pt>
                      <c:pt idx="27">
                        <c:v>5.9700000000000003E-2</c:v>
                      </c:pt>
                      <c:pt idx="28">
                        <c:v>6.1400000000000003E-2</c:v>
                      </c:pt>
                      <c:pt idx="29">
                        <c:v>4.4600000000000001E-2</c:v>
                      </c:pt>
                      <c:pt idx="30">
                        <c:v>7.9399999999999998E-2</c:v>
                      </c:pt>
                      <c:pt idx="31">
                        <c:v>-5.5599999999999997E-2</c:v>
                      </c:pt>
                      <c:pt idx="32">
                        <c:v>5.4800000000000001E-2</c:v>
                      </c:pt>
                      <c:pt idx="33">
                        <c:v>-3.3399999999999999E-2</c:v>
                      </c:pt>
                      <c:pt idx="34">
                        <c:v>4.6300000000000001E-2</c:v>
                      </c:pt>
                      <c:pt idx="35">
                        <c:v>1.72E-2</c:v>
                      </c:pt>
                      <c:pt idx="36">
                        <c:v>1.11E-2</c:v>
                      </c:pt>
                      <c:pt idx="37">
                        <c:v>7.2099999999999997E-2</c:v>
                      </c:pt>
                      <c:pt idx="38">
                        <c:v>5.1200000000000002E-2</c:v>
                      </c:pt>
                      <c:pt idx="39">
                        <c:v>1.01E-2</c:v>
                      </c:pt>
                      <c:pt idx="40">
                        <c:v>-1.72E-2</c:v>
                      </c:pt>
                      <c:pt idx="41">
                        <c:v>4.0599999999999997E-2</c:v>
                      </c:pt>
                      <c:pt idx="42">
                        <c:v>-1.06E-2</c:v>
                      </c:pt>
                      <c:pt idx="43">
                        <c:v>-0.14460000000000001</c:v>
                      </c:pt>
                      <c:pt idx="44">
                        <c:v>6.4100000000000004E-2</c:v>
                      </c:pt>
                      <c:pt idx="45">
                        <c:v>8.1299999999999997E-2</c:v>
                      </c:pt>
                      <c:pt idx="46">
                        <c:v>6.0600000000000001E-2</c:v>
                      </c:pt>
                      <c:pt idx="47">
                        <c:v>5.7599999999999998E-2</c:v>
                      </c:pt>
                      <c:pt idx="48">
                        <c:v>4.1799999999999997E-2</c:v>
                      </c:pt>
                      <c:pt idx="49">
                        <c:v>-3.1099999999999999E-2</c:v>
                      </c:pt>
                      <c:pt idx="50">
                        <c:v>0.04</c:v>
                      </c:pt>
                      <c:pt idx="51">
                        <c:v>3.8699999999999998E-2</c:v>
                      </c:pt>
                      <c:pt idx="52">
                        <c:v>-2.3599999999999999E-2</c:v>
                      </c:pt>
                      <c:pt idx="53">
                        <c:v>5.5500000000000001E-2</c:v>
                      </c:pt>
                      <c:pt idx="54">
                        <c:v>-3.1199999999999999E-2</c:v>
                      </c:pt>
                      <c:pt idx="55">
                        <c:v>-5.0000000000000001E-3</c:v>
                      </c:pt>
                      <c:pt idx="56">
                        <c:v>-2.7400000000000001E-2</c:v>
                      </c:pt>
                      <c:pt idx="57">
                        <c:v>6.3299999999999995E-2</c:v>
                      </c:pt>
                      <c:pt idx="58">
                        <c:v>2.0299999999999999E-2</c:v>
                      </c:pt>
                      <c:pt idx="59">
                        <c:v>5.8900000000000001E-2</c:v>
                      </c:pt>
                      <c:pt idx="60">
                        <c:v>-5.0200000000000002E-2</c:v>
                      </c:pt>
                      <c:pt idx="61">
                        <c:v>-1.89E-2</c:v>
                      </c:pt>
                      <c:pt idx="62">
                        <c:v>9.7799999999999998E-2</c:v>
                      </c:pt>
                      <c:pt idx="63">
                        <c:v>-3.0099999999999998E-2</c:v>
                      </c:pt>
                      <c:pt idx="64">
                        <c:v>-2.0500000000000001E-2</c:v>
                      </c:pt>
                      <c:pt idx="65">
                        <c:v>2.46E-2</c:v>
                      </c:pt>
                      <c:pt idx="66">
                        <c:v>-1.5599999999999999E-2</c:v>
                      </c:pt>
                      <c:pt idx="67">
                        <c:v>6.2100000000000002E-2</c:v>
                      </c:pt>
                      <c:pt idx="68">
                        <c:v>-5.28E-2</c:v>
                      </c:pt>
                      <c:pt idx="69">
                        <c:v>-4.1999999999999997E-3</c:v>
                      </c:pt>
                      <c:pt idx="70">
                        <c:v>-7.8799999999999995E-2</c:v>
                      </c:pt>
                      <c:pt idx="71">
                        <c:v>4.8999999999999998E-3</c:v>
                      </c:pt>
                      <c:pt idx="72">
                        <c:v>3.5499999999999997E-2</c:v>
                      </c:pt>
                      <c:pt idx="73">
                        <c:v>-9.1200000000000003E-2</c:v>
                      </c:pt>
                      <c:pt idx="74">
                        <c:v>-6.3399999999999998E-2</c:v>
                      </c:pt>
                      <c:pt idx="75">
                        <c:v>7.7700000000000005E-2</c:v>
                      </c:pt>
                      <c:pt idx="76">
                        <c:v>6.7000000000000002E-3</c:v>
                      </c:pt>
                      <c:pt idx="77">
                        <c:v>-2.4299999999999999E-2</c:v>
                      </c:pt>
                      <c:pt idx="78">
                        <c:v>-9.7999999999999997E-3</c:v>
                      </c:pt>
                      <c:pt idx="79">
                        <c:v>-6.2600000000000003E-2</c:v>
                      </c:pt>
                      <c:pt idx="80">
                        <c:v>-8.0799999999999997E-2</c:v>
                      </c:pt>
                      <c:pt idx="81">
                        <c:v>1.9099999999999999E-2</c:v>
                      </c:pt>
                      <c:pt idx="82">
                        <c:v>7.6700000000000004E-2</c:v>
                      </c:pt>
                      <c:pt idx="83">
                        <c:v>8.8000000000000005E-3</c:v>
                      </c:pt>
                      <c:pt idx="84">
                        <c:v>-1.46E-2</c:v>
                      </c:pt>
                      <c:pt idx="85">
                        <c:v>-1.9299999999999998E-2</c:v>
                      </c:pt>
                      <c:pt idx="86">
                        <c:v>3.7599999999999995E-2</c:v>
                      </c:pt>
                      <c:pt idx="87">
                        <c:v>-6.0600000000000001E-2</c:v>
                      </c:pt>
                      <c:pt idx="88">
                        <c:v>-7.4000000000000003E-3</c:v>
                      </c:pt>
                      <c:pt idx="89">
                        <c:v>-7.1199999999999999E-2</c:v>
                      </c:pt>
                      <c:pt idx="90">
                        <c:v>-7.8E-2</c:v>
                      </c:pt>
                      <c:pt idx="91">
                        <c:v>6.6E-3</c:v>
                      </c:pt>
                      <c:pt idx="92">
                        <c:v>-0.1087</c:v>
                      </c:pt>
                      <c:pt idx="93">
                        <c:v>8.8000000000000009E-2</c:v>
                      </c:pt>
                      <c:pt idx="94">
                        <c:v>5.8899999999999994E-2</c:v>
                      </c:pt>
                      <c:pt idx="95">
                        <c:v>-5.8799999999999998E-2</c:v>
                      </c:pt>
                      <c:pt idx="96">
                        <c:v>-2.6200000000000001E-2</c:v>
                      </c:pt>
                      <c:pt idx="97">
                        <c:v>-1.4999999999999999E-2</c:v>
                      </c:pt>
                      <c:pt idx="98">
                        <c:v>9.7000000000000003E-3</c:v>
                      </c:pt>
                      <c:pt idx="99">
                        <c:v>8.2400000000000001E-2</c:v>
                      </c:pt>
                      <c:pt idx="100">
                        <c:v>5.2699999999999997E-2</c:v>
                      </c:pt>
                      <c:pt idx="101">
                        <c:v>1.2800000000000001E-2</c:v>
                      </c:pt>
                      <c:pt idx="102">
                        <c:v>1.7600000000000001E-2</c:v>
                      </c:pt>
                      <c:pt idx="103">
                        <c:v>1.95E-2</c:v>
                      </c:pt>
                      <c:pt idx="104">
                        <c:v>-1.06E-2</c:v>
                      </c:pt>
                      <c:pt idx="105">
                        <c:v>5.6600000000000004E-2</c:v>
                      </c:pt>
                      <c:pt idx="106">
                        <c:v>8.8000000000000005E-3</c:v>
                      </c:pt>
                      <c:pt idx="107">
                        <c:v>5.2400000000000002E-2</c:v>
                      </c:pt>
                      <c:pt idx="108">
                        <c:v>1.84E-2</c:v>
                      </c:pt>
                      <c:pt idx="109">
                        <c:v>1.3899999999999999E-2</c:v>
                      </c:pt>
                      <c:pt idx="110">
                        <c:v>-1.5100000000000001E-2</c:v>
                      </c:pt>
                      <c:pt idx="111">
                        <c:v>-1.5699999999999999E-2</c:v>
                      </c:pt>
                      <c:pt idx="112">
                        <c:v>1.37E-2</c:v>
                      </c:pt>
                      <c:pt idx="113">
                        <c:v>1.9400000000000001E-2</c:v>
                      </c:pt>
                      <c:pt idx="114">
                        <c:v>-3.3099999999999997E-2</c:v>
                      </c:pt>
                      <c:pt idx="115">
                        <c:v>4.0000000000000001E-3</c:v>
                      </c:pt>
                      <c:pt idx="116">
                        <c:v>1.0800000000000001E-2</c:v>
                      </c:pt>
                      <c:pt idx="117">
                        <c:v>1.5299999999999999E-2</c:v>
                      </c:pt>
                      <c:pt idx="118">
                        <c:v>4.0500000000000001E-2</c:v>
                      </c:pt>
                      <c:pt idx="119">
                        <c:v>3.4000000000000002E-2</c:v>
                      </c:pt>
                      <c:pt idx="120">
                        <c:v>-2.4400000000000002E-2</c:v>
                      </c:pt>
                      <c:pt idx="121">
                        <c:v>2.1000000000000001E-2</c:v>
                      </c:pt>
                      <c:pt idx="122">
                        <c:v>-1.77E-2</c:v>
                      </c:pt>
                      <c:pt idx="123">
                        <c:v>-1.9E-2</c:v>
                      </c:pt>
                      <c:pt idx="124">
                        <c:v>3.1800000000000002E-2</c:v>
                      </c:pt>
                      <c:pt idx="125">
                        <c:v>1.4E-3</c:v>
                      </c:pt>
                      <c:pt idx="126">
                        <c:v>3.7199999999999997E-2</c:v>
                      </c:pt>
                      <c:pt idx="127">
                        <c:v>-9.1000000000000004E-3</c:v>
                      </c:pt>
                      <c:pt idx="128">
                        <c:v>8.0999999999999996E-3</c:v>
                      </c:pt>
                      <c:pt idx="129">
                        <c:v>-1.67E-2</c:v>
                      </c:pt>
                      <c:pt idx="130">
                        <c:v>3.78E-2</c:v>
                      </c:pt>
                      <c:pt idx="131">
                        <c:v>2.9999999999999997E-4</c:v>
                      </c:pt>
                      <c:pt idx="132">
                        <c:v>2.6499999999999999E-2</c:v>
                      </c:pt>
                      <c:pt idx="133">
                        <c:v>2.7000000000000001E-3</c:v>
                      </c:pt>
                      <c:pt idx="134">
                        <c:v>1.2500000000000001E-2</c:v>
                      </c:pt>
                      <c:pt idx="135">
                        <c:v>1.34E-2</c:v>
                      </c:pt>
                      <c:pt idx="136">
                        <c:v>-2.8799999999999999E-2</c:v>
                      </c:pt>
                      <c:pt idx="137">
                        <c:v>1.4E-3</c:v>
                      </c:pt>
                      <c:pt idx="138">
                        <c:v>6.1999999999999998E-3</c:v>
                      </c:pt>
                      <c:pt idx="139">
                        <c:v>2.3800000000000002E-2</c:v>
                      </c:pt>
                      <c:pt idx="140">
                        <c:v>2.58E-2</c:v>
                      </c:pt>
                      <c:pt idx="141">
                        <c:v>3.2599999999999997E-2</c:v>
                      </c:pt>
                      <c:pt idx="142">
                        <c:v>1.9E-2</c:v>
                      </c:pt>
                      <c:pt idx="143">
                        <c:v>1.4E-2</c:v>
                      </c:pt>
                      <c:pt idx="144">
                        <c:v>1.512E-2</c:v>
                      </c:pt>
                      <c:pt idx="145">
                        <c:v>-1.9560000000000001E-2</c:v>
                      </c:pt>
                      <c:pt idx="146">
                        <c:v>1.1180000000000001E-2</c:v>
                      </c:pt>
                      <c:pt idx="147">
                        <c:v>4.4299999999999999E-2</c:v>
                      </c:pt>
                      <c:pt idx="148">
                        <c:v>3.49E-2</c:v>
                      </c:pt>
                      <c:pt idx="149">
                        <c:v>-1.66E-2</c:v>
                      </c:pt>
                      <c:pt idx="150">
                        <c:v>-3.1E-2</c:v>
                      </c:pt>
                      <c:pt idx="151">
                        <c:v>1.499E-2</c:v>
                      </c:pt>
                      <c:pt idx="152">
                        <c:v>3.7400000000000003E-2</c:v>
                      </c:pt>
                      <c:pt idx="153">
                        <c:v>1.5900000000000001E-2</c:v>
                      </c:pt>
                      <c:pt idx="154">
                        <c:v>-4.1799999999999997E-2</c:v>
                      </c:pt>
                      <c:pt idx="155">
                        <c:v>-6.8999999999999999E-3</c:v>
                      </c:pt>
                      <c:pt idx="156">
                        <c:v>-0.06</c:v>
                      </c:pt>
                      <c:pt idx="157">
                        <c:v>-3.2500000000000001E-2</c:v>
                      </c:pt>
                      <c:pt idx="158">
                        <c:v>-4.3E-3</c:v>
                      </c:pt>
                      <c:pt idx="159">
                        <c:v>4.87E-2</c:v>
                      </c:pt>
                      <c:pt idx="160">
                        <c:v>1.2999999999999999E-2</c:v>
                      </c:pt>
                      <c:pt idx="161">
                        <c:v>-8.43E-2</c:v>
                      </c:pt>
                      <c:pt idx="162">
                        <c:v>-8.3999999999999995E-3</c:v>
                      </c:pt>
                      <c:pt idx="163">
                        <c:v>1.4500000000000001E-2</c:v>
                      </c:pt>
                      <c:pt idx="164">
                        <c:v>-8.9099999999999999E-2</c:v>
                      </c:pt>
                      <c:pt idx="165">
                        <c:v>-0.16789999999999999</c:v>
                      </c:pt>
                      <c:pt idx="166">
                        <c:v>-7.1800000000000003E-2</c:v>
                      </c:pt>
                      <c:pt idx="167">
                        <c:v>1.06E-2</c:v>
                      </c:pt>
                      <c:pt idx="168">
                        <c:v>-8.43E-2</c:v>
                      </c:pt>
                      <c:pt idx="169">
                        <c:v>-0.1065</c:v>
                      </c:pt>
                      <c:pt idx="170">
                        <c:v>8.7599999999999997E-2</c:v>
                      </c:pt>
                      <c:pt idx="171">
                        <c:v>9.5699999999999993E-2</c:v>
                      </c:pt>
                      <c:pt idx="172">
                        <c:v>5.5899999999999998E-2</c:v>
                      </c:pt>
                      <c:pt idx="173">
                        <c:v>2E-3</c:v>
                      </c:pt>
                      <c:pt idx="174">
                        <c:v>7.5600000000000001E-2</c:v>
                      </c:pt>
                      <c:pt idx="175">
                        <c:v>3.61E-2</c:v>
                      </c:pt>
                      <c:pt idx="176">
                        <c:v>3.73E-2</c:v>
                      </c:pt>
                      <c:pt idx="177">
                        <c:v>-1.8599999999999998E-2</c:v>
                      </c:pt>
                      <c:pt idx="178">
                        <c:v>0.06</c:v>
                      </c:pt>
                      <c:pt idx="179">
                        <c:v>1.9300000000000001E-2</c:v>
                      </c:pt>
                      <c:pt idx="180">
                        <c:v>-3.5999999999999997E-2</c:v>
                      </c:pt>
                      <c:pt idx="181">
                        <c:v>3.1E-2</c:v>
                      </c:pt>
                      <c:pt idx="182">
                        <c:v>6.0299999999999999E-2</c:v>
                      </c:pt>
                      <c:pt idx="183">
                        <c:v>1.5800000000000002E-2</c:v>
                      </c:pt>
                      <c:pt idx="184">
                        <c:v>-7.9899999999999999E-2</c:v>
                      </c:pt>
                      <c:pt idx="185">
                        <c:v>-5.2299999999999999E-2</c:v>
                      </c:pt>
                      <c:pt idx="186">
                        <c:v>7.0099999999999996E-2</c:v>
                      </c:pt>
                      <c:pt idx="187">
                        <c:v>-4.5100000000000001E-2</c:v>
                      </c:pt>
                      <c:pt idx="188">
                        <c:v>8.9200000000000002E-2</c:v>
                      </c:pt>
                      <c:pt idx="189">
                        <c:v>3.7999999999999999E-2</c:v>
                      </c:pt>
                      <c:pt idx="190">
                        <c:v>1E-4</c:v>
                      </c:pt>
                      <c:pt idx="191">
                        <c:v>6.6799999999999998E-2</c:v>
                      </c:pt>
                      <c:pt idx="192">
                        <c:v>2.3699999999999999E-2</c:v>
                      </c:pt>
                      <c:pt idx="193">
                        <c:v>3.4299999999999997E-2</c:v>
                      </c:pt>
                      <c:pt idx="194">
                        <c:v>4.0000000000000002E-4</c:v>
                      </c:pt>
                      <c:pt idx="195">
                        <c:v>2.9600000000000001E-2</c:v>
                      </c:pt>
                      <c:pt idx="196">
                        <c:v>-1.1299999999999999E-2</c:v>
                      </c:pt>
                      <c:pt idx="197">
                        <c:v>-1.67E-2</c:v>
                      </c:pt>
                      <c:pt idx="198">
                        <c:v>-2.0299999999999999E-2</c:v>
                      </c:pt>
                      <c:pt idx="199">
                        <c:v>-5.4300000000000001E-2</c:v>
                      </c:pt>
                      <c:pt idx="200">
                        <c:v>-7.0300000000000001E-2</c:v>
                      </c:pt>
                      <c:pt idx="201">
                        <c:v>0.10929999999999999</c:v>
                      </c:pt>
                      <c:pt idx="202">
                        <c:v>-2.2000000000000001E-3</c:v>
                      </c:pt>
                      <c:pt idx="203">
                        <c:v>1.0200000000000001E-2</c:v>
                      </c:pt>
                      <c:pt idx="204">
                        <c:v>4.48E-2</c:v>
                      </c:pt>
                      <c:pt idx="205">
                        <c:v>4.3200000000000002E-2</c:v>
                      </c:pt>
                      <c:pt idx="206">
                        <c:v>3.2899999999999999E-2</c:v>
                      </c:pt>
                      <c:pt idx="207">
                        <c:v>-6.3E-3</c:v>
                      </c:pt>
                      <c:pt idx="208">
                        <c:v>-6.0100000000000001E-2</c:v>
                      </c:pt>
                      <c:pt idx="209">
                        <c:v>4.1200000000000001E-2</c:v>
                      </c:pt>
                      <c:pt idx="210">
                        <c:v>1.3899999999999999E-2</c:v>
                      </c:pt>
                      <c:pt idx="211">
                        <c:v>2.2499999999999999E-2</c:v>
                      </c:pt>
                      <c:pt idx="212">
                        <c:v>2.58E-2</c:v>
                      </c:pt>
                      <c:pt idx="213">
                        <c:v>-1.8499999999999999E-2</c:v>
                      </c:pt>
                      <c:pt idx="214">
                        <c:v>5.7999999999999996E-3</c:v>
                      </c:pt>
                      <c:pt idx="215">
                        <c:v>9.1000000000000004E-3</c:v>
                      </c:pt>
                      <c:pt idx="216">
                        <c:v>5.1799999999999999E-2</c:v>
                      </c:pt>
                      <c:pt idx="217">
                        <c:v>1.3599999999999999E-2</c:v>
                      </c:pt>
                      <c:pt idx="218">
                        <c:v>3.7499999999999999E-2</c:v>
                      </c:pt>
                      <c:pt idx="219">
                        <c:v>1.9300000000000001E-2</c:v>
                      </c:pt>
                      <c:pt idx="220">
                        <c:v>2.3400000000000001E-2</c:v>
                      </c:pt>
                      <c:pt idx="221">
                        <c:v>-1.34E-2</c:v>
                      </c:pt>
                      <c:pt idx="222">
                        <c:v>5.0900000000000001E-2</c:v>
                      </c:pt>
                      <c:pt idx="223">
                        <c:v>-2.9000000000000001E-2</c:v>
                      </c:pt>
                      <c:pt idx="224">
                        <c:v>3.1399999999999997E-2</c:v>
                      </c:pt>
                      <c:pt idx="225">
                        <c:v>4.5999999999999999E-2</c:v>
                      </c:pt>
                      <c:pt idx="226">
                        <c:v>3.0499999999999999E-2</c:v>
                      </c:pt>
                      <c:pt idx="227">
                        <c:v>2.53E-2</c:v>
                      </c:pt>
                      <c:pt idx="228">
                        <c:v>-3.4599999999999999E-2</c:v>
                      </c:pt>
                      <c:pt idx="229">
                        <c:v>4.5699999999999998E-2</c:v>
                      </c:pt>
                      <c:pt idx="230">
                        <c:v>8.3999999999999995E-3</c:v>
                      </c:pt>
                      <c:pt idx="231">
                        <c:v>7.4000000000000003E-3</c:v>
                      </c:pt>
                      <c:pt idx="232">
                        <c:v>2.35E-2</c:v>
                      </c:pt>
                      <c:pt idx="233">
                        <c:v>2.07E-2</c:v>
                      </c:pt>
                      <c:pt idx="234">
                        <c:v>-1.38E-2</c:v>
                      </c:pt>
                      <c:pt idx="235">
                        <c:v>0.04</c:v>
                      </c:pt>
                      <c:pt idx="236">
                        <c:v>-1.4E-2</c:v>
                      </c:pt>
                      <c:pt idx="237">
                        <c:v>2.4400000000000002E-2</c:v>
                      </c:pt>
                      <c:pt idx="238">
                        <c:v>2.69E-2</c:v>
                      </c:pt>
                      <c:pt idx="239">
                        <c:v>-2.5000000000000001E-3</c:v>
                      </c:pt>
                      <c:pt idx="240">
                        <c:v>-3.0019231684279446E-2</c:v>
                      </c:pt>
                      <c:pt idx="241">
                        <c:v>5.7471508598496479E-2</c:v>
                      </c:pt>
                      <c:pt idx="242">
                        <c:v>-1.5814480796489172E-2</c:v>
                      </c:pt>
                      <c:pt idx="243">
                        <c:v>9.5932108070062583E-3</c:v>
                      </c:pt>
                      <c:pt idx="244">
                        <c:v>1.2859260359145752E-2</c:v>
                      </c:pt>
                      <c:pt idx="245">
                        <c:v>-1.9358051941247956E-2</c:v>
                      </c:pt>
                      <c:pt idx="246">
                        <c:v>2.0951226310712112E-2</c:v>
                      </c:pt>
                      <c:pt idx="247">
                        <c:v>-6.0333835260001911E-2</c:v>
                      </c:pt>
                      <c:pt idx="248">
                        <c:v>-2.4743489615968173E-2</c:v>
                      </c:pt>
                      <c:pt idx="249">
                        <c:v>8.4354071099342454E-2</c:v>
                      </c:pt>
                      <c:pt idx="250">
                        <c:v>2.9738497930087426E-3</c:v>
                      </c:pt>
                      <c:pt idx="251">
                        <c:v>-1.5771857660784816E-2</c:v>
                      </c:pt>
                      <c:pt idx="252">
                        <c:v>-4.9624236454603454E-2</c:v>
                      </c:pt>
                      <c:pt idx="253">
                        <c:v>-1.2999999999999999E-3</c:v>
                      </c:pt>
                      <c:pt idx="254">
                        <c:v>6.7799999999999999E-2</c:v>
                      </c:pt>
                      <c:pt idx="255">
                        <c:v>3.8999999999999998E-3</c:v>
                      </c:pt>
                      <c:pt idx="256">
                        <c:v>1.7999999999999999E-2</c:v>
                      </c:pt>
                      <c:pt idx="257">
                        <c:v>2.5999999999999999E-3</c:v>
                      </c:pt>
                      <c:pt idx="258">
                        <c:v>3.6900000000000002E-2</c:v>
                      </c:pt>
                      <c:pt idx="259">
                        <c:v>1.4E-3</c:v>
                      </c:pt>
                      <c:pt idx="260">
                        <c:v>2.0000000000000001E-4</c:v>
                      </c:pt>
                      <c:pt idx="261">
                        <c:v>-1.8200000000000001E-2</c:v>
                      </c:pt>
                      <c:pt idx="262">
                        <c:v>3.6999999999999998E-2</c:v>
                      </c:pt>
                      <c:pt idx="263">
                        <c:v>1.97661086616681E-2</c:v>
                      </c:pt>
                      <c:pt idx="264">
                        <c:v>1.8966441686820899E-2</c:v>
                      </c:pt>
                      <c:pt idx="265">
                        <c:v>3.9705922102918102E-2</c:v>
                      </c:pt>
                      <c:pt idx="266">
                        <c:v>1.1664756978775001E-3</c:v>
                      </c:pt>
                      <c:pt idx="267">
                        <c:v>1.0269915837098201E-2</c:v>
                      </c:pt>
                      <c:pt idx="268">
                        <c:v>1.4072800425422E-2</c:v>
                      </c:pt>
                      <c:pt idx="269">
                        <c:v>6.2415332313649997E-3</c:v>
                      </c:pt>
                      <c:pt idx="270">
                        <c:v>2.0562681374167099E-2</c:v>
                      </c:pt>
                      <c:pt idx="271">
                        <c:v>3.0612134156120501E-3</c:v>
                      </c:pt>
                      <c:pt idx="272">
                        <c:v>2.0628150388177113E-2</c:v>
                      </c:pt>
                      <c:pt idx="273">
                        <c:v>2.3335400570743299E-2</c:v>
                      </c:pt>
                      <c:pt idx="274">
                        <c:v>3.0700000000000002E-2</c:v>
                      </c:pt>
                      <c:pt idx="275">
                        <c:v>1.11E-2</c:v>
                      </c:pt>
                      <c:pt idx="276">
                        <c:v>5.7299999999999997E-2</c:v>
                      </c:pt>
                      <c:pt idx="277">
                        <c:v>-3.6900000000000002E-2</c:v>
                      </c:pt>
                      <c:pt idx="278">
                        <c:v>-2.5399999999999999E-2</c:v>
                      </c:pt>
                      <c:pt idx="279">
                        <c:v>3.8E-3</c:v>
                      </c:pt>
                      <c:pt idx="280">
                        <c:v>2.41E-2</c:v>
                      </c:pt>
                      <c:pt idx="281">
                        <c:v>6.1999999999999998E-3</c:v>
                      </c:pt>
                      <c:pt idx="282">
                        <c:v>3.7199999999999997E-2</c:v>
                      </c:pt>
                      <c:pt idx="283">
                        <c:v>3.2599999999999997E-2</c:v>
                      </c:pt>
                      <c:pt idx="284">
                        <c:v>5.7000000000000002E-3</c:v>
                      </c:pt>
                      <c:pt idx="285">
                        <c:v>-6.8400000000000002E-2</c:v>
                      </c:pt>
                      <c:pt idx="286">
                        <c:v>2.0400000000000001E-2</c:v>
                      </c:pt>
                      <c:pt idx="287">
                        <c:v>-9.0300000000000005E-2</c:v>
                      </c:pt>
                      <c:pt idx="288">
                        <c:v>8.0100000000000005E-2</c:v>
                      </c:pt>
                      <c:pt idx="289">
                        <c:v>3.2099999999999997E-2</c:v>
                      </c:pt>
                      <c:pt idx="290">
                        <c:v>1.9400000000000001E-2</c:v>
                      </c:pt>
                      <c:pt idx="291">
                        <c:v>4.0500000000000001E-2</c:v>
                      </c:pt>
                      <c:pt idx="292">
                        <c:v>-6.3500000000000001E-2</c:v>
                      </c:pt>
                      <c:pt idx="293">
                        <c:v>7.0499999999999993E-2</c:v>
                      </c:pt>
                      <c:pt idx="294">
                        <c:v>1.44E-2</c:v>
                      </c:pt>
                      <c:pt idx="295">
                        <c:v>-1.5800000000000002E-2</c:v>
                      </c:pt>
                      <c:pt idx="296">
                        <c:v>1.8700000000000001E-2</c:v>
                      </c:pt>
                      <c:pt idx="297">
                        <c:v>2.1700000000000001E-2</c:v>
                      </c:pt>
                      <c:pt idx="298">
                        <c:v>3.6299999999999999E-2</c:v>
                      </c:pt>
                      <c:pt idx="299">
                        <c:v>3.0200000000000001E-2</c:v>
                      </c:pt>
                      <c:pt idx="300">
                        <c:v>-4.0000000000000002E-4</c:v>
                      </c:pt>
                      <c:pt idx="301">
                        <c:v>-8.2299999999999998E-2</c:v>
                      </c:pt>
                      <c:pt idx="302">
                        <c:v>-0.1235</c:v>
                      </c:pt>
                      <c:pt idx="303">
                        <c:v>0.12820000000000001</c:v>
                      </c:pt>
                      <c:pt idx="304">
                        <c:v>4.7600000000000003E-2</c:v>
                      </c:pt>
                      <c:pt idx="305">
                        <c:v>1.9900000000000001E-2</c:v>
                      </c:pt>
                      <c:pt idx="306">
                        <c:v>5.6399999999999999E-2</c:v>
                      </c:pt>
                      <c:pt idx="307">
                        <c:v>7.1900000000000006E-2</c:v>
                      </c:pt>
                      <c:pt idx="308">
                        <c:v>-3.7999999999999999E-2</c:v>
                      </c:pt>
                      <c:pt idx="309">
                        <c:v>-2.6599999999999999E-2</c:v>
                      </c:pt>
                      <c:pt idx="310">
                        <c:v>0.1095</c:v>
                      </c:pt>
                      <c:pt idx="311">
                        <c:v>3.8399999999999997E-2</c:v>
                      </c:pt>
                      <c:pt idx="312">
                        <c:v>-1.01E-2</c:v>
                      </c:pt>
                      <c:pt idx="313">
                        <c:v>2.76E-2</c:v>
                      </c:pt>
                      <c:pt idx="314">
                        <c:v>4.3799999999999999E-2</c:v>
                      </c:pt>
                      <c:pt idx="315">
                        <c:v>5.3400000000000003E-2</c:v>
                      </c:pt>
                      <c:pt idx="316">
                        <c:v>7.0000000000000001E-3</c:v>
                      </c:pt>
                      <c:pt idx="317">
                        <c:v>2.3300000000000001E-2</c:v>
                      </c:pt>
                      <c:pt idx="318">
                        <c:v>2.37549055970048E-2</c:v>
                      </c:pt>
                      <c:pt idx="319">
                        <c:v>3.04E-2</c:v>
                      </c:pt>
                      <c:pt idx="320">
                        <c:v>-4.65E-2</c:v>
                      </c:pt>
                      <c:pt idx="321">
                        <c:v>7.0099999999999996E-2</c:v>
                      </c:pt>
                      <c:pt idx="322">
                        <c:v>-6.8999999999999999E-3</c:v>
                      </c:pt>
                      <c:pt idx="323">
                        <c:v>4.48E-2</c:v>
                      </c:pt>
                      <c:pt idx="324">
                        <c:v>-5.1700000000000003E-2</c:v>
                      </c:pt>
                      <c:pt idx="325">
                        <c:v>-2.9899999999999999E-2</c:v>
                      </c:pt>
                      <c:pt idx="326">
                        <c:v>3.7100000000000001E-2</c:v>
                      </c:pt>
                      <c:pt idx="327">
                        <c:v>-8.72E-2</c:v>
                      </c:pt>
                      <c:pt idx="328">
                        <c:v>1.8E-3</c:v>
                      </c:pt>
                      <c:pt idx="329">
                        <c:v>-8.2500000000000004E-2</c:v>
                      </c:pt>
                      <c:pt idx="330">
                        <c:v>9.2200000000000004E-2</c:v>
                      </c:pt>
                      <c:pt idx="331">
                        <c:v>-4.0800000000000003E-2</c:v>
                      </c:pt>
                      <c:pt idx="332">
                        <c:v>-9.2100000000000001E-2</c:v>
                      </c:pt>
                      <c:pt idx="333">
                        <c:v>8.1000000000000003E-2</c:v>
                      </c:pt>
                      <c:pt idx="334">
                        <c:v>5.5899999999999998E-2</c:v>
                      </c:pt>
                      <c:pt idx="335">
                        <c:v>-5.7599999999999998E-2</c:v>
                      </c:pt>
                    </c:numCache>
                  </c:numRef>
                </c:val>
                <c:smooth val="0"/>
                <c:extLst xmlns:c15="http://schemas.microsoft.com/office/drawing/2012/chart">
                  <c:ext xmlns:c16="http://schemas.microsoft.com/office/drawing/2014/chart" uri="{C3380CC4-5D6E-409C-BE32-E72D297353CC}">
                    <c16:uniqueId val="{00000008-7000-43A6-AFE6-277F268E6866}"/>
                  </c:ext>
                </c:extLst>
              </c15:ser>
            </c15:filteredLineSeries>
            <c15:filteredLineSeries>
              <c15:ser>
                <c:idx val="9"/>
                <c:order val="9"/>
                <c:spPr>
                  <a:ln w="22225" cap="rnd">
                    <a:solidFill>
                      <a:schemeClr val="accent4">
                        <a:lumMod val="60000"/>
                      </a:schemeClr>
                    </a:solidFill>
                  </a:ln>
                  <a:effectLst>
                    <a:glow rad="139700">
                      <a:schemeClr val="accent4">
                        <a:lumMod val="60000"/>
                        <a:satMod val="175000"/>
                        <a:alpha val="14000"/>
                      </a:schemeClr>
                    </a:glow>
                  </a:effectLst>
                </c:spPr>
                <c:marker>
                  <c:symbol val="circle"/>
                  <c:size val="4"/>
                  <c:spPr>
                    <a:solidFill>
                      <a:schemeClr val="accent4">
                        <a:lumMod val="60000"/>
                        <a:lumMod val="60000"/>
                        <a:lumOff val="40000"/>
                      </a:schemeClr>
                    </a:solidFill>
                    <a:ln>
                      <a:noFill/>
                    </a:ln>
                    <a:effectLst>
                      <a:glow rad="63500">
                        <a:schemeClr val="accent4">
                          <a:lumMod val="6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Returns'!$K$4:$K$339</c15:sqref>
                        </c15:formulaRef>
                      </c:ext>
                    </c:extLst>
                    <c:numCache>
                      <c:formatCode>0.00%</c:formatCode>
                      <c:ptCount val="336"/>
                      <c:pt idx="11">
                        <c:v>0.33946913618134267</c:v>
                      </c:pt>
                      <c:pt idx="12">
                        <c:v>0.3855468744659809</c:v>
                      </c:pt>
                      <c:pt idx="13">
                        <c:v>0.34660004280020607</c:v>
                      </c:pt>
                      <c:pt idx="14">
                        <c:v>0.3204423108110801</c:v>
                      </c:pt>
                      <c:pt idx="15">
                        <c:v>0.30196561342921302</c:v>
                      </c:pt>
                      <c:pt idx="16">
                        <c:v>0.28480647066444087</c:v>
                      </c:pt>
                      <c:pt idx="17">
                        <c:v>0.26045351948623874</c:v>
                      </c:pt>
                      <c:pt idx="18">
                        <c:v>0.16555050601867882</c:v>
                      </c:pt>
                      <c:pt idx="19">
                        <c:v>0.1870551279009427</c:v>
                      </c:pt>
                      <c:pt idx="20">
                        <c:v>0.20334737123426017</c:v>
                      </c:pt>
                      <c:pt idx="21">
                        <c:v>0.24066140412050063</c:v>
                      </c:pt>
                      <c:pt idx="22">
                        <c:v>0.27857050257973848</c:v>
                      </c:pt>
                      <c:pt idx="23">
                        <c:v>0.23074179747587165</c:v>
                      </c:pt>
                      <c:pt idx="24">
                        <c:v>0.26369959696357625</c:v>
                      </c:pt>
                      <c:pt idx="25">
                        <c:v>0.26182207180960981</c:v>
                      </c:pt>
                      <c:pt idx="26">
                        <c:v>0.19783109510928054</c:v>
                      </c:pt>
                      <c:pt idx="27">
                        <c:v>0.25095260814753573</c:v>
                      </c:pt>
                      <c:pt idx="28">
                        <c:v>0.29436644403177503</c:v>
                      </c:pt>
                      <c:pt idx="29">
                        <c:v>0.34657423307996349</c:v>
                      </c:pt>
                      <c:pt idx="30">
                        <c:v>0.52118495780901375</c:v>
                      </c:pt>
                      <c:pt idx="31">
                        <c:v>0.40678326885510452</c:v>
                      </c:pt>
                      <c:pt idx="32">
                        <c:v>0.4049185684419272</c:v>
                      </c:pt>
                      <c:pt idx="33">
                        <c:v>0.32177758249558774</c:v>
                      </c:pt>
                      <c:pt idx="34">
                        <c:v>0.28541303519391525</c:v>
                      </c:pt>
                      <c:pt idx="35">
                        <c:v>0.33366191289193314</c:v>
                      </c:pt>
                      <c:pt idx="36">
                        <c:v>0.26962203194146817</c:v>
                      </c:pt>
                      <c:pt idx="37">
                        <c:v>0.35022495828236089</c:v>
                      </c:pt>
                      <c:pt idx="38">
                        <c:v>0.48096460365861593</c:v>
                      </c:pt>
                      <c:pt idx="39">
                        <c:v>0.41164701911443591</c:v>
                      </c:pt>
                      <c:pt idx="40">
                        <c:v>0.30711012849601294</c:v>
                      </c:pt>
                      <c:pt idx="41">
                        <c:v>0.30210492026895563</c:v>
                      </c:pt>
                      <c:pt idx="42">
                        <c:v>0.19353586076904272</c:v>
                      </c:pt>
                      <c:pt idx="43">
                        <c:v>8.1057364783819308E-2</c:v>
                      </c:pt>
                      <c:pt idx="44">
                        <c:v>9.0588871697442341E-2</c:v>
                      </c:pt>
                      <c:pt idx="45">
                        <c:v>0.22000180733130992</c:v>
                      </c:pt>
                      <c:pt idx="46">
                        <c:v>0.2366758261068409</c:v>
                      </c:pt>
                      <c:pt idx="47">
                        <c:v>0.28579271892508329</c:v>
                      </c:pt>
                      <c:pt idx="48">
                        <c:v>0.32483320598966614</c:v>
                      </c:pt>
                      <c:pt idx="49">
                        <c:v>0.19730518914596384</c:v>
                      </c:pt>
                      <c:pt idx="50">
                        <c:v>0.18454851285369367</c:v>
                      </c:pt>
                      <c:pt idx="51">
                        <c:v>0.21808785298597266</c:v>
                      </c:pt>
                      <c:pt idx="52">
                        <c:v>0.21015565695513172</c:v>
                      </c:pt>
                      <c:pt idx="53">
                        <c:v>0.22748346714985801</c:v>
                      </c:pt>
                      <c:pt idx="54">
                        <c:v>0.20192640284493835</c:v>
                      </c:pt>
                      <c:pt idx="55">
                        <c:v>0.39807899325545315</c:v>
                      </c:pt>
                      <c:pt idx="56">
                        <c:v>0.27786075447820013</c:v>
                      </c:pt>
                      <c:pt idx="57">
                        <c:v>0.25658868051111661</c:v>
                      </c:pt>
                      <c:pt idx="58">
                        <c:v>0.20884162806476736</c:v>
                      </c:pt>
                      <c:pt idx="59">
                        <c:v>0.21032753399941595</c:v>
                      </c:pt>
                      <c:pt idx="60">
                        <c:v>0.10344508714978407</c:v>
                      </c:pt>
                      <c:pt idx="61">
                        <c:v>0.1173392248969487</c:v>
                      </c:pt>
                      <c:pt idx="62">
                        <c:v>0.17943750104987499</c:v>
                      </c:pt>
                      <c:pt idx="63">
                        <c:v>0.10131552158301105</c:v>
                      </c:pt>
                      <c:pt idx="64">
                        <c:v>0.10481211940860224</c:v>
                      </c:pt>
                      <c:pt idx="65">
                        <c:v>7.2468496017104256E-2</c:v>
                      </c:pt>
                      <c:pt idx="66">
                        <c:v>8.9737807059493857E-2</c:v>
                      </c:pt>
                      <c:pt idx="67">
                        <c:v>0.16322665816873205</c:v>
                      </c:pt>
                      <c:pt idx="68">
                        <c:v>0.13284833499632231</c:v>
                      </c:pt>
                      <c:pt idx="69">
                        <c:v>6.0933294450614017E-2</c:v>
                      </c:pt>
                      <c:pt idx="70">
                        <c:v>-4.2113348183959953E-2</c:v>
                      </c:pt>
                      <c:pt idx="71">
                        <c:v>-9.0962039465540934E-2</c:v>
                      </c:pt>
                      <c:pt idx="72">
                        <c:v>-8.9399788024510096E-3</c:v>
                      </c:pt>
                      <c:pt idx="73">
                        <c:v>-8.197396059083395E-2</c:v>
                      </c:pt>
                      <c:pt idx="74">
                        <c:v>-0.21677610811566295</c:v>
                      </c:pt>
                      <c:pt idx="75">
                        <c:v>-0.12972431355423253</c:v>
                      </c:pt>
                      <c:pt idx="76">
                        <c:v>-0.10555739301178735</c:v>
                      </c:pt>
                      <c:pt idx="77">
                        <c:v>-0.14824550884403775</c:v>
                      </c:pt>
                      <c:pt idx="78">
                        <c:v>-0.1432270447555527</c:v>
                      </c:pt>
                      <c:pt idx="79">
                        <c:v>-0.24381982087737064</c:v>
                      </c:pt>
                      <c:pt idx="80">
                        <c:v>-0.26617312009129956</c:v>
                      </c:pt>
                      <c:pt idx="81">
                        <c:v>-0.24900283860719374</c:v>
                      </c:pt>
                      <c:pt idx="82">
                        <c:v>-0.12223334382149964</c:v>
                      </c:pt>
                      <c:pt idx="83">
                        <c:v>-0.11882674619079403</c:v>
                      </c:pt>
                      <c:pt idx="84">
                        <c:v>-0.16146004412980031</c:v>
                      </c:pt>
                      <c:pt idx="85">
                        <c:v>-9.5118689786636734E-2</c:v>
                      </c:pt>
                      <c:pt idx="86">
                        <c:v>2.4608664076297693E-3</c:v>
                      </c:pt>
                      <c:pt idx="87">
                        <c:v>-0.12618378221831006</c:v>
                      </c:pt>
                      <c:pt idx="88">
                        <c:v>-0.13842259087105857</c:v>
                      </c:pt>
                      <c:pt idx="89">
                        <c:v>-0.1798369400441111</c:v>
                      </c:pt>
                      <c:pt idx="90">
                        <c:v>-0.23632565009156781</c:v>
                      </c:pt>
                      <c:pt idx="91">
                        <c:v>-0.17995028737163654</c:v>
                      </c:pt>
                      <c:pt idx="92">
                        <c:v>-0.20484083021577415</c:v>
                      </c:pt>
                      <c:pt idx="93">
                        <c:v>-0.15108117287289002</c:v>
                      </c:pt>
                      <c:pt idx="94">
                        <c:v>-0.16511549545379689</c:v>
                      </c:pt>
                      <c:pt idx="95">
                        <c:v>-0.22106136431514034</c:v>
                      </c:pt>
                      <c:pt idx="96">
                        <c:v>-0.23023092812064527</c:v>
                      </c:pt>
                      <c:pt idx="97">
                        <c:v>-0.22685578076765112</c:v>
                      </c:pt>
                      <c:pt idx="98">
                        <c:v>-0.24764483600722564</c:v>
                      </c:pt>
                      <c:pt idx="99">
                        <c:v>-0.13311770331511741</c:v>
                      </c:pt>
                      <c:pt idx="100">
                        <c:v>-8.0629665806794204E-2</c:v>
                      </c:pt>
                      <c:pt idx="101">
                        <c:v>2.517522040136333E-3</c:v>
                      </c:pt>
                      <c:pt idx="102">
                        <c:v>0.10646619352282327</c:v>
                      </c:pt>
                      <c:pt idx="103">
                        <c:v>0.12064602056081664</c:v>
                      </c:pt>
                      <c:pt idx="104">
                        <c:v>0.24398874985175856</c:v>
                      </c:pt>
                      <c:pt idx="105">
                        <c:v>0.20808686865199255</c:v>
                      </c:pt>
                      <c:pt idx="106">
                        <c:v>0.1509283530986214</c:v>
                      </c:pt>
                      <c:pt idx="107">
                        <c:v>0.28690713854758698</c:v>
                      </c:pt>
                      <c:pt idx="108">
                        <c:v>0.34584743263181572</c:v>
                      </c:pt>
                      <c:pt idx="109">
                        <c:v>0.38533473293949094</c:v>
                      </c:pt>
                      <c:pt idx="110">
                        <c:v>0.35130848615638732</c:v>
                      </c:pt>
                      <c:pt idx="111">
                        <c:v>0.22883679131904278</c:v>
                      </c:pt>
                      <c:pt idx="112">
                        <c:v>0.18331134735453003</c:v>
                      </c:pt>
                      <c:pt idx="113">
                        <c:v>0.19102249949961325</c:v>
                      </c:pt>
                      <c:pt idx="114">
                        <c:v>0.13168205067430816</c:v>
                      </c:pt>
                      <c:pt idx="115">
                        <c:v>0.11447648737322713</c:v>
                      </c:pt>
                      <c:pt idx="116">
                        <c:v>0.13858180052239555</c:v>
                      </c:pt>
                      <c:pt idx="117">
                        <c:v>9.4077325449922977E-2</c:v>
                      </c:pt>
                      <c:pt idx="118">
                        <c:v>0.1284570352207024</c:v>
                      </c:pt>
                      <c:pt idx="119">
                        <c:v>0.10872726569574942</c:v>
                      </c:pt>
                      <c:pt idx="120">
                        <c:v>6.2131108025110571E-2</c:v>
                      </c:pt>
                      <c:pt idx="121">
                        <c:v>6.9568854219980381E-2</c:v>
                      </c:pt>
                      <c:pt idx="122">
                        <c:v>6.6745340136345588E-2</c:v>
                      </c:pt>
                      <c:pt idx="123">
                        <c:v>6.3168930888707564E-2</c:v>
                      </c:pt>
                      <c:pt idx="124">
                        <c:v>8.2152217511066716E-2</c:v>
                      </c:pt>
                      <c:pt idx="125">
                        <c:v>6.3044173646833679E-2</c:v>
                      </c:pt>
                      <c:pt idx="126">
                        <c:v>0.14033448847501884</c:v>
                      </c:pt>
                      <c:pt idx="127">
                        <c:v>0.12545562214133099</c:v>
                      </c:pt>
                      <c:pt idx="128">
                        <c:v>0.12244935959702796</c:v>
                      </c:pt>
                      <c:pt idx="129">
                        <c:v>8.707224986876505E-2</c:v>
                      </c:pt>
                      <c:pt idx="130">
                        <c:v>8.4251399244406056E-2</c:v>
                      </c:pt>
                      <c:pt idx="131">
                        <c:v>4.891361186090859E-2</c:v>
                      </c:pt>
                      <c:pt idx="132">
                        <c:v>0.10363860452564855</c:v>
                      </c:pt>
                      <c:pt idx="133">
                        <c:v>8.3857422877441579E-2</c:v>
                      </c:pt>
                      <c:pt idx="134">
                        <c:v>0.11717972173817537</c:v>
                      </c:pt>
                      <c:pt idx="135">
                        <c:v>0.15407740062127129</c:v>
                      </c:pt>
                      <c:pt idx="136">
                        <c:v>8.6295766120738637E-2</c:v>
                      </c:pt>
                      <c:pt idx="137">
                        <c:v>8.6295766120738415E-2</c:v>
                      </c:pt>
                      <c:pt idx="138">
                        <c:v>5.3828383986393558E-2</c:v>
                      </c:pt>
                      <c:pt idx="139">
                        <c:v>8.881774096807904E-2</c:v>
                      </c:pt>
                      <c:pt idx="140">
                        <c:v>0.1079349654647912</c:v>
                      </c:pt>
                      <c:pt idx="141">
                        <c:v>0.16348382522011962</c:v>
                      </c:pt>
                      <c:pt idx="142">
                        <c:v>0.14240703208643457</c:v>
                      </c:pt>
                      <c:pt idx="143">
                        <c:v>0.15805331454128169</c:v>
                      </c:pt>
                      <c:pt idx="144">
                        <c:v>0.14521488617354694</c:v>
                      </c:pt>
                      <c:pt idx="145">
                        <c:v>0.11979104717262667</c:v>
                      </c:pt>
                      <c:pt idx="146">
                        <c:v>0.11833117143705296</c:v>
                      </c:pt>
                      <c:pt idx="147">
                        <c:v>0.15243067133581478</c:v>
                      </c:pt>
                      <c:pt idx="148">
                        <c:v>0.22801740297099959</c:v>
                      </c:pt>
                      <c:pt idx="149">
                        <c:v>0.20594399249219197</c:v>
                      </c:pt>
                      <c:pt idx="150">
                        <c:v>0.16135930105837204</c:v>
                      </c:pt>
                      <c:pt idx="151">
                        <c:v>0.1513655762661037</c:v>
                      </c:pt>
                      <c:pt idx="152">
                        <c:v>0.1643855028450536</c:v>
                      </c:pt>
                      <c:pt idx="153">
                        <c:v>0.14555416651199882</c:v>
                      </c:pt>
                      <c:pt idx="154">
                        <c:v>7.7203142641606659E-2</c:v>
                      </c:pt>
                      <c:pt idx="155">
                        <c:v>5.5000434869210801E-2</c:v>
                      </c:pt>
                      <c:pt idx="156">
                        <c:v>-2.3070761311905552E-2</c:v>
                      </c:pt>
                      <c:pt idx="157">
                        <c:v>-3.596442573667824E-2</c:v>
                      </c:pt>
                      <c:pt idx="158">
                        <c:v>-5.0722698931951138E-2</c:v>
                      </c:pt>
                      <c:pt idx="159">
                        <c:v>-4.6723062692652917E-2</c:v>
                      </c:pt>
                      <c:pt idx="160">
                        <c:v>-6.6895799118424137E-2</c:v>
                      </c:pt>
                      <c:pt idx="161">
                        <c:v>-0.13113329596577306</c:v>
                      </c:pt>
                      <c:pt idx="162">
                        <c:v>-0.11086870617096045</c:v>
                      </c:pt>
                      <c:pt idx="163">
                        <c:v>-0.11129794619694688</c:v>
                      </c:pt>
                      <c:pt idx="164">
                        <c:v>-0.21966579833313959</c:v>
                      </c:pt>
                      <c:pt idx="165">
                        <c:v>-0.36084645220297829</c:v>
                      </c:pt>
                      <c:pt idx="166">
                        <c:v>-0.38085752132624129</c:v>
                      </c:pt>
                      <c:pt idx="167">
                        <c:v>-0.36994724705699267</c:v>
                      </c:pt>
                      <c:pt idx="168">
                        <c:v>-0.38623478098945541</c:v>
                      </c:pt>
                      <c:pt idx="169">
                        <c:v>-0.43317909748225158</c:v>
                      </c:pt>
                      <c:pt idx="170">
                        <c:v>-0.38086329860570167</c:v>
                      </c:pt>
                      <c:pt idx="171">
                        <c:v>-0.35311520576167366</c:v>
                      </c:pt>
                      <c:pt idx="172">
                        <c:v>-0.32571998594644724</c:v>
                      </c:pt>
                      <c:pt idx="173">
                        <c:v>-0.26217257389793625</c:v>
                      </c:pt>
                      <c:pt idx="174">
                        <c:v>-0.19967004889534123</c:v>
                      </c:pt>
                      <c:pt idx="175">
                        <c:v>-0.18263000262243756</c:v>
                      </c:pt>
                      <c:pt idx="176">
                        <c:v>-6.9208586804538674E-2</c:v>
                      </c:pt>
                      <c:pt idx="177">
                        <c:v>9.779917426995044E-2</c:v>
                      </c:pt>
                      <c:pt idx="178">
                        <c:v>0.25368145305553491</c:v>
                      </c:pt>
                      <c:pt idx="179">
                        <c:v>0.26447407985306426</c:v>
                      </c:pt>
                      <c:pt idx="180">
                        <c:v>0.33117070326346387</c:v>
                      </c:pt>
                      <c:pt idx="181">
                        <c:v>0.53602349755414846</c:v>
                      </c:pt>
                      <c:pt idx="182">
                        <c:v>0.4974675565066784</c:v>
                      </c:pt>
                      <c:pt idx="183">
                        <c:v>0.38827009573741367</c:v>
                      </c:pt>
                      <c:pt idx="184">
                        <c:v>0.20972375706789848</c:v>
                      </c:pt>
                      <c:pt idx="185">
                        <c:v>0.14416687083158441</c:v>
                      </c:pt>
                      <c:pt idx="186">
                        <c:v>0.13831625927564017</c:v>
                      </c:pt>
                      <c:pt idx="187">
                        <c:v>4.9105487870195086E-2</c:v>
                      </c:pt>
                      <c:pt idx="188">
                        <c:v>0.10159616059791388</c:v>
                      </c:pt>
                      <c:pt idx="189">
                        <c:v>0.16512819920586352</c:v>
                      </c:pt>
                      <c:pt idx="190">
                        <c:v>9.9287464175267681E-2</c:v>
                      </c:pt>
                      <c:pt idx="191">
                        <c:v>0.15051492865905569</c:v>
                      </c:pt>
                      <c:pt idx="192">
                        <c:v>0.2217656975811988</c:v>
                      </c:pt>
                      <c:pt idx="193">
                        <c:v>0.22567629583727844</c:v>
                      </c:pt>
                      <c:pt idx="194">
                        <c:v>0.15643361912252507</c:v>
                      </c:pt>
                      <c:pt idx="195">
                        <c:v>0.17214417626358691</c:v>
                      </c:pt>
                      <c:pt idx="196">
                        <c:v>0.25953586248430383</c:v>
                      </c:pt>
                      <c:pt idx="197">
                        <c:v>0.30684986132828573</c:v>
                      </c:pt>
                      <c:pt idx="198">
                        <c:v>0.19644968614458613</c:v>
                      </c:pt>
                      <c:pt idx="199">
                        <c:v>0.18492247165874409</c:v>
                      </c:pt>
                      <c:pt idx="200">
                        <c:v>1.1405088047314438E-2</c:v>
                      </c:pt>
                      <c:pt idx="201">
                        <c:v>8.0878289181970597E-2</c:v>
                      </c:pt>
                      <c:pt idx="202">
                        <c:v>7.8392517694001018E-2</c:v>
                      </c:pt>
                      <c:pt idx="203">
                        <c:v>2.1177466605249329E-2</c:v>
                      </c:pt>
                      <c:pt idx="204">
                        <c:v>4.2225473389825297E-2</c:v>
                      </c:pt>
                      <c:pt idx="205">
                        <c:v>5.1193670927454082E-2</c:v>
                      </c:pt>
                      <c:pt idx="206">
                        <c:v>8.5343805178895948E-2</c:v>
                      </c:pt>
                      <c:pt idx="207">
                        <c:v>4.750013520422347E-2</c:v>
                      </c:pt>
                      <c:pt idx="208">
                        <c:v>-4.2021067275717083E-3</c:v>
                      </c:pt>
                      <c:pt idx="209">
                        <c:v>5.4433811120972342E-2</c:v>
                      </c:pt>
                      <c:pt idx="210">
                        <c:v>9.124266724053709E-2</c:v>
                      </c:pt>
                      <c:pt idx="211">
                        <c:v>0.17986214153901736</c:v>
                      </c:pt>
                      <c:pt idx="212">
                        <c:v>0.30182057092688419</c:v>
                      </c:pt>
                      <c:pt idx="213">
                        <c:v>0.15184070167198871</c:v>
                      </c:pt>
                      <c:pt idx="214">
                        <c:v>0.16107574437932048</c:v>
                      </c:pt>
                      <c:pt idx="215">
                        <c:v>0.15981145679387554</c:v>
                      </c:pt>
                      <c:pt idx="216">
                        <c:v>0.1675820159416137</c:v>
                      </c:pt>
                      <c:pt idx="217">
                        <c:v>0.13445277162425207</c:v>
                      </c:pt>
                      <c:pt idx="218">
                        <c:v>0.1395050349115714</c:v>
                      </c:pt>
                      <c:pt idx="219">
                        <c:v>0.16886130832782986</c:v>
                      </c:pt>
                      <c:pt idx="220">
                        <c:v>0.27270205654080359</c:v>
                      </c:pt>
                      <c:pt idx="221">
                        <c:v>0.20596220609215976</c:v>
                      </c:pt>
                      <c:pt idx="222">
                        <c:v>0.24997108431033732</c:v>
                      </c:pt>
                      <c:pt idx="223">
                        <c:v>0.18701410549177222</c:v>
                      </c:pt>
                      <c:pt idx="224">
                        <c:v>0.19349419809340396</c:v>
                      </c:pt>
                      <c:pt idx="225">
                        <c:v>0.27192555395384743</c:v>
                      </c:pt>
                      <c:pt idx="226">
                        <c:v>0.3031609498403649</c:v>
                      </c:pt>
                      <c:pt idx="227">
                        <c:v>0.3240817776943079</c:v>
                      </c:pt>
                      <c:pt idx="228">
                        <c:v>0.2153152198004229</c:v>
                      </c:pt>
                      <c:pt idx="229">
                        <c:v>0.2538033991173072</c:v>
                      </c:pt>
                      <c:pt idx="230">
                        <c:v>0.21863647968182387</c:v>
                      </c:pt>
                      <c:pt idx="231">
                        <c:v>0.20440929032813648</c:v>
                      </c:pt>
                      <c:pt idx="232">
                        <c:v>0.20452697738015191</c:v>
                      </c:pt>
                      <c:pt idx="233">
                        <c:v>0.24615921935122764</c:v>
                      </c:pt>
                      <c:pt idx="234">
                        <c:v>0.16943783625861708</c:v>
                      </c:pt>
                      <c:pt idx="235">
                        <c:v>0.25253898013281373</c:v>
                      </c:pt>
                      <c:pt idx="236">
                        <c:v>0.19740491992529963</c:v>
                      </c:pt>
                      <c:pt idx="237">
                        <c:v>0.17267839385418404</c:v>
                      </c:pt>
                      <c:pt idx="238">
                        <c:v>0.1685817007752175</c:v>
                      </c:pt>
                      <c:pt idx="239">
                        <c:v>0.1368967585324099</c:v>
                      </c:pt>
                      <c:pt idx="240">
                        <c:v>0.14229126925307511</c:v>
                      </c:pt>
                      <c:pt idx="241">
                        <c:v>0.15515011165338088</c:v>
                      </c:pt>
                      <c:pt idx="242">
                        <c:v>0.12741175366479229</c:v>
                      </c:pt>
                      <c:pt idx="243">
                        <c:v>0.12986624209251052</c:v>
                      </c:pt>
                      <c:pt idx="244">
                        <c:v>0.11811967393315803</c:v>
                      </c:pt>
                      <c:pt idx="245">
                        <c:v>7.4238321944380514E-2</c:v>
                      </c:pt>
                      <c:pt idx="246">
                        <c:v>0.11209179896479116</c:v>
                      </c:pt>
                      <c:pt idx="247">
                        <c:v>4.8029188192788563E-3</c:v>
                      </c:pt>
                      <c:pt idx="248">
                        <c:v>-6.1454480411969881E-3</c:v>
                      </c:pt>
                      <c:pt idx="249">
                        <c:v>5.2020919071789073E-2</c:v>
                      </c:pt>
                      <c:pt idx="250">
                        <c:v>2.7509466612340105E-2</c:v>
                      </c:pt>
                      <c:pt idx="251">
                        <c:v>1.3838329383279335E-2</c:v>
                      </c:pt>
                      <c:pt idx="252">
                        <c:v>-6.6531132650223812E-3</c:v>
                      </c:pt>
                      <c:pt idx="253">
                        <c:v>-6.1860742615157505E-2</c:v>
                      </c:pt>
                      <c:pt idx="254">
                        <c:v>1.7841737649457734E-2</c:v>
                      </c:pt>
                      <c:pt idx="255">
                        <c:v>1.2102012462541945E-2</c:v>
                      </c:pt>
                      <c:pt idx="256">
                        <c:v>1.7238908712283285E-2</c:v>
                      </c:pt>
                      <c:pt idx="257">
                        <c:v>4.0016421787651524E-2</c:v>
                      </c:pt>
                      <c:pt idx="258">
                        <c:v>5.6263022131306073E-2</c:v>
                      </c:pt>
                      <c:pt idx="259">
                        <c:v>0.12565699399739794</c:v>
                      </c:pt>
                      <c:pt idx="260">
                        <c:v>0.15444717713584133</c:v>
                      </c:pt>
                      <c:pt idx="261">
                        <c:v>4.5263967481458112E-2</c:v>
                      </c:pt>
                      <c:pt idx="262">
                        <c:v>8.0724820993061996E-2</c:v>
                      </c:pt>
                      <c:pt idx="263">
                        <c:v>0.1197470361077495</c:v>
                      </c:pt>
                      <c:pt idx="264">
                        <c:v>0.2005616059858375</c:v>
                      </c:pt>
                      <c:pt idx="265">
                        <c:v>0.24985582416427898</c:v>
                      </c:pt>
                      <c:pt idx="266">
                        <c:v>0.17186153831149764</c:v>
                      </c:pt>
                      <c:pt idx="267">
                        <c:v>0.17929719860811777</c:v>
                      </c:pt>
                      <c:pt idx="268">
                        <c:v>0.1747477531693411</c:v>
                      </c:pt>
                      <c:pt idx="269">
                        <c:v>0.17901454249872217</c:v>
                      </c:pt>
                      <c:pt idx="270">
                        <c:v>0.16043807780078367</c:v>
                      </c:pt>
                      <c:pt idx="271">
                        <c:v>0.16236311804726844</c:v>
                      </c:pt>
                      <c:pt idx="272">
                        <c:v>0.18609345074819772</c:v>
                      </c:pt>
                      <c:pt idx="273">
                        <c:v>0.169063639723006</c:v>
                      </c:pt>
                      <c:pt idx="274">
                        <c:v>0.22869999999999999</c:v>
                      </c:pt>
                      <c:pt idx="275">
                        <c:v>0.21832888167994557</c:v>
                      </c:pt>
                      <c:pt idx="276">
                        <c:v>0.26416246296373691</c:v>
                      </c:pt>
                      <c:pt idx="277">
                        <c:v>0.17101849878648268</c:v>
                      </c:pt>
                      <c:pt idx="278">
                        <c:v>0.13994491088184335</c:v>
                      </c:pt>
                      <c:pt idx="279">
                        <c:v>0.1326445374700278</c:v>
                      </c:pt>
                      <c:pt idx="280">
                        <c:v>0.14384417996068799</c:v>
                      </c:pt>
                      <c:pt idx="281">
                        <c:v>0.1437969670963779</c:v>
                      </c:pt>
                      <c:pt idx="282">
                        <c:v>0.16244326382282748</c:v>
                      </c:pt>
                      <c:pt idx="283">
                        <c:v>0.1966756347163221</c:v>
                      </c:pt>
                      <c:pt idx="284">
                        <c:v>0.17917253739912709</c:v>
                      </c:pt>
                      <c:pt idx="285">
                        <c:v>7.3467345337953294E-2</c:v>
                      </c:pt>
                      <c:pt idx="286">
                        <c:v>6.2739962339039002E-2</c:v>
                      </c:pt>
                      <c:pt idx="287">
                        <c:v>-4.3838845079790523E-2</c:v>
                      </c:pt>
                      <c:pt idx="288">
                        <c:v>-2.3219839752843363E-2</c:v>
                      </c:pt>
                      <c:pt idx="289">
                        <c:v>4.6760256869577521E-2</c:v>
                      </c:pt>
                      <c:pt idx="290">
                        <c:v>9.4877288993276743E-2</c:v>
                      </c:pt>
                      <c:pt idx="291">
                        <c:v>0.13490717194411661</c:v>
                      </c:pt>
                      <c:pt idx="292">
                        <c:v>3.7828890270154458E-2</c:v>
                      </c:pt>
                      <c:pt idx="293">
                        <c:v>0.10415009643629514</c:v>
                      </c:pt>
                      <c:pt idx="294">
                        <c:v>7.9878382014055394E-2</c:v>
                      </c:pt>
                      <c:pt idx="295">
                        <c:v>2.9262350937665271E-2</c:v>
                      </c:pt>
                      <c:pt idx="296">
                        <c:v>4.2566925425275626E-2</c:v>
                      </c:pt>
                      <c:pt idx="297">
                        <c:v>0.1433991280667708</c:v>
                      </c:pt>
                      <c:pt idx="298">
                        <c:v>0.16121571581300942</c:v>
                      </c:pt>
                      <c:pt idx="299">
                        <c:v>0.31503180216616733</c:v>
                      </c:pt>
                      <c:pt idx="300">
                        <c:v>0.21702230297685499</c:v>
                      </c:pt>
                      <c:pt idx="301">
                        <c:v>8.2125150122913659E-2</c:v>
                      </c:pt>
                      <c:pt idx="302">
                        <c:v>-6.956769267928764E-2</c:v>
                      </c:pt>
                      <c:pt idx="303">
                        <c:v>8.8550976638424039E-3</c:v>
                      </c:pt>
                      <c:pt idx="304">
                        <c:v>0.12853881506955789</c:v>
                      </c:pt>
                      <c:pt idx="305">
                        <c:v>7.5195457720170333E-2</c:v>
                      </c:pt>
                      <c:pt idx="306">
                        <c:v>0.11971261981031933</c:v>
                      </c:pt>
                      <c:pt idx="307">
                        <c:v>0.21948786544877219</c:v>
                      </c:pt>
                      <c:pt idx="308">
                        <c:v>0.15161217881782529</c:v>
                      </c:pt>
                      <c:pt idx="309">
                        <c:v>9.7170690869404996E-2</c:v>
                      </c:pt>
                      <c:pt idx="310">
                        <c:v>0.17467034789115599</c:v>
                      </c:pt>
                      <c:pt idx="311">
                        <c:v>0.18402027688815403</c:v>
                      </c:pt>
                      <c:pt idx="312">
                        <c:v>0.17253068436532981</c:v>
                      </c:pt>
                      <c:pt idx="313">
                        <c:v>0.31294816525423719</c:v>
                      </c:pt>
                      <c:pt idx="314">
                        <c:v>0.56355424403008891</c:v>
                      </c:pt>
                      <c:pt idx="315">
                        <c:v>0.45989012645035854</c:v>
                      </c:pt>
                      <c:pt idx="316">
                        <c:v>0.40331171948788769</c:v>
                      </c:pt>
                      <c:pt idx="317">
                        <c:v>0.40798988386307999</c:v>
                      </c:pt>
                      <c:pt idx="318">
                        <c:v>0.36447988511528351</c:v>
                      </c:pt>
                      <c:pt idx="319">
                        <c:v>0.3116522750469144</c:v>
                      </c:pt>
                      <c:pt idx="320">
                        <c:v>0.30006283186822524</c:v>
                      </c:pt>
                      <c:pt idx="321">
                        <c:v>0.42921433776678475</c:v>
                      </c:pt>
                      <c:pt idx="322">
                        <c:v>0.27927242797313623</c:v>
                      </c:pt>
                      <c:pt idx="323">
                        <c:v>0.28715700380039699</c:v>
                      </c:pt>
                      <c:pt idx="324">
                        <c:v>0.23306494262442312</c:v>
                      </c:pt>
                      <c:pt idx="325">
                        <c:v>0.16406802339427107</c:v>
                      </c:pt>
                      <c:pt idx="326">
                        <c:v>0.15659604048878917</c:v>
                      </c:pt>
                      <c:pt idx="327">
                        <c:v>2.2222002640657212E-3</c:v>
                      </c:pt>
                      <c:pt idx="328">
                        <c:v>-2.9531278802965577E-3</c:v>
                      </c:pt>
                      <c:pt idx="329">
                        <c:v>-0.10603879099987557</c:v>
                      </c:pt>
                      <c:pt idx="330">
                        <c:v>-4.6271302699589567E-2</c:v>
                      </c:pt>
                      <c:pt idx="331">
                        <c:v>-0.11217336330497496</c:v>
                      </c:pt>
                      <c:pt idx="332">
                        <c:v>-0.15463261305148013</c:v>
                      </c:pt>
                      <c:pt idx="333">
                        <c:v>-0.1460217313416039</c:v>
                      </c:pt>
                      <c:pt idx="334">
                        <c:v>-9.2019279149732736E-2</c:v>
                      </c:pt>
                      <c:pt idx="335">
                        <c:v>-0.1810097326480743</c:v>
                      </c:pt>
                    </c:numCache>
                  </c:numRef>
                </c:val>
                <c:smooth val="0"/>
                <c:extLst xmlns:c15="http://schemas.microsoft.com/office/drawing/2012/chart">
                  <c:ext xmlns:c16="http://schemas.microsoft.com/office/drawing/2014/chart" uri="{C3380CC4-5D6E-409C-BE32-E72D297353CC}">
                    <c16:uniqueId val="{00000009-7000-43A6-AFE6-277F268E6866}"/>
                  </c:ext>
                </c:extLst>
              </c15:ser>
            </c15:filteredLineSeries>
            <c15:filteredLineSeries>
              <c15:ser>
                <c:idx val="10"/>
                <c:order val="10"/>
                <c:spPr>
                  <a:ln w="22225" cap="rnd">
                    <a:solidFill>
                      <a:schemeClr val="accent5">
                        <a:lumMod val="60000"/>
                      </a:schemeClr>
                    </a:solidFill>
                  </a:ln>
                  <a:effectLst>
                    <a:glow rad="139700">
                      <a:schemeClr val="accent5">
                        <a:lumMod val="60000"/>
                        <a:satMod val="175000"/>
                        <a:alpha val="14000"/>
                      </a:schemeClr>
                    </a:glow>
                  </a:effectLst>
                </c:spPr>
                <c:marker>
                  <c:symbol val="circle"/>
                  <c:size val="4"/>
                  <c:spPr>
                    <a:solidFill>
                      <a:schemeClr val="accent5">
                        <a:lumMod val="60000"/>
                        <a:lumMod val="60000"/>
                        <a:lumOff val="40000"/>
                      </a:schemeClr>
                    </a:solidFill>
                    <a:ln>
                      <a:noFill/>
                    </a:ln>
                    <a:effectLst>
                      <a:glow rad="63500">
                        <a:schemeClr val="accent5">
                          <a:lumMod val="6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Returns'!$L$4:$L$339</c15:sqref>
                        </c15:formulaRef>
                      </c:ext>
                    </c:extLst>
                    <c:numCache>
                      <c:formatCode>0.00%</c:formatCode>
                      <c:ptCount val="336"/>
                      <c:pt idx="204">
                        <c:v>8.7999999999999998E-5</c:v>
                      </c:pt>
                      <c:pt idx="205">
                        <c:v>-2.0000000000000001E-4</c:v>
                      </c:pt>
                      <c:pt idx="206">
                        <c:v>-5.4999999999999997E-3</c:v>
                      </c:pt>
                      <c:pt idx="207">
                        <c:v>1.11E-2</c:v>
                      </c:pt>
                      <c:pt idx="208">
                        <c:v>8.9999999999999993E-3</c:v>
                      </c:pt>
                      <c:pt idx="209">
                        <c:v>4.0000000000000002E-4</c:v>
                      </c:pt>
                      <c:pt idx="210">
                        <c:v>1.38E-2</c:v>
                      </c:pt>
                      <c:pt idx="211">
                        <c:v>6.9999999999999999E-4</c:v>
                      </c:pt>
                      <c:pt idx="212">
                        <c:v>1.4E-3</c:v>
                      </c:pt>
                      <c:pt idx="213">
                        <c:v>2E-3</c:v>
                      </c:pt>
                      <c:pt idx="214">
                        <c:v>1.6000000000000001E-3</c:v>
                      </c:pt>
                      <c:pt idx="215">
                        <c:v>-1.4E-3</c:v>
                      </c:pt>
                      <c:pt idx="216">
                        <c:v>-7.0000000000000001E-3</c:v>
                      </c:pt>
                      <c:pt idx="217">
                        <c:v>5.0000000000000001E-3</c:v>
                      </c:pt>
                      <c:pt idx="218">
                        <c:v>8.0000000000000004E-4</c:v>
                      </c:pt>
                      <c:pt idx="219">
                        <c:v>1.01E-2</c:v>
                      </c:pt>
                      <c:pt idx="220">
                        <c:v>-1.78E-2</c:v>
                      </c:pt>
                      <c:pt idx="221">
                        <c:v>-1.55E-2</c:v>
                      </c:pt>
                      <c:pt idx="222">
                        <c:v>1.4E-3</c:v>
                      </c:pt>
                      <c:pt idx="223">
                        <c:v>-5.1000000000000004E-3</c:v>
                      </c:pt>
                      <c:pt idx="224">
                        <c:v>9.4999999999999998E-3</c:v>
                      </c:pt>
                      <c:pt idx="225">
                        <c:v>8.0999999999999996E-3</c:v>
                      </c:pt>
                      <c:pt idx="226">
                        <c:v>-3.7000000000000002E-3</c:v>
                      </c:pt>
                      <c:pt idx="227">
                        <c:v>-5.7000000000000002E-3</c:v>
                      </c:pt>
                      <c:pt idx="228">
                        <c:v>1.4800000000000001E-2</c:v>
                      </c:pt>
                      <c:pt idx="229">
                        <c:v>5.3E-3</c:v>
                      </c:pt>
                      <c:pt idx="230">
                        <c:v>-1.6999999999999999E-3</c:v>
                      </c:pt>
                      <c:pt idx="231">
                        <c:v>8.3999999999999995E-3</c:v>
                      </c:pt>
                      <c:pt idx="232">
                        <c:v>1.14E-2</c:v>
                      </c:pt>
                      <c:pt idx="233">
                        <c:v>5.0000000000000001E-4</c:v>
                      </c:pt>
                      <c:pt idx="234">
                        <c:v>-2.5000000000000001E-3</c:v>
                      </c:pt>
                      <c:pt idx="235">
                        <c:v>1.0999999999999999E-2</c:v>
                      </c:pt>
                      <c:pt idx="236">
                        <c:v>-6.7999999999999996E-3</c:v>
                      </c:pt>
                      <c:pt idx="237">
                        <c:v>9.7999999999999997E-3</c:v>
                      </c:pt>
                      <c:pt idx="238">
                        <c:v>7.1000000000000004E-3</c:v>
                      </c:pt>
                      <c:pt idx="239">
                        <c:v>8.9999999999999998E-4</c:v>
                      </c:pt>
                      <c:pt idx="240">
                        <c:v>2.1000000000000001E-2</c:v>
                      </c:pt>
                      <c:pt idx="241">
                        <c:v>-9.4000000000000004E-3</c:v>
                      </c:pt>
                      <c:pt idx="242">
                        <c:v>4.5999999999999999E-3</c:v>
                      </c:pt>
                      <c:pt idx="243">
                        <c:v>-3.5999999999999999E-3</c:v>
                      </c:pt>
                      <c:pt idx="244">
                        <c:v>-2.3999999999999998E-3</c:v>
                      </c:pt>
                      <c:pt idx="245">
                        <c:v>-1.09E-2</c:v>
                      </c:pt>
                      <c:pt idx="246">
                        <c:v>7.0000000000000001E-3</c:v>
                      </c:pt>
                      <c:pt idx="247">
                        <c:v>-1.4E-3</c:v>
                      </c:pt>
                      <c:pt idx="248">
                        <c:v>6.7999999999999996E-3</c:v>
                      </c:pt>
                      <c:pt idx="249">
                        <c:v>2.0000000000000001E-4</c:v>
                      </c:pt>
                      <c:pt idx="250">
                        <c:v>-2.5999999999999999E-3</c:v>
                      </c:pt>
                      <c:pt idx="251">
                        <c:v>-3.2000000000000002E-3</c:v>
                      </c:pt>
                      <c:pt idx="252">
                        <c:v>1.38E-2</c:v>
                      </c:pt>
                      <c:pt idx="253">
                        <c:v>7.1000000000000004E-3</c:v>
                      </c:pt>
                      <c:pt idx="254">
                        <c:v>9.1999999999999998E-3</c:v>
                      </c:pt>
                      <c:pt idx="255">
                        <c:v>3.8E-3</c:v>
                      </c:pt>
                      <c:pt idx="256">
                        <c:v>2.9999999999999997E-4</c:v>
                      </c:pt>
                      <c:pt idx="257">
                        <c:v>1.7999999999999999E-2</c:v>
                      </c:pt>
                      <c:pt idx="258">
                        <c:v>6.3E-3</c:v>
                      </c:pt>
                      <c:pt idx="259">
                        <c:v>-1.1000000000000001E-3</c:v>
                      </c:pt>
                      <c:pt idx="260">
                        <c:v>-5.9999999999999995E-4</c:v>
                      </c:pt>
                      <c:pt idx="261">
                        <c:v>-7.6E-3</c:v>
                      </c:pt>
                      <c:pt idx="262">
                        <c:v>-2.3699999999999999E-2</c:v>
                      </c:pt>
                      <c:pt idx="263">
                        <c:v>1.4E-3</c:v>
                      </c:pt>
                      <c:pt idx="264">
                        <c:v>2E-3</c:v>
                      </c:pt>
                      <c:pt idx="265">
                        <c:v>6.7000000000000002E-3</c:v>
                      </c:pt>
                      <c:pt idx="266">
                        <c:v>-5.0000000000000001E-4</c:v>
                      </c:pt>
                      <c:pt idx="267">
                        <c:v>7.7000000000000002E-3</c:v>
                      </c:pt>
                      <c:pt idx="268">
                        <c:v>7.7000000000000002E-3</c:v>
                      </c:pt>
                      <c:pt idx="269">
                        <c:v>-1E-3</c:v>
                      </c:pt>
                      <c:pt idx="270">
                        <c:v>4.3E-3</c:v>
                      </c:pt>
                      <c:pt idx="271">
                        <c:v>8.9999999999999993E-3</c:v>
                      </c:pt>
                      <c:pt idx="272">
                        <c:v>-4.7999999999999996E-3</c:v>
                      </c:pt>
                      <c:pt idx="273">
                        <c:v>5.9999999999999995E-4</c:v>
                      </c:pt>
                      <c:pt idx="274">
                        <c:v>-1.2999999999999999E-3</c:v>
                      </c:pt>
                      <c:pt idx="275">
                        <c:v>4.5999999999999999E-3</c:v>
                      </c:pt>
                      <c:pt idx="276">
                        <c:v>-1.15E-2</c:v>
                      </c:pt>
                      <c:pt idx="277">
                        <c:v>-9.4999999999999998E-3</c:v>
                      </c:pt>
                      <c:pt idx="278">
                        <c:v>6.4000000000000003E-3</c:v>
                      </c:pt>
                      <c:pt idx="279">
                        <c:v>-7.4000000000000003E-3</c:v>
                      </c:pt>
                      <c:pt idx="280">
                        <c:v>7.1000000000000004E-3</c:v>
                      </c:pt>
                      <c:pt idx="281">
                        <c:v>-1.1999999999999999E-3</c:v>
                      </c:pt>
                      <c:pt idx="282">
                        <c:v>2.0000000000000001E-4</c:v>
                      </c:pt>
                      <c:pt idx="283">
                        <c:v>6.4000000000000003E-3</c:v>
                      </c:pt>
                      <c:pt idx="284">
                        <c:v>-6.4000000000000003E-3</c:v>
                      </c:pt>
                      <c:pt idx="285">
                        <c:v>-7.9000000000000008E-3</c:v>
                      </c:pt>
                      <c:pt idx="286">
                        <c:v>6.0000000000000001E-3</c:v>
                      </c:pt>
                      <c:pt idx="287">
                        <c:v>1.84E-2</c:v>
                      </c:pt>
                      <c:pt idx="288">
                        <c:v>1.06E-2</c:v>
                      </c:pt>
                      <c:pt idx="289">
                        <c:v>-5.9999999999999995E-4</c:v>
                      </c:pt>
                      <c:pt idx="290">
                        <c:v>1.9199999999999998E-2</c:v>
                      </c:pt>
                      <c:pt idx="291">
                        <c:v>2.9999999999999997E-4</c:v>
                      </c:pt>
                      <c:pt idx="292">
                        <c:v>1.78E-2</c:v>
                      </c:pt>
                      <c:pt idx="293">
                        <c:v>1.26E-2</c:v>
                      </c:pt>
                      <c:pt idx="294">
                        <c:v>2.2000000000000001E-3</c:v>
                      </c:pt>
                      <c:pt idx="295">
                        <c:v>2.5899999999999999E-2</c:v>
                      </c:pt>
                      <c:pt idx="296">
                        <c:v>-5.3E-3</c:v>
                      </c:pt>
                      <c:pt idx="297">
                        <c:v>3.0000000000000001E-3</c:v>
                      </c:pt>
                      <c:pt idx="298">
                        <c:v>-5.0000000000000001E-4</c:v>
                      </c:pt>
                      <c:pt idx="299">
                        <c:v>-6.9999999999999999E-4</c:v>
                      </c:pt>
                      <c:pt idx="300">
                        <c:v>1.9199999999999998E-2</c:v>
                      </c:pt>
                      <c:pt idx="301">
                        <c:v>1.7999999999999999E-2</c:v>
                      </c:pt>
                      <c:pt idx="302">
                        <c:v>-5.8999999999999999E-3</c:v>
                      </c:pt>
                      <c:pt idx="303">
                        <c:v>1.78E-2</c:v>
                      </c:pt>
                      <c:pt idx="304">
                        <c:v>4.7000000000000002E-3</c:v>
                      </c:pt>
                      <c:pt idx="305">
                        <c:v>6.3E-3</c:v>
                      </c:pt>
                      <c:pt idx="306">
                        <c:v>1.4999999999999999E-2</c:v>
                      </c:pt>
                      <c:pt idx="307">
                        <c:v>-8.0999999999999996E-3</c:v>
                      </c:pt>
                      <c:pt idx="308">
                        <c:v>-5.9999999999999995E-4</c:v>
                      </c:pt>
                      <c:pt idx="309">
                        <c:v>-4.4999999999999997E-3</c:v>
                      </c:pt>
                      <c:pt idx="310">
                        <c:v>9.9000000000000008E-3</c:v>
                      </c:pt>
                      <c:pt idx="311">
                        <c:v>1.1999999999999999E-3</c:v>
                      </c:pt>
                      <c:pt idx="312">
                        <c:v>-7.1999999999999998E-3</c:v>
                      </c:pt>
                      <c:pt idx="313">
                        <c:v>-1.44E-2</c:v>
                      </c:pt>
                      <c:pt idx="314">
                        <c:v>-1.2500000000000001E-2</c:v>
                      </c:pt>
                      <c:pt idx="315">
                        <c:v>7.9000000000000008E-3</c:v>
                      </c:pt>
                      <c:pt idx="316">
                        <c:v>3.3E-3</c:v>
                      </c:pt>
                      <c:pt idx="317">
                        <c:v>7.0000000000000001E-3</c:v>
                      </c:pt>
                      <c:pt idx="318">
                        <c:v>1.12E-2</c:v>
                      </c:pt>
                      <c:pt idx="319">
                        <c:v>-1.9E-3</c:v>
                      </c:pt>
                      <c:pt idx="320">
                        <c:v>-8.6999999999999994E-3</c:v>
                      </c:pt>
                      <c:pt idx="321">
                        <c:v>-2.9999999999999997E-4</c:v>
                      </c:pt>
                      <c:pt idx="322">
                        <c:v>3.0000000000000001E-3</c:v>
                      </c:pt>
                      <c:pt idx="323">
                        <c:v>-2.5999999999999999E-3</c:v>
                      </c:pt>
                      <c:pt idx="324">
                        <c:v>-2.1544000000000001E-2</c:v>
                      </c:pt>
                      <c:pt idx="325">
                        <c:v>-1.1157E-2</c:v>
                      </c:pt>
                      <c:pt idx="326">
                        <c:v>-2.7784E-2</c:v>
                      </c:pt>
                      <c:pt idx="327">
                        <c:v>-3.7948000000000003E-2</c:v>
                      </c:pt>
                      <c:pt idx="328">
                        <c:v>-6.4469999999999996E-3</c:v>
                      </c:pt>
                      <c:pt idx="329">
                        <c:v>-1.5687E-2</c:v>
                      </c:pt>
                      <c:pt idx="330">
                        <c:v>2.4434000000000001E-2</c:v>
                      </c:pt>
                      <c:pt idx="331">
                        <c:v>-2.8253E-2</c:v>
                      </c:pt>
                      <c:pt idx="332">
                        <c:v>-4.3208999999999997E-2</c:v>
                      </c:pt>
                      <c:pt idx="333">
                        <c:v>-1.2952999999999999E-2</c:v>
                      </c:pt>
                      <c:pt idx="334">
                        <c:v>3.6776000000000003E-2</c:v>
                      </c:pt>
                      <c:pt idx="335">
                        <c:v>-4.509E-3</c:v>
                      </c:pt>
                    </c:numCache>
                  </c:numRef>
                </c:val>
                <c:smooth val="0"/>
                <c:extLst xmlns:c15="http://schemas.microsoft.com/office/drawing/2012/chart">
                  <c:ext xmlns:c16="http://schemas.microsoft.com/office/drawing/2014/chart" uri="{C3380CC4-5D6E-409C-BE32-E72D297353CC}">
                    <c16:uniqueId val="{0000000A-7000-43A6-AFE6-277F268E6866}"/>
                  </c:ext>
                </c:extLst>
              </c15:ser>
            </c15:filteredLineSeries>
            <c15:filteredLineSeries>
              <c15:ser>
                <c:idx val="11"/>
                <c:order val="11"/>
                <c:spPr>
                  <a:ln w="22225" cap="rnd">
                    <a:solidFill>
                      <a:schemeClr val="accent6">
                        <a:lumMod val="60000"/>
                      </a:schemeClr>
                    </a:solidFill>
                  </a:ln>
                  <a:effectLst>
                    <a:glow rad="139700">
                      <a:schemeClr val="accent6">
                        <a:lumMod val="60000"/>
                        <a:satMod val="175000"/>
                        <a:alpha val="14000"/>
                      </a:schemeClr>
                    </a:glow>
                  </a:effectLst>
                </c:spPr>
                <c:marker>
                  <c:symbol val="circle"/>
                  <c:size val="4"/>
                  <c:spPr>
                    <a:solidFill>
                      <a:schemeClr val="accent6">
                        <a:lumMod val="60000"/>
                        <a:lumMod val="60000"/>
                        <a:lumOff val="40000"/>
                      </a:schemeClr>
                    </a:solidFill>
                    <a:ln>
                      <a:noFill/>
                    </a:ln>
                    <a:effectLst>
                      <a:glow rad="63500">
                        <a:schemeClr val="accent6">
                          <a:lumMod val="6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Returns'!$M$4:$M$339</c15:sqref>
                        </c15:formulaRef>
                      </c:ext>
                    </c:extLst>
                    <c:numCache>
                      <c:formatCode>0.00%</c:formatCode>
                      <c:ptCount val="336"/>
                      <c:pt idx="1">
                        <c:v>3.8800000000000001E-2</c:v>
                      </c:pt>
                      <c:pt idx="2">
                        <c:v>2.9600000000000001E-2</c:v>
                      </c:pt>
                      <c:pt idx="3">
                        <c:v>2.9100000000000001E-2</c:v>
                      </c:pt>
                      <c:pt idx="4">
                        <c:v>3.95E-2</c:v>
                      </c:pt>
                      <c:pt idx="5">
                        <c:v>2.35E-2</c:v>
                      </c:pt>
                      <c:pt idx="6">
                        <c:v>3.3300000000000003E-2</c:v>
                      </c:pt>
                      <c:pt idx="7">
                        <c:v>2.7000000000000001E-3</c:v>
                      </c:pt>
                      <c:pt idx="8">
                        <c:v>4.19E-2</c:v>
                      </c:pt>
                      <c:pt idx="9">
                        <c:v>-3.5000000000000001E-3</c:v>
                      </c:pt>
                      <c:pt idx="10">
                        <c:v>4.3999999999999997E-2</c:v>
                      </c:pt>
                      <c:pt idx="11">
                        <c:v>1.8499999999999999E-2</c:v>
                      </c:pt>
                      <c:pt idx="12">
                        <c:v>3.44E-2</c:v>
                      </c:pt>
                      <c:pt idx="13">
                        <c:v>9.5999999999999992E-3</c:v>
                      </c:pt>
                      <c:pt idx="14">
                        <c:v>9.5999999999999992E-3</c:v>
                      </c:pt>
                      <c:pt idx="15">
                        <c:v>1.47E-2</c:v>
                      </c:pt>
                      <c:pt idx="16">
                        <c:v>2.58E-2</c:v>
                      </c:pt>
                      <c:pt idx="17">
                        <c:v>4.1000000000000003E-3</c:v>
                      </c:pt>
                      <c:pt idx="18">
                        <c:v>-4.4499999999999998E-2</c:v>
                      </c:pt>
                      <c:pt idx="19">
                        <c:v>2.12E-2</c:v>
                      </c:pt>
                      <c:pt idx="20">
                        <c:v>5.62E-2</c:v>
                      </c:pt>
                      <c:pt idx="21">
                        <c:v>2.7400000000000001E-2</c:v>
                      </c:pt>
                      <c:pt idx="22">
                        <c:v>7.5899999999999995E-2</c:v>
                      </c:pt>
                      <c:pt idx="23">
                        <c:v>-1.9599999999999999E-2</c:v>
                      </c:pt>
                      <c:pt idx="24">
                        <c:v>6.2100000000000002E-2</c:v>
                      </c:pt>
                      <c:pt idx="25">
                        <c:v>8.0999999999999996E-3</c:v>
                      </c:pt>
                      <c:pt idx="26">
                        <c:v>-4.1599999999999998E-2</c:v>
                      </c:pt>
                      <c:pt idx="27">
                        <c:v>5.9700000000000003E-2</c:v>
                      </c:pt>
                      <c:pt idx="28">
                        <c:v>6.1400000000000003E-2</c:v>
                      </c:pt>
                      <c:pt idx="29">
                        <c:v>4.4600000000000001E-2</c:v>
                      </c:pt>
                      <c:pt idx="30">
                        <c:v>7.9399999999999998E-2</c:v>
                      </c:pt>
                      <c:pt idx="31">
                        <c:v>-5.5599999999999997E-2</c:v>
                      </c:pt>
                      <c:pt idx="32">
                        <c:v>5.4800000000000001E-2</c:v>
                      </c:pt>
                      <c:pt idx="33">
                        <c:v>-3.3399999999999999E-2</c:v>
                      </c:pt>
                      <c:pt idx="34">
                        <c:v>4.6300000000000001E-2</c:v>
                      </c:pt>
                      <c:pt idx="35">
                        <c:v>1.72E-2</c:v>
                      </c:pt>
                      <c:pt idx="36">
                        <c:v>1.11E-2</c:v>
                      </c:pt>
                      <c:pt idx="37">
                        <c:v>7.2099999999999997E-2</c:v>
                      </c:pt>
                      <c:pt idx="38">
                        <c:v>5.1200000000000002E-2</c:v>
                      </c:pt>
                      <c:pt idx="39">
                        <c:v>1.01E-2</c:v>
                      </c:pt>
                      <c:pt idx="40">
                        <c:v>-1.72E-2</c:v>
                      </c:pt>
                      <c:pt idx="41">
                        <c:v>4.0599999999999997E-2</c:v>
                      </c:pt>
                      <c:pt idx="42">
                        <c:v>-1.06E-2</c:v>
                      </c:pt>
                      <c:pt idx="43">
                        <c:v>-0.14460000000000001</c:v>
                      </c:pt>
                      <c:pt idx="44">
                        <c:v>6.4100000000000004E-2</c:v>
                      </c:pt>
                      <c:pt idx="45">
                        <c:v>8.1299999999999997E-2</c:v>
                      </c:pt>
                      <c:pt idx="46">
                        <c:v>6.0600000000000001E-2</c:v>
                      </c:pt>
                      <c:pt idx="47">
                        <c:v>5.7599999999999998E-2</c:v>
                      </c:pt>
                      <c:pt idx="48">
                        <c:v>4.1799999999999997E-2</c:v>
                      </c:pt>
                      <c:pt idx="49">
                        <c:v>-3.1099999999999999E-2</c:v>
                      </c:pt>
                      <c:pt idx="50">
                        <c:v>0.04</c:v>
                      </c:pt>
                      <c:pt idx="51">
                        <c:v>3.8699999999999998E-2</c:v>
                      </c:pt>
                      <c:pt idx="52">
                        <c:v>-2.3599999999999999E-2</c:v>
                      </c:pt>
                      <c:pt idx="53">
                        <c:v>5.5500000000000001E-2</c:v>
                      </c:pt>
                      <c:pt idx="54">
                        <c:v>-3.1199999999999999E-2</c:v>
                      </c:pt>
                      <c:pt idx="55">
                        <c:v>-5.0000000000000001E-3</c:v>
                      </c:pt>
                      <c:pt idx="56">
                        <c:v>-2.7400000000000001E-2</c:v>
                      </c:pt>
                      <c:pt idx="57">
                        <c:v>6.3299999999999995E-2</c:v>
                      </c:pt>
                      <c:pt idx="58">
                        <c:v>2.0299999999999999E-2</c:v>
                      </c:pt>
                      <c:pt idx="59">
                        <c:v>5.8900000000000001E-2</c:v>
                      </c:pt>
                      <c:pt idx="60">
                        <c:v>-5.0200000000000002E-2</c:v>
                      </c:pt>
                      <c:pt idx="61">
                        <c:v>-1.89E-2</c:v>
                      </c:pt>
                      <c:pt idx="62">
                        <c:v>9.7799999999999998E-2</c:v>
                      </c:pt>
                      <c:pt idx="63">
                        <c:v>-3.0099999999999998E-2</c:v>
                      </c:pt>
                      <c:pt idx="64">
                        <c:v>-2.0500000000000001E-2</c:v>
                      </c:pt>
                      <c:pt idx="65">
                        <c:v>2.46E-2</c:v>
                      </c:pt>
                      <c:pt idx="66">
                        <c:v>-1.5599999999999999E-2</c:v>
                      </c:pt>
                      <c:pt idx="67">
                        <c:v>6.2100000000000002E-2</c:v>
                      </c:pt>
                      <c:pt idx="68">
                        <c:v>-5.28E-2</c:v>
                      </c:pt>
                      <c:pt idx="69">
                        <c:v>-4.1999999999999997E-3</c:v>
                      </c:pt>
                      <c:pt idx="70">
                        <c:v>-7.8799999999999995E-2</c:v>
                      </c:pt>
                      <c:pt idx="71">
                        <c:v>4.8999999999999998E-3</c:v>
                      </c:pt>
                      <c:pt idx="72">
                        <c:v>3.5499999999999997E-2</c:v>
                      </c:pt>
                      <c:pt idx="73">
                        <c:v>-9.1200000000000003E-2</c:v>
                      </c:pt>
                      <c:pt idx="74">
                        <c:v>-6.3399999999999998E-2</c:v>
                      </c:pt>
                      <c:pt idx="75">
                        <c:v>7.7700000000000005E-2</c:v>
                      </c:pt>
                      <c:pt idx="76">
                        <c:v>6.7000000000000002E-3</c:v>
                      </c:pt>
                      <c:pt idx="77">
                        <c:v>-2.4299999999999999E-2</c:v>
                      </c:pt>
                      <c:pt idx="78">
                        <c:v>-9.7999999999999997E-3</c:v>
                      </c:pt>
                      <c:pt idx="79">
                        <c:v>-6.2600000000000003E-2</c:v>
                      </c:pt>
                      <c:pt idx="80">
                        <c:v>-8.0799999999999997E-2</c:v>
                      </c:pt>
                      <c:pt idx="81">
                        <c:v>1.9099999999999999E-2</c:v>
                      </c:pt>
                      <c:pt idx="82">
                        <c:v>7.6700000000000004E-2</c:v>
                      </c:pt>
                      <c:pt idx="83">
                        <c:v>8.8000000000000005E-3</c:v>
                      </c:pt>
                      <c:pt idx="84">
                        <c:v>-1.46E-2</c:v>
                      </c:pt>
                      <c:pt idx="85">
                        <c:v>-1.9299999999999998E-2</c:v>
                      </c:pt>
                      <c:pt idx="86">
                        <c:v>3.7599999999999995E-2</c:v>
                      </c:pt>
                      <c:pt idx="87">
                        <c:v>-6.0600000000000001E-2</c:v>
                      </c:pt>
                      <c:pt idx="88">
                        <c:v>-7.4000000000000003E-3</c:v>
                      </c:pt>
                      <c:pt idx="89">
                        <c:v>-7.1199999999999999E-2</c:v>
                      </c:pt>
                      <c:pt idx="90">
                        <c:v>-7.8E-2</c:v>
                      </c:pt>
                      <c:pt idx="91">
                        <c:v>6.6E-3</c:v>
                      </c:pt>
                      <c:pt idx="92">
                        <c:v>-0.1087</c:v>
                      </c:pt>
                      <c:pt idx="93">
                        <c:v>8.8000000000000009E-2</c:v>
                      </c:pt>
                      <c:pt idx="94">
                        <c:v>5.8899999999999994E-2</c:v>
                      </c:pt>
                      <c:pt idx="95">
                        <c:v>-5.8799999999999998E-2</c:v>
                      </c:pt>
                      <c:pt idx="96">
                        <c:v>-2.6200000000000001E-2</c:v>
                      </c:pt>
                      <c:pt idx="97">
                        <c:v>-1.4999999999999999E-2</c:v>
                      </c:pt>
                      <c:pt idx="98">
                        <c:v>9.7000000000000003E-3</c:v>
                      </c:pt>
                      <c:pt idx="99">
                        <c:v>8.2400000000000001E-2</c:v>
                      </c:pt>
                      <c:pt idx="100">
                        <c:v>5.2699999999999997E-2</c:v>
                      </c:pt>
                      <c:pt idx="101">
                        <c:v>1.2800000000000001E-2</c:v>
                      </c:pt>
                      <c:pt idx="102">
                        <c:v>1.7600000000000001E-2</c:v>
                      </c:pt>
                      <c:pt idx="103">
                        <c:v>1.95E-2</c:v>
                      </c:pt>
                      <c:pt idx="104">
                        <c:v>-1.06E-2</c:v>
                      </c:pt>
                      <c:pt idx="105">
                        <c:v>5.6600000000000004E-2</c:v>
                      </c:pt>
                      <c:pt idx="106">
                        <c:v>8.8000000000000005E-3</c:v>
                      </c:pt>
                      <c:pt idx="107">
                        <c:v>5.2400000000000002E-2</c:v>
                      </c:pt>
                      <c:pt idx="108">
                        <c:v>1.84E-2</c:v>
                      </c:pt>
                      <c:pt idx="109">
                        <c:v>1.3899999999999999E-2</c:v>
                      </c:pt>
                      <c:pt idx="110">
                        <c:v>-1.5100000000000001E-2</c:v>
                      </c:pt>
                      <c:pt idx="111">
                        <c:v>-1.5699999999999999E-2</c:v>
                      </c:pt>
                      <c:pt idx="112">
                        <c:v>1.37E-2</c:v>
                      </c:pt>
                      <c:pt idx="113">
                        <c:v>1.9400000000000001E-2</c:v>
                      </c:pt>
                      <c:pt idx="114">
                        <c:v>-3.3099999999999997E-2</c:v>
                      </c:pt>
                      <c:pt idx="115">
                        <c:v>4.0000000000000001E-3</c:v>
                      </c:pt>
                      <c:pt idx="116">
                        <c:v>1.0800000000000001E-2</c:v>
                      </c:pt>
                      <c:pt idx="117">
                        <c:v>1.5299999999999999E-2</c:v>
                      </c:pt>
                      <c:pt idx="118">
                        <c:v>4.0500000000000001E-2</c:v>
                      </c:pt>
                      <c:pt idx="119">
                        <c:v>3.4000000000000002E-2</c:v>
                      </c:pt>
                      <c:pt idx="120">
                        <c:v>-2.4400000000000002E-2</c:v>
                      </c:pt>
                      <c:pt idx="121">
                        <c:v>2.1000000000000001E-2</c:v>
                      </c:pt>
                      <c:pt idx="122">
                        <c:v>-1.77E-2</c:v>
                      </c:pt>
                      <c:pt idx="123">
                        <c:v>-1.9E-2</c:v>
                      </c:pt>
                      <c:pt idx="124">
                        <c:v>3.1800000000000002E-2</c:v>
                      </c:pt>
                      <c:pt idx="125">
                        <c:v>1.4E-3</c:v>
                      </c:pt>
                      <c:pt idx="126">
                        <c:v>3.7199999999999997E-2</c:v>
                      </c:pt>
                      <c:pt idx="127">
                        <c:v>-9.1000000000000004E-3</c:v>
                      </c:pt>
                      <c:pt idx="128">
                        <c:v>8.0999999999999996E-3</c:v>
                      </c:pt>
                      <c:pt idx="129">
                        <c:v>-1.67E-2</c:v>
                      </c:pt>
                      <c:pt idx="130">
                        <c:v>3.78E-2</c:v>
                      </c:pt>
                      <c:pt idx="131">
                        <c:v>2.9999999999999997E-4</c:v>
                      </c:pt>
                      <c:pt idx="132">
                        <c:v>2.6499999999999999E-2</c:v>
                      </c:pt>
                      <c:pt idx="133">
                        <c:v>2.7000000000000001E-3</c:v>
                      </c:pt>
                      <c:pt idx="134">
                        <c:v>1.2500000000000001E-2</c:v>
                      </c:pt>
                      <c:pt idx="135">
                        <c:v>1.34E-2</c:v>
                      </c:pt>
                      <c:pt idx="136">
                        <c:v>-2.8799999999999999E-2</c:v>
                      </c:pt>
                      <c:pt idx="137">
                        <c:v>1.4E-3</c:v>
                      </c:pt>
                      <c:pt idx="138">
                        <c:v>6.1999999999999998E-3</c:v>
                      </c:pt>
                      <c:pt idx="139">
                        <c:v>2.3800000000000002E-2</c:v>
                      </c:pt>
                      <c:pt idx="140">
                        <c:v>2.58E-2</c:v>
                      </c:pt>
                      <c:pt idx="141">
                        <c:v>3.2599999999999997E-2</c:v>
                      </c:pt>
                      <c:pt idx="142">
                        <c:v>1.9E-2</c:v>
                      </c:pt>
                      <c:pt idx="143">
                        <c:v>1.4E-2</c:v>
                      </c:pt>
                      <c:pt idx="144">
                        <c:v>1.512E-2</c:v>
                      </c:pt>
                      <c:pt idx="145">
                        <c:v>-1.9560000000000001E-2</c:v>
                      </c:pt>
                      <c:pt idx="146">
                        <c:v>1.1180000000000001E-2</c:v>
                      </c:pt>
                      <c:pt idx="147">
                        <c:v>4.4299999999999999E-2</c:v>
                      </c:pt>
                      <c:pt idx="148">
                        <c:v>3.49E-2</c:v>
                      </c:pt>
                      <c:pt idx="149">
                        <c:v>-1.66E-2</c:v>
                      </c:pt>
                      <c:pt idx="150">
                        <c:v>-3.1E-2</c:v>
                      </c:pt>
                      <c:pt idx="151">
                        <c:v>1.499E-2</c:v>
                      </c:pt>
                      <c:pt idx="152">
                        <c:v>3.7400000000000003E-2</c:v>
                      </c:pt>
                      <c:pt idx="153">
                        <c:v>1.5900000000000001E-2</c:v>
                      </c:pt>
                      <c:pt idx="154">
                        <c:v>-4.1799999999999997E-2</c:v>
                      </c:pt>
                      <c:pt idx="155">
                        <c:v>-6.8999999999999999E-3</c:v>
                      </c:pt>
                      <c:pt idx="156">
                        <c:v>-0.06</c:v>
                      </c:pt>
                      <c:pt idx="157">
                        <c:v>-3.2500000000000001E-2</c:v>
                      </c:pt>
                      <c:pt idx="158">
                        <c:v>-4.3E-3</c:v>
                      </c:pt>
                      <c:pt idx="159">
                        <c:v>4.87E-2</c:v>
                      </c:pt>
                      <c:pt idx="160">
                        <c:v>1.2999999999999999E-2</c:v>
                      </c:pt>
                      <c:pt idx="161">
                        <c:v>-8.43E-2</c:v>
                      </c:pt>
                      <c:pt idx="162">
                        <c:v>-8.3999999999999995E-3</c:v>
                      </c:pt>
                      <c:pt idx="163">
                        <c:v>1.4500000000000001E-2</c:v>
                      </c:pt>
                      <c:pt idx="164">
                        <c:v>-8.9099999999999999E-2</c:v>
                      </c:pt>
                      <c:pt idx="165">
                        <c:v>-0.16789999999999999</c:v>
                      </c:pt>
                      <c:pt idx="166">
                        <c:v>-7.1800000000000003E-2</c:v>
                      </c:pt>
                      <c:pt idx="167">
                        <c:v>1.06E-2</c:v>
                      </c:pt>
                      <c:pt idx="168">
                        <c:v>-8.43E-2</c:v>
                      </c:pt>
                      <c:pt idx="169">
                        <c:v>-0.1065</c:v>
                      </c:pt>
                      <c:pt idx="170">
                        <c:v>8.7599999999999997E-2</c:v>
                      </c:pt>
                      <c:pt idx="171">
                        <c:v>9.5699999999999993E-2</c:v>
                      </c:pt>
                      <c:pt idx="172">
                        <c:v>5.5899999999999998E-2</c:v>
                      </c:pt>
                      <c:pt idx="173">
                        <c:v>2E-3</c:v>
                      </c:pt>
                      <c:pt idx="174">
                        <c:v>7.5600000000000001E-2</c:v>
                      </c:pt>
                      <c:pt idx="175">
                        <c:v>3.61E-2</c:v>
                      </c:pt>
                      <c:pt idx="176">
                        <c:v>3.73E-2</c:v>
                      </c:pt>
                      <c:pt idx="177">
                        <c:v>-1.8599999999999998E-2</c:v>
                      </c:pt>
                      <c:pt idx="178">
                        <c:v>0.06</c:v>
                      </c:pt>
                      <c:pt idx="179">
                        <c:v>1.9300000000000001E-2</c:v>
                      </c:pt>
                      <c:pt idx="180">
                        <c:v>-3.5999999999999997E-2</c:v>
                      </c:pt>
                      <c:pt idx="181">
                        <c:v>3.1E-2</c:v>
                      </c:pt>
                      <c:pt idx="182">
                        <c:v>6.0299999999999999E-2</c:v>
                      </c:pt>
                      <c:pt idx="183">
                        <c:v>1.5800000000000002E-2</c:v>
                      </c:pt>
                      <c:pt idx="184">
                        <c:v>-7.9899999999999999E-2</c:v>
                      </c:pt>
                      <c:pt idx="185">
                        <c:v>-5.2299999999999999E-2</c:v>
                      </c:pt>
                      <c:pt idx="186">
                        <c:v>7.0099999999999996E-2</c:v>
                      </c:pt>
                      <c:pt idx="187">
                        <c:v>-4.5100000000000001E-2</c:v>
                      </c:pt>
                      <c:pt idx="188">
                        <c:v>8.9200000000000002E-2</c:v>
                      </c:pt>
                      <c:pt idx="189">
                        <c:v>3.7999999999999999E-2</c:v>
                      </c:pt>
                      <c:pt idx="190">
                        <c:v>1E-4</c:v>
                      </c:pt>
                      <c:pt idx="191">
                        <c:v>6.6799999999999998E-2</c:v>
                      </c:pt>
                      <c:pt idx="192">
                        <c:v>2.3699999999999999E-2</c:v>
                      </c:pt>
                      <c:pt idx="193">
                        <c:v>3.4299999999999997E-2</c:v>
                      </c:pt>
                      <c:pt idx="194">
                        <c:v>4.0000000000000002E-4</c:v>
                      </c:pt>
                      <c:pt idx="195">
                        <c:v>2.9600000000000001E-2</c:v>
                      </c:pt>
                      <c:pt idx="196">
                        <c:v>-1.1299999999999999E-2</c:v>
                      </c:pt>
                      <c:pt idx="197">
                        <c:v>-1.67E-2</c:v>
                      </c:pt>
                      <c:pt idx="198">
                        <c:v>-2.0299999999999999E-2</c:v>
                      </c:pt>
                      <c:pt idx="199">
                        <c:v>-5.4300000000000001E-2</c:v>
                      </c:pt>
                      <c:pt idx="200">
                        <c:v>-7.0300000000000001E-2</c:v>
                      </c:pt>
                      <c:pt idx="201">
                        <c:v>0.10929999999999999</c:v>
                      </c:pt>
                      <c:pt idx="202">
                        <c:v>-2.2000000000000001E-3</c:v>
                      </c:pt>
                      <c:pt idx="203">
                        <c:v>1.0200000000000001E-2</c:v>
                      </c:pt>
                      <c:pt idx="204">
                        <c:v>3.5857600000000003E-2</c:v>
                      </c:pt>
                      <c:pt idx="205">
                        <c:v>3.4520000000000002E-2</c:v>
                      </c:pt>
                      <c:pt idx="206">
                        <c:v>2.5219999999999999E-2</c:v>
                      </c:pt>
                      <c:pt idx="207">
                        <c:v>-2.82E-3</c:v>
                      </c:pt>
                      <c:pt idx="208">
                        <c:v>-4.6280000000000002E-2</c:v>
                      </c:pt>
                      <c:pt idx="209">
                        <c:v>3.304E-2</c:v>
                      </c:pt>
                      <c:pt idx="210">
                        <c:v>1.388E-2</c:v>
                      </c:pt>
                      <c:pt idx="211">
                        <c:v>1.814E-2</c:v>
                      </c:pt>
                      <c:pt idx="212">
                        <c:v>2.0920000000000001E-2</c:v>
                      </c:pt>
                      <c:pt idx="213">
                        <c:v>-1.4400000000000001E-2</c:v>
                      </c:pt>
                      <c:pt idx="214">
                        <c:v>4.96E-3</c:v>
                      </c:pt>
                      <c:pt idx="215">
                        <c:v>7.000000000000001E-3</c:v>
                      </c:pt>
                      <c:pt idx="216">
                        <c:v>4.0040000000000006E-2</c:v>
                      </c:pt>
                      <c:pt idx="217">
                        <c:v>1.1880000000000002E-2</c:v>
                      </c:pt>
                      <c:pt idx="218">
                        <c:v>3.0159999999999999E-2</c:v>
                      </c:pt>
                      <c:pt idx="219">
                        <c:v>1.7460000000000003E-2</c:v>
                      </c:pt>
                      <c:pt idx="220">
                        <c:v>1.516E-2</c:v>
                      </c:pt>
                      <c:pt idx="221">
                        <c:v>-1.3820000000000001E-2</c:v>
                      </c:pt>
                      <c:pt idx="222">
                        <c:v>4.1000000000000009E-2</c:v>
                      </c:pt>
                      <c:pt idx="223">
                        <c:v>-2.4220000000000002E-2</c:v>
                      </c:pt>
                      <c:pt idx="224">
                        <c:v>2.7019999999999999E-2</c:v>
                      </c:pt>
                      <c:pt idx="225">
                        <c:v>3.8419999999999996E-2</c:v>
                      </c:pt>
                      <c:pt idx="226">
                        <c:v>2.366E-2</c:v>
                      </c:pt>
                      <c:pt idx="227">
                        <c:v>1.9100000000000002E-2</c:v>
                      </c:pt>
                      <c:pt idx="228">
                        <c:v>-2.4719999999999999E-2</c:v>
                      </c:pt>
                      <c:pt idx="229">
                        <c:v>3.7620000000000001E-2</c:v>
                      </c:pt>
                      <c:pt idx="230">
                        <c:v>6.3800000000000003E-3</c:v>
                      </c:pt>
                      <c:pt idx="231">
                        <c:v>7.6000000000000009E-3</c:v>
                      </c:pt>
                      <c:pt idx="232">
                        <c:v>2.1080000000000002E-2</c:v>
                      </c:pt>
                      <c:pt idx="233">
                        <c:v>1.6660000000000001E-2</c:v>
                      </c:pt>
                      <c:pt idx="234">
                        <c:v>-1.1540000000000002E-2</c:v>
                      </c:pt>
                      <c:pt idx="235">
                        <c:v>3.4200000000000001E-2</c:v>
                      </c:pt>
                      <c:pt idx="236">
                        <c:v>-1.2560000000000002E-2</c:v>
                      </c:pt>
                      <c:pt idx="237">
                        <c:v>2.1480000000000003E-2</c:v>
                      </c:pt>
                      <c:pt idx="238">
                        <c:v>2.2940000000000002E-2</c:v>
                      </c:pt>
                      <c:pt idx="239">
                        <c:v>-1.82E-3</c:v>
                      </c:pt>
                      <c:pt idx="240">
                        <c:v>-1.981538534742356E-2</c:v>
                      </c:pt>
                      <c:pt idx="241">
                        <c:v>4.4097206878797188E-2</c:v>
                      </c:pt>
                      <c:pt idx="242">
                        <c:v>-1.1731584637191338E-2</c:v>
                      </c:pt>
                      <c:pt idx="243">
                        <c:v>6.9545686456050065E-3</c:v>
                      </c:pt>
                      <c:pt idx="244">
                        <c:v>9.8074082873166029E-3</c:v>
                      </c:pt>
                      <c:pt idx="245">
                        <c:v>-1.7666441552998367E-2</c:v>
                      </c:pt>
                      <c:pt idx="246">
                        <c:v>1.816098104856969E-2</c:v>
                      </c:pt>
                      <c:pt idx="247">
                        <c:v>-4.8547068208001531E-2</c:v>
                      </c:pt>
                      <c:pt idx="248">
                        <c:v>-1.8434791692774538E-2</c:v>
                      </c:pt>
                      <c:pt idx="249">
                        <c:v>6.752325687947397E-2</c:v>
                      </c:pt>
                      <c:pt idx="250">
                        <c:v>1.859079834406994E-3</c:v>
                      </c:pt>
                      <c:pt idx="251">
                        <c:v>-1.3257486128627854E-2</c:v>
                      </c:pt>
                      <c:pt idx="252">
                        <c:v>-3.6939389163682765E-2</c:v>
                      </c:pt>
                      <c:pt idx="253">
                        <c:v>3.8000000000000035E-4</c:v>
                      </c:pt>
                      <c:pt idx="254">
                        <c:v>5.6080000000000005E-2</c:v>
                      </c:pt>
                      <c:pt idx="255">
                        <c:v>3.8799999999999998E-3</c:v>
                      </c:pt>
                      <c:pt idx="256">
                        <c:v>1.4459999999999999E-2</c:v>
                      </c:pt>
                      <c:pt idx="257">
                        <c:v>5.6799999999999993E-3</c:v>
                      </c:pt>
                      <c:pt idx="258">
                        <c:v>3.0780000000000005E-2</c:v>
                      </c:pt>
                      <c:pt idx="259">
                        <c:v>9.0000000000000008E-4</c:v>
                      </c:pt>
                      <c:pt idx="260">
                        <c:v>4.0000000000000024E-5</c:v>
                      </c:pt>
                      <c:pt idx="261">
                        <c:v>-1.6080000000000001E-2</c:v>
                      </c:pt>
                      <c:pt idx="262">
                        <c:v>2.486E-2</c:v>
                      </c:pt>
                      <c:pt idx="263">
                        <c:v>1.6092886929334478E-2</c:v>
                      </c:pt>
                      <c:pt idx="264">
                        <c:v>1.557315334945672E-2</c:v>
                      </c:pt>
                      <c:pt idx="265">
                        <c:v>3.3104737682334483E-2</c:v>
                      </c:pt>
                      <c:pt idx="266">
                        <c:v>8.3318055830200011E-4</c:v>
                      </c:pt>
                      <c:pt idx="267">
                        <c:v>9.755932669678561E-3</c:v>
                      </c:pt>
                      <c:pt idx="268">
                        <c:v>1.2798240340337601E-2</c:v>
                      </c:pt>
                      <c:pt idx="269">
                        <c:v>4.7932265850920003E-3</c:v>
                      </c:pt>
                      <c:pt idx="270">
                        <c:v>1.7310145099333679E-2</c:v>
                      </c:pt>
                      <c:pt idx="271">
                        <c:v>4.2489707324896396E-3</c:v>
                      </c:pt>
                      <c:pt idx="272">
                        <c:v>1.5542520310541694E-2</c:v>
                      </c:pt>
                      <c:pt idx="273">
                        <c:v>1.8788320456594638E-2</c:v>
                      </c:pt>
                      <c:pt idx="274">
                        <c:v>2.4300000000000002E-2</c:v>
                      </c:pt>
                      <c:pt idx="275">
                        <c:v>9.8000000000000014E-3</c:v>
                      </c:pt>
                      <c:pt idx="276">
                        <c:v>4.3539999999999995E-2</c:v>
                      </c:pt>
                      <c:pt idx="277">
                        <c:v>-3.1420000000000003E-2</c:v>
                      </c:pt>
                      <c:pt idx="278">
                        <c:v>-1.9040000000000001E-2</c:v>
                      </c:pt>
                      <c:pt idx="279">
                        <c:v>1.56E-3</c:v>
                      </c:pt>
                      <c:pt idx="280">
                        <c:v>2.0700000000000003E-2</c:v>
                      </c:pt>
                      <c:pt idx="281">
                        <c:v>4.7200000000000002E-3</c:v>
                      </c:pt>
                      <c:pt idx="282">
                        <c:v>2.9799999999999997E-2</c:v>
                      </c:pt>
                      <c:pt idx="283">
                        <c:v>2.7359999999999999E-2</c:v>
                      </c:pt>
                      <c:pt idx="284">
                        <c:v>3.2800000000000008E-3</c:v>
                      </c:pt>
                      <c:pt idx="285">
                        <c:v>-5.6300000000000003E-2</c:v>
                      </c:pt>
                      <c:pt idx="286">
                        <c:v>1.7520000000000001E-2</c:v>
                      </c:pt>
                      <c:pt idx="287">
                        <c:v>-6.856000000000001E-2</c:v>
                      </c:pt>
                      <c:pt idx="288">
                        <c:v>6.6200000000000009E-2</c:v>
                      </c:pt>
                      <c:pt idx="289">
                        <c:v>2.5559999999999999E-2</c:v>
                      </c:pt>
                      <c:pt idx="290">
                        <c:v>1.9360000000000002E-2</c:v>
                      </c:pt>
                      <c:pt idx="291">
                        <c:v>3.2460000000000003E-2</c:v>
                      </c:pt>
                      <c:pt idx="292">
                        <c:v>-4.7240000000000004E-2</c:v>
                      </c:pt>
                      <c:pt idx="293">
                        <c:v>5.892E-2</c:v>
                      </c:pt>
                      <c:pt idx="294">
                        <c:v>1.196E-2</c:v>
                      </c:pt>
                      <c:pt idx="295">
                        <c:v>-7.4600000000000014E-3</c:v>
                      </c:pt>
                      <c:pt idx="296">
                        <c:v>1.3900000000000001E-2</c:v>
                      </c:pt>
                      <c:pt idx="297">
                        <c:v>1.796E-2</c:v>
                      </c:pt>
                      <c:pt idx="298">
                        <c:v>2.894E-2</c:v>
                      </c:pt>
                      <c:pt idx="299">
                        <c:v>2.402E-2</c:v>
                      </c:pt>
                      <c:pt idx="300">
                        <c:v>3.5199999999999997E-3</c:v>
                      </c:pt>
                      <c:pt idx="301">
                        <c:v>-6.2239999999999997E-2</c:v>
                      </c:pt>
                      <c:pt idx="302">
                        <c:v>-9.9979999999999999E-2</c:v>
                      </c:pt>
                      <c:pt idx="303">
                        <c:v>0.10612000000000001</c:v>
                      </c:pt>
                      <c:pt idx="304">
                        <c:v>3.9020000000000006E-2</c:v>
                      </c:pt>
                      <c:pt idx="305">
                        <c:v>1.7180000000000001E-2</c:v>
                      </c:pt>
                      <c:pt idx="306">
                        <c:v>4.8120000000000003E-2</c:v>
                      </c:pt>
                      <c:pt idx="307">
                        <c:v>5.5900000000000005E-2</c:v>
                      </c:pt>
                      <c:pt idx="308">
                        <c:v>-3.0519999999999999E-2</c:v>
                      </c:pt>
                      <c:pt idx="309">
                        <c:v>-2.2180000000000002E-2</c:v>
                      </c:pt>
                      <c:pt idx="310">
                        <c:v>8.9580000000000007E-2</c:v>
                      </c:pt>
                      <c:pt idx="311">
                        <c:v>3.0959999999999998E-2</c:v>
                      </c:pt>
                      <c:pt idx="312">
                        <c:v>-9.5200000000000007E-3</c:v>
                      </c:pt>
                      <c:pt idx="313">
                        <c:v>1.9200000000000002E-2</c:v>
                      </c:pt>
                      <c:pt idx="314">
                        <c:v>3.2539999999999999E-2</c:v>
                      </c:pt>
                      <c:pt idx="315">
                        <c:v>4.4300000000000006E-2</c:v>
                      </c:pt>
                      <c:pt idx="316">
                        <c:v>6.2600000000000008E-3</c:v>
                      </c:pt>
                      <c:pt idx="317">
                        <c:v>2.0040000000000002E-2</c:v>
                      </c:pt>
                      <c:pt idx="318">
                        <c:v>2.1243924477603839E-2</c:v>
                      </c:pt>
                      <c:pt idx="319">
                        <c:v>2.3940000000000003E-2</c:v>
                      </c:pt>
                      <c:pt idx="320">
                        <c:v>-3.8940000000000002E-2</c:v>
                      </c:pt>
                      <c:pt idx="321">
                        <c:v>5.602E-2</c:v>
                      </c:pt>
                      <c:pt idx="322">
                        <c:v>-4.9200000000000008E-3</c:v>
                      </c:pt>
                      <c:pt idx="323">
                        <c:v>3.5320000000000004E-2</c:v>
                      </c:pt>
                      <c:pt idx="324">
                        <c:v>-4.5668800000000009E-2</c:v>
                      </c:pt>
                      <c:pt idx="325">
                        <c:v>-2.6151400000000002E-2</c:v>
                      </c:pt>
                      <c:pt idx="326">
                        <c:v>2.4123200000000001E-2</c:v>
                      </c:pt>
                      <c:pt idx="327">
                        <c:v>-7.7349600000000004E-2</c:v>
                      </c:pt>
                      <c:pt idx="328">
                        <c:v>1.5060000000000008E-4</c:v>
                      </c:pt>
                      <c:pt idx="329">
                        <c:v>-6.9137400000000002E-2</c:v>
                      </c:pt>
                      <c:pt idx="330">
                        <c:v>7.8646800000000003E-2</c:v>
                      </c:pt>
                      <c:pt idx="331">
                        <c:v>-3.8290600000000001E-2</c:v>
                      </c:pt>
                      <c:pt idx="332">
                        <c:v>-8.2321800000000014E-2</c:v>
                      </c:pt>
                      <c:pt idx="333">
                        <c:v>6.2209400000000012E-2</c:v>
                      </c:pt>
                      <c:pt idx="334">
                        <c:v>5.2075200000000002E-2</c:v>
                      </c:pt>
                      <c:pt idx="335">
                        <c:v>-4.6981800000000004E-2</c:v>
                      </c:pt>
                    </c:numCache>
                  </c:numRef>
                </c:val>
                <c:smooth val="0"/>
                <c:extLst xmlns:c15="http://schemas.microsoft.com/office/drawing/2012/chart">
                  <c:ext xmlns:c16="http://schemas.microsoft.com/office/drawing/2014/chart" uri="{C3380CC4-5D6E-409C-BE32-E72D297353CC}">
                    <c16:uniqueId val="{0000000B-7000-43A6-AFE6-277F268E6866}"/>
                  </c:ext>
                </c:extLst>
              </c15:ser>
            </c15:filteredLineSeries>
            <c15:filteredLineSeries>
              <c15:ser>
                <c:idx val="12"/>
                <c:order val="12"/>
                <c:spPr>
                  <a:ln w="22225" cap="rnd">
                    <a:solidFill>
                      <a:schemeClr val="accent1">
                        <a:lumMod val="80000"/>
                        <a:lumOff val="20000"/>
                      </a:schemeClr>
                    </a:solidFill>
                  </a:ln>
                  <a:effectLst>
                    <a:glow rad="139700">
                      <a:schemeClr val="accent1">
                        <a:lumMod val="80000"/>
                        <a:lumOff val="20000"/>
                        <a:satMod val="175000"/>
                        <a:alpha val="14000"/>
                      </a:schemeClr>
                    </a:glow>
                  </a:effectLst>
                </c:spPr>
                <c:marker>
                  <c:symbol val="circle"/>
                  <c:size val="4"/>
                  <c:spPr>
                    <a:solidFill>
                      <a:schemeClr val="accent1">
                        <a:lumMod val="80000"/>
                        <a:lumOff val="20000"/>
                        <a:lumMod val="60000"/>
                        <a:lumOff val="40000"/>
                      </a:schemeClr>
                    </a:solidFill>
                    <a:ln>
                      <a:noFill/>
                    </a:ln>
                    <a:effectLst>
                      <a:glow rad="63500">
                        <a:schemeClr val="accent1">
                          <a:lumMod val="80000"/>
                          <a:lumOff val="20000"/>
                          <a:satMod val="175000"/>
                          <a:alpha val="25000"/>
                        </a:schemeClr>
                      </a:glow>
                    </a:effectLst>
                  </c:spPr>
                </c:marker>
                <c:cat>
                  <c:numRef>
                    <c:extLst xmlns:c15="http://schemas.microsoft.com/office/drawing/2012/chart">
                      <c:ext xmlns:c15="http://schemas.microsoft.com/office/drawing/2012/chart" uri="{02D57815-91ED-43cb-92C2-25804820EDAC}">
                        <c15:formulaRef>
                          <c15:sqref>'Monthly Returns'!$A$4:$A$339</c15:sqref>
                        </c15:formulaRef>
                      </c:ext>
                    </c:extLst>
                    <c:numCache>
                      <c:formatCode>mmm\-yy</c:formatCode>
                      <c:ptCount val="336"/>
                      <c:pt idx="0">
                        <c:v>34700</c:v>
                      </c:pt>
                      <c:pt idx="1">
                        <c:v>34731</c:v>
                      </c:pt>
                      <c:pt idx="2">
                        <c:v>34759</c:v>
                      </c:pt>
                      <c:pt idx="3">
                        <c:v>34790</c:v>
                      </c:pt>
                      <c:pt idx="4">
                        <c:v>34820</c:v>
                      </c:pt>
                      <c:pt idx="5">
                        <c:v>34851</c:v>
                      </c:pt>
                      <c:pt idx="6">
                        <c:v>34881</c:v>
                      </c:pt>
                      <c:pt idx="7">
                        <c:v>34912</c:v>
                      </c:pt>
                      <c:pt idx="8">
                        <c:v>34943</c:v>
                      </c:pt>
                      <c:pt idx="9">
                        <c:v>34973</c:v>
                      </c:pt>
                      <c:pt idx="10">
                        <c:v>35004</c:v>
                      </c:pt>
                      <c:pt idx="11">
                        <c:v>35034</c:v>
                      </c:pt>
                      <c:pt idx="12">
                        <c:v>35065</c:v>
                      </c:pt>
                      <c:pt idx="13">
                        <c:v>35096</c:v>
                      </c:pt>
                      <c:pt idx="14">
                        <c:v>35125</c:v>
                      </c:pt>
                      <c:pt idx="15">
                        <c:v>35156</c:v>
                      </c:pt>
                      <c:pt idx="16">
                        <c:v>35186</c:v>
                      </c:pt>
                      <c:pt idx="17">
                        <c:v>35217</c:v>
                      </c:pt>
                      <c:pt idx="18">
                        <c:v>35247</c:v>
                      </c:pt>
                      <c:pt idx="19">
                        <c:v>35278</c:v>
                      </c:pt>
                      <c:pt idx="20">
                        <c:v>35309</c:v>
                      </c:pt>
                      <c:pt idx="21">
                        <c:v>35339</c:v>
                      </c:pt>
                      <c:pt idx="22">
                        <c:v>35370</c:v>
                      </c:pt>
                      <c:pt idx="23">
                        <c:v>35400</c:v>
                      </c:pt>
                      <c:pt idx="24">
                        <c:v>35431</c:v>
                      </c:pt>
                      <c:pt idx="25">
                        <c:v>35462</c:v>
                      </c:pt>
                      <c:pt idx="26">
                        <c:v>35490</c:v>
                      </c:pt>
                      <c:pt idx="27">
                        <c:v>35521</c:v>
                      </c:pt>
                      <c:pt idx="28">
                        <c:v>35551</c:v>
                      </c:pt>
                      <c:pt idx="29">
                        <c:v>35582</c:v>
                      </c:pt>
                      <c:pt idx="30">
                        <c:v>35612</c:v>
                      </c:pt>
                      <c:pt idx="31">
                        <c:v>35643</c:v>
                      </c:pt>
                      <c:pt idx="32">
                        <c:v>35674</c:v>
                      </c:pt>
                      <c:pt idx="33">
                        <c:v>35704</c:v>
                      </c:pt>
                      <c:pt idx="34">
                        <c:v>35735</c:v>
                      </c:pt>
                      <c:pt idx="35">
                        <c:v>35765</c:v>
                      </c:pt>
                      <c:pt idx="36">
                        <c:v>35796</c:v>
                      </c:pt>
                      <c:pt idx="37">
                        <c:v>35827</c:v>
                      </c:pt>
                      <c:pt idx="38">
                        <c:v>35855</c:v>
                      </c:pt>
                      <c:pt idx="39">
                        <c:v>35886</c:v>
                      </c:pt>
                      <c:pt idx="40">
                        <c:v>35916</c:v>
                      </c:pt>
                      <c:pt idx="41">
                        <c:v>35947</c:v>
                      </c:pt>
                      <c:pt idx="42">
                        <c:v>35977</c:v>
                      </c:pt>
                      <c:pt idx="43">
                        <c:v>36008</c:v>
                      </c:pt>
                      <c:pt idx="44">
                        <c:v>36039</c:v>
                      </c:pt>
                      <c:pt idx="45">
                        <c:v>36069</c:v>
                      </c:pt>
                      <c:pt idx="46">
                        <c:v>36100</c:v>
                      </c:pt>
                      <c:pt idx="47">
                        <c:v>36130</c:v>
                      </c:pt>
                      <c:pt idx="48">
                        <c:v>36161</c:v>
                      </c:pt>
                      <c:pt idx="49">
                        <c:v>36192</c:v>
                      </c:pt>
                      <c:pt idx="50">
                        <c:v>36220</c:v>
                      </c:pt>
                      <c:pt idx="51">
                        <c:v>36251</c:v>
                      </c:pt>
                      <c:pt idx="52">
                        <c:v>36281</c:v>
                      </c:pt>
                      <c:pt idx="53">
                        <c:v>36312</c:v>
                      </c:pt>
                      <c:pt idx="54">
                        <c:v>36342</c:v>
                      </c:pt>
                      <c:pt idx="55">
                        <c:v>36373</c:v>
                      </c:pt>
                      <c:pt idx="56">
                        <c:v>36404</c:v>
                      </c:pt>
                      <c:pt idx="57">
                        <c:v>36434</c:v>
                      </c:pt>
                      <c:pt idx="58">
                        <c:v>36465</c:v>
                      </c:pt>
                      <c:pt idx="59">
                        <c:v>36495</c:v>
                      </c:pt>
                      <c:pt idx="60">
                        <c:v>36526</c:v>
                      </c:pt>
                      <c:pt idx="61">
                        <c:v>36557</c:v>
                      </c:pt>
                      <c:pt idx="62">
                        <c:v>36586</c:v>
                      </c:pt>
                      <c:pt idx="63">
                        <c:v>36617</c:v>
                      </c:pt>
                      <c:pt idx="64">
                        <c:v>36647</c:v>
                      </c:pt>
                      <c:pt idx="65">
                        <c:v>36678</c:v>
                      </c:pt>
                      <c:pt idx="66">
                        <c:v>36708</c:v>
                      </c:pt>
                      <c:pt idx="67">
                        <c:v>36739</c:v>
                      </c:pt>
                      <c:pt idx="68">
                        <c:v>36770</c:v>
                      </c:pt>
                      <c:pt idx="69">
                        <c:v>36800</c:v>
                      </c:pt>
                      <c:pt idx="70">
                        <c:v>36831</c:v>
                      </c:pt>
                      <c:pt idx="71">
                        <c:v>36861</c:v>
                      </c:pt>
                      <c:pt idx="72">
                        <c:v>36892</c:v>
                      </c:pt>
                      <c:pt idx="73">
                        <c:v>36923</c:v>
                      </c:pt>
                      <c:pt idx="74">
                        <c:v>36951</c:v>
                      </c:pt>
                      <c:pt idx="75">
                        <c:v>36982</c:v>
                      </c:pt>
                      <c:pt idx="76">
                        <c:v>37012</c:v>
                      </c:pt>
                      <c:pt idx="77">
                        <c:v>37043</c:v>
                      </c:pt>
                      <c:pt idx="78">
                        <c:v>37073</c:v>
                      </c:pt>
                      <c:pt idx="79">
                        <c:v>37104</c:v>
                      </c:pt>
                      <c:pt idx="80">
                        <c:v>37135</c:v>
                      </c:pt>
                      <c:pt idx="81">
                        <c:v>37165</c:v>
                      </c:pt>
                      <c:pt idx="82">
                        <c:v>37196</c:v>
                      </c:pt>
                      <c:pt idx="83">
                        <c:v>37226</c:v>
                      </c:pt>
                      <c:pt idx="84">
                        <c:v>37257</c:v>
                      </c:pt>
                      <c:pt idx="85">
                        <c:v>37288</c:v>
                      </c:pt>
                      <c:pt idx="86">
                        <c:v>37316</c:v>
                      </c:pt>
                      <c:pt idx="87">
                        <c:v>37347</c:v>
                      </c:pt>
                      <c:pt idx="88">
                        <c:v>37377</c:v>
                      </c:pt>
                      <c:pt idx="89">
                        <c:v>37408</c:v>
                      </c:pt>
                      <c:pt idx="90">
                        <c:v>37438</c:v>
                      </c:pt>
                      <c:pt idx="91">
                        <c:v>37469</c:v>
                      </c:pt>
                      <c:pt idx="92">
                        <c:v>37500</c:v>
                      </c:pt>
                      <c:pt idx="93">
                        <c:v>37530</c:v>
                      </c:pt>
                      <c:pt idx="94">
                        <c:v>37561</c:v>
                      </c:pt>
                      <c:pt idx="95">
                        <c:v>37591</c:v>
                      </c:pt>
                      <c:pt idx="96">
                        <c:v>37622</c:v>
                      </c:pt>
                      <c:pt idx="97">
                        <c:v>37653</c:v>
                      </c:pt>
                      <c:pt idx="98">
                        <c:v>37681</c:v>
                      </c:pt>
                      <c:pt idx="99">
                        <c:v>37712</c:v>
                      </c:pt>
                      <c:pt idx="100">
                        <c:v>37742</c:v>
                      </c:pt>
                      <c:pt idx="101">
                        <c:v>37773</c:v>
                      </c:pt>
                      <c:pt idx="102">
                        <c:v>37803</c:v>
                      </c:pt>
                      <c:pt idx="103">
                        <c:v>37834</c:v>
                      </c:pt>
                      <c:pt idx="104">
                        <c:v>37865</c:v>
                      </c:pt>
                      <c:pt idx="105">
                        <c:v>37895</c:v>
                      </c:pt>
                      <c:pt idx="106">
                        <c:v>37926</c:v>
                      </c:pt>
                      <c:pt idx="107">
                        <c:v>37956</c:v>
                      </c:pt>
                      <c:pt idx="108">
                        <c:v>37987</c:v>
                      </c:pt>
                      <c:pt idx="109">
                        <c:v>38018</c:v>
                      </c:pt>
                      <c:pt idx="110">
                        <c:v>38047</c:v>
                      </c:pt>
                      <c:pt idx="111">
                        <c:v>38078</c:v>
                      </c:pt>
                      <c:pt idx="112">
                        <c:v>38108</c:v>
                      </c:pt>
                      <c:pt idx="113">
                        <c:v>38139</c:v>
                      </c:pt>
                      <c:pt idx="114">
                        <c:v>38169</c:v>
                      </c:pt>
                      <c:pt idx="115">
                        <c:v>38200</c:v>
                      </c:pt>
                      <c:pt idx="116">
                        <c:v>38231</c:v>
                      </c:pt>
                      <c:pt idx="117">
                        <c:v>38261</c:v>
                      </c:pt>
                      <c:pt idx="118">
                        <c:v>38292</c:v>
                      </c:pt>
                      <c:pt idx="119">
                        <c:v>38322</c:v>
                      </c:pt>
                      <c:pt idx="120">
                        <c:v>38353</c:v>
                      </c:pt>
                      <c:pt idx="121">
                        <c:v>38384</c:v>
                      </c:pt>
                      <c:pt idx="122">
                        <c:v>38412</c:v>
                      </c:pt>
                      <c:pt idx="123">
                        <c:v>38443</c:v>
                      </c:pt>
                      <c:pt idx="124">
                        <c:v>38473</c:v>
                      </c:pt>
                      <c:pt idx="125">
                        <c:v>38504</c:v>
                      </c:pt>
                      <c:pt idx="126">
                        <c:v>38534</c:v>
                      </c:pt>
                      <c:pt idx="127">
                        <c:v>38565</c:v>
                      </c:pt>
                      <c:pt idx="128">
                        <c:v>38596</c:v>
                      </c:pt>
                      <c:pt idx="129">
                        <c:v>38626</c:v>
                      </c:pt>
                      <c:pt idx="130">
                        <c:v>38657</c:v>
                      </c:pt>
                      <c:pt idx="131">
                        <c:v>38687</c:v>
                      </c:pt>
                      <c:pt idx="132">
                        <c:v>38718</c:v>
                      </c:pt>
                      <c:pt idx="133">
                        <c:v>38749</c:v>
                      </c:pt>
                      <c:pt idx="134">
                        <c:v>38777</c:v>
                      </c:pt>
                      <c:pt idx="135">
                        <c:v>38808</c:v>
                      </c:pt>
                      <c:pt idx="136">
                        <c:v>38838</c:v>
                      </c:pt>
                      <c:pt idx="137">
                        <c:v>38869</c:v>
                      </c:pt>
                      <c:pt idx="138">
                        <c:v>38899</c:v>
                      </c:pt>
                      <c:pt idx="139">
                        <c:v>38930</c:v>
                      </c:pt>
                      <c:pt idx="140">
                        <c:v>38961</c:v>
                      </c:pt>
                      <c:pt idx="141">
                        <c:v>38991</c:v>
                      </c:pt>
                      <c:pt idx="142">
                        <c:v>39022</c:v>
                      </c:pt>
                      <c:pt idx="143">
                        <c:v>39052</c:v>
                      </c:pt>
                      <c:pt idx="144">
                        <c:v>39083</c:v>
                      </c:pt>
                      <c:pt idx="145">
                        <c:v>39114</c:v>
                      </c:pt>
                      <c:pt idx="146">
                        <c:v>39142</c:v>
                      </c:pt>
                      <c:pt idx="147">
                        <c:v>39173</c:v>
                      </c:pt>
                      <c:pt idx="148">
                        <c:v>39203</c:v>
                      </c:pt>
                      <c:pt idx="149">
                        <c:v>39234</c:v>
                      </c:pt>
                      <c:pt idx="150">
                        <c:v>39264</c:v>
                      </c:pt>
                      <c:pt idx="151">
                        <c:v>39295</c:v>
                      </c:pt>
                      <c:pt idx="152">
                        <c:v>39326</c:v>
                      </c:pt>
                      <c:pt idx="153">
                        <c:v>39356</c:v>
                      </c:pt>
                      <c:pt idx="154">
                        <c:v>39387</c:v>
                      </c:pt>
                      <c:pt idx="155">
                        <c:v>39417</c:v>
                      </c:pt>
                      <c:pt idx="156">
                        <c:v>39448</c:v>
                      </c:pt>
                      <c:pt idx="157">
                        <c:v>39479</c:v>
                      </c:pt>
                      <c:pt idx="158">
                        <c:v>39508</c:v>
                      </c:pt>
                      <c:pt idx="159">
                        <c:v>39539</c:v>
                      </c:pt>
                      <c:pt idx="160">
                        <c:v>39569</c:v>
                      </c:pt>
                      <c:pt idx="161">
                        <c:v>39600</c:v>
                      </c:pt>
                      <c:pt idx="162">
                        <c:v>39630</c:v>
                      </c:pt>
                      <c:pt idx="163">
                        <c:v>39661</c:v>
                      </c:pt>
                      <c:pt idx="164">
                        <c:v>39692</c:v>
                      </c:pt>
                      <c:pt idx="165">
                        <c:v>39722</c:v>
                      </c:pt>
                      <c:pt idx="166">
                        <c:v>39753</c:v>
                      </c:pt>
                      <c:pt idx="167">
                        <c:v>39783</c:v>
                      </c:pt>
                      <c:pt idx="168">
                        <c:v>39814</c:v>
                      </c:pt>
                      <c:pt idx="169">
                        <c:v>39845</c:v>
                      </c:pt>
                      <c:pt idx="170">
                        <c:v>39873</c:v>
                      </c:pt>
                      <c:pt idx="171">
                        <c:v>39904</c:v>
                      </c:pt>
                      <c:pt idx="172">
                        <c:v>39934</c:v>
                      </c:pt>
                      <c:pt idx="173">
                        <c:v>39965</c:v>
                      </c:pt>
                      <c:pt idx="174">
                        <c:v>39995</c:v>
                      </c:pt>
                      <c:pt idx="175">
                        <c:v>40026</c:v>
                      </c:pt>
                      <c:pt idx="176">
                        <c:v>40057</c:v>
                      </c:pt>
                      <c:pt idx="177">
                        <c:v>40087</c:v>
                      </c:pt>
                      <c:pt idx="178">
                        <c:v>40118</c:v>
                      </c:pt>
                      <c:pt idx="179">
                        <c:v>40148</c:v>
                      </c:pt>
                      <c:pt idx="180">
                        <c:v>40179</c:v>
                      </c:pt>
                      <c:pt idx="181">
                        <c:v>40210</c:v>
                      </c:pt>
                      <c:pt idx="182">
                        <c:v>40238</c:v>
                      </c:pt>
                      <c:pt idx="183">
                        <c:v>40269</c:v>
                      </c:pt>
                      <c:pt idx="184">
                        <c:v>40299</c:v>
                      </c:pt>
                      <c:pt idx="185">
                        <c:v>40330</c:v>
                      </c:pt>
                      <c:pt idx="186">
                        <c:v>40360</c:v>
                      </c:pt>
                      <c:pt idx="187">
                        <c:v>40391</c:v>
                      </c:pt>
                      <c:pt idx="188">
                        <c:v>40422</c:v>
                      </c:pt>
                      <c:pt idx="189">
                        <c:v>40452</c:v>
                      </c:pt>
                      <c:pt idx="190">
                        <c:v>40483</c:v>
                      </c:pt>
                      <c:pt idx="191">
                        <c:v>40513</c:v>
                      </c:pt>
                      <c:pt idx="192">
                        <c:v>40544</c:v>
                      </c:pt>
                      <c:pt idx="193">
                        <c:v>40575</c:v>
                      </c:pt>
                      <c:pt idx="194">
                        <c:v>40603</c:v>
                      </c:pt>
                      <c:pt idx="195">
                        <c:v>40634</c:v>
                      </c:pt>
                      <c:pt idx="196">
                        <c:v>40664</c:v>
                      </c:pt>
                      <c:pt idx="197">
                        <c:v>40695</c:v>
                      </c:pt>
                      <c:pt idx="198">
                        <c:v>40725</c:v>
                      </c:pt>
                      <c:pt idx="199">
                        <c:v>40756</c:v>
                      </c:pt>
                      <c:pt idx="200">
                        <c:v>40787</c:v>
                      </c:pt>
                      <c:pt idx="201">
                        <c:v>40817</c:v>
                      </c:pt>
                      <c:pt idx="202">
                        <c:v>40848</c:v>
                      </c:pt>
                      <c:pt idx="203">
                        <c:v>40878</c:v>
                      </c:pt>
                      <c:pt idx="204">
                        <c:v>40909</c:v>
                      </c:pt>
                      <c:pt idx="205">
                        <c:v>40940</c:v>
                      </c:pt>
                      <c:pt idx="206">
                        <c:v>40969</c:v>
                      </c:pt>
                      <c:pt idx="207">
                        <c:v>41000</c:v>
                      </c:pt>
                      <c:pt idx="208">
                        <c:v>41030</c:v>
                      </c:pt>
                      <c:pt idx="209">
                        <c:v>41061</c:v>
                      </c:pt>
                      <c:pt idx="210">
                        <c:v>41091</c:v>
                      </c:pt>
                      <c:pt idx="211">
                        <c:v>41122</c:v>
                      </c:pt>
                      <c:pt idx="212">
                        <c:v>41153</c:v>
                      </c:pt>
                      <c:pt idx="213">
                        <c:v>41183</c:v>
                      </c:pt>
                      <c:pt idx="214">
                        <c:v>41214</c:v>
                      </c:pt>
                      <c:pt idx="215">
                        <c:v>41244</c:v>
                      </c:pt>
                      <c:pt idx="216">
                        <c:v>41275</c:v>
                      </c:pt>
                      <c:pt idx="217">
                        <c:v>41306</c:v>
                      </c:pt>
                      <c:pt idx="218">
                        <c:v>41334</c:v>
                      </c:pt>
                      <c:pt idx="219">
                        <c:v>41365</c:v>
                      </c:pt>
                      <c:pt idx="220">
                        <c:v>41395</c:v>
                      </c:pt>
                      <c:pt idx="221">
                        <c:v>41426</c:v>
                      </c:pt>
                      <c:pt idx="222">
                        <c:v>41456</c:v>
                      </c:pt>
                      <c:pt idx="223">
                        <c:v>41487</c:v>
                      </c:pt>
                      <c:pt idx="224">
                        <c:v>41518</c:v>
                      </c:pt>
                      <c:pt idx="225">
                        <c:v>41548</c:v>
                      </c:pt>
                      <c:pt idx="226">
                        <c:v>41579</c:v>
                      </c:pt>
                      <c:pt idx="227">
                        <c:v>41609</c:v>
                      </c:pt>
                      <c:pt idx="228">
                        <c:v>41640</c:v>
                      </c:pt>
                      <c:pt idx="229">
                        <c:v>41671</c:v>
                      </c:pt>
                      <c:pt idx="230">
                        <c:v>41699</c:v>
                      </c:pt>
                      <c:pt idx="231">
                        <c:v>41730</c:v>
                      </c:pt>
                      <c:pt idx="232">
                        <c:v>41760</c:v>
                      </c:pt>
                      <c:pt idx="233">
                        <c:v>41791</c:v>
                      </c:pt>
                      <c:pt idx="234">
                        <c:v>41821</c:v>
                      </c:pt>
                      <c:pt idx="235">
                        <c:v>41852</c:v>
                      </c:pt>
                      <c:pt idx="236">
                        <c:v>41883</c:v>
                      </c:pt>
                      <c:pt idx="237">
                        <c:v>41913</c:v>
                      </c:pt>
                      <c:pt idx="238">
                        <c:v>41944</c:v>
                      </c:pt>
                      <c:pt idx="239">
                        <c:v>41974</c:v>
                      </c:pt>
                      <c:pt idx="240">
                        <c:v>42005</c:v>
                      </c:pt>
                      <c:pt idx="241">
                        <c:v>42036</c:v>
                      </c:pt>
                      <c:pt idx="242">
                        <c:v>42064</c:v>
                      </c:pt>
                      <c:pt idx="243">
                        <c:v>42095</c:v>
                      </c:pt>
                      <c:pt idx="244">
                        <c:v>42125</c:v>
                      </c:pt>
                      <c:pt idx="245">
                        <c:v>42156</c:v>
                      </c:pt>
                      <c:pt idx="246">
                        <c:v>42186</c:v>
                      </c:pt>
                      <c:pt idx="247">
                        <c:v>42217</c:v>
                      </c:pt>
                      <c:pt idx="248">
                        <c:v>42248</c:v>
                      </c:pt>
                      <c:pt idx="249">
                        <c:v>42278</c:v>
                      </c:pt>
                      <c:pt idx="250">
                        <c:v>42309</c:v>
                      </c:pt>
                      <c:pt idx="251">
                        <c:v>42339</c:v>
                      </c:pt>
                      <c:pt idx="252">
                        <c:v>42370</c:v>
                      </c:pt>
                      <c:pt idx="253">
                        <c:v>42401</c:v>
                      </c:pt>
                      <c:pt idx="254">
                        <c:v>42430</c:v>
                      </c:pt>
                      <c:pt idx="255">
                        <c:v>42461</c:v>
                      </c:pt>
                      <c:pt idx="256">
                        <c:v>42491</c:v>
                      </c:pt>
                      <c:pt idx="257">
                        <c:v>42522</c:v>
                      </c:pt>
                      <c:pt idx="258">
                        <c:v>42552</c:v>
                      </c:pt>
                      <c:pt idx="259">
                        <c:v>42583</c:v>
                      </c:pt>
                      <c:pt idx="260">
                        <c:v>42614</c:v>
                      </c:pt>
                      <c:pt idx="261">
                        <c:v>42644</c:v>
                      </c:pt>
                      <c:pt idx="262">
                        <c:v>42675</c:v>
                      </c:pt>
                      <c:pt idx="263">
                        <c:v>42705</c:v>
                      </c:pt>
                      <c:pt idx="264">
                        <c:v>42736</c:v>
                      </c:pt>
                      <c:pt idx="265">
                        <c:v>42767</c:v>
                      </c:pt>
                      <c:pt idx="266">
                        <c:v>42795</c:v>
                      </c:pt>
                      <c:pt idx="267">
                        <c:v>42826</c:v>
                      </c:pt>
                      <c:pt idx="268">
                        <c:v>42856</c:v>
                      </c:pt>
                      <c:pt idx="269">
                        <c:v>42887</c:v>
                      </c:pt>
                      <c:pt idx="270">
                        <c:v>42917</c:v>
                      </c:pt>
                      <c:pt idx="271">
                        <c:v>42948</c:v>
                      </c:pt>
                      <c:pt idx="272">
                        <c:v>42979</c:v>
                      </c:pt>
                      <c:pt idx="273">
                        <c:v>43009</c:v>
                      </c:pt>
                      <c:pt idx="274">
                        <c:v>43040</c:v>
                      </c:pt>
                      <c:pt idx="275">
                        <c:v>43070</c:v>
                      </c:pt>
                      <c:pt idx="276">
                        <c:v>43101</c:v>
                      </c:pt>
                      <c:pt idx="277">
                        <c:v>43132</c:v>
                      </c:pt>
                      <c:pt idx="278">
                        <c:v>43160</c:v>
                      </c:pt>
                      <c:pt idx="279">
                        <c:v>43191</c:v>
                      </c:pt>
                      <c:pt idx="280">
                        <c:v>43221</c:v>
                      </c:pt>
                      <c:pt idx="281">
                        <c:v>43252</c:v>
                      </c:pt>
                      <c:pt idx="282">
                        <c:v>43282</c:v>
                      </c:pt>
                      <c:pt idx="283">
                        <c:v>43313</c:v>
                      </c:pt>
                      <c:pt idx="284">
                        <c:v>43344</c:v>
                      </c:pt>
                      <c:pt idx="285">
                        <c:v>43374</c:v>
                      </c:pt>
                      <c:pt idx="286">
                        <c:v>43405</c:v>
                      </c:pt>
                      <c:pt idx="287">
                        <c:v>43435</c:v>
                      </c:pt>
                      <c:pt idx="288">
                        <c:v>43466</c:v>
                      </c:pt>
                      <c:pt idx="289">
                        <c:v>43497</c:v>
                      </c:pt>
                      <c:pt idx="290">
                        <c:v>43525</c:v>
                      </c:pt>
                      <c:pt idx="291">
                        <c:v>43556</c:v>
                      </c:pt>
                      <c:pt idx="292">
                        <c:v>43586</c:v>
                      </c:pt>
                      <c:pt idx="293">
                        <c:v>43617</c:v>
                      </c:pt>
                      <c:pt idx="294">
                        <c:v>43647</c:v>
                      </c:pt>
                      <c:pt idx="295">
                        <c:v>43678</c:v>
                      </c:pt>
                      <c:pt idx="296">
                        <c:v>43709</c:v>
                      </c:pt>
                      <c:pt idx="297">
                        <c:v>43739</c:v>
                      </c:pt>
                      <c:pt idx="298">
                        <c:v>43770</c:v>
                      </c:pt>
                      <c:pt idx="299">
                        <c:v>43800</c:v>
                      </c:pt>
                      <c:pt idx="300">
                        <c:v>43831</c:v>
                      </c:pt>
                      <c:pt idx="301">
                        <c:v>43862</c:v>
                      </c:pt>
                      <c:pt idx="302">
                        <c:v>43891</c:v>
                      </c:pt>
                      <c:pt idx="303">
                        <c:v>43922</c:v>
                      </c:pt>
                      <c:pt idx="304">
                        <c:v>43952</c:v>
                      </c:pt>
                      <c:pt idx="305">
                        <c:v>43983</c:v>
                      </c:pt>
                      <c:pt idx="306">
                        <c:v>44013</c:v>
                      </c:pt>
                      <c:pt idx="307">
                        <c:v>44044</c:v>
                      </c:pt>
                      <c:pt idx="308">
                        <c:v>44075</c:v>
                      </c:pt>
                      <c:pt idx="309">
                        <c:v>44105</c:v>
                      </c:pt>
                      <c:pt idx="310">
                        <c:v>44136</c:v>
                      </c:pt>
                      <c:pt idx="311">
                        <c:v>44166</c:v>
                      </c:pt>
                      <c:pt idx="312">
                        <c:v>44197</c:v>
                      </c:pt>
                      <c:pt idx="313">
                        <c:v>44228</c:v>
                      </c:pt>
                      <c:pt idx="314">
                        <c:v>44256</c:v>
                      </c:pt>
                      <c:pt idx="315">
                        <c:v>44287</c:v>
                      </c:pt>
                      <c:pt idx="316">
                        <c:v>44317</c:v>
                      </c:pt>
                      <c:pt idx="317">
                        <c:v>44348</c:v>
                      </c:pt>
                      <c:pt idx="318">
                        <c:v>44378</c:v>
                      </c:pt>
                      <c:pt idx="319">
                        <c:v>44409</c:v>
                      </c:pt>
                      <c:pt idx="320">
                        <c:v>44440</c:v>
                      </c:pt>
                      <c:pt idx="321">
                        <c:v>44470</c:v>
                      </c:pt>
                      <c:pt idx="322">
                        <c:v>44501</c:v>
                      </c:pt>
                      <c:pt idx="323">
                        <c:v>44531</c:v>
                      </c:pt>
                      <c:pt idx="324">
                        <c:v>44562</c:v>
                      </c:pt>
                      <c:pt idx="325">
                        <c:v>44593</c:v>
                      </c:pt>
                      <c:pt idx="326">
                        <c:v>44621</c:v>
                      </c:pt>
                      <c:pt idx="327">
                        <c:v>44652</c:v>
                      </c:pt>
                      <c:pt idx="328">
                        <c:v>44682</c:v>
                      </c:pt>
                      <c:pt idx="329">
                        <c:v>44713</c:v>
                      </c:pt>
                      <c:pt idx="330">
                        <c:v>44743</c:v>
                      </c:pt>
                      <c:pt idx="331">
                        <c:v>44774</c:v>
                      </c:pt>
                      <c:pt idx="332">
                        <c:v>44805</c:v>
                      </c:pt>
                      <c:pt idx="333">
                        <c:v>44835</c:v>
                      </c:pt>
                      <c:pt idx="334">
                        <c:v>44866</c:v>
                      </c:pt>
                      <c:pt idx="335">
                        <c:v>44896</c:v>
                      </c:pt>
                    </c:numCache>
                  </c:numRef>
                </c:cat>
                <c:val>
                  <c:numRef>
                    <c:extLst xmlns:c15="http://schemas.microsoft.com/office/drawing/2012/chart">
                      <c:ext xmlns:c15="http://schemas.microsoft.com/office/drawing/2012/chart" uri="{02D57815-91ED-43cb-92C2-25804820EDAC}">
                        <c15:formulaRef>
                          <c15:sqref>'Monthly Returns'!$N$4:$N$339</c15:sqref>
                        </c15:formulaRef>
                      </c:ext>
                    </c:extLst>
                    <c:numCache>
                      <c:formatCode>0.00%</c:formatCode>
                      <c:ptCount val="336"/>
                      <c:pt idx="215">
                        <c:v>0.13457266179768834</c:v>
                      </c:pt>
                      <c:pt idx="216">
                        <c:v>0.13915363576621775</c:v>
                      </c:pt>
                      <c:pt idx="217">
                        <c:v>0.11422377620453905</c:v>
                      </c:pt>
                      <c:pt idx="218">
                        <c:v>0.11959263894078176</c:v>
                      </c:pt>
                      <c:pt idx="219">
                        <c:v>0.1423621877862451</c:v>
                      </c:pt>
                      <c:pt idx="220">
                        <c:v>0.21595478605155027</c:v>
                      </c:pt>
                      <c:pt idx="221">
                        <c:v>0.16079754018074599</c:v>
                      </c:pt>
                      <c:pt idx="222">
                        <c:v>0.19184739745152934</c:v>
                      </c:pt>
                      <c:pt idx="223">
                        <c:v>0.14226025250481578</c:v>
                      </c:pt>
                      <c:pt idx="224">
                        <c:v>0.14908526087009366</c:v>
                      </c:pt>
                      <c:pt idx="225">
                        <c:v>0.21066671732216169</c:v>
                      </c:pt>
                      <c:pt idx="226">
                        <c:v>0.23319444739492501</c:v>
                      </c:pt>
                      <c:pt idx="227">
                        <c:v>0.2480123747171481</c:v>
                      </c:pt>
                      <c:pt idx="228">
                        <c:v>0.17030259299078909</c:v>
                      </c:pt>
                      <c:pt idx="229">
                        <c:v>0.20007251506018719</c:v>
                      </c:pt>
                      <c:pt idx="230">
                        <c:v>0.1723702897669015</c:v>
                      </c:pt>
                      <c:pt idx="231">
                        <c:v>0.16100908533910929</c:v>
                      </c:pt>
                      <c:pt idx="232">
                        <c:v>0.16777961785142992</c:v>
                      </c:pt>
                      <c:pt idx="233">
                        <c:v>0.20387234205199301</c:v>
                      </c:pt>
                      <c:pt idx="234">
                        <c:v>0.14311206073459459</c:v>
                      </c:pt>
                      <c:pt idx="235">
                        <c:v>0.21155024002512701</c:v>
                      </c:pt>
                      <c:pt idx="236">
                        <c:v>0.16485868728010256</c:v>
                      </c:pt>
                      <c:pt idx="237">
                        <c:v>0.1458560619815481</c:v>
                      </c:pt>
                      <c:pt idx="238">
                        <c:v>0.14505011433816395</c:v>
                      </c:pt>
                      <c:pt idx="239">
                        <c:v>0.12154462087142393</c:v>
                      </c:pt>
                      <c:pt idx="240">
                        <c:v>0.12718479003417182</c:v>
                      </c:pt>
                      <c:pt idx="241">
                        <c:v>0.13422109337805965</c:v>
                      </c:pt>
                      <c:pt idx="242">
                        <c:v>0.11380878259087734</c:v>
                      </c:pt>
                      <c:pt idx="243">
                        <c:v>0.1130953178121108</c:v>
                      </c:pt>
                      <c:pt idx="244">
                        <c:v>0.10080688883985101</c:v>
                      </c:pt>
                      <c:pt idx="245">
                        <c:v>6.3639317251612093E-2</c:v>
                      </c:pt>
                      <c:pt idx="246">
                        <c:v>9.5599266267458294E-2</c:v>
                      </c:pt>
                      <c:pt idx="247">
                        <c:v>7.9395996512625633E-3</c:v>
                      </c:pt>
                      <c:pt idx="248">
                        <c:v>1.9428452288672293E-3</c:v>
                      </c:pt>
                      <c:pt idx="249">
                        <c:v>4.7105463979527196E-2</c:v>
                      </c:pt>
                      <c:pt idx="250">
                        <c:v>2.5526537853743703E-2</c:v>
                      </c:pt>
                      <c:pt idx="251">
                        <c:v>1.3775705788142467E-2</c:v>
                      </c:pt>
                      <c:pt idx="252">
                        <c:v>-3.9351405108482007E-3</c:v>
                      </c:pt>
                      <c:pt idx="253">
                        <c:v>-4.5641193587227957E-2</c:v>
                      </c:pt>
                      <c:pt idx="254">
                        <c:v>1.9843630140089052E-2</c:v>
                      </c:pt>
                      <c:pt idx="255">
                        <c:v>1.6729706884478723E-2</c:v>
                      </c:pt>
                      <c:pt idx="256">
                        <c:v>2.1414192430403656E-2</c:v>
                      </c:pt>
                      <c:pt idx="257">
                        <c:v>4.5689436353332002E-2</c:v>
                      </c:pt>
                      <c:pt idx="258">
                        <c:v>5.8649641134567609E-2</c:v>
                      </c:pt>
                      <c:pt idx="259">
                        <c:v>0.11366772901303501</c:v>
                      </c:pt>
                      <c:pt idx="260">
                        <c:v>0.13462892357693312</c:v>
                      </c:pt>
                      <c:pt idx="261">
                        <c:v>4.5770275534014804E-2</c:v>
                      </c:pt>
                      <c:pt idx="262">
                        <c:v>6.9779319423784125E-2</c:v>
                      </c:pt>
                      <c:pt idx="263">
                        <c:v>0.10159959844631561</c:v>
                      </c:pt>
                      <c:pt idx="264">
                        <c:v>0.16166621844402762</c:v>
                      </c:pt>
                      <c:pt idx="265">
                        <c:v>0.19966700041988661</c:v>
                      </c:pt>
                      <c:pt idx="266">
                        <c:v>0.13690869975861042</c:v>
                      </c:pt>
                      <c:pt idx="267">
                        <c:v>0.14356327896265197</c:v>
                      </c:pt>
                      <c:pt idx="268">
                        <c:v>0.14169003869171837</c:v>
                      </c:pt>
                      <c:pt idx="269">
                        <c:v>0.14068333638643504</c:v>
                      </c:pt>
                      <c:pt idx="270">
                        <c:v>0.12577730500366413</c:v>
                      </c:pt>
                      <c:pt idx="271">
                        <c:v>0.12954411012481271</c:v>
                      </c:pt>
                      <c:pt idx="272">
                        <c:v>0.14705419023047139</c:v>
                      </c:pt>
                      <c:pt idx="273">
                        <c:v>0.18770368722823116</c:v>
                      </c:pt>
                      <c:pt idx="274">
                        <c:v>0.18705470681642056</c:v>
                      </c:pt>
                      <c:pt idx="275">
                        <c:v>0.17970301570134528</c:v>
                      </c:pt>
                      <c:pt idx="276">
                        <c:v>0.21218966939486816</c:v>
                      </c:pt>
                      <c:pt idx="277">
                        <c:v>0.13647980418370875</c:v>
                      </c:pt>
                      <c:pt idx="278">
                        <c:v>0.11391313794188007</c:v>
                      </c:pt>
                      <c:pt idx="279">
                        <c:v>0.10487178766795391</c:v>
                      </c:pt>
                      <c:pt idx="280">
                        <c:v>0.1134918967609162</c:v>
                      </c:pt>
                      <c:pt idx="281">
                        <c:v>0.11341074851372457</c:v>
                      </c:pt>
                      <c:pt idx="282">
                        <c:v>0.12708046247536098</c:v>
                      </c:pt>
                      <c:pt idx="283">
                        <c:v>0.15301824315947599</c:v>
                      </c:pt>
                      <c:pt idx="284">
                        <c:v>0.13909572456237651</c:v>
                      </c:pt>
                      <c:pt idx="285">
                        <c:v>5.5140320795731057E-2</c:v>
                      </c:pt>
                      <c:pt idx="286">
                        <c:v>4.8156183946179709E-2</c:v>
                      </c:pt>
                      <c:pt idx="287">
                        <c:v>-3.3180237695751846E-2</c:v>
                      </c:pt>
                      <c:pt idx="288">
                        <c:v>-1.2186183022414587E-2</c:v>
                      </c:pt>
                      <c:pt idx="289">
                        <c:v>4.5925311424489967E-2</c:v>
                      </c:pt>
                      <c:pt idx="290">
                        <c:v>8.6868399785585915E-2</c:v>
                      </c:pt>
                      <c:pt idx="291">
                        <c:v>0.12040032353790653</c:v>
                      </c:pt>
                      <c:pt idx="292">
                        <c:v>4.582405432935821E-2</c:v>
                      </c:pt>
                      <c:pt idx="293">
                        <c:v>0.10224142806995395</c:v>
                      </c:pt>
                      <c:pt idx="294">
                        <c:v>8.314647072215009E-2</c:v>
                      </c:pt>
                      <c:pt idx="295">
                        <c:v>4.6435716837878616E-2</c:v>
                      </c:pt>
                      <c:pt idx="296">
                        <c:v>5.7512532196321242E-2</c:v>
                      </c:pt>
                      <c:pt idx="297">
                        <c:v>0.14072847014365508</c:v>
                      </c:pt>
                      <c:pt idx="298">
                        <c:v>0.15353128397438076</c:v>
                      </c:pt>
                      <c:pt idx="299">
                        <c:v>0.26818593298059556</c:v>
                      </c:pt>
                      <c:pt idx="300">
                        <c:v>0.19363153954669565</c:v>
                      </c:pt>
                      <c:pt idx="301">
                        <c:v>9.1442638680632182E-2</c:v>
                      </c:pt>
                      <c:pt idx="302">
                        <c:v>-3.6336325081087417E-2</c:v>
                      </c:pt>
                      <c:pt idx="303">
                        <c:v>3.2415458324106972E-2</c:v>
                      </c:pt>
                      <c:pt idx="304">
                        <c:v>0.12588722186900569</c:v>
                      </c:pt>
                      <c:pt idx="305">
                        <c:v>8.1507540079245988E-2</c:v>
                      </c:pt>
                      <c:pt idx="306">
                        <c:v>0.12015265712860113</c:v>
                      </c:pt>
                      <c:pt idx="307">
                        <c:v>0.19165896655257186</c:v>
                      </c:pt>
                      <c:pt idx="308">
                        <c:v>0.1394511637177116</c:v>
                      </c:pt>
                      <c:pt idx="309">
                        <c:v>9.452054786676567E-2</c:v>
                      </c:pt>
                      <c:pt idx="310">
                        <c:v>0.15902550055850706</c:v>
                      </c:pt>
                      <c:pt idx="311">
                        <c:v>0.16688046137360479</c:v>
                      </c:pt>
                      <c:pt idx="312">
                        <c:v>0.15171771303145776</c:v>
                      </c:pt>
                      <c:pt idx="313">
                        <c:v>0.25173892373492301</c:v>
                      </c:pt>
                      <c:pt idx="314">
                        <c:v>0.43604643042738811</c:v>
                      </c:pt>
                      <c:pt idx="315">
                        <c:v>0.35578715446363973</c:v>
                      </c:pt>
                      <c:pt idx="316">
                        <c:v>0.31303957772764934</c:v>
                      </c:pt>
                      <c:pt idx="317">
                        <c:v>0.31673144464628766</c:v>
                      </c:pt>
                      <c:pt idx="318">
                        <c:v>0.2829675876938138</c:v>
                      </c:pt>
                      <c:pt idx="319">
                        <c:v>0.24413470190662334</c:v>
                      </c:pt>
                      <c:pt idx="320">
                        <c:v>0.23332930706603494</c:v>
                      </c:pt>
                      <c:pt idx="321">
                        <c:v>0.33196336222195755</c:v>
                      </c:pt>
                      <c:pt idx="322">
                        <c:v>0.2164412915800813</c:v>
                      </c:pt>
                      <c:pt idx="323">
                        <c:v>0.22158570458474602</c:v>
                      </c:pt>
                      <c:pt idx="324">
                        <c:v>0.17700241434375874</c:v>
                      </c:pt>
                      <c:pt idx="325">
                        <c:v>0.12462927139451474</c:v>
                      </c:pt>
                      <c:pt idx="326">
                        <c:v>0.11546180122244021</c:v>
                      </c:pt>
                      <c:pt idx="327">
                        <c:v>-1.4477375196203179E-2</c:v>
                      </c:pt>
                      <c:pt idx="328">
                        <c:v>-2.0460870439953815E-2</c:v>
                      </c:pt>
                      <c:pt idx="329">
                        <c:v>-0.1060974658405538</c:v>
                      </c:pt>
                      <c:pt idx="330">
                        <c:v>-5.5852294566945071E-2</c:v>
                      </c:pt>
                      <c:pt idx="331">
                        <c:v>-0.11323346748500929</c:v>
                      </c:pt>
                      <c:pt idx="332">
                        <c:v>-0.15326169502570253</c:v>
                      </c:pt>
                      <c:pt idx="333">
                        <c:v>-0.1482989082746865</c:v>
                      </c:pt>
                      <c:pt idx="334">
                        <c:v>-9.9516022413145055E-2</c:v>
                      </c:pt>
                      <c:pt idx="335">
                        <c:v>-0.17109915828085553</c:v>
                      </c:pt>
                    </c:numCache>
                  </c:numRef>
                </c:val>
                <c:smooth val="0"/>
                <c:extLst xmlns:c15="http://schemas.microsoft.com/office/drawing/2012/chart">
                  <c:ext xmlns:c16="http://schemas.microsoft.com/office/drawing/2014/chart" uri="{C3380CC4-5D6E-409C-BE32-E72D297353CC}">
                    <c16:uniqueId val="{0000000C-7000-43A6-AFE6-277F268E6866}"/>
                  </c:ext>
                </c:extLst>
              </c15:ser>
            </c15:filteredLineSeries>
          </c:ext>
        </c:extLst>
      </c:lineChart>
      <c:dateAx>
        <c:axId val="1544277791"/>
        <c:scaling>
          <c:orientation val="minMax"/>
        </c:scaling>
        <c:delete val="0"/>
        <c:axPos val="b"/>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44278623"/>
        <c:crosses val="autoZero"/>
        <c:auto val="1"/>
        <c:lblOffset val="100"/>
        <c:baseTimeUnit val="months"/>
      </c:dateAx>
      <c:valAx>
        <c:axId val="1544278623"/>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4427779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tx>
            <c:strRef>
              <c:f>Tables_annual!$J$59</c:f>
              <c:strCache>
                <c:ptCount val="1"/>
                <c:pt idx="0">
                  <c:v>Sharpe Ratio</c:v>
                </c:pt>
              </c:strCache>
            </c:strRef>
          </c:tx>
          <c:spPr>
            <a:solidFill>
              <a:srgbClr val="FF0000"/>
            </a:solidFill>
          </c:spPr>
          <c:invertIfNegative val="1"/>
          <c:val>
            <c:numRef>
              <c:f>Tables_annual!$K$59:$R$59</c:f>
              <c:numCache>
                <c:formatCode>0.00</c:formatCode>
                <c:ptCount val="8"/>
                <c:pt idx="0">
                  <c:v>-0.85420958930007695</c:v>
                </c:pt>
                <c:pt idx="1">
                  <c:v>0.83061336467000879</c:v>
                </c:pt>
                <c:pt idx="2">
                  <c:v>-0.85420958930007695</c:v>
                </c:pt>
                <c:pt idx="3">
                  <c:v>-0.87612380276852053</c:v>
                </c:pt>
                <c:pt idx="4">
                  <c:v>0.36738913471809503</c:v>
                </c:pt>
                <c:pt idx="5">
                  <c:v>0.32597324894053392</c:v>
                </c:pt>
                <c:pt idx="6">
                  <c:v>0.54885228331434455</c:v>
                </c:pt>
                <c:pt idx="7">
                  <c:v>0.50152630234810103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50CF-4E08-8D95-2B6C0F7A5D2D}"/>
            </c:ext>
          </c:extLst>
        </c:ser>
        <c:dLbls>
          <c:showLegendKey val="0"/>
          <c:showVal val="0"/>
          <c:showCatName val="0"/>
          <c:showSerName val="0"/>
          <c:showPercent val="0"/>
          <c:showBubbleSize val="0"/>
        </c:dLbls>
        <c:gapWidth val="150"/>
        <c:axId val="527364168"/>
        <c:axId val="527364560"/>
      </c:barChart>
      <c:catAx>
        <c:axId val="527364168"/>
        <c:scaling>
          <c:orientation val="minMax"/>
        </c:scaling>
        <c:delete val="0"/>
        <c:axPos val="b"/>
        <c:majorTickMark val="cross"/>
        <c:minorTickMark val="cross"/>
        <c:tickLblPos val="nextTo"/>
        <c:txPr>
          <a:bodyPr/>
          <a:lstStyle/>
          <a:p>
            <a:pPr lvl="0">
              <a:defRPr sz="900" b="0" i="0">
                <a:solidFill>
                  <a:srgbClr val="595959"/>
                </a:solidFill>
              </a:defRPr>
            </a:pPr>
            <a:endParaRPr lang="en-US"/>
          </a:p>
        </c:txPr>
        <c:crossAx val="527364560"/>
        <c:crosses val="autoZero"/>
        <c:auto val="1"/>
        <c:lblAlgn val="ctr"/>
        <c:lblOffset val="100"/>
        <c:noMultiLvlLbl val="1"/>
      </c:catAx>
      <c:valAx>
        <c:axId val="527364560"/>
        <c:scaling>
          <c:orientation val="minMax"/>
        </c:scaling>
        <c:delete val="0"/>
        <c:axPos val="l"/>
        <c:majorGridlines>
          <c:spPr>
            <a:ln>
              <a:solidFill>
                <a:srgbClr val="D9D9D9"/>
              </a:solidFill>
            </a:ln>
          </c:spPr>
        </c:majorGridlines>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52736416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595959"/>
                </a:solidFill>
              </a:defRPr>
            </a:pPr>
            <a:r>
              <a:rPr lang="en-US"/>
              <a:t>Growth from 100 Investment ($)</a:t>
            </a:r>
          </a:p>
        </c:rich>
      </c:tx>
      <c:overlay val="0"/>
    </c:title>
    <c:autoTitleDeleted val="0"/>
    <c:plotArea>
      <c:layout>
        <c:manualLayout>
          <c:xMode val="edge"/>
          <c:yMode val="edge"/>
          <c:x val="0.12355314960629921"/>
          <c:y val="0.17171296296296298"/>
          <c:w val="0.84589129483814518"/>
          <c:h val="0.4723530912802566"/>
        </c:manualLayout>
      </c:layout>
      <c:barChart>
        <c:barDir val="col"/>
        <c:grouping val="clustered"/>
        <c:varyColors val="1"/>
        <c:ser>
          <c:idx val="0"/>
          <c:order val="0"/>
          <c:tx>
            <c:strRef>
              <c:f>Tables_annual!$J$54</c:f>
              <c:strCache>
                <c:ptCount val="1"/>
                <c:pt idx="0">
                  <c:v>Growth from $100 Investment ($)</c:v>
                </c:pt>
              </c:strCache>
            </c:strRef>
          </c:tx>
          <c:spPr>
            <a:solidFill>
              <a:srgbClr val="FF0000"/>
            </a:solidFill>
          </c:spPr>
          <c:invertIfNegative val="1"/>
          <c:val>
            <c:numRef>
              <c:f>Tables_annual!$K$54:$R$54</c:f>
              <c:numCache>
                <c:formatCode>"$"#,##0.00</c:formatCode>
                <c:ptCount val="8"/>
                <c:pt idx="0">
                  <c:v>81.961156898335645</c:v>
                </c:pt>
                <c:pt idx="1">
                  <c:v>116.22113759525563</c:v>
                </c:pt>
                <c:pt idx="2">
                  <c:v>81.961156898335645</c:v>
                </c:pt>
                <c:pt idx="3">
                  <c:v>82.890084171914452</c:v>
                </c:pt>
                <c:pt idx="4">
                  <c:v>122.55336133750119</c:v>
                </c:pt>
                <c:pt idx="5">
                  <c:v>118.15521380600826</c:v>
                </c:pt>
                <c:pt idx="6">
                  <c:v>155.22884867407544</c:v>
                </c:pt>
                <c:pt idx="7">
                  <c:v>144.8709609978076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F065-4B1D-AA4A-FAA2C46CE1D6}"/>
            </c:ext>
          </c:extLst>
        </c:ser>
        <c:dLbls>
          <c:showLegendKey val="0"/>
          <c:showVal val="0"/>
          <c:showCatName val="0"/>
          <c:showSerName val="0"/>
          <c:showPercent val="0"/>
          <c:showBubbleSize val="0"/>
        </c:dLbls>
        <c:gapWidth val="150"/>
        <c:axId val="527456688"/>
        <c:axId val="527457080"/>
      </c:barChart>
      <c:catAx>
        <c:axId val="527456688"/>
        <c:scaling>
          <c:orientation val="minMax"/>
        </c:scaling>
        <c:delete val="0"/>
        <c:axPos val="b"/>
        <c:majorTickMark val="cross"/>
        <c:minorTickMark val="cross"/>
        <c:tickLblPos val="nextTo"/>
        <c:txPr>
          <a:bodyPr/>
          <a:lstStyle/>
          <a:p>
            <a:pPr lvl="0">
              <a:defRPr sz="900" b="0" i="0">
                <a:solidFill>
                  <a:srgbClr val="595959"/>
                </a:solidFill>
              </a:defRPr>
            </a:pPr>
            <a:endParaRPr lang="en-US"/>
          </a:p>
        </c:txPr>
        <c:crossAx val="527457080"/>
        <c:crosses val="autoZero"/>
        <c:auto val="1"/>
        <c:lblAlgn val="ctr"/>
        <c:lblOffset val="100"/>
        <c:noMultiLvlLbl val="1"/>
      </c:catAx>
      <c:valAx>
        <c:axId val="527457080"/>
        <c:scaling>
          <c:orientation val="minMax"/>
        </c:scaling>
        <c:delete val="0"/>
        <c:axPos val="l"/>
        <c:majorGridlines>
          <c:spPr>
            <a:ln>
              <a:solidFill>
                <a:srgbClr val="D9D9D9"/>
              </a:solidFill>
            </a:ln>
          </c:spPr>
        </c:majorGridlines>
        <c:numFmt formatCode="&quot;$&quot;#,##0.00" sourceLinked="1"/>
        <c:majorTickMark val="cross"/>
        <c:minorTickMark val="cross"/>
        <c:tickLblPos val="nextTo"/>
        <c:spPr>
          <a:ln w="47625">
            <a:noFill/>
          </a:ln>
        </c:spPr>
        <c:txPr>
          <a:bodyPr/>
          <a:lstStyle/>
          <a:p>
            <a:pPr lvl="0">
              <a:defRPr sz="900" b="0" i="0">
                <a:solidFill>
                  <a:srgbClr val="595959"/>
                </a:solidFill>
              </a:defRPr>
            </a:pPr>
            <a:endParaRPr lang="en-US"/>
          </a:p>
        </c:txPr>
        <c:crossAx val="527456688"/>
        <c:crosses val="autoZero"/>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742950</xdr:colOff>
      <xdr:row>631</xdr:row>
      <xdr:rowOff>123825</xdr:rowOff>
    </xdr:to>
    <xdr:sp macro="" textlink="">
      <xdr:nvSpPr>
        <xdr:cNvPr id="4108" name="Rectangle 12" hidden="1">
          <a:extLst>
            <a:ext uri="{FF2B5EF4-FFF2-40B4-BE49-F238E27FC236}">
              <a16:creationId xmlns:a16="http://schemas.microsoft.com/office/drawing/2014/main" id="{00000000-0008-0000-1200-00000C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742950</xdr:colOff>
      <xdr:row>631</xdr:row>
      <xdr:rowOff>123825</xdr:rowOff>
    </xdr:to>
    <xdr:sp macro="" textlink="">
      <xdr:nvSpPr>
        <xdr:cNvPr id="2" name="AutoShape 12">
          <a:extLst>
            <a:ext uri="{FF2B5EF4-FFF2-40B4-BE49-F238E27FC236}">
              <a16:creationId xmlns:a16="http://schemas.microsoft.com/office/drawing/2014/main" id="{00000000-0008-0000-12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448</xdr:row>
      <xdr:rowOff>114300</xdr:rowOff>
    </xdr:from>
    <xdr:to>
      <xdr:col>3</xdr:col>
      <xdr:colOff>828675</xdr:colOff>
      <xdr:row>466</xdr:row>
      <xdr:rowOff>0</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9525</xdr:colOff>
      <xdr:row>448</xdr:row>
      <xdr:rowOff>104775</xdr:rowOff>
    </xdr:from>
    <xdr:to>
      <xdr:col>8</xdr:col>
      <xdr:colOff>1485900</xdr:colOff>
      <xdr:row>465</xdr:row>
      <xdr:rowOff>142875</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104775</xdr:colOff>
      <xdr:row>466</xdr:row>
      <xdr:rowOff>85725</xdr:rowOff>
    </xdr:from>
    <xdr:to>
      <xdr:col>3</xdr:col>
      <xdr:colOff>838200</xdr:colOff>
      <xdr:row>483</xdr:row>
      <xdr:rowOff>123825</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3</xdr:col>
      <xdr:colOff>1371600</xdr:colOff>
      <xdr:row>466</xdr:row>
      <xdr:rowOff>76200</xdr:rowOff>
    </xdr:from>
    <xdr:to>
      <xdr:col>8</xdr:col>
      <xdr:colOff>1419225</xdr:colOff>
      <xdr:row>483</xdr:row>
      <xdr:rowOff>85725</xdr:rowOff>
    </xdr:to>
    <xdr:graphicFrame macro="">
      <xdr:nvGraphicFramePr>
        <xdr:cNvPr id="6" name="Chart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382</xdr:row>
      <xdr:rowOff>0</xdr:rowOff>
    </xdr:from>
    <xdr:to>
      <xdr:col>0</xdr:col>
      <xdr:colOff>314325</xdr:colOff>
      <xdr:row>383</xdr:row>
      <xdr:rowOff>152400</xdr:rowOff>
    </xdr:to>
    <xdr:sp macro="" textlink="">
      <xdr:nvSpPr>
        <xdr:cNvPr id="7" name="Shape 3">
          <a:extLst>
            <a:ext uri="{FF2B5EF4-FFF2-40B4-BE49-F238E27FC236}">
              <a16:creationId xmlns:a16="http://schemas.microsoft.com/office/drawing/2014/main" id="{00000000-0008-0000-1300-000007000000}"/>
            </a:ext>
          </a:extLst>
        </xdr:cNvPr>
        <xdr:cNvSpPr/>
      </xdr:nvSpPr>
      <xdr:spPr>
        <a:xfrm>
          <a:off x="5193600" y="3623896"/>
          <a:ext cx="304800" cy="312208"/>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0</xdr:colOff>
      <xdr:row>0</xdr:row>
      <xdr:rowOff>0</xdr:rowOff>
    </xdr:from>
    <xdr:to>
      <xdr:col>7</xdr:col>
      <xdr:colOff>838200</xdr:colOff>
      <xdr:row>58</xdr:row>
      <xdr:rowOff>133350</xdr:rowOff>
    </xdr:to>
    <xdr:sp macro="" textlink="">
      <xdr:nvSpPr>
        <xdr:cNvPr id="3074" name="Rectangle 2" hidden="1">
          <a:extLst>
            <a:ext uri="{FF2B5EF4-FFF2-40B4-BE49-F238E27FC236}">
              <a16:creationId xmlns:a16="http://schemas.microsoft.com/office/drawing/2014/main" id="{00000000-0008-0000-1300-000002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838200</xdr:colOff>
      <xdr:row>58</xdr:row>
      <xdr:rowOff>133350</xdr:rowOff>
    </xdr:to>
    <xdr:sp macro="" textlink="">
      <xdr:nvSpPr>
        <xdr:cNvPr id="8" name="AutoShape 2">
          <a:extLst>
            <a:ext uri="{FF2B5EF4-FFF2-40B4-BE49-F238E27FC236}">
              <a16:creationId xmlns:a16="http://schemas.microsoft.com/office/drawing/2014/main" id="{00000000-0008-0000-13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534939</xdr:colOff>
      <xdr:row>398</xdr:row>
      <xdr:rowOff>133155</xdr:rowOff>
    </xdr:from>
    <xdr:to>
      <xdr:col>8</xdr:col>
      <xdr:colOff>1100666</xdr:colOff>
      <xdr:row>424</xdr:row>
      <xdr:rowOff>15394</xdr:rowOff>
    </xdr:to>
    <xdr:graphicFrame macro="">
      <xdr:nvGraphicFramePr>
        <xdr:cNvPr id="12" name="Chart 11">
          <a:extLst>
            <a:ext uri="{FF2B5EF4-FFF2-40B4-BE49-F238E27FC236}">
              <a16:creationId xmlns:a16="http://schemas.microsoft.com/office/drawing/2014/main" id="{E929CAAC-4039-44E9-A67B-2F8BF3BAB1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542925</xdr:colOff>
      <xdr:row>165</xdr:row>
      <xdr:rowOff>57150</xdr:rowOff>
    </xdr:from>
    <xdr:to>
      <xdr:col>21</xdr:col>
      <xdr:colOff>514350</xdr:colOff>
      <xdr:row>182</xdr:row>
      <xdr:rowOff>95250</xdr:rowOff>
    </xdr:to>
    <xdr:graphicFrame macro="">
      <xdr:nvGraphicFramePr>
        <xdr:cNvPr id="4" name="Chart 3">
          <a:extLst>
            <a:ext uri="{FF2B5EF4-FFF2-40B4-BE49-F238E27FC236}">
              <a16:creationId xmlns:a16="http://schemas.microsoft.com/office/drawing/2014/main" id="{6FF934EB-3F53-462C-9B5D-679F1D6EC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13</xdr:col>
      <xdr:colOff>571500</xdr:colOff>
      <xdr:row>184</xdr:row>
      <xdr:rowOff>47625</xdr:rowOff>
    </xdr:from>
    <xdr:to>
      <xdr:col>21</xdr:col>
      <xdr:colOff>485775</xdr:colOff>
      <xdr:row>201</xdr:row>
      <xdr:rowOff>57150</xdr:rowOff>
    </xdr:to>
    <xdr:graphicFrame macro="">
      <xdr:nvGraphicFramePr>
        <xdr:cNvPr id="6" name="Chart 5">
          <a:extLst>
            <a:ext uri="{FF2B5EF4-FFF2-40B4-BE49-F238E27FC236}">
              <a16:creationId xmlns:a16="http://schemas.microsoft.com/office/drawing/2014/main" id="{BFADD108-D67F-45B4-AB65-D9A3DB39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0</xdr:colOff>
      <xdr:row>100</xdr:row>
      <xdr:rowOff>0</xdr:rowOff>
    </xdr:from>
    <xdr:to>
      <xdr:col>2</xdr:col>
      <xdr:colOff>314325</xdr:colOff>
      <xdr:row>101</xdr:row>
      <xdr:rowOff>152400</xdr:rowOff>
    </xdr:to>
    <xdr:sp macro="" textlink="">
      <xdr:nvSpPr>
        <xdr:cNvPr id="7" name="Shape 3">
          <a:extLst>
            <a:ext uri="{FF2B5EF4-FFF2-40B4-BE49-F238E27FC236}">
              <a16:creationId xmlns:a16="http://schemas.microsoft.com/office/drawing/2014/main" id="{EED2FB67-5903-4D9B-984D-4BDC5CF7DDA5}"/>
            </a:ext>
          </a:extLst>
        </xdr:cNvPr>
        <xdr:cNvSpPr/>
      </xdr:nvSpPr>
      <xdr:spPr>
        <a:xfrm>
          <a:off x="0" y="52625625"/>
          <a:ext cx="314325" cy="3143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2</xdr:col>
      <xdr:colOff>0</xdr:colOff>
      <xdr:row>0</xdr:row>
      <xdr:rowOff>0</xdr:rowOff>
    </xdr:from>
    <xdr:to>
      <xdr:col>9</xdr:col>
      <xdr:colOff>838200</xdr:colOff>
      <xdr:row>59</xdr:row>
      <xdr:rowOff>133350</xdr:rowOff>
    </xdr:to>
    <xdr:sp macro="" textlink="">
      <xdr:nvSpPr>
        <xdr:cNvPr id="8" name="AutoShape 2">
          <a:extLst>
            <a:ext uri="{FF2B5EF4-FFF2-40B4-BE49-F238E27FC236}">
              <a16:creationId xmlns:a16="http://schemas.microsoft.com/office/drawing/2014/main" id="{9AADEB9A-3899-475E-8BC0-27981D95F9A6}"/>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person displayName="sierrarmiller19@gmail.com" id="{DEE81452-3DCF-4E9B-A44A-85A3DFAB3355}" userId="2c68e2c8db881c00" providerId="Windows Live"/>
  <person displayName="Fanny Liu" id="{BEBD295C-7CEA-42BE-A845-C5E76294995D}" userId="8baee08755c489fa" providerId="Windows Liv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211">
  <rv s="0">
    <v>https://www.bing.com/financeapi/forcetrigger?t=a1mpqh&amp;q=XNYS%3aABBV&amp;form=skydnc</v>
    <v>Learn more on Bing</v>
  </rv>
  <rv s="1">
    <v>en-US</v>
    <v>a1mpqh</v>
    <v>268435456</v>
    <v>1</v>
    <v>Powered by Refinitiv</v>
    <v>0</v>
    <v>ABBVIE INC. (XNYS:ABBV)</v>
    <v>2</v>
    <v>3</v>
    <v>Finance</v>
    <v>4</v>
    <v>168.11</v>
    <v>130.96010000000001</v>
    <v>0.4657</v>
    <v>0.64</v>
    <v>-3.8719999999999998E-4</v>
    <v>4.1479999999999998E-3</v>
    <v>-0.06</v>
    <v>USD</v>
    <v>AbbVie Inc. is a diversified research-based biopharmaceutical company. The Company is engaged in the research and development, manufacturing, commercialization and sale of medicines and therapies. It offers products in therapeutic categories, including immunology products, which include Humira, Skyrizi and Rinvoq; oncology products, which include Imbruvica and Venclexta/Venclyxto; aesthetics products that include Botox Cosmetic, The Juvederm Collection of Fillers and others; neuroscience products, such as Botox Therapeutic, Vraylar, Duopa and Duodopa, and Ubrelvy; eye care products, which consists of Lumigan/Ganfort, Alphagan/Combigan and Restasis, and other key products, which include Mavyret/Maviret, Creon, Lupron, Linzess/Constella and Synthroid. Its products are sold to wholesalers, distributors, government agencies, health care facilities, and more. The Company, through Mitokinin, Inc., offers a lead compound, PINK1 activator, designed to address mitochondrial dysfunction.</v>
    <v>50000</v>
    <v>New York Stock Exchange</v>
    <v>XNYS</v>
    <v>XNYS</v>
    <v>1 N Waukegan Rd, NORTH CHICAGO, IL, 60064 US</v>
    <v>155.15</v>
    <v>Pharmaceuticals</v>
    <v>Stock</v>
    <v>45274.879115751566</v>
    <v>0</v>
    <v>152.7593</v>
    <v>273552302780</v>
    <v>ABBVIE INC.</v>
    <v>ABBVIE INC.</v>
    <v>154.71</v>
    <v>42.330300000000001</v>
    <v>154.30000000000001</v>
    <v>154.94</v>
    <v>154.88</v>
    <v>1765537000</v>
    <v>ABBV</v>
    <v>ABBVIE INC. (XNYS:ABBV)</v>
    <v>7751155</v>
    <v>5609599</v>
    <v>2012</v>
  </rv>
  <rv s="2">
    <v>1</v>
  </rv>
  <rv s="0">
    <v>https://www.bing.com/financeapi/forcetrigger?t=a1u3p2&amp;q=XNAS%3aGOOG&amp;form=skydnc</v>
    <v>Learn more on Bing</v>
  </rv>
  <rv s="1">
    <v>en-US</v>
    <v>a1u3p2</v>
    <v>268435456</v>
    <v>1</v>
    <v>Powered by Refinitiv</v>
    <v>0</v>
    <v>ALPHABET INC. (XNAS:GOOG)</v>
    <v>2</v>
    <v>3</v>
    <v>Finance</v>
    <v>4</v>
    <v>142.38</v>
    <v>85.57</v>
    <v>1.0490999999999999</v>
    <v>-0.77</v>
    <v>3.3030000000000001E-5</v>
    <v>-5.7479999999999996E-3</v>
    <v>4.4000000000000003E-3</v>
    <v>USD</v>
    <v>Alphabet Inc. is a holding company. The Company's segments include Google Services, Google Cloud, and Other Bets. The Google Services segment includes products and services such as ads, Android, Chrome, hardware, Google Maps, Google Play, Search, and YouTube. The Google Cloud segment includes infrastructure and platform services, collaboration tools, and other services for enterprise customers. The Other Bets segment includes earlier stage technologies that are further afield from its core Google business, and it includes the sale of health technology and Internet services. Its Google Cloud provides enterprise-ready cloud services, including Google Cloud Platform and Google Workspace. Google Cloud Platform provides technology in cybersecurity; data, analytics, artificial intelligence (AI), machine learning and infrastructure. The Company's Google Workspace's secure communication and collaboration tools, which include apps, such as Gmail, Docs, Drive, Calendar, Meet, and others.</v>
    <v>182381</v>
    <v>Nasdaq Stock Market</v>
    <v>XNAS</v>
    <v>XNAS</v>
    <v>1600 Amphitheatre Parkway, MOUNTAIN VIEW, CA, 94043 US</v>
    <v>135.035</v>
    <v>Software &amp; IT Services</v>
    <v>Stock</v>
    <v>45274.880253529685</v>
    <v>3</v>
    <v>131.065</v>
    <v>1667261000000</v>
    <v>ALPHABET INC.</v>
    <v>ALPHABET INC.</v>
    <v>134.78</v>
    <v>25.710799999999999</v>
    <v>133.97</v>
    <v>133.19999999999999</v>
    <v>133.20439999999999</v>
    <v>12516000000</v>
    <v>GOOG</v>
    <v>ALPHABET INC. (XNAS:GOOG)</v>
    <v>29511371</v>
    <v>20915139</v>
    <v>2015</v>
  </rv>
  <rv s="2">
    <v>4</v>
  </rv>
  <rv s="0">
    <v>https://www.bing.com/financeapi/forcetrigger?t=a1nhlh&amp;q=XNAS%3aAMZN&amp;form=skydnc</v>
    <v>Learn more on Bing</v>
  </rv>
  <rv s="1">
    <v>en-US</v>
    <v>a1nhlh</v>
    <v>268435456</v>
    <v>1</v>
    <v>Powered by Refinitiv</v>
    <v>0</v>
    <v>AMAZON.COM, INC. (XNAS:AMZN)</v>
    <v>2</v>
    <v>3</v>
    <v>Finance</v>
    <v>4</v>
    <v>150.54</v>
    <v>81.430000000000007</v>
    <v>1.1637999999999999</v>
    <v>-1.42</v>
    <v>3.392E-4</v>
    <v>-9.5399999999999999E-3</v>
    <v>0.05</v>
    <v>USD</v>
    <v>Amazon.com, Inc. provides a range of products and services to customers. The products offered through its stores include merchandise and content that it purchased for resale and products offered by third-party sellers. It manufactures and sells electronic devices, including Kindle, Fire tablet, Fire TV, Echo, and Ring, and it develops and produces media content. It also offers subscription services such as Amazon Prime, a membership program. Its segments include North America, International and Amazon Web Services (AWS). The AWS segment consists of global sales of compute, storage, database, and other services for start-ups, enterprises, government agencies, and academic institutions. It provides advertising services to sellers, vendors, publishers, authors, and others, through programs, such as sponsored advertisements, display, and video advertising. Customers access its offerings through websites, mobile applications, Alexa, devices, streaming, and physically visiting its stores.</v>
    <v>1500000</v>
    <v>Nasdaq Stock Market</v>
    <v>XNAS</v>
    <v>XNAS</v>
    <v>410 Terry Ave N, SEATTLE, WA, 98109 US</v>
    <v>150.54</v>
    <v>Diversified Retail</v>
    <v>Stock</v>
    <v>45274.880376064066</v>
    <v>6</v>
    <v>145.52000000000001</v>
    <v>1523442702599</v>
    <v>AMAZON.COM, INC.</v>
    <v>AMAZON.COM, INC.</v>
    <v>150</v>
    <v>77.705399999999997</v>
    <v>148.84</v>
    <v>147.41999999999999</v>
    <v>147.47</v>
    <v>10334030000</v>
    <v>AMZN</v>
    <v>AMAZON.COM, INC. (XNAS:AMZN)</v>
    <v>57428562</v>
    <v>47499037</v>
    <v>1996</v>
  </rv>
  <rv s="2">
    <v>7</v>
  </rv>
  <rv s="0">
    <v>https://www.bing.com/financeapi/forcetrigger?t=a1ngur&amp;q=XNYS%3aAMT&amp;form=skydnc</v>
    <v>Learn more on Bing</v>
  </rv>
  <rv s="1">
    <v>en-US</v>
    <v>a1ngur</v>
    <v>268435456</v>
    <v>1</v>
    <v>Powered by Refinitiv</v>
    <v>0</v>
    <v>AMERICAN TOWER CORPORATION (XNYS:AMT)</v>
    <v>2</v>
    <v>3</v>
    <v>Finance</v>
    <v>4</v>
    <v>235.57</v>
    <v>154.58000000000001</v>
    <v>0.69710000000000005</v>
    <v>1.1499999999999999</v>
    <v>-9.4260000000000009E-5</v>
    <v>5.4490000000000007E-3</v>
    <v>-0.02</v>
    <v>USD</v>
    <v>American Tower Corporation is a holding company. The Company operates as a real estate investment trust (REIT), which owns, operates and develops multitenant communications real estate. Its segments include U.S. &amp; Canada property, Asia-Pacific property, Africa property, Europe property, Latin America property, Data Centers and Services. Its primary business is leasing space on multitenant communications sites to wireless service providers, radio and television broadcast companies, wireless data providers, government agencies and municipalities and tenants in a number of other industries. Its Data Centers segment relates to data center facilities and related assets that the Company owns and operates in the United States. Its Services segment offers tower-related services in the United States, including AZP, structural analysis and construction management, which primarily support its site leasing business, including the addition of new tenants and equipment on its communications sites.</v>
    <v>6391</v>
    <v>New York Stock Exchange</v>
    <v>XNYS</v>
    <v>XNYS</v>
    <v>116 Huntington Ave, BOSTON, MA, 02116-5749 US</v>
    <v>218.48</v>
    <v>Residential &amp; Commercial REIT</v>
    <v>Stock</v>
    <v>45274.878629421095</v>
    <v>9</v>
    <v>211.24</v>
    <v>98915572569</v>
    <v>AMERICAN TOWER CORPORATION</v>
    <v>AMERICAN TOWER CORPORATION</v>
    <v>215.62</v>
    <v>138.30889999999999</v>
    <v>211.04</v>
    <v>212.19</v>
    <v>212.17</v>
    <v>466165100</v>
    <v>AMT</v>
    <v>AMERICAN TOWER CORPORATION (XNYS:AMT)</v>
    <v>2972443</v>
    <v>2194829</v>
    <v>1996</v>
  </rv>
  <rv s="2">
    <v>10</v>
  </rv>
  <rv s="0">
    <v>https://www.bing.com/financeapi/forcetrigger?t=a1mptc&amp;q=XNYS%3aABC&amp;form=skydnc</v>
    <v>Learn more on Bing</v>
  </rv>
  <rv s="1">
    <v>en-US</v>
    <v>a1mptc</v>
    <v>268435456</v>
    <v>1</v>
    <v>Powered by Refinitiv</v>
    <v>0</v>
    <v>Cencora, Inc. (XNYS:COR)</v>
    <v>2</v>
    <v>3</v>
    <v>Finance</v>
    <v>4</v>
    <v>205.83</v>
    <v>147.47999999999999</v>
    <v>0.47610000000000002</v>
    <v>-2.17</v>
    <v>-2.4810000000000001E-4</v>
    <v>-1.0652E-2</v>
    <v>-0.05</v>
    <v>USD</v>
    <v>Cencora, Inc. is a global pharmaceutical solutions company centered on improving the lives of people and animals around the world. The Company is engaged in the delivery of pharmaceuticals, healthcare products, and solutions. It connects manufacturers, providers, pharmacies, and patients to help them navigate the healthcare system from start to finish. In addition to its core distribution services, it offers a portfolio of solutions to improve the health system's business performance, safety, and patient experience. It delivers solutions for veterinarians, livestock producers, ag-retailers, and manufacturers that make a difference in their businesses and the health of animals. Its solutions and services are designed to help every aspect of the animal health business, from supporting animal care and client experience to managing day-to-day operations. It helps pharmacies and other care providers access the full-line and specialty products they need to care for their patients.</v>
    <v>42000</v>
    <v>New York Stock Exchange</v>
    <v>XNYS</v>
    <v>XNYS</v>
    <v>1 West First Avenue, CONSHOHOCKEN, PA, 19428 US</v>
    <v>202.26</v>
    <v>Healthcare Equipment &amp; Supplies</v>
    <v>Stock</v>
    <v>45274.878365878903</v>
    <v>12</v>
    <v>195.83</v>
    <v>40453564065</v>
    <v>Cencora, Inc.</v>
    <v>Cencora, Inc.</v>
    <v>202.26</v>
    <v>23.890899999999998</v>
    <v>203.72</v>
    <v>201.55</v>
    <v>201.5</v>
    <v>200712300</v>
    <v>COR</v>
    <v>Cencora, Inc. (XNYS:COR)</v>
    <v>3529556</v>
    <v>1608281</v>
    <v>2001</v>
  </rv>
  <rv s="2">
    <v>13</v>
  </rv>
  <rv s="0">
    <v>https://www.bing.com/financeapi/forcetrigger?t=a1pwqh&amp;q=XNAS%3aCMCSA&amp;form=skydnc</v>
    <v>Learn more on Bing</v>
  </rv>
  <rv s="1">
    <v>en-US</v>
    <v>a1pwqh</v>
    <v>268435456</v>
    <v>1</v>
    <v>Powered by Refinitiv</v>
    <v>0</v>
    <v>COMCAST CORPORATION (XNAS:CMCSA)</v>
    <v>2</v>
    <v>3</v>
    <v>Finance</v>
    <v>4</v>
    <v>47.454999999999998</v>
    <v>33.78</v>
    <v>1.0128999999999999</v>
    <v>0.97</v>
    <v>0</v>
    <v>2.2211999999999999E-2</v>
    <v>0</v>
    <v>USD</v>
    <v>Comcast Corporation is a global media and technology company. The Company provides broadband, wireless, and video through Xfinity, Comcast Business, and Sky; produce, distribute, and stream entertainment, sports, and news through brands, including NBC, Telemundo, Universal, Peacock, and Sky; and brings theme parks and attractions to life through Universal Destinations and Experiences. The Company operates through two primary businesses, namely Connectivity &amp; Platforms and Content &amp; Experiences. The Connectivity &amp; Platforms segment contains its broadband and wireless connectivity businesses operated under the Xfinity and Comcast brands in the United States and under the Sky brand in certain territories in Europe. The Content &amp; Experiences segment contains its media and entertainment businesses that develop, produce, and distribute entertainment, news and information, sports, and other content for global audiences and that own and operate theme parks in the United States and Asia.</v>
    <v>186000</v>
    <v>Nasdaq Stock Market</v>
    <v>XNAS</v>
    <v>XNAS</v>
    <v>1 Comcast Ctr, PHILADELPHIA, PA, 19103-2838 US</v>
    <v>44.994999999999997</v>
    <v>Telecommunications Services</v>
    <v>Stock</v>
    <v>45274.879115323434</v>
    <v>15</v>
    <v>43.95</v>
    <v>179679571200</v>
    <v>COMCAST CORPORATION</v>
    <v>COMCAST CORPORATION</v>
    <v>44.06</v>
    <v>12.105600000000001</v>
    <v>43.67</v>
    <v>44.64</v>
    <v>44.64</v>
    <v>4025080000</v>
    <v>CMCSA</v>
    <v>COMCAST CORPORATION (XNAS:CMCSA)</v>
    <v>29610801</v>
    <v>17889940</v>
    <v>2001</v>
  </rv>
  <rv s="2">
    <v>16</v>
  </rv>
  <rv s="0">
    <v>https://www.bing.com/financeapi/forcetrigger?t=a1mou2&amp;q=XNAS%3aAAPL&amp;form=skydnc</v>
    <v>Learn more on Bing</v>
  </rv>
  <rv s="1">
    <v>en-US</v>
    <v>a1mou2</v>
    <v>268435456</v>
    <v>1</v>
    <v>Powered by Refinitiv</v>
    <v>0</v>
    <v>APPLE INC. (XNAS:AAPL)</v>
    <v>2</v>
    <v>3</v>
    <v>Finance</v>
    <v>4</v>
    <v>199.62</v>
    <v>124.17</v>
    <v>1.2995000000000001</v>
    <v>0.15</v>
    <v>5.0480000000000005E-5</v>
    <v>7.5770000000000004E-4</v>
    <v>0.01</v>
    <v>USD</v>
    <v>Apple Inc. designs, manufactures and markets smartphones, personal computers, tablets, wearables and accessories, and sells a variety of related services. The Company's product categories include iPhone, Mac, iPad, and Wearables, Home and Accessories. Its software platforms include iOS, iPadOS, macOS, watchOS and tvOS. Its services include advertising, AppleCare, cloud services, digital content and payment services. It operates various platforms, including the App Store, that allow customers to discover and download applications and digital content, such as books, music, video, games and podcasts. It also offers digital content through subscription-based services, including Apple Arcade, Apple Fitness+, Apple Music, Apple News+ and Apple TV+. The Company's products include iPhone 15 Pro, iPhone 15, iPhone 14, iPhone 13, MacBook Air, MacBook Pro, iMac, Mac mini, Mac Studio, Mac Pro, iPad Pro, iPad Air, iPad, iPad mini, Apple Watch Series 9, AirPods, AirPods Pro, AirPods Max and HomePod.</v>
    <v>161000</v>
    <v>Nasdaq Stock Market</v>
    <v>XNAS</v>
    <v>XNAS</v>
    <v>One Apple Park Way, CUPERTINO, CA, 95014 US</v>
    <v>199.62</v>
    <v>Computers, Phones &amp; Household Electronics</v>
    <v>Stock</v>
    <v>45274.880303899998</v>
    <v>18</v>
    <v>196.16</v>
    <v>3081155302500</v>
    <v>APPLE INC.</v>
    <v>APPLE INC.</v>
    <v>198.07</v>
    <v>32.272300000000001</v>
    <v>197.96</v>
    <v>198.11</v>
    <v>198.12</v>
    <v>15552750000</v>
    <v>AAPL</v>
    <v>APPLE INC. (XNAS:AAPL)</v>
    <v>65794292</v>
    <v>49321272</v>
    <v>1977</v>
  </rv>
  <rv s="2">
    <v>19</v>
  </rv>
  <rv s="0">
    <v>https://www.bing.com/financeapi/forcetrigger?t=a1om4c&amp;q=XNYS%3aBLK&amp;form=skydnc</v>
    <v>Learn more on Bing</v>
  </rv>
  <rv s="1">
    <v>en-US</v>
    <v>a1om4c</v>
    <v>268435456</v>
    <v>1</v>
    <v>Powered by Refinitiv</v>
    <v>0</v>
    <v>BLACKROCK, INC. (XNYS:BLK)</v>
    <v>2</v>
    <v>3</v>
    <v>Finance</v>
    <v>4</v>
    <v>807.56</v>
    <v>596.17999999999995</v>
    <v>1.3678999999999999</v>
    <v>34.130000000000003</v>
    <v>1.5403999999999999E-2</v>
    <v>4.4128000000000001E-2</v>
    <v>12.44</v>
    <v>USD</v>
    <v>BlackRock, Inc. is an investment management company. The Company provides a range of investment management and technology services to institutional and retail clients. Its diverse platform of alpha-seeking active, index and cash management investment strategies across asset classes enables the Company to tailor investment outcomes and asset allocation solutions for clients. The Company's product offerings include single- and multi-asset portfolios investing in equities, fixed income, alternatives and money market instruments. Its products are offered directly and through intermediaries in a range of vehicles, including open-end and closed-end mutual funds, iShares exchange-traded funds (ETFs), separate accounts, collective investment funds and other pooled investment vehicles. The Company also offers technology services, including the investment and risk management technology platform, Aladdin, Aladdin Wealth, eFront, and Cachematrix, as well as advisory services and solutions.</v>
    <v>19900</v>
    <v>New York Stock Exchange</v>
    <v>XNYS</v>
    <v>XNYS</v>
    <v>50 Hudson Yards, NEW YORK, NY, 10001 US</v>
    <v>807.56</v>
    <v>Investment Banking &amp; Investment Services</v>
    <v>Stock</v>
    <v>45274.879339478903</v>
    <v>21</v>
    <v>781.93</v>
    <v>120134644499</v>
    <v>BLACKROCK, INC.</v>
    <v>BLACKROCK, INC.</v>
    <v>781.93</v>
    <v>21.692499999999999</v>
    <v>773.43</v>
    <v>807.56</v>
    <v>820</v>
    <v>148762500</v>
    <v>BLK</v>
    <v>BLACKROCK, INC. (XNYS:BLK)</v>
    <v>1194657</v>
    <v>653610</v>
    <v>2006</v>
  </rv>
  <rv s="2">
    <v>22</v>
  </rv>
  <rv s="0">
    <v>https://www.bing.com/financeapi/forcetrigger?t=a1o9ur&amp;q=XNYS%3aBCC&amp;form=skydnc</v>
    <v>Learn more on Bing</v>
  </rv>
  <rv s="1">
    <v>en-US</v>
    <v>a1o9ur</v>
    <v>268435456</v>
    <v>1</v>
    <v>Powered by Refinitiv</v>
    <v>0</v>
    <v>BOISE CASCADE COMPANY (XNYS:BCC)</v>
    <v>2</v>
    <v>3</v>
    <v>Finance</v>
    <v>4</v>
    <v>119.69</v>
    <v>54.495100000000001</v>
    <v>1.5952</v>
    <v>5.39</v>
    <v>6.7140000000000006E-4</v>
    <v>4.7375999999999995E-2</v>
    <v>0.08</v>
    <v>USD</v>
    <v>Boise Cascade Company is a producer of engineered wood products (EWP) and plywood in North America and a wholesale distributor of building products in the United States. The Company operates through two segments, namely Wood Products and Building Materials Distribution (BMD). The Wood Products segment manufactures laminated veneer lumber (LVL), I-joists, and laminated beams. In addition, it manufactures structural, appearance, and industrial plywood panels, and ponderosa pine lumber. The Building Materials Distribution segment operates a network of distribution facilities that sell a range of lines of building materials, including oriented strand board (OSB), plywood, and lumber; general line items, such as siding, composite decking, doors, metal products, insulation, and roofing, and EWP. Its products are used in the construction of residential housing, including single-family, multi-family, and manufactured homes, and industrial applications. The Company also specializes in millwork.</v>
    <v>7250</v>
    <v>New York Stock Exchange</v>
    <v>XNYS</v>
    <v>XNYS</v>
    <v>P. O. BOX 50, 1111 WEST JEFFERSON STREET, SUITE 300, BOISE, ID, 83702 US</v>
    <v>119.69</v>
    <v>Homebuilding &amp; Construction Supplies</v>
    <v>Stock</v>
    <v>45274.877639467188</v>
    <v>24</v>
    <v>115.825</v>
    <v>4717522951</v>
    <v>BOISE CASCADE COMPANY</v>
    <v>BOISE CASCADE COMPANY</v>
    <v>116.29</v>
    <v>9.0091999999999999</v>
    <v>113.77</v>
    <v>119.16</v>
    <v>119.24</v>
    <v>39589820</v>
    <v>BCC</v>
    <v>BOISE CASCADE COMPANY (XNYS:BCC)</v>
    <v>409599</v>
    <v>264743</v>
    <v>2004</v>
  </rv>
  <rv s="2">
    <v>25</v>
  </rv>
  <rv s="0">
    <v>https://www.bing.com/financeapi/forcetrigger?t=a1odjc&amp;q=XNYS%3aBEP&amp;form=skydnc</v>
    <v>Learn more on Bing</v>
  </rv>
  <rv s="3">
    <v>en-US</v>
    <v>a1odjc</v>
    <v>268435456</v>
    <v>1</v>
    <v>Powered by Refinitiv</v>
    <v>5</v>
    <v>BROOKFIELD RENEWABLE PARTNERS UNT (XNYS:BEP)</v>
    <v>6</v>
    <v>7</v>
    <v>Finance</v>
    <v>8</v>
    <v>32.76</v>
    <v>19.97</v>
    <v>1.44</v>
    <v>1.8239999999999999E-4</v>
    <v>5.5448999999999998E-2</v>
    <v>5.0000000000000001E-3</v>
    <v>USD</v>
    <v>New York Stock Exchange</v>
    <v>XNYS</v>
    <v>27.81</v>
    <v>ETF</v>
    <v>45274.875001075779</v>
    <v>27</v>
    <v>26.09</v>
    <v>BROOKFIELD RENEWABLE PARTNERS UNT</v>
    <v>26.26</v>
    <v>25.97</v>
    <v>27.41</v>
    <v>27.414999999999999</v>
    <v>BEP</v>
    <v>BROOKFIELD RENEWABLE PARTNERS UNT (XNYS:BEP)</v>
    <v>986212</v>
    <v>403525</v>
  </rv>
  <rv s="2">
    <v>28</v>
  </rv>
  <rv s="0">
    <v>https://www.bing.com/financeapi/forcetrigger?t=a1x1ec&amp;q=XNYS%3aLNG&amp;form=skydnc</v>
    <v>Learn more on Bing</v>
  </rv>
  <rv s="1">
    <v>en-US</v>
    <v>a1x1ec</v>
    <v>268435456</v>
    <v>1</v>
    <v>Powered by Refinitiv</v>
    <v>0</v>
    <v>CHENIERE ENERGY, INC. (XNYS:LNG)</v>
    <v>2</v>
    <v>3</v>
    <v>Finance</v>
    <v>4</v>
    <v>183.4599</v>
    <v>135</v>
    <v>0.98360000000000003</v>
    <v>1.25</v>
    <v>1.109E-3</v>
    <v>7.3489999999999996E-3</v>
    <v>0.19</v>
    <v>USD</v>
    <v>Cheniere Energy, Inc. (Cheniere) is an energy infrastructure company primarily engaged in liquefied natural gas (LNG)-related businesses. The Company provides clean, secure LNG to integrated energy companies, utilities, and energy trading companies worldwide. It owns and operates two natural gas liquefaction and export facilities at the Sabine Pass LNG and Corpus Christi LNG terminal. Sabine Pass LNG terminal located in Cameron Parish, Louisiana, which has natural gas liquefaction facilities consisting of six operational natural gas liquefaction Trains for a total production capacity of over 30 million tons per annum (mtpa) of LNG (the SPL Project). Corpus Christi LNG terminal near Corpus Christi, Texas, owns and operates three Trains for a total production capacity of approximately 15 mtpa of LNG. In addition, the Company operates a 21.5 mile natural gas supply pipeline that interconnects the Corpus Christi LNG terminal with several interstate and intrastate natural gas pipelines.</v>
    <v>1551</v>
    <v>New York Stock Exchange</v>
    <v>XNYS</v>
    <v>XNYS</v>
    <v>SUITE 800, 700 MILAM ST., HOUSTON, TX, 77002 US</v>
    <v>172.42</v>
    <v>Oil &amp; Gas Related Equipment and Services</v>
    <v>Stock</v>
    <v>45274.879114200783</v>
    <v>30</v>
    <v>169.33500000000001</v>
    <v>40824977115</v>
    <v>CHENIERE ENERGY, INC.</v>
    <v>CHENIERE ENERGY, INC.</v>
    <v>170.65</v>
    <v>3.3936000000000002</v>
    <v>170.1</v>
    <v>171.35</v>
    <v>171.54</v>
    <v>238254900</v>
    <v>LNG</v>
    <v>CHENIERE ENERGY, INC. (XNYS:LNG)</v>
    <v>1688471</v>
    <v>1448716</v>
    <v>1983</v>
  </rv>
  <rv s="2">
    <v>31</v>
  </rv>
  <rv s="0">
    <v>https://www.bing.com/financeapi/forcetrigger?t=a1sxp2&amp;q=XNYS%3aFIX&amp;form=skydnc</v>
    <v>Learn more on Bing</v>
  </rv>
  <rv s="1">
    <v>en-US</v>
    <v>a1sxp2</v>
    <v>268435456</v>
    <v>1</v>
    <v>Powered by Refinitiv</v>
    <v>0</v>
    <v>COMFORT SYSTEMS USA, INC. (XNYS:FIX)</v>
    <v>2</v>
    <v>3</v>
    <v>Finance</v>
    <v>4</v>
    <v>206.63</v>
    <v>111.28</v>
    <v>1.1142000000000001</v>
    <v>4.4800000000000004</v>
    <v>-3.4070000000000004E-4</v>
    <v>2.2290999999999998E-2</v>
    <v>-7.0000000000000007E-2</v>
    <v>USD</v>
    <v>Comfort Systems USA, Inc. provides mechanical and electrical contracting services. The Company operates through two segments: mechanical and electrical. The Company’s mechanical segment principally includes heating, ventilation and air conditioning (HVAC), plumbing, piping and controls, as well as off-site construction, monitoring and fire protection. This segment also installs connecting and distribution elements, such as piping and ducting. The Company’s electrical segment includes installation and servicing of electrical systems. The Company builds, installs, maintains, repairs and replaces mechanical, electrical and plumbing (MEP) systems throughout its approximately 42 operating units with 169 locations in 128 cities throughout the United States. The Company operates primarily in the commercial, industrial and institutional MEP markets and perform its services in industrial, healthcare, education, office, technology, retail and government facilities.</v>
    <v>14100</v>
    <v>New York Stock Exchange</v>
    <v>XNYS</v>
    <v>XNYS</v>
    <v>SUITE 400, 675 BERING DRIVE, HOUSTON, TX, 77057 US</v>
    <v>206.63</v>
    <v>Construction &amp; Engineering</v>
    <v>Stock</v>
    <v>45274.877342106251</v>
    <v>33</v>
    <v>201.08</v>
    <v>7337966917</v>
    <v>COMFORT SYSTEMS USA, INC.</v>
    <v>COMFORT SYSTEMS USA, INC.</v>
    <v>205</v>
    <v>25.132000000000001</v>
    <v>200.98</v>
    <v>205.46</v>
    <v>205.39</v>
    <v>35714820</v>
    <v>FIX</v>
    <v>COMFORT SYSTEMS USA, INC. (XNYS:FIX)</v>
    <v>357521</v>
    <v>339312</v>
    <v>1996</v>
  </rv>
  <rv s="2">
    <v>34</v>
  </rv>
  <rv s="0">
    <v>https://www.bing.com/financeapi/forcetrigger?t=a1r5fr&amp;q=XNYS%3aDLR&amp;form=skydnc</v>
    <v>Learn more on Bing</v>
  </rv>
  <rv s="1">
    <v>en-US</v>
    <v>a1r5fr</v>
    <v>268435456</v>
    <v>1</v>
    <v>Powered by Refinitiv</v>
    <v>0</v>
    <v>DIGITAL REALTY TRUST, INC. (XNYS:DLR)</v>
    <v>2</v>
    <v>3</v>
    <v>Finance</v>
    <v>4</v>
    <v>139.35</v>
    <v>86.33</v>
    <v>0.55259999999999998</v>
    <v>-2.52</v>
    <v>0</v>
    <v>-1.8605E-2</v>
    <v>0</v>
    <v>USD</v>
    <v>Digital Realty Trust, Inc. is a real estate investment trust, which is engaged in the business of owning, acquiring, developing and operating data centers. The Company provides data center, colocation and interconnection solutions for customers across a range of industry verticals ranging from cloud and information technology services, communications and social networking to financial services, manufacturing, energy, healthcare and consumer products. The Company portfolio consists of approximately 316 data centers, which are located across United States, Europe, Latin America, Africa, Asia, Australia and Canada. The Company’s PlatformDIGITAL is a global data center platform for scaling digital business which enables customers to deploy their critical infrastructure with a global data center provider. PlatformDIGITAL is also combines its global presence with Pervasive Data Center Architecture (PDx) solution for digital business and managing data.</v>
    <v>3412</v>
    <v>New York Stock Exchange</v>
    <v>XNYS</v>
    <v>XNYS</v>
    <v>5707 Southwest Parkway, Building 1, Suite 275, AUSTIN, TX, 78735 US</v>
    <v>137.93</v>
    <v>Residential &amp; Commercial REIT</v>
    <v>Stock</v>
    <v>45274.87933474531</v>
    <v>36</v>
    <v>131.755</v>
    <v>41390800000</v>
    <v>DIGITAL REALTY TRUST, INC.</v>
    <v>DIGITAL REALTY TRUST, INC.</v>
    <v>137.27000000000001</v>
    <v>47.058999999999997</v>
    <v>135.44999999999999</v>
    <v>132.93</v>
    <v>132.93</v>
    <v>302852100</v>
    <v>DLR</v>
    <v>DIGITAL REALTY TRUST, INC. (XNYS:DLR)</v>
    <v>2710975</v>
    <v>1890133</v>
    <v>2004</v>
  </rv>
  <rv s="2">
    <v>37</v>
  </rv>
  <rv s="0">
    <v>https://www.bing.com/financeapi/forcetrigger?t=a1uwu2&amp;q=XNYS%3aHSY&amp;form=skydnc</v>
    <v>Learn more on Bing</v>
  </rv>
  <rv s="1">
    <v>en-US</v>
    <v>a1uwu2</v>
    <v>268435456</v>
    <v>1</v>
    <v>Powered by Refinitiv</v>
    <v>0</v>
    <v>THE HERSHEY COMPANY (XNYS:HSY)</v>
    <v>2</v>
    <v>3</v>
    <v>Finance</v>
    <v>4</v>
    <v>276.88049999999998</v>
    <v>183.73500000000001</v>
    <v>0.34150000000000003</v>
    <v>-2.5299999999999998</v>
    <v>-2.6840000000000002E-4</v>
    <v>-1.3401000000000001E-2</v>
    <v>-0.05</v>
    <v>USD</v>
    <v>The Hershey Company is a confectionery company. It produces snack, mints, chocolate, and non-chocolate confectionery. Its segments include North America Confectionery, North America Salty Snacks, and International. North America Confectionery segment consists of traditional chocolate and non-chocolate confectionery markets in the United States and Canada. This includes chocolate and non-chocolate confectionery, gum and refreshment products, protein bars, spreads, snack bites and mixes, as well as pantry, and food service lines. North America Salty Snacks segment includes salty snacking products in the United States. This includes ready-to-eat popcorn, baked and trans-fat free snacks, pretzels, and other snacks. The international segment has operations and manufactures products in Mexico, Brazil, India, and Malaysia for consumers in these regions, and distributes and sells confectionery products in export markets of Asia, Latin America, Middle East, Europe, Africa and other regions.</v>
    <v>18075</v>
    <v>New York Stock Exchange</v>
    <v>XNYS</v>
    <v>XNYS</v>
    <v>19 East Chocolate Avenue, External Rptg &amp; Compliance, HERSHEY, PA, 17033 US</v>
    <v>189.7</v>
    <v>Food &amp; Tobacco</v>
    <v>Stock</v>
    <v>45274.878544652347</v>
    <v>39</v>
    <v>184.60499999999999</v>
    <v>38089834732</v>
    <v>THE HERSHEY COMPANY</v>
    <v>THE HERSHEY COMPANY</v>
    <v>189.6</v>
    <v>20.363499999999998</v>
    <v>188.79</v>
    <v>186.26</v>
    <v>186.21</v>
    <v>204498200</v>
    <v>HSY</v>
    <v>THE HERSHEY COMPANY (XNYS:HSY)</v>
    <v>1963917</v>
    <v>1351555</v>
    <v>1927</v>
  </rv>
  <rv s="2">
    <v>40</v>
  </rv>
  <rv s="0">
    <v>https://www.bing.com/financeapi/forcetrigger?t=a1ut3m&amp;q=XNAS%3aHON&amp;form=skydnc</v>
    <v>Learn more on Bing</v>
  </rv>
  <rv s="1">
    <v>en-US</v>
    <v>a1ut3m</v>
    <v>268435456</v>
    <v>1</v>
    <v>Powered by Refinitiv</v>
    <v>0</v>
    <v>HONEYWELL INTERNATIONAL INC. (XNAS:HON)</v>
    <v>2</v>
    <v>3</v>
    <v>Finance</v>
    <v>4</v>
    <v>217.87</v>
    <v>174.88</v>
    <v>1.044</v>
    <v>0.33</v>
    <v>0</v>
    <v>1.6250000000000001E-3</v>
    <v>0</v>
    <v>USD</v>
    <v>Honeywell International Inc. is a software-industrial company that provides technology solutions. The Company operates through four segments: Aerospace, Honeywell Building Technologies, Performance Materials and Technologies, and Safety and Productivity Solutions. The Aerospace segment supplies products, software and services for aircrafts that it sells to original equipment manufacturers (OEM) and other customers in various end markets. The Honeywell Building Technologies segment offers products, software, solutions and technologies that enable building owners and occupants to ensure their facilities are safe, energy efficient, sustainable and productive. The Performance Materials and Technologies segment is engaged in developing and manufacturing performance chemicals and materials, process technologies and automation solutions. The Safety and Productivity Solutions segment provides products and software that improve productivity, workplace safety, and asset performance to customers.</v>
    <v>97000</v>
    <v>Nasdaq Stock Market</v>
    <v>XNAS</v>
    <v>XNAS</v>
    <v>855 S. Mint Street, CHARLOTTE, NC, 28202 US</v>
    <v>204.64400000000001</v>
    <v>Consumer Goods Conglomerates</v>
    <v>Stock</v>
    <v>45274.880301330471</v>
    <v>42</v>
    <v>202.46</v>
    <v>134098164546</v>
    <v>HONEYWELL INTERNATIONAL INC.</v>
    <v>HONEYWELL INTERNATIONAL INC.</v>
    <v>204</v>
    <v>25.176600000000001</v>
    <v>203.08</v>
    <v>203.41</v>
    <v>203.41</v>
    <v>659250600</v>
    <v>HON</v>
    <v>HONEYWELL INTERNATIONAL INC. (XNAS:HON)</v>
    <v>3655104</v>
    <v>2665109</v>
    <v>1999</v>
  </rv>
  <rv s="2">
    <v>43</v>
  </rv>
  <rv s="0">
    <v>https://www.bing.com/financeapi/forcetrigger?t=a1uvjc&amp;q=XNAS%3aHRZN&amp;form=skydnc</v>
    <v>Learn more on Bing</v>
  </rv>
  <rv s="4">
    <v>en-US</v>
    <v>a1uvjc</v>
    <v>268435456</v>
    <v>1</v>
    <v>Powered by Refinitiv</v>
    <v>9</v>
    <v>HORIZON TECHNOLOGY FINANCE CORPORATION (XNAS:HRZN)</v>
    <v>2</v>
    <v>10</v>
    <v>Finance</v>
    <v>4</v>
    <v>13.395099999999999</v>
    <v>10.098599999999999</v>
    <v>1.2337</v>
    <v>0.11</v>
    <v>0</v>
    <v>8.4489999999999999E-3</v>
    <v>0</v>
    <v>USD</v>
    <v>Horizon Technology Finance Corporation is an externally managed, non-diversified, closed-end investment company. The Company lends to and invests in development-stage companies in the technology, life science, healthcare information and services and sustainability industries (target industries). The investment objective of Company is to maximize its investment portfolio’s return by generating current income from the debt investments it makes and capital appreciation from the warrants it receives when making such debt investments. It is focused on making secured debt investments to venture capital and private equity backed companies and publicly traded companies in its target industries. The Company holds warrants to purchase stock, predominantly preferred stock, in 90 portfolio companies. The Company is managed by Horizon Technology Finance Management LLC, a specialty finance company that provides capital in the form of secured loans to venture capital backed companies.</v>
    <v>0</v>
    <v>Nasdaq Stock Market</v>
    <v>XNAS</v>
    <v>XNAS</v>
    <v>312 Farmington Ave, FARMINGTON, CT, 06032-1913 US</v>
    <v>13.19</v>
    <v>Collective Investments</v>
    <v>Stock</v>
    <v>45274.875016226564</v>
    <v>45</v>
    <v>13.05</v>
    <v>437629858</v>
    <v>HORIZON TECHNOLOGY FINANCE CORPORATION</v>
    <v>HORIZON TECHNOLOGY FINANCE CORPORATION</v>
    <v>13.13</v>
    <v>13.02</v>
    <v>13.13</v>
    <v>13.13</v>
    <v>33330530</v>
    <v>HRZN</v>
    <v>HORIZON TECHNOLOGY FINANCE CORPORATION (XNAS:HRZN)</v>
    <v>214759</v>
    <v>181964</v>
    <v>2010</v>
  </rv>
  <rv s="2">
    <v>46</v>
  </rv>
  <rv s="0">
    <v>https://www.bing.com/financeapi/forcetrigger?t=a1wmu2&amp;q=XNYS%3aKR&amp;form=skydnc</v>
    <v>Learn more on Bing</v>
  </rv>
  <rv s="1">
    <v>en-US</v>
    <v>a1wmu2</v>
    <v>268435456</v>
    <v>1</v>
    <v>Powered by Refinitiv</v>
    <v>0</v>
    <v>THE KROGER CO. (XNYS:KR)</v>
    <v>2</v>
    <v>3</v>
    <v>Finance</v>
    <v>4</v>
    <v>50.36</v>
    <v>42.094999999999999</v>
    <v>0.44469999999999998</v>
    <v>-1.1499999999999999</v>
    <v>0</v>
    <v>-2.5716000000000003E-2</v>
    <v>0</v>
    <v>USD</v>
    <v>The Kroger Co. is a food and drug retailer. The Company operates supermarkets, multi-department stores and fulfillment centers throughout the United States. The Company operates approximately 2,719 supermarkets, 2,252 pharmacies and 1,637 fuel centers across 35 states and also operates online through a digital ecosystem to offer customers an omnichannel shopping experience. The Company also manufactures and processes food for sale in its supermarkets and online. It offers Pickup and Harris Teeter ExpressLane personalized, order online, pick up at the store services. Its delivery solutions include orders delivered to customers from retail store locations and customer fulfillment centers powered by Ocado. Its brands products are primarily produced and sold in three tiers, such as Private Selection, The Kroger, Big K, Smart Way, Heritage Farm. Its brands offer customers a variety of natural and organic products with Simple Truth and Simple Truth Organic brands.</v>
    <v>430000</v>
    <v>New York Stock Exchange</v>
    <v>XNYS</v>
    <v>XNYS</v>
    <v>1014 Vine St, CINCINNATI, OH, 45202-1141 US</v>
    <v>44.674999999999997</v>
    <v>Food &amp; Drug Retailing</v>
    <v>Stock</v>
    <v>45274.880194571095</v>
    <v>48</v>
    <v>43.511000000000003</v>
    <v>31345281895</v>
    <v>THE KROGER CO.</v>
    <v>THE KROGER CO.</v>
    <v>44.64</v>
    <v>17.400099999999998</v>
    <v>44.72</v>
    <v>43.57</v>
    <v>43.57</v>
    <v>719423500</v>
    <v>KR</v>
    <v>THE KROGER CO. (XNYS:KR)</v>
    <v>8033166</v>
    <v>5306793</v>
    <v>1902</v>
  </rv>
  <rv s="2">
    <v>49</v>
  </rv>
  <rv s="0">
    <v>https://www.bing.com/financeapi/forcetrigger?t=a1wzw7&amp;q=XNYS%3aLMT&amp;form=skydnc</v>
    <v>Learn more on Bing</v>
  </rv>
  <rv s="1">
    <v>en-US</v>
    <v>a1wzw7</v>
    <v>268435456</v>
    <v>1</v>
    <v>Powered by Refinitiv</v>
    <v>0</v>
    <v>LOCKHEED MARTIN CORPORATION (XNYS:LMT)</v>
    <v>2</v>
    <v>3</v>
    <v>Finance</v>
    <v>4</v>
    <v>508.1</v>
    <v>393.77</v>
    <v>0.51690000000000003</v>
    <v>-6.09</v>
    <v>-1.796E-4</v>
    <v>-1.349E-2</v>
    <v>-0.08</v>
    <v>USD</v>
    <v>Lockheed Martin Corporation is a security and aerospace company. It operates through four segments. Aeronautics segment is engaged in the research, design, development, manufacture, support and upgrade of military aircraft, including combat and air mobility aircraft, unmanned air vehicles and related technologies. Missiles and Fire Control segment provides air and missile defense systems; fire control systems; manned and unmanned ground vehicles, and energy management solutions. Rotary and Mission Systems segment provides design, manufacture, service and support for various military and commercial helicopters, surface ships, sea and land-based missile defense systems, radar systems, sea and air-based mission and combat systems, command and control mission solutions, cyber solutions, and simulation and training solutions. Space segment is engaged in the research and development, design, engineering and production of satellites, space transportation systems, strike and defensive systems.</v>
    <v>116000</v>
    <v>New York Stock Exchange</v>
    <v>XNYS</v>
    <v>XNYS</v>
    <v>6801 ROCKLEDGE DR, BETHESDA, MD, 20817 US</v>
    <v>452.54</v>
    <v>Aerospace &amp; Defense</v>
    <v>Stock</v>
    <v>45274.878466284375</v>
    <v>51</v>
    <v>441.5</v>
    <v>110490756045</v>
    <v>LOCKHEED MARTIN CORPORATION</v>
    <v>LOCKHEED MARTIN CORPORATION</v>
    <v>452.54</v>
    <v>16.485499999999998</v>
    <v>451.44</v>
    <v>445.35</v>
    <v>445.27</v>
    <v>248098700</v>
    <v>LMT</v>
    <v>LOCKHEED MARTIN CORPORATION (XNYS:LMT)</v>
    <v>1870798</v>
    <v>1106544</v>
    <v>1994</v>
  </rv>
  <rv s="2">
    <v>52</v>
  </rv>
  <rv s="0">
    <v>https://www.bing.com/financeapi/forcetrigger?t=a1xvzr&amp;q=XNYS%3aMPC&amp;form=skydnc</v>
    <v>Learn more on Bing</v>
  </rv>
  <rv s="1">
    <v>en-US</v>
    <v>a1xvzr</v>
    <v>268435456</v>
    <v>1</v>
    <v>Powered by Refinitiv</v>
    <v>0</v>
    <v>MARATHON PETROLEUM CORPORATION (XNYS:MPC)</v>
    <v>2</v>
    <v>3</v>
    <v>Finance</v>
    <v>4</v>
    <v>159.65</v>
    <v>104.32</v>
    <v>1.5058</v>
    <v>4.2</v>
    <v>1.9890000000000001E-4</v>
    <v>2.8638E-2</v>
    <v>0.03</v>
    <v>USD</v>
    <v>Marathon Petroleum Corporation is a downstream energy company. The Company is engaged in the petroleum product refining, marketing, retail and midstream business in the United States. The Company operates through two segments: Refining &amp; Marketing and Midstream. The Refining &amp; Marketing segment refines crude oil and other feedstocks, including renewable feedstocks, at the Company’s refineries in the Gulf Coast, Mid-Continent and West Coast regions of the United States. The Company sells refined products to wholesale marketing customers domestically and internationally, under Marathon brands. The Midstream segment transports, stores, distributes and markets crude oil and refined products principally for the Refining &amp; Marketing segment through refining logistics assets, pipelines, terminals, towboats and barges, gathers, processes and transports natural gas, and gathers, transports, fractionates, stores and markets natural gas liquids (NGLs).</v>
    <v>17800</v>
    <v>New York Stock Exchange</v>
    <v>XNYS</v>
    <v>XNYS</v>
    <v>539 S Main St, FINDLAY, OH, 45840-3229 US</v>
    <v>150.88</v>
    <v>Oil &amp; Gas</v>
    <v>Stock</v>
    <v>45274.87849170078</v>
    <v>54</v>
    <v>147.35499999999999</v>
    <v>57281134678</v>
    <v>MARATHON PETROLEUM CORPORATION</v>
    <v>MARATHON PETROLEUM CORPORATION</v>
    <v>149.27000000000001</v>
    <v>5.5111999999999997</v>
    <v>146.66</v>
    <v>150.86000000000001</v>
    <v>150.88999999999999</v>
    <v>379697300</v>
    <v>MPC</v>
    <v>MARATHON PETROLEUM CORPORATION (XNYS:MPC)</v>
    <v>3532140</v>
    <v>2953845</v>
    <v>2009</v>
  </rv>
  <rv s="2">
    <v>55</v>
  </rv>
  <rv s="0">
    <v>https://www.bing.com/financeapi/forcetrigger?t=a1xp2w&amp;q=XNYS%3aMLM&amp;form=skydnc</v>
    <v>Learn more on Bing</v>
  </rv>
  <rv s="1">
    <v>en-US</v>
    <v>a1xp2w</v>
    <v>268435456</v>
    <v>1</v>
    <v>Powered by Refinitiv</v>
    <v>0</v>
    <v>MARTIN MARIETTA MATERIALS, INC. (XNYS:MLM)</v>
    <v>2</v>
    <v>3</v>
    <v>Finance</v>
    <v>4</v>
    <v>495.26499999999999</v>
    <v>317.94</v>
    <v>0.91300000000000003</v>
    <v>5.4</v>
    <v>-3.2439999999999997E-4</v>
    <v>1.107E-2</v>
    <v>-0.16</v>
    <v>USD</v>
    <v>Martin Marietta Materials, Inc. is a natural resource-based building materials company. The Company supplies aggregates (crushed stone, sand and gravel) through its network of approximately 350 quarries, mines and distribution yards in 28 states, Canada and The Bahamas. The Company also provides cement and downstream products, namely, asphalt and paving services, in markets that are naturally vertically integrated. The Company conducts its Building Materials business through two segments, such as East Group and West Group. The East Group provides aggregates and asphalt products. The West Group provides aggregates, cement, downstream products and paving services. The Company also operates a Magnesia Specialties business, which produces magnesia-based chemical products that are used in industrial, agricultural and environmental applications. It also produces dolomitic lime sold primarily to customers for steel production and soil stabilization.</v>
    <v>9400</v>
    <v>New York Stock Exchange</v>
    <v>XNYS</v>
    <v>XNYS</v>
    <v>4123 PARKLAKE AVE, RALEIGH, NC, 27612 US</v>
    <v>495.26499999999999</v>
    <v>Construction Materials</v>
    <v>Stock</v>
    <v>45274.878301469529</v>
    <v>57</v>
    <v>484.89</v>
    <v>30483909383</v>
    <v>MARTIN MARIETTA MATERIALS, INC.</v>
    <v>MARTIN MARIETTA MATERIALS, INC.</v>
    <v>490.13499999999999</v>
    <v>27.5672</v>
    <v>487.81</v>
    <v>493.21</v>
    <v>493.05</v>
    <v>61807160</v>
    <v>MLM</v>
    <v>MARTIN MARIETTA MATERIALS, INC. (XNYS:MLM)</v>
    <v>433212</v>
    <v>331473</v>
    <v>1993</v>
  </rv>
  <rv s="2">
    <v>58</v>
  </rv>
  <rv s="0">
    <v>https://www.bing.com/financeapi/forcetrigger?t=a1slm7&amp;q=XNAS%3aMETA&amp;form=skydnc</v>
    <v>Learn more on Bing</v>
  </rv>
  <rv s="1">
    <v>en-US</v>
    <v>a1slm7</v>
    <v>268435456</v>
    <v>1</v>
    <v>Powered by Refinitiv</v>
    <v>0</v>
    <v>Meta Platforms, Inc. (XNAS:META)</v>
    <v>2</v>
    <v>3</v>
    <v>Finance</v>
    <v>4</v>
    <v>342.92</v>
    <v>112.46</v>
    <v>1.2146999999999999</v>
    <v>-1.57</v>
    <v>3.0009999999999998E-4</v>
    <v>-4.6899999999999997E-3</v>
    <v>0.1</v>
    <v>USD</v>
    <v>Meta Platforms, Inc. builds technologies that help people connect, find communities, and grow businesses. The Company's products enable people to connect and share with friends and family through mobile devices, personal computers, virtual reality (VR) headsets, and wearables. The Company operates through two segments: Family of Apps (FoA) and Reality Labs (RL). FoA segment includes Facebook, Instagram, Messenger, WhatsApp, and other services. RL segment includes augmented and VR-related consumer hardware, software, and content. Facebook enables people to connect, share, discover and communicate with each other on mobile devices and personal computers. Instagram is a place where people can express themselves through photos, videos, and private messaging, and connect with and shop from their favorite businesses. Its RL products include Meta Quest virtual reality devices, as well as software and content available through the Meta Quest Store, which enable a range of social experiences.</v>
    <v>66185</v>
    <v>Nasdaq Stock Market</v>
    <v>XNAS</v>
    <v>XNAS</v>
    <v>1 Meta Way, MENLO PARK, CA, 94025 US</v>
    <v>334.3399</v>
    <v>Software &amp; IT Services</v>
    <v>Stock</v>
    <v>45274.880323032034</v>
    <v>60</v>
    <v>328.63709999999998</v>
    <v>856201255710</v>
    <v>Meta Platforms, Inc.</v>
    <v>Meta Platforms, Inc.</v>
    <v>333.93</v>
    <v>29.5623</v>
    <v>334.74</v>
    <v>333.17</v>
    <v>333.27</v>
    <v>2569863000</v>
    <v>META</v>
    <v>Meta Platforms, Inc. (XNAS:META)</v>
    <v>19319626</v>
    <v>15870954</v>
    <v>2004</v>
  </rv>
  <rv s="2">
    <v>61</v>
  </rv>
  <rv s="0">
    <v>http://en.wikipedia.org/wiki/Public_domain</v>
    <v>Public domain</v>
  </rv>
  <rv s="0">
    <v>https://en.wikipedia.org/wiki/Microsoft</v>
    <v>Wikipedia</v>
  </rv>
  <rv s="5">
    <v>63</v>
    <v>64</v>
  </rv>
  <rv s="6">
    <v>15</v>
    <v>https://www.bing.com/th?id=AMMS_e6e837c7bf3a77408619758b7447855a&amp;qlt=95</v>
    <v>65</v>
    <v>0</v>
    <v>https://www.bing.com/images/search?form=xlimg&amp;q=microsoft</v>
    <v>Image of MICROSOFT CORPORATION</v>
  </rv>
  <rv s="0">
    <v>https://www.bing.com/financeapi/forcetrigger?t=a1xzim&amp;q=XNAS%3aMSFT&amp;form=skydnc</v>
    <v>Learn more on Bing</v>
  </rv>
  <rv s="7">
    <v>en-US</v>
    <v>a1xzim</v>
    <v>268435456</v>
    <v>1</v>
    <v>Powered by Refinitiv</v>
    <v>11</v>
    <v>MICROSOFT CORPORATION (XNAS:MSFT)</v>
    <v>13</v>
    <v>14</v>
    <v>Finance</v>
    <v>4</v>
    <v>384.3</v>
    <v>219.35</v>
    <v>0.88170000000000004</v>
    <v>-8.44</v>
    <v>2.186E-4</v>
    <v>-2.2545000000000003E-2</v>
    <v>0.08</v>
    <v>USD</v>
    <v>Microsoft Corporation is a technology company. The Company develops and supports software, services, devices, and solutions. The Company’s segments include Productivity and Business Processes, Intelligent Cloud, and More Personal Computing. The Productivity and Business Processes segment consists of products and services in its portfolio of productivity, communication, and information services. This segment primarily comprises: Office Commercial, Office Consumer, LinkedIn, and Dynamics business solutions. The Intelligent Cloud segment consists of server products and cloud services, including Azure and other cloud services, SQL Server, Windows Server, Visual Studio, System Center, and related Client Access Licenses (CALs), and Nuance and GitHub; and Enterprise Services, including enterprise support services, industry solutions and Nuance professional services. The More Personal Computing segment primarily comprises Windows, devices, gaming, and search and news advertising.</v>
    <v>221000</v>
    <v>Nasdaq Stock Market</v>
    <v>XNAS</v>
    <v>XNAS</v>
    <v>One Microsoft Way, REDMOND, WA, 98052-6399 US</v>
    <v>373.7</v>
    <v>66</v>
    <v>Software &amp; IT Services</v>
    <v>Stock</v>
    <v>45274.880327603903</v>
    <v>67</v>
    <v>364.13</v>
    <v>2719687633660</v>
    <v>MICROSOFT CORPORATION</v>
    <v>MICROSOFT CORPORATION</v>
    <v>373.3</v>
    <v>36.253399999999999</v>
    <v>374.37</v>
    <v>365.93</v>
    <v>366.01</v>
    <v>7432262000</v>
    <v>MSFT</v>
    <v>MICROSOFT CORPORATION (XNAS:MSFT)</v>
    <v>43249828</v>
    <v>26979409</v>
    <v>1993</v>
  </rv>
  <rv s="2">
    <v>68</v>
  </rv>
  <rv s="0">
    <v>https://www.bing.com/financeapi/forcetrigger?t=a1ye2w&amp;q=XNYS%3aNEE&amp;form=skydnc</v>
    <v>Learn more on Bing</v>
  </rv>
  <rv s="1">
    <v>en-US</v>
    <v>a1ye2w</v>
    <v>268435456</v>
    <v>1</v>
    <v>Powered by Refinitiv</v>
    <v>0</v>
    <v>NEXTERA ENERGY, INC. (XNYS:NEE)</v>
    <v>2</v>
    <v>3</v>
    <v>Finance</v>
    <v>4</v>
    <v>88.61</v>
    <v>47.145000000000003</v>
    <v>0.52049999999999996</v>
    <v>0.26</v>
    <v>3.1859999999999999E-4</v>
    <v>4.1589999999999995E-3</v>
    <v>0.02</v>
    <v>USD</v>
    <v>NextEra Energy, Inc. is an electric power and energy infrastructure company. The Company operates through its wholly owned subsidiaries, NextEra Energy Resources, LLC and NextEra Energy Transmission, LLC (collectively, NEER). The Company’s segment is NEER. The NEER segment owns, develops, constructs, manages, and operates electric generation facilities in wholesale energy markets in the United States and Canada. NEER also includes assets and investments in other businesses with a clean energy focus, such as battery storage and renewable fuels. Its NextEra Energy Resources, LLC operates a portfolio that consists of 31 biogas projects, one of which is an operating renewable natural gas facility and the others of which are primarily operating landfill gas-to-electric facilities.</v>
    <v>15300</v>
    <v>New York Stock Exchange</v>
    <v>XNYS</v>
    <v>XNYS</v>
    <v>700 Universe Blvd, JUNO BEACH, FL, 33408 US</v>
    <v>64.59</v>
    <v>Electrical Utilities &amp; IPPs</v>
    <v>Stock</v>
    <v>45274.879704432809</v>
    <v>70</v>
    <v>62.36</v>
    <v>128785711160</v>
    <v>NEXTERA ENERGY, INC.</v>
    <v>NEXTERA ENERGY, INC.</v>
    <v>63.6</v>
    <v>16.5318</v>
    <v>62.51</v>
    <v>62.77</v>
    <v>62.79</v>
    <v>2051708000</v>
    <v>NEE</v>
    <v>NEXTERA ENERGY, INC. (XNYS:NEE)</v>
    <v>16765841</v>
    <v>11441345</v>
    <v>1984</v>
  </rv>
  <rv s="2">
    <v>71</v>
  </rv>
  <rv s="0">
    <v>https://www.bing.com/financeapi/forcetrigger?t=a1yv52&amp;q=XNAS%3aNVDA&amp;form=skydnc</v>
    <v>Learn more on Bing</v>
  </rv>
  <rv s="1">
    <v>en-US</v>
    <v>a1yv52</v>
    <v>268435456</v>
    <v>1</v>
    <v>Powered by Refinitiv</v>
    <v>0</v>
    <v>NVIDIA CORPORATION (XNAS:NVDA)</v>
    <v>2</v>
    <v>3</v>
    <v>Finance</v>
    <v>4</v>
    <v>505.48</v>
    <v>138.84</v>
    <v>1.6456</v>
    <v>2.62</v>
    <v>-5.1709999999999994E-4</v>
    <v>5.4479999999999997E-3</v>
    <v>-0.25</v>
    <v>USD</v>
    <v>NVIDIA Corporation accelerates computing to help solve the computational problems. The Company has two segments. The Compute &amp; Networking segment includes its data center accelerated computing platform; networking; automotive artificial intelligence (AI) cockpit, autonomous driving development agreements and autonomous vehicle solutions; electric vehicle computing platforms; Jetson for robotics and other embedded platforms; NVIDIA AI Enterprise and other software; and cryptocurrency mining processors (CMP). The Graphics segment includes GeForce GPUs for gaming and personal computers (PCs), the GeForce NOW game streaming service and related infrastructure, and solutions for gaming platforms; Quadro/NVIDIA RTX GPUs for enterprise workstation graphics; virtual GPU (vGPU), software for cloud-based visual and virtual computing; automotive platforms for infotainment systems; and omniverse enterprise software for building and operating metaverse and three-dimensional Internet applications.</v>
    <v>26196</v>
    <v>Nasdaq Stock Market</v>
    <v>XNAS</v>
    <v>XNAS</v>
    <v>2788 San Tomas Expressway, SANTA CLARA, CA, 95051 US</v>
    <v>486.7</v>
    <v>Semiconductors &amp; Semiconductor Equipment</v>
    <v>Stock</v>
    <v>45274.880373726563</v>
    <v>73</v>
    <v>474.22</v>
    <v>1194245000000</v>
    <v>NVIDIA CORPORATION</v>
    <v>NVIDIA CORPORATION</v>
    <v>483.61</v>
    <v>63.494199999999999</v>
    <v>480.88</v>
    <v>483.5</v>
    <v>483.25</v>
    <v>2470000000</v>
    <v>NVDA</v>
    <v>NVIDIA CORPORATION (XNAS:NVDA)</v>
    <v>38087317</v>
    <v>42934391</v>
    <v>1998</v>
  </rv>
  <rv s="2">
    <v>74</v>
  </rv>
  <rv s="0">
    <v>https://www.bing.com/financeapi/forcetrigger?t=a1zsjc&amp;q=XNYS%3aPG&amp;form=skydnc</v>
    <v>Learn more on Bing</v>
  </rv>
  <rv s="1">
    <v>en-US</v>
    <v>a1zsjc</v>
    <v>268435456</v>
    <v>1</v>
    <v>Powered by Refinitiv</v>
    <v>0</v>
    <v>THE PROCTER &amp; GAMBLE COMPANY (XNYS:PG)</v>
    <v>2</v>
    <v>3</v>
    <v>Finance</v>
    <v>4</v>
    <v>158.38</v>
    <v>135.83000000000001</v>
    <v>0.4456</v>
    <v>-3.91</v>
    <v>7.6039999999999994E-4</v>
    <v>-2.6316000000000003E-2</v>
    <v>0.11</v>
    <v>USD</v>
    <v>The Procter &amp; Gamble Company is focused on providing branded consumer packaged goods to consumers across the world. The Company’s segments include Beauty, Grooming, Health Care, Fabric &amp; Home Care and Baby, Feminine &amp; Family Care. The Company’s products are sold in approximately 180 countries and territories primarily through mass merchandisers, e-commerce, including social commerce channels, grocery stores, membership club stores, drug stores, department stores, distributors, wholesalers, specialty beauty stores, including airport duty-free stores), high-frequency stores, pharmacies, electronics stores and professional channels. It also sells direct to individual consumers. It has operations in approximately 70 countries. It offers products under brands, such as Head &amp; Shoulders, Herbal Essences, Pantene, Rejoice, Olay, Old Spice, Safeguard, Secret, SK-II, Braun, Gillette, Venus, Crest, Oral-B, Ariel, Downy, Gain, Tide, Always, Always Discreet, Tampax and others.</v>
    <v>107000</v>
    <v>New York Stock Exchange</v>
    <v>XNYS</v>
    <v>XNYS</v>
    <v>One Procter &amp; Gamble Plaza, CINCINNATI, OH, 45202 US</v>
    <v>148.53</v>
    <v>Personal &amp; Household Products &amp; Services</v>
    <v>Stock</v>
    <v>45274.88022701328</v>
    <v>76</v>
    <v>144.38</v>
    <v>340970697620</v>
    <v>THE PROCTER &amp; GAMBLE COMPANY</v>
    <v>THE PROCTER &amp; GAMBLE COMPANY</v>
    <v>148.35</v>
    <v>24.1554</v>
    <v>148.58000000000001</v>
    <v>144.66999999999999</v>
    <v>144.78</v>
    <v>2356886000</v>
    <v>PG</v>
    <v>THE PROCTER &amp; GAMBLE COMPANY (XNYS:PG)</v>
    <v>10437058</v>
    <v>6825240</v>
    <v>1905</v>
  </rv>
  <rv s="2">
    <v>77</v>
  </rv>
  <rv s="0">
    <v>https://www.bing.com/financeapi/forcetrigger?t=a1zo52&amp;q=XNYS%3aPEG&amp;form=skydnc</v>
    <v>Learn more on Bing</v>
  </rv>
  <rv s="1">
    <v>en-US</v>
    <v>a1zo52</v>
    <v>268435456</v>
    <v>1</v>
    <v>Powered by Refinitiv</v>
    <v>0</v>
    <v>PUBLIC SERVICE ENTERPRISE GROUP INCORPORATED (XNYS:PEG)</v>
    <v>2</v>
    <v>3</v>
    <v>Finance</v>
    <v>4</v>
    <v>65.459100000000007</v>
    <v>53.71</v>
    <v>0.59460000000000002</v>
    <v>-1.52</v>
    <v>0</v>
    <v>-2.3559E-2</v>
    <v>0</v>
    <v>USD</v>
    <v>Public Service Enterprise Group Incorporated (PSEG) is a holding company. The Company also operates as an energy company that is consisting primarily of a regulated electric and gas utility and a nuclear generation business. The Company principally conducts its business through two direct wholly owned subsidiaries, Public Service Electric and Gas Company (PSE&amp;G) and PSEG Power LLC (PSEG Power). Its segments include PSE&amp;G and PSEG Power. Its PSE&amp;G segment is principally engaged in the transmission of electricity and distribution of electricity and natural gas in certain areas of New Jersey. PSE&amp;G segment also invests in regulated solar generation projects and energy-related programs in New Jersey. PSEG Power segment is an energy supply company that integrates the operations of its merchant nuclear and fossil generating assets with its fuel supply functions through energy sales in energy markets through its principal direct wholly owned subsidiaries.</v>
    <v>12525</v>
    <v>New York Stock Exchange</v>
    <v>XNYS</v>
    <v>XNYS</v>
    <v>Corporate Accounting Services, 80 Park Plaza, 9Th Floor, NEWARK, NJ, 07102-4194 US</v>
    <v>64.92</v>
    <v>Multiline Utilities</v>
    <v>Stock</v>
    <v>45274.87911602969</v>
    <v>79</v>
    <v>62.78</v>
    <v>31393800900</v>
    <v>PUBLIC SERVICE ENTERPRISE GROUP INCORPORATED</v>
    <v>PUBLIC SERVICE ENTERPRISE GROUP INCORPORATED</v>
    <v>64.77</v>
    <v>11.507400000000001</v>
    <v>64.52</v>
    <v>63</v>
    <v>63</v>
    <v>498314300</v>
    <v>PEG</v>
    <v>PUBLIC SERVICE ENTERPRISE GROUP INCORPORATED (XNYS:PEG)</v>
    <v>4456029</v>
    <v>3343951</v>
    <v>1985</v>
  </rv>
  <rv s="2">
    <v>80</v>
  </rv>
  <rv s="0">
    <v>https://www.bing.com/financeapi/forcetrigger?t=a226jc&amp;q=XNYS%3aROK&amp;form=skydnc</v>
    <v>Learn more on Bing</v>
  </rv>
  <rv s="1">
    <v>en-US</v>
    <v>a226jc</v>
    <v>268435456</v>
    <v>1</v>
    <v>Powered by Refinitiv</v>
    <v>0</v>
    <v>ROCKWELL AUTOMATION, INC. (XNYS:ROK)</v>
    <v>2</v>
    <v>3</v>
    <v>Finance</v>
    <v>4</v>
    <v>348.52</v>
    <v>248.71</v>
    <v>1.4187000000000001</v>
    <v>15.91</v>
    <v>-9.7759999999999999E-5</v>
    <v>5.4679000000000005E-2</v>
    <v>-0.03</v>
    <v>USD</v>
    <v>Rockwell Automation, Inc. is engaged in providing industrial automation and digital transformation products and services. The Company operates through three segments: Intelligent Devices, Software and Control, and Lifecycle Services. The Intelligent Devices segment includes drives, motion, advanced material handling, safety, sensing, industrial components and configured-to-order products. The Software and Control segment includes control and visualization software and hardware, digital twin, simulation and information software, and network and security infrastructure. The Lifecycle Services segment includes digital consulting, professional services including engineered-to-order solutions, recurring services, including cybersecurity, safety, remote monitoring, asset management and the Sensia joint venture. Its hardware and software products include condition monitoring, connection devices, industrial control products, FactoryTalk Logix Echo, Emulate3D Digital Twin and Arena Simulation.</v>
    <v>29000</v>
    <v>New York Stock Exchange</v>
    <v>XNYS</v>
    <v>XNYS</v>
    <v>1201 South 2Nd Street, MILWAUKEE, WI, 53204 US</v>
    <v>307.18810000000002</v>
    <v>Machinery, Equipment &amp; Components</v>
    <v>Stock</v>
    <v>45274.878286260937</v>
    <v>82</v>
    <v>292.77</v>
    <v>33366270000</v>
    <v>ROCKWELL AUTOMATION, INC.</v>
    <v>ROCKWELL AUTOMATION, INC.</v>
    <v>294.99</v>
    <v>24.3399</v>
    <v>290.97000000000003</v>
    <v>306.88</v>
    <v>306.85000000000002</v>
    <v>114672500</v>
    <v>ROK</v>
    <v>ROCKWELL AUTOMATION, INC. (XNYS:ROK)</v>
    <v>1594667</v>
    <v>955383</v>
    <v>1996</v>
  </rv>
  <rv s="2">
    <v>83</v>
  </rv>
  <rv s="0">
    <v>https://www.bing.com/financeapi/forcetrigger?t=a22777&amp;q=XNYS%3aROP&amp;form=skydnc</v>
    <v>Learn more on Bing</v>
  </rv>
  <rv s="1">
    <v>en-US</v>
    <v>a22777</v>
    <v>268435456</v>
    <v>1</v>
    <v>Powered by Refinitiv</v>
    <v>0</v>
    <v>ROPER TECHNOLOGIES, INC. (XNAS:ROP)</v>
    <v>2</v>
    <v>3</v>
    <v>Finance</v>
    <v>4</v>
    <v>551.91</v>
    <v>416.77499999999998</v>
    <v>1.0106999999999999</v>
    <v>-11.94</v>
    <v>0</v>
    <v>-2.1679E-2</v>
    <v>0</v>
    <v>USD</v>
    <v>Roper Technologies, Inc. is a diversified technology company. The Company operates businesses that design and develop vertical software and technology enabled products for a variety of defensible niche markets. The Company operates through three segments: Application Software, Network Software and Technology Enabled Products. The Application Software segment includes Aderant, CBORD/Horizon, CliniSys, Data Innovations, Deltek, Frontline Education, IntelliTrans, PowerPlan, Strata, Vertafore. The Network Software segment includes ConstructConnect, DAT, Foundry, iPipeline, iTradeNetwork, Loadlink, MHA, SHP, SoftWriters. The Technology Enabled Products segment includes CIVCO Medical Solutions, FMI, Inovonics, IPA, Neptune, Northern Digital, rf IDEAS, Verathon. Aderant is a comprehensive management software solution for law and other professional services firms, including business development, calendar/docket matter management and others. CBORD/Horizon is a campus solutions software.</v>
    <v>15800</v>
    <v>Nasdaq Stock Market</v>
    <v>XNAS</v>
    <v>XNAS</v>
    <v>6496 University Parkway, SARASOTA, FL, 34240 US</v>
    <v>551.26</v>
    <v>Software &amp; IT Services</v>
    <v>Stock</v>
    <v>45274.878457546096</v>
    <v>85</v>
    <v>538.23</v>
    <v>57558952143</v>
    <v>ROPER TECHNOLOGIES, INC.</v>
    <v>ROPER TECHNOLOGIES, INC.</v>
    <v>550.77</v>
    <v>47.703400000000002</v>
    <v>550.77</v>
    <v>538.83000000000004</v>
    <v>538.83000000000004</v>
    <v>106822100</v>
    <v>ROP</v>
    <v>ROPER TECHNOLOGIES, INC. (XNAS:ROP)</v>
    <v>981536</v>
    <v>490368</v>
    <v>1981</v>
  </rv>
  <rv s="2">
    <v>86</v>
  </rv>
  <rv s="0">
    <v>https://www.bing.com/financeapi/forcetrigger?t=a25552&amp;q=XNYS%3aRTX&amp;form=skydnc</v>
    <v>Learn more on Bing</v>
  </rv>
  <rv s="1">
    <v>en-US</v>
    <v>a25552</v>
    <v>268435456</v>
    <v>1</v>
    <v>Powered by Refinitiv</v>
    <v>0</v>
    <v>RTX CORPORATION (XNYS:RTX)</v>
    <v>2</v>
    <v>3</v>
    <v>Finance</v>
    <v>4</v>
    <v>104.91</v>
    <v>68.555000000000007</v>
    <v>0.97699999999999998</v>
    <v>-1.35</v>
    <v>-1.2210000000000001E-4</v>
    <v>-1.6222E-2</v>
    <v>-0.01</v>
    <v>USD</v>
    <v>RTX Corporation is an aerospace and defense company. The Company is advancing aviation, engineering integrated defense systems, and developing technology solutions. The Company operates through three segments: Collins Aerospace, Pratt &amp; Whitney, and Raytheon. Collins Aerospace segment provides technologically advanced aerospace and defense products and aftermarket service solutions for aircraft manufacturers, airlines, and regional, business and general aviation, as well as for defense and commercial space operations. Pratt &amp; Whitney segment supplies aircraft engines for commercial, defense, business jet and general aviation customers. Raytheon segment provides advanced air and missile defense systems, effectors, hypersonic, sensors and radars, cybersecurity services, and integrated space solutions for government and commercial customers.</v>
    <v>182000</v>
    <v>New York Stock Exchange</v>
    <v>XNYS</v>
    <v>XNYS</v>
    <v>1000 Wilson Blvd, ARLINGTON, VA, 22209 US</v>
    <v>84.08</v>
    <v>Aerospace &amp; Defense</v>
    <v>Stock</v>
    <v>45274.878842638282</v>
    <v>88</v>
    <v>81.41</v>
    <v>117720954870</v>
    <v>RTX CORPORATION</v>
    <v>RTX CORPORATION</v>
    <v>83.76</v>
    <v>38.632599999999996</v>
    <v>83.22</v>
    <v>81.87</v>
    <v>81.86</v>
    <v>1437901000</v>
    <v>RTX</v>
    <v>RTX CORPORATION (XNYS:RTX)</v>
    <v>11103368</v>
    <v>7532667</v>
    <v>1934</v>
  </rv>
  <rv s="2">
    <v>89</v>
  </rv>
  <rv s="0">
    <v>https://www.bing.com/financeapi/forcetrigger?t=a1qc1h&amp;q=XNYS%3aCRM&amp;form=skydnc</v>
    <v>Learn more on Bing</v>
  </rv>
  <rv s="1">
    <v>en-US</v>
    <v>a1qc1h</v>
    <v>268435456</v>
    <v>1</v>
    <v>Powered by Refinitiv</v>
    <v>0</v>
    <v>SALESFORCE, INC. (XNYS:CRM)</v>
    <v>2</v>
    <v>3</v>
    <v>Finance</v>
    <v>4</v>
    <v>263.43</v>
    <v>126.34</v>
    <v>1.2821</v>
    <v>-0.01</v>
    <v>-3.8860000000000001E-4</v>
    <v>-3.8860000000000004E-5</v>
    <v>-0.1</v>
    <v>USD</v>
    <v>Salesforce, Inc. is a provider of customer relationship management (CRM) technology. The Company's Customer 360 platform spans sales, service, marketing, commerce, collaboration, integration, artificial intelligence, analytics, automation, and others. It connects customer data across systems, applications and devices to create a complete view of customers. The Company also enables third parties to use its platform and developer tools to create additional functionality and applications that run on its platform. Its customers use its sales offering to store data, monitor leads and progress, forecast opportunities, gain insights through analytics and relationship intelligence and deliver quotes, contracts and invoices. Its service offering helps to connect its service agents with customers across any touchpoint. It helps customers to resolve routine issues with predictions and recommendations. It sells to businesses worldwide, primarily on a subscription basis.</v>
    <v>79390</v>
    <v>New York Stock Exchange</v>
    <v>XNYS</v>
    <v>XNYS</v>
    <v>SALESFORCE TOWER, 415 MISSION STREET 3RD FL, SAN FRANCISCO, CA, 94105 US</v>
    <v>258.77</v>
    <v>Software &amp; IT Services</v>
    <v>Stock</v>
    <v>45274.879260983595</v>
    <v>91</v>
    <v>253.22</v>
    <v>249076080000</v>
    <v>SALESFORCE, INC.</v>
    <v>SALESFORCE, INC.</v>
    <v>256.58999999999997</v>
    <v>97.6721</v>
    <v>257.32</v>
    <v>257.31</v>
    <v>257.20999999999998</v>
    <v>968000000</v>
    <v>CRM</v>
    <v>SALESFORCE, INC. (XNYS:CRM)</v>
    <v>6537918</v>
    <v>6372727</v>
    <v>1999</v>
  </rv>
  <rv s="2">
    <v>92</v>
  </rv>
  <rv s="0">
    <v>https://www.bing.com/financeapi/forcetrigger?t=a232mw&amp;q=XNYS%3aSLB&amp;form=skydnc</v>
    <v>Learn more on Bing</v>
  </rv>
  <rv s="1">
    <v>en-US</v>
    <v>a232mw</v>
    <v>268435456</v>
    <v>1</v>
    <v>Powered by Refinitiv</v>
    <v>0</v>
    <v>Schlumberger N.V. (XNYS:SLB)</v>
    <v>2</v>
    <v>3</v>
    <v>Finance</v>
    <v>4</v>
    <v>62.12</v>
    <v>42.73</v>
    <v>1.6597999999999999</v>
    <v>3.24</v>
    <v>-1.907E-4</v>
    <v>6.5867000000000009E-2</v>
    <v>-0.01</v>
    <v>USD</v>
    <v>Schlumberger N.V. is a global technology company. The Company operates through four segments: Digital &amp; Integration, Reservoir Performance, Well Construction, and Production Systems. The Digital &amp; Integration segment combines its digital solutions and data products with its integrated offering of asset performance solutions. The Reservoir Performance segment consists of reservoir-centric technologies and services that are critical to optimizing reservoir productivity and performance. The Well Construction segment combines the full portfolio of products and services to optimize well placement and performance, maximize drilling efficiency, and improve wellbore assurance. The Production Systems segment develops technologies and provides expertise that enhance production and recovery from subsurface reservoirs to the surface, into pipelines, and to refineries. The Company's primary customers are national oil companies, integrated oil companies and independent operators.</v>
    <v>99000</v>
    <v>New York Stock Exchange</v>
    <v>XNYS</v>
    <v>XNYS</v>
    <v>5599 San Felipe St Fl 17, HOUSTON, TX, 77056-2790 US</v>
    <v>52.74</v>
    <v>Oil &amp; Gas Related Equipment and Services</v>
    <v>Stock</v>
    <v>45274.878545659376</v>
    <v>94</v>
    <v>49.89</v>
    <v>74894105370</v>
    <v>Schlumberger N.V.</v>
    <v>Schlumberger N.V.</v>
    <v>49.96</v>
    <v>17.080100000000002</v>
    <v>49.19</v>
    <v>52.43</v>
    <v>52.42</v>
    <v>1428459000</v>
    <v>SLB</v>
    <v>Schlumberger N.V. (XNYS:SLB)</v>
    <v>19411994</v>
    <v>9044702</v>
    <v>1956</v>
  </rv>
  <rv s="2">
    <v>95</v>
  </rv>
  <rv s="0">
    <v>https://www.bing.com/financeapi/forcetrigger?t=b1nsmw&amp;q=XNAS%3aSGML&amp;form=skydnc</v>
    <v>Learn more on Bing</v>
  </rv>
  <rv s="4">
    <v>en-US</v>
    <v>b1nsmw</v>
    <v>268435456</v>
    <v>1</v>
    <v>Powered by Refinitiv</v>
    <v>9</v>
    <v>Sigma Lithium Corporation (XNAS:SGML)</v>
    <v>2</v>
    <v>16</v>
    <v>Finance</v>
    <v>4</v>
    <v>43.18</v>
    <v>21.2</v>
    <v>0.40560000000000002</v>
    <v>-1.0900000000000001</v>
    <v>2.3022999999999998E-2</v>
    <v>-3.8900999999999998E-2</v>
    <v>0.62</v>
    <v>USD</v>
    <v>Sigma Lithium Corporation is a Canada-based global lithium producer engaged in powering electric vehicle batteries with environmentally sustainable and high-purity lithium. The Company is producing Triple Zero Green Lithium from its Grota do Cirilo Project in Brazil. The Company holds a 100% interest in four mineral properties: Grota do Cirilo, Sao Jose, Santa Clara, and Genipapo, located in the municipalities of Aracuai and Itinga, in the Vale do Jequitinhonha region in the State of Minas Gerais, Brazil (Lithium Properties). It has exploration potential including over 200 identified pegmatites on its 20,000-hectare land package, representing about 29 mineral rights. The Company has mineral properties in the exploration and evaluation stage. Its Project is located in the northeastern part of the state of Minas Gerais, in the municipalities of Aracuai and Itinga, approximately 25 kilometers (km) east of the town of Aracuai and 600 km northeast of Belo Horizonte, the state capital.</v>
    <v>165</v>
    <v>Nasdaq Stock Market</v>
    <v>XNAS</v>
    <v>XNAS</v>
    <v>Suite 2200,, 885 West Georgia St., VANCOUVER, BC, V6C 3E8 CA</v>
    <v>29.14</v>
    <v>Metals &amp; Mining</v>
    <v>Stock</v>
    <v>45274.880024548438</v>
    <v>97</v>
    <v>26.5</v>
    <v>4111411000</v>
    <v>Sigma Lithium Corporation</v>
    <v>Sigma Lithium Corporation</v>
    <v>29.14</v>
    <v>28.02</v>
    <v>26.93</v>
    <v>27.55</v>
    <v>109483600</v>
    <v>SGML</v>
    <v>Sigma Lithium Corporation (XNAS:SGML)</v>
    <v>2189450</v>
    <v>1201770</v>
    <v>2011</v>
  </rv>
  <rv s="2">
    <v>98</v>
  </rv>
  <rv s="0">
    <v>https://www.bing.com/financeapi/forcetrigger?t=a1wicw&amp;q=ARCX%3aKIE&amp;form=skydnc</v>
    <v>Learn more on Bing</v>
  </rv>
  <rv s="8">
    <v>en-US</v>
    <v>a1wicw</v>
    <v>268435456</v>
    <v>1</v>
    <v>Powered by Refinitiv</v>
    <v>17</v>
    <v>SPDR S&amp;P Insurance ETF (ARCX:KIE)</v>
    <v>6</v>
    <v>18</v>
    <v>Finance</v>
    <v>8</v>
    <v>46.21</v>
    <v>36.86</v>
    <v>1.0018</v>
    <v>-0.875</v>
    <v>0</v>
    <v>-1.8985000000000002E-2</v>
    <v>0</v>
    <v>USD</v>
    <v>NYSE Arca</v>
    <v>ARCX</v>
    <v>3.5999999999999999E-3</v>
    <v>46.21</v>
    <v>ETF</v>
    <v>45274.875003622656</v>
    <v>100</v>
    <v>45.085000000000001</v>
    <v>701237327.26999998</v>
    <v>SPDR S&amp;P Insurance ETF</v>
    <v>46.11</v>
    <v>46.09</v>
    <v>45.215000000000003</v>
    <v>45.215000000000003</v>
    <v>KIE</v>
    <v>SPDR S&amp;P Insurance ETF (ARCX:KIE)</v>
    <v>1458259</v>
    <v>1316812</v>
  </rv>
  <rv s="2">
    <v>101</v>
  </rv>
  <rv s="0">
    <v>https://www.bing.com/financeapi/forcetrigger?t=a2319c&amp;q=XNYS%3aSJM&amp;form=skydnc</v>
    <v>Learn more on Bing</v>
  </rv>
  <rv s="4">
    <v>en-US</v>
    <v>a2319c</v>
    <v>268435456</v>
    <v>1</v>
    <v>Powered by Refinitiv</v>
    <v>9</v>
    <v>THE J. M. SMUCKER COMPANY (XNYS:SJM)</v>
    <v>2</v>
    <v>10</v>
    <v>Finance</v>
    <v>4</v>
    <v>163.07</v>
    <v>107.33</v>
    <v>0.26540000000000002</v>
    <v>-1.39</v>
    <v>7.9780000000000012E-5</v>
    <v>-1.0966999999999999E-2</v>
    <v>0.01</v>
    <v>USD</v>
    <v>The J. M. Smucker Company is engaged in the manufacturing and marketing of branded food and beverage products on a worldwide basis. It operates through three segments: U.S. Retail Pet Foods, U.S. Retail Coffee, and U.S. Retail Consumer Foods. The U.S. Retail Coffee segment primarily includes the domestic sales of Folgers, Dunkin’, and Cafe Bustelo branded coffee. The U.S. Retail Consumer Foods segment primarily includes the domestic sales of Smucker’s and Jif branded products. The U.S. Retail Pet Foods segment primarily includes the domestic sales of Meow Mix, Milk-Bone, Pup-Peroni, and Canine Carry Outs branded products. Its food categories include coffee, peanut butter, fruit spreads, frozen handheld, sweet baked goods, dog snacks and cat food. The Company also owns Hostess Brands. The Dunkin’ brand is licensed for packaged coffee products sold in retail channels, such as grocery stores, mass merchandisers, club stores, e- commerce and drug stores.</v>
    <v>5800</v>
    <v>New York Stock Exchange</v>
    <v>XNYS</v>
    <v>XNYS</v>
    <v>One Strawberry Lane, ORRVILLE, OH, 44667-1241 US</v>
    <v>127.88</v>
    <v>Food &amp; Tobacco</v>
    <v>Stock</v>
    <v>45274.878608066407</v>
    <v>103</v>
    <v>124.93</v>
    <v>13452670000</v>
    <v>THE J. M. SMUCKER COMPANY</v>
    <v>THE J. M. SMUCKER COMPANY</v>
    <v>127.49</v>
    <v>126.74</v>
    <v>125.35</v>
    <v>125.36</v>
    <v>106143800</v>
    <v>SJM</v>
    <v>THE J. M. SMUCKER COMPANY (XNYS:SJM)</v>
    <v>2269028</v>
    <v>1674000</v>
    <v>1921</v>
  </rv>
  <rv s="2">
    <v>104</v>
  </rv>
  <rv s="0">
    <v>https://www.bing.com/financeapi/forcetrigger?t=a24c52&amp;q=XNAS%3aTMUS&amp;form=skydnc</v>
    <v>Learn more on Bing</v>
  </rv>
  <rv s="1">
    <v>en-US</v>
    <v>a24c52</v>
    <v>268435456</v>
    <v>1</v>
    <v>Powered by Refinitiv</v>
    <v>0</v>
    <v>T-MOBILE US, INC. (XNAS:TMUS)</v>
    <v>2</v>
    <v>3</v>
    <v>Finance</v>
    <v>4</v>
    <v>161.19</v>
    <v>124.9199</v>
    <v>0.51</v>
    <v>-2.68</v>
    <v>0</v>
    <v>-1.6796999999999999E-2</v>
    <v>0</v>
    <v>USD</v>
    <v>T-Mobile US, Inc. is a provider of mobile communications services, including voice, messaging and data, under its flagship brands, T-Mobile and Metro by T-Mobile, in the United States, Puerto Rico and the United States Virgin Islands. The Company provides mobile communications services primarily using its fourth generation (4G) long term evolution network and its fifth generation (5G) technology network. It also offers a selection of wireless devices, including handsets, tablets and other mobile communication devices, and accessories for sale, as well as financing through equipment installment plans and leasing through JUMP! On Demand. The Company’s primary service plan offers signature Magenta plan, which includes, among other benefits, unlimited talk, text and smartphone data on its network, 5G access at no extra cost. Customers can also choose additional features, such as unlimited premium data with its Ultra Capacity 5G service, for an additional cost on its Magenta Max plan.</v>
    <v>71000</v>
    <v>Nasdaq Stock Market</v>
    <v>XNAS</v>
    <v>XNAS</v>
    <v>12920 SE 38th St, BELLEVUE, WA, 98006 US</v>
    <v>158.5675</v>
    <v>Telecommunications Services</v>
    <v>Stock</v>
    <v>45274.87911403906</v>
    <v>106</v>
    <v>156.19999999999999</v>
    <v>181416233250</v>
    <v>T-MOBILE US, INC.</v>
    <v>T-MOBILE US, INC.</v>
    <v>158.46</v>
    <v>23.793099999999999</v>
    <v>159.55000000000001</v>
    <v>156.87</v>
    <v>156.87</v>
    <v>1156475000</v>
    <v>TMUS</v>
    <v>T-MOBILE US, INC. (XNAS:TMUS)</v>
    <v>5710344</v>
    <v>4048135</v>
    <v>2004</v>
  </rv>
  <rv s="2">
    <v>107</v>
  </rv>
  <rv s="0">
    <v>https://www.bing.com/financeapi/forcetrigger?t=a24kjc&amp;q=XNYS%3aTSM&amp;form=skydnc</v>
    <v>Learn more on Bing</v>
  </rv>
  <rv s="1">
    <v>en-US</v>
    <v>a24kjc</v>
    <v>268435456</v>
    <v>1</v>
    <v>Powered by Refinitiv</v>
    <v>0</v>
    <v>Taiwan Semiconductor Manufacturing Co., Ltd. (XNYS:TSM)</v>
    <v>2</v>
    <v>3</v>
    <v>Finance</v>
    <v>4</v>
    <v>110.69</v>
    <v>72.84</v>
    <v>1.0952</v>
    <v>1.7987</v>
    <v>-2.127E-3</v>
    <v>1.7697000000000001E-2</v>
    <v>-0.22</v>
    <v>USD</v>
    <v>Taiwan Semiconductor Manufacturing Co Ltd is a Taiwan-based company mainly engaged in the provision of integrated circuit manufacturing services. The integrated circuit manufacturing services include process technology, special process technology, design ecosystem support, mask technology, 3DFabricTM advanced packaging and silicon stacking technology services. The Company has completed the transfer and mass production of 5nm technology, and is engaged in the research and development of 3nm process technology and 2nm process technology. The product application range covers the entire electronic application industry, including personal computers and peripheral products, information application products, wired and wireless communication system products, servers and data centers.</v>
    <v>52045</v>
    <v>New York Stock Exchange</v>
    <v>XNYS</v>
    <v>XNYS</v>
    <v>No.8, Li-Hsin 6th Road, Hsinchu Science Park, HSINCHU, HSINCHU, 300 TW</v>
    <v>103.80500000000001</v>
    <v>Semiconductors &amp; Semiconductor Equipment</v>
    <v>Stock</v>
    <v>45274.879526342185</v>
    <v>109</v>
    <v>102.8</v>
    <v>475281300000</v>
    <v>Taiwan Semiconductor Manufacturing Co., Ltd.</v>
    <v>Taiwan Semiconductor Manufacturing Co., Ltd.</v>
    <v>103.35</v>
    <v>18.966799999999999</v>
    <v>101.6413</v>
    <v>103.44</v>
    <v>103.22</v>
    <v>5186414000</v>
    <v>TSM</v>
    <v>Taiwan Semiconductor Manufacturing Co., Ltd. (XNYS:TSM)</v>
    <v>10048098</v>
    <v>9079197</v>
    <v>1987</v>
  </rv>
  <rv s="2">
    <v>110</v>
  </rv>
  <rv s="0">
    <v>https://www.bing.com/financeapi/forcetrigger?t=a249r7&amp;q=XNYS%3aTJX&amp;form=skydnc</v>
    <v>Learn more on Bing</v>
  </rv>
  <rv s="1">
    <v>en-US</v>
    <v>a249r7</v>
    <v>268435456</v>
    <v>1</v>
    <v>Powered by Refinitiv</v>
    <v>0</v>
    <v>THE TJX COMPANIES, INC. (XNYS:TJX)</v>
    <v>2</v>
    <v>3</v>
    <v>Finance</v>
    <v>4</v>
    <v>93.78</v>
    <v>72.92</v>
    <v>0.88019999999999998</v>
    <v>-1.94</v>
    <v>0</v>
    <v>-2.1112000000000002E-2</v>
    <v>0</v>
    <v>USD</v>
    <v>The TJX Companies, Inc. is an off-price apparel and home fashions retailer in the United States and worldwide. The Company’s segments include Marmaxx and HomeGoods, TJX Canada and TJX International. The T.J. Maxx and Marshalls chains in the United States (Marmaxx) are collectively the off-price retailers in the United States with a total of 2,482 stores. HomeGoods segment is an off-price retailer of home fashions in the United States with approximately 894 stores. HomeGoods offers an eclectic assortment of home fashions, including furniture, rugs, lighting, soft home, decorative accessories, tabletop and cookware, as well as expanded pet and gourmet food departments. The TJX Canada segment operates the Winners, HomeSense and Marshalls chains in Canada. Winners is the off-price family apparel and home fashions retailer in Canada. The TJX International segment operates the T.K. Maxx and Homesense chains in Europe and the T.K. Maxx chain in Australia.</v>
    <v>329000</v>
    <v>New York Stock Exchange</v>
    <v>XNYS</v>
    <v>XNYS</v>
    <v>770 Cochituate Rd, FRAMINGHAM, MA, 01701 US</v>
    <v>92.31</v>
    <v>Diversified Retail</v>
    <v>Stock</v>
    <v>45274.879114131247</v>
    <v>112</v>
    <v>89.86</v>
    <v>102513946150</v>
    <v>THE TJX COMPANIES, INC.</v>
    <v>THE TJX COMPANIES, INC.</v>
    <v>92.23</v>
    <v>26.0245</v>
    <v>91.89</v>
    <v>89.95</v>
    <v>89.95</v>
    <v>1139677000</v>
    <v>TJX</v>
    <v>THE TJX COMPANIES, INC. (XNYS:TJX)</v>
    <v>7120549</v>
    <v>6249556</v>
    <v>1962</v>
  </rv>
  <rv s="2">
    <v>113</v>
  </rv>
  <rv s="0">
    <v>https://www.bing.com/financeapi/forcetrigger?t=a24xlh&amp;q=XNYS%3aUNH&amp;form=skydnc</v>
    <v>Learn more on Bing</v>
  </rv>
  <rv s="1">
    <v>en-US</v>
    <v>a24xlh</v>
    <v>268435456</v>
    <v>1</v>
    <v>Powered by Refinitiv</v>
    <v>0</v>
    <v>UNITEDHEALTH GROUP INCORPORATED (XNYS:UNH)</v>
    <v>2</v>
    <v>3</v>
    <v>Finance</v>
    <v>4</v>
    <v>554.70000000000005</v>
    <v>445.68</v>
    <v>0.57620000000000005</v>
    <v>-14.5</v>
    <v>-5.8E-4</v>
    <v>-2.6410999999999997E-2</v>
    <v>-0.31</v>
    <v>USD</v>
    <v>UnitedHealth Group Incorporated is a diversified health care company that operates Optum and UnitedHealthcare platforms. Its segments include Optum Health, Optum Insight, Optum Rx and UnitedHealthcare. Optum Health segment is focused on care delivery, care management, wellness and consumer engagement, and health financial services. Optum Insight segment serves the needs of hospital systems, physicians, health plans, governments and life sciences companies. Optum Rx segment offers pharmacy care services and programs, including retail network contracting, home delivery, specialty and community health pharmacy services, purchasing and clinical capabilities, and develops programs in areas such as step therapy, formulary management, drug adherence and disease/drug therapy management. UnitedHealthcare includes the combined results of operations of UnitedHealthcare Employer &amp; Individual, UnitedHealthcare Medicare &amp; Retirement, UnitedHealthcare Community &amp; State and UnitedHealthcare Global.</v>
    <v>400000</v>
    <v>New York Stock Exchange</v>
    <v>XNYS</v>
    <v>XNYS</v>
    <v>9900 Bren Rd E, HOPKINS, MN, 55343-9664 US</v>
    <v>544.91999999999996</v>
    <v>Healthcare Providers &amp; Services</v>
    <v>Stock</v>
    <v>45274.879293541409</v>
    <v>115</v>
    <v>529.48</v>
    <v>494381822103</v>
    <v>UNITEDHEALTH GROUP INCORPORATED</v>
    <v>UNITEDHEALTH GROUP INCORPORATED</v>
    <v>544.12</v>
    <v>23.827100000000002</v>
    <v>549.01</v>
    <v>534.51</v>
    <v>534.20000000000005</v>
    <v>924925300</v>
    <v>UNH</v>
    <v>UNITEDHEALTH GROUP INCORPORATED (XNYS:UNH)</v>
    <v>5371784</v>
    <v>2703995</v>
    <v>2015</v>
  </rv>
  <rv s="2">
    <v>116</v>
  </rv>
  <rv s="0">
    <v>https://www.bing.com/financeapi/forcetrigger?t=a259jc&amp;q=XNYS%3aVEEV&amp;form=skydnc</v>
    <v>Learn more on Bing</v>
  </rv>
  <rv s="1">
    <v>en-US</v>
    <v>a259jc</v>
    <v>268435456</v>
    <v>1</v>
    <v>Powered by Refinitiv</v>
    <v>0</v>
    <v>VEEVA SYSTEMS INC. (XNYS:VEEV)</v>
    <v>2</v>
    <v>3</v>
    <v>Finance</v>
    <v>4</v>
    <v>225.48500000000001</v>
    <v>157</v>
    <v>0.78359999999999996</v>
    <v>5.4249999999999998</v>
    <v>2.4620000000000002E-4</v>
    <v>3.0586000000000002E-2</v>
    <v>4.4999999999999998E-2</v>
    <v>USD</v>
    <v>Veeva Systems Inc. is a provider of industry cloud solutions for the global life sciences industry. The Company's offerings span cloud software, data, and business consulting and are designed to meet the needs of its customers and their most strategic business functions from research and development (R&amp;D) to commercialization. The Company's industry cloud solutions for the life sciences industry are grouped into two major product families: Veeva Development Cloud and Veeva Commercial Cloud. Veeva Development Cloud includes application suites for the clinical, regulatory, and safety functions of life sciences companies, all built on its proprietary Veeva Vault platform. Veeva Commercial Cloud includes solutions for the sales, medical affairs, and marketing functions of a life sciences company. Its software offerings include Veeva CRM, Veeva Vault PromoMats, Veeva Vault Medical, and Veeva Crossix. Its data offerings include Veeva OpenData, Veeva Link, and Veeva Compass.</v>
    <v>6744</v>
    <v>New York Stock Exchange</v>
    <v>XNYS</v>
    <v>XNYS</v>
    <v>4280 Hacienda Drive, PLEASANTON, CA, 94588 US</v>
    <v>184.6</v>
    <v>Healthcare Equipment &amp; Supplies</v>
    <v>Stock</v>
    <v>45274.878118691406</v>
    <v>118</v>
    <v>179.5</v>
    <v>29432864881</v>
    <v>VEEVA SYSTEMS INC.</v>
    <v>VEEVA SYSTEMS INC.</v>
    <v>179.5</v>
    <v>51.115900000000003</v>
    <v>177.37</v>
    <v>182.79499999999999</v>
    <v>182.84</v>
    <v>161015700</v>
    <v>VEEV</v>
    <v>VEEVA SYSTEMS INC. (XNYS:VEEV)</v>
    <v>2411209</v>
    <v>1597304</v>
    <v>2007</v>
  </rv>
  <rv s="2">
    <v>119</v>
  </rv>
  <rv s="0">
    <v>https://www.bing.com/financeapi/forcetrigger?t=a256cw&amp;q=XNYS%3aV&amp;form=skydnc</v>
    <v>Learn more on Bing</v>
  </rv>
  <rv s="1">
    <v>en-US</v>
    <v>a256cw</v>
    <v>268435456</v>
    <v>1</v>
    <v>Powered by Refinitiv</v>
    <v>0</v>
    <v>VISA INC. (XNYS:V)</v>
    <v>2</v>
    <v>3</v>
    <v>Finance</v>
    <v>4</v>
    <v>263.08999999999997</v>
    <v>202.13</v>
    <v>0.9556</v>
    <v>-3.29</v>
    <v>-2.1689999999999999E-3</v>
    <v>-1.2539E-2</v>
    <v>-0.56200000000000006</v>
    <v>USD</v>
    <v>Visa Inc. (Visa) is a global payments technology company. The Company provides digital payments across more than 200 countries and territories. The Company connects consumers, merchants, financial institutions, businesses, strategic partners and government entities through technologies. The Company operates through the payment services segment. The Company provides transaction processing services, including primarily authorization, clearing and settlement to its financial institution and merchant clients through VisaNet, its transaction processing network. Its core business solutions, including credit, debit, prepaid and cash access programs for individual, business and government account holders. It also provides value-added services to its clients, including issuing solutions, acceptance solutions, risk and identity solutions, open banking and advisory services. It also offers products and solutions that facilitate money movement for all participants in the ecosystem.</v>
    <v>28800</v>
    <v>New York Stock Exchange</v>
    <v>XNYS</v>
    <v>XNYS</v>
    <v>P.O. Box 8999, SAN FRANCISCO, CA, 94128-8999 US</v>
    <v>263.08999999999997</v>
    <v>Software &amp; IT Services</v>
    <v>Stock</v>
    <v>45274.879354015626</v>
    <v>121</v>
    <v>256.42</v>
    <v>520771418179</v>
    <v>VISA INC.</v>
    <v>VISA INC.</v>
    <v>263.08999999999997</v>
    <v>31.688400000000001</v>
    <v>262.38</v>
    <v>259.08999999999997</v>
    <v>258.52800000000002</v>
    <v>2010002000</v>
    <v>V</v>
    <v>VISA INC. (XNYS:V)</v>
    <v>8012253</v>
    <v>5895300</v>
    <v>2007</v>
  </rv>
  <rv s="2">
    <v>122</v>
  </rv>
  <rv s="0">
    <v>https://www.bing.com/financeapi/forcetrigger?t=a233p2&amp;q=XNAS%3aSLQD&amp;form=skydnc</v>
    <v>Learn more on Bing</v>
  </rv>
  <rv s="8">
    <v>en-US</v>
    <v>a233p2</v>
    <v>268435456</v>
    <v>1</v>
    <v>Powered by Refinitiv</v>
    <v>17</v>
    <v>iShares:0-5 IG Corp Bd (XNAS:SLQD)</v>
    <v>6</v>
    <v>18</v>
    <v>Finance</v>
    <v>8</v>
    <v>49.05</v>
    <v>47.583599999999997</v>
    <v>0.5333</v>
    <v>7.6700000000000004E-2</v>
    <v>6.1479999999999998E-4</v>
    <v>1.5690000000000001E-3</v>
    <v>3.0099999999999998E-2</v>
    <v>USD</v>
    <v>Nasdaq Stock Market</v>
    <v>XNAS</v>
    <v>5.9999999999999995E-4</v>
    <v>49.04</v>
    <v>ETF</v>
    <v>45274.878061666408</v>
    <v>124</v>
    <v>48.95</v>
    <v>2231672113.7600002</v>
    <v>iShares:0-5 IG Corp Bd</v>
    <v>48.98</v>
    <v>48.883299999999998</v>
    <v>48.96</v>
    <v>48.990099999999998</v>
    <v>SLQD</v>
    <v>iShares:0-5 IG Corp Bd (XNAS:SLQD)</v>
    <v>636973</v>
    <v>400741</v>
  </rv>
  <rv s="2">
    <v>125</v>
  </rv>
  <rv s="0">
    <v>https://www.bing.com/financeapi/forcetrigger?t=a1v9fr&amp;q=BATS%3aICVT&amp;form=skydnc</v>
    <v>Learn more on Bing</v>
  </rv>
  <rv s="8">
    <v>en-US</v>
    <v>a1v9fr</v>
    <v>268435456</v>
    <v>1</v>
    <v>Powered by Refinitiv</v>
    <v>17</v>
    <v>iShares:Convertible Bond (BATS:ICVT)</v>
    <v>6</v>
    <v>18</v>
    <v>Finance</v>
    <v>8</v>
    <v>78.63</v>
    <v>68.81</v>
    <v>0.69269999999999998</v>
    <v>1.2222999999999999</v>
    <v>-1.2770000000000001E-4</v>
    <v>1.6024E-2</v>
    <v>-9.9000000000000008E-3</v>
    <v>USD</v>
    <v>CBOE BZX Exchange</v>
    <v>BATS</v>
    <v>2E-3</v>
    <v>77.63</v>
    <v>ETF</v>
    <v>45274.875001099215</v>
    <v>127</v>
    <v>76.77</v>
    <v>1503091505.99</v>
    <v>iShares:Convertible Bond</v>
    <v>76.77</v>
    <v>76.277699999999996</v>
    <v>77.5</v>
    <v>77.490099999999998</v>
    <v>ICVT</v>
    <v>iShares:Convertible Bond (BATS:ICVT)</v>
    <v>357654</v>
    <v>330399</v>
  </rv>
  <rv s="2">
    <v>128</v>
  </rv>
  <rv s="0">
    <v>https://www.bing.com/financeapi/forcetrigger?t=a2585r&amp;q=XNAS%3aVCLT&amp;form=skydnc</v>
    <v>Learn more on Bing</v>
  </rv>
  <rv s="8">
    <v>en-US</v>
    <v>a2585r</v>
    <v>268435456</v>
    <v>1</v>
    <v>Powered by Refinitiv</v>
    <v>17</v>
    <v>Vanguard LT Corp Bd;ETF (XNAS:VCLT)</v>
    <v>6</v>
    <v>18</v>
    <v>Finance</v>
    <v>8</v>
    <v>83.22</v>
    <v>67.47</v>
    <v>1.8108</v>
    <v>1.36</v>
    <v>0</v>
    <v>1.7145999999999998E-2</v>
    <v>0</v>
    <v>USD</v>
    <v>Nasdaq Stock Market</v>
    <v>XNAS</v>
    <v>4.0000000000000002E-4</v>
    <v>80.937899999999999</v>
    <v>ETF</v>
    <v>45274.875010485935</v>
    <v>130</v>
    <v>80.108099999999993</v>
    <v>6167355714</v>
    <v>Vanguard LT Corp Bd;ETF</v>
    <v>80.3</v>
    <v>79.319999999999993</v>
    <v>80.680000000000007</v>
    <v>80.680000000000007</v>
    <v>VCLT</v>
    <v>Vanguard LT Corp Bd;ETF (XNAS:VCLT)</v>
    <v>1922266</v>
    <v>1504326</v>
  </rv>
  <rv s="2">
    <v>131</v>
  </rv>
  <rv s="0">
    <v>https://www.bing.com/financeapi/forcetrigger?t=a1tyrw&amp;q=XNYS%3aGM&amp;form=skydnc</v>
    <v>Learn more on Bing</v>
  </rv>
  <rv s="1">
    <v>en-US</v>
    <v>a1tyrw</v>
    <v>268435456</v>
    <v>1</v>
    <v>Powered by Refinitiv</v>
    <v>0</v>
    <v>GENERAL MOTORS COMPANY (XNYS:GM)</v>
    <v>2</v>
    <v>3</v>
    <v>Finance</v>
    <v>4</v>
    <v>43.63</v>
    <v>26.3</v>
    <v>1.5107999999999999</v>
    <v>2.2599999999999998</v>
    <v>-1.655E-3</v>
    <v>6.6489999999999994E-2</v>
    <v>-0.06</v>
    <v>USD</v>
    <v>General Motors Company designs, builds and sells trucks, crossovers, cars and automobile parts and provides software-enabled services and subscriptions worldwide. The Company provides automotive financing services through its General Motors Financial Company, Inc. (GM Financial) segment. GM North America (GMNA) and GM International (GMI) develops, manufactures and/or markets vehicles under the Buick, Cadillac, Chevrolet and GMC brands. The Company's segments include GMNA, GMI, Cruise and GM Financial. Its Cruise segment is engaged in the development and commercialization of autonomous vehicle technology. It offers OnStar and connected services to approximately 21 million connected vehicles globally through subscription-based and complimentary services. It is also developing hydrogen fuel cell applications across transportation and industries, including mobile power generation, class seven/eight truck, locomotive, aerospace and marine applications.</v>
    <v>167000</v>
    <v>New York Stock Exchange</v>
    <v>XNYS</v>
    <v>XNYS</v>
    <v>300 Renaissance Center, DETROIT, MI, 48265-3000 US</v>
    <v>36.314999999999998</v>
    <v>Automobiles &amp; Auto Parts</v>
    <v>Stock</v>
    <v>45274.879774339846</v>
    <v>133</v>
    <v>34.549999999999997</v>
    <v>49643686250</v>
    <v>GENERAL MOTORS COMPANY</v>
    <v>GENERAL MOTORS COMPANY</v>
    <v>34.64</v>
    <v>4.7763999999999998</v>
    <v>33.99</v>
    <v>36.25</v>
    <v>36.19</v>
    <v>1369481000</v>
    <v>GM</v>
    <v>GENERAL MOTORS COMPANY (XNYS:GM)</v>
    <v>34751427</v>
    <v>23908920</v>
    <v>2009</v>
  </rv>
  <rv s="2">
    <v>134</v>
  </rv>
  <rv s="0">
    <v>https://www.bing.com/financeapi/forcetrigger?t=a1q3jc&amp;q=XNYS%3aCOF&amp;form=skydnc</v>
    <v>Learn more on Bing</v>
  </rv>
  <rv s="1">
    <v>en-US</v>
    <v>a1q3jc</v>
    <v>268435456</v>
    <v>1</v>
    <v>Powered by Refinitiv</v>
    <v>0</v>
    <v>CAPITAL ONE FINANCIAL CORPORATION (XNYS:COF)</v>
    <v>2</v>
    <v>3</v>
    <v>Finance</v>
    <v>4</v>
    <v>130.14500000000001</v>
    <v>83.93</v>
    <v>1.4594</v>
    <v>4.1500000000000004</v>
    <v>-3.0949999999999999E-4</v>
    <v>3.3176000000000004E-2</v>
    <v>-0.04</v>
    <v>USD</v>
    <v>Capital One Financial Corporation is a diversified financial service holding company. The Company offers a range of financial products and services to consumers, small businesses and commercial clients through digital channels, branch locations, cafes, and other distribution channels. The Company's segments include Credit Card, Consumer Banking and Commercial Banking. The Credit Card segment consists of its domestic consumer and small business card lending, and international card businesses in the United Kingdom and Canada. The Consumer Banking segment consists of its deposit gathering and lending activities for consumers and small businesses, and national auto lending. The Commercial Banking segment consists of its lending, deposit gathering, capital markets and treasury management services to commercial real estate and commercial and industrial customers. The Company’s subsidiary includes Capital One, National Association (CONA).</v>
    <v>54200</v>
    <v>New York Stock Exchange</v>
    <v>XNYS</v>
    <v>XNYS</v>
    <v>Suite 1400, 1680 Capital One Drive, MCLEAN, VA, 22102 US</v>
    <v>130.14500000000001</v>
    <v>Banking Services</v>
    <v>Stock</v>
    <v>45274.878615717185</v>
    <v>136</v>
    <v>126.68</v>
    <v>49220640432</v>
    <v>CAPITAL ONE FINANCIAL CORPORATION</v>
    <v>CAPITAL ONE FINANCIAL CORPORATION</v>
    <v>126.7</v>
    <v>9.4011999999999993</v>
    <v>125.09</v>
    <v>129.24</v>
    <v>129.19999999999999</v>
    <v>380846800</v>
    <v>COF</v>
    <v>CAPITAL ONE FINANCIAL CORPORATION (XNYS:COF)</v>
    <v>6337421</v>
    <v>2603748</v>
    <v>1994</v>
  </rv>
  <rv s="2">
    <v>137</v>
  </rv>
  <rv s="0">
    <v>https://www.bing.com/financeapi/forcetrigger?t=a1z7mw&amp;q=XNYS%3aOMC&amp;form=skydnc</v>
    <v>Learn more on Bing</v>
  </rv>
  <rv s="1">
    <v>en-US</v>
    <v>a1z7mw</v>
    <v>268435456</v>
    <v>1</v>
    <v>Powered by Refinitiv</v>
    <v>0</v>
    <v>OMNICOM GROUP INC. (XNYS:OMC)</v>
    <v>2</v>
    <v>3</v>
    <v>Finance</v>
    <v>4</v>
    <v>99.23</v>
    <v>72.2</v>
    <v>0.97330000000000005</v>
    <v>2.5</v>
    <v>0</v>
    <v>2.9786999999999998E-2</v>
    <v>0</v>
    <v>USD</v>
    <v>Omnicom Group Inc. is a marketing and corporate communications company. The Company provides advertising, strategic media planning and buying, and precision marketing. It offers commerce and brand consulting, experiential, customer relationship marketing, public relations, healthcare marketing and other specialty communications services to over 5,000 clients in more than 70 countries. It provides a range of services, such as investor relations, branding, marketing research, content marketing, media planning and buying, corporate social responsibility consulting, crisis communications, mobile marketing, custom publishing, multi-cultural marketing, data analytics, and non-profit marketing. It also provides database management, digital/direct marketing, package design, and digital transformation. It offers graphic arts/digital imaging, instore design, interactive marketing, social media marketing, sales support, search engine marketing, shopper marketing, and sports and event marketing.</v>
    <v>74200</v>
    <v>New York Stock Exchange</v>
    <v>XNYS</v>
    <v>XNYS</v>
    <v>280 Park Avenue, NEW YORK, NY, 10017 US</v>
    <v>86.43</v>
    <v>Media &amp; Publishing</v>
    <v>Stock</v>
    <v>45274.878411724218</v>
    <v>139</v>
    <v>83.65</v>
    <v>17107452906</v>
    <v>OMNICOM GROUP INC.</v>
    <v>OMNICOM GROUP INC.</v>
    <v>84.48</v>
    <v>12.1913</v>
    <v>83.93</v>
    <v>86.43</v>
    <v>86.43</v>
    <v>197934200</v>
    <v>OMC</v>
    <v>OMNICOM GROUP INC. (XNYS:OMC)</v>
    <v>2212372</v>
    <v>1157573</v>
    <v>1944</v>
  </rv>
  <rv s="2">
    <v>140</v>
  </rv>
  <rv s="0">
    <v>http://en.wikipedia.org/wiki/The_Walt_Disney_Company</v>
    <v>Wikipedia</v>
  </rv>
  <rv s="5">
    <v>63</v>
    <v>142</v>
  </rv>
  <rv s="6">
    <v>15</v>
    <v>https://www.bing.com/th?id=AMMS_0aa288ba528f6f45e3de87d97e250136&amp;qlt=95</v>
    <v>143</v>
    <v>0</v>
    <v>https://www.bing.com/images/search?form=xlimg&amp;q=the+walt+disney+company</v>
    <v>Image of THE WALT DISNEY COMPANY</v>
  </rv>
  <rv s="0">
    <v>https://www.bing.com/financeapi/forcetrigger?t=a1r2z2&amp;q=XNYS%3aDIS&amp;form=skydnc</v>
    <v>Learn more on Bing</v>
  </rv>
  <rv s="7">
    <v>en-US</v>
    <v>a1r2z2</v>
    <v>268435456</v>
    <v>1</v>
    <v>Powered by Refinitiv</v>
    <v>11</v>
    <v>THE WALT DISNEY COMPANY (XNYS:DIS)</v>
    <v>13</v>
    <v>14</v>
    <v>Finance</v>
    <v>4</v>
    <v>118.18</v>
    <v>78.730900000000005</v>
    <v>1.3631</v>
    <v>1.1100000000000001</v>
    <v>4.258E-4</v>
    <v>1.1957000000000001E-2</v>
    <v>0.04</v>
    <v>USD</v>
    <v>The Walt Disney Company is a diversified entertainment company that operates in three segments: Entertainment, Sports and Experiences. The Entertainment segment encompasses the Company's non-sports focused global film, television and direct-to-consumer (DTC) video streaming content production and distribution activities. Its line of business includes Linear Networks, DTC, and Content Sales/Licensing. The Sports segment encompasses the Company's sports-focused global television and DTC video streaming content production and distribution activities. Its line of business includes ESPN and Star. Experiences segment includes Parks and Experiences and Consumer Products. Parks and Experiences consists of Walt Disney World Resort in Florida, Disneyland Resort in California, Disney Cruise Line, Disney Vacation Club, and Disneyland Paris, among others. Consumer Products includes licensing of its trade names, characters, visual, literary and other IP. It also includes sale of branded merchandise.</v>
    <v>225000</v>
    <v>New York Stock Exchange</v>
    <v>XNYS</v>
    <v>XNYS</v>
    <v>500 S Buena Vista St, BURBANK, CA, 91521-0001 US</v>
    <v>94.83</v>
    <v>144</v>
    <v>Media &amp; Publishing</v>
    <v>Stock</v>
    <v>45274.880080207811</v>
    <v>145</v>
    <v>93.11</v>
    <v>171939885040</v>
    <v>THE WALT DISNEY COMPANY</v>
    <v>THE WALT DISNEY COMPANY</v>
    <v>93.11</v>
    <v>72.143600000000006</v>
    <v>92.83</v>
    <v>93.94</v>
    <v>93.98</v>
    <v>1830316000</v>
    <v>DIS</v>
    <v>THE WALT DISNEY COMPANY (XNYS:DIS)</v>
    <v>12357787</v>
    <v>14708002</v>
    <v>2018</v>
  </rv>
  <rv s="2">
    <v>146</v>
  </rv>
  <rv s="0">
    <v>https://www.bing.com/financeapi/forcetrigger?t=a2438m&amp;q=ARCX%3aTDTT&amp;form=skydnc</v>
    <v>Learn more on Bing</v>
  </rv>
  <rv s="8">
    <v>en-US</v>
    <v>a2438m</v>
    <v>268435456</v>
    <v>1</v>
    <v>Powered by Refinitiv</v>
    <v>17</v>
    <v>FlexShs:iB 3Y TD TIPS (ARCX:TDTT)</v>
    <v>6</v>
    <v>18</v>
    <v>Finance</v>
    <v>8</v>
    <v>24.24</v>
    <v>22.954999999999998</v>
    <v>0.56899999999999995</v>
    <v>0.14000000000000001</v>
    <v>-2.1139999999999999E-4</v>
    <v>5.9550000000000002E-3</v>
    <v>-5.0000000000000001E-3</v>
    <v>USD</v>
    <v>NYSE Arca</v>
    <v>ARCX</v>
    <v>1.8E-3</v>
    <v>23.68</v>
    <v>ETF</v>
    <v>45274.875003217188</v>
    <v>148</v>
    <v>23.62</v>
    <v>1907740240.51</v>
    <v>FlexShs:iB 3Y TD TIPS</v>
    <v>23.62</v>
    <v>23.51</v>
    <v>23.65</v>
    <v>23.645</v>
    <v>TDTT</v>
    <v>FlexShs:iB 3Y TD TIPS (ARCX:TDTT)</v>
    <v>453481</v>
    <v>470827</v>
  </rv>
  <rv s="2">
    <v>149</v>
  </rv>
  <rv s="0">
    <v>https://www.bing.com/financeapi/forcetrigger?t=a2435r&amp;q=ARCX%3aTDTF&amp;form=skydnc</v>
    <v>Learn more on Bing</v>
  </rv>
  <rv s="8">
    <v>en-US</v>
    <v>a2435r</v>
    <v>268435456</v>
    <v>1</v>
    <v>Powered by Refinitiv</v>
    <v>17</v>
    <v>FlexShs:iB 5Y TD TIPS (ARCX:TDTF)</v>
    <v>6</v>
    <v>18</v>
    <v>Finance</v>
    <v>8</v>
    <v>24.63</v>
    <v>22.53</v>
    <v>0.94350000000000001</v>
    <v>0.24</v>
    <v>-2.1100000000000001E-4</v>
    <v>1.023E-2</v>
    <v>-5.0000000000000001E-3</v>
    <v>USD</v>
    <v>NYSE Arca</v>
    <v>ARCX</v>
    <v>1.8E-3</v>
    <v>23.734999999999999</v>
    <v>ETF</v>
    <v>45274.875003726564</v>
    <v>151</v>
    <v>23.64</v>
    <v>822272218.24000001</v>
    <v>FlexShs:iB 5Y TD TIPS</v>
    <v>23.66</v>
    <v>23.46</v>
    <v>23.7</v>
    <v>23.695</v>
    <v>TDTF</v>
    <v>FlexShs:iB 5Y TD TIPS (ARCX:TDTF)</v>
    <v>278457</v>
    <v>245492</v>
  </rv>
  <rv s="2">
    <v>152</v>
  </rv>
  <rv s="0">
    <v>https://www.bing.com/financeapi/forcetrigger?t=a23olh&amp;q=ARCX%3aSTIP&amp;form=skydnc</v>
    <v>Learn more on Bing</v>
  </rv>
  <rv s="8">
    <v>en-US</v>
    <v>a23olh</v>
    <v>268435456</v>
    <v>1</v>
    <v>Powered by Refinitiv</v>
    <v>17</v>
    <v>iShares:0-5 TIPS Bd ETF (ARCX:STIP)</v>
    <v>6</v>
    <v>18</v>
    <v>Finance</v>
    <v>8</v>
    <v>99.663600000000002</v>
    <v>96.272400000000005</v>
    <v>0.42109999999999997</v>
    <v>0.45</v>
    <v>0</v>
    <v>4.5859999999999998E-3</v>
    <v>0</v>
    <v>USD</v>
    <v>NYSE Arca</v>
    <v>ARCX</v>
    <v>2.9999999999999997E-4</v>
    <v>98.648499999999999</v>
    <v>ETF</v>
    <v>45274.875002997658</v>
    <v>154</v>
    <v>98.47</v>
    <v>8909097748.1299992</v>
    <v>iShares:0-5 TIPS Bd ETF</v>
    <v>98.5</v>
    <v>98.12</v>
    <v>98.57</v>
    <v>98.57</v>
    <v>STIP</v>
    <v>iShares:0-5 TIPS Bd ETF (ARCX:STIP)</v>
    <v>1088039</v>
    <v>663158</v>
  </rv>
  <rv s="2">
    <v>155</v>
  </rv>
  <rv s="0">
    <v>https://www.bing.com/financeapi/forcetrigger?t=a23qh7&amp;q=ARCX%3aSTPZ&amp;form=skydnc</v>
    <v>Learn more on Bing</v>
  </rv>
  <rv s="8">
    <v>en-US</v>
    <v>a23qh7</v>
    <v>268435456</v>
    <v>1</v>
    <v>Powered by Refinitiv</v>
    <v>17</v>
    <v>PIMCO ETF:1-5 Yr US TIPS (ARCX:STPZ)</v>
    <v>6</v>
    <v>18</v>
    <v>Finance</v>
    <v>8</v>
    <v>51.32</v>
    <v>49.05</v>
    <v>0.49719999999999998</v>
    <v>0.25</v>
    <v>1.192E-4</v>
    <v>4.9090000000000002E-3</v>
    <v>6.1000000000000004E-3</v>
    <v>USD</v>
    <v>NYSE Arca</v>
    <v>ARCX</v>
    <v>2E-3</v>
    <v>51.24</v>
    <v>ETF</v>
    <v>45274.875002777342</v>
    <v>157</v>
    <v>51.13</v>
    <v>601052876.82000005</v>
    <v>PIMCO ETF:1-5 Yr US TIPS</v>
    <v>51.18</v>
    <v>50.93</v>
    <v>51.18</v>
    <v>51.186100000000003</v>
    <v>STPZ</v>
    <v>PIMCO ETF:1-5 Yr US TIPS (ARCX:STPZ)</v>
    <v>293935</v>
    <v>77385</v>
  </rv>
  <rv s="2">
    <v>158</v>
  </rv>
  <rv s="0">
    <v>https://www.bing.com/financeapi/forcetrigger?t=a22mur&amp;q=ARCX%3aSCHP&amp;form=skydnc</v>
    <v>Learn more on Bing</v>
  </rv>
  <rv s="8">
    <v>en-US</v>
    <v>a22mur</v>
    <v>268435456</v>
    <v>1</v>
    <v>Powered by Refinitiv</v>
    <v>17</v>
    <v>Schwab Str:US TIPS ETF (ARCX:SCHP)</v>
    <v>6</v>
    <v>18</v>
    <v>Finance</v>
    <v>8</v>
    <v>54.1</v>
    <v>49.500599999999999</v>
    <v>0.99890000000000001</v>
    <v>0.59</v>
    <v>-3.8109999999999999E-4</v>
    <v>1.137E-2</v>
    <v>-0.02</v>
    <v>USD</v>
    <v>NYSE Arca</v>
    <v>ARCX</v>
    <v>5.0000000000000001E-4</v>
    <v>52.59</v>
    <v>ETF</v>
    <v>45274.87632133047</v>
    <v>160</v>
    <v>52.3</v>
    <v>11611857137.610001</v>
    <v>Schwab Str:US TIPS ETF</v>
    <v>52.33</v>
    <v>51.89</v>
    <v>52.48</v>
    <v>52.46</v>
    <v>SCHP</v>
    <v>Schwab Str:US TIPS ETF (ARCX:SCHP)</v>
    <v>3203462</v>
    <v>1647541</v>
  </rv>
  <rv s="2">
    <v>161</v>
  </rv>
  <rv s="0">
    <v>https://www.bing.com/financeapi/forcetrigger?t=a24977&amp;q=ARCX%3aTIPX&amp;form=skydnc</v>
    <v>Learn more on Bing</v>
  </rv>
  <rv s="8">
    <v>en-US</v>
    <v>a24977</v>
    <v>268435456</v>
    <v>1</v>
    <v>Powered by Refinitiv</v>
    <v>17</v>
    <v>SPDR Bbg 1-10 Year TIPS (ARCX:TIPX)</v>
    <v>6</v>
    <v>18</v>
    <v>Finance</v>
    <v>8</v>
    <v>19.07</v>
    <v>17.850000000000001</v>
    <v>0.7681</v>
    <v>0.13</v>
    <v>-1.9900000000000001E-4</v>
    <v>7.0420000000000005E-3</v>
    <v>-3.7000000000000002E-3</v>
    <v>USD</v>
    <v>NYSE Arca</v>
    <v>ARCX</v>
    <v>1.6000000000000001E-3</v>
    <v>18.614999999999998</v>
    <v>ETF</v>
    <v>45274.875002580469</v>
    <v>163</v>
    <v>18.564299999999999</v>
    <v>1305811756.5</v>
    <v>SPDR Bbg 1-10 Year TIPS</v>
    <v>18.59</v>
    <v>18.46</v>
    <v>18.59</v>
    <v>18.586300000000001</v>
    <v>TIPX</v>
    <v>SPDR Bbg 1-10 Year TIPS (ARCX:TIPX)</v>
    <v>154390</v>
    <v>291782</v>
  </rv>
  <rv s="2">
    <v>164</v>
  </rv>
  <rv s="0">
    <v>https://www.bing.com/financeapi/forcetrigger?t=a1voxm&amp;q=ARCX%3aSPIP&amp;form=skydnc</v>
    <v>Learn more on Bing</v>
  </rv>
  <rv s="8">
    <v>en-US</v>
    <v>a1voxm</v>
    <v>268435456</v>
    <v>1</v>
    <v>Powered by Refinitiv</v>
    <v>17</v>
    <v>SPDR Ptf TIPS ETF (ARCX:SPIP)</v>
    <v>6</v>
    <v>18</v>
    <v>Finance</v>
    <v>8</v>
    <v>26.74</v>
    <v>24.331</v>
    <v>1.0385</v>
    <v>0.31</v>
    <v>-1.9339999999999998E-4</v>
    <v>1.2137999999999999E-2</v>
    <v>-5.0000000000000001E-3</v>
    <v>USD</v>
    <v>NYSE Arca</v>
    <v>ARCX</v>
    <v>1.2999999999999999E-3</v>
    <v>25.900099999999998</v>
    <v>ETF</v>
    <v>45274.875002765628</v>
    <v>166</v>
    <v>25.76</v>
    <v>1451753318.1800001</v>
    <v>SPDR Ptf TIPS ETF</v>
    <v>25.76</v>
    <v>25.54</v>
    <v>25.85</v>
    <v>25.844999999999999</v>
    <v>SPIP</v>
    <v>SPDR Ptf TIPS ETF (ARCX:SPIP)</v>
    <v>1693254</v>
    <v>405969</v>
  </rv>
  <rv s="2">
    <v>167</v>
  </rv>
  <rv s="0">
    <v>https://www.bing.com/financeapi/forcetrigger?t=a258h7&amp;q=XNAS%3aVCSH&amp;form=skydnc</v>
    <v>Learn more on Bing</v>
  </rv>
  <rv s="8">
    <v>en-US</v>
    <v>a258h7</v>
    <v>268435456</v>
    <v>1</v>
    <v>Powered by Refinitiv</v>
    <v>17</v>
    <v>Vanguard ST Corp Bd;ETF (XNAS:VCSH)</v>
    <v>6</v>
    <v>18</v>
    <v>Finance</v>
    <v>8</v>
    <v>77.319999999999993</v>
    <v>74.430000000000007</v>
    <v>0.6512</v>
    <v>0.18</v>
    <v>0</v>
    <v>2.3370000000000001E-3</v>
    <v>0</v>
    <v>USD</v>
    <v>Nasdaq Stock Market</v>
    <v>XNAS</v>
    <v>4.0000000000000002E-4</v>
    <v>77.319999999999993</v>
    <v>ETF</v>
    <v>45274.875007812501</v>
    <v>169</v>
    <v>77.16</v>
    <v>35281708923</v>
    <v>Vanguard ST Corp Bd;ETF</v>
    <v>77.16</v>
    <v>77.010000000000005</v>
    <v>77.19</v>
    <v>77.19</v>
    <v>VCSH</v>
    <v>Vanguard ST Corp Bd;ETF (XNAS:VCSH)</v>
    <v>4153594</v>
    <v>4700055</v>
  </rv>
  <rv s="2">
    <v>170</v>
  </rv>
  <rv s="0">
    <v>https://www.bing.com/financeapi/forcetrigger?t=a1r9lh&amp;q=XNYS%3aDPZ&amp;form=skydnc</v>
    <v>Learn more on Bing</v>
  </rv>
  <rv s="1">
    <v>en-US</v>
    <v>a1r9lh</v>
    <v>268435456</v>
    <v>1</v>
    <v>Powered by Refinitiv</v>
    <v>0</v>
    <v>DOMINO'S PIZZA, INC. (XNYS:DPZ)</v>
    <v>2</v>
    <v>3</v>
    <v>Finance</v>
    <v>4</v>
    <v>415.81</v>
    <v>285.83999999999997</v>
    <v>0.86550000000000005</v>
    <v>1.43</v>
    <v>-4.2180000000000001E-4</v>
    <v>3.5610000000000004E-3</v>
    <v>-0.17</v>
    <v>USD</v>
    <v>Domino’s Pizza, Inc. is a pizza company, which operates two distinct service models within its stores with a significant business in both delivery and carryout. The Company operates through three segments: U.S. stores, international franchise and supply chain. The U.S. stores segment consists primarily of its franchise operations, which consist of approximately 6,400 franchised stores located in the United States. The segment also operates a network of approximately 286 U.S. Company-owned stores. The international franchise segment is comprised of a network of franchised stores in approximately 90 international markets. The Company operates 22 regional dough manufacturing and supply chain centers, two thin crust manufacturing facilities, one vegetable processing center and one center, providing equipment and supplies to its United States and certain international stores. It also operates five dough manufacturing and supply chain centers in Canada.</v>
    <v>11000</v>
    <v>New York Stock Exchange</v>
    <v>XNYS</v>
    <v>XNYS</v>
    <v>30 Frank Lloyd Wright Drive, ANN ARBOR, MI, 48105 US</v>
    <v>407.86500000000001</v>
    <v>Hotels &amp; Entertainment Services</v>
    <v>Stock</v>
    <v>45274.878481064065</v>
    <v>172</v>
    <v>400.07499999999999</v>
    <v>14050060000</v>
    <v>DOMINO'S PIZZA, INC.</v>
    <v>DOMINO'S PIZZA, INC.</v>
    <v>403.38</v>
    <v>27.477699999999999</v>
    <v>401.59</v>
    <v>403.02</v>
    <v>402.85</v>
    <v>34880980</v>
    <v>DPZ</v>
    <v>DOMINO'S PIZZA, INC. (XNYS:DPZ)</v>
    <v>670495</v>
    <v>633904</v>
    <v>2002</v>
  </rv>
  <rv s="2">
    <v>173</v>
  </rv>
  <rv s="0">
    <v>https://www.bing.com/financeapi/forcetrigger?t=a1xroc&amp;q=XNYS%3aMMM&amp;form=skydnc</v>
    <v>Learn more on Bing</v>
  </rv>
  <rv s="4">
    <v>en-US</v>
    <v>a1xroc</v>
    <v>268435456</v>
    <v>1</v>
    <v>Powered by Refinitiv</v>
    <v>9</v>
    <v>3M COMPANY (XNYS:MMM)</v>
    <v>2</v>
    <v>10</v>
    <v>Finance</v>
    <v>4</v>
    <v>129.9</v>
    <v>85.344999999999999</v>
    <v>1.006</v>
    <v>2.83</v>
    <v>-1.121E-3</v>
    <v>2.7162000000000002E-2</v>
    <v>-0.12</v>
    <v>USD</v>
    <v>3M Company is a diversified technology company. The Company is a manufacturer and marketer of a variety of products and services. It operates through four segments: Safety and Industrial, Transportation and Electronics, Health Care, and Consumer. Its Safety and Industrial segment include abrasives, automotive aftermarket, closure and masking systems, electrical markets, personal safety, roofing granules, and industrial adhesives and tapes. Its Transportation and Electronics segment includes advanced materials, automotive and aerospace, commercial solutions, display materials and systems, electronic materials solutions, and transportation safety. Its Health Care segment includes health information systems, medical solutions, oral care, and separation and purification sciences. Its Consumer segment includes consumer health and safety, home care, home improvement, consumer bandages, braces, supports and consumer respirators, and stationery and office.</v>
    <v>92000</v>
    <v>New York Stock Exchange</v>
    <v>XNYS</v>
    <v>XNYS</v>
    <v>3M Center, Bldg. 220-13E-26A, SAINT PAUL, MN, 55144-1000 US</v>
    <v>107.63</v>
    <v>Consumer Goods Conglomerates</v>
    <v>Stock</v>
    <v>45274.87994454844</v>
    <v>175</v>
    <v>104.98</v>
    <v>59108965340</v>
    <v>3M COMPANY</v>
    <v>3M COMPANY</v>
    <v>104.98</v>
    <v>104.19</v>
    <v>107.02</v>
    <v>106.9</v>
    <v>552317000</v>
    <v>MMM</v>
    <v>3M COMPANY (XNYS:MMM)</v>
    <v>5739726</v>
    <v>3520429</v>
    <v>1929</v>
  </rv>
  <rv s="2">
    <v>176</v>
  </rv>
  <rv s="0">
    <v>https://www.bing.com/financeapi/forcetrigger?t=a1qlnm&amp;q=XNYS%3aCVS&amp;form=skydnc</v>
    <v>Learn more on Bing</v>
  </rv>
  <rv s="1">
    <v>en-US</v>
    <v>a1qlnm</v>
    <v>268435456</v>
    <v>1</v>
    <v>Powered by Refinitiv</v>
    <v>0</v>
    <v>CVS HEALTH CORPORATION (XNYS:CVS)</v>
    <v>2</v>
    <v>3</v>
    <v>Finance</v>
    <v>4</v>
    <v>101.88</v>
    <v>64.41</v>
    <v>0.46029999999999999</v>
    <v>-0.79</v>
    <v>-1.3420000000000001E-4</v>
    <v>-1.0492999999999999E-2</v>
    <v>-0.01</v>
    <v>USD</v>
    <v>CVS Health Corporation, together with its subsidiaries, is a diversified health solutions company. The Company’s segments include Health Care Benefits, Health Services, Pharmacy &amp; Consumer Wellness and Corporate/Other. Its Health Care Benefits offer a range of traditional, voluntary and consumer-directed health insurance products and related services, including medical, pharmacy, dental and behavioral health plans, medical management capabilities, Medicare Advantage and Medicare supplement plans, and Medicaid health care management services. Its Health Services provides a full range of pharmacy benefit management solutions, delivers health care services in its medical clinics, virtually, and in the home, and offers provider enablement solutions. The Pharmacy &amp; Consumer Wellness segment dispenses prescriptions in its retail pharmacies and through its infusion operations, provides ancillary pharmacy services including pharmacy patient care programs, and diagnostic testing.</v>
    <v>300000</v>
    <v>New York Stock Exchange</v>
    <v>XNYS</v>
    <v>XNYS</v>
    <v>1 Cvs Dr, WOONSOCKET, RI, 02895-6146 US</v>
    <v>75.78</v>
    <v>Healthcare Providers &amp; Services</v>
    <v>Stock</v>
    <v>45274.878494039061</v>
    <v>178</v>
    <v>74.3</v>
    <v>95873826500</v>
    <v>CVS HEALTH CORPORATION</v>
    <v>CVS HEALTH CORPORATION</v>
    <v>75.7</v>
    <v>11.3589</v>
    <v>75.290000000000006</v>
    <v>74.5</v>
    <v>74.489999999999995</v>
    <v>1286897000</v>
    <v>CVS</v>
    <v>CVS HEALTH CORPORATION (XNYS:CVS)</v>
    <v>8420375</v>
    <v>7782112</v>
    <v>1996</v>
  </rv>
  <rv s="2">
    <v>179</v>
  </rv>
  <rv s="0">
    <v>http://en.wikipedia.org/wiki/Amgen</v>
    <v>Wikipedia</v>
  </rv>
  <rv s="5">
    <v>63</v>
    <v>181</v>
  </rv>
  <rv s="6">
    <v>15</v>
    <v>https://www.bing.com/th?id=AMMS_7651d2e878d4df4bb82a200be2db03e3&amp;qlt=95</v>
    <v>182</v>
    <v>0</v>
    <v>https://www.bing.com/images/search?form=xlimg&amp;q=amgen</v>
    <v>Image of AMGEN INC.</v>
  </rv>
  <rv s="0">
    <v>https://www.bing.com/financeapi/forcetrigger?t=a1nec7&amp;q=XNAS%3aAMGN&amp;form=skydnc</v>
    <v>Learn more on Bing</v>
  </rv>
  <rv s="7">
    <v>en-US</v>
    <v>a1nec7</v>
    <v>268435456</v>
    <v>1</v>
    <v>Powered by Refinitiv</v>
    <v>11</v>
    <v>AMGEN INC. (XNAS:AMGN)</v>
    <v>13</v>
    <v>14</v>
    <v>Finance</v>
    <v>4</v>
    <v>288.45999999999998</v>
    <v>211.71</v>
    <v>0.57469999999999999</v>
    <v>-5.3</v>
    <v>0</v>
    <v>-1.882E-2</v>
    <v>0</v>
    <v>USD</v>
    <v>Amgen Inc. is a biotechnology company. The Company discovers, develops, manufactures and delivers various human therapeutics. It operates in human therapeutics segment. The Company’s marketed products portfolio includes Aranesp, ENBREL, Prolia (denosumab), Neulasta (pegfilgrastim), Otezla, XGEVA, Aranesp (darbepoetin alfa), KYPROLIS, Repatha (evolocumab), Nplate (romiplostim), Vectibix (panitumumab), MVASI (bevacizumab-awwb), Parsabiv (etelcalcetide), EPOGEN (epoetin alfa), KANJINTI (trastuzumab-anns), BLINCYTO (blinatumomab), Aimovig (erenumab-aooe), EVENITY (romosozumab-aqqg), AMGEVITATM (adalimumab), Sensipar/Mimpara (cinacalcet), NEUPOGEN (filgrastim), IMLYGIC (talimogene laherparepvec), Corlanor (ivabradine) and AVSOLA (infliximab-axxq), Evenity, LumaKras, Nplate, XGeva, and others. The Company focuses on human therapeutics for the treatment of serious illness. It also offers TEPEZZA (teprotumumab-trbw), KRYSTEXXA (pegloticase) and UPLIZNA (inebilizumab-cdon).</v>
    <v>25200</v>
    <v>Nasdaq Stock Market</v>
    <v>XNAS</v>
    <v>XNAS</v>
    <v>One Amgen Center Drive, THOUSAND OAKS, CA, 91320-1799 US</v>
    <v>282.73</v>
    <v>183</v>
    <v>Pharmaceuticals</v>
    <v>Stock</v>
    <v>45274.879260983595</v>
    <v>184</v>
    <v>274.08</v>
    <v>147880384960</v>
    <v>AMGEN INC.</v>
    <v>AMGEN INC.</v>
    <v>281.32</v>
    <v>20.0185</v>
    <v>281.62</v>
    <v>276.32</v>
    <v>276.32</v>
    <v>535178000</v>
    <v>AMGN</v>
    <v>AMGEN INC. (XNAS:AMGN)</v>
    <v>2849532</v>
    <v>2166653</v>
    <v>1986</v>
  </rv>
  <rv s="2">
    <v>185</v>
  </rv>
  <rv s="0">
    <v>https://www.bing.com/financeapi/forcetrigger?t=a1w8ec&amp;q=XNYS%3aJNJ&amp;form=skydnc</v>
    <v>Learn more on Bing</v>
  </rv>
  <rv s="1">
    <v>en-US</v>
    <v>a1w8ec</v>
    <v>268435456</v>
    <v>1</v>
    <v>Powered by Refinitiv</v>
    <v>0</v>
    <v>JOHNSON &amp; JOHNSON (XNYS:JNJ)</v>
    <v>2</v>
    <v>3</v>
    <v>Finance</v>
    <v>4</v>
    <v>181.03899999999999</v>
    <v>144.94999999999999</v>
    <v>0.53180000000000005</v>
    <v>1.0900000000000001</v>
    <v>7.0120000000000002E-4</v>
    <v>6.9969999999999997E-3</v>
    <v>0.11</v>
    <v>USD</v>
    <v>Johnson &amp; Johnson is a diversified healthcare products company. The Company is engaged in the research and development, manufacture and sale of a range of products in the healthcare field. It operates through two segments: Pharmaceutical and MedTech. Its primary focus is products related to human health and well-being. The Pharmaceutical segment is focused on six therapeutic areas: Immunology, Infectious Diseases, Neuroscience, Oncology, Cardiovascular and Metabolism and Pulmonary Hypertension. The MedTech segment includes a range of products used in the interventional solutions, orthopedics, surgery, and vision fields. Its geographic area includes the United States, Europe, Western Hemisphere (excluding the United States), and Africa, Asia and Pacific.</v>
    <v>152700</v>
    <v>New York Stock Exchange</v>
    <v>XNYS</v>
    <v>XNYS</v>
    <v>One Johnson &amp; Johnson Plaza, NEW BRUNSWICK, NJ, 08933 US</v>
    <v>157.16</v>
    <v>Pharmaceuticals</v>
    <v>Stock</v>
    <v>45274.88010407344</v>
    <v>187</v>
    <v>155.04740000000001</v>
    <v>377653929520</v>
    <v>JOHNSON &amp; JOHNSON</v>
    <v>JOHNSON &amp; JOHNSON</v>
    <v>156.46</v>
    <v>31.474299999999999</v>
    <v>155.79</v>
    <v>156.88</v>
    <v>156.99</v>
    <v>2407279000</v>
    <v>JNJ</v>
    <v>JOHNSON &amp; JOHNSON (XNYS:JNJ)</v>
    <v>9093549</v>
    <v>6941348</v>
    <v>1887</v>
  </rv>
  <rv s="2">
    <v>188</v>
  </rv>
  <rv s="0">
    <v>https://www.bing.com/financeapi/forcetrigger?t=a1mthw&amp;q=XNYS%3aACN&amp;form=skydnc</v>
    <v>Learn more on Bing</v>
  </rv>
  <rv s="1">
    <v>en-US</v>
    <v>a1mthw</v>
    <v>268435456</v>
    <v>1</v>
    <v>Powered by Refinitiv</v>
    <v>0</v>
    <v>ACCENTURE PUBLIC LIMITED COMPANY (XNYS:ACN)</v>
    <v>2</v>
    <v>3</v>
    <v>Finance</v>
    <v>4</v>
    <v>345.37</v>
    <v>242.8</v>
    <v>1.2007000000000001</v>
    <v>-0.98</v>
    <v>2.0430000000000001E-4</v>
    <v>-2.8519999999999999E-3</v>
    <v>7.0000000000000007E-2</v>
    <v>USD</v>
    <v>Accenture plc is a global professional services company. The Company is engaged in providing a range of services and solutions across strategy and consulting, technology, operations, Industry X and Accenture Song. Its services include application services, artificial intelligence, automation, business process outsourcing, business strategy, change management, cloud, customer experience, data and analytics, ecosystem partners, finance consulting, Industry X, infrastructure, marketing, operating models, security, supply chain management, technology consulting, technology innovation and zero-based budgeting (ZBB). It specializes in the SAP business technology platform that designs digital products and experiences for enterprise customers, including custom portals and Web solutions and mobile applications. It is also engaged in providing clients with quantitative and qualitative risk management and compliance services. It offers advisory and management services for infrastructure projects.</v>
    <v>733000</v>
    <v>New York Stock Exchange</v>
    <v>XNYS</v>
    <v>XNYS</v>
    <v>1 Grand Canal Square, Grand Canal Harbour, Dublin 2, DUBLIN, DUBLIN IE</v>
    <v>345.37</v>
    <v>Software &amp; IT Services</v>
    <v>Stock</v>
    <v>45274.879116446093</v>
    <v>190</v>
    <v>340.74</v>
    <v>227795776356</v>
    <v>ACCENTURE PUBLIC LIMITED COMPANY</v>
    <v>ACCENTURE PUBLIC LIMITED COMPANY</v>
    <v>342.5</v>
    <v>31.901</v>
    <v>343.64</v>
    <v>342.66</v>
    <v>342.73</v>
    <v>664786600</v>
    <v>ACN</v>
    <v>ACCENTURE PUBLIC LIMITED COMPANY (XNYS:ACN)</v>
    <v>2520467</v>
    <v>1771208</v>
    <v>2009</v>
  </rv>
  <rv s="2">
    <v>191</v>
  </rv>
  <rv s="0">
    <v>https://www.bing.com/financeapi/forcetrigger?t=a1t7oc&amp;q=XNYS%3aFNV&amp;form=skydnc</v>
    <v>Learn more on Bing</v>
  </rv>
  <rv s="1">
    <v>en-US</v>
    <v>a1t7oc</v>
    <v>268435456</v>
    <v>1</v>
    <v>Powered by Refinitiv</v>
    <v>0</v>
    <v>Franco-Nevada Corporation (XNYS:FNV)</v>
    <v>2</v>
    <v>19</v>
    <v>Finance</v>
    <v>4</v>
    <v>161.25</v>
    <v>102.29</v>
    <v>0.60389999999999999</v>
    <v>3</v>
    <v>2.677E-4</v>
    <v>2.7507999999999998E-2</v>
    <v>0.03</v>
    <v>USD</v>
    <v>Franco-Nevada Corporation is a Canada-based gold-focused royalty and streaming company with diversified portfolio of cash-flow producing assets. The Company’s business model provides investors with gold price and exploration optionality while limiting exposure to cost inflation. The Company is a debt-free and uses its free cash flow to expand its portfolio and pay dividends. The Company’s diversified assets, primarily comprising its Iron Ore and Energy interests. Its Iron Ore assets include Vale Royalty (iron ore royalty) and LIORC. Its diversified portfolio includes approximately 404 assets covering 63,000 square kilometers. Its Energy assets include Marcellus (1% royalty), Haynesville (various royalty rates), SCOOP/STACK (various royalty rates), Permian Basin (various royalty rates) and Weyburn (NRI, ORR, WI). Its Precious Metal assets include Antamina, Stillwater, Antapaccay, Hemlo, Goldstrike, Candelaria, Detour, Subika (Ahafo), Tasiast, Lake Rebecca, Spring Hill and others.</v>
    <v>40</v>
    <v>New York Stock Exchange</v>
    <v>XNYS</v>
    <v>XNYS</v>
    <v>199 Bay Street, Suite 2000, P.O. Box 285, Commerce Court Postal Station, TORONTO, ON, M5L 1G9 CA</v>
    <v>113.27500000000001</v>
    <v>Metals &amp; Mining</v>
    <v>Stock</v>
    <v>45274.875863633592</v>
    <v>193</v>
    <v>110.715</v>
    <v>28149410000</v>
    <v>Franco-Nevada Corporation</v>
    <v>Franco-Nevada Corporation</v>
    <v>111.71</v>
    <v>30.772300000000001</v>
    <v>109.06</v>
    <v>112.06</v>
    <v>112.09</v>
    <v>192119400</v>
    <v>FNV</v>
    <v>Franco-Nevada Corporation (XNYS:FNV)</v>
    <v>1625497</v>
    <v>831290</v>
    <v>2008</v>
  </rv>
  <rv s="2">
    <v>194</v>
  </rv>
  <rv s="0">
    <v>https://www.bing.com/financeapi/forcetrigger?t=a1o4sm&amp;q=XNYS%3aBAC&amp;form=skydnc</v>
    <v>Learn more on Bing</v>
  </rv>
  <rv s="1">
    <v>en-US</v>
    <v>a1o4sm</v>
    <v>268435456</v>
    <v>1</v>
    <v>Powered by Refinitiv</v>
    <v>0</v>
    <v>BANK OF AMERICA CORPORATION (XNYS:BAC)</v>
    <v>2</v>
    <v>3</v>
    <v>Finance</v>
    <v>4</v>
    <v>37</v>
    <v>24.96</v>
    <v>1.4119999999999999</v>
    <v>1.94</v>
    <v>-8.8289999999999994E-4</v>
    <v>6.0548999999999999E-2</v>
    <v>-0.03</v>
    <v>USD</v>
    <v>Bank of America Corporation is a bank holding company and a financial holding company. Its segments include Consumer Banking, Global Wealth &amp; Investment Management (GWIM), Global Banking and Global Markets. Consumer Banking segment offers a range of credit, banking and investment products and services to consumers and small businesses. The GWIM includes two businesses: Merrill Wealth Management, which provides tailored solutions to meet clients' needs through a full set of investment management, brokerage, banking and retirement products and Bank of America Private Bank, which provides comprehensive wealth management solutions. Global Banking segment provides a range of lending-related products and services, integrated working capital management and treasury solutions, and underwriting and advisory services. Global Markets segment offers sales and trading services and research services to institutional clients across fixed-income, credit, currency, commodity, and equity businesses.</v>
    <v>213000</v>
    <v>New York Stock Exchange</v>
    <v>XNYS</v>
    <v>XNYS</v>
    <v>Bank Of America Corporate Center, 100 N Tryon St, CHARLOTTE, NC, 28255 US</v>
    <v>34.069400000000002</v>
    <v>Banking Services</v>
    <v>Stock</v>
    <v>45274.880136967186</v>
    <v>196</v>
    <v>32.57</v>
    <v>268908613359</v>
    <v>BANK OF AMERICA CORPORATION</v>
    <v>BANK OF AMERICA CORPORATION</v>
    <v>32.6</v>
    <v>8.9779999999999998</v>
    <v>32.04</v>
    <v>33.979999999999997</v>
    <v>33.950000000000003</v>
    <v>7913732000</v>
    <v>BAC</v>
    <v>BANK OF AMERICA CORPORATION (XNYS:BAC)</v>
    <v>106257345</v>
    <v>40677158</v>
    <v>1998</v>
  </rv>
  <rv s="2">
    <v>197</v>
  </rv>
  <rv s="0">
    <v>https://www.bing.com/financeapi/forcetrigger?t=a24i9c&amp;q=XNYS%3aTRP&amp;form=skydnc</v>
    <v>Learn more on Bing</v>
  </rv>
  <rv s="4">
    <v>en-US</v>
    <v>a24i9c</v>
    <v>268435456</v>
    <v>1</v>
    <v>Powered by Refinitiv</v>
    <v>9</v>
    <v>TC Energy Corporation (XNYS:TRP)</v>
    <v>2</v>
    <v>16</v>
    <v>Finance</v>
    <v>4</v>
    <v>45.18</v>
    <v>32.515000000000001</v>
    <v>0.80149999999999999</v>
    <v>0.32</v>
    <v>0</v>
    <v>8.2500000000000004E-3</v>
    <v>0</v>
    <v>USD</v>
    <v>TC Energy Corporation is a Canada-based energy problem solver working to move, generate and store the energy in North America. Its segments include Canadian Natural Gas Pipelines, U.S. Natural Gas Pipelines and Mexico Natural Gas Pipelines, Liquids Pipelines and Power and Energy Solutions. The Company's business includes Energy Solutions, Natural Gas, Oil and Liquids and Power and Storage. The Natural Gas business includes its 93,300 kilometers (km) (57,900 miles) network of natural gas pipelines, which supplies more than 25 % of the clean-burning natural gas consumed daily across North America to heat homes, fuel industries and generate power. The Oil and Liquids business has its oil &amp; liquids pipeline infrastructure, approximately 4,900 km, which connects Alberta crude oil supplies to United States refining markets in Illinois, Oklahoma, Texas and the United States Gulf Coast. Its portfolio of energy infrastructure assets includes investments in seven power generation facilities.</v>
    <v>7477</v>
    <v>New York Stock Exchange</v>
    <v>XNYS</v>
    <v>XNYS</v>
    <v>450 1 St SW, CALGARY, AB, T2P 5H1 CA</v>
    <v>39.685000000000002</v>
    <v>Oil &amp; Gas Related Equipment and Services</v>
    <v>Stock</v>
    <v>45274.875351191404</v>
    <v>199</v>
    <v>39.020000000000003</v>
    <v>54312490000</v>
    <v>TC Energy Corporation</v>
    <v>TC Energy Corporation</v>
    <v>39.24</v>
    <v>38.79</v>
    <v>39.11</v>
    <v>39.11</v>
    <v>1037488000</v>
    <v>TRP</v>
    <v>TC Energy Corporation (XNYS:TRP)</v>
    <v>2658064</v>
    <v>2441221</v>
    <v>2003</v>
  </rv>
  <rv s="2">
    <v>200</v>
  </rv>
  <rv s="0">
    <v>https://www.bing.com/financeapi/forcetrigger?t=a1t252&amp;q=BATS%3aFLOT&amp;form=skydnc</v>
    <v>Learn more on Bing</v>
  </rv>
  <rv s="8">
    <v>en-US</v>
    <v>a1t252</v>
    <v>268435456</v>
    <v>1</v>
    <v>Powered by Refinitiv</v>
    <v>17</v>
    <v>iShares:Floating Rt Bond (BATS:FLOT)</v>
    <v>6</v>
    <v>18</v>
    <v>Finance</v>
    <v>8</v>
    <v>50.97</v>
    <v>49.1</v>
    <v>1.2846</v>
    <v>1.78E-2</v>
    <v>-2.831E-4</v>
    <v>3.5249999999999995E-4</v>
    <v>-1.43E-2</v>
    <v>USD</v>
    <v>CBOE BZX Exchange</v>
    <v>BATS</v>
    <v>1.5E-3</v>
    <v>50.52</v>
    <v>ETF</v>
    <v>45274.877969073437</v>
    <v>202</v>
    <v>50.49</v>
    <v>7526978863.0299997</v>
    <v>iShares:Floating Rt Bond</v>
    <v>50.515000000000001</v>
    <v>50.497199999999999</v>
    <v>50.515000000000001</v>
    <v>50.500700000000002</v>
    <v>FLOT</v>
    <v>iShares:Floating Rt Bond (BATS:FLOT)</v>
    <v>2139937</v>
    <v>1102094</v>
  </rv>
  <rv s="2">
    <v>203</v>
  </rv>
  <rv s="0">
    <v>https://www.bing.com/financeapi/forcetrigger?t=a33k6h&amp;q=S%26P+500+INDEX&amp;form=skydnc</v>
    <v>Learn more on Bing</v>
  </rv>
  <rv s="9">
    <v>en-US</v>
    <v>a33k6h</v>
    <v>268435456</v>
    <v>1</v>
    <v>Powered by Refinitiv</v>
    <v>20</v>
    <v>S&amp;P 500 INDEX</v>
    <v>6</v>
    <v>21</v>
    <v>Finance</v>
    <v>22</v>
    <v>4738.57</v>
    <v>3764.49</v>
    <v>9.0399999999999991</v>
    <v>1.921E-3</v>
    <v>US</v>
    <v>4738.57</v>
    <v>Index</v>
    <v>205</v>
    <v>4694.34</v>
    <v>S&amp;P 500 INDEX</v>
    <v>4721.04</v>
    <v>4707.09</v>
    <v>4716.13</v>
    <v>INX</v>
    <v>S&amp;P 500 INDEX</v>
  </rv>
  <rv s="2">
    <v>206</v>
  </rv>
  <rv s="0">
    <v>https://www.bing.com/financeapi/forcetrigger?t=a1n26h&amp;q=ARCX%3aAGG&amp;form=skydnc</v>
    <v>Learn more on Bing</v>
  </rv>
  <rv s="8">
    <v>en-US</v>
    <v>a1n26h</v>
    <v>268435456</v>
    <v>1</v>
    <v>Powered by Refinitiv</v>
    <v>17</v>
    <v>iShares:Core US Agg Bd (ARCX:AGG)</v>
    <v>6</v>
    <v>18</v>
    <v>Finance</v>
    <v>8</v>
    <v>101.15</v>
    <v>91.581900000000005</v>
    <v>1.0001</v>
    <v>0.7923</v>
    <v>-3.336E-3</v>
    <v>8.0739999999999996E-3</v>
    <v>-0.33</v>
    <v>USD</v>
    <v>NYSE Arca</v>
    <v>ARCX</v>
    <v>2.9999999999999997E-4</v>
    <v>99.04</v>
    <v>ETF</v>
    <v>45274.880151909376</v>
    <v>208</v>
    <v>98.610200000000006</v>
    <v>95596637510.949997</v>
    <v>iShares:Core US Agg Bd</v>
    <v>98.67</v>
    <v>98.127700000000004</v>
    <v>98.92</v>
    <v>98.59</v>
    <v>AGG</v>
    <v>iShares:Core US Agg Bd (ARCX:AGG)</v>
    <v>12627450</v>
    <v>9181532</v>
  </rv>
  <rv s="2">
    <v>209</v>
  </rv>
</rvData>
</file>

<file path=xl/richData/rdrichvaluestructure.xml><?xml version="1.0" encoding="utf-8"?>
<rvStructures xmlns="http://schemas.microsoft.com/office/spreadsheetml/2017/richdata" count="10">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
    <k n="%cvi" t="r"/>
  </s>
  <s t="_linkedentitycore">
    <k n="%EntityCulture" t="s"/>
    <k n="%EntityId" t="s"/>
    <k n="%EntityServiceId"/>
    <k n="%IsRefreshable" t="b"/>
    <k n="%ProviderInfo" t="s"/>
    <k n="_Display" t="spb"/>
    <k n="_DisplayString" t="s"/>
    <k n="_Flags" t="spb"/>
    <k n="_Format" t="spb"/>
    <k n="_Icon" t="s"/>
    <k n="_SubLabel" t="spb"/>
    <k n="52 week high"/>
    <k n="52 week low"/>
    <k n="Change"/>
    <k n="Change % (Extended hours)"/>
    <k n="Change (%)"/>
    <k n="Change (Extended hours)"/>
    <k n="Currency" t="s"/>
    <k n="Exchange" t="s"/>
    <k n="Exchange abbreviation" t="s"/>
    <k n="High"/>
    <k n="Instrument type" t="s"/>
    <k n="Last trade time"/>
    <k n="LearnMoreOnLink" t="r"/>
    <k n="Low"/>
    <k n="Name" t="s"/>
    <k n="Open"/>
    <k n="Previous close"/>
    <k n="Price"/>
    <k n="Price (Extended hours)"/>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k n="Year incorporated"/>
  </s>
  <s t="_sourceattribution">
    <k n="License" t="r"/>
    <k n="Source" t="r"/>
  </s>
  <s t="_imageurl">
    <k n="_Provider" t="spb"/>
    <k n="Address" t="s"/>
    <k n="Attribution" t="r"/>
    <k n="ComputedImage" t="b"/>
    <k n="More Images 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Exchange" t="s"/>
    <k n="Exchange abbreviation" t="s"/>
    <k n="Expense ratio"/>
    <k n="High"/>
    <k n="Instrument type" t="s"/>
    <k n="Last trade time"/>
    <k n="LearnMoreOnLink" t="r"/>
    <k n="Low"/>
    <k n="Market cap"/>
    <k n="Name" t="s"/>
    <k n="Open"/>
    <k n="Previous close"/>
    <k n="Price"/>
    <k n="Price (Extended hours)"/>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Change"/>
    <k n="Change (%)"/>
    <k n="Country/region" t="s"/>
    <k n="High"/>
    <k n="Instrument type" t="s"/>
    <k n="LearnMoreOnLink" t="r"/>
    <k n="Low"/>
    <k n="Name" t="s"/>
    <k n="Open"/>
    <k n="Previous close"/>
    <k n="Price"/>
    <k n="Ticker symbol" t="s"/>
    <k n="UniqueName" t="s"/>
  </s>
</rvStructures>
</file>

<file path=xl/richData/rdsupportingpropertybag.xml><?xml version="1.0" encoding="utf-8"?>
<supportingPropertyBags xmlns="http://schemas.microsoft.com/office/spreadsheetml/2017/richdata2">
  <spbArrays count="6">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34">
      <v t="s">%EntityServiceId</v>
      <v t="s">_Format</v>
      <v t="s">%IsRefreshable</v>
      <v t="s">%EntityCulture</v>
      <v t="s">%EntityId</v>
      <v t="s">_Icon</v>
      <v t="s">_Display</v>
      <v t="s">Name</v>
      <v t="s">_SubLabel</v>
      <v t="s">Price</v>
      <v t="s">Price (Extended hours)</v>
      <v t="s">Exchange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Instrument type</v>
      <v t="s">_Flags</v>
      <v t="s">UniqueName</v>
      <v t="s">_DisplayString</v>
      <v t="s">LearnMoreOnLink</v>
      <v t="s">%ProviderInfo</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6">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37">
      <v t="s">%EntityServiceId</v>
      <v t="s">_Format</v>
      <v t="s">%IsRefreshable</v>
      <v t="s">%EntityCulture</v>
      <v t="s">%EntityId</v>
      <v t="s">_Icon</v>
      <v t="s">_Display</v>
      <v t="s">Name</v>
      <v t="s">_SubLabel</v>
      <v t="s">Price</v>
      <v t="s">Price (Extended hours)</v>
      <v t="s">Exchange</v>
      <v t="s">Last trade time</v>
      <v t="s">Ticker symbol</v>
      <v t="s">Exchange abbreviation</v>
      <v t="s">Change</v>
      <v t="s">Change (Extended hours)</v>
      <v t="s">Expense ratio</v>
      <v t="s">Change (%)</v>
      <v t="s">Change % (Extended hours)</v>
      <v t="s">Currency</v>
      <v t="s">Previous close</v>
      <v t="s">Open</v>
      <v t="s">High</v>
      <v t="s">Low</v>
      <v t="s">52 week high</v>
      <v t="s">52 week low</v>
      <v t="s">Volume</v>
      <v t="s">Volume average</v>
      <v t="s">Market cap</v>
      <v t="s">Beta</v>
      <v t="s">Instrument type</v>
      <v t="s">_Flags</v>
      <v t="s">UniqueName</v>
      <v t="s">_DisplayString</v>
      <v t="s">LearnMoreOnLink</v>
      <v t="s">%ProviderInfo</v>
    </a>
    <a count="26">
      <v t="s">%EntityServiceId</v>
      <v t="s">_Format</v>
      <v t="s">%IsRefreshable</v>
      <v t="s">%EntityCulture</v>
      <v t="s">%EntityId</v>
      <v t="s">_Icon</v>
      <v t="s">_Display</v>
      <v t="s">Name</v>
      <v t="s">Price</v>
      <v t="s">Ticker symbol</v>
      <v t="s">_SubLabel</v>
      <v t="s">Change</v>
      <v t="s">Change (%)</v>
      <v t="s">Country/region</v>
      <v t="s">Previous close</v>
      <v t="s">Open</v>
      <v t="s">High</v>
      <v t="s">Low</v>
      <v t="s">52 week high</v>
      <v t="s">52 week low</v>
      <v t="s">Instrument type</v>
      <v t="s">_Flags</v>
      <v t="s">UniqueName</v>
      <v t="s">_DisplayString</v>
      <v t="s">LearnMoreOnLink</v>
      <v t="s">%ProviderInfo</v>
    </a>
  </spbArrays>
  <spbData count="23">
    <spb s="0">
      <v>0</v>
      <v>Name</v>
      <v>LearnMoreOnLink</v>
    </spb>
    <spb s="1">
      <v>0</v>
      <v>0</v>
      <v>0</v>
    </spb>
    <spb s="2">
      <v>1</v>
      <v>1</v>
      <v>1</v>
      <v>1</v>
    </spb>
    <spb s="3">
      <v>1</v>
      <v>2</v>
      <v>2</v>
      <v>1</v>
      <v>3</v>
      <v>1</v>
      <v>1</v>
      <v>1</v>
      <v>4</v>
      <v>4</v>
      <v>5</v>
      <v>6</v>
      <v>1</v>
      <v>1</v>
      <v>1</v>
      <v>4</v>
      <v>7</v>
      <v>8</v>
      <v>9</v>
      <v>4</v>
      <v>1</v>
      <v>1</v>
      <v>5</v>
    </spb>
    <spb s="4">
      <v>at close</v>
      <v>from previous close</v>
      <v>from previous close</v>
      <v>Source: Nasdaq Last Sale</v>
      <v>GMT</v>
      <v>Real-Time Nasdaq Last Sale</v>
      <v>from close</v>
      <v>from close</v>
    </spb>
    <spb s="0">
      <v>1</v>
      <v>Name</v>
      <v>LearnMoreOnLink</v>
    </spb>
    <spb s="5">
      <v>1</v>
      <v>1</v>
      <v>1</v>
    </spb>
    <spb s="6">
      <v>1</v>
      <v>1</v>
      <v>3</v>
      <v>1</v>
      <v>1</v>
      <v>1</v>
      <v>4</v>
      <v>5</v>
      <v>1</v>
      <v>1</v>
      <v>1</v>
      <v>4</v>
      <v>7</v>
      <v>9</v>
      <v>1</v>
      <v>1</v>
      <v>5</v>
    </spb>
    <spb s="7">
      <v>at close</v>
      <v>from previous close</v>
      <v>Source: Nasdaq Last Sale</v>
      <v>from previous close</v>
      <v>GMT</v>
      <v>Real-Time Nasdaq Last Sale</v>
      <v>from close</v>
      <v>from close</v>
    </spb>
    <spb s="0">
      <v>2</v>
      <v>Name</v>
      <v>LearnMoreOnLink</v>
    </spb>
    <spb s="8">
      <v>1</v>
      <v>2</v>
      <v>1</v>
      <v>3</v>
      <v>1</v>
      <v>1</v>
      <v>1</v>
      <v>4</v>
      <v>4</v>
      <v>5</v>
      <v>6</v>
      <v>1</v>
      <v>1</v>
      <v>1</v>
      <v>4</v>
      <v>7</v>
      <v>8</v>
      <v>9</v>
      <v>4</v>
      <v>1</v>
      <v>1</v>
      <v>5</v>
    </spb>
    <spb s="0">
      <v>3</v>
      <v>Name</v>
      <v>LearnMoreOnLink</v>
    </spb>
    <spb s="9">
      <v>0</v>
      <v>0</v>
    </spb>
    <spb s="10">
      <v>12</v>
      <v>1</v>
      <v>1</v>
      <v>1</v>
      <v>1</v>
    </spb>
    <spb s="11">
      <v>1</v>
      <v>2</v>
      <v>2</v>
      <v>1</v>
      <v>3</v>
      <v>1</v>
      <v>10</v>
      <v>1</v>
      <v>1</v>
      <v>4</v>
      <v>4</v>
      <v>5</v>
      <v>6</v>
      <v>1</v>
      <v>1</v>
      <v>1</v>
      <v>4</v>
      <v>7</v>
      <v>8</v>
      <v>9</v>
      <v>4</v>
      <v>1</v>
      <v>1</v>
      <v>5</v>
    </spb>
    <spb s="12">
      <v>Powered by Refinitiv</v>
    </spb>
    <spb s="8">
      <v>1</v>
      <v>2</v>
      <v>1</v>
      <v>3</v>
      <v>1</v>
      <v>1</v>
      <v>1</v>
      <v>4</v>
      <v>4</v>
      <v>5</v>
      <v>11</v>
      <v>1</v>
      <v>1</v>
      <v>1</v>
      <v>4</v>
      <v>7</v>
      <v>8</v>
      <v>9</v>
      <v>4</v>
      <v>1</v>
      <v>1</v>
      <v>5</v>
    </spb>
    <spb s="0">
      <v>4</v>
      <v>Name</v>
      <v>LearnMoreOnLink</v>
    </spb>
    <spb s="13">
      <v>1</v>
      <v>2</v>
      <v>1</v>
      <v>3</v>
      <v>1</v>
      <v>1</v>
      <v>1</v>
      <v>4</v>
      <v>5</v>
      <v>6</v>
      <v>1</v>
      <v>1</v>
      <v>5</v>
      <v>1</v>
      <v>4</v>
      <v>7</v>
      <v>9</v>
      <v>1</v>
      <v>1</v>
      <v>5</v>
    </spb>
    <spb s="3">
      <v>1</v>
      <v>2</v>
      <v>2</v>
      <v>1</v>
      <v>3</v>
      <v>1</v>
      <v>1</v>
      <v>1</v>
      <v>4</v>
      <v>4</v>
      <v>5</v>
      <v>11</v>
      <v>1</v>
      <v>1</v>
      <v>1</v>
      <v>4</v>
      <v>7</v>
      <v>8</v>
      <v>9</v>
      <v>4</v>
      <v>1</v>
      <v>1</v>
      <v>5</v>
    </spb>
    <spb s="0">
      <v>5</v>
      <v>Name</v>
      <v>LearnMoreOnLink</v>
    </spb>
    <spb s="14">
      <v>1</v>
      <v>1</v>
      <v>3</v>
      <v>1</v>
      <v>1</v>
      <v>1</v>
      <v>5</v>
      <v>1</v>
      <v>1</v>
      <v>1</v>
      <v>9</v>
    </spb>
    <spb s="15">
      <v>from previous close</v>
      <v>from previous close</v>
    </spb>
  </spbData>
</supportingPropertyBags>
</file>

<file path=xl/richData/rdsupportingpropertybagstructure.xml><?xml version="1.0" encoding="utf-8"?>
<spbStructures xmlns="http://schemas.microsoft.com/office/spreadsheetml/2017/richdata2" count="16">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UniqueName" t="spb"/>
    <k n="`%ProviderInfo" t="spb"/>
    <k n="LearnMoreOnLink" t="spb"/>
  </s>
  <s>
    <k n="Low" t="i"/>
    <k n="High" t="i"/>
    <k n="Name" t="i"/>
    <k n="Open" t="i"/>
    <k n="Price" t="i"/>
    <k n="Change" t="i"/>
    <k n="Volume" t="i"/>
    <k n="Change (%)" t="i"/>
    <k n="52 week low" t="i"/>
    <k n="52 week high" t="i"/>
    <k n="Previous close" t="i"/>
    <k n="Volume average" t="i"/>
    <k n="Last trade time" t="i"/>
    <k n="`%EntityServiceId" t="i"/>
    <k n="Price (Extended hours)" t="i"/>
    <k n="Change (Extended hours)" t="i"/>
    <k n="Change % (Extended hours)" t="i"/>
  </s>
  <s>
    <k n="Price" t="s"/>
    <k n="Change" t="s"/>
    <k n="Exchange" t="s"/>
    <k n="Change (%)" t="s"/>
    <k n="Last trade time" t="s"/>
    <k n="Price (Extended hours)" t="s"/>
    <k n="Change (Extended hours)" t="s"/>
    <k n="Change % (Extended hours)" t="s"/>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name" t="s"/>
  </s>
  <s>
    <k n="Low" t="i"/>
    <k n="Beta" t="i"/>
    <k n="High" t="i"/>
    <k n="Name" t="i"/>
    <k n="Open" t="i"/>
    <k n="Price" t="i"/>
    <k n="Change" t="i"/>
    <k n="Volume" t="i"/>
    <k n="Change (%)" t="i"/>
    <k n="Market cap" t="i"/>
    <k n="52 week low" t="i"/>
    <k n="52 week high" t="i"/>
    <k n="Expense ratio" t="i"/>
    <k n="Previous close" t="i"/>
    <k n="Volume average" t="i"/>
    <k n="Last trade time" t="i"/>
    <k n="`%EntityServiceId" t="i"/>
    <k n="Price (Extended hours)" t="i"/>
    <k n="Change (Extended hours)" t="i"/>
    <k n="Change % (Extended hours)" t="i"/>
  </s>
  <s>
    <k n="Low" t="i"/>
    <k n="High" t="i"/>
    <k n="Name" t="i"/>
    <k n="Open" t="i"/>
    <k n="Price" t="i"/>
    <k n="Change" t="i"/>
    <k n="Change (%)" t="i"/>
    <k n="52 week low" t="i"/>
    <k n="52 week high" t="i"/>
    <k n="Previous close" t="i"/>
    <k n="`%EntityServiceId" t="i"/>
  </s>
  <s>
    <k n="Change" t="s"/>
    <k n="Change (%)"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7">
    <x:dxf>
      <x:numFmt numFmtId="0" formatCode="General"/>
    </x:dxf>
    <x:dxf>
      <x:numFmt numFmtId="4" formatCode="#,##0.00"/>
    </x:dxf>
    <x:dxf>
      <x:numFmt numFmtId="3" formatCode="#,##0"/>
    </x:dxf>
    <x:dxf>
      <x:numFmt numFmtId="14" formatCode="0.00%"/>
    </x:dxf>
    <x:dxf>
      <x:numFmt numFmtId="27" formatCode="m/d/yyyy\ h:mm"/>
    </x:dxf>
    <x:dxf>
      <x:numFmt numFmtId="1" formatCode="0"/>
    </x:dxf>
    <x:dxf>
      <x:numFmt numFmtId="2" formatCode="0.00"/>
    </x:dxf>
  </dxfs>
  <richProperties>
    <rPr n="NumberFormat" t="s"/>
    <rPr n="IsTitleField" t="b"/>
    <rPr n="IsHeroField" t="b"/>
  </richProperties>
  <richStyles>
    <rSty dxfid="0">
      <rpv i="0">_([$$-en-US]* #,##0.00_);_([$$-en-US]* (#,##0.00);_([$$-en-US]* "-"??_);_(@_)</rpv>
    </rSty>
    <rSty dxfid="1">
      <rpv i="0">#,##0.00</rpv>
    </rSty>
    <rSty>
      <rpv i="1">1</rpv>
    </rSty>
    <rSty dxfid="2">
      <rpv i="0">#,##0</rpv>
    </rSty>
    <rSty dxfid="3"/>
    <rSty dxfid="0">
      <rpv i="0">_([$$-en-US]* #,##0_);_([$$-en-US]* (#,##0);_([$$-en-US]* "-"_);_(@_)</rpv>
    </rSty>
    <rSty dxfid="4"/>
    <rSty dxfid="5">
      <rpv i="0">0</rpv>
    </rSty>
    <rSty dxfid="6">
      <rpv i="0">0.00</rpv>
    </rSty>
    <rSty>
      <rpv i="2">1</rpv>
    </rSty>
    <rSty dxfid="0">
      <rpv i="0">_-[$$-en-CA]* #,##0_-;-[$$-en-CA]* #,##0_-;_-[$$-en-CA]* "-"_-;_-@_-</rpv>
    </rSty>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 dT="2021-07-14T20:57:59.59" personId="{BEBD295C-7CEA-42BE-A845-C5E76294995D}" id="{3D68EF65-C6C1-4922-A390-6C91C0D4425A}">
    <text>see IMP portfolio upate instructions.
•Obtain the S&amp;P 500 monthly return (column J) from the S&amp;P 500 website at https://www.spglobal.com/spdji/en/indices/equity/sp-500/#overview.  Download the “S&amp;P Market Attributes Web File” Excel file from the “Additional Info” drop-down box. Use the tab "Prices Months" to find the info</text>
  </threadedComment>
  <threadedComment ref="J3" dT="2023-03-20T13:25:57.51" personId="{DEE81452-3DCF-4E9B-A44A-85A3DFAB3355}" id="{33E75134-8954-437C-A600-DB0A2C353B03}" parentId="{3D68EF65-C6C1-4922-A390-6C91C0D4425A}">
    <text>Use the 1-month total return column</text>
  </threadedComment>
  <threadedComment ref="L3" dT="2021-07-14T20:58:51.48" personId="{BEBD295C-7CEA-42BE-A845-C5E76294995D}" id="{694562A7-D38A-43F1-B052-993A7158C7B3}">
    <text>see IMP portfolio update instructions.
•Obtain the Bloomberg Barclays U.S. Aggregate Bond index monthly return (column L) from a Morningstar webpage at http://performance.morningstar.com/Performance/index-c/performance-return.action?t=XIUSA000MC</text>
  </threadedComment>
  <threadedComment ref="L3" dT="2023-02-20T03:39:55.25" personId="{DEE81452-3DCF-4E9B-A44A-85A3DFAB3355}" id="{D0AA4603-8B5E-4D5D-ABF4-3EE12C32AE26}" parentId="{694562A7-D38A-43F1-B052-993A7158C7B3}">
    <text>Link no longer valid, now using Monthly returns from iShares for AGG</text>
  </threadedComment>
</ThreadedComments>
</file>

<file path=xl/threadedComments/threadedComment2.xml><?xml version="1.0" encoding="utf-8"?>
<ThreadedComments xmlns="http://schemas.microsoft.com/office/spreadsheetml/2018/threadedcomments" xmlns:x="http://schemas.openxmlformats.org/spreadsheetml/2006/main">
  <threadedComment ref="D25" dT="2021-09-12T16:17:03.74" personId="{BEBD295C-7CEA-42BE-A845-C5E76294995D}" id="{C667CCCC-7E63-4A0E-B16F-683EE35F4954}">
    <text>need manually search from morningstar</text>
  </threadedComment>
</ThreadedComments>
</file>

<file path=xl/worksheets/_rels/sheet13.xml.rels><?xml version="1.0" encoding="UTF-8" standalone="yes"?>
<Relationships xmlns="http://schemas.openxmlformats.org/package/2006/relationships"><Relationship Id="rId3" Type="http://schemas.openxmlformats.org/officeDocument/2006/relationships/hyperlink" Target="http://www.ftse.com/products/indices/geis-series" TargetMode="External"/><Relationship Id="rId2" Type="http://schemas.openxmlformats.org/officeDocument/2006/relationships/hyperlink" Target="https://index.barcap.com/Benchmark_Indices/Aggregate/Bond_Indices" TargetMode="External"/><Relationship Id="rId1" Type="http://schemas.openxmlformats.org/officeDocument/2006/relationships/hyperlink" Target="http://us.spindices.com/indices/equity/sp-500"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index.barcap.com/Benchmark_Indices/Aggregate/Bond_Indices" TargetMode="External"/><Relationship Id="rId2" Type="http://schemas.openxmlformats.org/officeDocument/2006/relationships/hyperlink" Target="http://us.spindices.com/indices/equity/sp-500" TargetMode="External"/><Relationship Id="rId1" Type="http://schemas.openxmlformats.org/officeDocument/2006/relationships/hyperlink" Target="https://ycharts.com/indicators/sandp_500_total_return_annual"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s://index.barcap.com/Benchmark_Indices/Aggregate/Bond_Indices" TargetMode="External"/><Relationship Id="rId1" Type="http://schemas.openxmlformats.org/officeDocument/2006/relationships/hyperlink" Target="http://us.spindices.com/indices/equity/sp-500"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dex.barcap.com/Benchmark_Indices/Aggregate/Bond_Indices" TargetMode="External"/><Relationship Id="rId1" Type="http://schemas.openxmlformats.org/officeDocument/2006/relationships/hyperlink" Target="http://us.spindices.com/indices/equity/sp-500"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dex.barcap.com/Benchmark_Indices/Aggregate/Bond_Indices" TargetMode="External"/><Relationship Id="rId1" Type="http://schemas.openxmlformats.org/officeDocument/2006/relationships/hyperlink" Target="http://us.spindices.com/indices/equity/sp-500"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us.spindices.com/indices/equity/sp-500"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us.spindices.com/indices/equity/sp-500"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us.spindices.com/indices/equity/sp-500"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us.spindices.com/indices/equity/sp-500"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us.spindices.com/indices/equity/sp-500"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spglobal.com/spdji/en/indices/equity/sp-500/" TargetMode="External"/><Relationship Id="rId1" Type="http://schemas.openxmlformats.org/officeDocument/2006/relationships/hyperlink" Target="https://www.spglobal.com/spdji/en/indices/equity/sp-500/"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https://www.spglobal.com/spdji/en/indices/equity/sp-500/" TargetMode="External"/><Relationship Id="rId6" Type="http://schemas.microsoft.com/office/2017/10/relationships/threadedComment" Target="../threadedComments/threadedComment1.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6.xml.rels><?xml version="1.0" encoding="UTF-8" standalone="yes"?>
<Relationships xmlns="http://schemas.openxmlformats.org/package/2006/relationships"><Relationship Id="rId3" Type="http://schemas.openxmlformats.org/officeDocument/2006/relationships/hyperlink" Target="http://www2.standardandpoors.com/servlet/Satellite?pagename=sp/Page/IndicesIndexPg&amp;l=EN&amp;b=4&amp;f=1&amp;s=6&amp;ig=51&amp;i=56&amp;r=1&amp;xcd=500&amp;fd=EquityTotalReturn" TargetMode="External"/><Relationship Id="rId2" Type="http://schemas.openxmlformats.org/officeDocument/2006/relationships/hyperlink" Target="http://www.russell.com/US/Indexes/US/calculator.asp" TargetMode="External"/><Relationship Id="rId1" Type="http://schemas.openxmlformats.org/officeDocument/2006/relationships/hyperlink" Target="http://www.economagic.com/em-cgi/data.exe/fedbog/tbsm3m" TargetMode="External"/><Relationship Id="rId5" Type="http://schemas.openxmlformats.org/officeDocument/2006/relationships/drawing" Target="../drawings/drawing3.xml"/><Relationship Id="rId4"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000"/>
  <sheetViews>
    <sheetView workbookViewId="0"/>
  </sheetViews>
  <sheetFormatPr defaultColWidth="14.28515625" defaultRowHeight="15" customHeight="1"/>
  <cols>
    <col min="1" max="1" width="3.28515625" customWidth="1"/>
    <col min="2" max="2" width="30.28515625" customWidth="1"/>
    <col min="3" max="3" width="8.28515625" customWidth="1"/>
    <col min="4" max="4" width="8.7109375" customWidth="1"/>
    <col min="5" max="5" width="9.28515625" customWidth="1"/>
    <col min="6" max="6" width="11.28515625" customWidth="1"/>
    <col min="7" max="9" width="8.7109375" customWidth="1"/>
    <col min="10" max="10" width="9.28515625" customWidth="1"/>
    <col min="11" max="11" width="11.28515625" customWidth="1"/>
    <col min="12" max="26" width="8.7109375" customWidth="1"/>
  </cols>
  <sheetData>
    <row r="1" spans="1:16" ht="12.75" customHeight="1">
      <c r="A1" s="309"/>
      <c r="B1" s="1984" t="s">
        <v>0</v>
      </c>
      <c r="C1" s="1985"/>
      <c r="D1" s="1985"/>
      <c r="E1" s="1985"/>
      <c r="F1" s="1985"/>
      <c r="G1" s="1985"/>
      <c r="H1" s="1985"/>
      <c r="I1" s="1985"/>
      <c r="J1" s="1985"/>
      <c r="K1" s="1985"/>
      <c r="L1" s="1985"/>
      <c r="M1" s="1985"/>
      <c r="N1" s="1985"/>
      <c r="O1" s="1985"/>
      <c r="P1" s="1985"/>
    </row>
    <row r="2" spans="1:16" ht="12.75" customHeight="1">
      <c r="A2" s="309"/>
      <c r="B2" s="1986" t="s">
        <v>1</v>
      </c>
      <c r="C2" s="1985"/>
      <c r="D2" s="1985"/>
      <c r="E2" s="1985"/>
      <c r="F2" s="1985"/>
      <c r="G2" s="1985"/>
      <c r="H2" s="1985"/>
      <c r="I2" s="1985"/>
      <c r="J2" s="1985"/>
      <c r="K2" s="1985"/>
      <c r="L2" s="1985"/>
      <c r="M2" s="1985"/>
      <c r="N2" s="1985"/>
      <c r="O2" s="1985"/>
      <c r="P2" s="1985"/>
    </row>
    <row r="3" spans="1:16" ht="12.75" customHeight="1">
      <c r="A3" s="309"/>
      <c r="B3" s="1987" t="s">
        <v>2</v>
      </c>
      <c r="C3" s="1985"/>
      <c r="D3" s="1985"/>
      <c r="E3" s="1985"/>
      <c r="F3" s="1985"/>
      <c r="G3" s="1985"/>
      <c r="H3" s="1985"/>
      <c r="I3" s="1985"/>
      <c r="J3" s="1985"/>
      <c r="K3" s="1985"/>
      <c r="L3" s="1985"/>
      <c r="M3" s="1985"/>
      <c r="N3" s="1985"/>
      <c r="O3" s="1985"/>
      <c r="P3" s="1985"/>
    </row>
    <row r="4" spans="1:16" ht="12.75" customHeight="1">
      <c r="A4" s="309"/>
      <c r="B4" s="894"/>
      <c r="C4" s="894"/>
      <c r="D4" s="894"/>
      <c r="E4" s="894"/>
      <c r="F4" s="894"/>
      <c r="G4" s="894"/>
      <c r="H4" s="894"/>
      <c r="I4" s="894"/>
      <c r="J4" s="894"/>
      <c r="K4" s="894"/>
      <c r="L4" s="894"/>
      <c r="M4" s="894"/>
      <c r="N4" s="894"/>
      <c r="O4" s="894"/>
      <c r="P4" s="894"/>
    </row>
    <row r="5" spans="1:16" ht="12.75" customHeight="1">
      <c r="A5" s="897"/>
      <c r="B5" s="897"/>
      <c r="C5" s="898"/>
      <c r="D5" s="1988" t="s">
        <v>3</v>
      </c>
      <c r="E5" s="1989"/>
      <c r="F5" s="1989"/>
      <c r="G5" s="1989"/>
      <c r="H5" s="1989"/>
      <c r="I5" s="1989"/>
      <c r="J5" s="1989"/>
      <c r="K5" s="1989"/>
      <c r="L5" s="1989"/>
      <c r="M5" s="1990"/>
      <c r="N5" s="899"/>
      <c r="O5" s="1991" t="s">
        <v>4</v>
      </c>
      <c r="P5" s="1992"/>
    </row>
    <row r="6" spans="1:16" ht="12.75" customHeight="1">
      <c r="A6" s="323"/>
      <c r="B6" s="900"/>
      <c r="C6" s="901"/>
      <c r="D6" s="1980">
        <v>38958</v>
      </c>
      <c r="E6" s="1981"/>
      <c r="F6" s="1981"/>
      <c r="G6" s="1981"/>
      <c r="H6" s="902"/>
      <c r="I6" s="1982">
        <v>39195</v>
      </c>
      <c r="J6" s="1981"/>
      <c r="K6" s="1981"/>
      <c r="L6" s="1981"/>
      <c r="M6" s="1983"/>
      <c r="N6" s="900"/>
      <c r="O6" s="900" t="s">
        <v>5</v>
      </c>
      <c r="P6" s="903" t="s">
        <v>6</v>
      </c>
    </row>
    <row r="7" spans="1:16" ht="12.75" customHeight="1">
      <c r="A7" s="904"/>
      <c r="B7" s="905" t="s">
        <v>7</v>
      </c>
      <c r="C7" s="906" t="s">
        <v>8</v>
      </c>
      <c r="D7" s="1" t="s">
        <v>9</v>
      </c>
      <c r="E7" s="905" t="s">
        <v>10</v>
      </c>
      <c r="F7" s="905" t="s">
        <v>11</v>
      </c>
      <c r="G7" s="905" t="s">
        <v>12</v>
      </c>
      <c r="H7" s="905"/>
      <c r="I7" s="113" t="s">
        <v>9</v>
      </c>
      <c r="J7" s="905" t="s">
        <v>10</v>
      </c>
      <c r="K7" s="907" t="s">
        <v>11</v>
      </c>
      <c r="L7" s="907" t="s">
        <v>13</v>
      </c>
      <c r="M7" s="908" t="s">
        <v>14</v>
      </c>
      <c r="N7" s="1"/>
      <c r="O7" s="905" t="s">
        <v>15</v>
      </c>
      <c r="P7" s="908" t="s">
        <v>15</v>
      </c>
    </row>
    <row r="8" spans="1:16" ht="12.75" customHeight="1">
      <c r="A8" s="909">
        <v>1</v>
      </c>
      <c r="B8" s="323" t="s">
        <v>16</v>
      </c>
      <c r="C8" s="2" t="s">
        <v>17</v>
      </c>
      <c r="I8">
        <v>50</v>
      </c>
      <c r="J8" s="3">
        <v>34.15</v>
      </c>
      <c r="K8" s="3">
        <v>1707.5</v>
      </c>
      <c r="L8" s="4">
        <v>3.0603358429580823E-2</v>
      </c>
      <c r="M8" s="910">
        <v>2.1798555052617817E-2</v>
      </c>
      <c r="N8" s="5"/>
      <c r="O8" s="4"/>
      <c r="P8" s="911">
        <v>7.3224387177875494E-2</v>
      </c>
    </row>
    <row r="9" spans="1:16" ht="12.75" customHeight="1">
      <c r="A9" s="408">
        <v>2</v>
      </c>
      <c r="B9" s="323" t="s">
        <v>18</v>
      </c>
      <c r="C9" s="335" t="s">
        <v>19</v>
      </c>
      <c r="I9">
        <v>60</v>
      </c>
      <c r="J9" s="3">
        <v>69.55</v>
      </c>
      <c r="K9" s="3">
        <v>4173</v>
      </c>
      <c r="L9" s="4">
        <v>7.4792278024386982E-2</v>
      </c>
      <c r="M9" s="4">
        <v>5.3274008922151769E-2</v>
      </c>
      <c r="N9" s="5"/>
      <c r="O9" s="4"/>
      <c r="P9" s="912">
        <v>2.490421455938694E-2</v>
      </c>
    </row>
    <row r="10" spans="1:16" ht="12.75" customHeight="1">
      <c r="A10" s="408">
        <v>3</v>
      </c>
      <c r="B10" s="323" t="s">
        <v>20</v>
      </c>
      <c r="C10" s="335" t="s">
        <v>21</v>
      </c>
      <c r="D10">
        <v>50</v>
      </c>
      <c r="E10" s="3">
        <v>57.93</v>
      </c>
      <c r="F10" s="3">
        <f>D10*E10</f>
        <v>2896.5</v>
      </c>
      <c r="G10" s="4">
        <f>F10/F$38</f>
        <v>3.8752761794874337E-2</v>
      </c>
      <c r="I10">
        <v>100</v>
      </c>
      <c r="J10" s="3">
        <v>35.5</v>
      </c>
      <c r="K10" s="3">
        <v>3550</v>
      </c>
      <c r="L10" s="4">
        <v>6.3626308887269056E-2</v>
      </c>
      <c r="M10" s="4">
        <v>4.5320568337799856E-2</v>
      </c>
      <c r="N10" s="5"/>
      <c r="O10" s="4">
        <v>0.14368556701030927</v>
      </c>
      <c r="P10" s="912">
        <v>0.79792352494302354</v>
      </c>
    </row>
    <row r="11" spans="1:16" ht="12.75" customHeight="1">
      <c r="A11" s="408">
        <v>4</v>
      </c>
      <c r="B11" s="323" t="s">
        <v>22</v>
      </c>
      <c r="C11" s="335" t="s">
        <v>23</v>
      </c>
      <c r="D11">
        <v>50</v>
      </c>
      <c r="E11" s="3">
        <v>52.29</v>
      </c>
      <c r="F11" s="3">
        <f>D11*E11</f>
        <v>2614.5</v>
      </c>
      <c r="G11" s="4">
        <f>F11/F$38</f>
        <v>3.4979836255031573E-2</v>
      </c>
      <c r="I11">
        <v>50</v>
      </c>
      <c r="J11" s="3">
        <v>50.51</v>
      </c>
      <c r="K11" s="3">
        <v>2525.5</v>
      </c>
      <c r="L11" s="4">
        <v>4.5264293829520567E-2</v>
      </c>
      <c r="M11" s="4">
        <v>3.2241435306229166E-2</v>
      </c>
      <c r="N11" s="5"/>
      <c r="O11" s="4">
        <v>-5.3942685896235298E-2</v>
      </c>
      <c r="P11" s="912">
        <v>7.6513213981244596E-2</v>
      </c>
    </row>
    <row r="12" spans="1:16" ht="12.75" customHeight="1">
      <c r="A12" s="408">
        <v>5</v>
      </c>
      <c r="B12" s="913" t="s">
        <v>24</v>
      </c>
      <c r="C12" s="138" t="s">
        <v>25</v>
      </c>
      <c r="D12">
        <v>40</v>
      </c>
      <c r="E12" s="3">
        <v>67.27</v>
      </c>
      <c r="F12" s="3">
        <f>D12*E12</f>
        <v>2690.7999999999997</v>
      </c>
      <c r="G12" s="4">
        <f>F12/F$38</f>
        <v>3.6000666817762074E-2</v>
      </c>
      <c r="I12">
        <v>40</v>
      </c>
      <c r="J12" s="3">
        <v>71.36</v>
      </c>
      <c r="K12" s="3">
        <v>2854.4</v>
      </c>
      <c r="L12" s="4">
        <v>5.1159136926146709E-2</v>
      </c>
      <c r="M12" s="4">
        <v>3.6440290215046738E-2</v>
      </c>
      <c r="N12" s="5"/>
      <c r="O12" s="4">
        <v>-1.4908890115958012E-2</v>
      </c>
      <c r="P12" s="912">
        <v>0.40610837438423641</v>
      </c>
    </row>
    <row r="13" spans="1:16" ht="12.75" customHeight="1">
      <c r="A13" s="408">
        <v>6</v>
      </c>
      <c r="B13" s="323" t="s">
        <v>26</v>
      </c>
      <c r="C13" s="138" t="s">
        <v>27</v>
      </c>
      <c r="D13">
        <v>60</v>
      </c>
      <c r="E13" s="3">
        <v>35.01</v>
      </c>
      <c r="F13" s="3">
        <f>D13*E13</f>
        <v>2100.6</v>
      </c>
      <c r="G13" s="4">
        <f>F13/F$38</f>
        <v>2.8104281521254281E-2</v>
      </c>
      <c r="I13">
        <v>60</v>
      </c>
      <c r="J13" s="3">
        <v>44.62</v>
      </c>
      <c r="K13" s="3">
        <v>2677.2</v>
      </c>
      <c r="L13" s="4">
        <v>4.7983198352956821E-2</v>
      </c>
      <c r="M13" s="4">
        <v>3.4178091705340211E-2</v>
      </c>
      <c r="N13" s="5"/>
      <c r="O13" s="4">
        <v>3.2153597039093235E-2</v>
      </c>
      <c r="P13" s="912">
        <v>-0.37357854836445326</v>
      </c>
    </row>
    <row r="14" spans="1:16" ht="12.75" customHeight="1">
      <c r="A14" s="408">
        <v>7</v>
      </c>
      <c r="B14" s="323" t="s">
        <v>28</v>
      </c>
      <c r="C14" s="138" t="s">
        <v>29</v>
      </c>
      <c r="E14" s="3"/>
      <c r="F14" s="3"/>
      <c r="G14" s="4"/>
      <c r="I14">
        <v>100</v>
      </c>
      <c r="J14" s="3">
        <v>33.520000000000003</v>
      </c>
      <c r="K14" s="3">
        <v>3352</v>
      </c>
      <c r="L14" s="4">
        <v>6.0077573912711527E-2</v>
      </c>
      <c r="M14" s="4">
        <v>4.2792829596705668E-2</v>
      </c>
      <c r="N14" s="5"/>
      <c r="O14" s="4"/>
      <c r="P14" s="912">
        <v>-5.0422239156484798E-2</v>
      </c>
    </row>
    <row r="15" spans="1:16" ht="12.75" customHeight="1">
      <c r="A15" s="408">
        <v>8</v>
      </c>
      <c r="B15" s="323" t="s">
        <v>30</v>
      </c>
      <c r="C15" s="138" t="s">
        <v>31</v>
      </c>
      <c r="D15">
        <v>60</v>
      </c>
      <c r="E15" s="3">
        <v>33.14</v>
      </c>
      <c r="F15" s="3">
        <f>D15*E15</f>
        <v>1988.4</v>
      </c>
      <c r="G15" s="4">
        <f>F15/F$38</f>
        <v>2.6603138806465778E-2</v>
      </c>
      <c r="I15">
        <v>60</v>
      </c>
      <c r="J15" s="3">
        <v>29.58</v>
      </c>
      <c r="K15" s="3">
        <v>1774.8</v>
      </c>
      <c r="L15" s="4">
        <v>3.1809569862852147E-2</v>
      </c>
      <c r="M15" s="4">
        <v>2.2657730897444276E-2</v>
      </c>
      <c r="N15" s="5"/>
      <c r="O15" s="4">
        <v>7.2516316171138517E-2</v>
      </c>
      <c r="P15" s="912">
        <v>-6.9811320754717077E-2</v>
      </c>
    </row>
    <row r="16" spans="1:16" ht="12.75" customHeight="1">
      <c r="A16" s="408">
        <v>9</v>
      </c>
      <c r="B16" s="323" t="s">
        <v>32</v>
      </c>
      <c r="C16" s="138" t="s">
        <v>33</v>
      </c>
      <c r="E16" s="3"/>
      <c r="F16" s="3"/>
      <c r="G16" s="4"/>
      <c r="I16">
        <v>75</v>
      </c>
      <c r="J16" s="3">
        <v>40.43</v>
      </c>
      <c r="K16" s="3">
        <v>3032.25</v>
      </c>
      <c r="L16" s="4">
        <v>5.4346725386879326E-2</v>
      </c>
      <c r="M16" s="4">
        <v>3.8710786856984113E-2</v>
      </c>
      <c r="N16" s="5"/>
      <c r="O16" s="4"/>
      <c r="P16" s="912">
        <v>0.13941245434459135</v>
      </c>
    </row>
    <row r="17" spans="1:16" ht="12.75" customHeight="1">
      <c r="A17" s="408">
        <v>10</v>
      </c>
      <c r="B17" s="323" t="s">
        <v>34</v>
      </c>
      <c r="C17" s="138" t="s">
        <v>35</v>
      </c>
      <c r="E17" s="3"/>
      <c r="F17" s="3"/>
      <c r="G17" s="4"/>
      <c r="I17">
        <v>75</v>
      </c>
      <c r="J17" s="3">
        <v>34.799999999999997</v>
      </c>
      <c r="K17" s="3">
        <v>2610</v>
      </c>
      <c r="L17" s="4">
        <v>4.6778779210076685E-2</v>
      </c>
      <c r="M17" s="4">
        <v>3.3320192496241581E-2</v>
      </c>
      <c r="N17" s="5"/>
      <c r="O17" s="4"/>
      <c r="P17" s="912">
        <v>-8.2644628099175325E-3</v>
      </c>
    </row>
    <row r="18" spans="1:16" ht="12.75" customHeight="1">
      <c r="A18" s="408">
        <v>11</v>
      </c>
      <c r="B18" s="323" t="s">
        <v>36</v>
      </c>
      <c r="C18" s="138" t="s">
        <v>37</v>
      </c>
      <c r="E18" s="3"/>
      <c r="F18" s="3"/>
      <c r="G18" s="4"/>
      <c r="I18">
        <v>20</v>
      </c>
      <c r="J18" s="3">
        <v>102.3</v>
      </c>
      <c r="K18" s="3">
        <v>2046</v>
      </c>
      <c r="L18" s="4">
        <v>3.6670261403761263E-2</v>
      </c>
      <c r="M18" s="4">
        <v>2.6119966991306622E-2</v>
      </c>
      <c r="N18" s="5"/>
      <c r="O18" s="4"/>
      <c r="P18" s="912">
        <v>6.2954947865433855E-3</v>
      </c>
    </row>
    <row r="19" spans="1:16" ht="12.75" customHeight="1">
      <c r="A19" s="408">
        <v>12</v>
      </c>
      <c r="B19" s="323" t="s">
        <v>38</v>
      </c>
      <c r="C19" s="138" t="s">
        <v>39</v>
      </c>
      <c r="E19" s="3"/>
      <c r="F19" s="3"/>
      <c r="G19" s="4"/>
      <c r="I19">
        <v>165</v>
      </c>
      <c r="J19" s="3">
        <v>39.21</v>
      </c>
      <c r="K19" s="3">
        <v>6469.65</v>
      </c>
      <c r="L19" s="4">
        <v>0.11595491529366769</v>
      </c>
      <c r="M19" s="4">
        <v>8.2593863365252637E-2</v>
      </c>
      <c r="N19" s="5"/>
      <c r="O19" s="4"/>
      <c r="P19" s="912">
        <v>-6.3217940624898982E-3</v>
      </c>
    </row>
    <row r="20" spans="1:16" ht="12.75" customHeight="1">
      <c r="A20" s="408">
        <v>13</v>
      </c>
      <c r="B20" s="323" t="s">
        <v>40</v>
      </c>
      <c r="C20" s="138" t="s">
        <v>41</v>
      </c>
      <c r="D20">
        <v>75</v>
      </c>
      <c r="E20" s="3">
        <v>25.84</v>
      </c>
      <c r="F20" s="3">
        <f>D20*E20</f>
        <v>1938</v>
      </c>
      <c r="G20" s="4">
        <f>F20/F$38</f>
        <v>2.5928828709983243E-2</v>
      </c>
      <c r="I20">
        <v>75</v>
      </c>
      <c r="J20" s="3">
        <v>28.78</v>
      </c>
      <c r="K20" s="3">
        <v>2158.5</v>
      </c>
      <c r="L20" s="4">
        <v>3.8686588093850775E-2</v>
      </c>
      <c r="M20" s="4">
        <v>2.7556182185110138E-2</v>
      </c>
      <c r="N20" s="5"/>
      <c r="O20" s="4">
        <v>-3.6168787675820442E-2</v>
      </c>
      <c r="P20" s="912">
        <v>0.13445543773897281</v>
      </c>
    </row>
    <row r="21" spans="1:16" ht="12.75" customHeight="1">
      <c r="A21" s="408">
        <v>14</v>
      </c>
      <c r="B21" s="323" t="s">
        <v>42</v>
      </c>
      <c r="C21" s="138" t="s">
        <v>43</v>
      </c>
      <c r="E21" s="3"/>
      <c r="F21" s="3"/>
      <c r="G21" s="4"/>
      <c r="I21">
        <v>129</v>
      </c>
      <c r="J21" s="3">
        <v>17.89</v>
      </c>
      <c r="K21" s="3">
        <v>2307.81</v>
      </c>
      <c r="L21" s="4">
        <v>4.1362656876937576E-2</v>
      </c>
      <c r="M21" s="4">
        <v>2.9462326990326162E-2</v>
      </c>
      <c r="N21" s="5"/>
      <c r="O21" s="4"/>
      <c r="P21" s="912">
        <v>-6.8590178225493931E-2</v>
      </c>
    </row>
    <row r="22" spans="1:16" ht="12.75" customHeight="1">
      <c r="A22" s="408">
        <v>15</v>
      </c>
      <c r="B22" s="323" t="s">
        <v>44</v>
      </c>
      <c r="C22" s="138" t="s">
        <v>45</v>
      </c>
      <c r="E22" s="3"/>
      <c r="F22" s="3"/>
      <c r="G22" s="4"/>
      <c r="I22">
        <v>186</v>
      </c>
      <c r="J22" s="3">
        <v>24.17</v>
      </c>
      <c r="K22" s="3">
        <v>4495.62</v>
      </c>
      <c r="L22" s="4">
        <v>8.0574565284446342E-2</v>
      </c>
      <c r="M22" s="4">
        <v>5.739269110726191E-2</v>
      </c>
      <c r="N22" s="5"/>
      <c r="O22" s="4"/>
      <c r="P22" s="912">
        <v>-8.8140976883150104E-2</v>
      </c>
    </row>
    <row r="23" spans="1:16" ht="12.75" customHeight="1">
      <c r="A23" s="408">
        <v>16</v>
      </c>
      <c r="B23" s="323" t="s">
        <v>46</v>
      </c>
      <c r="C23" s="138" t="s">
        <v>47</v>
      </c>
      <c r="D23">
        <v>75</v>
      </c>
      <c r="E23" s="3">
        <v>34.57</v>
      </c>
      <c r="F23" s="3">
        <f>D23*E23</f>
        <v>2592.75</v>
      </c>
      <c r="G23" s="4">
        <f>F23/F$38</f>
        <v>3.4688839338394763E-2</v>
      </c>
      <c r="I23">
        <v>75</v>
      </c>
      <c r="J23" s="3">
        <v>36.159999999999997</v>
      </c>
      <c r="K23" s="3">
        <v>2712</v>
      </c>
      <c r="L23" s="4">
        <v>4.8606915409091171E-2</v>
      </c>
      <c r="M23" s="4">
        <v>3.4622360938623434E-2</v>
      </c>
      <c r="N23" s="5"/>
      <c r="O23" s="4">
        <v>0.16344916344916341</v>
      </c>
      <c r="P23" s="912">
        <v>-6.1997405966277584E-2</v>
      </c>
    </row>
    <row r="24" spans="1:16" ht="12.75" customHeight="1">
      <c r="A24" s="408">
        <v>17</v>
      </c>
      <c r="B24" s="323" t="s">
        <v>48</v>
      </c>
      <c r="C24" s="138" t="s">
        <v>49</v>
      </c>
      <c r="G24" s="4"/>
      <c r="I24">
        <v>90</v>
      </c>
      <c r="J24" s="3">
        <v>47.77</v>
      </c>
      <c r="K24" s="3">
        <v>4299.3</v>
      </c>
      <c r="L24" s="4">
        <v>7.7055940788460814E-2</v>
      </c>
      <c r="M24" s="4">
        <v>5.4886399846395185E-2</v>
      </c>
      <c r="N24" s="5"/>
      <c r="O24" s="4"/>
      <c r="P24" s="912">
        <v>0.10629921259842527</v>
      </c>
    </row>
    <row r="25" spans="1:16" ht="12.75" customHeight="1">
      <c r="A25" s="408">
        <v>18</v>
      </c>
      <c r="B25" s="913" t="s">
        <v>50</v>
      </c>
      <c r="C25" s="138" t="s">
        <v>51</v>
      </c>
      <c r="G25" s="4"/>
      <c r="I25">
        <v>50</v>
      </c>
      <c r="J25" s="3">
        <v>60.98</v>
      </c>
      <c r="K25" s="3">
        <v>3049</v>
      </c>
      <c r="L25" s="4">
        <v>5.4646934027403761E-2</v>
      </c>
      <c r="M25" s="4">
        <v>3.8924623341394862E-2</v>
      </c>
      <c r="N25" s="5"/>
      <c r="O25" s="4"/>
      <c r="P25" s="912">
        <v>4.2218568513308963E-2</v>
      </c>
    </row>
    <row r="26" spans="1:16" ht="12.75" customHeight="1">
      <c r="A26" s="408"/>
      <c r="C26" s="408"/>
      <c r="G26" s="4"/>
      <c r="M26" s="5"/>
      <c r="N26" s="5"/>
      <c r="P26" s="408"/>
    </row>
    <row r="27" spans="1:16" ht="12.75" customHeight="1">
      <c r="A27" s="914"/>
      <c r="B27" s="915" t="s">
        <v>52</v>
      </c>
      <c r="C27" s="914"/>
      <c r="D27" s="916"/>
      <c r="E27" s="916"/>
      <c r="F27" s="916"/>
      <c r="G27" s="917"/>
      <c r="H27" s="916"/>
      <c r="I27" s="916"/>
      <c r="J27" s="916"/>
      <c r="K27" s="916"/>
      <c r="L27" s="916"/>
      <c r="M27" s="916"/>
      <c r="N27" s="916"/>
      <c r="O27" s="916"/>
      <c r="P27" s="914"/>
    </row>
    <row r="28" spans="1:16" ht="12.75" customHeight="1">
      <c r="A28" s="408">
        <v>1</v>
      </c>
      <c r="B28" s="323" t="s">
        <v>53</v>
      </c>
      <c r="C28" s="408" t="s">
        <v>54</v>
      </c>
      <c r="D28">
        <v>100</v>
      </c>
      <c r="E28" s="3">
        <v>38.89</v>
      </c>
      <c r="F28" s="3">
        <f>D28*E28</f>
        <v>3889</v>
      </c>
      <c r="G28" s="4">
        <f>F28/F$38</f>
        <v>5.203158661151952E-2</v>
      </c>
      <c r="I28" s="5">
        <v>100</v>
      </c>
      <c r="J28" s="3">
        <v>32.35</v>
      </c>
      <c r="K28" s="3">
        <f>I28*J28</f>
        <v>3235</v>
      </c>
      <c r="M28" s="5"/>
      <c r="N28" s="5"/>
      <c r="P28" s="408"/>
    </row>
    <row r="29" spans="1:16" ht="12.75" customHeight="1">
      <c r="A29" s="408">
        <v>2</v>
      </c>
      <c r="B29" s="323" t="s">
        <v>55</v>
      </c>
      <c r="C29" s="408" t="s">
        <v>56</v>
      </c>
      <c r="D29">
        <v>110</v>
      </c>
      <c r="E29" s="3">
        <v>44.93</v>
      </c>
      <c r="F29" s="3">
        <f>D29*E29</f>
        <v>4942.3</v>
      </c>
      <c r="G29" s="4">
        <f>F29/F$38</f>
        <v>6.6123864877889668E-2</v>
      </c>
      <c r="I29" s="5">
        <v>110</v>
      </c>
      <c r="J29" s="3">
        <v>43.48</v>
      </c>
      <c r="K29" s="3">
        <f>I29*J29</f>
        <v>4782.7999999999993</v>
      </c>
      <c r="M29" s="5"/>
      <c r="N29" s="5"/>
      <c r="P29" s="408"/>
    </row>
    <row r="30" spans="1:16" ht="12.75" customHeight="1">
      <c r="A30" s="408">
        <v>3</v>
      </c>
      <c r="B30" s="323" t="s">
        <v>57</v>
      </c>
      <c r="C30" s="408" t="s">
        <v>58</v>
      </c>
      <c r="D30">
        <v>50</v>
      </c>
      <c r="E30" s="3">
        <v>72.150000000000006</v>
      </c>
      <c r="F30" s="3">
        <f>D30*E30</f>
        <v>3607.5000000000005</v>
      </c>
      <c r="G30" s="4">
        <f>F30/F$38</f>
        <v>4.8265350655967265E-2</v>
      </c>
      <c r="I30" s="5">
        <v>50</v>
      </c>
      <c r="J30" s="3">
        <v>74.709999999999994</v>
      </c>
      <c r="K30" s="3">
        <f>I30*J30</f>
        <v>3735.4999999999995</v>
      </c>
      <c r="M30" s="5"/>
      <c r="N30" s="5"/>
      <c r="P30" s="408"/>
    </row>
    <row r="31" spans="1:16" ht="12.75" customHeight="1">
      <c r="A31" s="408">
        <v>4</v>
      </c>
      <c r="B31" s="323" t="s">
        <v>59</v>
      </c>
      <c r="C31" s="408" t="s">
        <v>60</v>
      </c>
      <c r="D31">
        <v>50</v>
      </c>
      <c r="E31" s="3">
        <v>49.37</v>
      </c>
      <c r="F31" s="3">
        <f>D31*E31</f>
        <v>2468.5</v>
      </c>
      <c r="G31" s="4">
        <f>F31/F$38</f>
        <v>3.3026477642205176E-2</v>
      </c>
      <c r="I31" s="5">
        <v>50</v>
      </c>
      <c r="J31" s="3">
        <v>54.75</v>
      </c>
      <c r="K31" s="3">
        <f>I31*J31</f>
        <v>2737.5</v>
      </c>
      <c r="M31" s="5"/>
      <c r="N31" s="5"/>
      <c r="P31" s="408"/>
    </row>
    <row r="32" spans="1:16" ht="12.75" customHeight="1">
      <c r="A32" s="914">
        <v>5</v>
      </c>
      <c r="B32" s="918" t="s">
        <v>61</v>
      </c>
      <c r="C32" s="914" t="s">
        <v>62</v>
      </c>
      <c r="D32" s="916"/>
      <c r="E32" s="916"/>
      <c r="F32" s="916"/>
      <c r="G32" s="916"/>
      <c r="H32" s="916"/>
      <c r="I32" s="916">
        <v>150</v>
      </c>
      <c r="J32" s="919">
        <v>56.2</v>
      </c>
      <c r="K32" s="919">
        <f>I32*J32</f>
        <v>8430</v>
      </c>
      <c r="L32" s="916"/>
      <c r="M32" s="916"/>
      <c r="N32" s="916"/>
      <c r="O32" s="916"/>
      <c r="P32" s="914"/>
    </row>
    <row r="33" spans="1:16" ht="12.75" customHeight="1">
      <c r="A33" s="5"/>
      <c r="B33" s="323"/>
      <c r="C33" s="920"/>
      <c r="D33" s="5"/>
      <c r="E33" s="5"/>
      <c r="F33" s="5"/>
      <c r="G33" s="5"/>
      <c r="H33" s="5"/>
      <c r="I33" s="5"/>
      <c r="J33" s="5"/>
      <c r="K33" s="5"/>
      <c r="L33" s="5"/>
      <c r="M33" s="5"/>
      <c r="N33" s="5"/>
      <c r="O33" s="5"/>
      <c r="P33" s="408"/>
    </row>
    <row r="34" spans="1:16" ht="12.75" customHeight="1">
      <c r="A34" s="309"/>
      <c r="B34" s="345" t="s">
        <v>63</v>
      </c>
      <c r="C34" s="345"/>
      <c r="D34" s="921"/>
      <c r="E34" s="308"/>
      <c r="F34" s="3">
        <f>SUM(F10:F31)</f>
        <v>31728.85</v>
      </c>
      <c r="K34" s="3">
        <v>55794.53</v>
      </c>
      <c r="P34" s="408"/>
    </row>
    <row r="35" spans="1:16" ht="12.75" customHeight="1">
      <c r="A35" s="309"/>
      <c r="B35" s="345"/>
      <c r="C35" s="345"/>
      <c r="D35" s="921"/>
      <c r="E35" s="922"/>
      <c r="P35" s="408"/>
    </row>
    <row r="36" spans="1:16" ht="12.75" customHeight="1">
      <c r="A36" s="309"/>
      <c r="B36" s="345" t="s">
        <v>64</v>
      </c>
      <c r="C36" s="345"/>
      <c r="D36" s="921"/>
      <c r="E36" s="922"/>
      <c r="F36" s="3">
        <f>F38-F34</f>
        <v>43014.21</v>
      </c>
      <c r="K36" s="3">
        <v>22536.35</v>
      </c>
      <c r="P36" s="408"/>
    </row>
    <row r="37" spans="1:16" ht="12.75" customHeight="1">
      <c r="A37" s="923"/>
      <c r="B37" s="924" t="s">
        <v>65</v>
      </c>
      <c r="C37" s="924"/>
      <c r="D37" s="6"/>
      <c r="E37" s="925"/>
      <c r="F37" s="7"/>
      <c r="G37" s="7"/>
      <c r="H37" s="7"/>
      <c r="I37" s="7"/>
      <c r="J37" s="7"/>
      <c r="K37" s="7"/>
      <c r="L37" s="7"/>
      <c r="M37" s="7"/>
      <c r="N37" s="7"/>
      <c r="O37" s="7"/>
      <c r="P37" s="926"/>
    </row>
    <row r="38" spans="1:16" ht="12.75" customHeight="1">
      <c r="A38" s="309"/>
      <c r="B38" s="345" t="s">
        <v>66</v>
      </c>
      <c r="C38" s="345"/>
      <c r="D38" s="927"/>
      <c r="E38" s="928"/>
      <c r="F38" s="929">
        <v>74743.06</v>
      </c>
      <c r="G38" s="930"/>
      <c r="H38" s="931"/>
      <c r="I38" s="931"/>
      <c r="J38" s="931"/>
      <c r="K38" s="929">
        <f>SUM(K34,K36)</f>
        <v>78330.880000000005</v>
      </c>
      <c r="L38" s="931"/>
      <c r="M38" s="931"/>
      <c r="N38" s="931"/>
      <c r="O38" s="8"/>
      <c r="P38" s="932">
        <f>(K38-F38)/F38</f>
        <v>4.8002048618293221E-2</v>
      </c>
    </row>
    <row r="39" spans="1:16" ht="12.75" customHeight="1">
      <c r="P39" s="408"/>
    </row>
    <row r="40" spans="1:16" ht="12.75" customHeight="1">
      <c r="B40" s="345" t="s">
        <v>67</v>
      </c>
      <c r="P40" s="408"/>
    </row>
    <row r="41" spans="1:16" ht="12.75" customHeight="1">
      <c r="B41" s="345" t="s">
        <v>68</v>
      </c>
      <c r="F41">
        <v>1304.28</v>
      </c>
      <c r="K41">
        <v>1480.93</v>
      </c>
      <c r="P41" s="912">
        <f>(K41-F41)/F41</f>
        <v>0.13543870947955969</v>
      </c>
    </row>
    <row r="42" spans="1:16" ht="12.75" customHeight="1">
      <c r="P42" s="9"/>
    </row>
    <row r="43" spans="1:16" ht="12.75" customHeight="1"/>
    <row r="44" spans="1:16" ht="12.75" customHeight="1"/>
    <row r="45" spans="1:16" ht="12.75" customHeight="1"/>
    <row r="46" spans="1:16" ht="12.75" customHeight="1"/>
    <row r="47" spans="1:16" ht="12.75" customHeight="1"/>
    <row r="48" spans="1: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7">
    <mergeCell ref="D6:G6"/>
    <mergeCell ref="I6:M6"/>
    <mergeCell ref="B1:P1"/>
    <mergeCell ref="B2:P2"/>
    <mergeCell ref="B3:P3"/>
    <mergeCell ref="D5:M5"/>
    <mergeCell ref="O5:P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4.28515625" defaultRowHeight="15" customHeight="1"/>
  <cols>
    <col min="1" max="1" width="3.28515625" customWidth="1"/>
    <col min="2" max="2" width="30.28515625" customWidth="1"/>
    <col min="3" max="4" width="7.28515625" customWidth="1"/>
    <col min="5" max="5" width="11" customWidth="1"/>
    <col min="6" max="6" width="12.28515625" customWidth="1"/>
    <col min="7" max="7" width="8.7109375" customWidth="1"/>
    <col min="8" max="8" width="5.28515625" customWidth="1"/>
    <col min="9" max="9" width="9.28515625" customWidth="1"/>
    <col min="10" max="10" width="8.28515625" customWidth="1"/>
    <col min="11" max="11" width="13.7109375" customWidth="1"/>
    <col min="12" max="12" width="12.28515625" customWidth="1"/>
    <col min="13" max="13" width="0.7109375" customWidth="1"/>
    <col min="14" max="14" width="8.28515625" customWidth="1"/>
    <col min="15" max="15" width="7.7109375" customWidth="1"/>
    <col min="16" max="16" width="7.28515625" customWidth="1"/>
    <col min="17" max="17" width="9.28515625" customWidth="1"/>
    <col min="18" max="26" width="8.7109375" customWidth="1"/>
  </cols>
  <sheetData>
    <row r="1" spans="1:22" ht="12.75" customHeight="1">
      <c r="A1" s="309"/>
      <c r="B1" s="1984" t="s">
        <v>0</v>
      </c>
      <c r="C1" s="1985"/>
      <c r="D1" s="1985"/>
      <c r="E1" s="1985"/>
      <c r="F1" s="1985"/>
      <c r="G1" s="1985"/>
      <c r="H1" s="1985"/>
      <c r="I1" s="1985"/>
      <c r="J1" s="1985"/>
      <c r="K1" s="1985"/>
      <c r="L1" s="1985"/>
      <c r="M1" s="1985"/>
      <c r="N1" s="1985"/>
      <c r="O1" s="1985"/>
      <c r="P1" s="989"/>
      <c r="Q1" s="1162"/>
      <c r="R1" s="989"/>
      <c r="S1" s="990"/>
      <c r="T1" s="990"/>
      <c r="U1" s="990"/>
      <c r="V1" s="1021"/>
    </row>
    <row r="2" spans="1:22" ht="12.75" customHeight="1">
      <c r="A2" s="309"/>
      <c r="B2" s="1986" t="s">
        <v>340</v>
      </c>
      <c r="C2" s="1985"/>
      <c r="D2" s="1985"/>
      <c r="E2" s="1985"/>
      <c r="F2" s="1985"/>
      <c r="G2" s="1985"/>
      <c r="H2" s="1985"/>
      <c r="I2" s="1985"/>
      <c r="J2" s="1985"/>
      <c r="K2" s="1985"/>
      <c r="L2" s="1985"/>
      <c r="M2" s="1985"/>
      <c r="N2" s="1985"/>
      <c r="O2" s="1985"/>
      <c r="P2" s="991"/>
      <c r="Q2" s="325"/>
      <c r="R2" s="991"/>
      <c r="S2" s="345"/>
      <c r="T2" s="345"/>
      <c r="U2" s="345"/>
      <c r="V2" s="1022"/>
    </row>
    <row r="3" spans="1:22" ht="12.75" customHeight="1">
      <c r="A3" s="309"/>
      <c r="B3" s="2001"/>
      <c r="C3" s="1985"/>
      <c r="D3" s="1985"/>
      <c r="E3" s="1985"/>
      <c r="F3" s="1985"/>
      <c r="G3" s="1985"/>
      <c r="H3" s="1985"/>
      <c r="I3" s="1985"/>
      <c r="J3" s="1985"/>
      <c r="K3" s="1985"/>
      <c r="L3" s="1985"/>
      <c r="M3" s="1985"/>
      <c r="N3" s="1985"/>
      <c r="O3" s="1985"/>
      <c r="P3" s="991"/>
      <c r="Q3" s="325"/>
      <c r="R3" s="991"/>
      <c r="S3" s="992"/>
      <c r="T3" s="992"/>
      <c r="U3" s="992"/>
      <c r="V3" s="1022"/>
    </row>
    <row r="4" spans="1:22" ht="12.75" customHeight="1">
      <c r="A4" s="309"/>
      <c r="B4" s="894"/>
      <c r="C4" s="894"/>
      <c r="D4" s="894"/>
      <c r="E4" s="894"/>
      <c r="F4" s="894"/>
      <c r="G4" s="894"/>
      <c r="H4" s="894"/>
      <c r="I4" s="894"/>
      <c r="J4" s="894"/>
      <c r="K4" s="894"/>
      <c r="L4" s="894"/>
      <c r="M4" s="894"/>
      <c r="N4" s="894"/>
      <c r="O4" s="894"/>
      <c r="P4" s="994"/>
      <c r="Q4" s="1163"/>
      <c r="R4" s="994"/>
      <c r="S4" s="933"/>
      <c r="T4" s="933"/>
      <c r="U4" s="933"/>
      <c r="V4" s="609"/>
    </row>
    <row r="5" spans="1:22" ht="12.75" customHeight="1">
      <c r="A5" s="897"/>
      <c r="B5" s="897"/>
      <c r="C5" s="898"/>
      <c r="D5" s="1988" t="s">
        <v>3</v>
      </c>
      <c r="E5" s="1989"/>
      <c r="F5" s="1989"/>
      <c r="G5" s="1989"/>
      <c r="H5" s="1989"/>
      <c r="I5" s="1989"/>
      <c r="J5" s="1989"/>
      <c r="K5" s="1989"/>
      <c r="L5" s="1990"/>
      <c r="M5" s="899"/>
      <c r="N5" s="1991"/>
      <c r="O5" s="1992"/>
      <c r="P5" s="995"/>
      <c r="Q5" s="1164"/>
      <c r="R5" s="995"/>
      <c r="S5" s="309"/>
      <c r="T5" s="309"/>
      <c r="U5" s="309"/>
      <c r="V5" s="328"/>
    </row>
    <row r="6" spans="1:22" ht="12.75" customHeight="1">
      <c r="A6" s="1053"/>
      <c r="B6" s="900"/>
      <c r="C6" s="901"/>
      <c r="D6" s="2008">
        <v>40908</v>
      </c>
      <c r="E6" s="1981"/>
      <c r="F6" s="1981"/>
      <c r="G6" s="1981"/>
      <c r="H6" s="902"/>
      <c r="I6" s="2003">
        <v>41274</v>
      </c>
      <c r="J6" s="1981"/>
      <c r="K6" s="1981"/>
      <c r="L6" s="1983"/>
      <c r="M6" s="900"/>
      <c r="N6" s="544" t="s">
        <v>5</v>
      </c>
      <c r="O6" s="41" t="s">
        <v>6</v>
      </c>
      <c r="P6" s="1116"/>
      <c r="Q6" s="882"/>
      <c r="R6" s="892"/>
      <c r="S6" s="323"/>
      <c r="T6" s="323"/>
      <c r="U6" s="323"/>
      <c r="V6" s="327"/>
    </row>
    <row r="7" spans="1:22" ht="12.75" customHeight="1">
      <c r="A7" s="42"/>
      <c r="B7" s="905" t="s">
        <v>7</v>
      </c>
      <c r="C7" s="906" t="s">
        <v>8</v>
      </c>
      <c r="D7" s="893" t="s">
        <v>9</v>
      </c>
      <c r="E7" s="113" t="s">
        <v>10</v>
      </c>
      <c r="F7" s="113" t="s">
        <v>11</v>
      </c>
      <c r="G7" s="113" t="s">
        <v>12</v>
      </c>
      <c r="H7" s="905"/>
      <c r="I7" s="113" t="s">
        <v>9</v>
      </c>
      <c r="J7" s="113" t="s">
        <v>10</v>
      </c>
      <c r="K7" s="114" t="s">
        <v>11</v>
      </c>
      <c r="L7" s="115" t="s">
        <v>12</v>
      </c>
      <c r="M7" s="905"/>
      <c r="N7" s="113" t="s">
        <v>15</v>
      </c>
      <c r="O7" s="115" t="s">
        <v>15</v>
      </c>
      <c r="P7" s="544"/>
      <c r="Q7" s="882"/>
      <c r="R7" s="892"/>
      <c r="S7" s="323"/>
      <c r="T7" s="323"/>
      <c r="U7" s="323"/>
      <c r="V7" s="327"/>
    </row>
    <row r="8" spans="1:22" ht="12.75" customHeight="1">
      <c r="A8" s="43">
        <v>1</v>
      </c>
      <c r="B8" s="1053" t="s">
        <v>230</v>
      </c>
      <c r="C8" s="2" t="s">
        <v>231</v>
      </c>
      <c r="D8" s="547">
        <v>25</v>
      </c>
      <c r="E8" s="1055">
        <v>81.73</v>
      </c>
      <c r="F8" s="327">
        <f>E8*D8</f>
        <v>2043.25</v>
      </c>
      <c r="G8" s="331">
        <f>F8/$F$69</f>
        <v>2.5941390296009257E-2</v>
      </c>
      <c r="H8" s="900"/>
      <c r="I8" s="547">
        <v>25</v>
      </c>
      <c r="J8" s="1055">
        <v>92.85</v>
      </c>
      <c r="K8" s="1147">
        <f t="shared" ref="K8:K36" si="0">I8*J8</f>
        <v>2321.25</v>
      </c>
      <c r="L8" s="1118">
        <f t="shared" ref="L8:L36" si="1">K8/$K$69</f>
        <v>2.5905937497910567E-2</v>
      </c>
      <c r="M8" s="900"/>
      <c r="N8" s="495">
        <f>(J8-E8)/E8</f>
        <v>0.13605775113177523</v>
      </c>
      <c r="O8" s="56">
        <f>(J8-Transactions!C1395)/Transactions!C1395</f>
        <v>0.18552093973442291</v>
      </c>
      <c r="P8" s="1066"/>
      <c r="Q8" s="882"/>
      <c r="R8" s="892"/>
      <c r="S8" s="323"/>
      <c r="T8" s="323"/>
      <c r="U8" s="323"/>
      <c r="V8" s="327"/>
    </row>
    <row r="9" spans="1:22" ht="12.75" customHeight="1">
      <c r="A9" s="322">
        <v>2</v>
      </c>
      <c r="B9" s="334" t="s">
        <v>276</v>
      </c>
      <c r="C9" s="335" t="s">
        <v>277</v>
      </c>
      <c r="D9" s="547">
        <v>40</v>
      </c>
      <c r="E9" s="1055">
        <v>56.23</v>
      </c>
      <c r="F9" s="327">
        <f>E9*D9</f>
        <v>2249.1999999999998</v>
      </c>
      <c r="G9" s="331">
        <f>F9/$F$69</f>
        <v>2.8556160554892459E-2</v>
      </c>
      <c r="H9" s="900"/>
      <c r="I9" s="547">
        <v>40</v>
      </c>
      <c r="J9" s="1055">
        <v>65.5</v>
      </c>
      <c r="K9" s="1147">
        <f t="shared" si="0"/>
        <v>2620</v>
      </c>
      <c r="L9" s="1118">
        <f t="shared" si="1"/>
        <v>2.9240088850630345E-2</v>
      </c>
      <c r="M9" s="900"/>
      <c r="N9" s="495">
        <f>(J9-E9)/E9</f>
        <v>0.16485861639694119</v>
      </c>
      <c r="O9" s="329">
        <f>(J9-Transactions!C1200)/Transactions!C1200</f>
        <v>1.7973521247063848</v>
      </c>
      <c r="P9" s="1066"/>
      <c r="Q9" s="882"/>
      <c r="R9" s="892"/>
      <c r="S9" s="323"/>
      <c r="T9" s="323"/>
      <c r="U9" s="323"/>
      <c r="V9" s="327"/>
    </row>
    <row r="10" spans="1:22" ht="12.75" customHeight="1">
      <c r="A10" s="322">
        <v>3</v>
      </c>
      <c r="B10" s="334" t="s">
        <v>341</v>
      </c>
      <c r="C10" s="335" t="s">
        <v>342</v>
      </c>
      <c r="D10" s="547"/>
      <c r="E10" s="1055"/>
      <c r="F10" s="327"/>
      <c r="G10" s="331"/>
      <c r="H10" s="900"/>
      <c r="I10" s="547">
        <v>10</v>
      </c>
      <c r="J10" s="1055">
        <v>84.02</v>
      </c>
      <c r="K10" s="1147">
        <f t="shared" si="0"/>
        <v>840.19999999999993</v>
      </c>
      <c r="L10" s="1118">
        <f t="shared" si="1"/>
        <v>9.3769170428624482E-3</v>
      </c>
      <c r="M10" s="900"/>
      <c r="N10" s="495"/>
      <c r="O10" s="329">
        <f>(J10-Transactions!C1086)/Transactions!C1086</f>
        <v>2.6261145718822418E-2</v>
      </c>
      <c r="P10" s="1066"/>
      <c r="Q10" s="882"/>
      <c r="R10" s="892"/>
      <c r="S10" s="323"/>
      <c r="T10" s="323"/>
      <c r="U10" s="323"/>
      <c r="V10" s="327"/>
    </row>
    <row r="11" spans="1:22" ht="12.75" customHeight="1">
      <c r="A11" s="322">
        <v>4</v>
      </c>
      <c r="B11" s="334" t="s">
        <v>315</v>
      </c>
      <c r="C11" s="335" t="s">
        <v>316</v>
      </c>
      <c r="D11" s="547">
        <v>200</v>
      </c>
      <c r="E11" s="1055">
        <v>15.96</v>
      </c>
      <c r="F11" s="327">
        <f t="shared" ref="F11:F19" si="2">E11*D11</f>
        <v>3192</v>
      </c>
      <c r="G11" s="331">
        <f t="shared" ref="G11:G19" si="3">F11/$F$69</f>
        <v>4.0526082380942886E-2</v>
      </c>
      <c r="H11" s="900"/>
      <c r="I11" s="547">
        <v>200</v>
      </c>
      <c r="J11" s="1055">
        <v>14.04</v>
      </c>
      <c r="K11" s="1147">
        <f t="shared" si="0"/>
        <v>2808</v>
      </c>
      <c r="L11" s="1118">
        <f t="shared" si="1"/>
        <v>3.133823263075191E-2</v>
      </c>
      <c r="M11" s="900"/>
      <c r="N11" s="495">
        <f t="shared" ref="N11:N19" si="4">(J11-E11)/E11</f>
        <v>-0.12030075187969935</v>
      </c>
      <c r="O11" s="329">
        <f>(J11-Transactions!C1118)/Transactions!C1118</f>
        <v>-0.14285714285714285</v>
      </c>
      <c r="P11" s="1066"/>
      <c r="Q11" s="882"/>
      <c r="R11" s="892"/>
      <c r="S11" s="323"/>
      <c r="T11" s="323"/>
      <c r="U11" s="323"/>
      <c r="V11" s="327"/>
    </row>
    <row r="12" spans="1:22" ht="12.75" customHeight="1">
      <c r="A12" s="322">
        <v>5</v>
      </c>
      <c r="B12" s="334" t="s">
        <v>206</v>
      </c>
      <c r="C12" s="335" t="s">
        <v>207</v>
      </c>
      <c r="D12" s="546">
        <v>12</v>
      </c>
      <c r="E12" s="1055">
        <v>405</v>
      </c>
      <c r="F12" s="327">
        <f t="shared" si="2"/>
        <v>4860</v>
      </c>
      <c r="G12" s="331">
        <f t="shared" si="3"/>
        <v>6.1703245730382959E-2</v>
      </c>
      <c r="H12" s="940"/>
      <c r="I12" s="546">
        <v>6</v>
      </c>
      <c r="J12" s="1055">
        <v>532.17290000000003</v>
      </c>
      <c r="K12" s="1147">
        <f t="shared" si="0"/>
        <v>3193.0374000000002</v>
      </c>
      <c r="L12" s="1118">
        <f t="shared" si="1"/>
        <v>3.5635380640986911E-2</v>
      </c>
      <c r="M12" s="345"/>
      <c r="N12" s="495">
        <f t="shared" si="4"/>
        <v>0.31400716049382721</v>
      </c>
      <c r="O12" s="329">
        <f>(J12-Transactions!C1431)/Transactions!C1431</f>
        <v>2.0066265536723167</v>
      </c>
      <c r="P12" s="1066"/>
      <c r="Q12" s="882"/>
      <c r="R12" s="326"/>
      <c r="S12" s="309"/>
      <c r="T12" s="328"/>
      <c r="U12" s="309"/>
      <c r="V12" s="328"/>
    </row>
    <row r="13" spans="1:22" ht="12.75" customHeight="1">
      <c r="A13" s="322">
        <v>6</v>
      </c>
      <c r="B13" s="334" t="s">
        <v>280</v>
      </c>
      <c r="C13" s="335" t="s">
        <v>251</v>
      </c>
      <c r="D13" s="546">
        <v>30</v>
      </c>
      <c r="E13" s="1055">
        <v>48.49</v>
      </c>
      <c r="F13" s="327">
        <f t="shared" si="2"/>
        <v>1454.7</v>
      </c>
      <c r="G13" s="331">
        <f t="shared" si="3"/>
        <v>1.8469076453495492E-2</v>
      </c>
      <c r="H13" s="940"/>
      <c r="I13" s="546">
        <v>30</v>
      </c>
      <c r="J13" s="1055">
        <v>58.72</v>
      </c>
      <c r="K13" s="1147">
        <f t="shared" si="0"/>
        <v>1761.6</v>
      </c>
      <c r="L13" s="1118">
        <f t="shared" si="1"/>
        <v>1.9660053633309318E-2</v>
      </c>
      <c r="M13" s="345"/>
      <c r="N13" s="495">
        <f t="shared" si="4"/>
        <v>0.21097133429573101</v>
      </c>
      <c r="O13" s="329">
        <f>(J13-Transactions!C1228)/Transactions!C1228</f>
        <v>0.15363457760314342</v>
      </c>
      <c r="P13" s="1066"/>
      <c r="Q13" s="882"/>
      <c r="R13" s="326"/>
      <c r="S13" s="309"/>
      <c r="T13" s="328"/>
      <c r="U13" s="309"/>
      <c r="V13" s="328"/>
    </row>
    <row r="14" spans="1:22" ht="12.75" customHeight="1">
      <c r="A14" s="322">
        <v>7</v>
      </c>
      <c r="B14" s="334" t="s">
        <v>281</v>
      </c>
      <c r="C14" s="335" t="s">
        <v>152</v>
      </c>
      <c r="D14" s="546">
        <v>235</v>
      </c>
      <c r="E14" s="1055">
        <v>18.079999999999998</v>
      </c>
      <c r="F14" s="327">
        <f t="shared" si="2"/>
        <v>4248.7999999999993</v>
      </c>
      <c r="G14" s="331">
        <f t="shared" si="3"/>
        <v>5.3943364292026973E-2</v>
      </c>
      <c r="H14" s="940"/>
      <c r="I14" s="546">
        <v>120</v>
      </c>
      <c r="J14" s="1055">
        <v>19.6494</v>
      </c>
      <c r="K14" s="1147">
        <f t="shared" si="0"/>
        <v>2357.9279999999999</v>
      </c>
      <c r="L14" s="1118">
        <f t="shared" si="1"/>
        <v>2.6315276421140881E-2</v>
      </c>
      <c r="M14" s="345"/>
      <c r="N14" s="495">
        <f t="shared" si="4"/>
        <v>8.6803097345132849E-2</v>
      </c>
      <c r="O14" s="329">
        <f>(J14-Transactions!C1201)/Transactions!C1201</f>
        <v>4.7967999999999997E-2</v>
      </c>
      <c r="P14" s="1066"/>
      <c r="Q14" s="882"/>
      <c r="R14" s="326"/>
      <c r="S14" s="309"/>
      <c r="T14" s="328"/>
      <c r="U14" s="309"/>
      <c r="V14" s="328"/>
    </row>
    <row r="15" spans="1:22" ht="12.75" customHeight="1">
      <c r="A15" s="322">
        <v>8</v>
      </c>
      <c r="B15" s="334" t="s">
        <v>317</v>
      </c>
      <c r="C15" s="335" t="s">
        <v>318</v>
      </c>
      <c r="D15" s="546">
        <v>25</v>
      </c>
      <c r="E15" s="1055">
        <v>61.04</v>
      </c>
      <c r="F15" s="327">
        <f t="shared" si="2"/>
        <v>1526</v>
      </c>
      <c r="G15" s="331">
        <f t="shared" si="3"/>
        <v>1.937431131369638E-2</v>
      </c>
      <c r="H15" s="940"/>
      <c r="I15" s="546">
        <v>25</v>
      </c>
      <c r="J15" s="1055">
        <v>55.51</v>
      </c>
      <c r="K15" s="1147">
        <f t="shared" si="0"/>
        <v>1387.75</v>
      </c>
      <c r="L15" s="1118">
        <f t="shared" si="1"/>
        <v>1.5487760802466513E-2</v>
      </c>
      <c r="M15" s="345"/>
      <c r="N15" s="495">
        <f t="shared" si="4"/>
        <v>-9.0596330275229384E-2</v>
      </c>
      <c r="O15" s="329">
        <f>(J15-Transactions!C1110)/Transactions!C1110</f>
        <v>-0.14521096396673852</v>
      </c>
      <c r="P15" s="1066"/>
      <c r="Q15" s="882"/>
      <c r="R15" s="326"/>
      <c r="S15" s="309"/>
      <c r="T15" s="328"/>
      <c r="U15" s="309"/>
      <c r="V15" s="328"/>
    </row>
    <row r="16" spans="1:22" ht="12.75" customHeight="1">
      <c r="A16" s="322">
        <v>9</v>
      </c>
      <c r="B16" s="334" t="s">
        <v>153</v>
      </c>
      <c r="C16" s="335" t="s">
        <v>154</v>
      </c>
      <c r="D16" s="546">
        <v>70</v>
      </c>
      <c r="E16" s="1055">
        <v>34.984999999999999</v>
      </c>
      <c r="F16" s="327">
        <f t="shared" si="2"/>
        <v>2448.9499999999998</v>
      </c>
      <c r="G16" s="331">
        <f t="shared" si="3"/>
        <v>3.1092214738975586E-2</v>
      </c>
      <c r="H16" s="940"/>
      <c r="I16" s="546">
        <v>70</v>
      </c>
      <c r="J16" s="1055">
        <v>36.25</v>
      </c>
      <c r="K16" s="1147">
        <f t="shared" si="0"/>
        <v>2537.5</v>
      </c>
      <c r="L16" s="1118">
        <f t="shared" si="1"/>
        <v>2.8319360862013167E-2</v>
      </c>
      <c r="M16" s="345"/>
      <c r="N16" s="495">
        <f t="shared" si="4"/>
        <v>3.6158353580105773E-2</v>
      </c>
      <c r="O16" s="329">
        <f>(J16-Transactions!C1375)/Transactions!C1375</f>
        <v>0.65374087591240859</v>
      </c>
      <c r="P16" s="1066"/>
      <c r="Q16" s="882"/>
      <c r="R16" s="326"/>
      <c r="S16" s="309"/>
      <c r="T16" s="328"/>
      <c r="U16" s="309"/>
      <c r="V16" s="328"/>
    </row>
    <row r="17" spans="1:22" ht="12.75" customHeight="1">
      <c r="A17" s="322">
        <v>10</v>
      </c>
      <c r="B17" s="1059" t="s">
        <v>24</v>
      </c>
      <c r="C17" s="138" t="s">
        <v>25</v>
      </c>
      <c r="D17" s="1119">
        <v>80</v>
      </c>
      <c r="E17" s="1055">
        <v>47.04</v>
      </c>
      <c r="F17" s="327">
        <f t="shared" si="2"/>
        <v>3763.2</v>
      </c>
      <c r="G17" s="331">
        <f t="shared" si="3"/>
        <v>4.7778118175427396E-2</v>
      </c>
      <c r="H17" s="949"/>
      <c r="I17" s="1119">
        <v>60</v>
      </c>
      <c r="J17" s="1055">
        <v>55.9</v>
      </c>
      <c r="K17" s="1147">
        <f t="shared" si="0"/>
        <v>3354</v>
      </c>
      <c r="L17" s="1118">
        <f t="shared" si="1"/>
        <v>3.7431777864509228E-2</v>
      </c>
      <c r="M17" s="309"/>
      <c r="N17" s="495">
        <f t="shared" si="4"/>
        <v>0.18835034013605442</v>
      </c>
      <c r="O17" s="329">
        <f>(J17-Transactions!C1718)/Transactions!C1718</f>
        <v>1.2029556650246305</v>
      </c>
      <c r="P17" s="1066"/>
      <c r="Q17" s="882"/>
      <c r="R17" s="326"/>
      <c r="S17" s="309"/>
      <c r="T17" s="328"/>
      <c r="U17" s="309"/>
      <c r="V17" s="328"/>
    </row>
    <row r="18" spans="1:22" ht="12.75" customHeight="1">
      <c r="A18" s="322">
        <v>11</v>
      </c>
      <c r="B18" s="1059" t="s">
        <v>252</v>
      </c>
      <c r="C18" s="138" t="s">
        <v>253</v>
      </c>
      <c r="D18" s="1119">
        <v>50</v>
      </c>
      <c r="E18" s="1055">
        <v>24</v>
      </c>
      <c r="F18" s="327">
        <f t="shared" si="2"/>
        <v>1200</v>
      </c>
      <c r="G18" s="331">
        <f t="shared" si="3"/>
        <v>1.5235369316143941E-2</v>
      </c>
      <c r="H18" s="949"/>
      <c r="I18" s="1119">
        <v>50</v>
      </c>
      <c r="J18" s="1055">
        <v>38.549999999999997</v>
      </c>
      <c r="K18" s="1147">
        <f t="shared" si="0"/>
        <v>1927.4999999999998</v>
      </c>
      <c r="L18" s="1118">
        <f t="shared" si="1"/>
        <v>2.1511553915874039E-2</v>
      </c>
      <c r="M18" s="309"/>
      <c r="N18" s="495">
        <f t="shared" si="4"/>
        <v>0.60624999999999984</v>
      </c>
      <c r="O18" s="329">
        <f>(J18-Transactions!C1138)/Transactions!C1138</f>
        <v>0.54138344662135129</v>
      </c>
      <c r="P18" s="1066"/>
      <c r="Q18" s="882"/>
      <c r="R18" s="326"/>
      <c r="S18" s="309"/>
      <c r="T18" s="328"/>
      <c r="U18" s="309"/>
      <c r="V18" s="328"/>
    </row>
    <row r="19" spans="1:22" ht="12.75" customHeight="1">
      <c r="A19" s="322">
        <v>12</v>
      </c>
      <c r="B19" s="334" t="s">
        <v>282</v>
      </c>
      <c r="C19" s="335" t="s">
        <v>283</v>
      </c>
      <c r="D19" s="546">
        <v>50</v>
      </c>
      <c r="E19" s="1055">
        <v>43.37</v>
      </c>
      <c r="F19" s="327">
        <f t="shared" si="2"/>
        <v>2168.5</v>
      </c>
      <c r="G19" s="331">
        <f t="shared" si="3"/>
        <v>2.753158196838178E-2</v>
      </c>
      <c r="H19" s="940"/>
      <c r="I19" s="546">
        <v>75</v>
      </c>
      <c r="J19" s="1055">
        <v>29.74</v>
      </c>
      <c r="K19" s="1147">
        <f t="shared" si="0"/>
        <v>2230.5</v>
      </c>
      <c r="L19" s="1118">
        <f t="shared" si="1"/>
        <v>2.4893136710431675E-2</v>
      </c>
      <c r="M19" s="345"/>
      <c r="N19" s="495">
        <f t="shared" si="4"/>
        <v>-0.31427253862116672</v>
      </c>
      <c r="O19" s="329">
        <f>(J19-Transactions!C1273)/Transactions!C1273</f>
        <v>-0.31804631965145613</v>
      </c>
      <c r="P19" s="1066"/>
      <c r="Q19" s="882"/>
      <c r="R19" s="326"/>
      <c r="S19" s="309"/>
      <c r="T19" s="328"/>
      <c r="U19" s="309"/>
      <c r="V19" s="328"/>
    </row>
    <row r="20" spans="1:22" ht="12.75" customHeight="1">
      <c r="A20" s="322">
        <v>13</v>
      </c>
      <c r="B20" s="334" t="s">
        <v>343</v>
      </c>
      <c r="C20" s="335" t="s">
        <v>344</v>
      </c>
      <c r="D20" s="546"/>
      <c r="E20" s="1055"/>
      <c r="F20" s="327"/>
      <c r="G20" s="331"/>
      <c r="H20" s="940"/>
      <c r="I20" s="546">
        <v>35</v>
      </c>
      <c r="J20" s="1055">
        <v>54</v>
      </c>
      <c r="K20" s="1147">
        <f t="shared" si="0"/>
        <v>1890</v>
      </c>
      <c r="L20" s="1118">
        <f t="shared" si="1"/>
        <v>2.1093041193775326E-2</v>
      </c>
      <c r="M20" s="345"/>
      <c r="N20" s="495"/>
      <c r="O20" s="329">
        <f>(J20-Transactions!C1035)/Transactions!C1035</f>
        <v>3.8661281015579876E-2</v>
      </c>
      <c r="P20" s="1066"/>
      <c r="Q20" s="882"/>
      <c r="R20" s="326"/>
      <c r="S20" s="309"/>
      <c r="T20" s="328"/>
      <c r="U20" s="309"/>
      <c r="V20" s="328"/>
    </row>
    <row r="21" spans="1:22" ht="12.75" customHeight="1">
      <c r="A21" s="322">
        <v>14</v>
      </c>
      <c r="B21" s="334" t="s">
        <v>284</v>
      </c>
      <c r="C21" s="138" t="s">
        <v>285</v>
      </c>
      <c r="D21" s="1119">
        <v>28</v>
      </c>
      <c r="E21" s="1055">
        <v>84.76</v>
      </c>
      <c r="F21" s="327">
        <f t="shared" ref="F21:F29" si="5">E21*D21</f>
        <v>2373.2800000000002</v>
      </c>
      <c r="G21" s="331">
        <f t="shared" ref="G21:G29" si="6">F21/$F$69</f>
        <v>3.0131497742181747E-2</v>
      </c>
      <c r="H21" s="949"/>
      <c r="I21" s="1119">
        <v>28</v>
      </c>
      <c r="J21" s="1055">
        <v>86.55</v>
      </c>
      <c r="K21" s="1147">
        <f t="shared" si="0"/>
        <v>2423.4</v>
      </c>
      <c r="L21" s="1118">
        <f t="shared" si="1"/>
        <v>2.7045966152907473E-2</v>
      </c>
      <c r="M21" s="309"/>
      <c r="N21" s="495">
        <f t="shared" ref="N21:N29" si="7">(J21-E21)/E21</f>
        <v>2.1118452100047098E-2</v>
      </c>
      <c r="O21" s="329">
        <f>(J21-Transactions!C1403)/Transactions!C1403</f>
        <v>2.6690391459074734E-2</v>
      </c>
      <c r="P21" s="1066"/>
      <c r="Q21" s="882"/>
      <c r="R21" s="326"/>
      <c r="S21" s="309"/>
      <c r="T21" s="328"/>
      <c r="U21" s="309"/>
      <c r="V21" s="328"/>
    </row>
    <row r="22" spans="1:22" ht="12.75" customHeight="1">
      <c r="A22" s="322">
        <v>15</v>
      </c>
      <c r="B22" s="334" t="s">
        <v>319</v>
      </c>
      <c r="C22" s="138" t="s">
        <v>320</v>
      </c>
      <c r="D22" s="1119">
        <v>15</v>
      </c>
      <c r="E22" s="1055">
        <v>83.51</v>
      </c>
      <c r="F22" s="327">
        <f t="shared" si="5"/>
        <v>1252.6500000000001</v>
      </c>
      <c r="G22" s="331">
        <f t="shared" si="6"/>
        <v>1.5903821144889758E-2</v>
      </c>
      <c r="H22" s="949"/>
      <c r="I22" s="1119">
        <v>15</v>
      </c>
      <c r="J22" s="1055">
        <v>91.72</v>
      </c>
      <c r="K22" s="1147">
        <f t="shared" si="0"/>
        <v>1375.8</v>
      </c>
      <c r="L22" s="1118">
        <f t="shared" si="1"/>
        <v>1.535439474835772E-2</v>
      </c>
      <c r="M22" s="309"/>
      <c r="N22" s="495">
        <f t="shared" si="7"/>
        <v>9.8311579451562603E-2</v>
      </c>
      <c r="O22" s="329">
        <f>(J22-Transactions!C1094)/Transactions!C1094</f>
        <v>0.10002398656752223</v>
      </c>
      <c r="P22" s="1066"/>
      <c r="Q22" s="882"/>
      <c r="R22" s="326"/>
      <c r="S22" s="309"/>
      <c r="T22" s="328"/>
      <c r="U22" s="309"/>
      <c r="V22" s="328"/>
    </row>
    <row r="23" spans="1:22" ht="12.75" customHeight="1">
      <c r="A23" s="322">
        <v>16</v>
      </c>
      <c r="B23" s="334" t="s">
        <v>321</v>
      </c>
      <c r="C23" s="138" t="s">
        <v>322</v>
      </c>
      <c r="D23" s="1119">
        <v>220</v>
      </c>
      <c r="E23" s="1055">
        <v>10.76</v>
      </c>
      <c r="F23" s="327">
        <f t="shared" si="5"/>
        <v>2367.1999999999998</v>
      </c>
      <c r="G23" s="331">
        <f t="shared" si="6"/>
        <v>3.0054305204313278E-2</v>
      </c>
      <c r="H23" s="949"/>
      <c r="I23" s="1119">
        <v>220</v>
      </c>
      <c r="J23" s="1055">
        <v>12.95</v>
      </c>
      <c r="K23" s="1147">
        <f t="shared" si="0"/>
        <v>2849</v>
      </c>
      <c r="L23" s="1118">
        <f t="shared" si="1"/>
        <v>3.179580654024651E-2</v>
      </c>
      <c r="M23" s="309"/>
      <c r="N23" s="495">
        <f t="shared" si="7"/>
        <v>0.20353159851301111</v>
      </c>
      <c r="O23" s="329">
        <f>(J23-Transactions!C1178)/Transactions!C1178</f>
        <v>-0.18910457107075776</v>
      </c>
      <c r="P23" s="1066"/>
      <c r="Q23" s="882"/>
      <c r="R23" s="326"/>
      <c r="S23" s="309"/>
      <c r="T23" s="328"/>
      <c r="U23" s="309"/>
      <c r="V23" s="328"/>
    </row>
    <row r="24" spans="1:22" ht="12.75" customHeight="1">
      <c r="A24" s="322">
        <v>17</v>
      </c>
      <c r="B24" s="334" t="s">
        <v>323</v>
      </c>
      <c r="C24" s="138" t="s">
        <v>110</v>
      </c>
      <c r="D24" s="1119">
        <v>140</v>
      </c>
      <c r="E24" s="1055">
        <v>24.25</v>
      </c>
      <c r="F24" s="327">
        <f t="shared" si="5"/>
        <v>3395</v>
      </c>
      <c r="G24" s="331">
        <f t="shared" si="6"/>
        <v>4.3103399023590568E-2</v>
      </c>
      <c r="H24" s="949"/>
      <c r="I24" s="1119">
        <v>140</v>
      </c>
      <c r="J24" s="1055">
        <v>20.62</v>
      </c>
      <c r="K24" s="1147">
        <f t="shared" si="0"/>
        <v>2886.8</v>
      </c>
      <c r="L24" s="1118">
        <f t="shared" si="1"/>
        <v>3.2217667364122016E-2</v>
      </c>
      <c r="M24" s="309"/>
      <c r="N24" s="495">
        <f t="shared" si="7"/>
        <v>-0.14969072164948449</v>
      </c>
      <c r="O24" s="329">
        <f>(J24-Transactions!C1170)/Transactions!C1170</f>
        <v>-3.5091413623835402E-2</v>
      </c>
      <c r="P24" s="1066"/>
      <c r="Q24" s="882"/>
      <c r="R24" s="326"/>
      <c r="S24" s="309"/>
      <c r="T24" s="328"/>
      <c r="U24" s="309"/>
      <c r="V24" s="328"/>
    </row>
    <row r="25" spans="1:22" ht="12.75" customHeight="1">
      <c r="A25" s="322">
        <v>18</v>
      </c>
      <c r="B25" s="334" t="s">
        <v>290</v>
      </c>
      <c r="C25" s="335" t="s">
        <v>291</v>
      </c>
      <c r="D25" s="546">
        <v>100</v>
      </c>
      <c r="E25" s="1055">
        <v>25.38</v>
      </c>
      <c r="F25" s="327">
        <f t="shared" si="5"/>
        <v>2538</v>
      </c>
      <c r="G25" s="331">
        <f t="shared" si="6"/>
        <v>3.2222806103644433E-2</v>
      </c>
      <c r="H25" s="940"/>
      <c r="I25" s="546">
        <v>100</v>
      </c>
      <c r="J25" s="1055">
        <v>35.520000000000003</v>
      </c>
      <c r="K25" s="1147">
        <f t="shared" si="0"/>
        <v>3552.0000000000005</v>
      </c>
      <c r="L25" s="1118">
        <f t="shared" si="1"/>
        <v>3.9641525037190456E-2</v>
      </c>
      <c r="M25" s="345"/>
      <c r="N25" s="495">
        <f t="shared" si="7"/>
        <v>0.3995271867612295</v>
      </c>
      <c r="O25" s="329">
        <f>(J25-Transactions!C1272)/Transactions!C1272</f>
        <v>0.44802282918874853</v>
      </c>
      <c r="P25" s="1066"/>
      <c r="Q25" s="882"/>
      <c r="R25" s="326"/>
      <c r="S25" s="309"/>
      <c r="T25" s="328"/>
      <c r="U25" s="309"/>
      <c r="V25" s="328"/>
    </row>
    <row r="26" spans="1:22" ht="12.75" customHeight="1">
      <c r="A26" s="322">
        <v>19</v>
      </c>
      <c r="B26" s="334" t="s">
        <v>40</v>
      </c>
      <c r="C26" s="138" t="s">
        <v>41</v>
      </c>
      <c r="D26" s="1119">
        <v>75</v>
      </c>
      <c r="E26" s="1055">
        <v>25.96</v>
      </c>
      <c r="F26" s="327">
        <f t="shared" si="5"/>
        <v>1947</v>
      </c>
      <c r="G26" s="331">
        <f t="shared" si="6"/>
        <v>2.4719386715443544E-2</v>
      </c>
      <c r="H26" s="949"/>
      <c r="I26" s="1119">
        <v>75</v>
      </c>
      <c r="J26" s="1055">
        <v>26.709700000000002</v>
      </c>
      <c r="K26" s="1147">
        <f t="shared" si="0"/>
        <v>2003.2275000000002</v>
      </c>
      <c r="L26" s="1118">
        <f t="shared" si="1"/>
        <v>2.2356698506880192E-2</v>
      </c>
      <c r="M26" s="309"/>
      <c r="N26" s="495">
        <f t="shared" si="7"/>
        <v>2.8879044684129457E-2</v>
      </c>
      <c r="O26" s="329">
        <f>(J26-Transactions!C1774)/Transactions!C1774</f>
        <v>4.9084838963079365E-2</v>
      </c>
      <c r="P26" s="1066"/>
      <c r="Q26" s="882"/>
      <c r="R26" s="326"/>
      <c r="S26" s="309"/>
      <c r="T26" s="328"/>
      <c r="U26" s="309"/>
      <c r="V26" s="328"/>
    </row>
    <row r="27" spans="1:22" ht="12.75" customHeight="1">
      <c r="A27" s="322">
        <v>20</v>
      </c>
      <c r="B27" s="334" t="s">
        <v>292</v>
      </c>
      <c r="C27" s="138" t="s">
        <v>293</v>
      </c>
      <c r="D27" s="1119">
        <v>65</v>
      </c>
      <c r="E27" s="1055">
        <v>57.17</v>
      </c>
      <c r="F27" s="327">
        <f t="shared" si="5"/>
        <v>3716.05</v>
      </c>
      <c r="G27" s="331">
        <f t="shared" si="6"/>
        <v>4.717949512271391E-2</v>
      </c>
      <c r="H27" s="949"/>
      <c r="I27" s="1119">
        <v>65</v>
      </c>
      <c r="J27" s="1055">
        <v>63.3</v>
      </c>
      <c r="K27" s="1147">
        <f t="shared" si="0"/>
        <v>4114.5</v>
      </c>
      <c r="L27" s="1118">
        <f t="shared" si="1"/>
        <v>4.5919215868671204E-2</v>
      </c>
      <c r="M27" s="309"/>
      <c r="N27" s="495">
        <f t="shared" si="7"/>
        <v>0.10722406856743039</v>
      </c>
      <c r="O27" s="329">
        <f>(J27-Transactions!C1250)/Transactions!C1250</f>
        <v>0.19795609386828147</v>
      </c>
      <c r="P27" s="1066"/>
      <c r="Q27" s="882"/>
      <c r="R27" s="326"/>
      <c r="S27" s="309"/>
      <c r="T27" s="328"/>
      <c r="U27" s="309"/>
      <c r="V27" s="328"/>
    </row>
    <row r="28" spans="1:22" ht="12.75" customHeight="1">
      <c r="A28" s="322">
        <v>21</v>
      </c>
      <c r="B28" s="334" t="s">
        <v>256</v>
      </c>
      <c r="C28" s="138" t="s">
        <v>257</v>
      </c>
      <c r="D28" s="1119">
        <v>20</v>
      </c>
      <c r="E28" s="1055">
        <v>66.709999999999994</v>
      </c>
      <c r="F28" s="327">
        <f t="shared" si="5"/>
        <v>1334.1999999999998</v>
      </c>
      <c r="G28" s="331">
        <f t="shared" si="6"/>
        <v>1.6939191451332703E-2</v>
      </c>
      <c r="H28" s="949"/>
      <c r="I28" s="1119">
        <v>20</v>
      </c>
      <c r="J28" s="1055">
        <v>67.89</v>
      </c>
      <c r="K28" s="1147">
        <f t="shared" si="0"/>
        <v>1357.8</v>
      </c>
      <c r="L28" s="1118">
        <f t="shared" si="1"/>
        <v>1.5153508641750336E-2</v>
      </c>
      <c r="M28" s="309"/>
      <c r="N28" s="495">
        <f t="shared" si="7"/>
        <v>1.76885024733924E-2</v>
      </c>
      <c r="O28" s="329">
        <f>(J28-Transactions!C1315)/Transactions!C1315</f>
        <v>9.784376950617249E-2</v>
      </c>
      <c r="P28" s="1066"/>
      <c r="Q28" s="882"/>
      <c r="R28" s="326"/>
      <c r="S28" s="309"/>
      <c r="T28" s="328"/>
      <c r="U28" s="309"/>
      <c r="V28" s="328"/>
    </row>
    <row r="29" spans="1:22" ht="12.75" customHeight="1">
      <c r="A29" s="322">
        <v>22</v>
      </c>
      <c r="B29" s="334" t="s">
        <v>260</v>
      </c>
      <c r="C29" s="138" t="s">
        <v>261</v>
      </c>
      <c r="D29" s="1119">
        <v>88</v>
      </c>
      <c r="E29" s="1055">
        <v>50.62</v>
      </c>
      <c r="F29" s="327">
        <f t="shared" si="5"/>
        <v>4454.5599999999995</v>
      </c>
      <c r="G29" s="331">
        <f t="shared" si="6"/>
        <v>5.6555722284101786E-2</v>
      </c>
      <c r="H29" s="949"/>
      <c r="I29" s="1119">
        <v>50</v>
      </c>
      <c r="J29" s="1055">
        <v>78.989999999999995</v>
      </c>
      <c r="K29" s="1147">
        <f t="shared" si="0"/>
        <v>3949.4999999999995</v>
      </c>
      <c r="L29" s="1118">
        <f t="shared" si="1"/>
        <v>4.4077759891436849E-2</v>
      </c>
      <c r="M29" s="309"/>
      <c r="N29" s="495">
        <f t="shared" si="7"/>
        <v>0.56045041485578817</v>
      </c>
      <c r="O29" s="329">
        <f>(J29-Transactions!C1334)/Transactions!C1334</f>
        <v>1.1996658312447788</v>
      </c>
      <c r="P29" s="1066"/>
      <c r="Q29" s="882"/>
      <c r="R29" s="326"/>
      <c r="S29" s="309"/>
      <c r="T29" s="328"/>
      <c r="U29" s="309"/>
      <c r="V29" s="328"/>
    </row>
    <row r="30" spans="1:22" ht="12.75" customHeight="1">
      <c r="A30" s="322">
        <v>23</v>
      </c>
      <c r="B30" s="334" t="s">
        <v>345</v>
      </c>
      <c r="C30" s="138" t="s">
        <v>346</v>
      </c>
      <c r="D30" s="1119"/>
      <c r="E30" s="1055"/>
      <c r="F30" s="327"/>
      <c r="G30" s="331"/>
      <c r="H30" s="949"/>
      <c r="I30" s="1119">
        <v>25</v>
      </c>
      <c r="J30" s="1055">
        <v>84.33</v>
      </c>
      <c r="K30" s="1147">
        <f t="shared" si="0"/>
        <v>2108.25</v>
      </c>
      <c r="L30" s="1118">
        <f t="shared" si="1"/>
        <v>2.3528785236389856E-2</v>
      </c>
      <c r="M30" s="309"/>
      <c r="N30" s="495"/>
      <c r="O30" s="329">
        <f>(J30-Transactions!C1090)/Transactions!C1090</f>
        <v>1.0264327766430372</v>
      </c>
      <c r="P30" s="1066"/>
      <c r="Q30" s="882"/>
      <c r="R30" s="326"/>
      <c r="S30" s="309"/>
      <c r="T30" s="328"/>
      <c r="U30" s="309"/>
      <c r="V30" s="328"/>
    </row>
    <row r="31" spans="1:22" ht="12.75" customHeight="1">
      <c r="A31" s="322">
        <v>24</v>
      </c>
      <c r="B31" s="334" t="s">
        <v>347</v>
      </c>
      <c r="C31" s="138" t="s">
        <v>173</v>
      </c>
      <c r="D31" s="1119"/>
      <c r="E31" s="1055"/>
      <c r="F31" s="327"/>
      <c r="G31" s="331"/>
      <c r="H31" s="949"/>
      <c r="I31" s="1119">
        <v>60</v>
      </c>
      <c r="J31" s="1055">
        <v>54.24</v>
      </c>
      <c r="K31" s="1147">
        <f t="shared" si="0"/>
        <v>3254.4</v>
      </c>
      <c r="L31" s="1118">
        <f t="shared" si="1"/>
        <v>3.6320208074615036E-2</v>
      </c>
      <c r="M31" s="309"/>
      <c r="N31" s="495"/>
      <c r="O31" s="329">
        <f>(J31-Transactions!C1058)/Transactions!C1058</f>
        <v>-7.5664621676891572E-2</v>
      </c>
      <c r="P31" s="1066"/>
      <c r="Q31" s="882"/>
      <c r="R31" s="326"/>
      <c r="S31" s="309"/>
      <c r="T31" s="328"/>
      <c r="U31" s="309"/>
      <c r="V31" s="328"/>
    </row>
    <row r="32" spans="1:22" ht="12.75" customHeight="1">
      <c r="A32" s="322">
        <v>25</v>
      </c>
      <c r="B32" s="334" t="s">
        <v>330</v>
      </c>
      <c r="C32" s="138" t="s">
        <v>331</v>
      </c>
      <c r="D32" s="1119">
        <v>111</v>
      </c>
      <c r="E32" s="1055">
        <v>21.05</v>
      </c>
      <c r="F32" s="327">
        <f>E32*D32</f>
        <v>2336.5500000000002</v>
      </c>
      <c r="G32" s="331">
        <f>F32/$F$69</f>
        <v>2.9665168479696774E-2</v>
      </c>
      <c r="H32" s="949"/>
      <c r="I32" s="1119">
        <v>111</v>
      </c>
      <c r="J32" s="1055">
        <v>34.119999999999997</v>
      </c>
      <c r="K32" s="1147">
        <f t="shared" si="0"/>
        <v>3787.3199999999997</v>
      </c>
      <c r="L32" s="1118">
        <f t="shared" si="1"/>
        <v>4.2267776070904317E-2</v>
      </c>
      <c r="M32" s="309"/>
      <c r="N32" s="495">
        <f>(J32-E32)/E32</f>
        <v>0.6209026128266032</v>
      </c>
      <c r="O32" s="329">
        <f>(J32-Transactions!C1106)/Transactions!C1106</f>
        <v>0.51577076854731208</v>
      </c>
      <c r="P32" s="1066"/>
      <c r="Q32" s="882"/>
      <c r="R32" s="326"/>
      <c r="S32" s="309"/>
      <c r="T32" s="328"/>
      <c r="U32" s="309"/>
      <c r="V32" s="328"/>
    </row>
    <row r="33" spans="1:22" ht="12.75" customHeight="1">
      <c r="A33" s="322">
        <v>26</v>
      </c>
      <c r="B33" s="334" t="s">
        <v>296</v>
      </c>
      <c r="C33" s="138" t="s">
        <v>297</v>
      </c>
      <c r="D33" s="1119">
        <v>76</v>
      </c>
      <c r="E33" s="1055">
        <v>40.119999999999997</v>
      </c>
      <c r="F33" s="327">
        <f>E33*D33</f>
        <v>3049.12</v>
      </c>
      <c r="G33" s="331">
        <f>F33/$F$69</f>
        <v>3.8712057741034013E-2</v>
      </c>
      <c r="H33" s="949"/>
      <c r="I33" s="1119">
        <v>76</v>
      </c>
      <c r="J33" s="1055">
        <v>43.27</v>
      </c>
      <c r="K33" s="1147">
        <f t="shared" si="0"/>
        <v>3288.5200000000004</v>
      </c>
      <c r="L33" s="1118">
        <f t="shared" si="1"/>
        <v>3.6700998850028595E-2</v>
      </c>
      <c r="M33" s="309"/>
      <c r="N33" s="495">
        <f>(J33-E33)/E33</f>
        <v>7.8514456630109822E-2</v>
      </c>
      <c r="O33" s="329">
        <f>(J33-Transactions!C1281)/Transactions!C1281</f>
        <v>0.55703490464195771</v>
      </c>
      <c r="P33" s="1066"/>
      <c r="Q33" s="882"/>
      <c r="R33" s="326"/>
      <c r="S33" s="309"/>
      <c r="T33" s="328"/>
      <c r="U33" s="309"/>
      <c r="V33" s="328"/>
    </row>
    <row r="34" spans="1:22" ht="12.75" customHeight="1">
      <c r="A34" s="322">
        <v>27</v>
      </c>
      <c r="B34" s="334" t="s">
        <v>298</v>
      </c>
      <c r="C34" s="138" t="s">
        <v>299</v>
      </c>
      <c r="D34" s="1119">
        <v>35</v>
      </c>
      <c r="E34" s="1055">
        <v>39.35</v>
      </c>
      <c r="F34" s="327">
        <f>E34*D34</f>
        <v>1377.25</v>
      </c>
      <c r="G34" s="331">
        <f>F34/$F$69</f>
        <v>1.7485760325549368E-2</v>
      </c>
      <c r="H34" s="949"/>
      <c r="I34" s="1119">
        <v>35</v>
      </c>
      <c r="J34" s="1055">
        <v>52.05</v>
      </c>
      <c r="K34" s="1147">
        <f t="shared" si="0"/>
        <v>1821.75</v>
      </c>
      <c r="L34" s="1118">
        <f t="shared" si="1"/>
        <v>2.033134803955566E-2</v>
      </c>
      <c r="M34" s="309"/>
      <c r="N34" s="495">
        <f>(J34-E34)/E34</f>
        <v>0.32274459974587028</v>
      </c>
      <c r="O34" s="329">
        <f>(J34-Transactions!C1287)/Transactions!C1287</f>
        <v>0.1535904255319149</v>
      </c>
      <c r="P34" s="1066"/>
      <c r="Q34" s="882"/>
      <c r="R34" s="326"/>
      <c r="S34" s="309"/>
      <c r="T34" s="328"/>
      <c r="U34" s="309"/>
      <c r="V34" s="328"/>
    </row>
    <row r="35" spans="1:22" ht="12.75" customHeight="1">
      <c r="A35" s="322">
        <v>28</v>
      </c>
      <c r="B35" s="334" t="s">
        <v>240</v>
      </c>
      <c r="C35" s="138" t="s">
        <v>264</v>
      </c>
      <c r="D35" s="1119">
        <v>75</v>
      </c>
      <c r="E35" s="1055">
        <v>32.71</v>
      </c>
      <c r="F35" s="327">
        <f>E35*D35</f>
        <v>2453.25</v>
      </c>
      <c r="G35" s="331">
        <f>F35/$F$69</f>
        <v>3.1146808145691769E-2</v>
      </c>
      <c r="H35" s="949"/>
      <c r="I35" s="1119">
        <v>75</v>
      </c>
      <c r="J35" s="1055">
        <v>33.74</v>
      </c>
      <c r="K35" s="1147">
        <f t="shared" si="0"/>
        <v>2530.5</v>
      </c>
      <c r="L35" s="1118">
        <f t="shared" si="1"/>
        <v>2.8241238487221407E-2</v>
      </c>
      <c r="M35" s="309"/>
      <c r="N35" s="495">
        <f>(J35-E35)/E35</f>
        <v>3.1488841332925746E-2</v>
      </c>
      <c r="O35" s="329">
        <f>(J35-Transactions!C1387)/Transactions!C1387</f>
        <v>-3.0164360408630173E-2</v>
      </c>
      <c r="P35" s="1066"/>
      <c r="Q35" s="882"/>
      <c r="R35" s="326"/>
      <c r="S35" s="309"/>
      <c r="T35" s="328"/>
      <c r="U35" s="309"/>
      <c r="V35" s="328"/>
    </row>
    <row r="36" spans="1:22" ht="12.75" customHeight="1">
      <c r="A36" s="322">
        <v>29</v>
      </c>
      <c r="B36" s="1059" t="s">
        <v>50</v>
      </c>
      <c r="C36" s="138" t="s">
        <v>51</v>
      </c>
      <c r="D36" s="1119">
        <v>54</v>
      </c>
      <c r="E36" s="1055">
        <v>59.01</v>
      </c>
      <c r="F36" s="327">
        <f>E36*D36</f>
        <v>3186.54</v>
      </c>
      <c r="G36" s="331">
        <f>F36/$F$69</f>
        <v>4.0456761450554428E-2</v>
      </c>
      <c r="H36" s="949"/>
      <c r="I36" s="1119">
        <v>54</v>
      </c>
      <c r="J36" s="1055">
        <v>66.400000000000006</v>
      </c>
      <c r="K36" s="1147">
        <f t="shared" si="0"/>
        <v>3585.6000000000004</v>
      </c>
      <c r="L36" s="1118">
        <f t="shared" si="1"/>
        <v>4.0016512436190907E-2</v>
      </c>
      <c r="M36" s="309"/>
      <c r="N36" s="495">
        <f>(J36-E36)/E36</f>
        <v>0.12523301135400794</v>
      </c>
      <c r="O36" s="329">
        <f>(J36-Transactions!C1488)/Transactions!C1488</f>
        <v>1.300762300762301</v>
      </c>
      <c r="P36" s="1066"/>
      <c r="Q36" s="882"/>
      <c r="R36" s="326"/>
      <c r="S36" s="309"/>
      <c r="T36" s="328"/>
      <c r="U36" s="309"/>
      <c r="V36" s="328"/>
    </row>
    <row r="37" spans="1:22" ht="12.75" customHeight="1">
      <c r="A37" s="322"/>
      <c r="B37" s="913"/>
      <c r="C37" s="138"/>
      <c r="D37" s="1119"/>
      <c r="E37" s="1055"/>
      <c r="F37" s="327"/>
      <c r="G37" s="331"/>
      <c r="H37" s="949"/>
      <c r="I37" s="1119"/>
      <c r="J37" s="1055"/>
      <c r="K37" s="1147"/>
      <c r="L37" s="1118"/>
      <c r="M37" s="309"/>
      <c r="N37" s="495"/>
      <c r="O37" s="329"/>
      <c r="P37" s="1066"/>
      <c r="Q37" s="882"/>
      <c r="R37" s="326"/>
      <c r="S37" s="309"/>
      <c r="T37" s="328"/>
      <c r="U37" s="309"/>
      <c r="V37" s="328"/>
    </row>
    <row r="38" spans="1:22" ht="12.75" customHeight="1">
      <c r="A38" s="322">
        <v>30</v>
      </c>
      <c r="B38" s="913" t="s">
        <v>348</v>
      </c>
      <c r="C38" s="138" t="s">
        <v>349</v>
      </c>
      <c r="D38" s="1119"/>
      <c r="E38" s="1055"/>
      <c r="F38" s="327"/>
      <c r="G38" s="331"/>
      <c r="H38" s="949"/>
      <c r="I38" s="1119">
        <v>265</v>
      </c>
      <c r="J38" s="1055">
        <v>16.279199999999999</v>
      </c>
      <c r="K38" s="1147">
        <f>I38*J38</f>
        <v>4313.9880000000003</v>
      </c>
      <c r="L38" s="1118">
        <f>K38/$K$69</f>
        <v>4.8145569626165313E-2</v>
      </c>
      <c r="M38" s="309"/>
      <c r="N38" s="495"/>
      <c r="O38" s="329">
        <f>(J38-Transactions!C1029)/Transactions!C1029</f>
        <v>-3.9575221238938044E-2</v>
      </c>
      <c r="P38" s="1066"/>
      <c r="Q38" s="882"/>
      <c r="R38" s="326"/>
      <c r="S38" s="309"/>
      <c r="T38" s="328"/>
      <c r="U38" s="309"/>
      <c r="V38" s="328"/>
    </row>
    <row r="39" spans="1:22" ht="12.75" customHeight="1">
      <c r="A39" s="322">
        <v>31</v>
      </c>
      <c r="B39" s="913" t="s">
        <v>350</v>
      </c>
      <c r="C39" s="138" t="s">
        <v>351</v>
      </c>
      <c r="D39" s="1119"/>
      <c r="E39" s="1055"/>
      <c r="F39" s="327"/>
      <c r="G39" s="331"/>
      <c r="H39" s="949"/>
      <c r="I39" s="1119">
        <v>55</v>
      </c>
      <c r="J39" s="1055">
        <v>63.54</v>
      </c>
      <c r="K39" s="1147">
        <f>I39*J39</f>
        <v>3494.7</v>
      </c>
      <c r="L39" s="1118">
        <f>K39/$K$69</f>
        <v>3.9002037597823613E-2</v>
      </c>
      <c r="M39" s="309"/>
      <c r="N39" s="495"/>
      <c r="O39" s="329">
        <f>(J39-Transactions!C1020)/Transactions!C1020</f>
        <v>8.4129636771364084E-3</v>
      </c>
      <c r="P39" s="1066"/>
      <c r="Q39" s="882"/>
      <c r="R39" s="326"/>
      <c r="S39" s="309"/>
      <c r="T39" s="328"/>
      <c r="U39" s="309"/>
      <c r="V39" s="328"/>
    </row>
    <row r="40" spans="1:22" ht="12.75" customHeight="1">
      <c r="A40" s="322">
        <v>32</v>
      </c>
      <c r="B40" s="913" t="s">
        <v>352</v>
      </c>
      <c r="C40" s="138" t="s">
        <v>353</v>
      </c>
      <c r="D40" s="1119"/>
      <c r="E40" s="1055"/>
      <c r="F40" s="327"/>
      <c r="G40" s="331"/>
      <c r="H40" s="949"/>
      <c r="I40" s="1119">
        <v>40</v>
      </c>
      <c r="J40" s="1055">
        <v>80.989999999999995</v>
      </c>
      <c r="K40" s="1147">
        <f>I40*J40</f>
        <v>3239.6</v>
      </c>
      <c r="L40" s="1118">
        <f>K40/$K$69</f>
        <v>3.6155035053626744E-2</v>
      </c>
      <c r="M40" s="309"/>
      <c r="N40" s="495"/>
      <c r="O40" s="329">
        <f>(J40-Transactions!C1021)/Transactions!C1021</f>
        <v>-4.0568175809366364E-3</v>
      </c>
      <c r="P40" s="1066"/>
      <c r="Q40" s="882"/>
      <c r="R40" s="326"/>
      <c r="S40" s="309"/>
      <c r="T40" s="328"/>
      <c r="U40" s="309"/>
      <c r="V40" s="328"/>
    </row>
    <row r="41" spans="1:22" ht="12.75" customHeight="1">
      <c r="A41" s="45"/>
      <c r="B41" s="959"/>
      <c r="C41" s="309"/>
      <c r="D41" s="946"/>
      <c r="E41" s="947"/>
      <c r="F41" s="948"/>
      <c r="G41" s="949"/>
      <c r="H41" s="949"/>
      <c r="I41" s="950"/>
      <c r="J41" s="1032"/>
      <c r="K41" s="1056"/>
      <c r="L41" s="1031"/>
      <c r="M41" s="309"/>
      <c r="N41" s="1061"/>
      <c r="O41" s="1068"/>
      <c r="P41" s="1151"/>
      <c r="Q41" s="325"/>
      <c r="R41" s="326"/>
      <c r="S41" s="309"/>
      <c r="T41" s="309"/>
      <c r="U41" s="309"/>
      <c r="V41" s="328"/>
    </row>
    <row r="42" spans="1:22" ht="12.75" hidden="1" customHeight="1">
      <c r="A42" s="1121"/>
      <c r="B42" s="323"/>
      <c r="C42" s="323"/>
      <c r="D42" s="946"/>
      <c r="E42" s="964"/>
      <c r="F42" s="948"/>
      <c r="G42" s="949"/>
      <c r="H42" s="949"/>
      <c r="I42" s="950"/>
      <c r="J42" s="964"/>
      <c r="K42" s="1071"/>
      <c r="L42" s="1031"/>
      <c r="M42" s="309"/>
      <c r="N42" s="895"/>
      <c r="O42" s="1073"/>
      <c r="P42" s="1151"/>
      <c r="Q42" s="325"/>
      <c r="R42" s="326"/>
      <c r="S42" s="309"/>
      <c r="T42" s="309"/>
      <c r="U42" s="309"/>
      <c r="V42" s="328"/>
    </row>
    <row r="43" spans="1:22" ht="12.75" hidden="1" customHeight="1">
      <c r="A43" s="322"/>
      <c r="B43" s="323"/>
      <c r="C43" s="323"/>
      <c r="D43" s="946"/>
      <c r="E43" s="964"/>
      <c r="F43" s="948"/>
      <c r="G43" s="949"/>
      <c r="H43" s="949"/>
      <c r="I43" s="950"/>
      <c r="J43" s="1032"/>
      <c r="K43" s="1056"/>
      <c r="L43" s="1031"/>
      <c r="M43" s="309"/>
      <c r="N43" s="895"/>
      <c r="O43" s="329"/>
      <c r="P43" s="1151"/>
      <c r="Q43" s="325"/>
      <c r="R43" s="326"/>
      <c r="S43" s="309"/>
      <c r="T43" s="309"/>
      <c r="U43" s="309"/>
      <c r="V43" s="328"/>
    </row>
    <row r="44" spans="1:22" ht="12.75" hidden="1" customHeight="1">
      <c r="A44" s="1121"/>
      <c r="B44" s="323"/>
      <c r="C44" s="323"/>
      <c r="D44" s="946"/>
      <c r="E44" s="964"/>
      <c r="F44" s="1047"/>
      <c r="G44" s="949"/>
      <c r="H44" s="949"/>
      <c r="I44" s="950"/>
      <c r="J44" s="1032"/>
      <c r="K44" s="1056"/>
      <c r="L44" s="1031"/>
      <c r="M44" s="309"/>
      <c r="N44" s="895"/>
      <c r="O44" s="329"/>
      <c r="P44" s="1151"/>
      <c r="Q44" s="325"/>
      <c r="R44" s="326"/>
      <c r="S44" s="309"/>
      <c r="T44" s="309"/>
      <c r="U44" s="309"/>
      <c r="V44" s="328"/>
    </row>
    <row r="45" spans="1:22" ht="12.75" hidden="1" customHeight="1">
      <c r="A45" s="322"/>
      <c r="B45" s="323"/>
      <c r="C45" s="323"/>
      <c r="D45" s="946"/>
      <c r="E45" s="964"/>
      <c r="F45" s="948"/>
      <c r="G45" s="949"/>
      <c r="H45" s="949"/>
      <c r="I45" s="950"/>
      <c r="J45" s="1032"/>
      <c r="K45" s="1056"/>
      <c r="L45" s="1031"/>
      <c r="M45" s="309"/>
      <c r="N45" s="895"/>
      <c r="O45" s="329"/>
      <c r="P45" s="1151"/>
      <c r="Q45" s="325"/>
      <c r="R45" s="326"/>
      <c r="S45" s="309"/>
      <c r="T45" s="309"/>
      <c r="U45" s="309"/>
      <c r="V45" s="328"/>
    </row>
    <row r="46" spans="1:22" ht="12.75" hidden="1" customHeight="1">
      <c r="A46" s="1121"/>
      <c r="B46" s="323"/>
      <c r="C46" s="323"/>
      <c r="D46" s="946"/>
      <c r="E46" s="964"/>
      <c r="F46" s="948"/>
      <c r="G46" s="949"/>
      <c r="H46" s="949"/>
      <c r="I46" s="950"/>
      <c r="J46" s="1032"/>
      <c r="K46" s="1056"/>
      <c r="L46" s="1031"/>
      <c r="M46" s="309"/>
      <c r="N46" s="895"/>
      <c r="O46" s="329"/>
      <c r="P46" s="1151"/>
      <c r="Q46" s="325"/>
      <c r="R46" s="326"/>
      <c r="S46" s="309"/>
      <c r="T46" s="309"/>
      <c r="U46" s="309"/>
      <c r="V46" s="328"/>
    </row>
    <row r="47" spans="1:22" ht="12.75" hidden="1" customHeight="1">
      <c r="A47" s="322"/>
      <c r="B47" s="323"/>
      <c r="C47" s="323"/>
      <c r="D47" s="946"/>
      <c r="E47" s="964"/>
      <c r="F47" s="948"/>
      <c r="G47" s="949"/>
      <c r="H47" s="949"/>
      <c r="I47" s="950"/>
      <c r="J47" s="1032"/>
      <c r="K47" s="1056"/>
      <c r="L47" s="1031"/>
      <c r="M47" s="309"/>
      <c r="N47" s="895"/>
      <c r="O47" s="329"/>
      <c r="P47" s="1151"/>
      <c r="Q47" s="325"/>
      <c r="R47" s="326"/>
      <c r="S47" s="309"/>
      <c r="T47" s="309"/>
      <c r="U47" s="309"/>
      <c r="V47" s="328"/>
    </row>
    <row r="48" spans="1:22" ht="13.5" hidden="1" customHeight="1">
      <c r="A48" s="1121"/>
      <c r="B48" s="913"/>
      <c r="C48" s="323"/>
      <c r="D48" s="946"/>
      <c r="E48" s="964"/>
      <c r="F48" s="948"/>
      <c r="G48" s="949"/>
      <c r="H48" s="949"/>
      <c r="I48" s="950"/>
      <c r="J48" s="1032"/>
      <c r="K48" s="1056"/>
      <c r="L48" s="1031"/>
      <c r="M48" s="309"/>
      <c r="N48" s="895"/>
      <c r="O48" s="329"/>
      <c r="P48" s="1151"/>
      <c r="Q48" s="325"/>
      <c r="R48" s="326"/>
      <c r="S48" s="309"/>
      <c r="T48" s="309"/>
      <c r="U48" s="309"/>
      <c r="V48" s="328"/>
    </row>
    <row r="49" spans="1:26" ht="12.75" hidden="1" customHeight="1">
      <c r="A49" s="46"/>
      <c r="B49" s="323"/>
      <c r="C49" s="138"/>
      <c r="D49" s="950"/>
      <c r="E49" s="964"/>
      <c r="F49" s="948"/>
      <c r="G49" s="949"/>
      <c r="H49" s="949"/>
      <c r="I49" s="950"/>
      <c r="J49" s="1032"/>
      <c r="K49" s="1056"/>
      <c r="L49" s="1031"/>
      <c r="M49" s="309"/>
      <c r="N49" s="895"/>
      <c r="O49" s="329"/>
      <c r="P49" s="1151"/>
      <c r="Q49" s="325"/>
      <c r="R49" s="326"/>
      <c r="S49" s="309"/>
      <c r="T49" s="309"/>
      <c r="U49" s="309"/>
      <c r="V49" s="328"/>
      <c r="W49" s="5"/>
      <c r="X49" s="5"/>
      <c r="Y49" s="5"/>
      <c r="Z49" s="5"/>
    </row>
    <row r="50" spans="1:26" ht="12.75" hidden="1" customHeight="1">
      <c r="A50" s="322"/>
      <c r="B50" s="323"/>
      <c r="C50" s="323"/>
      <c r="D50" s="946"/>
      <c r="E50" s="964"/>
      <c r="F50" s="948"/>
      <c r="G50" s="949"/>
      <c r="H50" s="949"/>
      <c r="I50" s="950"/>
      <c r="J50" s="1032"/>
      <c r="K50" s="1056"/>
      <c r="L50" s="1031"/>
      <c r="M50" s="309"/>
      <c r="N50" s="895"/>
      <c r="O50" s="329"/>
      <c r="P50" s="1151"/>
      <c r="Q50" s="325"/>
      <c r="R50" s="326"/>
      <c r="S50" s="309"/>
      <c r="T50" s="309"/>
      <c r="U50" s="309"/>
      <c r="V50" s="328"/>
      <c r="W50" s="5"/>
      <c r="X50" s="5"/>
      <c r="Y50" s="5"/>
      <c r="Z50" s="5"/>
    </row>
    <row r="51" spans="1:26" ht="12.75" customHeight="1">
      <c r="A51" s="46"/>
      <c r="B51" s="1122" t="s">
        <v>52</v>
      </c>
      <c r="C51" s="1123"/>
      <c r="D51" s="946"/>
      <c r="E51" s="964"/>
      <c r="F51" s="1005"/>
      <c r="G51" s="949"/>
      <c r="H51" s="949"/>
      <c r="I51" s="950"/>
      <c r="J51" s="1032"/>
      <c r="K51" s="1056"/>
      <c r="L51" s="1031"/>
      <c r="M51" s="309"/>
      <c r="N51" s="895"/>
      <c r="O51" s="54"/>
      <c r="P51" s="1151"/>
      <c r="Q51" s="325"/>
      <c r="R51" s="326"/>
      <c r="S51" s="309"/>
      <c r="T51" s="309"/>
      <c r="U51" s="309"/>
      <c r="V51" s="328"/>
      <c r="W51" s="5"/>
      <c r="X51" s="5"/>
      <c r="Y51" s="5"/>
      <c r="Z51" s="5"/>
    </row>
    <row r="52" spans="1:26" ht="12.75" customHeight="1">
      <c r="A52" s="532">
        <v>1</v>
      </c>
      <c r="B52" s="334" t="s">
        <v>354</v>
      </c>
      <c r="C52" s="138" t="s">
        <v>25</v>
      </c>
      <c r="D52" s="1124">
        <v>20</v>
      </c>
      <c r="E52" s="1165">
        <v>52.98</v>
      </c>
      <c r="F52" s="1168">
        <f t="shared" ref="F52:F62" si="8">D52*E52</f>
        <v>1059.5999999999999</v>
      </c>
      <c r="G52" s="1128"/>
      <c r="H52" s="1128"/>
      <c r="I52" s="1166"/>
      <c r="J52" s="1167"/>
      <c r="K52" s="1081"/>
      <c r="L52" s="1129"/>
      <c r="M52" s="1130"/>
      <c r="N52" s="132"/>
      <c r="O52" s="1086"/>
      <c r="P52" s="1151"/>
      <c r="Q52" s="325"/>
      <c r="R52" s="326"/>
      <c r="S52" s="309"/>
      <c r="T52" s="309"/>
      <c r="U52" s="309"/>
      <c r="V52" s="328"/>
      <c r="W52" s="5"/>
      <c r="X52" s="5"/>
      <c r="Y52" s="5"/>
      <c r="Z52" s="5"/>
    </row>
    <row r="53" spans="1:26" ht="12.75" customHeight="1">
      <c r="A53" s="532">
        <v>2</v>
      </c>
      <c r="B53" s="334" t="s">
        <v>355</v>
      </c>
      <c r="C53" s="323" t="s">
        <v>261</v>
      </c>
      <c r="D53" s="1133">
        <v>38</v>
      </c>
      <c r="E53" s="1168">
        <v>60.55</v>
      </c>
      <c r="F53" s="1168">
        <f t="shared" si="8"/>
        <v>2300.9</v>
      </c>
      <c r="G53" s="949"/>
      <c r="H53" s="949"/>
      <c r="I53" s="950"/>
      <c r="J53" s="1032"/>
      <c r="K53" s="1056"/>
      <c r="L53" s="1031"/>
      <c r="M53" s="309"/>
      <c r="N53" s="895"/>
      <c r="O53" s="329"/>
      <c r="P53" s="1151"/>
      <c r="Q53" s="325"/>
      <c r="R53" s="326"/>
      <c r="S53" s="309"/>
      <c r="T53" s="309"/>
      <c r="U53" s="309"/>
      <c r="V53" s="328"/>
      <c r="W53" s="5"/>
      <c r="X53" s="5"/>
      <c r="Y53" s="5"/>
      <c r="Z53" s="5"/>
    </row>
    <row r="54" spans="1:26" ht="12.75" customHeight="1">
      <c r="A54" s="532">
        <v>3</v>
      </c>
      <c r="B54" s="334" t="s">
        <v>208</v>
      </c>
      <c r="C54" s="323" t="s">
        <v>209</v>
      </c>
      <c r="D54" s="1133">
        <v>150</v>
      </c>
      <c r="E54" s="1168">
        <v>23.42</v>
      </c>
      <c r="F54" s="1168">
        <f t="shared" si="8"/>
        <v>3513.0000000000005</v>
      </c>
      <c r="G54" s="949"/>
      <c r="H54" s="949"/>
      <c r="I54" s="950"/>
      <c r="J54" s="1032"/>
      <c r="K54" s="1056"/>
      <c r="L54" s="1031"/>
      <c r="M54" s="309"/>
      <c r="N54" s="895"/>
      <c r="O54" s="329"/>
      <c r="P54" s="1151"/>
      <c r="Q54" s="325"/>
      <c r="R54" s="326"/>
      <c r="S54" s="309"/>
      <c r="T54" s="309"/>
      <c r="U54" s="309"/>
      <c r="V54" s="328"/>
      <c r="W54" s="5"/>
      <c r="X54" s="5"/>
      <c r="Y54" s="5"/>
      <c r="Z54" s="5"/>
    </row>
    <row r="55" spans="1:26" ht="12.75" customHeight="1">
      <c r="A55" s="532">
        <v>4</v>
      </c>
      <c r="B55" s="334" t="s">
        <v>247</v>
      </c>
      <c r="C55" s="323" t="s">
        <v>205</v>
      </c>
      <c r="D55" s="1133">
        <v>17</v>
      </c>
      <c r="E55" s="1168">
        <v>35.26</v>
      </c>
      <c r="F55" s="1168">
        <f t="shared" si="8"/>
        <v>599.41999999999996</v>
      </c>
      <c r="G55" s="949"/>
      <c r="H55" s="949"/>
      <c r="I55" s="950"/>
      <c r="J55" s="1032"/>
      <c r="K55" s="1056"/>
      <c r="L55" s="1031"/>
      <c r="M55" s="309"/>
      <c r="N55" s="895"/>
      <c r="O55" s="329"/>
      <c r="P55" s="1151"/>
      <c r="Q55" s="325"/>
      <c r="R55" s="326"/>
      <c r="S55" s="309"/>
      <c r="T55" s="309"/>
      <c r="U55" s="309"/>
      <c r="V55" s="328"/>
      <c r="W55" s="5"/>
      <c r="X55" s="5"/>
      <c r="Y55" s="5"/>
      <c r="Z55" s="5"/>
    </row>
    <row r="56" spans="1:26" ht="12.75" customHeight="1">
      <c r="A56" s="532">
        <v>5</v>
      </c>
      <c r="B56" s="334" t="s">
        <v>356</v>
      </c>
      <c r="C56" s="323" t="s">
        <v>301</v>
      </c>
      <c r="D56" s="1133">
        <v>280</v>
      </c>
      <c r="E56" s="1168">
        <v>3.22</v>
      </c>
      <c r="F56" s="1168">
        <f t="shared" si="8"/>
        <v>901.6</v>
      </c>
      <c r="G56" s="949"/>
      <c r="H56" s="949"/>
      <c r="I56" s="950"/>
      <c r="J56" s="1032"/>
      <c r="K56" s="1056"/>
      <c r="L56" s="1031"/>
      <c r="M56" s="309"/>
      <c r="N56" s="895"/>
      <c r="O56" s="329"/>
      <c r="P56" s="1151"/>
      <c r="Q56" s="325"/>
      <c r="R56" s="326"/>
      <c r="S56" s="309"/>
      <c r="T56" s="309"/>
      <c r="U56" s="309"/>
      <c r="V56" s="328"/>
      <c r="W56" s="5"/>
      <c r="X56" s="5"/>
      <c r="Y56" s="5"/>
      <c r="Z56" s="5"/>
    </row>
    <row r="57" spans="1:26" ht="12.75" customHeight="1">
      <c r="A57" s="532">
        <v>6</v>
      </c>
      <c r="B57" s="334" t="s">
        <v>324</v>
      </c>
      <c r="C57" s="323" t="s">
        <v>325</v>
      </c>
      <c r="D57" s="1133">
        <v>50</v>
      </c>
      <c r="E57" s="1168">
        <v>21.5</v>
      </c>
      <c r="F57" s="1168">
        <f t="shared" si="8"/>
        <v>1075</v>
      </c>
      <c r="G57" s="949"/>
      <c r="H57" s="949"/>
      <c r="I57" s="950"/>
      <c r="J57" s="1032"/>
      <c r="K57" s="1056"/>
      <c r="L57" s="1031"/>
      <c r="M57" s="309"/>
      <c r="N57" s="895"/>
      <c r="O57" s="329"/>
      <c r="P57" s="1151"/>
      <c r="Q57" s="325"/>
      <c r="R57" s="326"/>
      <c r="S57" s="309"/>
      <c r="T57" s="309"/>
      <c r="U57" s="309"/>
      <c r="V57" s="328"/>
      <c r="W57" s="5"/>
      <c r="X57" s="5"/>
      <c r="Y57" s="5"/>
      <c r="Z57" s="5"/>
    </row>
    <row r="58" spans="1:26" ht="12.75" customHeight="1">
      <c r="A58" s="532">
        <v>7</v>
      </c>
      <c r="B58" s="334" t="s">
        <v>328</v>
      </c>
      <c r="C58" s="323" t="s">
        <v>329</v>
      </c>
      <c r="D58" s="1133">
        <v>20</v>
      </c>
      <c r="E58" s="1168">
        <v>60</v>
      </c>
      <c r="F58" s="1168">
        <f t="shared" si="8"/>
        <v>1200</v>
      </c>
      <c r="G58" s="949"/>
      <c r="H58" s="949"/>
      <c r="I58" s="950"/>
      <c r="J58" s="1032"/>
      <c r="K58" s="1056"/>
      <c r="L58" s="1031"/>
      <c r="M58" s="309"/>
      <c r="N58" s="895"/>
      <c r="O58" s="329"/>
      <c r="P58" s="1151"/>
      <c r="Q58" s="325"/>
      <c r="R58" s="326"/>
      <c r="S58" s="309"/>
      <c r="T58" s="309"/>
      <c r="U58" s="309"/>
      <c r="V58" s="328"/>
      <c r="W58" s="5"/>
      <c r="X58" s="5"/>
      <c r="Y58" s="5"/>
      <c r="Z58" s="5"/>
    </row>
    <row r="59" spans="1:26" ht="12.75" customHeight="1">
      <c r="A59" s="532">
        <v>8</v>
      </c>
      <c r="B59" s="334" t="s">
        <v>222</v>
      </c>
      <c r="C59" s="323" t="s">
        <v>223</v>
      </c>
      <c r="D59" s="1133">
        <v>100</v>
      </c>
      <c r="E59" s="1168">
        <v>12.01</v>
      </c>
      <c r="F59" s="1168">
        <f t="shared" si="8"/>
        <v>1201</v>
      </c>
      <c r="G59" s="949"/>
      <c r="H59" s="949"/>
      <c r="I59" s="950"/>
      <c r="J59" s="1032"/>
      <c r="K59" s="1056"/>
      <c r="L59" s="1031"/>
      <c r="M59" s="309"/>
      <c r="N59" s="895"/>
      <c r="O59" s="329"/>
      <c r="P59" s="1151"/>
      <c r="Q59" s="325"/>
      <c r="R59" s="326"/>
      <c r="S59" s="309"/>
      <c r="T59" s="309"/>
      <c r="U59" s="309"/>
      <c r="V59" s="328"/>
      <c r="W59" s="5"/>
      <c r="X59" s="5"/>
      <c r="Y59" s="5"/>
      <c r="Z59" s="5"/>
    </row>
    <row r="60" spans="1:26" ht="12.75" customHeight="1">
      <c r="A60" s="532">
        <v>9</v>
      </c>
      <c r="B60" s="334" t="s">
        <v>326</v>
      </c>
      <c r="C60" s="323" t="s">
        <v>327</v>
      </c>
      <c r="D60" s="1133">
        <v>65</v>
      </c>
      <c r="E60" s="1168">
        <v>26.51</v>
      </c>
      <c r="F60" s="1168">
        <f t="shared" si="8"/>
        <v>1723.15</v>
      </c>
      <c r="G60" s="949"/>
      <c r="H60" s="949"/>
      <c r="I60" s="950"/>
      <c r="J60" s="1032"/>
      <c r="K60" s="1056"/>
      <c r="L60" s="1031"/>
      <c r="M60" s="309"/>
      <c r="N60" s="895"/>
      <c r="O60" s="329"/>
      <c r="P60" s="1151"/>
      <c r="Q60" s="325"/>
      <c r="R60" s="326"/>
      <c r="S60" s="309"/>
      <c r="T60" s="309"/>
      <c r="U60" s="309"/>
      <c r="V60" s="328"/>
      <c r="W60" s="5"/>
      <c r="X60" s="5"/>
      <c r="Y60" s="5"/>
      <c r="Z60" s="5"/>
    </row>
    <row r="61" spans="1:26" ht="12.75" customHeight="1">
      <c r="A61" s="322">
        <v>10</v>
      </c>
      <c r="B61" s="913" t="s">
        <v>357</v>
      </c>
      <c r="C61" s="323" t="s">
        <v>358</v>
      </c>
      <c r="D61" s="1133">
        <v>30</v>
      </c>
      <c r="E61" s="1168">
        <v>111.7201</v>
      </c>
      <c r="F61" s="1168">
        <f t="shared" si="8"/>
        <v>3351.6030000000001</v>
      </c>
      <c r="G61" s="949"/>
      <c r="H61" s="949"/>
      <c r="I61" s="950"/>
      <c r="J61" s="1032"/>
      <c r="K61" s="1056"/>
      <c r="L61" s="1031"/>
      <c r="M61" s="309"/>
      <c r="N61" s="895"/>
      <c r="O61" s="329"/>
      <c r="P61" s="1151"/>
      <c r="Q61" s="325"/>
      <c r="R61" s="326"/>
      <c r="S61" s="309"/>
      <c r="T61" s="309"/>
      <c r="U61" s="309"/>
      <c r="V61" s="328"/>
      <c r="W61" s="5"/>
      <c r="X61" s="5"/>
      <c r="Y61" s="5"/>
      <c r="Z61" s="5"/>
    </row>
    <row r="62" spans="1:26" ht="12.75" customHeight="1">
      <c r="A62" s="532">
        <v>11</v>
      </c>
      <c r="B62" s="334" t="s">
        <v>206</v>
      </c>
      <c r="C62" s="323" t="s">
        <v>207</v>
      </c>
      <c r="D62" s="1133">
        <v>6</v>
      </c>
      <c r="E62" s="1168">
        <v>586.14009999999996</v>
      </c>
      <c r="F62" s="1168">
        <f t="shared" si="8"/>
        <v>3516.8405999999995</v>
      </c>
      <c r="G62" s="949"/>
      <c r="H62" s="949"/>
      <c r="I62" s="950"/>
      <c r="J62" s="1032"/>
      <c r="K62" s="1056"/>
      <c r="L62" s="1031"/>
      <c r="M62" s="309"/>
      <c r="N62" s="895"/>
      <c r="O62" s="329"/>
      <c r="P62" s="1151"/>
      <c r="Q62" s="325"/>
      <c r="R62" s="326"/>
      <c r="S62" s="309"/>
      <c r="T62" s="309"/>
      <c r="U62" s="309"/>
      <c r="V62" s="328"/>
      <c r="W62" s="5"/>
      <c r="X62" s="5"/>
      <c r="Y62" s="5"/>
      <c r="Z62" s="5"/>
    </row>
    <row r="63" spans="1:26" ht="12.75" customHeight="1">
      <c r="A63" s="532"/>
      <c r="B63" s="1059"/>
      <c r="C63" s="323"/>
      <c r="D63" s="1133"/>
      <c r="E63" s="1168"/>
      <c r="F63" s="1168"/>
      <c r="G63" s="949"/>
      <c r="H63" s="949"/>
      <c r="I63" s="950"/>
      <c r="J63" s="1032"/>
      <c r="K63" s="1056"/>
      <c r="L63" s="1031"/>
      <c r="M63" s="309"/>
      <c r="N63" s="895"/>
      <c r="O63" s="329"/>
      <c r="P63" s="1151"/>
      <c r="Q63" s="325"/>
      <c r="R63" s="326"/>
      <c r="S63" s="309"/>
      <c r="T63" s="309"/>
      <c r="U63" s="309"/>
      <c r="V63" s="328"/>
      <c r="W63" s="5"/>
      <c r="X63" s="5"/>
      <c r="Y63" s="5"/>
      <c r="Z63" s="5"/>
    </row>
    <row r="64" spans="1:26" ht="12.75" customHeight="1">
      <c r="A64" s="1169"/>
      <c r="B64" s="1075"/>
      <c r="C64" s="918"/>
      <c r="D64" s="55"/>
      <c r="E64" s="1156"/>
      <c r="F64" s="1157"/>
      <c r="G64" s="1137"/>
      <c r="H64" s="916"/>
      <c r="I64" s="916"/>
      <c r="J64" s="916"/>
      <c r="K64" s="1087"/>
      <c r="L64" s="914"/>
      <c r="M64" s="916"/>
      <c r="N64" s="1087"/>
      <c r="O64" s="400"/>
      <c r="P64" s="39"/>
      <c r="Q64" s="57"/>
      <c r="R64" s="5"/>
      <c r="S64" s="5"/>
      <c r="T64" s="5"/>
      <c r="U64" s="5"/>
      <c r="V64" s="5"/>
      <c r="W64" s="5"/>
      <c r="X64" s="5"/>
      <c r="Y64" s="5"/>
      <c r="Z64" s="5"/>
    </row>
    <row r="65" spans="1:22" ht="12.75" customHeight="1">
      <c r="A65" s="344"/>
      <c r="B65" s="345" t="s">
        <v>63</v>
      </c>
      <c r="C65" s="345"/>
      <c r="D65" s="346"/>
      <c r="E65" s="782"/>
      <c r="F65" s="1090">
        <v>75238.990000000005</v>
      </c>
      <c r="G65" s="1091">
        <f>F65/$F$69</f>
        <v>0.95524483301971741</v>
      </c>
      <c r="H65" s="968"/>
      <c r="I65" s="308"/>
      <c r="J65" s="308"/>
      <c r="K65" s="1096">
        <f>SUM(K8:K40)</f>
        <v>85165.920900000026</v>
      </c>
      <c r="L65" s="143">
        <f>K65/$K$69</f>
        <v>0.95048057029074684</v>
      </c>
      <c r="M65" s="345"/>
      <c r="N65" s="137"/>
      <c r="O65" s="138"/>
      <c r="P65" s="1151"/>
      <c r="Q65" s="325"/>
      <c r="R65" s="326"/>
      <c r="S65" s="309"/>
      <c r="T65" s="309"/>
      <c r="U65" s="309"/>
      <c r="V65" s="328"/>
    </row>
    <row r="66" spans="1:22" ht="12.75" customHeight="1">
      <c r="A66" s="344"/>
      <c r="B66" s="345"/>
      <c r="C66" s="345"/>
      <c r="D66" s="346"/>
      <c r="E66" s="347"/>
      <c r="F66" s="1090"/>
      <c r="G66" s="1091"/>
      <c r="H66" s="968"/>
      <c r="I66" s="308"/>
      <c r="J66" s="922"/>
      <c r="K66" s="1096"/>
      <c r="L66" s="143"/>
      <c r="M66" s="345"/>
      <c r="N66" s="587"/>
      <c r="O66" s="138"/>
      <c r="P66" s="1151"/>
      <c r="Q66" s="325"/>
      <c r="R66" s="326"/>
      <c r="S66" s="309"/>
      <c r="T66" s="309"/>
      <c r="U66" s="309"/>
      <c r="V66" s="328"/>
    </row>
    <row r="67" spans="1:22" ht="12.75" customHeight="1">
      <c r="A67" s="344"/>
      <c r="B67" s="345" t="s">
        <v>64</v>
      </c>
      <c r="C67" s="345"/>
      <c r="D67" s="346"/>
      <c r="E67" s="347"/>
      <c r="F67" s="1096">
        <v>3525.1</v>
      </c>
      <c r="G67" s="1091">
        <f>F67/$F$69</f>
        <v>4.4755166980282507E-2</v>
      </c>
      <c r="H67" s="968"/>
      <c r="I67" s="308"/>
      <c r="J67" s="922"/>
      <c r="K67" s="1096">
        <v>4437.09</v>
      </c>
      <c r="L67" s="143">
        <f>K67/$K$69</f>
        <v>4.9519429709253208E-2</v>
      </c>
      <c r="M67" s="345"/>
      <c r="N67" s="587"/>
      <c r="O67" s="138"/>
      <c r="P67" s="1151"/>
      <c r="Q67" s="325"/>
      <c r="R67" s="326"/>
      <c r="S67" s="977"/>
      <c r="T67" s="309"/>
      <c r="U67" s="309"/>
      <c r="V67" s="328"/>
    </row>
    <row r="68" spans="1:22" ht="12.75" customHeight="1">
      <c r="A68" s="49"/>
      <c r="B68" s="924" t="s">
        <v>65</v>
      </c>
      <c r="C68" s="924"/>
      <c r="D68" s="34"/>
      <c r="E68" s="1099"/>
      <c r="F68" s="1100"/>
      <c r="G68" s="1101"/>
      <c r="H68" s="980"/>
      <c r="I68" s="925"/>
      <c r="J68" s="925"/>
      <c r="K68" s="1103"/>
      <c r="L68" s="50"/>
      <c r="M68" s="924"/>
      <c r="N68" s="588"/>
      <c r="O68" s="36"/>
      <c r="P68" s="1151"/>
      <c r="Q68" s="325"/>
      <c r="R68" s="326"/>
      <c r="S68" s="309"/>
      <c r="T68" s="309"/>
      <c r="U68" s="309"/>
      <c r="V68" s="328"/>
    </row>
    <row r="69" spans="1:22" ht="12.75" customHeight="1">
      <c r="A69" s="309"/>
      <c r="B69" s="345" t="s">
        <v>66</v>
      </c>
      <c r="C69" s="345"/>
      <c r="D69" s="1105"/>
      <c r="E69" s="1106"/>
      <c r="F69" s="1107">
        <f>F65+F67</f>
        <v>78764.090000000011</v>
      </c>
      <c r="G69" s="1108">
        <f>SUM(G65:G68)</f>
        <v>0.99999999999999989</v>
      </c>
      <c r="H69" s="983"/>
      <c r="I69" s="928"/>
      <c r="J69" s="928"/>
      <c r="K69" s="1109">
        <f>SUM(K65:K67)</f>
        <v>89603.010900000023</v>
      </c>
      <c r="L69" s="51">
        <f>SUM(L65:L68)</f>
        <v>1</v>
      </c>
      <c r="M69" s="345"/>
      <c r="N69" s="58">
        <f>(K69-F69)/F69</f>
        <v>0.13761246908330954</v>
      </c>
      <c r="O69" s="323"/>
      <c r="P69" s="1170"/>
      <c r="Q69" s="325"/>
      <c r="R69" s="326"/>
      <c r="S69" s="309"/>
      <c r="T69" s="309"/>
      <c r="U69" s="309"/>
      <c r="V69" s="328"/>
    </row>
    <row r="70" spans="1:22" ht="12.75" customHeight="1">
      <c r="A70" s="309"/>
      <c r="B70" s="309"/>
      <c r="C70" s="985"/>
      <c r="D70" s="1024"/>
      <c r="E70" s="1024"/>
      <c r="F70" s="1024"/>
      <c r="G70" s="1024"/>
      <c r="H70" s="940"/>
      <c r="I70" s="940"/>
      <c r="J70" s="940"/>
      <c r="K70" s="1147"/>
      <c r="L70" s="949"/>
      <c r="M70" s="309"/>
      <c r="N70" s="882"/>
      <c r="O70" s="323"/>
      <c r="P70" s="1151"/>
      <c r="Q70" s="325"/>
      <c r="R70" s="326"/>
      <c r="S70" s="309"/>
      <c r="T70" s="309"/>
      <c r="U70" s="309"/>
      <c r="V70" s="328"/>
    </row>
    <row r="71" spans="1:22" ht="12.75" customHeight="1">
      <c r="A71" s="309"/>
      <c r="B71" s="872"/>
      <c r="C71" s="873"/>
      <c r="D71" s="874"/>
      <c r="E71" s="875"/>
      <c r="F71" s="876"/>
      <c r="G71" s="877"/>
      <c r="H71" s="879"/>
      <c r="I71" s="879"/>
      <c r="J71" s="879"/>
      <c r="K71" s="880"/>
      <c r="L71" s="881"/>
      <c r="M71" s="879"/>
      <c r="N71" s="1171"/>
      <c r="O71" s="1113"/>
      <c r="P71" s="1158"/>
      <c r="Q71" s="1172"/>
      <c r="R71" s="1019"/>
      <c r="S71" s="309"/>
      <c r="T71" s="309"/>
      <c r="U71" s="309"/>
      <c r="V71" s="328"/>
    </row>
    <row r="72" spans="1:22" ht="12.75" customHeight="1">
      <c r="A72" s="309"/>
      <c r="B72" s="345" t="s">
        <v>67</v>
      </c>
      <c r="C72" s="309"/>
      <c r="D72" s="323"/>
      <c r="E72" s="323"/>
      <c r="F72" s="1114"/>
      <c r="G72" s="323"/>
      <c r="H72" s="309"/>
      <c r="I72" s="309"/>
      <c r="J72" s="309"/>
      <c r="K72" s="324"/>
      <c r="L72" s="309"/>
      <c r="M72" s="309"/>
      <c r="N72" s="882"/>
      <c r="O72" s="1042"/>
      <c r="P72" s="895"/>
      <c r="Q72" s="325"/>
      <c r="R72" s="326"/>
      <c r="S72" s="309"/>
      <c r="T72" s="309"/>
      <c r="U72" s="309"/>
      <c r="V72" s="328"/>
    </row>
    <row r="73" spans="1:22" ht="12.75" customHeight="1">
      <c r="A73" s="309"/>
      <c r="B73" s="309" t="s">
        <v>272</v>
      </c>
      <c r="C73" s="309"/>
      <c r="D73" s="323"/>
      <c r="E73" s="323"/>
      <c r="F73" s="1159">
        <v>1257.5999999999999</v>
      </c>
      <c r="G73" s="323"/>
      <c r="H73" s="309"/>
      <c r="I73" s="309"/>
      <c r="J73" s="309"/>
      <c r="K73" s="1159">
        <v>1426.19</v>
      </c>
      <c r="L73" s="1040"/>
      <c r="M73" s="309"/>
      <c r="N73" s="882">
        <f>(K73-F73)/F73</f>
        <v>0.13405693384223932</v>
      </c>
      <c r="O73" s="1042"/>
      <c r="P73" s="1066"/>
      <c r="Q73" s="325"/>
      <c r="R73" s="326"/>
      <c r="S73" s="309"/>
      <c r="T73" s="309"/>
      <c r="U73" s="309"/>
      <c r="V73" s="328"/>
    </row>
    <row r="74" spans="1:22" ht="12.75" customHeight="1">
      <c r="A74" s="309"/>
      <c r="B74" s="309" t="s">
        <v>273</v>
      </c>
      <c r="C74" s="309"/>
      <c r="D74" s="309"/>
      <c r="E74" s="309"/>
      <c r="F74" s="1146"/>
      <c r="G74" s="309"/>
      <c r="H74" s="309"/>
      <c r="I74" s="309"/>
      <c r="J74" s="309"/>
      <c r="K74" s="324"/>
      <c r="L74" s="1040"/>
      <c r="M74" s="309"/>
      <c r="N74" s="1173">
        <v>2.5899999999999999E-2</v>
      </c>
      <c r="O74" s="1042"/>
      <c r="P74" s="1066"/>
      <c r="Q74" s="325"/>
      <c r="R74" s="326"/>
      <c r="S74" s="309"/>
      <c r="T74" s="309"/>
      <c r="U74" s="309"/>
      <c r="V74" s="328"/>
    </row>
    <row r="75" spans="1:22" ht="12.75" customHeight="1">
      <c r="A75" s="309"/>
      <c r="B75" s="309" t="s">
        <v>228</v>
      </c>
      <c r="C75" s="309"/>
      <c r="D75" s="309"/>
      <c r="E75" s="309"/>
      <c r="F75" s="1146"/>
      <c r="G75" s="309"/>
      <c r="H75" s="309"/>
      <c r="I75" s="309"/>
      <c r="J75" s="309"/>
      <c r="K75" s="1020"/>
      <c r="L75" s="1040"/>
      <c r="M75" s="309"/>
      <c r="N75" s="882">
        <f>SUM(N73:N74)</f>
        <v>0.15995693384223933</v>
      </c>
      <c r="O75" s="1042"/>
      <c r="P75" s="1066"/>
      <c r="Q75" s="325"/>
      <c r="R75" s="326"/>
      <c r="S75" s="309"/>
      <c r="T75" s="309"/>
      <c r="U75" s="309"/>
      <c r="V75" s="328"/>
    </row>
    <row r="76" spans="1:22" ht="14.25" customHeight="1">
      <c r="A76" s="309"/>
      <c r="B76" s="309"/>
      <c r="C76" s="309"/>
      <c r="D76" s="309"/>
      <c r="E76" s="309"/>
      <c r="F76" s="309"/>
      <c r="G76" s="309"/>
      <c r="H76" s="309"/>
      <c r="I76" s="309"/>
      <c r="J76" s="309"/>
      <c r="K76" s="1020"/>
      <c r="L76" s="309"/>
      <c r="M76" s="309"/>
      <c r="N76" s="1174"/>
      <c r="O76" s="323"/>
      <c r="P76" s="1151"/>
      <c r="Q76" s="325"/>
      <c r="R76" s="326"/>
      <c r="S76" s="309"/>
      <c r="T76" s="309"/>
      <c r="U76" s="309"/>
      <c r="V76" s="328"/>
    </row>
    <row r="77" spans="1:22" ht="12.75" customHeight="1">
      <c r="H77" s="59"/>
      <c r="L77" s="60" t="s">
        <v>338</v>
      </c>
      <c r="N77" s="61">
        <f>N69-N75</f>
        <v>-2.2344464758929788E-2</v>
      </c>
      <c r="Q77" s="57"/>
    </row>
    <row r="78" spans="1:22" ht="12.75" customHeight="1">
      <c r="B78" s="309"/>
      <c r="C78" s="52"/>
      <c r="Q78" s="57"/>
    </row>
    <row r="79" spans="1:22" ht="12.75" customHeight="1">
      <c r="Q79" s="57"/>
    </row>
    <row r="80" spans="1:22" ht="12.75" customHeight="1">
      <c r="J80" t="s">
        <v>339</v>
      </c>
      <c r="Q80" s="57"/>
    </row>
    <row r="81" spans="17:17" ht="12.75" customHeight="1">
      <c r="Q81" s="57"/>
    </row>
    <row r="82" spans="17:17" ht="12.75" customHeight="1">
      <c r="Q82" s="57"/>
    </row>
    <row r="83" spans="17:17" ht="12.75" customHeight="1">
      <c r="Q83" s="57"/>
    </row>
    <row r="84" spans="17:17" ht="12.75" customHeight="1">
      <c r="Q84" s="57"/>
    </row>
    <row r="85" spans="17:17" ht="12.75" customHeight="1">
      <c r="Q85" s="57"/>
    </row>
    <row r="86" spans="17:17" ht="12.75" customHeight="1">
      <c r="Q86" s="57"/>
    </row>
    <row r="87" spans="17:17" ht="12.75" customHeight="1">
      <c r="Q87" s="57"/>
    </row>
    <row r="88" spans="17:17" ht="12.75" customHeight="1">
      <c r="Q88" s="57"/>
    </row>
    <row r="89" spans="17:17" ht="12.75" customHeight="1">
      <c r="Q89" s="57"/>
    </row>
    <row r="90" spans="17:17" ht="12.75" customHeight="1">
      <c r="Q90" s="57"/>
    </row>
    <row r="91" spans="17:17" ht="12.75" customHeight="1">
      <c r="Q91" s="57"/>
    </row>
    <row r="92" spans="17:17" ht="12.75" customHeight="1">
      <c r="Q92" s="57"/>
    </row>
    <row r="93" spans="17:17" ht="12.75" customHeight="1">
      <c r="Q93" s="57"/>
    </row>
    <row r="94" spans="17:17" ht="12.75" customHeight="1">
      <c r="Q94" s="57"/>
    </row>
    <row r="95" spans="17:17" ht="12.75" customHeight="1">
      <c r="Q95" s="57"/>
    </row>
    <row r="96" spans="17:17" ht="12.75" customHeight="1">
      <c r="Q96" s="57"/>
    </row>
    <row r="97" spans="17:17" ht="12.75" customHeight="1">
      <c r="Q97" s="57"/>
    </row>
    <row r="98" spans="17:17" ht="12.75" customHeight="1">
      <c r="Q98" s="57"/>
    </row>
    <row r="99" spans="17:17" ht="12.75" customHeight="1">
      <c r="Q99" s="57"/>
    </row>
    <row r="100" spans="17:17" ht="12.75" customHeight="1">
      <c r="Q100" s="57"/>
    </row>
    <row r="101" spans="17:17" ht="12.75" customHeight="1">
      <c r="Q101" s="57"/>
    </row>
    <row r="102" spans="17:17" ht="12.75" customHeight="1">
      <c r="Q102" s="57"/>
    </row>
    <row r="103" spans="17:17" ht="12.75" customHeight="1">
      <c r="Q103" s="57"/>
    </row>
    <row r="104" spans="17:17" ht="12.75" customHeight="1">
      <c r="Q104" s="57"/>
    </row>
    <row r="105" spans="17:17" ht="12.75" customHeight="1">
      <c r="Q105" s="57"/>
    </row>
    <row r="106" spans="17:17" ht="12.75" customHeight="1">
      <c r="Q106" s="57"/>
    </row>
    <row r="107" spans="17:17" ht="12.75" customHeight="1">
      <c r="Q107" s="57"/>
    </row>
    <row r="108" spans="17:17" ht="12.75" customHeight="1">
      <c r="Q108" s="57"/>
    </row>
    <row r="109" spans="17:17" ht="12.75" customHeight="1">
      <c r="Q109" s="57"/>
    </row>
    <row r="110" spans="17:17" ht="12.75" customHeight="1">
      <c r="Q110" s="57"/>
    </row>
    <row r="111" spans="17:17" ht="12.75" customHeight="1">
      <c r="Q111" s="57"/>
    </row>
    <row r="112" spans="17:17" ht="12.75" customHeight="1">
      <c r="Q112" s="57"/>
    </row>
    <row r="113" spans="17:17" ht="12.75" customHeight="1">
      <c r="Q113" s="57"/>
    </row>
    <row r="114" spans="17:17" ht="12.75" customHeight="1">
      <c r="Q114" s="57"/>
    </row>
    <row r="115" spans="17:17" ht="12.75" customHeight="1">
      <c r="Q115" s="57"/>
    </row>
    <row r="116" spans="17:17" ht="12.75" customHeight="1">
      <c r="Q116" s="57"/>
    </row>
    <row r="117" spans="17:17" ht="12.75" customHeight="1">
      <c r="Q117" s="57"/>
    </row>
    <row r="118" spans="17:17" ht="12.75" customHeight="1">
      <c r="Q118" s="57"/>
    </row>
    <row r="119" spans="17:17" ht="12.75" customHeight="1">
      <c r="Q119" s="57"/>
    </row>
    <row r="120" spans="17:17" ht="12.75" customHeight="1">
      <c r="Q120" s="57"/>
    </row>
    <row r="121" spans="17:17" ht="12.75" customHeight="1">
      <c r="Q121" s="57"/>
    </row>
    <row r="122" spans="17:17" ht="12.75" customHeight="1">
      <c r="Q122" s="57"/>
    </row>
    <row r="123" spans="17:17" ht="12.75" customHeight="1">
      <c r="Q123" s="57"/>
    </row>
    <row r="124" spans="17:17" ht="12.75" customHeight="1">
      <c r="Q124" s="57"/>
    </row>
    <row r="125" spans="17:17" ht="12.75" customHeight="1">
      <c r="Q125" s="57"/>
    </row>
    <row r="126" spans="17:17" ht="12.75" customHeight="1">
      <c r="Q126" s="57"/>
    </row>
    <row r="127" spans="17:17" ht="12.75" customHeight="1">
      <c r="Q127" s="57"/>
    </row>
    <row r="128" spans="17:17" ht="12.75" customHeight="1">
      <c r="Q128" s="57"/>
    </row>
    <row r="129" spans="17:17" ht="12.75" customHeight="1">
      <c r="Q129" s="57"/>
    </row>
    <row r="130" spans="17:17" ht="12.75" customHeight="1">
      <c r="Q130" s="57"/>
    </row>
    <row r="131" spans="17:17" ht="12.75" customHeight="1">
      <c r="Q131" s="57"/>
    </row>
    <row r="132" spans="17:17" ht="12.75" customHeight="1">
      <c r="Q132" s="57"/>
    </row>
    <row r="133" spans="17:17" ht="12.75" customHeight="1">
      <c r="Q133" s="57"/>
    </row>
    <row r="134" spans="17:17" ht="12.75" customHeight="1">
      <c r="Q134" s="57"/>
    </row>
    <row r="135" spans="17:17" ht="12.75" customHeight="1">
      <c r="Q135" s="57"/>
    </row>
    <row r="136" spans="17:17" ht="12.75" customHeight="1">
      <c r="Q136" s="57"/>
    </row>
    <row r="137" spans="17:17" ht="12.75" customHeight="1">
      <c r="Q137" s="57"/>
    </row>
    <row r="138" spans="17:17" ht="12.75" customHeight="1">
      <c r="Q138" s="57"/>
    </row>
    <row r="139" spans="17:17" ht="12.75" customHeight="1">
      <c r="Q139" s="57"/>
    </row>
    <row r="140" spans="17:17" ht="12.75" customHeight="1">
      <c r="Q140" s="57"/>
    </row>
    <row r="141" spans="17:17" ht="12.75" customHeight="1">
      <c r="Q141" s="57"/>
    </row>
    <row r="142" spans="17:17" ht="12.75" customHeight="1">
      <c r="Q142" s="57"/>
    </row>
    <row r="143" spans="17:17" ht="12.75" customHeight="1">
      <c r="Q143" s="57"/>
    </row>
    <row r="144" spans="17:17" ht="12.75" customHeight="1">
      <c r="Q144" s="57"/>
    </row>
    <row r="145" spans="17:17" ht="12.75" customHeight="1">
      <c r="Q145" s="57"/>
    </row>
    <row r="146" spans="17:17" ht="12.75" customHeight="1">
      <c r="Q146" s="57"/>
    </row>
    <row r="147" spans="17:17" ht="12.75" customHeight="1">
      <c r="Q147" s="57"/>
    </row>
    <row r="148" spans="17:17" ht="12.75" customHeight="1">
      <c r="Q148" s="57"/>
    </row>
    <row r="149" spans="17:17" ht="12.75" customHeight="1">
      <c r="Q149" s="57"/>
    </row>
    <row r="150" spans="17:17" ht="12.75" customHeight="1">
      <c r="Q150" s="57"/>
    </row>
    <row r="151" spans="17:17" ht="12.75" customHeight="1">
      <c r="Q151" s="57"/>
    </row>
    <row r="152" spans="17:17" ht="12.75" customHeight="1">
      <c r="Q152" s="57"/>
    </row>
    <row r="153" spans="17:17" ht="12.75" customHeight="1">
      <c r="Q153" s="57"/>
    </row>
    <row r="154" spans="17:17" ht="12.75" customHeight="1">
      <c r="Q154" s="57"/>
    </row>
    <row r="155" spans="17:17" ht="12.75" customHeight="1">
      <c r="Q155" s="57"/>
    </row>
    <row r="156" spans="17:17" ht="12.75" customHeight="1">
      <c r="Q156" s="57"/>
    </row>
    <row r="157" spans="17:17" ht="12.75" customHeight="1">
      <c r="Q157" s="57"/>
    </row>
    <row r="158" spans="17:17" ht="12.75" customHeight="1">
      <c r="Q158" s="57"/>
    </row>
    <row r="159" spans="17:17" ht="12.75" customHeight="1">
      <c r="Q159" s="57"/>
    </row>
    <row r="160" spans="17:17" ht="12.75" customHeight="1">
      <c r="Q160" s="57"/>
    </row>
    <row r="161" spans="17:17" ht="12.75" customHeight="1">
      <c r="Q161" s="57"/>
    </row>
    <row r="162" spans="17:17" ht="12.75" customHeight="1">
      <c r="Q162" s="57"/>
    </row>
    <row r="163" spans="17:17" ht="12.75" customHeight="1">
      <c r="Q163" s="57"/>
    </row>
    <row r="164" spans="17:17" ht="12.75" customHeight="1">
      <c r="Q164" s="57"/>
    </row>
    <row r="165" spans="17:17" ht="12.75" customHeight="1">
      <c r="Q165" s="57"/>
    </row>
    <row r="166" spans="17:17" ht="12.75" customHeight="1">
      <c r="Q166" s="57"/>
    </row>
    <row r="167" spans="17:17" ht="12.75" customHeight="1">
      <c r="Q167" s="57"/>
    </row>
    <row r="168" spans="17:17" ht="12.75" customHeight="1">
      <c r="Q168" s="57"/>
    </row>
    <row r="169" spans="17:17" ht="12.75" customHeight="1">
      <c r="Q169" s="57"/>
    </row>
    <row r="170" spans="17:17" ht="12.75" customHeight="1">
      <c r="Q170" s="57"/>
    </row>
    <row r="171" spans="17:17" ht="12.75" customHeight="1">
      <c r="Q171" s="57"/>
    </row>
    <row r="172" spans="17:17" ht="12.75" customHeight="1">
      <c r="Q172" s="57"/>
    </row>
    <row r="173" spans="17:17" ht="12.75" customHeight="1">
      <c r="Q173" s="57"/>
    </row>
    <row r="174" spans="17:17" ht="12.75" customHeight="1">
      <c r="Q174" s="57"/>
    </row>
    <row r="175" spans="17:17" ht="12.75" customHeight="1">
      <c r="Q175" s="57"/>
    </row>
    <row r="176" spans="17:17" ht="12.75" customHeight="1">
      <c r="Q176" s="57"/>
    </row>
    <row r="177" spans="17:17" ht="12.75" customHeight="1">
      <c r="Q177" s="57"/>
    </row>
    <row r="178" spans="17:17" ht="12.75" customHeight="1">
      <c r="Q178" s="57"/>
    </row>
    <row r="179" spans="17:17" ht="12.75" customHeight="1">
      <c r="Q179" s="57"/>
    </row>
    <row r="180" spans="17:17" ht="12.75" customHeight="1">
      <c r="Q180" s="57"/>
    </row>
    <row r="181" spans="17:17" ht="12.75" customHeight="1">
      <c r="Q181" s="57"/>
    </row>
    <row r="182" spans="17:17" ht="12.75" customHeight="1">
      <c r="Q182" s="57"/>
    </row>
    <row r="183" spans="17:17" ht="12.75" customHeight="1">
      <c r="Q183" s="57"/>
    </row>
    <row r="184" spans="17:17" ht="12.75" customHeight="1">
      <c r="Q184" s="57"/>
    </row>
    <row r="185" spans="17:17" ht="12.75" customHeight="1">
      <c r="Q185" s="57"/>
    </row>
    <row r="186" spans="17:17" ht="12.75" customHeight="1">
      <c r="Q186" s="57"/>
    </row>
    <row r="187" spans="17:17" ht="12.75" customHeight="1">
      <c r="Q187" s="57"/>
    </row>
    <row r="188" spans="17:17" ht="12.75" customHeight="1">
      <c r="Q188" s="57"/>
    </row>
    <row r="189" spans="17:17" ht="12.75" customHeight="1">
      <c r="Q189" s="57"/>
    </row>
    <row r="190" spans="17:17" ht="12.75" customHeight="1">
      <c r="Q190" s="57"/>
    </row>
    <row r="191" spans="17:17" ht="12.75" customHeight="1">
      <c r="Q191" s="57"/>
    </row>
    <row r="192" spans="17:17" ht="12.75" customHeight="1">
      <c r="Q192" s="57"/>
    </row>
    <row r="193" spans="17:17" ht="12.75" customHeight="1">
      <c r="Q193" s="57"/>
    </row>
    <row r="194" spans="17:17" ht="12.75" customHeight="1">
      <c r="Q194" s="57"/>
    </row>
    <row r="195" spans="17:17" ht="12.75" customHeight="1">
      <c r="Q195" s="57"/>
    </row>
    <row r="196" spans="17:17" ht="12.75" customHeight="1">
      <c r="Q196" s="57"/>
    </row>
    <row r="197" spans="17:17" ht="12.75" customHeight="1">
      <c r="Q197" s="57"/>
    </row>
    <row r="198" spans="17:17" ht="12.75" customHeight="1">
      <c r="Q198" s="57"/>
    </row>
    <row r="199" spans="17:17" ht="12.75" customHeight="1">
      <c r="Q199" s="57"/>
    </row>
    <row r="200" spans="17:17" ht="12.75" customHeight="1">
      <c r="Q200" s="57"/>
    </row>
    <row r="201" spans="17:17" ht="12.75" customHeight="1">
      <c r="Q201" s="57"/>
    </row>
    <row r="202" spans="17:17" ht="12.75" customHeight="1">
      <c r="Q202" s="57"/>
    </row>
    <row r="203" spans="17:17" ht="12.75" customHeight="1">
      <c r="Q203" s="57"/>
    </row>
    <row r="204" spans="17:17" ht="12.75" customHeight="1">
      <c r="Q204" s="57"/>
    </row>
    <row r="205" spans="17:17" ht="12.75" customHeight="1">
      <c r="Q205" s="57"/>
    </row>
    <row r="206" spans="17:17" ht="12.75" customHeight="1">
      <c r="Q206" s="57"/>
    </row>
    <row r="207" spans="17:17" ht="12.75" customHeight="1">
      <c r="Q207" s="57"/>
    </row>
    <row r="208" spans="17:17" ht="12.75" customHeight="1">
      <c r="Q208" s="57"/>
    </row>
    <row r="209" spans="17:17" ht="12.75" customHeight="1">
      <c r="Q209" s="57"/>
    </row>
    <row r="210" spans="17:17" ht="12.75" customHeight="1">
      <c r="Q210" s="57"/>
    </row>
    <row r="211" spans="17:17" ht="12.75" customHeight="1">
      <c r="Q211" s="57"/>
    </row>
    <row r="212" spans="17:17" ht="12.75" customHeight="1">
      <c r="Q212" s="57"/>
    </row>
    <row r="213" spans="17:17" ht="12.75" customHeight="1">
      <c r="Q213" s="57"/>
    </row>
    <row r="214" spans="17:17" ht="12.75" customHeight="1">
      <c r="Q214" s="57"/>
    </row>
    <row r="215" spans="17:17" ht="12.75" customHeight="1">
      <c r="Q215" s="57"/>
    </row>
    <row r="216" spans="17:17" ht="12.75" customHeight="1">
      <c r="Q216" s="57"/>
    </row>
    <row r="217" spans="17:17" ht="12.75" customHeight="1">
      <c r="Q217" s="57"/>
    </row>
    <row r="218" spans="17:17" ht="12.75" customHeight="1">
      <c r="Q218" s="57"/>
    </row>
    <row r="219" spans="17:17" ht="12.75" customHeight="1">
      <c r="Q219" s="57"/>
    </row>
    <row r="220" spans="17:17" ht="12.75" customHeight="1">
      <c r="Q220" s="57"/>
    </row>
    <row r="221" spans="17:17" ht="12.75" customHeight="1">
      <c r="Q221" s="57"/>
    </row>
    <row r="222" spans="17:17" ht="12.75" customHeight="1">
      <c r="Q222" s="57"/>
    </row>
    <row r="223" spans="17:17" ht="12.75" customHeight="1">
      <c r="Q223" s="57"/>
    </row>
    <row r="224" spans="17:17" ht="12.75" customHeight="1">
      <c r="Q224" s="57"/>
    </row>
    <row r="225" spans="17:17" ht="12.75" customHeight="1">
      <c r="Q225" s="57"/>
    </row>
    <row r="226" spans="17:17" ht="12.75" customHeight="1">
      <c r="Q226" s="57"/>
    </row>
    <row r="227" spans="17:17" ht="12.75" customHeight="1">
      <c r="Q227" s="57"/>
    </row>
    <row r="228" spans="17:17" ht="12.75" customHeight="1">
      <c r="Q228" s="57"/>
    </row>
    <row r="229" spans="17:17" ht="12.75" customHeight="1">
      <c r="Q229" s="57"/>
    </row>
    <row r="230" spans="17:17" ht="12.75" customHeight="1">
      <c r="Q230" s="57"/>
    </row>
    <row r="231" spans="17:17" ht="12.75" customHeight="1">
      <c r="Q231" s="57"/>
    </row>
    <row r="232" spans="17:17" ht="12.75" customHeight="1">
      <c r="Q232" s="57"/>
    </row>
    <row r="233" spans="17:17" ht="12.75" customHeight="1">
      <c r="Q233" s="57"/>
    </row>
    <row r="234" spans="17:17" ht="12.75" customHeight="1">
      <c r="Q234" s="57"/>
    </row>
    <row r="235" spans="17:17" ht="12.75" customHeight="1">
      <c r="Q235" s="57"/>
    </row>
    <row r="236" spans="17:17" ht="12.75" customHeight="1">
      <c r="Q236" s="57"/>
    </row>
    <row r="237" spans="17:17" ht="12.75" customHeight="1">
      <c r="Q237" s="57"/>
    </row>
    <row r="238" spans="17:17" ht="12.75" customHeight="1">
      <c r="Q238" s="57"/>
    </row>
    <row r="239" spans="17:17" ht="12.75" customHeight="1">
      <c r="Q239" s="57"/>
    </row>
    <row r="240" spans="17:17" ht="12.75" customHeight="1">
      <c r="Q240" s="57"/>
    </row>
    <row r="241" spans="17:17" ht="12.75" customHeight="1">
      <c r="Q241" s="57"/>
    </row>
    <row r="242" spans="17:17" ht="12.75" customHeight="1">
      <c r="Q242" s="57"/>
    </row>
    <row r="243" spans="17:17" ht="12.75" customHeight="1">
      <c r="Q243" s="57"/>
    </row>
    <row r="244" spans="17:17" ht="12.75" customHeight="1">
      <c r="Q244" s="57"/>
    </row>
    <row r="245" spans="17:17" ht="12.75" customHeight="1">
      <c r="Q245" s="57"/>
    </row>
    <row r="246" spans="17:17" ht="12.75" customHeight="1">
      <c r="Q246" s="57"/>
    </row>
    <row r="247" spans="17:17" ht="12.75" customHeight="1">
      <c r="Q247" s="57"/>
    </row>
    <row r="248" spans="17:17" ht="12.75" customHeight="1">
      <c r="Q248" s="57"/>
    </row>
    <row r="249" spans="17:17" ht="12.75" customHeight="1">
      <c r="Q249" s="57"/>
    </row>
    <row r="250" spans="17:17" ht="12.75" customHeight="1">
      <c r="Q250" s="57"/>
    </row>
    <row r="251" spans="17:17" ht="12.75" customHeight="1">
      <c r="Q251" s="57"/>
    </row>
    <row r="252" spans="17:17" ht="12.75" customHeight="1">
      <c r="Q252" s="57"/>
    </row>
    <row r="253" spans="17:17" ht="12.75" customHeight="1">
      <c r="Q253" s="57"/>
    </row>
    <row r="254" spans="17:17" ht="12.75" customHeight="1">
      <c r="Q254" s="57"/>
    </row>
    <row r="255" spans="17:17" ht="12.75" customHeight="1">
      <c r="Q255" s="57"/>
    </row>
    <row r="256" spans="17:17" ht="12.75" customHeight="1">
      <c r="Q256" s="57"/>
    </row>
    <row r="257" spans="17:17" ht="12.75" customHeight="1">
      <c r="Q257" s="57"/>
    </row>
    <row r="258" spans="17:17" ht="12.75" customHeight="1">
      <c r="Q258" s="57"/>
    </row>
    <row r="259" spans="17:17" ht="12.75" customHeight="1">
      <c r="Q259" s="57"/>
    </row>
    <row r="260" spans="17:17" ht="12.75" customHeight="1">
      <c r="Q260" s="57"/>
    </row>
    <row r="261" spans="17:17" ht="12.75" customHeight="1">
      <c r="Q261" s="57"/>
    </row>
    <row r="262" spans="17:17" ht="12.75" customHeight="1">
      <c r="Q262" s="57"/>
    </row>
    <row r="263" spans="17:17" ht="12.75" customHeight="1">
      <c r="Q263" s="57"/>
    </row>
    <row r="264" spans="17:17" ht="12.75" customHeight="1">
      <c r="Q264" s="57"/>
    </row>
    <row r="265" spans="17:17" ht="12.75" customHeight="1">
      <c r="Q265" s="57"/>
    </row>
    <row r="266" spans="17:17" ht="12.75" customHeight="1">
      <c r="Q266" s="57"/>
    </row>
    <row r="267" spans="17:17" ht="12.75" customHeight="1">
      <c r="Q267" s="57"/>
    </row>
    <row r="268" spans="17:17" ht="12.75" customHeight="1">
      <c r="Q268" s="57"/>
    </row>
    <row r="269" spans="17:17" ht="12.75" customHeight="1">
      <c r="Q269" s="57"/>
    </row>
    <row r="270" spans="17:17" ht="12.75" customHeight="1">
      <c r="Q270" s="57"/>
    </row>
    <row r="271" spans="17:17" ht="12.75" customHeight="1">
      <c r="Q271" s="57"/>
    </row>
    <row r="272" spans="17:17" ht="12.75" customHeight="1">
      <c r="Q272" s="57"/>
    </row>
    <row r="273" spans="17:17" ht="12.75" customHeight="1">
      <c r="Q273" s="57"/>
    </row>
    <row r="274" spans="17:17" ht="12.75" customHeight="1">
      <c r="Q274" s="57"/>
    </row>
    <row r="275" spans="17:17" ht="12.75" customHeight="1">
      <c r="Q275" s="57"/>
    </row>
    <row r="276" spans="17:17" ht="12.75" customHeight="1">
      <c r="Q276" s="57"/>
    </row>
    <row r="277" spans="17:17" ht="12.75" customHeight="1">
      <c r="Q277" s="57"/>
    </row>
    <row r="278" spans="17:17" ht="12.75" customHeight="1">
      <c r="Q278" s="57"/>
    </row>
    <row r="279" spans="17:17" ht="12.75" customHeight="1">
      <c r="Q279" s="57"/>
    </row>
    <row r="280" spans="17:17" ht="12.75" customHeight="1">
      <c r="Q280" s="57"/>
    </row>
    <row r="281" spans="17:17" ht="12.75" customHeight="1">
      <c r="Q281" s="57"/>
    </row>
    <row r="282" spans="17:17" ht="12.75" customHeight="1">
      <c r="Q282" s="57"/>
    </row>
    <row r="283" spans="17:17" ht="12.75" customHeight="1">
      <c r="Q283" s="57"/>
    </row>
    <row r="284" spans="17:17" ht="12.75" customHeight="1">
      <c r="Q284" s="57"/>
    </row>
    <row r="285" spans="17:17" ht="12.75" customHeight="1">
      <c r="Q285" s="57"/>
    </row>
    <row r="286" spans="17:17" ht="12.75" customHeight="1">
      <c r="Q286" s="57"/>
    </row>
    <row r="287" spans="17:17" ht="12.75" customHeight="1">
      <c r="Q287" s="57"/>
    </row>
    <row r="288" spans="17:17" ht="12.75" customHeight="1">
      <c r="Q288" s="57"/>
    </row>
    <row r="289" spans="17:17" ht="12.75" customHeight="1">
      <c r="Q289" s="57"/>
    </row>
    <row r="290" spans="17:17" ht="12.75" customHeight="1">
      <c r="Q290" s="57"/>
    </row>
    <row r="291" spans="17:17" ht="12.75" customHeight="1">
      <c r="Q291" s="57"/>
    </row>
    <row r="292" spans="17:17" ht="12.75" customHeight="1">
      <c r="Q292" s="57"/>
    </row>
    <row r="293" spans="17:17" ht="12.75" customHeight="1">
      <c r="Q293" s="57"/>
    </row>
    <row r="294" spans="17:17" ht="12.75" customHeight="1">
      <c r="Q294" s="57"/>
    </row>
    <row r="295" spans="17:17" ht="12.75" customHeight="1">
      <c r="Q295" s="57"/>
    </row>
    <row r="296" spans="17:17" ht="12.75" customHeight="1">
      <c r="Q296" s="57"/>
    </row>
    <row r="297" spans="17:17" ht="12.75" customHeight="1">
      <c r="Q297" s="57"/>
    </row>
    <row r="298" spans="17:17" ht="12.75" customHeight="1">
      <c r="Q298" s="57"/>
    </row>
    <row r="299" spans="17:17" ht="12.75" customHeight="1">
      <c r="Q299" s="57"/>
    </row>
    <row r="300" spans="17:17" ht="12.75" customHeight="1">
      <c r="Q300" s="57"/>
    </row>
    <row r="301" spans="17:17" ht="12.75" customHeight="1">
      <c r="Q301" s="57"/>
    </row>
    <row r="302" spans="17:17" ht="12.75" customHeight="1">
      <c r="Q302" s="57"/>
    </row>
    <row r="303" spans="17:17" ht="12.75" customHeight="1">
      <c r="Q303" s="57"/>
    </row>
    <row r="304" spans="17:17" ht="12.75" customHeight="1">
      <c r="Q304" s="57"/>
    </row>
    <row r="305" spans="17:17" ht="12.75" customHeight="1">
      <c r="Q305" s="57"/>
    </row>
    <row r="306" spans="17:17" ht="12.75" customHeight="1">
      <c r="Q306" s="57"/>
    </row>
    <row r="307" spans="17:17" ht="12.75" customHeight="1">
      <c r="Q307" s="57"/>
    </row>
    <row r="308" spans="17:17" ht="12.75" customHeight="1">
      <c r="Q308" s="57"/>
    </row>
    <row r="309" spans="17:17" ht="12.75" customHeight="1">
      <c r="Q309" s="57"/>
    </row>
    <row r="310" spans="17:17" ht="12.75" customHeight="1">
      <c r="Q310" s="57"/>
    </row>
    <row r="311" spans="17:17" ht="12.75" customHeight="1">
      <c r="Q311" s="57"/>
    </row>
    <row r="312" spans="17:17" ht="12.75" customHeight="1">
      <c r="Q312" s="57"/>
    </row>
    <row r="313" spans="17:17" ht="12.75" customHeight="1">
      <c r="Q313" s="57"/>
    </row>
    <row r="314" spans="17:17" ht="12.75" customHeight="1">
      <c r="Q314" s="57"/>
    </row>
    <row r="315" spans="17:17" ht="12.75" customHeight="1">
      <c r="Q315" s="57"/>
    </row>
    <row r="316" spans="17:17" ht="12.75" customHeight="1">
      <c r="Q316" s="57"/>
    </row>
    <row r="317" spans="17:17" ht="12.75" customHeight="1">
      <c r="Q317" s="57"/>
    </row>
    <row r="318" spans="17:17" ht="12.75" customHeight="1">
      <c r="Q318" s="57"/>
    </row>
    <row r="319" spans="17:17" ht="12.75" customHeight="1">
      <c r="Q319" s="57"/>
    </row>
    <row r="320" spans="17:17" ht="12.75" customHeight="1">
      <c r="Q320" s="57"/>
    </row>
    <row r="321" spans="17:17" ht="12.75" customHeight="1">
      <c r="Q321" s="57"/>
    </row>
    <row r="322" spans="17:17" ht="12.75" customHeight="1">
      <c r="Q322" s="57"/>
    </row>
    <row r="323" spans="17:17" ht="12.75" customHeight="1">
      <c r="Q323" s="57"/>
    </row>
    <row r="324" spans="17:17" ht="12.75" customHeight="1">
      <c r="Q324" s="57"/>
    </row>
    <row r="325" spans="17:17" ht="12.75" customHeight="1">
      <c r="Q325" s="57"/>
    </row>
    <row r="326" spans="17:17" ht="12.75" customHeight="1">
      <c r="Q326" s="57"/>
    </row>
    <row r="327" spans="17:17" ht="12.75" customHeight="1">
      <c r="Q327" s="57"/>
    </row>
    <row r="328" spans="17:17" ht="12.75" customHeight="1">
      <c r="Q328" s="57"/>
    </row>
    <row r="329" spans="17:17" ht="12.75" customHeight="1">
      <c r="Q329" s="57"/>
    </row>
    <row r="330" spans="17:17" ht="12.75" customHeight="1">
      <c r="Q330" s="57"/>
    </row>
    <row r="331" spans="17:17" ht="12.75" customHeight="1">
      <c r="Q331" s="57"/>
    </row>
    <row r="332" spans="17:17" ht="12.75" customHeight="1">
      <c r="Q332" s="57"/>
    </row>
    <row r="333" spans="17:17" ht="12.75" customHeight="1">
      <c r="Q333" s="57"/>
    </row>
    <row r="334" spans="17:17" ht="12.75" customHeight="1">
      <c r="Q334" s="57"/>
    </row>
    <row r="335" spans="17:17" ht="12.75" customHeight="1">
      <c r="Q335" s="57"/>
    </row>
    <row r="336" spans="17:17" ht="12.75" customHeight="1">
      <c r="Q336" s="57"/>
    </row>
    <row r="337" spans="17:17" ht="12.75" customHeight="1">
      <c r="Q337" s="57"/>
    </row>
    <row r="338" spans="17:17" ht="12.75" customHeight="1">
      <c r="Q338" s="57"/>
    </row>
    <row r="339" spans="17:17" ht="12.75" customHeight="1">
      <c r="Q339" s="57"/>
    </row>
    <row r="340" spans="17:17" ht="12.75" customHeight="1">
      <c r="Q340" s="57"/>
    </row>
    <row r="341" spans="17:17" ht="12.75" customHeight="1">
      <c r="Q341" s="57"/>
    </row>
    <row r="342" spans="17:17" ht="12.75" customHeight="1">
      <c r="Q342" s="57"/>
    </row>
    <row r="343" spans="17:17" ht="12.75" customHeight="1">
      <c r="Q343" s="57"/>
    </row>
    <row r="344" spans="17:17" ht="12.75" customHeight="1">
      <c r="Q344" s="57"/>
    </row>
    <row r="345" spans="17:17" ht="12.75" customHeight="1">
      <c r="Q345" s="57"/>
    </row>
    <row r="346" spans="17:17" ht="12.75" customHeight="1">
      <c r="Q346" s="57"/>
    </row>
    <row r="347" spans="17:17" ht="12.75" customHeight="1">
      <c r="Q347" s="57"/>
    </row>
    <row r="348" spans="17:17" ht="12.75" customHeight="1">
      <c r="Q348" s="57"/>
    </row>
    <row r="349" spans="17:17" ht="12.75" customHeight="1">
      <c r="Q349" s="57"/>
    </row>
    <row r="350" spans="17:17" ht="12.75" customHeight="1">
      <c r="Q350" s="57"/>
    </row>
    <row r="351" spans="17:17" ht="12.75" customHeight="1">
      <c r="Q351" s="57"/>
    </row>
    <row r="352" spans="17:17" ht="12.75" customHeight="1">
      <c r="Q352" s="57"/>
    </row>
    <row r="353" spans="17:17" ht="12.75" customHeight="1">
      <c r="Q353" s="57"/>
    </row>
    <row r="354" spans="17:17" ht="12.75" customHeight="1">
      <c r="Q354" s="57"/>
    </row>
    <row r="355" spans="17:17" ht="12.75" customHeight="1">
      <c r="Q355" s="57"/>
    </row>
    <row r="356" spans="17:17" ht="12.75" customHeight="1">
      <c r="Q356" s="57"/>
    </row>
    <row r="357" spans="17:17" ht="12.75" customHeight="1">
      <c r="Q357" s="57"/>
    </row>
    <row r="358" spans="17:17" ht="12.75" customHeight="1">
      <c r="Q358" s="57"/>
    </row>
    <row r="359" spans="17:17" ht="12.75" customHeight="1">
      <c r="Q359" s="57"/>
    </row>
    <row r="360" spans="17:17" ht="12.75" customHeight="1">
      <c r="Q360" s="57"/>
    </row>
    <row r="361" spans="17:17" ht="12.75" customHeight="1">
      <c r="Q361" s="57"/>
    </row>
    <row r="362" spans="17:17" ht="12.75" customHeight="1">
      <c r="Q362" s="57"/>
    </row>
    <row r="363" spans="17:17" ht="12.75" customHeight="1">
      <c r="Q363" s="57"/>
    </row>
    <row r="364" spans="17:17" ht="12.75" customHeight="1">
      <c r="Q364" s="57"/>
    </row>
    <row r="365" spans="17:17" ht="12.75" customHeight="1">
      <c r="Q365" s="57"/>
    </row>
    <row r="366" spans="17:17" ht="12.75" customHeight="1">
      <c r="Q366" s="57"/>
    </row>
    <row r="367" spans="17:17" ht="12.75" customHeight="1">
      <c r="Q367" s="57"/>
    </row>
    <row r="368" spans="17:17" ht="12.75" customHeight="1">
      <c r="Q368" s="57"/>
    </row>
    <row r="369" spans="17:17" ht="12.75" customHeight="1">
      <c r="Q369" s="57"/>
    </row>
    <row r="370" spans="17:17" ht="12.75" customHeight="1">
      <c r="Q370" s="57"/>
    </row>
    <row r="371" spans="17:17" ht="12.75" customHeight="1">
      <c r="Q371" s="57"/>
    </row>
    <row r="372" spans="17:17" ht="12.75" customHeight="1">
      <c r="Q372" s="57"/>
    </row>
    <row r="373" spans="17:17" ht="12.75" customHeight="1">
      <c r="Q373" s="57"/>
    </row>
    <row r="374" spans="17:17" ht="12.75" customHeight="1">
      <c r="Q374" s="57"/>
    </row>
    <row r="375" spans="17:17" ht="12.75" customHeight="1">
      <c r="Q375" s="57"/>
    </row>
    <row r="376" spans="17:17" ht="12.75" customHeight="1">
      <c r="Q376" s="57"/>
    </row>
    <row r="377" spans="17:17" ht="12.75" customHeight="1">
      <c r="Q377" s="57"/>
    </row>
    <row r="378" spans="17:17" ht="12.75" customHeight="1">
      <c r="Q378" s="57"/>
    </row>
    <row r="379" spans="17:17" ht="12.75" customHeight="1">
      <c r="Q379" s="57"/>
    </row>
    <row r="380" spans="17:17" ht="12.75" customHeight="1">
      <c r="Q380" s="57"/>
    </row>
    <row r="381" spans="17:17" ht="12.75" customHeight="1">
      <c r="Q381" s="57"/>
    </row>
    <row r="382" spans="17:17" ht="12.75" customHeight="1">
      <c r="Q382" s="57"/>
    </row>
    <row r="383" spans="17:17" ht="12.75" customHeight="1">
      <c r="Q383" s="57"/>
    </row>
    <row r="384" spans="17:17" ht="12.75" customHeight="1">
      <c r="Q384" s="57"/>
    </row>
    <row r="385" spans="17:17" ht="12.75" customHeight="1">
      <c r="Q385" s="57"/>
    </row>
    <row r="386" spans="17:17" ht="12.75" customHeight="1">
      <c r="Q386" s="57"/>
    </row>
    <row r="387" spans="17:17" ht="12.75" customHeight="1">
      <c r="Q387" s="57"/>
    </row>
    <row r="388" spans="17:17" ht="12.75" customHeight="1">
      <c r="Q388" s="57"/>
    </row>
    <row r="389" spans="17:17" ht="12.75" customHeight="1">
      <c r="Q389" s="57"/>
    </row>
    <row r="390" spans="17:17" ht="12.75" customHeight="1">
      <c r="Q390" s="57"/>
    </row>
    <row r="391" spans="17:17" ht="12.75" customHeight="1">
      <c r="Q391" s="57"/>
    </row>
    <row r="392" spans="17:17" ht="12.75" customHeight="1">
      <c r="Q392" s="57"/>
    </row>
    <row r="393" spans="17:17" ht="12.75" customHeight="1">
      <c r="Q393" s="57"/>
    </row>
    <row r="394" spans="17:17" ht="12.75" customHeight="1">
      <c r="Q394" s="57"/>
    </row>
    <row r="395" spans="17:17" ht="12.75" customHeight="1">
      <c r="Q395" s="57"/>
    </row>
    <row r="396" spans="17:17" ht="12.75" customHeight="1">
      <c r="Q396" s="57"/>
    </row>
    <row r="397" spans="17:17" ht="12.75" customHeight="1">
      <c r="Q397" s="57"/>
    </row>
    <row r="398" spans="17:17" ht="12.75" customHeight="1">
      <c r="Q398" s="57"/>
    </row>
    <row r="399" spans="17:17" ht="12.75" customHeight="1">
      <c r="Q399" s="57"/>
    </row>
    <row r="400" spans="17:17" ht="12.75" customHeight="1">
      <c r="Q400" s="57"/>
    </row>
    <row r="401" spans="17:17" ht="12.75" customHeight="1">
      <c r="Q401" s="57"/>
    </row>
    <row r="402" spans="17:17" ht="12.75" customHeight="1">
      <c r="Q402" s="57"/>
    </row>
    <row r="403" spans="17:17" ht="12.75" customHeight="1">
      <c r="Q403" s="57"/>
    </row>
    <row r="404" spans="17:17" ht="12.75" customHeight="1">
      <c r="Q404" s="57"/>
    </row>
    <row r="405" spans="17:17" ht="12.75" customHeight="1">
      <c r="Q405" s="57"/>
    </row>
    <row r="406" spans="17:17" ht="12.75" customHeight="1">
      <c r="Q406" s="57"/>
    </row>
    <row r="407" spans="17:17" ht="12.75" customHeight="1">
      <c r="Q407" s="57"/>
    </row>
    <row r="408" spans="17:17" ht="12.75" customHeight="1">
      <c r="Q408" s="57"/>
    </row>
    <row r="409" spans="17:17" ht="12.75" customHeight="1">
      <c r="Q409" s="57"/>
    </row>
    <row r="410" spans="17:17" ht="12.75" customHeight="1">
      <c r="Q410" s="57"/>
    </row>
    <row r="411" spans="17:17" ht="12.75" customHeight="1">
      <c r="Q411" s="57"/>
    </row>
    <row r="412" spans="17:17" ht="12.75" customHeight="1">
      <c r="Q412" s="57"/>
    </row>
    <row r="413" spans="17:17" ht="12.75" customHeight="1">
      <c r="Q413" s="57"/>
    </row>
    <row r="414" spans="17:17" ht="12.75" customHeight="1">
      <c r="Q414" s="57"/>
    </row>
    <row r="415" spans="17:17" ht="12.75" customHeight="1">
      <c r="Q415" s="57"/>
    </row>
    <row r="416" spans="17:17" ht="12.75" customHeight="1">
      <c r="Q416" s="57"/>
    </row>
    <row r="417" spans="17:17" ht="12.75" customHeight="1">
      <c r="Q417" s="57"/>
    </row>
    <row r="418" spans="17:17" ht="12.75" customHeight="1">
      <c r="Q418" s="57"/>
    </row>
    <row r="419" spans="17:17" ht="12.75" customHeight="1">
      <c r="Q419" s="57"/>
    </row>
    <row r="420" spans="17:17" ht="12.75" customHeight="1">
      <c r="Q420" s="57"/>
    </row>
    <row r="421" spans="17:17" ht="12.75" customHeight="1">
      <c r="Q421" s="57"/>
    </row>
    <row r="422" spans="17:17" ht="12.75" customHeight="1">
      <c r="Q422" s="57"/>
    </row>
    <row r="423" spans="17:17" ht="12.75" customHeight="1">
      <c r="Q423" s="57"/>
    </row>
    <row r="424" spans="17:17" ht="12.75" customHeight="1">
      <c r="Q424" s="57"/>
    </row>
    <row r="425" spans="17:17" ht="12.75" customHeight="1">
      <c r="Q425" s="57"/>
    </row>
    <row r="426" spans="17:17" ht="12.75" customHeight="1">
      <c r="Q426" s="57"/>
    </row>
    <row r="427" spans="17:17" ht="12.75" customHeight="1">
      <c r="Q427" s="57"/>
    </row>
    <row r="428" spans="17:17" ht="12.75" customHeight="1">
      <c r="Q428" s="57"/>
    </row>
    <row r="429" spans="17:17" ht="12.75" customHeight="1">
      <c r="Q429" s="57"/>
    </row>
    <row r="430" spans="17:17" ht="12.75" customHeight="1">
      <c r="Q430" s="57"/>
    </row>
    <row r="431" spans="17:17" ht="12.75" customHeight="1">
      <c r="Q431" s="57"/>
    </row>
    <row r="432" spans="17:17" ht="12.75" customHeight="1">
      <c r="Q432" s="57"/>
    </row>
    <row r="433" spans="17:17" ht="12.75" customHeight="1">
      <c r="Q433" s="57"/>
    </row>
    <row r="434" spans="17:17" ht="12.75" customHeight="1">
      <c r="Q434" s="57"/>
    </row>
    <row r="435" spans="17:17" ht="12.75" customHeight="1">
      <c r="Q435" s="57"/>
    </row>
    <row r="436" spans="17:17" ht="12.75" customHeight="1">
      <c r="Q436" s="57"/>
    </row>
    <row r="437" spans="17:17" ht="12.75" customHeight="1">
      <c r="Q437" s="57"/>
    </row>
    <row r="438" spans="17:17" ht="12.75" customHeight="1">
      <c r="Q438" s="57"/>
    </row>
    <row r="439" spans="17:17" ht="12.75" customHeight="1">
      <c r="Q439" s="57"/>
    </row>
    <row r="440" spans="17:17" ht="12.75" customHeight="1">
      <c r="Q440" s="57"/>
    </row>
    <row r="441" spans="17:17" ht="12.75" customHeight="1">
      <c r="Q441" s="57"/>
    </row>
    <row r="442" spans="17:17" ht="12.75" customHeight="1">
      <c r="Q442" s="57"/>
    </row>
    <row r="443" spans="17:17" ht="12.75" customHeight="1">
      <c r="Q443" s="57"/>
    </row>
    <row r="444" spans="17:17" ht="12.75" customHeight="1">
      <c r="Q444" s="57"/>
    </row>
    <row r="445" spans="17:17" ht="12.75" customHeight="1">
      <c r="Q445" s="57"/>
    </row>
    <row r="446" spans="17:17" ht="12.75" customHeight="1">
      <c r="Q446" s="57"/>
    </row>
    <row r="447" spans="17:17" ht="12.75" customHeight="1">
      <c r="Q447" s="57"/>
    </row>
    <row r="448" spans="17:17" ht="12.75" customHeight="1">
      <c r="Q448" s="57"/>
    </row>
    <row r="449" spans="17:17" ht="12.75" customHeight="1">
      <c r="Q449" s="57"/>
    </row>
    <row r="450" spans="17:17" ht="12.75" customHeight="1">
      <c r="Q450" s="57"/>
    </row>
    <row r="451" spans="17:17" ht="12.75" customHeight="1">
      <c r="Q451" s="57"/>
    </row>
    <row r="452" spans="17:17" ht="12.75" customHeight="1">
      <c r="Q452" s="57"/>
    </row>
    <row r="453" spans="17:17" ht="12.75" customHeight="1">
      <c r="Q453" s="57"/>
    </row>
    <row r="454" spans="17:17" ht="12.75" customHeight="1">
      <c r="Q454" s="57"/>
    </row>
    <row r="455" spans="17:17" ht="12.75" customHeight="1">
      <c r="Q455" s="57"/>
    </row>
    <row r="456" spans="17:17" ht="12.75" customHeight="1">
      <c r="Q456" s="57"/>
    </row>
    <row r="457" spans="17:17" ht="12.75" customHeight="1">
      <c r="Q457" s="57"/>
    </row>
    <row r="458" spans="17:17" ht="12.75" customHeight="1">
      <c r="Q458" s="57"/>
    </row>
    <row r="459" spans="17:17" ht="12.75" customHeight="1">
      <c r="Q459" s="57"/>
    </row>
    <row r="460" spans="17:17" ht="12.75" customHeight="1">
      <c r="Q460" s="57"/>
    </row>
    <row r="461" spans="17:17" ht="12.75" customHeight="1">
      <c r="Q461" s="57"/>
    </row>
    <row r="462" spans="17:17" ht="12.75" customHeight="1">
      <c r="Q462" s="57"/>
    </row>
    <row r="463" spans="17:17" ht="12.75" customHeight="1">
      <c r="Q463" s="57"/>
    </row>
    <row r="464" spans="17:17" ht="12.75" customHeight="1">
      <c r="Q464" s="57"/>
    </row>
    <row r="465" spans="17:17" ht="12.75" customHeight="1">
      <c r="Q465" s="57"/>
    </row>
    <row r="466" spans="17:17" ht="12.75" customHeight="1">
      <c r="Q466" s="57"/>
    </row>
    <row r="467" spans="17:17" ht="12.75" customHeight="1">
      <c r="Q467" s="57"/>
    </row>
    <row r="468" spans="17:17" ht="12.75" customHeight="1">
      <c r="Q468" s="57"/>
    </row>
    <row r="469" spans="17:17" ht="12.75" customHeight="1">
      <c r="Q469" s="57"/>
    </row>
    <row r="470" spans="17:17" ht="12.75" customHeight="1">
      <c r="Q470" s="57"/>
    </row>
    <row r="471" spans="17:17" ht="12.75" customHeight="1">
      <c r="Q471" s="57"/>
    </row>
    <row r="472" spans="17:17" ht="12.75" customHeight="1">
      <c r="Q472" s="57"/>
    </row>
    <row r="473" spans="17:17" ht="12.75" customHeight="1">
      <c r="Q473" s="57"/>
    </row>
    <row r="474" spans="17:17" ht="12.75" customHeight="1">
      <c r="Q474" s="57"/>
    </row>
    <row r="475" spans="17:17" ht="12.75" customHeight="1">
      <c r="Q475" s="57"/>
    </row>
    <row r="476" spans="17:17" ht="12.75" customHeight="1">
      <c r="Q476" s="57"/>
    </row>
    <row r="477" spans="17:17" ht="12.75" customHeight="1">
      <c r="Q477" s="57"/>
    </row>
    <row r="478" spans="17:17" ht="12.75" customHeight="1">
      <c r="Q478" s="57"/>
    </row>
    <row r="479" spans="17:17" ht="12.75" customHeight="1">
      <c r="Q479" s="57"/>
    </row>
    <row r="480" spans="17:17" ht="12.75" customHeight="1">
      <c r="Q480" s="57"/>
    </row>
    <row r="481" spans="17:17" ht="12.75" customHeight="1">
      <c r="Q481" s="57"/>
    </row>
    <row r="482" spans="17:17" ht="12.75" customHeight="1">
      <c r="Q482" s="57"/>
    </row>
    <row r="483" spans="17:17" ht="12.75" customHeight="1">
      <c r="Q483" s="57"/>
    </row>
    <row r="484" spans="17:17" ht="12.75" customHeight="1">
      <c r="Q484" s="57"/>
    </row>
    <row r="485" spans="17:17" ht="12.75" customHeight="1">
      <c r="Q485" s="57"/>
    </row>
    <row r="486" spans="17:17" ht="12.75" customHeight="1">
      <c r="Q486" s="57"/>
    </row>
    <row r="487" spans="17:17" ht="12.75" customHeight="1">
      <c r="Q487" s="57"/>
    </row>
    <row r="488" spans="17:17" ht="12.75" customHeight="1">
      <c r="Q488" s="57"/>
    </row>
    <row r="489" spans="17:17" ht="12.75" customHeight="1">
      <c r="Q489" s="57"/>
    </row>
    <row r="490" spans="17:17" ht="12.75" customHeight="1">
      <c r="Q490" s="57"/>
    </row>
    <row r="491" spans="17:17" ht="12.75" customHeight="1">
      <c r="Q491" s="57"/>
    </row>
    <row r="492" spans="17:17" ht="12.75" customHeight="1">
      <c r="Q492" s="57"/>
    </row>
    <row r="493" spans="17:17" ht="12.75" customHeight="1">
      <c r="Q493" s="57"/>
    </row>
    <row r="494" spans="17:17" ht="12.75" customHeight="1">
      <c r="Q494" s="57"/>
    </row>
    <row r="495" spans="17:17" ht="12.75" customHeight="1">
      <c r="Q495" s="57"/>
    </row>
    <row r="496" spans="17:17" ht="12.75" customHeight="1">
      <c r="Q496" s="57"/>
    </row>
    <row r="497" spans="17:17" ht="12.75" customHeight="1">
      <c r="Q497" s="57"/>
    </row>
    <row r="498" spans="17:17" ht="12.75" customHeight="1">
      <c r="Q498" s="57"/>
    </row>
    <row r="499" spans="17:17" ht="12.75" customHeight="1">
      <c r="Q499" s="57"/>
    </row>
    <row r="500" spans="17:17" ht="12.75" customHeight="1">
      <c r="Q500" s="57"/>
    </row>
    <row r="501" spans="17:17" ht="12.75" customHeight="1">
      <c r="Q501" s="57"/>
    </row>
    <row r="502" spans="17:17" ht="12.75" customHeight="1">
      <c r="Q502" s="57"/>
    </row>
    <row r="503" spans="17:17" ht="12.75" customHeight="1">
      <c r="Q503" s="57"/>
    </row>
    <row r="504" spans="17:17" ht="12.75" customHeight="1">
      <c r="Q504" s="57"/>
    </row>
    <row r="505" spans="17:17" ht="12.75" customHeight="1">
      <c r="Q505" s="57"/>
    </row>
    <row r="506" spans="17:17" ht="12.75" customHeight="1">
      <c r="Q506" s="57"/>
    </row>
    <row r="507" spans="17:17" ht="12.75" customHeight="1">
      <c r="Q507" s="57"/>
    </row>
    <row r="508" spans="17:17" ht="12.75" customHeight="1">
      <c r="Q508" s="57"/>
    </row>
    <row r="509" spans="17:17" ht="12.75" customHeight="1">
      <c r="Q509" s="57"/>
    </row>
    <row r="510" spans="17:17" ht="12.75" customHeight="1">
      <c r="Q510" s="57"/>
    </row>
    <row r="511" spans="17:17" ht="12.75" customHeight="1">
      <c r="Q511" s="57"/>
    </row>
    <row r="512" spans="17:17" ht="12.75" customHeight="1">
      <c r="Q512" s="57"/>
    </row>
    <row r="513" spans="17:17" ht="12.75" customHeight="1">
      <c r="Q513" s="57"/>
    </row>
    <row r="514" spans="17:17" ht="12.75" customHeight="1">
      <c r="Q514" s="57"/>
    </row>
    <row r="515" spans="17:17" ht="12.75" customHeight="1">
      <c r="Q515" s="57"/>
    </row>
    <row r="516" spans="17:17" ht="12.75" customHeight="1">
      <c r="Q516" s="57"/>
    </row>
    <row r="517" spans="17:17" ht="12.75" customHeight="1">
      <c r="Q517" s="57"/>
    </row>
    <row r="518" spans="17:17" ht="12.75" customHeight="1">
      <c r="Q518" s="57"/>
    </row>
    <row r="519" spans="17:17" ht="12.75" customHeight="1">
      <c r="Q519" s="57"/>
    </row>
    <row r="520" spans="17:17" ht="12.75" customHeight="1">
      <c r="Q520" s="57"/>
    </row>
    <row r="521" spans="17:17" ht="12.75" customHeight="1">
      <c r="Q521" s="57"/>
    </row>
    <row r="522" spans="17:17" ht="12.75" customHeight="1">
      <c r="Q522" s="57"/>
    </row>
    <row r="523" spans="17:17" ht="12.75" customHeight="1">
      <c r="Q523" s="57"/>
    </row>
    <row r="524" spans="17:17" ht="12.75" customHeight="1">
      <c r="Q524" s="57"/>
    </row>
    <row r="525" spans="17:17" ht="12.75" customHeight="1">
      <c r="Q525" s="57"/>
    </row>
    <row r="526" spans="17:17" ht="12.75" customHeight="1">
      <c r="Q526" s="57"/>
    </row>
    <row r="527" spans="17:17" ht="12.75" customHeight="1">
      <c r="Q527" s="57"/>
    </row>
    <row r="528" spans="17:17" ht="12.75" customHeight="1">
      <c r="Q528" s="57"/>
    </row>
    <row r="529" spans="17:17" ht="12.75" customHeight="1">
      <c r="Q529" s="57"/>
    </row>
    <row r="530" spans="17:17" ht="12.75" customHeight="1">
      <c r="Q530" s="57"/>
    </row>
    <row r="531" spans="17:17" ht="12.75" customHeight="1">
      <c r="Q531" s="57"/>
    </row>
    <row r="532" spans="17:17" ht="12.75" customHeight="1">
      <c r="Q532" s="57"/>
    </row>
    <row r="533" spans="17:17" ht="12.75" customHeight="1">
      <c r="Q533" s="57"/>
    </row>
    <row r="534" spans="17:17" ht="12.75" customHeight="1">
      <c r="Q534" s="57"/>
    </row>
    <row r="535" spans="17:17" ht="12.75" customHeight="1">
      <c r="Q535" s="57"/>
    </row>
    <row r="536" spans="17:17" ht="12.75" customHeight="1">
      <c r="Q536" s="57"/>
    </row>
    <row r="537" spans="17:17" ht="12.75" customHeight="1">
      <c r="Q537" s="57"/>
    </row>
    <row r="538" spans="17:17" ht="12.75" customHeight="1">
      <c r="Q538" s="57"/>
    </row>
    <row r="539" spans="17:17" ht="12.75" customHeight="1">
      <c r="Q539" s="57"/>
    </row>
    <row r="540" spans="17:17" ht="12.75" customHeight="1">
      <c r="Q540" s="57"/>
    </row>
    <row r="541" spans="17:17" ht="12.75" customHeight="1">
      <c r="Q541" s="57"/>
    </row>
    <row r="542" spans="17:17" ht="12.75" customHeight="1">
      <c r="Q542" s="57"/>
    </row>
    <row r="543" spans="17:17" ht="12.75" customHeight="1">
      <c r="Q543" s="57"/>
    </row>
    <row r="544" spans="17:17" ht="12.75" customHeight="1">
      <c r="Q544" s="57"/>
    </row>
    <row r="545" spans="17:17" ht="12.75" customHeight="1">
      <c r="Q545" s="57"/>
    </row>
    <row r="546" spans="17:17" ht="12.75" customHeight="1">
      <c r="Q546" s="57"/>
    </row>
    <row r="547" spans="17:17" ht="12.75" customHeight="1">
      <c r="Q547" s="57"/>
    </row>
    <row r="548" spans="17:17" ht="12.75" customHeight="1">
      <c r="Q548" s="57"/>
    </row>
    <row r="549" spans="17:17" ht="12.75" customHeight="1">
      <c r="Q549" s="57"/>
    </row>
    <row r="550" spans="17:17" ht="12.75" customHeight="1">
      <c r="Q550" s="57"/>
    </row>
    <row r="551" spans="17:17" ht="12.75" customHeight="1">
      <c r="Q551" s="57"/>
    </row>
    <row r="552" spans="17:17" ht="12.75" customHeight="1">
      <c r="Q552" s="57"/>
    </row>
    <row r="553" spans="17:17" ht="12.75" customHeight="1">
      <c r="Q553" s="57"/>
    </row>
    <row r="554" spans="17:17" ht="12.75" customHeight="1">
      <c r="Q554" s="57"/>
    </row>
    <row r="555" spans="17:17" ht="12.75" customHeight="1">
      <c r="Q555" s="57"/>
    </row>
    <row r="556" spans="17:17" ht="12.75" customHeight="1">
      <c r="Q556" s="57"/>
    </row>
    <row r="557" spans="17:17" ht="12.75" customHeight="1">
      <c r="Q557" s="57"/>
    </row>
    <row r="558" spans="17:17" ht="12.75" customHeight="1">
      <c r="Q558" s="57"/>
    </row>
    <row r="559" spans="17:17" ht="12.75" customHeight="1">
      <c r="Q559" s="57"/>
    </row>
    <row r="560" spans="17:17" ht="12.75" customHeight="1">
      <c r="Q560" s="57"/>
    </row>
    <row r="561" spans="17:17" ht="12.75" customHeight="1">
      <c r="Q561" s="57"/>
    </row>
    <row r="562" spans="17:17" ht="12.75" customHeight="1">
      <c r="Q562" s="57"/>
    </row>
    <row r="563" spans="17:17" ht="12.75" customHeight="1">
      <c r="Q563" s="57"/>
    </row>
    <row r="564" spans="17:17" ht="12.75" customHeight="1">
      <c r="Q564" s="57"/>
    </row>
    <row r="565" spans="17:17" ht="12.75" customHeight="1">
      <c r="Q565" s="57"/>
    </row>
    <row r="566" spans="17:17" ht="12.75" customHeight="1">
      <c r="Q566" s="57"/>
    </row>
    <row r="567" spans="17:17" ht="12.75" customHeight="1">
      <c r="Q567" s="57"/>
    </row>
    <row r="568" spans="17:17" ht="12.75" customHeight="1">
      <c r="Q568" s="57"/>
    </row>
    <row r="569" spans="17:17" ht="12.75" customHeight="1">
      <c r="Q569" s="57"/>
    </row>
    <row r="570" spans="17:17" ht="12.75" customHeight="1">
      <c r="Q570" s="57"/>
    </row>
    <row r="571" spans="17:17" ht="12.75" customHeight="1">
      <c r="Q571" s="57"/>
    </row>
    <row r="572" spans="17:17" ht="12.75" customHeight="1">
      <c r="Q572" s="57"/>
    </row>
    <row r="573" spans="17:17" ht="12.75" customHeight="1">
      <c r="Q573" s="57"/>
    </row>
    <row r="574" spans="17:17" ht="12.75" customHeight="1">
      <c r="Q574" s="57"/>
    </row>
    <row r="575" spans="17:17" ht="12.75" customHeight="1">
      <c r="Q575" s="57"/>
    </row>
    <row r="576" spans="17:17" ht="12.75" customHeight="1">
      <c r="Q576" s="57"/>
    </row>
    <row r="577" spans="17:17" ht="12.75" customHeight="1">
      <c r="Q577" s="57"/>
    </row>
    <row r="578" spans="17:17" ht="12.75" customHeight="1">
      <c r="Q578" s="57"/>
    </row>
    <row r="579" spans="17:17" ht="12.75" customHeight="1">
      <c r="Q579" s="57"/>
    </row>
    <row r="580" spans="17:17" ht="12.75" customHeight="1">
      <c r="Q580" s="57"/>
    </row>
    <row r="581" spans="17:17" ht="12.75" customHeight="1">
      <c r="Q581" s="57"/>
    </row>
    <row r="582" spans="17:17" ht="12.75" customHeight="1">
      <c r="Q582" s="57"/>
    </row>
    <row r="583" spans="17:17" ht="12.75" customHeight="1">
      <c r="Q583" s="57"/>
    </row>
    <row r="584" spans="17:17" ht="12.75" customHeight="1">
      <c r="Q584" s="57"/>
    </row>
    <row r="585" spans="17:17" ht="12.75" customHeight="1">
      <c r="Q585" s="57"/>
    </row>
    <row r="586" spans="17:17" ht="12.75" customHeight="1">
      <c r="Q586" s="57"/>
    </row>
    <row r="587" spans="17:17" ht="12.75" customHeight="1">
      <c r="Q587" s="57"/>
    </row>
    <row r="588" spans="17:17" ht="12.75" customHeight="1">
      <c r="Q588" s="57"/>
    </row>
    <row r="589" spans="17:17" ht="12.75" customHeight="1">
      <c r="Q589" s="57"/>
    </row>
    <row r="590" spans="17:17" ht="12.75" customHeight="1">
      <c r="Q590" s="57"/>
    </row>
    <row r="591" spans="17:17" ht="12.75" customHeight="1">
      <c r="Q591" s="57"/>
    </row>
    <row r="592" spans="17:17" ht="12.75" customHeight="1">
      <c r="Q592" s="57"/>
    </row>
    <row r="593" spans="17:17" ht="12.75" customHeight="1">
      <c r="Q593" s="57"/>
    </row>
    <row r="594" spans="17:17" ht="12.75" customHeight="1">
      <c r="Q594" s="57"/>
    </row>
    <row r="595" spans="17:17" ht="12.75" customHeight="1">
      <c r="Q595" s="57"/>
    </row>
    <row r="596" spans="17:17" ht="12.75" customHeight="1">
      <c r="Q596" s="57"/>
    </row>
    <row r="597" spans="17:17" ht="12.75" customHeight="1">
      <c r="Q597" s="57"/>
    </row>
    <row r="598" spans="17:17" ht="12.75" customHeight="1">
      <c r="Q598" s="57"/>
    </row>
    <row r="599" spans="17:17" ht="12.75" customHeight="1">
      <c r="Q599" s="57"/>
    </row>
    <row r="600" spans="17:17" ht="12.75" customHeight="1">
      <c r="Q600" s="57"/>
    </row>
    <row r="601" spans="17:17" ht="12.75" customHeight="1">
      <c r="Q601" s="57"/>
    </row>
    <row r="602" spans="17:17" ht="12.75" customHeight="1">
      <c r="Q602" s="57"/>
    </row>
    <row r="603" spans="17:17" ht="12.75" customHeight="1">
      <c r="Q603" s="57"/>
    </row>
    <row r="604" spans="17:17" ht="12.75" customHeight="1">
      <c r="Q604" s="57"/>
    </row>
    <row r="605" spans="17:17" ht="12.75" customHeight="1">
      <c r="Q605" s="57"/>
    </row>
    <row r="606" spans="17:17" ht="12.75" customHeight="1">
      <c r="Q606" s="57"/>
    </row>
    <row r="607" spans="17:17" ht="12.75" customHeight="1">
      <c r="Q607" s="57"/>
    </row>
    <row r="608" spans="17:17" ht="12.75" customHeight="1">
      <c r="Q608" s="57"/>
    </row>
    <row r="609" spans="17:17" ht="12.75" customHeight="1">
      <c r="Q609" s="57"/>
    </row>
    <row r="610" spans="17:17" ht="12.75" customHeight="1">
      <c r="Q610" s="57"/>
    </row>
    <row r="611" spans="17:17" ht="12.75" customHeight="1">
      <c r="Q611" s="57"/>
    </row>
    <row r="612" spans="17:17" ht="12.75" customHeight="1">
      <c r="Q612" s="57"/>
    </row>
    <row r="613" spans="17:17" ht="12.75" customHeight="1">
      <c r="Q613" s="57"/>
    </row>
    <row r="614" spans="17:17" ht="12.75" customHeight="1">
      <c r="Q614" s="57"/>
    </row>
    <row r="615" spans="17:17" ht="12.75" customHeight="1">
      <c r="Q615" s="57"/>
    </row>
    <row r="616" spans="17:17" ht="12.75" customHeight="1">
      <c r="Q616" s="57"/>
    </row>
    <row r="617" spans="17:17" ht="12.75" customHeight="1">
      <c r="Q617" s="57"/>
    </row>
    <row r="618" spans="17:17" ht="12.75" customHeight="1">
      <c r="Q618" s="57"/>
    </row>
    <row r="619" spans="17:17" ht="12.75" customHeight="1">
      <c r="Q619" s="57"/>
    </row>
    <row r="620" spans="17:17" ht="12.75" customHeight="1">
      <c r="Q620" s="57"/>
    </row>
    <row r="621" spans="17:17" ht="12.75" customHeight="1">
      <c r="Q621" s="57"/>
    </row>
    <row r="622" spans="17:17" ht="12.75" customHeight="1">
      <c r="Q622" s="57"/>
    </row>
    <row r="623" spans="17:17" ht="12.75" customHeight="1">
      <c r="Q623" s="57"/>
    </row>
    <row r="624" spans="17:17" ht="12.75" customHeight="1">
      <c r="Q624" s="57"/>
    </row>
    <row r="625" spans="17:17" ht="12.75" customHeight="1">
      <c r="Q625" s="57"/>
    </row>
    <row r="626" spans="17:17" ht="12.75" customHeight="1">
      <c r="Q626" s="57"/>
    </row>
    <row r="627" spans="17:17" ht="12.75" customHeight="1">
      <c r="Q627" s="57"/>
    </row>
    <row r="628" spans="17:17" ht="12.75" customHeight="1">
      <c r="Q628" s="57"/>
    </row>
    <row r="629" spans="17:17" ht="12.75" customHeight="1">
      <c r="Q629" s="57"/>
    </row>
    <row r="630" spans="17:17" ht="12.75" customHeight="1">
      <c r="Q630" s="57"/>
    </row>
    <row r="631" spans="17:17" ht="12.75" customHeight="1">
      <c r="Q631" s="57"/>
    </row>
    <row r="632" spans="17:17" ht="12.75" customHeight="1">
      <c r="Q632" s="57"/>
    </row>
    <row r="633" spans="17:17" ht="12.75" customHeight="1">
      <c r="Q633" s="57"/>
    </row>
    <row r="634" spans="17:17" ht="12.75" customHeight="1">
      <c r="Q634" s="57"/>
    </row>
    <row r="635" spans="17:17" ht="12.75" customHeight="1">
      <c r="Q635" s="57"/>
    </row>
    <row r="636" spans="17:17" ht="12.75" customHeight="1">
      <c r="Q636" s="57"/>
    </row>
    <row r="637" spans="17:17" ht="12.75" customHeight="1">
      <c r="Q637" s="57"/>
    </row>
    <row r="638" spans="17:17" ht="12.75" customHeight="1">
      <c r="Q638" s="57"/>
    </row>
    <row r="639" spans="17:17" ht="12.75" customHeight="1">
      <c r="Q639" s="57"/>
    </row>
    <row r="640" spans="17:17" ht="12.75" customHeight="1">
      <c r="Q640" s="57"/>
    </row>
    <row r="641" spans="17:17" ht="12.75" customHeight="1">
      <c r="Q641" s="57"/>
    </row>
    <row r="642" spans="17:17" ht="12.75" customHeight="1">
      <c r="Q642" s="57"/>
    </row>
    <row r="643" spans="17:17" ht="12.75" customHeight="1">
      <c r="Q643" s="57"/>
    </row>
    <row r="644" spans="17:17" ht="12.75" customHeight="1">
      <c r="Q644" s="57"/>
    </row>
    <row r="645" spans="17:17" ht="12.75" customHeight="1">
      <c r="Q645" s="57"/>
    </row>
    <row r="646" spans="17:17" ht="12.75" customHeight="1">
      <c r="Q646" s="57"/>
    </row>
    <row r="647" spans="17:17" ht="12.75" customHeight="1">
      <c r="Q647" s="57"/>
    </row>
    <row r="648" spans="17:17" ht="12.75" customHeight="1">
      <c r="Q648" s="57"/>
    </row>
    <row r="649" spans="17:17" ht="12.75" customHeight="1">
      <c r="Q649" s="57"/>
    </row>
    <row r="650" spans="17:17" ht="12.75" customHeight="1">
      <c r="Q650" s="57"/>
    </row>
    <row r="651" spans="17:17" ht="12.75" customHeight="1">
      <c r="Q651" s="57"/>
    </row>
    <row r="652" spans="17:17" ht="12.75" customHeight="1">
      <c r="Q652" s="57"/>
    </row>
    <row r="653" spans="17:17" ht="12.75" customHeight="1">
      <c r="Q653" s="57"/>
    </row>
    <row r="654" spans="17:17" ht="12.75" customHeight="1">
      <c r="Q654" s="57"/>
    </row>
    <row r="655" spans="17:17" ht="12.75" customHeight="1">
      <c r="Q655" s="57"/>
    </row>
    <row r="656" spans="17:17" ht="12.75" customHeight="1">
      <c r="Q656" s="57"/>
    </row>
    <row r="657" spans="17:17" ht="12.75" customHeight="1">
      <c r="Q657" s="57"/>
    </row>
    <row r="658" spans="17:17" ht="12.75" customHeight="1">
      <c r="Q658" s="57"/>
    </row>
    <row r="659" spans="17:17" ht="12.75" customHeight="1">
      <c r="Q659" s="57"/>
    </row>
    <row r="660" spans="17:17" ht="12.75" customHeight="1">
      <c r="Q660" s="57"/>
    </row>
    <row r="661" spans="17:17" ht="12.75" customHeight="1">
      <c r="Q661" s="57"/>
    </row>
    <row r="662" spans="17:17" ht="12.75" customHeight="1">
      <c r="Q662" s="57"/>
    </row>
    <row r="663" spans="17:17" ht="12.75" customHeight="1">
      <c r="Q663" s="57"/>
    </row>
    <row r="664" spans="17:17" ht="12.75" customHeight="1">
      <c r="Q664" s="57"/>
    </row>
    <row r="665" spans="17:17" ht="12.75" customHeight="1">
      <c r="Q665" s="57"/>
    </row>
    <row r="666" spans="17:17" ht="12.75" customHeight="1">
      <c r="Q666" s="57"/>
    </row>
    <row r="667" spans="17:17" ht="12.75" customHeight="1">
      <c r="Q667" s="57"/>
    </row>
    <row r="668" spans="17:17" ht="12.75" customHeight="1">
      <c r="Q668" s="57"/>
    </row>
    <row r="669" spans="17:17" ht="12.75" customHeight="1">
      <c r="Q669" s="57"/>
    </row>
    <row r="670" spans="17:17" ht="12.75" customHeight="1">
      <c r="Q670" s="57"/>
    </row>
    <row r="671" spans="17:17" ht="12.75" customHeight="1">
      <c r="Q671" s="57"/>
    </row>
    <row r="672" spans="17:17" ht="12.75" customHeight="1">
      <c r="Q672" s="57"/>
    </row>
    <row r="673" spans="17:17" ht="12.75" customHeight="1">
      <c r="Q673" s="57"/>
    </row>
    <row r="674" spans="17:17" ht="12.75" customHeight="1">
      <c r="Q674" s="57"/>
    </row>
    <row r="675" spans="17:17" ht="12.75" customHeight="1">
      <c r="Q675" s="57"/>
    </row>
    <row r="676" spans="17:17" ht="12.75" customHeight="1">
      <c r="Q676" s="57"/>
    </row>
    <row r="677" spans="17:17" ht="12.75" customHeight="1">
      <c r="Q677" s="57"/>
    </row>
    <row r="678" spans="17:17" ht="12.75" customHeight="1">
      <c r="Q678" s="57"/>
    </row>
    <row r="679" spans="17:17" ht="12.75" customHeight="1">
      <c r="Q679" s="57"/>
    </row>
    <row r="680" spans="17:17" ht="12.75" customHeight="1">
      <c r="Q680" s="57"/>
    </row>
    <row r="681" spans="17:17" ht="12.75" customHeight="1">
      <c r="Q681" s="57"/>
    </row>
    <row r="682" spans="17:17" ht="12.75" customHeight="1">
      <c r="Q682" s="57"/>
    </row>
    <row r="683" spans="17:17" ht="12.75" customHeight="1">
      <c r="Q683" s="57"/>
    </row>
    <row r="684" spans="17:17" ht="12.75" customHeight="1">
      <c r="Q684" s="57"/>
    </row>
    <row r="685" spans="17:17" ht="12.75" customHeight="1">
      <c r="Q685" s="57"/>
    </row>
    <row r="686" spans="17:17" ht="12.75" customHeight="1">
      <c r="Q686" s="57"/>
    </row>
    <row r="687" spans="17:17" ht="12.75" customHeight="1">
      <c r="Q687" s="57"/>
    </row>
    <row r="688" spans="17:17" ht="12.75" customHeight="1">
      <c r="Q688" s="57"/>
    </row>
    <row r="689" spans="17:17" ht="12.75" customHeight="1">
      <c r="Q689" s="57"/>
    </row>
    <row r="690" spans="17:17" ht="12.75" customHeight="1">
      <c r="Q690" s="57"/>
    </row>
    <row r="691" spans="17:17" ht="12.75" customHeight="1">
      <c r="Q691" s="57"/>
    </row>
    <row r="692" spans="17:17" ht="12.75" customHeight="1">
      <c r="Q692" s="57"/>
    </row>
    <row r="693" spans="17:17" ht="12.75" customHeight="1">
      <c r="Q693" s="57"/>
    </row>
    <row r="694" spans="17:17" ht="12.75" customHeight="1">
      <c r="Q694" s="57"/>
    </row>
    <row r="695" spans="17:17" ht="12.75" customHeight="1">
      <c r="Q695" s="57"/>
    </row>
    <row r="696" spans="17:17" ht="12.75" customHeight="1">
      <c r="Q696" s="57"/>
    </row>
    <row r="697" spans="17:17" ht="12.75" customHeight="1">
      <c r="Q697" s="57"/>
    </row>
    <row r="698" spans="17:17" ht="12.75" customHeight="1">
      <c r="Q698" s="57"/>
    </row>
    <row r="699" spans="17:17" ht="12.75" customHeight="1">
      <c r="Q699" s="57"/>
    </row>
    <row r="700" spans="17:17" ht="12.75" customHeight="1">
      <c r="Q700" s="57"/>
    </row>
    <row r="701" spans="17:17" ht="12.75" customHeight="1">
      <c r="Q701" s="57"/>
    </row>
    <row r="702" spans="17:17" ht="12.75" customHeight="1">
      <c r="Q702" s="57"/>
    </row>
    <row r="703" spans="17:17" ht="12.75" customHeight="1">
      <c r="Q703" s="57"/>
    </row>
    <row r="704" spans="17:17" ht="12.75" customHeight="1">
      <c r="Q704" s="57"/>
    </row>
    <row r="705" spans="17:17" ht="12.75" customHeight="1">
      <c r="Q705" s="57"/>
    </row>
    <row r="706" spans="17:17" ht="12.75" customHeight="1">
      <c r="Q706" s="57"/>
    </row>
    <row r="707" spans="17:17" ht="12.75" customHeight="1">
      <c r="Q707" s="57"/>
    </row>
    <row r="708" spans="17:17" ht="12.75" customHeight="1">
      <c r="Q708" s="57"/>
    </row>
    <row r="709" spans="17:17" ht="12.75" customHeight="1">
      <c r="Q709" s="57"/>
    </row>
    <row r="710" spans="17:17" ht="12.75" customHeight="1">
      <c r="Q710" s="57"/>
    </row>
    <row r="711" spans="17:17" ht="12.75" customHeight="1">
      <c r="Q711" s="57"/>
    </row>
    <row r="712" spans="17:17" ht="12.75" customHeight="1">
      <c r="Q712" s="57"/>
    </row>
    <row r="713" spans="17:17" ht="12.75" customHeight="1">
      <c r="Q713" s="57"/>
    </row>
    <row r="714" spans="17:17" ht="12.75" customHeight="1">
      <c r="Q714" s="57"/>
    </row>
    <row r="715" spans="17:17" ht="12.75" customHeight="1">
      <c r="Q715" s="57"/>
    </row>
    <row r="716" spans="17:17" ht="12.75" customHeight="1">
      <c r="Q716" s="57"/>
    </row>
    <row r="717" spans="17:17" ht="12.75" customHeight="1">
      <c r="Q717" s="57"/>
    </row>
    <row r="718" spans="17:17" ht="12.75" customHeight="1">
      <c r="Q718" s="57"/>
    </row>
    <row r="719" spans="17:17" ht="12.75" customHeight="1">
      <c r="Q719" s="57"/>
    </row>
    <row r="720" spans="17:17" ht="12.75" customHeight="1">
      <c r="Q720" s="57"/>
    </row>
    <row r="721" spans="17:17" ht="12.75" customHeight="1">
      <c r="Q721" s="57"/>
    </row>
    <row r="722" spans="17:17" ht="12.75" customHeight="1">
      <c r="Q722" s="57"/>
    </row>
    <row r="723" spans="17:17" ht="12.75" customHeight="1">
      <c r="Q723" s="57"/>
    </row>
    <row r="724" spans="17:17" ht="12.75" customHeight="1">
      <c r="Q724" s="57"/>
    </row>
    <row r="725" spans="17:17" ht="12.75" customHeight="1">
      <c r="Q725" s="57"/>
    </row>
    <row r="726" spans="17:17" ht="12.75" customHeight="1">
      <c r="Q726" s="57"/>
    </row>
    <row r="727" spans="17:17" ht="12.75" customHeight="1">
      <c r="Q727" s="57"/>
    </row>
    <row r="728" spans="17:17" ht="12.75" customHeight="1">
      <c r="Q728" s="57"/>
    </row>
    <row r="729" spans="17:17" ht="12.75" customHeight="1">
      <c r="Q729" s="57"/>
    </row>
    <row r="730" spans="17:17" ht="12.75" customHeight="1">
      <c r="Q730" s="57"/>
    </row>
    <row r="731" spans="17:17" ht="12.75" customHeight="1">
      <c r="Q731" s="57"/>
    </row>
    <row r="732" spans="17:17" ht="12.75" customHeight="1">
      <c r="Q732" s="57"/>
    </row>
    <row r="733" spans="17:17" ht="12.75" customHeight="1">
      <c r="Q733" s="57"/>
    </row>
    <row r="734" spans="17:17" ht="12.75" customHeight="1">
      <c r="Q734" s="57"/>
    </row>
    <row r="735" spans="17:17" ht="12.75" customHeight="1">
      <c r="Q735" s="57"/>
    </row>
    <row r="736" spans="17:17" ht="12.75" customHeight="1">
      <c r="Q736" s="57"/>
    </row>
    <row r="737" spans="17:17" ht="12.75" customHeight="1">
      <c r="Q737" s="57"/>
    </row>
    <row r="738" spans="17:17" ht="12.75" customHeight="1">
      <c r="Q738" s="57"/>
    </row>
    <row r="739" spans="17:17" ht="12.75" customHeight="1">
      <c r="Q739" s="57"/>
    </row>
    <row r="740" spans="17:17" ht="12.75" customHeight="1">
      <c r="Q740" s="57"/>
    </row>
    <row r="741" spans="17:17" ht="12.75" customHeight="1">
      <c r="Q741" s="57"/>
    </row>
    <row r="742" spans="17:17" ht="12.75" customHeight="1">
      <c r="Q742" s="57"/>
    </row>
    <row r="743" spans="17:17" ht="12.75" customHeight="1">
      <c r="Q743" s="57"/>
    </row>
    <row r="744" spans="17:17" ht="12.75" customHeight="1">
      <c r="Q744" s="57"/>
    </row>
    <row r="745" spans="17:17" ht="12.75" customHeight="1">
      <c r="Q745" s="57"/>
    </row>
    <row r="746" spans="17:17" ht="12.75" customHeight="1">
      <c r="Q746" s="57"/>
    </row>
    <row r="747" spans="17:17" ht="12.75" customHeight="1">
      <c r="Q747" s="57"/>
    </row>
    <row r="748" spans="17:17" ht="12.75" customHeight="1">
      <c r="Q748" s="57"/>
    </row>
    <row r="749" spans="17:17" ht="12.75" customHeight="1">
      <c r="Q749" s="57"/>
    </row>
    <row r="750" spans="17:17" ht="12.75" customHeight="1">
      <c r="Q750" s="57"/>
    </row>
    <row r="751" spans="17:17" ht="12.75" customHeight="1">
      <c r="Q751" s="57"/>
    </row>
    <row r="752" spans="17:17" ht="12.75" customHeight="1">
      <c r="Q752" s="57"/>
    </row>
    <row r="753" spans="17:17" ht="12.75" customHeight="1">
      <c r="Q753" s="57"/>
    </row>
    <row r="754" spans="17:17" ht="12.75" customHeight="1">
      <c r="Q754" s="57"/>
    </row>
    <row r="755" spans="17:17" ht="12.75" customHeight="1">
      <c r="Q755" s="57"/>
    </row>
    <row r="756" spans="17:17" ht="12.75" customHeight="1">
      <c r="Q756" s="57"/>
    </row>
    <row r="757" spans="17:17" ht="12.75" customHeight="1">
      <c r="Q757" s="57"/>
    </row>
    <row r="758" spans="17:17" ht="12.75" customHeight="1">
      <c r="Q758" s="57"/>
    </row>
    <row r="759" spans="17:17" ht="12.75" customHeight="1">
      <c r="Q759" s="57"/>
    </row>
    <row r="760" spans="17:17" ht="12.75" customHeight="1">
      <c r="Q760" s="57"/>
    </row>
    <row r="761" spans="17:17" ht="12.75" customHeight="1">
      <c r="Q761" s="57"/>
    </row>
    <row r="762" spans="17:17" ht="12.75" customHeight="1">
      <c r="Q762" s="57"/>
    </row>
    <row r="763" spans="17:17" ht="12.75" customHeight="1">
      <c r="Q763" s="57"/>
    </row>
    <row r="764" spans="17:17" ht="12.75" customHeight="1">
      <c r="Q764" s="57"/>
    </row>
    <row r="765" spans="17:17" ht="12.75" customHeight="1">
      <c r="Q765" s="57"/>
    </row>
    <row r="766" spans="17:17" ht="12.75" customHeight="1">
      <c r="Q766" s="57"/>
    </row>
    <row r="767" spans="17:17" ht="12.75" customHeight="1">
      <c r="Q767" s="57"/>
    </row>
    <row r="768" spans="17:17" ht="12.75" customHeight="1">
      <c r="Q768" s="57"/>
    </row>
    <row r="769" spans="17:17" ht="12.75" customHeight="1">
      <c r="Q769" s="57"/>
    </row>
    <row r="770" spans="17:17" ht="12.75" customHeight="1">
      <c r="Q770" s="57"/>
    </row>
    <row r="771" spans="17:17" ht="12.75" customHeight="1">
      <c r="Q771" s="57"/>
    </row>
    <row r="772" spans="17:17" ht="12.75" customHeight="1">
      <c r="Q772" s="57"/>
    </row>
    <row r="773" spans="17:17" ht="12.75" customHeight="1">
      <c r="Q773" s="57"/>
    </row>
    <row r="774" spans="17:17" ht="12.75" customHeight="1">
      <c r="Q774" s="57"/>
    </row>
    <row r="775" spans="17:17" ht="12.75" customHeight="1">
      <c r="Q775" s="57"/>
    </row>
    <row r="776" spans="17:17" ht="12.75" customHeight="1">
      <c r="Q776" s="57"/>
    </row>
    <row r="777" spans="17:17" ht="12.75" customHeight="1">
      <c r="Q777" s="57"/>
    </row>
    <row r="778" spans="17:17" ht="12.75" customHeight="1">
      <c r="Q778" s="57"/>
    </row>
    <row r="779" spans="17:17" ht="12.75" customHeight="1">
      <c r="Q779" s="57"/>
    </row>
    <row r="780" spans="17:17" ht="12.75" customHeight="1">
      <c r="Q780" s="57"/>
    </row>
    <row r="781" spans="17:17" ht="12.75" customHeight="1">
      <c r="Q781" s="57"/>
    </row>
    <row r="782" spans="17:17" ht="12.75" customHeight="1">
      <c r="Q782" s="57"/>
    </row>
    <row r="783" spans="17:17" ht="12.75" customHeight="1">
      <c r="Q783" s="57"/>
    </row>
    <row r="784" spans="17:17" ht="12.75" customHeight="1">
      <c r="Q784" s="57"/>
    </row>
    <row r="785" spans="17:17" ht="12.75" customHeight="1">
      <c r="Q785" s="57"/>
    </row>
    <row r="786" spans="17:17" ht="12.75" customHeight="1">
      <c r="Q786" s="57"/>
    </row>
    <row r="787" spans="17:17" ht="12.75" customHeight="1">
      <c r="Q787" s="57"/>
    </row>
    <row r="788" spans="17:17" ht="12.75" customHeight="1">
      <c r="Q788" s="57"/>
    </row>
    <row r="789" spans="17:17" ht="12.75" customHeight="1">
      <c r="Q789" s="57"/>
    </row>
    <row r="790" spans="17:17" ht="12.75" customHeight="1">
      <c r="Q790" s="57"/>
    </row>
    <row r="791" spans="17:17" ht="12.75" customHeight="1">
      <c r="Q791" s="57"/>
    </row>
    <row r="792" spans="17:17" ht="12.75" customHeight="1">
      <c r="Q792" s="57"/>
    </row>
    <row r="793" spans="17:17" ht="12.75" customHeight="1">
      <c r="Q793" s="57"/>
    </row>
    <row r="794" spans="17:17" ht="12.75" customHeight="1">
      <c r="Q794" s="57"/>
    </row>
    <row r="795" spans="17:17" ht="12.75" customHeight="1">
      <c r="Q795" s="57"/>
    </row>
    <row r="796" spans="17:17" ht="12.75" customHeight="1">
      <c r="Q796" s="57"/>
    </row>
    <row r="797" spans="17:17" ht="12.75" customHeight="1">
      <c r="Q797" s="57"/>
    </row>
    <row r="798" spans="17:17" ht="12.75" customHeight="1">
      <c r="Q798" s="57"/>
    </row>
    <row r="799" spans="17:17" ht="12.75" customHeight="1">
      <c r="Q799" s="57"/>
    </row>
    <row r="800" spans="17:17" ht="12.75" customHeight="1">
      <c r="Q800" s="57"/>
    </row>
    <row r="801" spans="17:17" ht="12.75" customHeight="1">
      <c r="Q801" s="57"/>
    </row>
    <row r="802" spans="17:17" ht="12.75" customHeight="1">
      <c r="Q802" s="57"/>
    </row>
    <row r="803" spans="17:17" ht="12.75" customHeight="1">
      <c r="Q803" s="57"/>
    </row>
    <row r="804" spans="17:17" ht="12.75" customHeight="1">
      <c r="Q804" s="57"/>
    </row>
    <row r="805" spans="17:17" ht="12.75" customHeight="1">
      <c r="Q805" s="57"/>
    </row>
    <row r="806" spans="17:17" ht="12.75" customHeight="1">
      <c r="Q806" s="57"/>
    </row>
    <row r="807" spans="17:17" ht="12.75" customHeight="1">
      <c r="Q807" s="57"/>
    </row>
    <row r="808" spans="17:17" ht="12.75" customHeight="1">
      <c r="Q808" s="57"/>
    </row>
    <row r="809" spans="17:17" ht="12.75" customHeight="1">
      <c r="Q809" s="57"/>
    </row>
    <row r="810" spans="17:17" ht="12.75" customHeight="1">
      <c r="Q810" s="57"/>
    </row>
    <row r="811" spans="17:17" ht="12.75" customHeight="1">
      <c r="Q811" s="57"/>
    </row>
    <row r="812" spans="17:17" ht="12.75" customHeight="1">
      <c r="Q812" s="57"/>
    </row>
    <row r="813" spans="17:17" ht="12.75" customHeight="1">
      <c r="Q813" s="57"/>
    </row>
    <row r="814" spans="17:17" ht="12.75" customHeight="1">
      <c r="Q814" s="57"/>
    </row>
    <row r="815" spans="17:17" ht="12.75" customHeight="1">
      <c r="Q815" s="57"/>
    </row>
    <row r="816" spans="17:17" ht="12.75" customHeight="1">
      <c r="Q816" s="57"/>
    </row>
    <row r="817" spans="17:17" ht="12.75" customHeight="1">
      <c r="Q817" s="57"/>
    </row>
    <row r="818" spans="17:17" ht="12.75" customHeight="1">
      <c r="Q818" s="57"/>
    </row>
    <row r="819" spans="17:17" ht="12.75" customHeight="1">
      <c r="Q819" s="57"/>
    </row>
    <row r="820" spans="17:17" ht="12.75" customHeight="1">
      <c r="Q820" s="57"/>
    </row>
    <row r="821" spans="17:17" ht="12.75" customHeight="1">
      <c r="Q821" s="57"/>
    </row>
    <row r="822" spans="17:17" ht="12.75" customHeight="1">
      <c r="Q822" s="57"/>
    </row>
    <row r="823" spans="17:17" ht="12.75" customHeight="1">
      <c r="Q823" s="57"/>
    </row>
    <row r="824" spans="17:17" ht="12.75" customHeight="1">
      <c r="Q824" s="57"/>
    </row>
    <row r="825" spans="17:17" ht="12.75" customHeight="1">
      <c r="Q825" s="57"/>
    </row>
    <row r="826" spans="17:17" ht="12.75" customHeight="1">
      <c r="Q826" s="57"/>
    </row>
    <row r="827" spans="17:17" ht="12.75" customHeight="1">
      <c r="Q827" s="57"/>
    </row>
    <row r="828" spans="17:17" ht="12.75" customHeight="1">
      <c r="Q828" s="57"/>
    </row>
    <row r="829" spans="17:17" ht="12.75" customHeight="1">
      <c r="Q829" s="57"/>
    </row>
    <row r="830" spans="17:17" ht="12.75" customHeight="1">
      <c r="Q830" s="57"/>
    </row>
    <row r="831" spans="17:17" ht="12.75" customHeight="1">
      <c r="Q831" s="57"/>
    </row>
    <row r="832" spans="17:17" ht="12.75" customHeight="1">
      <c r="Q832" s="57"/>
    </row>
    <row r="833" spans="17:17" ht="12.75" customHeight="1">
      <c r="Q833" s="57"/>
    </row>
    <row r="834" spans="17:17" ht="12.75" customHeight="1">
      <c r="Q834" s="57"/>
    </row>
    <row r="835" spans="17:17" ht="12.75" customHeight="1">
      <c r="Q835" s="57"/>
    </row>
    <row r="836" spans="17:17" ht="12.75" customHeight="1">
      <c r="Q836" s="57"/>
    </row>
    <row r="837" spans="17:17" ht="12.75" customHeight="1">
      <c r="Q837" s="57"/>
    </row>
    <row r="838" spans="17:17" ht="12.75" customHeight="1">
      <c r="Q838" s="57"/>
    </row>
    <row r="839" spans="17:17" ht="12.75" customHeight="1">
      <c r="Q839" s="57"/>
    </row>
    <row r="840" spans="17:17" ht="12.75" customHeight="1">
      <c r="Q840" s="57"/>
    </row>
    <row r="841" spans="17:17" ht="12.75" customHeight="1">
      <c r="Q841" s="57"/>
    </row>
    <row r="842" spans="17:17" ht="12.75" customHeight="1">
      <c r="Q842" s="57"/>
    </row>
    <row r="843" spans="17:17" ht="12.75" customHeight="1">
      <c r="Q843" s="57"/>
    </row>
    <row r="844" spans="17:17" ht="12.75" customHeight="1">
      <c r="Q844" s="57"/>
    </row>
    <row r="845" spans="17:17" ht="12.75" customHeight="1">
      <c r="Q845" s="57"/>
    </row>
    <row r="846" spans="17:17" ht="12.75" customHeight="1">
      <c r="Q846" s="57"/>
    </row>
    <row r="847" spans="17:17" ht="12.75" customHeight="1">
      <c r="Q847" s="57"/>
    </row>
    <row r="848" spans="17:17" ht="12.75" customHeight="1">
      <c r="Q848" s="57"/>
    </row>
    <row r="849" spans="17:17" ht="12.75" customHeight="1">
      <c r="Q849" s="57"/>
    </row>
    <row r="850" spans="17:17" ht="12.75" customHeight="1">
      <c r="Q850" s="57"/>
    </row>
    <row r="851" spans="17:17" ht="12.75" customHeight="1">
      <c r="Q851" s="57"/>
    </row>
    <row r="852" spans="17:17" ht="12.75" customHeight="1">
      <c r="Q852" s="57"/>
    </row>
    <row r="853" spans="17:17" ht="12.75" customHeight="1">
      <c r="Q853" s="57"/>
    </row>
    <row r="854" spans="17:17" ht="12.75" customHeight="1">
      <c r="Q854" s="57"/>
    </row>
    <row r="855" spans="17:17" ht="12.75" customHeight="1">
      <c r="Q855" s="57"/>
    </row>
    <row r="856" spans="17:17" ht="12.75" customHeight="1">
      <c r="Q856" s="57"/>
    </row>
    <row r="857" spans="17:17" ht="12.75" customHeight="1">
      <c r="Q857" s="57"/>
    </row>
    <row r="858" spans="17:17" ht="12.75" customHeight="1">
      <c r="Q858" s="57"/>
    </row>
    <row r="859" spans="17:17" ht="12.75" customHeight="1">
      <c r="Q859" s="57"/>
    </row>
    <row r="860" spans="17:17" ht="12.75" customHeight="1">
      <c r="Q860" s="57"/>
    </row>
    <row r="861" spans="17:17" ht="12.75" customHeight="1">
      <c r="Q861" s="57"/>
    </row>
    <row r="862" spans="17:17" ht="12.75" customHeight="1">
      <c r="Q862" s="57"/>
    </row>
    <row r="863" spans="17:17" ht="12.75" customHeight="1">
      <c r="Q863" s="57"/>
    </row>
    <row r="864" spans="17:17" ht="12.75" customHeight="1">
      <c r="Q864" s="57"/>
    </row>
    <row r="865" spans="17:17" ht="12.75" customHeight="1">
      <c r="Q865" s="57"/>
    </row>
    <row r="866" spans="17:17" ht="12.75" customHeight="1">
      <c r="Q866" s="57"/>
    </row>
    <row r="867" spans="17:17" ht="12.75" customHeight="1">
      <c r="Q867" s="57"/>
    </row>
    <row r="868" spans="17:17" ht="12.75" customHeight="1">
      <c r="Q868" s="57"/>
    </row>
    <row r="869" spans="17:17" ht="12.75" customHeight="1">
      <c r="Q869" s="57"/>
    </row>
    <row r="870" spans="17:17" ht="12.75" customHeight="1">
      <c r="Q870" s="57"/>
    </row>
    <row r="871" spans="17:17" ht="12.75" customHeight="1">
      <c r="Q871" s="57"/>
    </row>
    <row r="872" spans="17:17" ht="12.75" customHeight="1">
      <c r="Q872" s="57"/>
    </row>
    <row r="873" spans="17:17" ht="12.75" customHeight="1">
      <c r="Q873" s="57"/>
    </row>
    <row r="874" spans="17:17" ht="12.75" customHeight="1">
      <c r="Q874" s="57"/>
    </row>
    <row r="875" spans="17:17" ht="12.75" customHeight="1">
      <c r="Q875" s="57"/>
    </row>
    <row r="876" spans="17:17" ht="12.75" customHeight="1">
      <c r="Q876" s="57"/>
    </row>
    <row r="877" spans="17:17" ht="12.75" customHeight="1">
      <c r="Q877" s="57"/>
    </row>
    <row r="878" spans="17:17" ht="12.75" customHeight="1">
      <c r="Q878" s="57"/>
    </row>
    <row r="879" spans="17:17" ht="12.75" customHeight="1">
      <c r="Q879" s="57"/>
    </row>
    <row r="880" spans="17:17" ht="12.75" customHeight="1">
      <c r="Q880" s="57"/>
    </row>
    <row r="881" spans="17:17" ht="12.75" customHeight="1">
      <c r="Q881" s="57"/>
    </row>
    <row r="882" spans="17:17" ht="12.75" customHeight="1">
      <c r="Q882" s="57"/>
    </row>
    <row r="883" spans="17:17" ht="12.75" customHeight="1">
      <c r="Q883" s="57"/>
    </row>
    <row r="884" spans="17:17" ht="12.75" customHeight="1">
      <c r="Q884" s="57"/>
    </row>
    <row r="885" spans="17:17" ht="12.75" customHeight="1">
      <c r="Q885" s="57"/>
    </row>
    <row r="886" spans="17:17" ht="12.75" customHeight="1">
      <c r="Q886" s="57"/>
    </row>
    <row r="887" spans="17:17" ht="12.75" customHeight="1">
      <c r="Q887" s="57"/>
    </row>
    <row r="888" spans="17:17" ht="12.75" customHeight="1">
      <c r="Q888" s="57"/>
    </row>
    <row r="889" spans="17:17" ht="12.75" customHeight="1">
      <c r="Q889" s="57"/>
    </row>
    <row r="890" spans="17:17" ht="12.75" customHeight="1">
      <c r="Q890" s="57"/>
    </row>
    <row r="891" spans="17:17" ht="12.75" customHeight="1">
      <c r="Q891" s="57"/>
    </row>
    <row r="892" spans="17:17" ht="12.75" customHeight="1">
      <c r="Q892" s="57"/>
    </row>
    <row r="893" spans="17:17" ht="12.75" customHeight="1">
      <c r="Q893" s="57"/>
    </row>
    <row r="894" spans="17:17" ht="12.75" customHeight="1">
      <c r="Q894" s="57"/>
    </row>
    <row r="895" spans="17:17" ht="12.75" customHeight="1">
      <c r="Q895" s="57"/>
    </row>
    <row r="896" spans="17:17" ht="12.75" customHeight="1">
      <c r="Q896" s="57"/>
    </row>
    <row r="897" spans="17:17" ht="12.75" customHeight="1">
      <c r="Q897" s="57"/>
    </row>
    <row r="898" spans="17:17" ht="12.75" customHeight="1">
      <c r="Q898" s="57"/>
    </row>
    <row r="899" spans="17:17" ht="12.75" customHeight="1">
      <c r="Q899" s="57"/>
    </row>
    <row r="900" spans="17:17" ht="12.75" customHeight="1">
      <c r="Q900" s="57"/>
    </row>
    <row r="901" spans="17:17" ht="12.75" customHeight="1">
      <c r="Q901" s="57"/>
    </row>
    <row r="902" spans="17:17" ht="12.75" customHeight="1">
      <c r="Q902" s="57"/>
    </row>
    <row r="903" spans="17:17" ht="12.75" customHeight="1">
      <c r="Q903" s="57"/>
    </row>
    <row r="904" spans="17:17" ht="12.75" customHeight="1">
      <c r="Q904" s="57"/>
    </row>
    <row r="905" spans="17:17" ht="12.75" customHeight="1">
      <c r="Q905" s="57"/>
    </row>
    <row r="906" spans="17:17" ht="12.75" customHeight="1">
      <c r="Q906" s="57"/>
    </row>
    <row r="907" spans="17:17" ht="12.75" customHeight="1">
      <c r="Q907" s="57"/>
    </row>
    <row r="908" spans="17:17" ht="12.75" customHeight="1">
      <c r="Q908" s="57"/>
    </row>
    <row r="909" spans="17:17" ht="12.75" customHeight="1">
      <c r="Q909" s="57"/>
    </row>
    <row r="910" spans="17:17" ht="12.75" customHeight="1">
      <c r="Q910" s="57"/>
    </row>
    <row r="911" spans="17:17" ht="12.75" customHeight="1">
      <c r="Q911" s="57"/>
    </row>
    <row r="912" spans="17:17" ht="12.75" customHeight="1">
      <c r="Q912" s="57"/>
    </row>
    <row r="913" spans="17:17" ht="12.75" customHeight="1">
      <c r="Q913" s="57"/>
    </row>
    <row r="914" spans="17:17" ht="12.75" customHeight="1">
      <c r="Q914" s="57"/>
    </row>
    <row r="915" spans="17:17" ht="12.75" customHeight="1">
      <c r="Q915" s="57"/>
    </row>
    <row r="916" spans="17:17" ht="12.75" customHeight="1">
      <c r="Q916" s="57"/>
    </row>
    <row r="917" spans="17:17" ht="12.75" customHeight="1">
      <c r="Q917" s="57"/>
    </row>
    <row r="918" spans="17:17" ht="12.75" customHeight="1">
      <c r="Q918" s="57"/>
    </row>
    <row r="919" spans="17:17" ht="12.75" customHeight="1">
      <c r="Q919" s="57"/>
    </row>
    <row r="920" spans="17:17" ht="12.75" customHeight="1">
      <c r="Q920" s="57"/>
    </row>
    <row r="921" spans="17:17" ht="12.75" customHeight="1">
      <c r="Q921" s="57"/>
    </row>
    <row r="922" spans="17:17" ht="12.75" customHeight="1">
      <c r="Q922" s="57"/>
    </row>
    <row r="923" spans="17:17" ht="12.75" customHeight="1">
      <c r="Q923" s="57"/>
    </row>
    <row r="924" spans="17:17" ht="12.75" customHeight="1">
      <c r="Q924" s="57"/>
    </row>
    <row r="925" spans="17:17" ht="12.75" customHeight="1">
      <c r="Q925" s="57"/>
    </row>
    <row r="926" spans="17:17" ht="12.75" customHeight="1">
      <c r="Q926" s="57"/>
    </row>
    <row r="927" spans="17:17" ht="12.75" customHeight="1">
      <c r="Q927" s="57"/>
    </row>
    <row r="928" spans="17:17" ht="12.75" customHeight="1">
      <c r="Q928" s="57"/>
    </row>
    <row r="929" spans="17:17" ht="12.75" customHeight="1">
      <c r="Q929" s="57"/>
    </row>
    <row r="930" spans="17:17" ht="12.75" customHeight="1">
      <c r="Q930" s="57"/>
    </row>
    <row r="931" spans="17:17" ht="12.75" customHeight="1">
      <c r="Q931" s="57"/>
    </row>
    <row r="932" spans="17:17" ht="12.75" customHeight="1">
      <c r="Q932" s="57"/>
    </row>
    <row r="933" spans="17:17" ht="12.75" customHeight="1">
      <c r="Q933" s="57"/>
    </row>
    <row r="934" spans="17:17" ht="12.75" customHeight="1">
      <c r="Q934" s="57"/>
    </row>
    <row r="935" spans="17:17" ht="12.75" customHeight="1">
      <c r="Q935" s="57"/>
    </row>
    <row r="936" spans="17:17" ht="12.75" customHeight="1">
      <c r="Q936" s="57"/>
    </row>
    <row r="937" spans="17:17" ht="12.75" customHeight="1">
      <c r="Q937" s="57"/>
    </row>
    <row r="938" spans="17:17" ht="12.75" customHeight="1">
      <c r="Q938" s="57"/>
    </row>
    <row r="939" spans="17:17" ht="12.75" customHeight="1">
      <c r="Q939" s="57"/>
    </row>
    <row r="940" spans="17:17" ht="12.75" customHeight="1">
      <c r="Q940" s="57"/>
    </row>
    <row r="941" spans="17:17" ht="12.75" customHeight="1">
      <c r="Q941" s="57"/>
    </row>
    <row r="942" spans="17:17" ht="12.75" customHeight="1">
      <c r="Q942" s="57"/>
    </row>
    <row r="943" spans="17:17" ht="12.75" customHeight="1">
      <c r="Q943" s="57"/>
    </row>
    <row r="944" spans="17:17" ht="12.75" customHeight="1">
      <c r="Q944" s="57"/>
    </row>
    <row r="945" spans="17:17" ht="12.75" customHeight="1">
      <c r="Q945" s="57"/>
    </row>
    <row r="946" spans="17:17" ht="12.75" customHeight="1">
      <c r="Q946" s="57"/>
    </row>
    <row r="947" spans="17:17" ht="12.75" customHeight="1">
      <c r="Q947" s="57"/>
    </row>
    <row r="948" spans="17:17" ht="12.75" customHeight="1">
      <c r="Q948" s="57"/>
    </row>
    <row r="949" spans="17:17" ht="12.75" customHeight="1">
      <c r="Q949" s="57"/>
    </row>
    <row r="950" spans="17:17" ht="12.75" customHeight="1">
      <c r="Q950" s="57"/>
    </row>
    <row r="951" spans="17:17" ht="12.75" customHeight="1">
      <c r="Q951" s="57"/>
    </row>
    <row r="952" spans="17:17" ht="12.75" customHeight="1">
      <c r="Q952" s="57"/>
    </row>
    <row r="953" spans="17:17" ht="12.75" customHeight="1">
      <c r="Q953" s="57"/>
    </row>
    <row r="954" spans="17:17" ht="12.75" customHeight="1">
      <c r="Q954" s="57"/>
    </row>
    <row r="955" spans="17:17" ht="12.75" customHeight="1">
      <c r="Q955" s="57"/>
    </row>
    <row r="956" spans="17:17" ht="12.75" customHeight="1">
      <c r="Q956" s="57"/>
    </row>
    <row r="957" spans="17:17" ht="12.75" customHeight="1">
      <c r="Q957" s="57"/>
    </row>
    <row r="958" spans="17:17" ht="12.75" customHeight="1">
      <c r="Q958" s="57"/>
    </row>
    <row r="959" spans="17:17" ht="12.75" customHeight="1">
      <c r="Q959" s="57"/>
    </row>
    <row r="960" spans="17:17" ht="12.75" customHeight="1">
      <c r="Q960" s="57"/>
    </row>
    <row r="961" spans="17:17" ht="12.75" customHeight="1">
      <c r="Q961" s="57"/>
    </row>
    <row r="962" spans="17:17" ht="12.75" customHeight="1">
      <c r="Q962" s="57"/>
    </row>
    <row r="963" spans="17:17" ht="12.75" customHeight="1">
      <c r="Q963" s="57"/>
    </row>
    <row r="964" spans="17:17" ht="12.75" customHeight="1">
      <c r="Q964" s="57"/>
    </row>
    <row r="965" spans="17:17" ht="12.75" customHeight="1">
      <c r="Q965" s="57"/>
    </row>
    <row r="966" spans="17:17" ht="12.75" customHeight="1">
      <c r="Q966" s="57"/>
    </row>
    <row r="967" spans="17:17" ht="12.75" customHeight="1">
      <c r="Q967" s="57"/>
    </row>
    <row r="968" spans="17:17" ht="12.75" customHeight="1">
      <c r="Q968" s="57"/>
    </row>
    <row r="969" spans="17:17" ht="12.75" customHeight="1">
      <c r="Q969" s="57"/>
    </row>
    <row r="970" spans="17:17" ht="12.75" customHeight="1">
      <c r="Q970" s="57"/>
    </row>
    <row r="971" spans="17:17" ht="12.75" customHeight="1">
      <c r="Q971" s="57"/>
    </row>
    <row r="972" spans="17:17" ht="12.75" customHeight="1">
      <c r="Q972" s="57"/>
    </row>
    <row r="973" spans="17:17" ht="12.75" customHeight="1">
      <c r="Q973" s="57"/>
    </row>
    <row r="974" spans="17:17" ht="12.75" customHeight="1">
      <c r="Q974" s="57"/>
    </row>
    <row r="975" spans="17:17" ht="12.75" customHeight="1">
      <c r="Q975" s="57"/>
    </row>
    <row r="976" spans="17:17" ht="12.75" customHeight="1">
      <c r="Q976" s="57"/>
    </row>
    <row r="977" spans="17:17" ht="12.75" customHeight="1">
      <c r="Q977" s="57"/>
    </row>
    <row r="978" spans="17:17" ht="12.75" customHeight="1">
      <c r="Q978" s="57"/>
    </row>
    <row r="979" spans="17:17" ht="12.75" customHeight="1">
      <c r="Q979" s="57"/>
    </row>
    <row r="980" spans="17:17" ht="12.75" customHeight="1">
      <c r="Q980" s="57"/>
    </row>
    <row r="981" spans="17:17" ht="12.75" customHeight="1">
      <c r="Q981" s="57"/>
    </row>
    <row r="982" spans="17:17" ht="12.75" customHeight="1">
      <c r="Q982" s="57"/>
    </row>
    <row r="983" spans="17:17" ht="12.75" customHeight="1">
      <c r="Q983" s="57"/>
    </row>
    <row r="984" spans="17:17" ht="12.75" customHeight="1">
      <c r="Q984" s="57"/>
    </row>
    <row r="985" spans="17:17" ht="12.75" customHeight="1">
      <c r="Q985" s="57"/>
    </row>
    <row r="986" spans="17:17" ht="12.75" customHeight="1">
      <c r="Q986" s="57"/>
    </row>
    <row r="987" spans="17:17" ht="12.75" customHeight="1">
      <c r="Q987" s="57"/>
    </row>
    <row r="988" spans="17:17" ht="12.75" customHeight="1">
      <c r="Q988" s="57"/>
    </row>
    <row r="989" spans="17:17" ht="12.75" customHeight="1">
      <c r="Q989" s="57"/>
    </row>
    <row r="990" spans="17:17" ht="12.75" customHeight="1">
      <c r="Q990" s="57"/>
    </row>
    <row r="991" spans="17:17" ht="12.75" customHeight="1">
      <c r="Q991" s="57"/>
    </row>
    <row r="992" spans="17:17" ht="12.75" customHeight="1">
      <c r="Q992" s="57"/>
    </row>
    <row r="993" spans="17:17" ht="12.75" customHeight="1">
      <c r="Q993" s="57"/>
    </row>
    <row r="994" spans="17:17" ht="12.75" customHeight="1">
      <c r="Q994" s="57"/>
    </row>
    <row r="995" spans="17:17" ht="12.75" customHeight="1">
      <c r="Q995" s="57"/>
    </row>
    <row r="996" spans="17:17" ht="12.75" customHeight="1">
      <c r="Q996" s="57"/>
    </row>
    <row r="997" spans="17:17" ht="12.75" customHeight="1">
      <c r="Q997" s="57"/>
    </row>
    <row r="998" spans="17:17" ht="12.75" customHeight="1">
      <c r="Q998" s="57"/>
    </row>
    <row r="999" spans="17:17" ht="12.75" customHeight="1">
      <c r="Q999" s="57"/>
    </row>
    <row r="1000" spans="17:17" ht="12.75" customHeight="1">
      <c r="Q1000" s="57"/>
    </row>
  </sheetData>
  <mergeCells count="7">
    <mergeCell ref="D6:G6"/>
    <mergeCell ref="I6:L6"/>
    <mergeCell ref="B1:O1"/>
    <mergeCell ref="B2:O2"/>
    <mergeCell ref="B3:O3"/>
    <mergeCell ref="D5:L5"/>
    <mergeCell ref="N5:O5"/>
  </mergeCells>
  <conditionalFormatting sqref="N8:N40">
    <cfRule type="cellIs" dxfId="448" priority="3" stopIfTrue="1" operator="greaterThanOrEqual">
      <formula>0</formula>
    </cfRule>
    <cfRule type="cellIs" dxfId="447" priority="4" stopIfTrue="1" operator="lessThan">
      <formula>0</formula>
    </cfRule>
  </conditionalFormatting>
  <conditionalFormatting sqref="O30">
    <cfRule type="cellIs" dxfId="446" priority="9" stopIfTrue="1" operator="greaterThan">
      <formula>$N$71</formula>
    </cfRule>
    <cfRule type="cellIs" dxfId="445" priority="10" stopIfTrue="1" operator="lessThanOrEqual">
      <formula>$N$71</formula>
    </cfRule>
  </conditionalFormatting>
  <conditionalFormatting sqref="O31">
    <cfRule type="cellIs" dxfId="444" priority="5" stopIfTrue="1" operator="greaterThan">
      <formula>$N$77</formula>
    </cfRule>
    <cfRule type="cellIs" dxfId="443" priority="6" stopIfTrue="1" operator="lessThanOrEqual">
      <formula>$N$77</formula>
    </cfRule>
  </conditionalFormatting>
  <conditionalFormatting sqref="O38">
    <cfRule type="cellIs" dxfId="442" priority="15" stopIfTrue="1" operator="greaterThan">
      <formula>$N$70</formula>
    </cfRule>
    <cfRule type="cellIs" dxfId="441" priority="16" stopIfTrue="1" operator="lessThanOrEqual">
      <formula>$N$70</formula>
    </cfRule>
  </conditionalFormatting>
  <conditionalFormatting sqref="O39:O40">
    <cfRule type="cellIs" dxfId="440" priority="7" stopIfTrue="1" operator="greaterThan">
      <formula>$N$71</formula>
    </cfRule>
    <cfRule type="cellIs" dxfId="439" priority="8" stopIfTrue="1" operator="lessThanOrEqual">
      <formula>$N$71</formula>
    </cfRule>
  </conditionalFormatting>
  <conditionalFormatting sqref="O8:P20 N21:P29 P30:P31 N30:N63 O32:P37 P38:P40 O43:O63 P72:P75">
    <cfRule type="cellIs" dxfId="438" priority="1" stopIfTrue="1" operator="greaterThan">
      <formula>$N$71</formula>
    </cfRule>
    <cfRule type="cellIs" dxfId="437" priority="2" stopIfTrue="1" operator="lessThanOrEqual">
      <formula>$N$71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28515625" defaultRowHeight="15" customHeight="1"/>
  <cols>
    <col min="1" max="1" width="3.28515625" customWidth="1"/>
    <col min="2" max="2" width="34.7109375" customWidth="1"/>
    <col min="3" max="3" width="6.7109375" customWidth="1"/>
    <col min="4" max="4" width="7.28515625" customWidth="1"/>
    <col min="5" max="5" width="11" customWidth="1"/>
    <col min="6" max="6" width="12.28515625" customWidth="1"/>
    <col min="7" max="7" width="8.7109375" customWidth="1"/>
    <col min="8" max="8" width="5.28515625" customWidth="1"/>
    <col min="9" max="9" width="9.28515625" customWidth="1"/>
    <col min="10" max="10" width="8.28515625" customWidth="1"/>
    <col min="11" max="11" width="13.7109375" customWidth="1"/>
    <col min="12" max="12" width="12.28515625" customWidth="1"/>
    <col min="13" max="13" width="0.7109375" customWidth="1"/>
    <col min="14" max="14" width="7.28515625" customWidth="1"/>
    <col min="15" max="15" width="7.7109375" customWidth="1"/>
    <col min="16" max="16" width="7.28515625" customWidth="1"/>
    <col min="17" max="17" width="9.28515625" customWidth="1"/>
    <col min="18" max="26" width="8.7109375" customWidth="1"/>
  </cols>
  <sheetData>
    <row r="1" spans="1:22" ht="12.75" customHeight="1">
      <c r="A1" s="309"/>
      <c r="B1" s="1984" t="s">
        <v>0</v>
      </c>
      <c r="C1" s="1985"/>
      <c r="D1" s="1985"/>
      <c r="E1" s="1985"/>
      <c r="F1" s="1985"/>
      <c r="G1" s="1985"/>
      <c r="H1" s="1985"/>
      <c r="I1" s="1985"/>
      <c r="J1" s="1985"/>
      <c r="K1" s="1985"/>
      <c r="L1" s="1985"/>
      <c r="M1" s="1985"/>
      <c r="N1" s="1985"/>
      <c r="O1" s="1985"/>
      <c r="P1" s="989"/>
      <c r="Q1" s="1162"/>
      <c r="R1" s="989"/>
      <c r="S1" s="990"/>
      <c r="T1" s="990"/>
      <c r="U1" s="990"/>
      <c r="V1" s="1021"/>
    </row>
    <row r="2" spans="1:22" ht="12.75" customHeight="1">
      <c r="A2" s="309"/>
      <c r="B2" s="1986" t="s">
        <v>359</v>
      </c>
      <c r="C2" s="1985"/>
      <c r="D2" s="1985"/>
      <c r="E2" s="1985"/>
      <c r="F2" s="1985"/>
      <c r="G2" s="1985"/>
      <c r="H2" s="1985"/>
      <c r="I2" s="1985"/>
      <c r="J2" s="1985"/>
      <c r="K2" s="1985"/>
      <c r="L2" s="1985"/>
      <c r="M2" s="1985"/>
      <c r="N2" s="1985"/>
      <c r="O2" s="1985"/>
      <c r="P2" s="991"/>
      <c r="Q2" s="325"/>
      <c r="R2" s="991"/>
      <c r="S2" s="345"/>
      <c r="T2" s="345"/>
      <c r="U2" s="345"/>
      <c r="V2" s="1022"/>
    </row>
    <row r="3" spans="1:22" ht="12.75" customHeight="1">
      <c r="A3" s="309"/>
      <c r="B3" s="2001"/>
      <c r="C3" s="1985"/>
      <c r="D3" s="1985"/>
      <c r="E3" s="1985"/>
      <c r="F3" s="1985"/>
      <c r="G3" s="1985"/>
      <c r="H3" s="1985"/>
      <c r="I3" s="1985"/>
      <c r="J3" s="1985"/>
      <c r="K3" s="1985"/>
      <c r="L3" s="1985"/>
      <c r="M3" s="1985"/>
      <c r="N3" s="1985"/>
      <c r="O3" s="1985"/>
      <c r="P3" s="991"/>
      <c r="Q3" s="325"/>
      <c r="R3" s="991"/>
      <c r="S3" s="992"/>
      <c r="T3" s="992"/>
      <c r="U3" s="992"/>
      <c r="V3" s="1022"/>
    </row>
    <row r="4" spans="1:22" ht="12.75" customHeight="1">
      <c r="A4" s="309"/>
      <c r="B4" s="894"/>
      <c r="C4" s="894"/>
      <c r="D4" s="894"/>
      <c r="E4" s="894"/>
      <c r="F4" s="894"/>
      <c r="G4" s="894"/>
      <c r="H4" s="894"/>
      <c r="I4" s="894"/>
      <c r="J4" s="894"/>
      <c r="K4" s="894"/>
      <c r="L4" s="894"/>
      <c r="M4" s="894"/>
      <c r="N4" s="894"/>
      <c r="O4" s="894"/>
      <c r="P4" s="994"/>
      <c r="Q4" s="1163"/>
      <c r="R4" s="994"/>
      <c r="S4" s="933"/>
      <c r="T4" s="933"/>
      <c r="U4" s="933"/>
      <c r="V4" s="609"/>
    </row>
    <row r="5" spans="1:22" ht="12.75" customHeight="1">
      <c r="A5" s="897"/>
      <c r="B5" s="897"/>
      <c r="C5" s="1175"/>
      <c r="D5" s="1988" t="s">
        <v>3</v>
      </c>
      <c r="E5" s="1989"/>
      <c r="F5" s="1989"/>
      <c r="G5" s="1989"/>
      <c r="H5" s="1989"/>
      <c r="I5" s="1989"/>
      <c r="J5" s="1989"/>
      <c r="K5" s="1989"/>
      <c r="L5" s="1990"/>
      <c r="M5" s="899"/>
      <c r="N5" s="1991"/>
      <c r="O5" s="1992"/>
      <c r="P5" s="995"/>
      <c r="Q5" s="1164"/>
      <c r="R5" s="995"/>
      <c r="S5" s="309"/>
      <c r="T5" s="309"/>
      <c r="U5" s="309"/>
      <c r="V5" s="328"/>
    </row>
    <row r="6" spans="1:22" ht="12.75" customHeight="1">
      <c r="A6" s="1053"/>
      <c r="B6" s="900"/>
      <c r="C6" s="901"/>
      <c r="D6" s="2008">
        <v>41274</v>
      </c>
      <c r="E6" s="1981"/>
      <c r="F6" s="1981"/>
      <c r="G6" s="1981"/>
      <c r="H6" s="902"/>
      <c r="I6" s="2003">
        <v>41639</v>
      </c>
      <c r="J6" s="1981"/>
      <c r="K6" s="1981"/>
      <c r="L6" s="1983"/>
      <c r="M6" s="900"/>
      <c r="N6" s="544" t="s">
        <v>5</v>
      </c>
      <c r="O6" s="41" t="s">
        <v>6</v>
      </c>
      <c r="P6" s="1116"/>
      <c r="Q6" s="882"/>
      <c r="R6" s="892"/>
      <c r="S6" s="323"/>
      <c r="T6" s="323"/>
      <c r="U6" s="323"/>
      <c r="V6" s="327"/>
    </row>
    <row r="7" spans="1:22" ht="12.75" customHeight="1">
      <c r="A7" s="42"/>
      <c r="B7" s="905" t="s">
        <v>7</v>
      </c>
      <c r="C7" s="1176" t="s">
        <v>8</v>
      </c>
      <c r="D7" s="893" t="s">
        <v>9</v>
      </c>
      <c r="E7" s="113" t="s">
        <v>10</v>
      </c>
      <c r="F7" s="113" t="s">
        <v>11</v>
      </c>
      <c r="G7" s="113" t="s">
        <v>12</v>
      </c>
      <c r="H7" s="905"/>
      <c r="I7" s="113" t="s">
        <v>9</v>
      </c>
      <c r="J7" s="113" t="s">
        <v>10</v>
      </c>
      <c r="K7" s="114" t="s">
        <v>11</v>
      </c>
      <c r="L7" s="115" t="s">
        <v>12</v>
      </c>
      <c r="M7" s="905"/>
      <c r="N7" s="113" t="s">
        <v>15</v>
      </c>
      <c r="O7" s="115" t="s">
        <v>15</v>
      </c>
      <c r="P7" s="544"/>
      <c r="Q7" s="882"/>
      <c r="R7" s="892"/>
      <c r="S7" s="323"/>
      <c r="T7" s="323"/>
      <c r="U7" s="323"/>
      <c r="V7" s="327"/>
    </row>
    <row r="8" spans="1:22" ht="12.75" customHeight="1">
      <c r="A8" s="1177"/>
      <c r="B8" s="900" t="s">
        <v>360</v>
      </c>
      <c r="C8" s="1178"/>
      <c r="D8" s="544"/>
      <c r="E8" s="544"/>
      <c r="F8" s="544"/>
      <c r="G8" s="544"/>
      <c r="H8" s="900"/>
      <c r="I8" s="544"/>
      <c r="J8" s="544"/>
      <c r="K8" s="1179"/>
      <c r="L8" s="855"/>
      <c r="M8" s="900"/>
      <c r="N8" s="62"/>
      <c r="O8" s="1180"/>
      <c r="P8" s="544"/>
      <c r="Q8" s="882"/>
      <c r="R8" s="892"/>
      <c r="S8" s="323"/>
      <c r="T8" s="323"/>
      <c r="U8" s="323"/>
      <c r="V8" s="327"/>
    </row>
    <row r="9" spans="1:22" ht="12.75" customHeight="1">
      <c r="A9" s="322">
        <v>1</v>
      </c>
      <c r="B9" s="334" t="s">
        <v>230</v>
      </c>
      <c r="C9" s="335" t="s">
        <v>231</v>
      </c>
      <c r="D9" s="547">
        <v>25</v>
      </c>
      <c r="E9" s="1055">
        <v>92.85</v>
      </c>
      <c r="F9" s="327">
        <f t="shared" ref="F9:F21" si="0">E9*D9</f>
        <v>2321.25</v>
      </c>
      <c r="G9" s="331">
        <f t="shared" ref="G9:G21" si="1">F9/$F$68</f>
        <v>2.5905937758117725E-2</v>
      </c>
      <c r="H9" s="900"/>
      <c r="I9" s="547">
        <v>25</v>
      </c>
      <c r="J9" s="1055">
        <v>140.25</v>
      </c>
      <c r="K9" s="1147">
        <f t="shared" ref="K9:K32" si="2">I9*J9</f>
        <v>3506.25</v>
      </c>
      <c r="L9" s="1118">
        <f t="shared" ref="L9:L32" si="3">K9/$K$68</f>
        <v>2.8644864462917675E-2</v>
      </c>
      <c r="M9" s="900"/>
      <c r="N9" s="495">
        <f t="shared" ref="N9:N21" si="4">(J9-E9)/E9</f>
        <v>0.51050080775444273</v>
      </c>
      <c r="O9" s="329">
        <f>(J9-Transactions!C1395)/Transactions!C1395</f>
        <v>0.79073033707865181</v>
      </c>
      <c r="P9" s="119"/>
      <c r="Q9" s="882"/>
      <c r="R9" s="892"/>
      <c r="S9" s="323"/>
      <c r="T9" s="323"/>
      <c r="U9" s="323"/>
      <c r="V9" s="327"/>
    </row>
    <row r="10" spans="1:22" ht="12.75" customHeight="1">
      <c r="A10" s="322">
        <v>2</v>
      </c>
      <c r="B10" s="334" t="s">
        <v>276</v>
      </c>
      <c r="C10" s="335" t="s">
        <v>277</v>
      </c>
      <c r="D10" s="547">
        <v>40</v>
      </c>
      <c r="E10" s="1055">
        <v>32.75</v>
      </c>
      <c r="F10" s="327">
        <f t="shared" si="0"/>
        <v>1310</v>
      </c>
      <c r="G10" s="331">
        <f t="shared" si="1"/>
        <v>1.4620044572163369E-2</v>
      </c>
      <c r="H10" s="900"/>
      <c r="I10" s="547">
        <v>40</v>
      </c>
      <c r="J10" s="1055">
        <v>38.33</v>
      </c>
      <c r="K10" s="1147">
        <f t="shared" si="2"/>
        <v>1533.1999999999998</v>
      </c>
      <c r="L10" s="1118">
        <f t="shared" si="3"/>
        <v>1.2525720126786559E-2</v>
      </c>
      <c r="M10" s="900"/>
      <c r="N10" s="495">
        <f t="shared" si="4"/>
        <v>0.17038167938931292</v>
      </c>
      <c r="O10" s="329">
        <f>(J10-Transactions!C1200)/Transactions!C1200</f>
        <v>0.63698483877856071</v>
      </c>
      <c r="P10" s="119"/>
      <c r="Q10" s="882"/>
      <c r="R10" s="892"/>
      <c r="S10" s="323"/>
      <c r="T10" s="323"/>
      <c r="U10" s="323"/>
      <c r="V10" s="327"/>
    </row>
    <row r="11" spans="1:22" ht="12.75" customHeight="1">
      <c r="A11" s="322">
        <v>3</v>
      </c>
      <c r="B11" s="334" t="s">
        <v>361</v>
      </c>
      <c r="C11" s="335" t="s">
        <v>362</v>
      </c>
      <c r="D11" s="547">
        <v>40</v>
      </c>
      <c r="E11" s="1055">
        <v>34.92</v>
      </c>
      <c r="F11" s="327">
        <f t="shared" si="0"/>
        <v>1396.8000000000002</v>
      </c>
      <c r="G11" s="331">
        <f t="shared" si="1"/>
        <v>1.5588762029311296E-2</v>
      </c>
      <c r="H11" s="900"/>
      <c r="I11" s="547">
        <v>40</v>
      </c>
      <c r="J11" s="1055">
        <v>52.81</v>
      </c>
      <c r="K11" s="1147">
        <f t="shared" si="2"/>
        <v>2112.4</v>
      </c>
      <c r="L11" s="1118">
        <f t="shared" si="3"/>
        <v>1.7257586222165361E-2</v>
      </c>
      <c r="M11" s="900"/>
      <c r="N11" s="495">
        <f t="shared" si="4"/>
        <v>0.51231386025200454</v>
      </c>
      <c r="O11" s="329">
        <f>(J11-Transactions!C1200)/Transactions!C1200</f>
        <v>1.2553918428357893</v>
      </c>
      <c r="P11" s="119"/>
      <c r="Q11" s="882"/>
      <c r="R11" s="892"/>
      <c r="S11" s="323"/>
      <c r="T11" s="323"/>
      <c r="U11" s="323"/>
      <c r="V11" s="327"/>
    </row>
    <row r="12" spans="1:22" ht="12.75" customHeight="1">
      <c r="A12" s="322">
        <v>4</v>
      </c>
      <c r="B12" s="334" t="s">
        <v>341</v>
      </c>
      <c r="C12" s="335" t="s">
        <v>342</v>
      </c>
      <c r="D12" s="547">
        <v>10</v>
      </c>
      <c r="E12" s="1055">
        <v>84.02</v>
      </c>
      <c r="F12" s="327">
        <f t="shared" si="0"/>
        <v>840.19999999999993</v>
      </c>
      <c r="G12" s="331">
        <f t="shared" si="1"/>
        <v>9.3769171370470701E-3</v>
      </c>
      <c r="H12" s="900"/>
      <c r="I12" s="547">
        <v>10</v>
      </c>
      <c r="J12" s="1055">
        <v>111.78</v>
      </c>
      <c r="K12" s="1147">
        <f t="shared" si="2"/>
        <v>1117.8</v>
      </c>
      <c r="L12" s="1118">
        <f t="shared" si="3"/>
        <v>9.1320440632155081E-3</v>
      </c>
      <c r="M12" s="900"/>
      <c r="N12" s="495">
        <f t="shared" si="4"/>
        <v>0.3303975243989527</v>
      </c>
      <c r="O12" s="329">
        <f>(J12-Transactions!C1086)/Transactions!C1086</f>
        <v>0.36533528765115419</v>
      </c>
      <c r="P12" s="119"/>
      <c r="Q12" s="882"/>
      <c r="R12" s="892"/>
      <c r="S12" s="323"/>
      <c r="T12" s="323"/>
      <c r="U12" s="323"/>
      <c r="V12" s="327"/>
    </row>
    <row r="13" spans="1:22" ht="12.75" customHeight="1">
      <c r="A13" s="322">
        <v>5</v>
      </c>
      <c r="B13" s="334" t="s">
        <v>206</v>
      </c>
      <c r="C13" s="335" t="s">
        <v>207</v>
      </c>
      <c r="D13" s="547">
        <v>6</v>
      </c>
      <c r="E13" s="1055">
        <v>532.17290000000003</v>
      </c>
      <c r="F13" s="327">
        <f t="shared" si="0"/>
        <v>3193.0374000000002</v>
      </c>
      <c r="G13" s="331">
        <f t="shared" si="1"/>
        <v>3.5635380998919573E-2</v>
      </c>
      <c r="H13" s="940"/>
      <c r="I13" s="547">
        <v>6</v>
      </c>
      <c r="J13" s="1055">
        <v>561.02</v>
      </c>
      <c r="K13" s="1147">
        <f t="shared" si="2"/>
        <v>3366.12</v>
      </c>
      <c r="L13" s="1118">
        <f t="shared" si="3"/>
        <v>2.7500050243398629E-2</v>
      </c>
      <c r="M13" s="345"/>
      <c r="N13" s="495">
        <f t="shared" si="4"/>
        <v>5.4206255147528096E-2</v>
      </c>
      <c r="O13" s="329">
        <f>(J13-Transactions!C1431)/Transactions!C1431</f>
        <v>2.169604519774011</v>
      </c>
      <c r="P13" s="119"/>
      <c r="Q13" s="882"/>
      <c r="R13" s="326"/>
      <c r="S13" s="309"/>
      <c r="T13" s="328"/>
      <c r="U13" s="309"/>
      <c r="V13" s="328"/>
    </row>
    <row r="14" spans="1:22" ht="12.75" customHeight="1">
      <c r="A14" s="322">
        <v>6</v>
      </c>
      <c r="B14" s="334" t="s">
        <v>281</v>
      </c>
      <c r="C14" s="335" t="s">
        <v>152</v>
      </c>
      <c r="D14" s="547">
        <v>120</v>
      </c>
      <c r="E14" s="1055">
        <v>19.6494</v>
      </c>
      <c r="F14" s="327">
        <f t="shared" si="0"/>
        <v>2357.9279999999999</v>
      </c>
      <c r="G14" s="331">
        <f t="shared" si="1"/>
        <v>2.6315276685459563E-2</v>
      </c>
      <c r="H14" s="940"/>
      <c r="I14" s="547">
        <v>120</v>
      </c>
      <c r="J14" s="1055">
        <v>22.43</v>
      </c>
      <c r="K14" s="1147">
        <f t="shared" si="2"/>
        <v>2691.6</v>
      </c>
      <c r="L14" s="1118">
        <f t="shared" si="3"/>
        <v>2.1989452317544161E-2</v>
      </c>
      <c r="M14" s="345"/>
      <c r="N14" s="495">
        <f t="shared" si="4"/>
        <v>0.14151068226001812</v>
      </c>
      <c r="O14" s="329">
        <f>(J14-Transactions!C1201)/Transactions!C1201</f>
        <v>0.19626666666666664</v>
      </c>
      <c r="P14" s="119"/>
      <c r="Q14" s="882"/>
      <c r="R14" s="326"/>
      <c r="S14" s="309"/>
      <c r="T14" s="328"/>
      <c r="U14" s="309"/>
      <c r="V14" s="328"/>
    </row>
    <row r="15" spans="1:22" ht="12.75" customHeight="1">
      <c r="A15" s="322">
        <v>7</v>
      </c>
      <c r="B15" s="334" t="s">
        <v>153</v>
      </c>
      <c r="C15" s="335" t="s">
        <v>154</v>
      </c>
      <c r="D15" s="547">
        <v>70</v>
      </c>
      <c r="E15" s="1055">
        <v>36.25</v>
      </c>
      <c r="F15" s="327">
        <f t="shared" si="0"/>
        <v>2537.5</v>
      </c>
      <c r="G15" s="331">
        <f t="shared" si="1"/>
        <v>2.8319361146461487E-2</v>
      </c>
      <c r="H15" s="940"/>
      <c r="I15" s="547">
        <v>70</v>
      </c>
      <c r="J15" s="1055">
        <v>41.31</v>
      </c>
      <c r="K15" s="1147">
        <f t="shared" si="2"/>
        <v>2891.7000000000003</v>
      </c>
      <c r="L15" s="1118">
        <f t="shared" si="3"/>
        <v>2.362420094614447E-2</v>
      </c>
      <c r="M15" s="345"/>
      <c r="N15" s="495">
        <f t="shared" si="4"/>
        <v>0.1395862068965518</v>
      </c>
      <c r="O15" s="329">
        <f>(J15-Transactions!C1375)/Transactions!C1375</f>
        <v>0.8845802919708029</v>
      </c>
      <c r="P15" s="119"/>
      <c r="Q15" s="882"/>
      <c r="R15" s="326"/>
      <c r="S15" s="309"/>
      <c r="T15" s="328"/>
      <c r="U15" s="309"/>
      <c r="V15" s="328"/>
    </row>
    <row r="16" spans="1:22" ht="12.75" customHeight="1">
      <c r="A16" s="322">
        <v>8</v>
      </c>
      <c r="B16" s="1059" t="s">
        <v>24</v>
      </c>
      <c r="C16" s="138" t="s">
        <v>25</v>
      </c>
      <c r="D16" s="1181">
        <v>60</v>
      </c>
      <c r="E16" s="1055">
        <v>55.9</v>
      </c>
      <c r="F16" s="327">
        <f t="shared" si="0"/>
        <v>3354</v>
      </c>
      <c r="G16" s="331">
        <f t="shared" si="1"/>
        <v>3.743177824048545E-2</v>
      </c>
      <c r="H16" s="949"/>
      <c r="I16" s="1181">
        <v>60</v>
      </c>
      <c r="J16" s="1055">
        <v>77.2</v>
      </c>
      <c r="K16" s="1147">
        <f t="shared" si="2"/>
        <v>4632</v>
      </c>
      <c r="L16" s="1118">
        <f t="shared" si="3"/>
        <v>3.784185730972825E-2</v>
      </c>
      <c r="M16" s="309"/>
      <c r="N16" s="495">
        <f t="shared" si="4"/>
        <v>0.38103756708407882</v>
      </c>
      <c r="O16" s="329">
        <f>(J16-Transactions!C1718)/Transactions!C1718</f>
        <v>2.0423645320197044</v>
      </c>
      <c r="P16" s="119"/>
      <c r="Q16" s="882"/>
      <c r="R16" s="326"/>
      <c r="S16" s="309"/>
      <c r="T16" s="328"/>
      <c r="U16" s="309"/>
      <c r="V16" s="328"/>
    </row>
    <row r="17" spans="1:22" ht="12.75" customHeight="1">
      <c r="A17" s="322">
        <v>9</v>
      </c>
      <c r="B17" s="1059" t="s">
        <v>252</v>
      </c>
      <c r="C17" s="138" t="s">
        <v>253</v>
      </c>
      <c r="D17" s="1181">
        <v>50</v>
      </c>
      <c r="E17" s="1055">
        <v>38.549999999999997</v>
      </c>
      <c r="F17" s="327">
        <f t="shared" si="0"/>
        <v>1927.4999999999998</v>
      </c>
      <c r="G17" s="331">
        <f t="shared" si="1"/>
        <v>2.1511554131942664E-2</v>
      </c>
      <c r="H17" s="949"/>
      <c r="I17" s="1181">
        <v>30</v>
      </c>
      <c r="J17" s="1055">
        <v>55.95</v>
      </c>
      <c r="K17" s="1147">
        <f t="shared" si="2"/>
        <v>1678.5</v>
      </c>
      <c r="L17" s="1118">
        <f t="shared" si="3"/>
        <v>1.3712771479788183E-2</v>
      </c>
      <c r="M17" s="309"/>
      <c r="N17" s="495">
        <f t="shared" si="4"/>
        <v>0.45136186770428033</v>
      </c>
      <c r="O17" s="329">
        <f>(J17-Transactions!C1138)/Transactions!C1138</f>
        <v>1.2371051579368253</v>
      </c>
      <c r="P17" s="119"/>
      <c r="Q17" s="882"/>
      <c r="R17" s="326"/>
      <c r="S17" s="309"/>
      <c r="T17" s="328"/>
      <c r="U17" s="309"/>
      <c r="V17" s="328"/>
    </row>
    <row r="18" spans="1:22" ht="12.75" customHeight="1">
      <c r="A18" s="322">
        <v>10</v>
      </c>
      <c r="B18" s="334" t="s">
        <v>343</v>
      </c>
      <c r="C18" s="335" t="s">
        <v>344</v>
      </c>
      <c r="D18" s="547">
        <v>35</v>
      </c>
      <c r="E18" s="1055">
        <v>54</v>
      </c>
      <c r="F18" s="327">
        <f t="shared" si="0"/>
        <v>1890</v>
      </c>
      <c r="G18" s="331">
        <f t="shared" si="1"/>
        <v>2.1093041405640282E-2</v>
      </c>
      <c r="H18" s="940"/>
      <c r="I18" s="547">
        <v>35</v>
      </c>
      <c r="J18" s="1055">
        <v>70.239999999999995</v>
      </c>
      <c r="K18" s="1147">
        <f t="shared" si="2"/>
        <v>2458.3999999999996</v>
      </c>
      <c r="L18" s="1118">
        <f t="shared" si="3"/>
        <v>2.0084287998755595E-2</v>
      </c>
      <c r="M18" s="345"/>
      <c r="N18" s="495">
        <f t="shared" si="4"/>
        <v>0.30074074074074064</v>
      </c>
      <c r="O18" s="329">
        <f>(J18-Transactions!C1035)/Transactions!C1035</f>
        <v>0.35102904404693197</v>
      </c>
      <c r="P18" s="119"/>
      <c r="Q18" s="882"/>
      <c r="R18" s="326"/>
      <c r="S18" s="309"/>
      <c r="T18" s="328"/>
      <c r="U18" s="309"/>
      <c r="V18" s="328"/>
    </row>
    <row r="19" spans="1:22" ht="12.75" customHeight="1">
      <c r="A19" s="322">
        <v>11</v>
      </c>
      <c r="B19" s="334" t="s">
        <v>284</v>
      </c>
      <c r="C19" s="138" t="s">
        <v>285</v>
      </c>
      <c r="D19" s="1181">
        <v>28</v>
      </c>
      <c r="E19" s="1055">
        <v>86.55</v>
      </c>
      <c r="F19" s="327">
        <f t="shared" si="0"/>
        <v>2423.4</v>
      </c>
      <c r="G19" s="331">
        <f t="shared" si="1"/>
        <v>2.7045966424565426E-2</v>
      </c>
      <c r="H19" s="949"/>
      <c r="I19" s="1181">
        <v>28</v>
      </c>
      <c r="J19" s="1055">
        <v>101.2</v>
      </c>
      <c r="K19" s="1147">
        <f t="shared" si="2"/>
        <v>2833.6</v>
      </c>
      <c r="L19" s="1118">
        <f t="shared" si="3"/>
        <v>2.3149543798110097E-2</v>
      </c>
      <c r="M19" s="309"/>
      <c r="N19" s="495">
        <f t="shared" si="4"/>
        <v>0.16926632004621614</v>
      </c>
      <c r="O19" s="329">
        <f>(J19-Transactions!C1403)/Transactions!C1403</f>
        <v>0.2004744958481614</v>
      </c>
      <c r="P19" s="119"/>
      <c r="Q19" s="882"/>
      <c r="R19" s="326"/>
      <c r="S19" s="309"/>
      <c r="T19" s="328"/>
      <c r="U19" s="309"/>
      <c r="V19" s="328"/>
    </row>
    <row r="20" spans="1:22" ht="12.75" customHeight="1">
      <c r="A20" s="322">
        <v>12</v>
      </c>
      <c r="B20" s="334" t="s">
        <v>319</v>
      </c>
      <c r="C20" s="138" t="s">
        <v>320</v>
      </c>
      <c r="D20" s="1181">
        <v>15</v>
      </c>
      <c r="E20" s="1055">
        <v>91.72</v>
      </c>
      <c r="F20" s="327">
        <f t="shared" si="0"/>
        <v>1375.8</v>
      </c>
      <c r="G20" s="331">
        <f t="shared" si="1"/>
        <v>1.5354394902581956E-2</v>
      </c>
      <c r="H20" s="949"/>
      <c r="I20" s="1181">
        <v>15</v>
      </c>
      <c r="J20" s="1055">
        <v>143.77000000000001</v>
      </c>
      <c r="K20" s="1147">
        <f t="shared" si="2"/>
        <v>2156.5500000000002</v>
      </c>
      <c r="L20" s="1118">
        <f t="shared" si="3"/>
        <v>1.7618276636721601E-2</v>
      </c>
      <c r="M20" s="309"/>
      <c r="N20" s="495">
        <f t="shared" si="4"/>
        <v>0.56748800697775847</v>
      </c>
      <c r="O20" s="329">
        <f>(J20-Transactions!C1094)/Transactions!C1094</f>
        <v>0.72427440633245399</v>
      </c>
      <c r="P20" s="119"/>
      <c r="Q20" s="882"/>
      <c r="R20" s="326"/>
      <c r="S20" s="309"/>
      <c r="T20" s="328"/>
      <c r="U20" s="309"/>
      <c r="V20" s="328"/>
    </row>
    <row r="21" spans="1:22" ht="12.75" customHeight="1">
      <c r="A21" s="322">
        <v>13</v>
      </c>
      <c r="B21" s="334" t="s">
        <v>323</v>
      </c>
      <c r="C21" s="138" t="s">
        <v>110</v>
      </c>
      <c r="D21" s="1181">
        <v>140</v>
      </c>
      <c r="E21" s="1055">
        <v>20.62</v>
      </c>
      <c r="F21" s="327">
        <f t="shared" si="0"/>
        <v>2886.8</v>
      </c>
      <c r="G21" s="331">
        <f t="shared" si="1"/>
        <v>3.2217667687726118E-2</v>
      </c>
      <c r="H21" s="949"/>
      <c r="I21" s="1181">
        <v>140</v>
      </c>
      <c r="J21" s="1055">
        <v>25.954999999999998</v>
      </c>
      <c r="K21" s="1147">
        <f t="shared" si="2"/>
        <v>3633.7</v>
      </c>
      <c r="L21" s="1118">
        <f t="shared" si="3"/>
        <v>2.968608741501717E-2</v>
      </c>
      <c r="M21" s="309"/>
      <c r="N21" s="495">
        <f t="shared" si="4"/>
        <v>0.25872938894277386</v>
      </c>
      <c r="O21" s="329">
        <f>(J21-Transactions!C1170)/Transactions!C1170</f>
        <v>0.2145587953149054</v>
      </c>
      <c r="P21" s="119"/>
      <c r="Q21" s="882"/>
      <c r="R21" s="326"/>
      <c r="S21" s="309"/>
      <c r="T21" s="328"/>
      <c r="U21" s="309"/>
      <c r="V21" s="328"/>
    </row>
    <row r="22" spans="1:22" ht="12.75" customHeight="1">
      <c r="A22" s="322">
        <v>14</v>
      </c>
      <c r="B22" s="1182" t="s">
        <v>363</v>
      </c>
      <c r="C22" s="138" t="s">
        <v>364</v>
      </c>
      <c r="D22" s="1181"/>
      <c r="E22" s="1055"/>
      <c r="F22" s="327"/>
      <c r="G22" s="331"/>
      <c r="H22" s="949"/>
      <c r="I22" s="1181">
        <v>37</v>
      </c>
      <c r="J22" s="1055">
        <v>80.66</v>
      </c>
      <c r="K22" s="1147">
        <f t="shared" si="2"/>
        <v>2984.42</v>
      </c>
      <c r="L22" s="1118">
        <f t="shared" si="3"/>
        <v>2.4381691665004143E-2</v>
      </c>
      <c r="M22" s="309"/>
      <c r="N22" s="495"/>
      <c r="O22" s="329">
        <f>(J22-Transactions!C942)/Transactions!C942</f>
        <v>1.4899428855226016E-3</v>
      </c>
      <c r="P22" s="119"/>
      <c r="Q22" s="882"/>
      <c r="R22" s="326"/>
      <c r="S22" s="309"/>
      <c r="T22" s="328"/>
      <c r="U22" s="309"/>
      <c r="V22" s="328"/>
    </row>
    <row r="23" spans="1:22" ht="12.75" customHeight="1">
      <c r="A23" s="322">
        <v>15</v>
      </c>
      <c r="B23" s="334" t="s">
        <v>290</v>
      </c>
      <c r="C23" s="335" t="s">
        <v>291</v>
      </c>
      <c r="D23" s="547">
        <v>100</v>
      </c>
      <c r="E23" s="1055">
        <v>35.520000000000003</v>
      </c>
      <c r="F23" s="327">
        <f>E23*D23</f>
        <v>3552.0000000000005</v>
      </c>
      <c r="G23" s="331">
        <f>F23/$F$68</f>
        <v>3.9641525435362056E-2</v>
      </c>
      <c r="H23" s="940"/>
      <c r="I23" s="547">
        <v>100</v>
      </c>
      <c r="J23" s="1055">
        <v>49.55</v>
      </c>
      <c r="K23" s="1147">
        <f t="shared" si="2"/>
        <v>4955</v>
      </c>
      <c r="L23" s="1118">
        <f t="shared" si="3"/>
        <v>4.0480656945100058E-2</v>
      </c>
      <c r="M23" s="345"/>
      <c r="N23" s="495">
        <f>(J23-E23)/E23</f>
        <v>0.39498873873873852</v>
      </c>
      <c r="O23" s="329">
        <f>(J23-Transactions!C1272)/Transactions!C1272</f>
        <v>1.0199755401549122</v>
      </c>
      <c r="P23" s="119"/>
      <c r="Q23" s="882"/>
      <c r="R23" s="326"/>
      <c r="S23" s="309"/>
      <c r="T23" s="328"/>
      <c r="U23" s="309"/>
      <c r="V23" s="328"/>
    </row>
    <row r="24" spans="1:22" ht="12.75" customHeight="1">
      <c r="A24" s="322">
        <v>16</v>
      </c>
      <c r="B24" s="334" t="s">
        <v>40</v>
      </c>
      <c r="C24" s="138" t="s">
        <v>41</v>
      </c>
      <c r="D24" s="1181">
        <v>75</v>
      </c>
      <c r="E24" s="1055">
        <v>26.709700000000002</v>
      </c>
      <c r="F24" s="327">
        <f>E24*D24</f>
        <v>2003.2275000000002</v>
      </c>
      <c r="G24" s="331">
        <f>F24/$F$68</f>
        <v>2.2356698731437707E-2</v>
      </c>
      <c r="H24" s="949"/>
      <c r="I24" s="1181">
        <v>75</v>
      </c>
      <c r="J24" s="1055">
        <v>37.409999999999997</v>
      </c>
      <c r="K24" s="1147">
        <f t="shared" si="2"/>
        <v>2805.7499999999995</v>
      </c>
      <c r="L24" s="1118">
        <f t="shared" si="3"/>
        <v>2.2922018814069519E-2</v>
      </c>
      <c r="M24" s="309"/>
      <c r="N24" s="495">
        <f>(J24-E24)/E24</f>
        <v>0.40061475793438317</v>
      </c>
      <c r="O24" s="329">
        <f>(J24-Transactions!C1774)/Transactions!C1774</f>
        <v>0.46936370777690478</v>
      </c>
      <c r="P24" s="119"/>
      <c r="Q24" s="882"/>
      <c r="R24" s="326"/>
      <c r="S24" s="309"/>
      <c r="T24" s="328"/>
      <c r="U24" s="309"/>
      <c r="V24" s="328"/>
    </row>
    <row r="25" spans="1:22" ht="12.75" customHeight="1">
      <c r="A25" s="322">
        <v>17</v>
      </c>
      <c r="B25" s="334" t="s">
        <v>292</v>
      </c>
      <c r="C25" s="138" t="s">
        <v>293</v>
      </c>
      <c r="D25" s="1181">
        <v>65</v>
      </c>
      <c r="E25" s="1055">
        <v>63.3</v>
      </c>
      <c r="F25" s="327">
        <f>E25*D25</f>
        <v>4114.5</v>
      </c>
      <c r="G25" s="331">
        <f>F25/$F$68</f>
        <v>4.5919216329897851E-2</v>
      </c>
      <c r="H25" s="949"/>
      <c r="I25" s="1181">
        <v>65</v>
      </c>
      <c r="J25" s="1055">
        <v>80.38</v>
      </c>
      <c r="K25" s="1147">
        <f t="shared" si="2"/>
        <v>5224.7</v>
      </c>
      <c r="L25" s="1118">
        <f t="shared" si="3"/>
        <v>4.2684013792343947E-2</v>
      </c>
      <c r="M25" s="309"/>
      <c r="N25" s="495">
        <f>(J25-E25)/E25</f>
        <v>0.26982622432859399</v>
      </c>
      <c r="O25" s="329">
        <f>(J25-Transactions!C1250)/Transactions!C1250</f>
        <v>0.52119606358819059</v>
      </c>
      <c r="P25" s="119"/>
      <c r="Q25" s="882"/>
      <c r="R25" s="326"/>
      <c r="S25" s="309"/>
      <c r="T25" s="328"/>
      <c r="U25" s="309"/>
      <c r="V25" s="328"/>
    </row>
    <row r="26" spans="1:22" ht="12.75" customHeight="1">
      <c r="A26" s="322">
        <v>18</v>
      </c>
      <c r="B26" s="334" t="s">
        <v>365</v>
      </c>
      <c r="C26" s="138" t="s">
        <v>80</v>
      </c>
      <c r="D26" s="1181"/>
      <c r="E26" s="1055"/>
      <c r="F26" s="327"/>
      <c r="G26" s="331"/>
      <c r="H26" s="949"/>
      <c r="I26" s="1181">
        <v>60</v>
      </c>
      <c r="J26" s="1055">
        <v>32.04</v>
      </c>
      <c r="K26" s="1147">
        <f t="shared" si="2"/>
        <v>1922.3999999999999</v>
      </c>
      <c r="L26" s="1118">
        <f t="shared" si="3"/>
        <v>1.5705351142534883E-2</v>
      </c>
      <c r="M26" s="309"/>
      <c r="N26" s="495"/>
      <c r="O26" s="329">
        <f>(J26-Transactions!C953)/Transactions!C953</f>
        <v>-3.435804701627488E-2</v>
      </c>
      <c r="P26" s="119"/>
      <c r="Q26" s="882"/>
      <c r="R26" s="326"/>
      <c r="S26" s="309"/>
      <c r="T26" s="328"/>
      <c r="U26" s="309"/>
      <c r="V26" s="328"/>
    </row>
    <row r="27" spans="1:22" ht="12.75" customHeight="1">
      <c r="A27" s="322">
        <v>19</v>
      </c>
      <c r="B27" s="334" t="s">
        <v>256</v>
      </c>
      <c r="C27" s="138" t="s">
        <v>257</v>
      </c>
      <c r="D27" s="1181">
        <v>20</v>
      </c>
      <c r="E27" s="1055">
        <v>67.89</v>
      </c>
      <c r="F27" s="327">
        <f t="shared" ref="F27:F32" si="5">E27*D27</f>
        <v>1357.8</v>
      </c>
      <c r="G27" s="331">
        <f t="shared" ref="G27:G32" si="6">F27/$F$68</f>
        <v>1.5153508793956811E-2</v>
      </c>
      <c r="H27" s="949"/>
      <c r="I27" s="1181">
        <v>20</v>
      </c>
      <c r="J27" s="1055">
        <v>81.41</v>
      </c>
      <c r="K27" s="1147">
        <f t="shared" si="2"/>
        <v>1628.1999999999998</v>
      </c>
      <c r="L27" s="1118">
        <f t="shared" si="3"/>
        <v>1.3301837666601798E-2</v>
      </c>
      <c r="M27" s="309"/>
      <c r="N27" s="495">
        <f t="shared" ref="N27:N32" si="7">(J27-E27)/E27</f>
        <v>0.19914567683016637</v>
      </c>
      <c r="O27" s="329">
        <f>(J27-Transactions!C1315)/Transactions!C1315</f>
        <v>0.31647461003826038</v>
      </c>
      <c r="P27" s="119"/>
      <c r="Q27" s="882"/>
      <c r="R27" s="326"/>
      <c r="S27" s="309"/>
      <c r="T27" s="328"/>
      <c r="U27" s="309"/>
      <c r="V27" s="328"/>
    </row>
    <row r="28" spans="1:22" ht="12.75" customHeight="1">
      <c r="A28" s="322">
        <v>20</v>
      </c>
      <c r="B28" s="334" t="s">
        <v>345</v>
      </c>
      <c r="C28" s="138" t="s">
        <v>346</v>
      </c>
      <c r="D28" s="1181">
        <v>25</v>
      </c>
      <c r="E28" s="1055">
        <v>84.33</v>
      </c>
      <c r="F28" s="327">
        <f t="shared" si="5"/>
        <v>2108.25</v>
      </c>
      <c r="G28" s="331">
        <f t="shared" si="6"/>
        <v>2.3528785472720169E-2</v>
      </c>
      <c r="H28" s="949"/>
      <c r="I28" s="1181">
        <v>25</v>
      </c>
      <c r="J28" s="1055">
        <v>94.24</v>
      </c>
      <c r="K28" s="1147">
        <f t="shared" si="2"/>
        <v>2356</v>
      </c>
      <c r="L28" s="1118">
        <f t="shared" si="3"/>
        <v>1.924771498741791E-2</v>
      </c>
      <c r="M28" s="309"/>
      <c r="N28" s="495">
        <f t="shared" si="7"/>
        <v>0.11751452626586027</v>
      </c>
      <c r="O28" s="329">
        <f>(J28-Transactions!C1090)/Transactions!C1090</f>
        <v>1.2645680643998556</v>
      </c>
      <c r="P28" s="119"/>
      <c r="Q28" s="882"/>
      <c r="R28" s="326"/>
      <c r="S28" s="309"/>
      <c r="T28" s="328"/>
      <c r="U28" s="309"/>
      <c r="V28" s="328"/>
    </row>
    <row r="29" spans="1:22" ht="12.75" customHeight="1">
      <c r="A29" s="322">
        <v>21</v>
      </c>
      <c r="B29" s="334" t="s">
        <v>347</v>
      </c>
      <c r="C29" s="138" t="s">
        <v>173</v>
      </c>
      <c r="D29" s="1181">
        <v>60</v>
      </c>
      <c r="E29" s="1055">
        <v>54.24</v>
      </c>
      <c r="F29" s="327">
        <f t="shared" si="5"/>
        <v>3254.4</v>
      </c>
      <c r="G29" s="331">
        <f t="shared" si="6"/>
        <v>3.6320208439426314E-2</v>
      </c>
      <c r="H29" s="949"/>
      <c r="I29" s="1181">
        <v>60</v>
      </c>
      <c r="J29" s="1055">
        <v>75.3</v>
      </c>
      <c r="K29" s="1147">
        <f t="shared" si="2"/>
        <v>4518</v>
      </c>
      <c r="L29" s="1118">
        <f t="shared" si="3"/>
        <v>3.6910516261949966E-2</v>
      </c>
      <c r="M29" s="309"/>
      <c r="N29" s="495">
        <f t="shared" si="7"/>
        <v>0.38827433628318575</v>
      </c>
      <c r="O29" s="329">
        <f>(J29-Transactions!C1058)/Transactions!C1058</f>
        <v>0.28323108384458073</v>
      </c>
      <c r="P29" s="119"/>
      <c r="Q29" s="882"/>
      <c r="R29" s="326"/>
      <c r="S29" s="309"/>
      <c r="T29" s="328"/>
      <c r="U29" s="309"/>
      <c r="V29" s="328"/>
    </row>
    <row r="30" spans="1:22" ht="12.75" customHeight="1">
      <c r="A30" s="322">
        <v>22</v>
      </c>
      <c r="B30" s="334" t="s">
        <v>296</v>
      </c>
      <c r="C30" s="138" t="s">
        <v>297</v>
      </c>
      <c r="D30" s="1181">
        <v>76</v>
      </c>
      <c r="E30" s="1055">
        <v>43.27</v>
      </c>
      <c r="F30" s="327">
        <f t="shared" si="5"/>
        <v>3288.5200000000004</v>
      </c>
      <c r="G30" s="331">
        <f t="shared" si="6"/>
        <v>3.6700999218664647E-2</v>
      </c>
      <c r="H30" s="949"/>
      <c r="I30" s="1181">
        <v>76</v>
      </c>
      <c r="J30" s="1055">
        <v>49.14</v>
      </c>
      <c r="K30" s="1147">
        <f t="shared" si="2"/>
        <v>3734.64</v>
      </c>
      <c r="L30" s="1118">
        <f t="shared" si="3"/>
        <v>3.0510732725216646E-2</v>
      </c>
      <c r="M30" s="309"/>
      <c r="N30" s="495">
        <f t="shared" si="7"/>
        <v>0.13565981049225784</v>
      </c>
      <c r="O30" s="329">
        <f>(J30-Transactions!C1281)/Transactions!C1281</f>
        <v>0.76826196473551644</v>
      </c>
      <c r="P30" s="119"/>
      <c r="Q30" s="882"/>
      <c r="R30" s="326"/>
      <c r="S30" s="309"/>
      <c r="T30" s="328"/>
      <c r="U30" s="309"/>
      <c r="V30" s="328"/>
    </row>
    <row r="31" spans="1:22" ht="12.75" customHeight="1">
      <c r="A31" s="322">
        <v>23</v>
      </c>
      <c r="B31" s="334" t="s">
        <v>298</v>
      </c>
      <c r="C31" s="138" t="s">
        <v>299</v>
      </c>
      <c r="D31" s="1181">
        <v>35</v>
      </c>
      <c r="E31" s="1055">
        <v>52.05</v>
      </c>
      <c r="F31" s="327">
        <f t="shared" si="5"/>
        <v>1821.75</v>
      </c>
      <c r="G31" s="331">
        <f t="shared" si="6"/>
        <v>2.0331348243769937E-2</v>
      </c>
      <c r="H31" s="949"/>
      <c r="I31" s="1181">
        <v>35</v>
      </c>
      <c r="J31" s="1055">
        <v>59.42</v>
      </c>
      <c r="K31" s="1147">
        <f t="shared" si="2"/>
        <v>2079.7000000000003</v>
      </c>
      <c r="L31" s="1118">
        <f t="shared" si="3"/>
        <v>1.6990438395302645E-2</v>
      </c>
      <c r="M31" s="309"/>
      <c r="N31" s="495">
        <f t="shared" si="7"/>
        <v>0.14159462055715669</v>
      </c>
      <c r="O31" s="329">
        <f>(J31-Transactions!C1287)/Transactions!C1287</f>
        <v>0.31693262411347528</v>
      </c>
      <c r="P31" s="119"/>
      <c r="Q31" s="882"/>
      <c r="R31" s="326"/>
      <c r="S31" s="309"/>
      <c r="T31" s="328"/>
      <c r="U31" s="309"/>
      <c r="V31" s="328"/>
    </row>
    <row r="32" spans="1:22" ht="12.75" customHeight="1">
      <c r="A32" s="322">
        <v>24</v>
      </c>
      <c r="B32" s="1059" t="s">
        <v>50</v>
      </c>
      <c r="C32" s="138" t="s">
        <v>51</v>
      </c>
      <c r="D32" s="1181">
        <v>54</v>
      </c>
      <c r="E32" s="1055">
        <v>66.400000000000006</v>
      </c>
      <c r="F32" s="327">
        <f t="shared" si="5"/>
        <v>3585.6000000000004</v>
      </c>
      <c r="G32" s="331">
        <f t="shared" si="6"/>
        <v>4.0016512838128994E-2</v>
      </c>
      <c r="H32" s="949"/>
      <c r="I32" s="1181">
        <v>54</v>
      </c>
      <c r="J32" s="1055">
        <v>75.61</v>
      </c>
      <c r="K32" s="1147">
        <f t="shared" si="2"/>
        <v>4082.94</v>
      </c>
      <c r="L32" s="1118">
        <f t="shared" si="3"/>
        <v>3.335622471592873E-2</v>
      </c>
      <c r="M32" s="309"/>
      <c r="N32" s="495">
        <f t="shared" si="7"/>
        <v>0.13870481927710832</v>
      </c>
      <c r="O32" s="329">
        <f>(J32-Transactions!C1488)/Transactions!C1488</f>
        <v>1.6198891198891199</v>
      </c>
      <c r="P32" s="119"/>
      <c r="Q32" s="882"/>
      <c r="R32" s="326"/>
      <c r="S32" s="309"/>
      <c r="T32" s="328"/>
      <c r="U32" s="309"/>
      <c r="V32" s="328"/>
    </row>
    <row r="33" spans="1:26" ht="12.75" customHeight="1">
      <c r="A33" s="322"/>
      <c r="B33" s="1183" t="s">
        <v>366</v>
      </c>
      <c r="C33" s="138"/>
      <c r="D33" s="1181"/>
      <c r="E33" s="1055"/>
      <c r="F33" s="327"/>
      <c r="G33" s="331"/>
      <c r="H33" s="949"/>
      <c r="I33" s="1181"/>
      <c r="J33" s="1055"/>
      <c r="K33" s="1147"/>
      <c r="L33" s="1118"/>
      <c r="M33" s="309"/>
      <c r="N33" s="495"/>
      <c r="O33" s="329"/>
      <c r="P33" s="119"/>
      <c r="Q33" s="882"/>
      <c r="R33" s="326"/>
      <c r="S33" s="309"/>
      <c r="T33" s="328"/>
      <c r="U33" s="309"/>
      <c r="V33" s="328"/>
    </row>
    <row r="34" spans="1:26" ht="12.75" customHeight="1">
      <c r="A34" s="322">
        <v>25</v>
      </c>
      <c r="B34" s="334" t="s">
        <v>367</v>
      </c>
      <c r="C34" s="138" t="s">
        <v>368</v>
      </c>
      <c r="D34" s="1181"/>
      <c r="E34" s="1055"/>
      <c r="F34" s="327"/>
      <c r="G34" s="331"/>
      <c r="H34" s="949"/>
      <c r="I34" s="1181">
        <v>178</v>
      </c>
      <c r="J34" s="1055">
        <v>28.36</v>
      </c>
      <c r="K34" s="1147">
        <f>I34*J34</f>
        <v>5048.08</v>
      </c>
      <c r="L34" s="1118">
        <f>K34/$K$68</f>
        <v>4.1241088740952718E-2</v>
      </c>
      <c r="M34" s="309"/>
      <c r="N34" s="495"/>
      <c r="O34" s="329">
        <f>(J34-Transactions!C965)/Transactions!C965</f>
        <v>-0.11013492312519615</v>
      </c>
      <c r="P34" s="119"/>
      <c r="Q34" s="882"/>
      <c r="R34" s="326"/>
      <c r="S34" s="309"/>
      <c r="T34" s="328"/>
      <c r="U34" s="309"/>
      <c r="V34" s="328"/>
    </row>
    <row r="35" spans="1:26" ht="12.75" customHeight="1">
      <c r="A35" s="322">
        <v>26</v>
      </c>
      <c r="B35" s="334" t="s">
        <v>369</v>
      </c>
      <c r="C35" s="138" t="s">
        <v>370</v>
      </c>
      <c r="D35" s="1181"/>
      <c r="E35" s="1055"/>
      <c r="F35" s="327"/>
      <c r="G35" s="331"/>
      <c r="H35" s="949"/>
      <c r="I35" s="1181">
        <v>34</v>
      </c>
      <c r="J35" s="1055">
        <v>72.62</v>
      </c>
      <c r="K35" s="1147">
        <f>I35*J35</f>
        <v>2469.08</v>
      </c>
      <c r="L35" s="1118">
        <f>K35/$K$68</f>
        <v>2.0171539949547457E-2</v>
      </c>
      <c r="M35" s="309"/>
      <c r="N35" s="495"/>
      <c r="O35" s="329">
        <f>(J35-Transactions!C967)/Transactions!C967</f>
        <v>-6.0224473035860619E-3</v>
      </c>
      <c r="P35" s="119"/>
      <c r="Q35" s="882"/>
      <c r="R35" s="326"/>
      <c r="S35" s="309"/>
      <c r="T35" s="328"/>
      <c r="U35" s="309"/>
      <c r="V35" s="328"/>
    </row>
    <row r="36" spans="1:26" ht="12.75" customHeight="1">
      <c r="A36" s="322">
        <v>27</v>
      </c>
      <c r="B36" s="334" t="s">
        <v>371</v>
      </c>
      <c r="C36" s="138" t="s">
        <v>372</v>
      </c>
      <c r="D36" s="1181"/>
      <c r="E36" s="1055"/>
      <c r="F36" s="327"/>
      <c r="G36" s="331"/>
      <c r="H36" s="949"/>
      <c r="I36" s="1181">
        <v>81</v>
      </c>
      <c r="J36" s="1055">
        <v>62.32</v>
      </c>
      <c r="K36" s="1147">
        <f>I36*J36</f>
        <v>5047.92</v>
      </c>
      <c r="L36" s="1118">
        <f>K36/$K$68</f>
        <v>4.1239781595622499E-2</v>
      </c>
      <c r="M36" s="309"/>
      <c r="N36" s="495"/>
      <c r="O36" s="329">
        <f>(J36-Transactions!C961)/Transactions!C961</f>
        <v>1.1359948068808875E-2</v>
      </c>
      <c r="P36" s="119"/>
      <c r="Q36" s="882"/>
      <c r="R36" s="326"/>
      <c r="S36" s="309"/>
      <c r="T36" s="328"/>
      <c r="U36" s="309"/>
      <c r="V36" s="328"/>
    </row>
    <row r="37" spans="1:26" ht="12.75" customHeight="1">
      <c r="A37" s="322">
        <v>28</v>
      </c>
      <c r="B37" s="334" t="s">
        <v>373</v>
      </c>
      <c r="C37" s="138" t="s">
        <v>374</v>
      </c>
      <c r="D37" s="1181"/>
      <c r="E37" s="1055"/>
      <c r="F37" s="327"/>
      <c r="G37" s="331"/>
      <c r="H37" s="949"/>
      <c r="I37" s="1181">
        <v>38</v>
      </c>
      <c r="J37" s="1055">
        <v>66.540000000000006</v>
      </c>
      <c r="K37" s="1147">
        <f>I37*J37</f>
        <v>2528.5200000000004</v>
      </c>
      <c r="L37" s="1118">
        <f>K37/$K$68</f>
        <v>2.0657144439722386E-2</v>
      </c>
      <c r="M37" s="309"/>
      <c r="N37" s="495"/>
      <c r="O37" s="329">
        <f>(J37-Transactions!C966)/Transactions!C966</f>
        <v>2.0082783995094316E-2</v>
      </c>
      <c r="P37" s="119"/>
      <c r="Q37" s="882"/>
      <c r="R37" s="326"/>
      <c r="S37" s="309"/>
      <c r="T37" s="328"/>
      <c r="U37" s="309"/>
      <c r="V37" s="328"/>
    </row>
    <row r="38" spans="1:26" ht="12.75" customHeight="1">
      <c r="A38" s="322"/>
      <c r="B38" s="1183" t="s">
        <v>375</v>
      </c>
      <c r="C38" s="138"/>
      <c r="D38" s="1181"/>
      <c r="E38" s="1055"/>
      <c r="F38" s="327"/>
      <c r="G38" s="331"/>
      <c r="H38" s="949"/>
      <c r="I38" s="1181"/>
      <c r="J38" s="1055"/>
      <c r="K38" s="1096">
        <f>SUM(K9:K37)</f>
        <v>85997.17</v>
      </c>
      <c r="L38" s="1184">
        <f>SUM(L9:L37)</f>
        <v>0.70256749485760839</v>
      </c>
      <c r="M38" s="309"/>
      <c r="N38" s="495"/>
      <c r="O38" s="329"/>
      <c r="P38" s="119"/>
      <c r="Q38" s="882"/>
      <c r="R38" s="326"/>
      <c r="S38" s="309"/>
      <c r="T38" s="328"/>
      <c r="U38" s="309"/>
      <c r="V38" s="328"/>
    </row>
    <row r="39" spans="1:26" ht="12.75" customHeight="1">
      <c r="A39" s="322"/>
      <c r="B39" s="913"/>
      <c r="C39" s="138"/>
      <c r="D39" s="1181"/>
      <c r="E39" s="1055"/>
      <c r="F39" s="327"/>
      <c r="G39" s="331"/>
      <c r="H39" s="949"/>
      <c r="I39" s="1181"/>
      <c r="J39" s="1055"/>
      <c r="K39" s="1147"/>
      <c r="L39" s="1118"/>
      <c r="M39" s="309"/>
      <c r="N39" s="495"/>
      <c r="O39" s="329"/>
      <c r="P39" s="119"/>
      <c r="Q39" s="882"/>
      <c r="R39" s="326"/>
      <c r="S39" s="309"/>
      <c r="T39" s="328"/>
      <c r="U39" s="309"/>
      <c r="V39" s="328"/>
    </row>
    <row r="40" spans="1:26" ht="12.75" customHeight="1">
      <c r="A40" s="322"/>
      <c r="B40" s="1183" t="s">
        <v>376</v>
      </c>
      <c r="C40" s="138"/>
      <c r="D40" s="1181"/>
      <c r="E40" s="1055"/>
      <c r="F40" s="327"/>
      <c r="G40" s="331"/>
      <c r="H40" s="949"/>
      <c r="I40" s="1181"/>
      <c r="J40" s="1055"/>
      <c r="K40" s="1147"/>
      <c r="L40" s="1118"/>
      <c r="M40" s="309"/>
      <c r="N40" s="495"/>
      <c r="O40" s="329"/>
      <c r="P40" s="119"/>
      <c r="Q40" s="882"/>
      <c r="R40" s="326"/>
      <c r="S40" s="309"/>
      <c r="T40" s="328"/>
      <c r="U40" s="309"/>
      <c r="V40" s="328"/>
    </row>
    <row r="41" spans="1:26" ht="12.75" customHeight="1">
      <c r="A41" s="322">
        <v>29</v>
      </c>
      <c r="B41" s="39" t="s">
        <v>377</v>
      </c>
      <c r="C41" s="335" t="s">
        <v>378</v>
      </c>
      <c r="D41" s="1181"/>
      <c r="E41" s="1055"/>
      <c r="F41" s="327"/>
      <c r="G41" s="331"/>
      <c r="H41" s="949"/>
      <c r="I41" s="1181">
        <v>200</v>
      </c>
      <c r="J41" s="1055">
        <v>25.51</v>
      </c>
      <c r="K41" s="1147">
        <f>I41*J41</f>
        <v>5102</v>
      </c>
      <c r="L41" s="1118">
        <f>K41/$K$68</f>
        <v>4.1681596717235217E-2</v>
      </c>
      <c r="M41" s="309"/>
      <c r="N41" s="495"/>
      <c r="O41" s="329">
        <f>(J41-Transactions!C962)/Transactions!C962</f>
        <v>-1.1240310077519347E-2</v>
      </c>
      <c r="P41" s="119"/>
      <c r="Q41" s="882"/>
      <c r="R41" s="326"/>
      <c r="S41" s="309"/>
      <c r="T41" s="328"/>
      <c r="U41" s="309"/>
      <c r="V41" s="328"/>
    </row>
    <row r="42" spans="1:26" ht="12.75" customHeight="1">
      <c r="A42" s="322">
        <v>30</v>
      </c>
      <c r="B42" s="1182" t="s">
        <v>379</v>
      </c>
      <c r="C42" s="335" t="s">
        <v>380</v>
      </c>
      <c r="D42" s="1181"/>
      <c r="E42" s="1055"/>
      <c r="F42" s="327"/>
      <c r="G42" s="331"/>
      <c r="H42" s="949"/>
      <c r="I42" s="1181">
        <v>89</v>
      </c>
      <c r="J42" s="1055">
        <v>57.92</v>
      </c>
      <c r="K42" s="1147">
        <f>I42*J42</f>
        <v>5154.88</v>
      </c>
      <c r="L42" s="1118">
        <f>K42/$K$68</f>
        <v>4.2113608248871323E-2</v>
      </c>
      <c r="M42" s="309"/>
      <c r="N42" s="495"/>
      <c r="O42" s="329">
        <f>(J42-Transactions!C963)/Transactions!C963</f>
        <v>1.9718309859155011E-2</v>
      </c>
      <c r="P42" s="119"/>
      <c r="Q42" s="882"/>
      <c r="R42" s="326"/>
      <c r="S42" s="309"/>
      <c r="T42" s="328"/>
      <c r="U42" s="309"/>
      <c r="V42" s="328"/>
    </row>
    <row r="43" spans="1:26" ht="12.75" customHeight="1">
      <c r="A43" s="322">
        <v>31</v>
      </c>
      <c r="B43" s="334" t="s">
        <v>381</v>
      </c>
      <c r="C43" s="138" t="s">
        <v>382</v>
      </c>
      <c r="D43" s="1181"/>
      <c r="E43" s="1055"/>
      <c r="F43" s="327"/>
      <c r="G43" s="331"/>
      <c r="H43" s="949"/>
      <c r="I43" s="1181">
        <v>208</v>
      </c>
      <c r="J43" s="1055">
        <v>24.88</v>
      </c>
      <c r="K43" s="1147">
        <f>I43*J43</f>
        <v>5175.04</v>
      </c>
      <c r="L43" s="1118">
        <f>K43/$K$68</f>
        <v>4.2278308560478428E-2</v>
      </c>
      <c r="M43" s="309"/>
      <c r="N43" s="495"/>
      <c r="O43" s="329">
        <f>(J43-Transactions!C964)/Transactions!C964</f>
        <v>2.8214429665457592E-3</v>
      </c>
      <c r="P43" s="119"/>
      <c r="Q43" s="882"/>
      <c r="R43" s="326"/>
      <c r="S43" s="309"/>
      <c r="T43" s="328"/>
      <c r="U43" s="309"/>
      <c r="V43" s="328"/>
    </row>
    <row r="44" spans="1:26" ht="12.75" customHeight="1">
      <c r="A44" s="322"/>
      <c r="B44" s="900" t="s">
        <v>375</v>
      </c>
      <c r="C44" s="138"/>
      <c r="D44" s="1181"/>
      <c r="E44" s="1055"/>
      <c r="F44" s="327"/>
      <c r="G44" s="331"/>
      <c r="H44" s="949"/>
      <c r="I44" s="1181"/>
      <c r="J44" s="1055"/>
      <c r="K44" s="1096">
        <f>SUM(K41:K43)</f>
        <v>15431.920000000002</v>
      </c>
      <c r="L44" s="1184">
        <f>SUM(L41:L43)</f>
        <v>0.12607351352658497</v>
      </c>
      <c r="M44" s="309"/>
      <c r="N44" s="495"/>
      <c r="O44" s="329"/>
      <c r="P44" s="1066"/>
      <c r="Q44" s="882"/>
      <c r="R44" s="326"/>
      <c r="S44" s="309"/>
      <c r="T44" s="328"/>
      <c r="U44" s="309"/>
      <c r="V44" s="328"/>
    </row>
    <row r="45" spans="1:26" ht="12.75" customHeight="1">
      <c r="A45" s="322"/>
      <c r="B45" s="323"/>
      <c r="C45" s="323"/>
      <c r="D45" s="946"/>
      <c r="E45" s="964"/>
      <c r="F45" s="948"/>
      <c r="G45" s="949"/>
      <c r="H45" s="949"/>
      <c r="I45" s="950"/>
      <c r="J45" s="1032"/>
      <c r="K45" s="1056"/>
      <c r="L45" s="1031"/>
      <c r="M45" s="309"/>
      <c r="N45" s="895"/>
      <c r="O45" s="329"/>
      <c r="P45" s="1151"/>
      <c r="Q45" s="325"/>
      <c r="R45" s="326"/>
      <c r="S45" s="309"/>
      <c r="T45" s="309"/>
      <c r="U45" s="309"/>
      <c r="V45" s="328"/>
      <c r="W45" s="5"/>
      <c r="X45" s="5"/>
      <c r="Y45" s="5"/>
      <c r="Z45" s="5"/>
    </row>
    <row r="46" spans="1:26" ht="12.75" customHeight="1">
      <c r="A46" s="46"/>
      <c r="B46" s="1122" t="s">
        <v>52</v>
      </c>
      <c r="C46" s="1123"/>
      <c r="D46" s="946"/>
      <c r="E46" s="964"/>
      <c r="F46" s="1005"/>
      <c r="G46" s="949"/>
      <c r="H46" s="949"/>
      <c r="I46" s="950"/>
      <c r="J46" s="1032"/>
      <c r="K46" s="1056"/>
      <c r="L46" s="1031"/>
      <c r="M46" s="309"/>
      <c r="N46" s="895"/>
      <c r="O46" s="329"/>
      <c r="P46" s="1151"/>
      <c r="Q46" s="325"/>
      <c r="R46" s="326"/>
      <c r="S46" s="309"/>
      <c r="T46" s="309"/>
      <c r="U46" s="309"/>
      <c r="V46" s="328"/>
      <c r="W46" s="5"/>
      <c r="X46" s="5"/>
      <c r="Y46" s="5"/>
      <c r="Z46" s="5"/>
    </row>
    <row r="47" spans="1:26" ht="12.75" customHeight="1">
      <c r="A47" s="532">
        <v>1</v>
      </c>
      <c r="B47" s="334" t="s">
        <v>383</v>
      </c>
      <c r="C47" s="138" t="s">
        <v>283</v>
      </c>
      <c r="D47" s="1152">
        <v>75</v>
      </c>
      <c r="E47" s="1185">
        <v>30.88</v>
      </c>
      <c r="F47" s="1058">
        <f t="shared" ref="F47:F60" si="8">D47*E47</f>
        <v>2316</v>
      </c>
      <c r="G47" s="1128"/>
      <c r="H47" s="1128"/>
      <c r="I47" s="1166"/>
      <c r="J47" s="1167"/>
      <c r="K47" s="1081"/>
      <c r="L47" s="1129"/>
      <c r="M47" s="1130"/>
      <c r="N47" s="132"/>
      <c r="O47" s="1086"/>
      <c r="P47" s="1151"/>
      <c r="Q47" s="325"/>
      <c r="R47" s="326"/>
      <c r="S47" s="309"/>
      <c r="T47" s="309"/>
      <c r="U47" s="309"/>
      <c r="V47" s="328"/>
      <c r="W47" s="5"/>
      <c r="X47" s="5"/>
      <c r="Y47" s="5"/>
      <c r="Z47" s="5"/>
    </row>
    <row r="48" spans="1:26" ht="12.75" customHeight="1">
      <c r="A48" s="532">
        <v>2</v>
      </c>
      <c r="B48" s="334" t="s">
        <v>317</v>
      </c>
      <c r="C48" s="323" t="s">
        <v>318</v>
      </c>
      <c r="D48" s="1155">
        <v>25</v>
      </c>
      <c r="E48" s="1058">
        <v>48.64</v>
      </c>
      <c r="F48" s="1058">
        <f t="shared" si="8"/>
        <v>1216</v>
      </c>
      <c r="G48" s="949"/>
      <c r="H48" s="949"/>
      <c r="I48" s="950"/>
      <c r="J48" s="1032"/>
      <c r="K48" s="1056"/>
      <c r="L48" s="1031"/>
      <c r="M48" s="309"/>
      <c r="N48" s="895"/>
      <c r="O48" s="329"/>
      <c r="P48" s="1151"/>
      <c r="Q48" s="325"/>
      <c r="R48" s="326"/>
      <c r="S48" s="309"/>
      <c r="T48" s="309"/>
      <c r="U48" s="309"/>
      <c r="V48" s="328"/>
      <c r="W48" s="5"/>
      <c r="X48" s="5"/>
      <c r="Y48" s="5"/>
      <c r="Z48" s="5"/>
    </row>
    <row r="49" spans="1:26" ht="12.75" customHeight="1">
      <c r="A49" s="532">
        <v>3</v>
      </c>
      <c r="B49" s="334" t="s">
        <v>321</v>
      </c>
      <c r="C49" s="323" t="s">
        <v>322</v>
      </c>
      <c r="D49" s="1155">
        <v>220</v>
      </c>
      <c r="E49" s="1058">
        <v>12.42</v>
      </c>
      <c r="F49" s="1058">
        <f t="shared" si="8"/>
        <v>2732.4</v>
      </c>
      <c r="G49" s="949"/>
      <c r="H49" s="949"/>
      <c r="I49" s="950"/>
      <c r="J49" s="1032"/>
      <c r="K49" s="1056"/>
      <c r="L49" s="1031"/>
      <c r="M49" s="309"/>
      <c r="N49" s="895"/>
      <c r="O49" s="329"/>
      <c r="P49" s="1151"/>
      <c r="Q49" s="325"/>
      <c r="R49" s="326"/>
      <c r="S49" s="309"/>
      <c r="T49" s="309"/>
      <c r="U49" s="309"/>
      <c r="V49" s="328"/>
      <c r="W49" s="5"/>
      <c r="X49" s="5"/>
      <c r="Y49" s="5"/>
      <c r="Z49" s="5"/>
    </row>
    <row r="50" spans="1:26" ht="12.75" customHeight="1">
      <c r="A50" s="532">
        <v>4</v>
      </c>
      <c r="B50" s="334" t="s">
        <v>330</v>
      </c>
      <c r="C50" s="323" t="s">
        <v>331</v>
      </c>
      <c r="D50" s="1155">
        <v>111</v>
      </c>
      <c r="E50" s="1058">
        <v>45.72</v>
      </c>
      <c r="F50" s="1058">
        <f t="shared" si="8"/>
        <v>5074.92</v>
      </c>
      <c r="G50" s="949"/>
      <c r="H50" s="949"/>
      <c r="I50" s="950"/>
      <c r="J50" s="1032"/>
      <c r="K50" s="1056"/>
      <c r="L50" s="1031"/>
      <c r="M50" s="309"/>
      <c r="N50" s="895"/>
      <c r="O50" s="329"/>
      <c r="P50" s="1151"/>
      <c r="Q50" s="325"/>
      <c r="R50" s="326"/>
      <c r="S50" s="309"/>
      <c r="T50" s="309"/>
      <c r="U50" s="309"/>
      <c r="V50" s="328"/>
      <c r="W50" s="5"/>
      <c r="X50" s="5"/>
      <c r="Y50" s="5"/>
      <c r="Z50" s="5"/>
    </row>
    <row r="51" spans="1:26" ht="12.75" customHeight="1">
      <c r="A51" s="532">
        <v>5</v>
      </c>
      <c r="B51" s="334" t="s">
        <v>384</v>
      </c>
      <c r="C51" s="323" t="s">
        <v>261</v>
      </c>
      <c r="D51" s="1155">
        <v>50</v>
      </c>
      <c r="E51" s="1058">
        <v>78.319999999999993</v>
      </c>
      <c r="F51" s="1058">
        <f t="shared" si="8"/>
        <v>3915.9999999999995</v>
      </c>
      <c r="G51" s="949"/>
      <c r="H51" s="949"/>
      <c r="I51" s="950"/>
      <c r="J51" s="1032"/>
      <c r="K51" s="1056"/>
      <c r="L51" s="1031"/>
      <c r="M51" s="309"/>
      <c r="N51" s="895"/>
      <c r="O51" s="329"/>
      <c r="P51" s="1151"/>
      <c r="Q51" s="325"/>
      <c r="R51" s="326"/>
      <c r="S51" s="309"/>
      <c r="T51" s="309"/>
      <c r="U51" s="309"/>
      <c r="V51" s="328"/>
      <c r="W51" s="5"/>
      <c r="X51" s="5"/>
      <c r="Y51" s="5"/>
      <c r="Z51" s="5"/>
    </row>
    <row r="52" spans="1:26" ht="12.75" customHeight="1">
      <c r="A52" s="532">
        <v>6</v>
      </c>
      <c r="B52" s="334" t="s">
        <v>240</v>
      </c>
      <c r="C52" s="323" t="s">
        <v>264</v>
      </c>
      <c r="D52" s="1155">
        <v>75</v>
      </c>
      <c r="E52" s="1058">
        <v>37.729999999999997</v>
      </c>
      <c r="F52" s="1058">
        <f t="shared" si="8"/>
        <v>2829.7499999999995</v>
      </c>
      <c r="G52" s="949"/>
      <c r="H52" s="949"/>
      <c r="I52" s="950"/>
      <c r="J52" s="1032"/>
      <c r="K52" s="1056"/>
      <c r="L52" s="1031"/>
      <c r="M52" s="309"/>
      <c r="N52" s="895"/>
      <c r="O52" s="329"/>
      <c r="P52" s="1151"/>
      <c r="Q52" s="325"/>
      <c r="R52" s="326"/>
      <c r="S52" s="309"/>
      <c r="T52" s="309"/>
      <c r="U52" s="309"/>
      <c r="V52" s="328"/>
      <c r="W52" s="5"/>
      <c r="X52" s="5"/>
      <c r="Y52" s="5"/>
      <c r="Z52" s="5"/>
    </row>
    <row r="53" spans="1:26" ht="12.75" customHeight="1">
      <c r="A53" s="322">
        <v>7</v>
      </c>
      <c r="B53" s="913" t="s">
        <v>385</v>
      </c>
      <c r="C53" s="323" t="s">
        <v>351</v>
      </c>
      <c r="D53" s="1155">
        <v>55</v>
      </c>
      <c r="E53" s="1058">
        <v>61.9</v>
      </c>
      <c r="F53" s="1058">
        <f t="shared" si="8"/>
        <v>3404.5</v>
      </c>
      <c r="G53" s="949"/>
      <c r="H53" s="949"/>
      <c r="I53" s="950"/>
      <c r="J53" s="1032"/>
      <c r="K53" s="1056"/>
      <c r="L53" s="1031"/>
      <c r="M53" s="309"/>
      <c r="N53" s="895"/>
      <c r="O53" s="329"/>
      <c r="P53" s="1151"/>
      <c r="Q53" s="325"/>
      <c r="R53" s="326"/>
      <c r="S53" s="309"/>
      <c r="T53" s="309"/>
      <c r="U53" s="309"/>
      <c r="V53" s="328"/>
      <c r="W53" s="5"/>
      <c r="X53" s="5"/>
      <c r="Y53" s="5"/>
      <c r="Z53" s="5"/>
    </row>
    <row r="54" spans="1:26" ht="12.75" customHeight="1">
      <c r="A54" s="322">
        <v>8</v>
      </c>
      <c r="B54" s="913" t="s">
        <v>348</v>
      </c>
      <c r="C54" s="323" t="s">
        <v>349</v>
      </c>
      <c r="D54" s="1155">
        <v>210</v>
      </c>
      <c r="E54" s="1058">
        <v>13.27</v>
      </c>
      <c r="F54" s="1058">
        <f t="shared" si="8"/>
        <v>2786.7</v>
      </c>
      <c r="G54" s="949"/>
      <c r="H54" s="949"/>
      <c r="I54" s="950"/>
      <c r="J54" s="1032"/>
      <c r="K54" s="1056"/>
      <c r="L54" s="1031"/>
      <c r="M54" s="309"/>
      <c r="N54" s="895"/>
      <c r="O54" s="329"/>
      <c r="P54" s="1151"/>
      <c r="Q54" s="325"/>
      <c r="R54" s="326"/>
      <c r="S54" s="309"/>
      <c r="T54" s="309"/>
      <c r="U54" s="309"/>
      <c r="V54" s="328"/>
      <c r="W54" s="5"/>
      <c r="X54" s="5"/>
      <c r="Y54" s="5"/>
      <c r="Z54" s="5"/>
    </row>
    <row r="55" spans="1:26" ht="12.75" customHeight="1">
      <c r="A55" s="532">
        <v>9</v>
      </c>
      <c r="B55" s="334" t="s">
        <v>315</v>
      </c>
      <c r="C55" s="323" t="s">
        <v>316</v>
      </c>
      <c r="D55" s="1155">
        <v>200</v>
      </c>
      <c r="E55" s="1058">
        <v>15.19</v>
      </c>
      <c r="F55" s="1058">
        <f t="shared" si="8"/>
        <v>3038</v>
      </c>
      <c r="G55" s="949"/>
      <c r="H55" s="949"/>
      <c r="I55" s="950"/>
      <c r="J55" s="1032"/>
      <c r="K55" s="1056"/>
      <c r="L55" s="1031"/>
      <c r="M55" s="309"/>
      <c r="N55" s="895"/>
      <c r="O55" s="329"/>
      <c r="P55" s="1151"/>
      <c r="Q55" s="325"/>
      <c r="R55" s="326"/>
      <c r="S55" s="309"/>
      <c r="T55" s="309"/>
      <c r="U55" s="309"/>
      <c r="V55" s="328"/>
      <c r="W55" s="5"/>
      <c r="X55" s="5"/>
      <c r="Y55" s="5"/>
      <c r="Z55" s="5"/>
    </row>
    <row r="56" spans="1:26" ht="12.75" customHeight="1">
      <c r="A56" s="322">
        <v>10</v>
      </c>
      <c r="B56" s="1023" t="s">
        <v>386</v>
      </c>
      <c r="C56" s="138" t="s">
        <v>387</v>
      </c>
      <c r="D56" s="1181">
        <v>130</v>
      </c>
      <c r="E56" s="1058">
        <v>21.831</v>
      </c>
      <c r="F56" s="1058">
        <f t="shared" si="8"/>
        <v>2838.0299999999997</v>
      </c>
      <c r="G56" s="949"/>
      <c r="H56" s="949"/>
      <c r="I56" s="950"/>
      <c r="J56" s="1032"/>
      <c r="K56" s="1056"/>
      <c r="L56" s="1031"/>
      <c r="M56" s="309"/>
      <c r="N56" s="895"/>
      <c r="O56" s="329"/>
      <c r="P56" s="1151"/>
      <c r="Q56" s="325"/>
      <c r="R56" s="326"/>
      <c r="S56" s="309"/>
      <c r="T56" s="309"/>
      <c r="U56" s="309"/>
      <c r="V56" s="328"/>
      <c r="W56" s="5"/>
      <c r="X56" s="5"/>
      <c r="Y56" s="5"/>
      <c r="Z56" s="5"/>
    </row>
    <row r="57" spans="1:26" ht="12.75" customHeight="1">
      <c r="A57" s="322">
        <v>11</v>
      </c>
      <c r="B57" s="1023" t="s">
        <v>388</v>
      </c>
      <c r="C57" s="138" t="s">
        <v>389</v>
      </c>
      <c r="D57" s="1181">
        <v>200</v>
      </c>
      <c r="E57" s="1058">
        <v>22.701000000000001</v>
      </c>
      <c r="F57" s="1058">
        <f t="shared" si="8"/>
        <v>4540.2</v>
      </c>
      <c r="G57" s="949"/>
      <c r="H57" s="949"/>
      <c r="I57" s="950"/>
      <c r="J57" s="1032"/>
      <c r="K57" s="1056"/>
      <c r="L57" s="1031"/>
      <c r="M57" s="309"/>
      <c r="N57" s="895"/>
      <c r="O57" s="329"/>
      <c r="P57" s="1151"/>
      <c r="Q57" s="325"/>
      <c r="R57" s="326"/>
      <c r="S57" s="309"/>
      <c r="T57" s="309"/>
      <c r="U57" s="309"/>
      <c r="V57" s="328"/>
      <c r="W57" s="5"/>
      <c r="X57" s="5"/>
      <c r="Y57" s="5"/>
      <c r="Z57" s="5"/>
    </row>
    <row r="58" spans="1:26" ht="12.75" customHeight="1">
      <c r="A58" s="322">
        <v>12</v>
      </c>
      <c r="B58" s="913" t="s">
        <v>348</v>
      </c>
      <c r="C58" s="138" t="s">
        <v>349</v>
      </c>
      <c r="D58" s="1181">
        <v>395</v>
      </c>
      <c r="E58" s="1058">
        <v>12.76</v>
      </c>
      <c r="F58" s="1058">
        <f t="shared" si="8"/>
        <v>5040.2</v>
      </c>
      <c r="G58" s="949"/>
      <c r="H58" s="949"/>
      <c r="I58" s="950"/>
      <c r="J58" s="1032"/>
      <c r="K58" s="1056"/>
      <c r="L58" s="1031"/>
      <c r="M58" s="309"/>
      <c r="N58" s="895"/>
      <c r="O58" s="329"/>
      <c r="P58" s="1151"/>
      <c r="Q58" s="325"/>
      <c r="R58" s="326"/>
      <c r="S58" s="309"/>
      <c r="T58" s="309"/>
      <c r="U58" s="309"/>
      <c r="V58" s="328"/>
      <c r="W58" s="5"/>
      <c r="X58" s="5"/>
      <c r="Y58" s="5"/>
      <c r="Z58" s="5"/>
    </row>
    <row r="59" spans="1:26" ht="12.75" customHeight="1">
      <c r="A59" s="532">
        <v>13</v>
      </c>
      <c r="B59" s="334" t="s">
        <v>381</v>
      </c>
      <c r="C59" s="138" t="s">
        <v>382</v>
      </c>
      <c r="D59" s="1181">
        <v>140</v>
      </c>
      <c r="E59" s="1058">
        <v>24.72</v>
      </c>
      <c r="F59" s="1058">
        <f t="shared" si="8"/>
        <v>3460.7999999999997</v>
      </c>
      <c r="G59" s="949"/>
      <c r="H59" s="949"/>
      <c r="I59" s="950"/>
      <c r="J59" s="1032"/>
      <c r="K59" s="1056"/>
      <c r="L59" s="1031"/>
      <c r="M59" s="309"/>
      <c r="N59" s="895"/>
      <c r="O59" s="329"/>
      <c r="P59" s="1151"/>
      <c r="Q59" s="325"/>
      <c r="R59" s="326"/>
      <c r="S59" s="309"/>
      <c r="T59" s="309"/>
      <c r="U59" s="309"/>
      <c r="V59" s="328"/>
      <c r="W59" s="5"/>
      <c r="X59" s="5"/>
      <c r="Y59" s="5"/>
      <c r="Z59" s="5"/>
    </row>
    <row r="60" spans="1:26" ht="12.75" customHeight="1">
      <c r="A60" s="322">
        <v>14</v>
      </c>
      <c r="B60" s="913" t="s">
        <v>352</v>
      </c>
      <c r="C60" s="138" t="s">
        <v>353</v>
      </c>
      <c r="D60" s="1181">
        <v>40</v>
      </c>
      <c r="E60" s="1058">
        <v>80.459999999999994</v>
      </c>
      <c r="F60" s="1058">
        <f t="shared" si="8"/>
        <v>3218.3999999999996</v>
      </c>
      <c r="G60" s="949"/>
      <c r="H60" s="949"/>
      <c r="I60" s="950"/>
      <c r="J60" s="1032"/>
      <c r="K60" s="1056"/>
      <c r="L60" s="1031"/>
      <c r="M60" s="309"/>
      <c r="N60" s="895"/>
      <c r="O60" s="329"/>
      <c r="P60" s="1151"/>
      <c r="Q60" s="325"/>
      <c r="R60" s="326"/>
      <c r="S60" s="309"/>
      <c r="T60" s="309"/>
      <c r="U60" s="309"/>
      <c r="V60" s="328"/>
      <c r="W60" s="5"/>
      <c r="X60" s="5"/>
      <c r="Y60" s="5"/>
      <c r="Z60" s="5"/>
    </row>
    <row r="61" spans="1:26" ht="12.75" customHeight="1">
      <c r="A61" s="532">
        <v>15</v>
      </c>
      <c r="B61" s="334" t="s">
        <v>280</v>
      </c>
      <c r="C61" s="138" t="s">
        <v>251</v>
      </c>
      <c r="D61" s="1155">
        <v>30</v>
      </c>
      <c r="E61" s="1058">
        <v>58.72</v>
      </c>
      <c r="F61" s="1058">
        <v>1761.6</v>
      </c>
      <c r="G61" s="949"/>
      <c r="H61" s="949"/>
      <c r="I61" s="950"/>
      <c r="J61" s="1032"/>
      <c r="K61" s="1056"/>
      <c r="L61" s="1031"/>
      <c r="M61" s="309"/>
      <c r="N61" s="895"/>
      <c r="O61" s="329"/>
      <c r="P61" s="1151"/>
      <c r="Q61" s="325"/>
      <c r="R61" s="326"/>
      <c r="S61" s="309"/>
      <c r="T61" s="309"/>
      <c r="U61" s="309"/>
      <c r="V61" s="328"/>
      <c r="W61" s="5"/>
      <c r="X61" s="5"/>
      <c r="Y61" s="5"/>
      <c r="Z61" s="5"/>
    </row>
    <row r="62" spans="1:26" ht="12.75" customHeight="1">
      <c r="A62" s="532">
        <v>16</v>
      </c>
      <c r="B62" s="1182" t="s">
        <v>252</v>
      </c>
      <c r="C62" s="335" t="s">
        <v>253</v>
      </c>
      <c r="D62" s="1186">
        <v>20</v>
      </c>
      <c r="E62" s="1055">
        <v>52.71</v>
      </c>
      <c r="F62" s="1055">
        <f>E62*D62</f>
        <v>1054.2</v>
      </c>
      <c r="G62" s="949"/>
      <c r="H62" s="949"/>
      <c r="I62" s="950"/>
      <c r="J62" s="1032"/>
      <c r="K62" s="1056"/>
      <c r="L62" s="1031"/>
      <c r="M62" s="309"/>
      <c r="N62" s="895"/>
      <c r="O62" s="329"/>
      <c r="P62" s="1151"/>
      <c r="Q62" s="325"/>
      <c r="R62" s="326"/>
      <c r="S62" s="309"/>
      <c r="T62" s="309"/>
      <c r="U62" s="309"/>
      <c r="V62" s="328"/>
      <c r="W62" s="5"/>
      <c r="X62" s="5"/>
      <c r="Y62" s="5"/>
      <c r="Z62" s="5"/>
    </row>
    <row r="63" spans="1:26" ht="12.75" customHeight="1">
      <c r="A63" s="1169"/>
      <c r="B63" s="1075"/>
      <c r="C63" s="31"/>
      <c r="D63" s="1187"/>
      <c r="E63" s="1156"/>
      <c r="F63" s="1157"/>
      <c r="G63" s="1137"/>
      <c r="H63" s="916"/>
      <c r="I63" s="916"/>
      <c r="J63" s="916"/>
      <c r="K63" s="1087"/>
      <c r="L63" s="914"/>
      <c r="M63" s="916"/>
      <c r="N63" s="1087"/>
      <c r="O63" s="400"/>
      <c r="P63" s="39"/>
      <c r="Q63" s="57"/>
      <c r="R63" s="5"/>
      <c r="S63" s="5"/>
      <c r="T63" s="5"/>
      <c r="U63" s="5"/>
      <c r="V63" s="5"/>
      <c r="W63" s="5"/>
      <c r="X63" s="5"/>
      <c r="Y63" s="5"/>
      <c r="Z63" s="5"/>
    </row>
    <row r="64" spans="1:26" ht="12.75" customHeight="1">
      <c r="A64" s="344"/>
      <c r="B64" s="345" t="s">
        <v>63</v>
      </c>
      <c r="C64" s="345"/>
      <c r="D64" s="346"/>
      <c r="E64" s="782"/>
      <c r="F64" s="1090">
        <v>85165.92</v>
      </c>
      <c r="G64" s="1091">
        <f>F64/$F$68</f>
        <v>0.95048056979335849</v>
      </c>
      <c r="H64" s="968"/>
      <c r="I64" s="308"/>
      <c r="J64" s="308"/>
      <c r="K64" s="1096">
        <f>K38+K44</f>
        <v>101429.09</v>
      </c>
      <c r="L64" s="143">
        <f>K64/$K$68</f>
        <v>0.82864100838419352</v>
      </c>
      <c r="M64" s="345"/>
      <c r="N64" s="137"/>
      <c r="O64" s="313"/>
      <c r="P64" s="1151"/>
      <c r="Q64" s="325"/>
      <c r="R64" s="326"/>
      <c r="S64" s="309"/>
      <c r="T64" s="309"/>
      <c r="U64" s="309"/>
      <c r="V64" s="328"/>
    </row>
    <row r="65" spans="1:22" ht="12.75" customHeight="1">
      <c r="A65" s="344"/>
      <c r="B65" s="345"/>
      <c r="C65" s="345"/>
      <c r="D65" s="346"/>
      <c r="E65" s="347"/>
      <c r="F65" s="1090"/>
      <c r="G65" s="1091"/>
      <c r="H65" s="968"/>
      <c r="I65" s="308"/>
      <c r="J65" s="922"/>
      <c r="K65" s="1096"/>
      <c r="L65" s="143"/>
      <c r="M65" s="345"/>
      <c r="N65" s="587"/>
      <c r="O65" s="138"/>
      <c r="P65" s="1151"/>
      <c r="Q65" s="325"/>
      <c r="R65" s="326"/>
      <c r="S65" s="309"/>
      <c r="T65" s="309"/>
      <c r="U65" s="309"/>
      <c r="V65" s="328"/>
    </row>
    <row r="66" spans="1:22" ht="12.75" customHeight="1">
      <c r="A66" s="344"/>
      <c r="B66" s="345" t="s">
        <v>64</v>
      </c>
      <c r="C66" s="345"/>
      <c r="D66" s="346"/>
      <c r="E66" s="347"/>
      <c r="F66" s="1096">
        <v>4437.09</v>
      </c>
      <c r="G66" s="1091">
        <f>F66/$F$68</f>
        <v>4.9519430206641499E-2</v>
      </c>
      <c r="H66" s="968"/>
      <c r="I66" s="308"/>
      <c r="J66" s="922"/>
      <c r="K66" s="1096">
        <v>20975.05</v>
      </c>
      <c r="L66" s="143">
        <f>K66/$K$68</f>
        <v>0.17135899161580645</v>
      </c>
      <c r="M66" s="345"/>
      <c r="N66" s="587"/>
      <c r="O66" s="138"/>
      <c r="P66" s="1151"/>
      <c r="Q66" s="325"/>
      <c r="R66" s="326"/>
      <c r="S66" s="977"/>
      <c r="T66" s="309"/>
      <c r="U66" s="309"/>
      <c r="V66" s="328"/>
    </row>
    <row r="67" spans="1:22" ht="12.75" customHeight="1">
      <c r="A67" s="49"/>
      <c r="B67" s="924" t="s">
        <v>65</v>
      </c>
      <c r="C67" s="924"/>
      <c r="D67" s="34"/>
      <c r="E67" s="1099"/>
      <c r="F67" s="1100"/>
      <c r="G67" s="1101"/>
      <c r="H67" s="980"/>
      <c r="I67" s="925"/>
      <c r="J67" s="925"/>
      <c r="K67" s="1103">
        <v>17262.09</v>
      </c>
      <c r="L67" s="50"/>
      <c r="M67" s="924"/>
      <c r="N67" s="588"/>
      <c r="O67" s="36"/>
      <c r="P67" s="1151"/>
      <c r="Q67" s="325"/>
      <c r="R67" s="326"/>
      <c r="S67" s="309"/>
      <c r="T67" s="309"/>
      <c r="U67" s="309"/>
      <c r="V67" s="328"/>
    </row>
    <row r="68" spans="1:22" ht="12.75" customHeight="1">
      <c r="A68" s="309"/>
      <c r="B68" s="345" t="s">
        <v>66</v>
      </c>
      <c r="C68" s="345"/>
      <c r="D68" s="1105"/>
      <c r="E68" s="1106"/>
      <c r="F68" s="1107">
        <f>F64+F66</f>
        <v>89603.01</v>
      </c>
      <c r="G68" s="1108">
        <f>SUM(G64:G67)</f>
        <v>1</v>
      </c>
      <c r="H68" s="983"/>
      <c r="I68" s="928"/>
      <c r="J68" s="928"/>
      <c r="K68" s="1109">
        <f>SUM(K64,K66)</f>
        <v>122404.14</v>
      </c>
      <c r="L68" s="51">
        <f>SUM(L64:L67)</f>
        <v>1</v>
      </c>
      <c r="M68" s="345"/>
      <c r="N68" s="58">
        <f>(K68-K67-F68)/F68</f>
        <v>0.17342095985391573</v>
      </c>
      <c r="O68" s="323"/>
      <c r="P68" s="1170"/>
      <c r="Q68" s="325"/>
      <c r="R68" s="326"/>
      <c r="S68" s="309"/>
      <c r="T68" s="309"/>
      <c r="U68" s="309"/>
      <c r="V68" s="328"/>
    </row>
    <row r="69" spans="1:22" ht="12.75" customHeight="1">
      <c r="A69" s="309"/>
      <c r="B69" s="309"/>
      <c r="C69" s="985"/>
      <c r="D69" s="1024"/>
      <c r="E69" s="1024"/>
      <c r="F69" s="1024"/>
      <c r="G69" s="1024"/>
      <c r="H69" s="940"/>
      <c r="I69" s="940"/>
      <c r="J69" s="940"/>
      <c r="K69" s="1147"/>
      <c r="L69" s="949"/>
      <c r="M69" s="309"/>
      <c r="N69" s="882"/>
      <c r="O69" s="323"/>
      <c r="P69" s="1151"/>
      <c r="Q69" s="325"/>
      <c r="R69" s="326"/>
      <c r="S69" s="309"/>
      <c r="T69" s="309"/>
      <c r="U69" s="309"/>
      <c r="V69" s="328"/>
    </row>
    <row r="70" spans="1:22" ht="12.75" customHeight="1">
      <c r="A70" s="309"/>
      <c r="B70" s="872"/>
      <c r="C70" s="873"/>
      <c r="D70" s="874"/>
      <c r="E70" s="875"/>
      <c r="F70" s="876"/>
      <c r="G70" s="877"/>
      <c r="H70" s="879"/>
      <c r="I70" s="879"/>
      <c r="J70" s="879"/>
      <c r="K70" s="880"/>
      <c r="L70" s="881"/>
      <c r="M70" s="879"/>
      <c r="N70" s="1171"/>
      <c r="O70" s="1113"/>
      <c r="P70" s="1158"/>
      <c r="Q70" s="1172"/>
      <c r="R70" s="1019"/>
      <c r="S70" s="309"/>
      <c r="T70" s="309"/>
      <c r="U70" s="309"/>
      <c r="V70" s="328"/>
    </row>
    <row r="71" spans="1:22" ht="12.75" customHeight="1">
      <c r="A71" s="309"/>
      <c r="B71" s="345" t="s">
        <v>390</v>
      </c>
      <c r="C71" s="309"/>
      <c r="D71" s="323"/>
      <c r="E71" s="323"/>
      <c r="F71" s="1114"/>
      <c r="G71" s="323"/>
      <c r="H71" s="309"/>
      <c r="I71" s="309"/>
      <c r="J71" s="309"/>
      <c r="K71" s="324"/>
      <c r="L71" s="309"/>
      <c r="M71" s="309"/>
      <c r="N71" s="882"/>
      <c r="O71" s="1042"/>
      <c r="P71" s="895"/>
      <c r="Q71" s="325"/>
      <c r="R71" s="326"/>
      <c r="S71" s="309"/>
      <c r="T71" s="309"/>
      <c r="U71" s="309"/>
      <c r="V71" s="328"/>
    </row>
    <row r="72" spans="1:22" ht="12.75" customHeight="1">
      <c r="A72" s="309"/>
      <c r="B72" s="309" t="s">
        <v>272</v>
      </c>
      <c r="C72" s="309"/>
      <c r="D72" s="323"/>
      <c r="E72" s="323"/>
      <c r="F72" s="1188">
        <v>1426.19</v>
      </c>
      <c r="G72" s="323"/>
      <c r="H72" s="309"/>
      <c r="I72" s="309"/>
      <c r="J72" s="309"/>
      <c r="K72" s="1189">
        <v>1848.36</v>
      </c>
      <c r="L72" s="1040"/>
      <c r="M72" s="309"/>
      <c r="N72" s="882">
        <f>(K72-F72)/F72</f>
        <v>0.29601245275874871</v>
      </c>
      <c r="O72" s="1042"/>
      <c r="P72" s="1066"/>
      <c r="Q72" s="325"/>
      <c r="R72" s="326"/>
      <c r="S72" s="309"/>
      <c r="T72" s="309"/>
      <c r="U72" s="309"/>
      <c r="V72" s="328"/>
    </row>
    <row r="73" spans="1:22" ht="12.75" customHeight="1">
      <c r="A73" s="309"/>
      <c r="B73" s="309" t="s">
        <v>273</v>
      </c>
      <c r="C73" s="309"/>
      <c r="D73" s="309"/>
      <c r="E73" s="309"/>
      <c r="F73" s="1146"/>
      <c r="G73" s="309"/>
      <c r="H73" s="309"/>
      <c r="I73" s="309"/>
      <c r="J73" s="309"/>
      <c r="K73" s="324"/>
      <c r="L73" s="1040"/>
      <c r="M73" s="309"/>
      <c r="N73" s="1173">
        <v>2.7900000000000001E-2</v>
      </c>
      <c r="O73" s="1042"/>
      <c r="P73" s="1066"/>
      <c r="Q73" s="325"/>
      <c r="R73" s="326"/>
      <c r="S73" s="309"/>
      <c r="T73" s="309"/>
      <c r="U73" s="309"/>
      <c r="V73" s="328"/>
    </row>
    <row r="74" spans="1:22" ht="12.75" customHeight="1">
      <c r="A74" s="309"/>
      <c r="B74" s="309" t="s">
        <v>228</v>
      </c>
      <c r="C74" s="309"/>
      <c r="D74" s="309"/>
      <c r="E74" s="309"/>
      <c r="F74" s="1146"/>
      <c r="G74" s="309"/>
      <c r="H74" s="309"/>
      <c r="I74" s="309"/>
      <c r="J74" s="309"/>
      <c r="K74" s="1020"/>
      <c r="L74" s="1040"/>
      <c r="M74" s="309"/>
      <c r="N74" s="882">
        <f>SUM(N72:N73)</f>
        <v>0.32391245275874869</v>
      </c>
      <c r="O74" s="1042"/>
      <c r="P74" s="1066"/>
      <c r="Q74" s="325"/>
      <c r="R74" s="326"/>
      <c r="S74" s="309"/>
      <c r="T74" s="309"/>
      <c r="U74" s="309"/>
      <c r="V74" s="328"/>
    </row>
    <row r="75" spans="1:22" ht="12.75" customHeight="1">
      <c r="A75" s="309"/>
      <c r="B75" s="309"/>
      <c r="C75" s="309"/>
      <c r="D75" s="309"/>
      <c r="E75" s="309"/>
      <c r="F75" s="1146"/>
      <c r="G75" s="309"/>
      <c r="H75" s="309"/>
      <c r="I75" s="309"/>
      <c r="J75" s="309"/>
      <c r="K75" s="1020"/>
      <c r="L75" s="1040"/>
      <c r="M75" s="309"/>
      <c r="N75" s="882"/>
      <c r="O75" s="1042"/>
      <c r="P75" s="1066"/>
      <c r="Q75" s="325"/>
      <c r="R75" s="326"/>
      <c r="S75" s="309"/>
      <c r="T75" s="309"/>
      <c r="U75" s="309"/>
      <c r="V75" s="328"/>
    </row>
    <row r="76" spans="1:22" ht="14.25" customHeight="1">
      <c r="A76" s="309"/>
      <c r="B76" s="309" t="s">
        <v>391</v>
      </c>
      <c r="C76" s="309"/>
      <c r="D76" s="309"/>
      <c r="E76" s="309"/>
      <c r="F76" s="309"/>
      <c r="G76" s="309"/>
      <c r="H76" s="309"/>
      <c r="I76" s="309"/>
      <c r="J76" s="309"/>
      <c r="K76" s="1020"/>
      <c r="L76" s="309"/>
      <c r="M76" s="309"/>
      <c r="N76" s="882">
        <v>-2.0199999999999999E-2</v>
      </c>
      <c r="O76" s="323"/>
      <c r="P76" s="1151"/>
      <c r="Q76" s="325"/>
      <c r="R76" s="326"/>
      <c r="S76" s="309"/>
      <c r="T76" s="309"/>
      <c r="U76" s="309"/>
      <c r="V76" s="328"/>
    </row>
    <row r="77" spans="1:22" ht="14.25" customHeight="1">
      <c r="A77" s="309"/>
      <c r="B77" s="309"/>
      <c r="C77" s="309"/>
      <c r="D77" s="309"/>
      <c r="E77" s="309"/>
      <c r="F77" s="309"/>
      <c r="G77" s="309"/>
      <c r="H77" s="309"/>
      <c r="I77" s="309"/>
      <c r="J77" s="309"/>
      <c r="K77" s="1020"/>
      <c r="L77" s="309"/>
      <c r="M77" s="309"/>
      <c r="N77" s="882"/>
      <c r="O77" s="323"/>
      <c r="P77" s="1151"/>
      <c r="Q77" s="325"/>
      <c r="R77" s="326"/>
      <c r="S77" s="309"/>
      <c r="T77" s="309"/>
      <c r="U77" s="309"/>
      <c r="V77" s="328"/>
    </row>
    <row r="78" spans="1:22" ht="14.25" customHeight="1">
      <c r="A78" s="309"/>
      <c r="B78" s="309" t="s">
        <v>392</v>
      </c>
      <c r="C78" s="309"/>
      <c r="D78" s="309"/>
      <c r="E78" s="309"/>
      <c r="F78" s="309"/>
      <c r="G78" s="309"/>
      <c r="H78" s="309"/>
      <c r="I78" s="309"/>
      <c r="J78" s="309"/>
      <c r="K78" s="1020"/>
      <c r="L78" s="309"/>
      <c r="M78" s="309"/>
      <c r="N78" s="882">
        <f>0.8*N74+0.2*N76</f>
        <v>0.25508996220699898</v>
      </c>
      <c r="O78" s="323"/>
      <c r="P78" s="1151"/>
      <c r="Q78" s="325"/>
      <c r="R78" s="326"/>
      <c r="S78" s="309"/>
      <c r="T78" s="309"/>
      <c r="U78" s="309"/>
      <c r="V78" s="328"/>
    </row>
    <row r="79" spans="1:22" ht="12.75" customHeight="1">
      <c r="B79" s="309"/>
      <c r="H79" s="59"/>
      <c r="L79" s="60" t="s">
        <v>393</v>
      </c>
      <c r="N79" s="61">
        <f>N68-N78</f>
        <v>-8.1669002353083248E-2</v>
      </c>
      <c r="Q79" s="57"/>
    </row>
    <row r="80" spans="1:22" ht="12.75" customHeight="1">
      <c r="B80" s="309"/>
      <c r="C80" s="52"/>
      <c r="Q80" s="57"/>
    </row>
    <row r="81" spans="11:17" ht="12.75" customHeight="1">
      <c r="Q81" s="57"/>
    </row>
    <row r="82" spans="11:17" ht="12.75" customHeight="1">
      <c r="K82" t="s">
        <v>339</v>
      </c>
      <c r="Q82" s="57"/>
    </row>
    <row r="83" spans="11:17" ht="12.75" customHeight="1">
      <c r="Q83" s="57"/>
    </row>
    <row r="84" spans="11:17" ht="12.75" customHeight="1">
      <c r="Q84" s="57"/>
    </row>
    <row r="85" spans="11:17" ht="12.75" customHeight="1">
      <c r="Q85" s="57"/>
    </row>
    <row r="86" spans="11:17" ht="12.75" customHeight="1">
      <c r="Q86" s="57"/>
    </row>
    <row r="87" spans="11:17" ht="12.75" customHeight="1">
      <c r="Q87" s="57"/>
    </row>
    <row r="88" spans="11:17" ht="12.75" customHeight="1">
      <c r="Q88" s="57"/>
    </row>
    <row r="89" spans="11:17" ht="12.75" customHeight="1">
      <c r="Q89" s="57"/>
    </row>
    <row r="90" spans="11:17" ht="12.75" customHeight="1">
      <c r="Q90" s="57"/>
    </row>
    <row r="91" spans="11:17" ht="12.75" customHeight="1">
      <c r="Q91" s="57"/>
    </row>
    <row r="92" spans="11:17" ht="12.75" customHeight="1">
      <c r="Q92" s="57"/>
    </row>
    <row r="93" spans="11:17" ht="12.75" customHeight="1">
      <c r="Q93" s="57"/>
    </row>
    <row r="94" spans="11:17" ht="12.75" customHeight="1">
      <c r="Q94" s="57"/>
    </row>
    <row r="95" spans="11:17" ht="12.75" customHeight="1">
      <c r="Q95" s="57"/>
    </row>
    <row r="96" spans="11:17" ht="12.75" customHeight="1">
      <c r="Q96" s="57"/>
    </row>
    <row r="97" spans="17:17" ht="12.75" customHeight="1">
      <c r="Q97" s="57"/>
    </row>
    <row r="98" spans="17:17" ht="12.75" customHeight="1">
      <c r="Q98" s="57"/>
    </row>
    <row r="99" spans="17:17" ht="12.75" customHeight="1">
      <c r="Q99" s="57"/>
    </row>
    <row r="100" spans="17:17" ht="12.75" customHeight="1">
      <c r="Q100" s="57"/>
    </row>
    <row r="101" spans="17:17" ht="12.75" customHeight="1">
      <c r="Q101" s="57"/>
    </row>
    <row r="102" spans="17:17" ht="12.75" customHeight="1">
      <c r="Q102" s="57"/>
    </row>
    <row r="103" spans="17:17" ht="12.75" customHeight="1">
      <c r="Q103" s="57"/>
    </row>
    <row r="104" spans="17:17" ht="12.75" customHeight="1">
      <c r="Q104" s="57"/>
    </row>
    <row r="105" spans="17:17" ht="12.75" customHeight="1">
      <c r="Q105" s="57"/>
    </row>
    <row r="106" spans="17:17" ht="12.75" customHeight="1">
      <c r="Q106" s="57"/>
    </row>
    <row r="107" spans="17:17" ht="12.75" customHeight="1">
      <c r="Q107" s="57"/>
    </row>
    <row r="108" spans="17:17" ht="12.75" customHeight="1">
      <c r="Q108" s="57"/>
    </row>
    <row r="109" spans="17:17" ht="12.75" customHeight="1">
      <c r="Q109" s="57"/>
    </row>
    <row r="110" spans="17:17" ht="12.75" customHeight="1">
      <c r="Q110" s="57"/>
    </row>
    <row r="111" spans="17:17" ht="12.75" customHeight="1">
      <c r="Q111" s="57"/>
    </row>
    <row r="112" spans="17:17" ht="12.75" customHeight="1">
      <c r="Q112" s="57"/>
    </row>
    <row r="113" spans="17:17" ht="12.75" customHeight="1">
      <c r="Q113" s="57"/>
    </row>
    <row r="114" spans="17:17" ht="12.75" customHeight="1">
      <c r="Q114" s="57"/>
    </row>
    <row r="115" spans="17:17" ht="12.75" customHeight="1">
      <c r="Q115" s="57"/>
    </row>
    <row r="116" spans="17:17" ht="12.75" customHeight="1">
      <c r="Q116" s="57"/>
    </row>
    <row r="117" spans="17:17" ht="12.75" customHeight="1">
      <c r="Q117" s="57"/>
    </row>
    <row r="118" spans="17:17" ht="12.75" customHeight="1">
      <c r="Q118" s="57"/>
    </row>
    <row r="119" spans="17:17" ht="12.75" customHeight="1">
      <c r="Q119" s="57"/>
    </row>
    <row r="120" spans="17:17" ht="12.75" customHeight="1">
      <c r="Q120" s="57"/>
    </row>
    <row r="121" spans="17:17" ht="12.75" customHeight="1">
      <c r="Q121" s="57"/>
    </row>
    <row r="122" spans="17:17" ht="12.75" customHeight="1">
      <c r="Q122" s="57"/>
    </row>
    <row r="123" spans="17:17" ht="12.75" customHeight="1">
      <c r="Q123" s="57"/>
    </row>
    <row r="124" spans="17:17" ht="12.75" customHeight="1">
      <c r="Q124" s="57"/>
    </row>
    <row r="125" spans="17:17" ht="12.75" customHeight="1">
      <c r="Q125" s="57"/>
    </row>
    <row r="126" spans="17:17" ht="12.75" customHeight="1">
      <c r="Q126" s="57"/>
    </row>
    <row r="127" spans="17:17" ht="12.75" customHeight="1">
      <c r="Q127" s="57"/>
    </row>
    <row r="128" spans="17:17" ht="12.75" customHeight="1">
      <c r="Q128" s="57"/>
    </row>
    <row r="129" spans="17:17" ht="12.75" customHeight="1">
      <c r="Q129" s="57"/>
    </row>
    <row r="130" spans="17:17" ht="12.75" customHeight="1">
      <c r="Q130" s="57"/>
    </row>
    <row r="131" spans="17:17" ht="12.75" customHeight="1">
      <c r="Q131" s="57"/>
    </row>
    <row r="132" spans="17:17" ht="12.75" customHeight="1">
      <c r="Q132" s="57"/>
    </row>
    <row r="133" spans="17:17" ht="12.75" customHeight="1">
      <c r="Q133" s="57"/>
    </row>
    <row r="134" spans="17:17" ht="12.75" customHeight="1">
      <c r="Q134" s="57"/>
    </row>
    <row r="135" spans="17:17" ht="12.75" customHeight="1">
      <c r="Q135" s="57"/>
    </row>
    <row r="136" spans="17:17" ht="12.75" customHeight="1">
      <c r="Q136" s="57"/>
    </row>
    <row r="137" spans="17:17" ht="12.75" customHeight="1">
      <c r="Q137" s="57"/>
    </row>
    <row r="138" spans="17:17" ht="12.75" customHeight="1">
      <c r="Q138" s="57"/>
    </row>
    <row r="139" spans="17:17" ht="12.75" customHeight="1">
      <c r="Q139" s="57"/>
    </row>
    <row r="140" spans="17:17" ht="12.75" customHeight="1">
      <c r="Q140" s="57"/>
    </row>
    <row r="141" spans="17:17" ht="12.75" customHeight="1">
      <c r="Q141" s="57"/>
    </row>
    <row r="142" spans="17:17" ht="12.75" customHeight="1">
      <c r="Q142" s="57"/>
    </row>
    <row r="143" spans="17:17" ht="12.75" customHeight="1">
      <c r="Q143" s="57"/>
    </row>
    <row r="144" spans="17:17" ht="12.75" customHeight="1">
      <c r="Q144" s="57"/>
    </row>
    <row r="145" spans="17:17" ht="12.75" customHeight="1">
      <c r="Q145" s="57"/>
    </row>
    <row r="146" spans="17:17" ht="12.75" customHeight="1">
      <c r="Q146" s="57"/>
    </row>
    <row r="147" spans="17:17" ht="12.75" customHeight="1">
      <c r="Q147" s="57"/>
    </row>
    <row r="148" spans="17:17" ht="12.75" customHeight="1">
      <c r="Q148" s="57"/>
    </row>
    <row r="149" spans="17:17" ht="12.75" customHeight="1">
      <c r="Q149" s="57"/>
    </row>
    <row r="150" spans="17:17" ht="12.75" customHeight="1">
      <c r="Q150" s="57"/>
    </row>
    <row r="151" spans="17:17" ht="12.75" customHeight="1">
      <c r="Q151" s="57"/>
    </row>
    <row r="152" spans="17:17" ht="12.75" customHeight="1">
      <c r="Q152" s="57"/>
    </row>
    <row r="153" spans="17:17" ht="12.75" customHeight="1">
      <c r="Q153" s="57"/>
    </row>
    <row r="154" spans="17:17" ht="12.75" customHeight="1">
      <c r="Q154" s="57"/>
    </row>
    <row r="155" spans="17:17" ht="12.75" customHeight="1">
      <c r="Q155" s="57"/>
    </row>
    <row r="156" spans="17:17" ht="12.75" customHeight="1">
      <c r="Q156" s="57"/>
    </row>
    <row r="157" spans="17:17" ht="12.75" customHeight="1">
      <c r="Q157" s="57"/>
    </row>
    <row r="158" spans="17:17" ht="12.75" customHeight="1">
      <c r="Q158" s="57"/>
    </row>
    <row r="159" spans="17:17" ht="12.75" customHeight="1">
      <c r="Q159" s="57"/>
    </row>
    <row r="160" spans="17:17" ht="12.75" customHeight="1">
      <c r="Q160" s="57"/>
    </row>
    <row r="161" spans="17:17" ht="12.75" customHeight="1">
      <c r="Q161" s="57"/>
    </row>
    <row r="162" spans="17:17" ht="12.75" customHeight="1">
      <c r="Q162" s="57"/>
    </row>
    <row r="163" spans="17:17" ht="12.75" customHeight="1">
      <c r="Q163" s="57"/>
    </row>
    <row r="164" spans="17:17" ht="12.75" customHeight="1">
      <c r="Q164" s="57"/>
    </row>
    <row r="165" spans="17:17" ht="12.75" customHeight="1">
      <c r="Q165" s="57"/>
    </row>
    <row r="166" spans="17:17" ht="12.75" customHeight="1">
      <c r="Q166" s="57"/>
    </row>
    <row r="167" spans="17:17" ht="12.75" customHeight="1">
      <c r="Q167" s="57"/>
    </row>
    <row r="168" spans="17:17" ht="12.75" customHeight="1">
      <c r="Q168" s="57"/>
    </row>
    <row r="169" spans="17:17" ht="12.75" customHeight="1">
      <c r="Q169" s="57"/>
    </row>
    <row r="170" spans="17:17" ht="12.75" customHeight="1">
      <c r="Q170" s="57"/>
    </row>
    <row r="171" spans="17:17" ht="12.75" customHeight="1">
      <c r="Q171" s="57"/>
    </row>
    <row r="172" spans="17:17" ht="12.75" customHeight="1">
      <c r="Q172" s="57"/>
    </row>
    <row r="173" spans="17:17" ht="12.75" customHeight="1">
      <c r="Q173" s="57"/>
    </row>
    <row r="174" spans="17:17" ht="12.75" customHeight="1">
      <c r="Q174" s="57"/>
    </row>
    <row r="175" spans="17:17" ht="12.75" customHeight="1">
      <c r="Q175" s="57"/>
    </row>
    <row r="176" spans="17:17" ht="12.75" customHeight="1">
      <c r="Q176" s="57"/>
    </row>
    <row r="177" spans="17:17" ht="12.75" customHeight="1">
      <c r="Q177" s="57"/>
    </row>
    <row r="178" spans="17:17" ht="12.75" customHeight="1">
      <c r="Q178" s="57"/>
    </row>
    <row r="179" spans="17:17" ht="12.75" customHeight="1">
      <c r="Q179" s="57"/>
    </row>
    <row r="180" spans="17:17" ht="12.75" customHeight="1">
      <c r="Q180" s="57"/>
    </row>
    <row r="181" spans="17:17" ht="12.75" customHeight="1">
      <c r="Q181" s="57"/>
    </row>
    <row r="182" spans="17:17" ht="12.75" customHeight="1">
      <c r="Q182" s="57"/>
    </row>
    <row r="183" spans="17:17" ht="12.75" customHeight="1">
      <c r="Q183" s="57"/>
    </row>
    <row r="184" spans="17:17" ht="12.75" customHeight="1">
      <c r="Q184" s="57"/>
    </row>
    <row r="185" spans="17:17" ht="12.75" customHeight="1">
      <c r="Q185" s="57"/>
    </row>
    <row r="186" spans="17:17" ht="12.75" customHeight="1">
      <c r="Q186" s="57"/>
    </row>
    <row r="187" spans="17:17" ht="12.75" customHeight="1">
      <c r="Q187" s="57"/>
    </row>
    <row r="188" spans="17:17" ht="12.75" customHeight="1">
      <c r="Q188" s="57"/>
    </row>
    <row r="189" spans="17:17" ht="12.75" customHeight="1">
      <c r="Q189" s="57"/>
    </row>
    <row r="190" spans="17:17" ht="12.75" customHeight="1">
      <c r="Q190" s="57"/>
    </row>
    <row r="191" spans="17:17" ht="12.75" customHeight="1">
      <c r="Q191" s="57"/>
    </row>
    <row r="192" spans="17:17" ht="12.75" customHeight="1">
      <c r="Q192" s="57"/>
    </row>
    <row r="193" spans="17:17" ht="12.75" customHeight="1">
      <c r="Q193" s="57"/>
    </row>
    <row r="194" spans="17:17" ht="12.75" customHeight="1">
      <c r="Q194" s="57"/>
    </row>
    <row r="195" spans="17:17" ht="12.75" customHeight="1">
      <c r="Q195" s="57"/>
    </row>
    <row r="196" spans="17:17" ht="12.75" customHeight="1">
      <c r="Q196" s="57"/>
    </row>
    <row r="197" spans="17:17" ht="12.75" customHeight="1">
      <c r="Q197" s="57"/>
    </row>
    <row r="198" spans="17:17" ht="12.75" customHeight="1">
      <c r="Q198" s="57"/>
    </row>
    <row r="199" spans="17:17" ht="12.75" customHeight="1">
      <c r="Q199" s="57"/>
    </row>
    <row r="200" spans="17:17" ht="12.75" customHeight="1">
      <c r="Q200" s="57"/>
    </row>
    <row r="201" spans="17:17" ht="12.75" customHeight="1">
      <c r="Q201" s="57"/>
    </row>
    <row r="202" spans="17:17" ht="12.75" customHeight="1">
      <c r="Q202" s="57"/>
    </row>
    <row r="203" spans="17:17" ht="12.75" customHeight="1">
      <c r="Q203" s="57"/>
    </row>
    <row r="204" spans="17:17" ht="12.75" customHeight="1">
      <c r="Q204" s="57"/>
    </row>
    <row r="205" spans="17:17" ht="12.75" customHeight="1">
      <c r="Q205" s="57"/>
    </row>
    <row r="206" spans="17:17" ht="12.75" customHeight="1">
      <c r="Q206" s="57"/>
    </row>
    <row r="207" spans="17:17" ht="12.75" customHeight="1">
      <c r="Q207" s="57"/>
    </row>
    <row r="208" spans="17:17" ht="12.75" customHeight="1">
      <c r="Q208" s="57"/>
    </row>
    <row r="209" spans="17:17" ht="12.75" customHeight="1">
      <c r="Q209" s="57"/>
    </row>
    <row r="210" spans="17:17" ht="12.75" customHeight="1">
      <c r="Q210" s="57"/>
    </row>
    <row r="211" spans="17:17" ht="12.75" customHeight="1">
      <c r="Q211" s="57"/>
    </row>
    <row r="212" spans="17:17" ht="12.75" customHeight="1">
      <c r="Q212" s="57"/>
    </row>
    <row r="213" spans="17:17" ht="12.75" customHeight="1">
      <c r="Q213" s="57"/>
    </row>
    <row r="214" spans="17:17" ht="12.75" customHeight="1">
      <c r="Q214" s="57"/>
    </row>
    <row r="215" spans="17:17" ht="12.75" customHeight="1">
      <c r="Q215" s="57"/>
    </row>
    <row r="216" spans="17:17" ht="12.75" customHeight="1">
      <c r="Q216" s="57"/>
    </row>
    <row r="217" spans="17:17" ht="12.75" customHeight="1">
      <c r="Q217" s="57"/>
    </row>
    <row r="218" spans="17:17" ht="12.75" customHeight="1">
      <c r="Q218" s="57"/>
    </row>
    <row r="219" spans="17:17" ht="12.75" customHeight="1">
      <c r="Q219" s="57"/>
    </row>
    <row r="220" spans="17:17" ht="12.75" customHeight="1">
      <c r="Q220" s="57"/>
    </row>
    <row r="221" spans="17:17" ht="12.75" customHeight="1">
      <c r="Q221" s="57"/>
    </row>
    <row r="222" spans="17:17" ht="12.75" customHeight="1">
      <c r="Q222" s="57"/>
    </row>
    <row r="223" spans="17:17" ht="12.75" customHeight="1">
      <c r="Q223" s="57"/>
    </row>
    <row r="224" spans="17:17" ht="12.75" customHeight="1">
      <c r="Q224" s="57"/>
    </row>
    <row r="225" spans="17:17" ht="12.75" customHeight="1">
      <c r="Q225" s="57"/>
    </row>
    <row r="226" spans="17:17" ht="12.75" customHeight="1">
      <c r="Q226" s="57"/>
    </row>
    <row r="227" spans="17:17" ht="12.75" customHeight="1">
      <c r="Q227" s="57"/>
    </row>
    <row r="228" spans="17:17" ht="12.75" customHeight="1">
      <c r="Q228" s="57"/>
    </row>
    <row r="229" spans="17:17" ht="12.75" customHeight="1">
      <c r="Q229" s="57"/>
    </row>
    <row r="230" spans="17:17" ht="12.75" customHeight="1">
      <c r="Q230" s="57"/>
    </row>
    <row r="231" spans="17:17" ht="12.75" customHeight="1">
      <c r="Q231" s="57"/>
    </row>
    <row r="232" spans="17:17" ht="12.75" customHeight="1">
      <c r="Q232" s="57"/>
    </row>
    <row r="233" spans="17:17" ht="12.75" customHeight="1">
      <c r="Q233" s="57"/>
    </row>
    <row r="234" spans="17:17" ht="12.75" customHeight="1">
      <c r="Q234" s="57"/>
    </row>
    <row r="235" spans="17:17" ht="12.75" customHeight="1">
      <c r="Q235" s="57"/>
    </row>
    <row r="236" spans="17:17" ht="12.75" customHeight="1">
      <c r="Q236" s="57"/>
    </row>
    <row r="237" spans="17:17" ht="12.75" customHeight="1">
      <c r="Q237" s="57"/>
    </row>
    <row r="238" spans="17:17" ht="12.75" customHeight="1">
      <c r="Q238" s="57"/>
    </row>
    <row r="239" spans="17:17" ht="12.75" customHeight="1">
      <c r="Q239" s="57"/>
    </row>
    <row r="240" spans="17:17" ht="12.75" customHeight="1">
      <c r="Q240" s="57"/>
    </row>
    <row r="241" spans="17:17" ht="12.75" customHeight="1">
      <c r="Q241" s="57"/>
    </row>
    <row r="242" spans="17:17" ht="12.75" customHeight="1">
      <c r="Q242" s="57"/>
    </row>
    <row r="243" spans="17:17" ht="12.75" customHeight="1">
      <c r="Q243" s="57"/>
    </row>
    <row r="244" spans="17:17" ht="12.75" customHeight="1">
      <c r="Q244" s="57"/>
    </row>
    <row r="245" spans="17:17" ht="12.75" customHeight="1">
      <c r="Q245" s="57"/>
    </row>
    <row r="246" spans="17:17" ht="12.75" customHeight="1">
      <c r="Q246" s="57"/>
    </row>
    <row r="247" spans="17:17" ht="12.75" customHeight="1">
      <c r="Q247" s="57"/>
    </row>
    <row r="248" spans="17:17" ht="12.75" customHeight="1">
      <c r="Q248" s="57"/>
    </row>
    <row r="249" spans="17:17" ht="12.75" customHeight="1">
      <c r="Q249" s="57"/>
    </row>
    <row r="250" spans="17:17" ht="12.75" customHeight="1">
      <c r="Q250" s="57"/>
    </row>
    <row r="251" spans="17:17" ht="12.75" customHeight="1">
      <c r="Q251" s="57"/>
    </row>
    <row r="252" spans="17:17" ht="12.75" customHeight="1">
      <c r="Q252" s="57"/>
    </row>
    <row r="253" spans="17:17" ht="12.75" customHeight="1">
      <c r="Q253" s="57"/>
    </row>
    <row r="254" spans="17:17" ht="12.75" customHeight="1">
      <c r="Q254" s="57"/>
    </row>
    <row r="255" spans="17:17" ht="12.75" customHeight="1">
      <c r="Q255" s="57"/>
    </row>
    <row r="256" spans="17:17" ht="12.75" customHeight="1">
      <c r="Q256" s="57"/>
    </row>
    <row r="257" spans="17:17" ht="12.75" customHeight="1">
      <c r="Q257" s="57"/>
    </row>
    <row r="258" spans="17:17" ht="12.75" customHeight="1">
      <c r="Q258" s="57"/>
    </row>
    <row r="259" spans="17:17" ht="12.75" customHeight="1">
      <c r="Q259" s="57"/>
    </row>
    <row r="260" spans="17:17" ht="12.75" customHeight="1">
      <c r="Q260" s="57"/>
    </row>
    <row r="261" spans="17:17" ht="12.75" customHeight="1">
      <c r="Q261" s="57"/>
    </row>
    <row r="262" spans="17:17" ht="12.75" customHeight="1">
      <c r="Q262" s="57"/>
    </row>
    <row r="263" spans="17:17" ht="12.75" customHeight="1">
      <c r="Q263" s="57"/>
    </row>
    <row r="264" spans="17:17" ht="12.75" customHeight="1">
      <c r="Q264" s="57"/>
    </row>
    <row r="265" spans="17:17" ht="12.75" customHeight="1">
      <c r="Q265" s="57"/>
    </row>
    <row r="266" spans="17:17" ht="12.75" customHeight="1">
      <c r="Q266" s="57"/>
    </row>
    <row r="267" spans="17:17" ht="12.75" customHeight="1">
      <c r="Q267" s="57"/>
    </row>
    <row r="268" spans="17:17" ht="12.75" customHeight="1">
      <c r="Q268" s="57"/>
    </row>
    <row r="269" spans="17:17" ht="12.75" customHeight="1">
      <c r="Q269" s="57"/>
    </row>
    <row r="270" spans="17:17" ht="12.75" customHeight="1">
      <c r="Q270" s="57"/>
    </row>
    <row r="271" spans="17:17" ht="12.75" customHeight="1">
      <c r="Q271" s="57"/>
    </row>
    <row r="272" spans="17:17" ht="12.75" customHeight="1">
      <c r="Q272" s="57"/>
    </row>
    <row r="273" spans="17:17" ht="12.75" customHeight="1">
      <c r="Q273" s="57"/>
    </row>
    <row r="274" spans="17:17" ht="12.75" customHeight="1">
      <c r="Q274" s="57"/>
    </row>
    <row r="275" spans="17:17" ht="12.75" customHeight="1">
      <c r="Q275" s="57"/>
    </row>
    <row r="276" spans="17:17" ht="12.75" customHeight="1">
      <c r="Q276" s="57"/>
    </row>
    <row r="277" spans="17:17" ht="12.75" customHeight="1">
      <c r="Q277" s="57"/>
    </row>
    <row r="278" spans="17:17" ht="12.75" customHeight="1">
      <c r="Q278" s="57"/>
    </row>
    <row r="279" spans="17:17" ht="12.75" customHeight="1">
      <c r="Q279" s="57"/>
    </row>
    <row r="280" spans="17:17" ht="12.75" customHeight="1">
      <c r="Q280" s="57"/>
    </row>
    <row r="281" spans="17:17" ht="12.75" customHeight="1">
      <c r="Q281" s="57"/>
    </row>
    <row r="282" spans="17:17" ht="12.75" customHeight="1">
      <c r="Q282" s="57"/>
    </row>
    <row r="283" spans="17:17" ht="12.75" customHeight="1">
      <c r="Q283" s="57"/>
    </row>
    <row r="284" spans="17:17" ht="12.75" customHeight="1">
      <c r="Q284" s="57"/>
    </row>
    <row r="285" spans="17:17" ht="12.75" customHeight="1">
      <c r="Q285" s="57"/>
    </row>
    <row r="286" spans="17:17" ht="12.75" customHeight="1">
      <c r="Q286" s="57"/>
    </row>
    <row r="287" spans="17:17" ht="12.75" customHeight="1">
      <c r="Q287" s="57"/>
    </row>
    <row r="288" spans="17:17" ht="12.75" customHeight="1">
      <c r="Q288" s="57"/>
    </row>
    <row r="289" spans="17:17" ht="12.75" customHeight="1">
      <c r="Q289" s="57"/>
    </row>
    <row r="290" spans="17:17" ht="12.75" customHeight="1">
      <c r="Q290" s="57"/>
    </row>
    <row r="291" spans="17:17" ht="12.75" customHeight="1">
      <c r="Q291" s="57"/>
    </row>
    <row r="292" spans="17:17" ht="12.75" customHeight="1">
      <c r="Q292" s="57"/>
    </row>
    <row r="293" spans="17:17" ht="12.75" customHeight="1">
      <c r="Q293" s="57"/>
    </row>
    <row r="294" spans="17:17" ht="12.75" customHeight="1">
      <c r="Q294" s="57"/>
    </row>
    <row r="295" spans="17:17" ht="12.75" customHeight="1">
      <c r="Q295" s="57"/>
    </row>
    <row r="296" spans="17:17" ht="12.75" customHeight="1">
      <c r="Q296" s="57"/>
    </row>
    <row r="297" spans="17:17" ht="12.75" customHeight="1">
      <c r="Q297" s="57"/>
    </row>
    <row r="298" spans="17:17" ht="12.75" customHeight="1">
      <c r="Q298" s="57"/>
    </row>
    <row r="299" spans="17:17" ht="12.75" customHeight="1">
      <c r="Q299" s="57"/>
    </row>
    <row r="300" spans="17:17" ht="12.75" customHeight="1">
      <c r="Q300" s="57"/>
    </row>
    <row r="301" spans="17:17" ht="12.75" customHeight="1">
      <c r="Q301" s="57"/>
    </row>
    <row r="302" spans="17:17" ht="12.75" customHeight="1">
      <c r="Q302" s="57"/>
    </row>
    <row r="303" spans="17:17" ht="12.75" customHeight="1">
      <c r="Q303" s="57"/>
    </row>
    <row r="304" spans="17:17" ht="12.75" customHeight="1">
      <c r="Q304" s="57"/>
    </row>
    <row r="305" spans="17:17" ht="12.75" customHeight="1">
      <c r="Q305" s="57"/>
    </row>
    <row r="306" spans="17:17" ht="12.75" customHeight="1">
      <c r="Q306" s="57"/>
    </row>
    <row r="307" spans="17:17" ht="12.75" customHeight="1">
      <c r="Q307" s="57"/>
    </row>
    <row r="308" spans="17:17" ht="12.75" customHeight="1">
      <c r="Q308" s="57"/>
    </row>
    <row r="309" spans="17:17" ht="12.75" customHeight="1">
      <c r="Q309" s="57"/>
    </row>
    <row r="310" spans="17:17" ht="12.75" customHeight="1">
      <c r="Q310" s="57"/>
    </row>
    <row r="311" spans="17:17" ht="12.75" customHeight="1">
      <c r="Q311" s="57"/>
    </row>
    <row r="312" spans="17:17" ht="12.75" customHeight="1">
      <c r="Q312" s="57"/>
    </row>
    <row r="313" spans="17:17" ht="12.75" customHeight="1">
      <c r="Q313" s="57"/>
    </row>
    <row r="314" spans="17:17" ht="12.75" customHeight="1">
      <c r="Q314" s="57"/>
    </row>
    <row r="315" spans="17:17" ht="12.75" customHeight="1">
      <c r="Q315" s="57"/>
    </row>
    <row r="316" spans="17:17" ht="12.75" customHeight="1">
      <c r="Q316" s="57"/>
    </row>
    <row r="317" spans="17:17" ht="12.75" customHeight="1">
      <c r="Q317" s="57"/>
    </row>
    <row r="318" spans="17:17" ht="12.75" customHeight="1">
      <c r="Q318" s="57"/>
    </row>
    <row r="319" spans="17:17" ht="12.75" customHeight="1">
      <c r="Q319" s="57"/>
    </row>
    <row r="320" spans="17:17" ht="12.75" customHeight="1">
      <c r="Q320" s="57"/>
    </row>
    <row r="321" spans="17:17" ht="12.75" customHeight="1">
      <c r="Q321" s="57"/>
    </row>
    <row r="322" spans="17:17" ht="12.75" customHeight="1">
      <c r="Q322" s="57"/>
    </row>
    <row r="323" spans="17:17" ht="12.75" customHeight="1">
      <c r="Q323" s="57"/>
    </row>
    <row r="324" spans="17:17" ht="12.75" customHeight="1">
      <c r="Q324" s="57"/>
    </row>
    <row r="325" spans="17:17" ht="12.75" customHeight="1">
      <c r="Q325" s="57"/>
    </row>
    <row r="326" spans="17:17" ht="12.75" customHeight="1">
      <c r="Q326" s="57"/>
    </row>
    <row r="327" spans="17:17" ht="12.75" customHeight="1">
      <c r="Q327" s="57"/>
    </row>
    <row r="328" spans="17:17" ht="12.75" customHeight="1">
      <c r="Q328" s="57"/>
    </row>
    <row r="329" spans="17:17" ht="12.75" customHeight="1">
      <c r="Q329" s="57"/>
    </row>
    <row r="330" spans="17:17" ht="12.75" customHeight="1">
      <c r="Q330" s="57"/>
    </row>
    <row r="331" spans="17:17" ht="12.75" customHeight="1">
      <c r="Q331" s="57"/>
    </row>
    <row r="332" spans="17:17" ht="12.75" customHeight="1">
      <c r="Q332" s="57"/>
    </row>
    <row r="333" spans="17:17" ht="12.75" customHeight="1">
      <c r="Q333" s="57"/>
    </row>
    <row r="334" spans="17:17" ht="12.75" customHeight="1">
      <c r="Q334" s="57"/>
    </row>
    <row r="335" spans="17:17" ht="12.75" customHeight="1">
      <c r="Q335" s="57"/>
    </row>
    <row r="336" spans="17:17" ht="12.75" customHeight="1">
      <c r="Q336" s="57"/>
    </row>
    <row r="337" spans="17:17" ht="12.75" customHeight="1">
      <c r="Q337" s="57"/>
    </row>
    <row r="338" spans="17:17" ht="12.75" customHeight="1">
      <c r="Q338" s="57"/>
    </row>
    <row r="339" spans="17:17" ht="12.75" customHeight="1">
      <c r="Q339" s="57"/>
    </row>
    <row r="340" spans="17:17" ht="12.75" customHeight="1">
      <c r="Q340" s="57"/>
    </row>
    <row r="341" spans="17:17" ht="12.75" customHeight="1">
      <c r="Q341" s="57"/>
    </row>
    <row r="342" spans="17:17" ht="12.75" customHeight="1">
      <c r="Q342" s="57"/>
    </row>
    <row r="343" spans="17:17" ht="12.75" customHeight="1">
      <c r="Q343" s="57"/>
    </row>
    <row r="344" spans="17:17" ht="12.75" customHeight="1">
      <c r="Q344" s="57"/>
    </row>
    <row r="345" spans="17:17" ht="12.75" customHeight="1">
      <c r="Q345" s="57"/>
    </row>
    <row r="346" spans="17:17" ht="12.75" customHeight="1">
      <c r="Q346" s="57"/>
    </row>
    <row r="347" spans="17:17" ht="12.75" customHeight="1">
      <c r="Q347" s="57"/>
    </row>
    <row r="348" spans="17:17" ht="12.75" customHeight="1">
      <c r="Q348" s="57"/>
    </row>
    <row r="349" spans="17:17" ht="12.75" customHeight="1">
      <c r="Q349" s="57"/>
    </row>
    <row r="350" spans="17:17" ht="12.75" customHeight="1">
      <c r="Q350" s="57"/>
    </row>
    <row r="351" spans="17:17" ht="12.75" customHeight="1">
      <c r="Q351" s="57"/>
    </row>
    <row r="352" spans="17:17" ht="12.75" customHeight="1">
      <c r="Q352" s="57"/>
    </row>
    <row r="353" spans="17:17" ht="12.75" customHeight="1">
      <c r="Q353" s="57"/>
    </row>
    <row r="354" spans="17:17" ht="12.75" customHeight="1">
      <c r="Q354" s="57"/>
    </row>
    <row r="355" spans="17:17" ht="12.75" customHeight="1">
      <c r="Q355" s="57"/>
    </row>
    <row r="356" spans="17:17" ht="12.75" customHeight="1">
      <c r="Q356" s="57"/>
    </row>
    <row r="357" spans="17:17" ht="12.75" customHeight="1">
      <c r="Q357" s="57"/>
    </row>
    <row r="358" spans="17:17" ht="12.75" customHeight="1">
      <c r="Q358" s="57"/>
    </row>
    <row r="359" spans="17:17" ht="12.75" customHeight="1">
      <c r="Q359" s="57"/>
    </row>
    <row r="360" spans="17:17" ht="12.75" customHeight="1">
      <c r="Q360" s="57"/>
    </row>
    <row r="361" spans="17:17" ht="12.75" customHeight="1">
      <c r="Q361" s="57"/>
    </row>
    <row r="362" spans="17:17" ht="12.75" customHeight="1">
      <c r="Q362" s="57"/>
    </row>
    <row r="363" spans="17:17" ht="12.75" customHeight="1">
      <c r="Q363" s="57"/>
    </row>
    <row r="364" spans="17:17" ht="12.75" customHeight="1">
      <c r="Q364" s="57"/>
    </row>
    <row r="365" spans="17:17" ht="12.75" customHeight="1">
      <c r="Q365" s="57"/>
    </row>
    <row r="366" spans="17:17" ht="12.75" customHeight="1">
      <c r="Q366" s="57"/>
    </row>
    <row r="367" spans="17:17" ht="12.75" customHeight="1">
      <c r="Q367" s="57"/>
    </row>
    <row r="368" spans="17:17" ht="12.75" customHeight="1">
      <c r="Q368" s="57"/>
    </row>
    <row r="369" spans="17:17" ht="12.75" customHeight="1">
      <c r="Q369" s="57"/>
    </row>
    <row r="370" spans="17:17" ht="12.75" customHeight="1">
      <c r="Q370" s="57"/>
    </row>
    <row r="371" spans="17:17" ht="12.75" customHeight="1">
      <c r="Q371" s="57"/>
    </row>
    <row r="372" spans="17:17" ht="12.75" customHeight="1">
      <c r="Q372" s="57"/>
    </row>
    <row r="373" spans="17:17" ht="12.75" customHeight="1">
      <c r="Q373" s="57"/>
    </row>
    <row r="374" spans="17:17" ht="12.75" customHeight="1">
      <c r="Q374" s="57"/>
    </row>
    <row r="375" spans="17:17" ht="12.75" customHeight="1">
      <c r="Q375" s="57"/>
    </row>
    <row r="376" spans="17:17" ht="12.75" customHeight="1">
      <c r="Q376" s="57"/>
    </row>
    <row r="377" spans="17:17" ht="12.75" customHeight="1">
      <c r="Q377" s="57"/>
    </row>
    <row r="378" spans="17:17" ht="12.75" customHeight="1">
      <c r="Q378" s="57"/>
    </row>
    <row r="379" spans="17:17" ht="12.75" customHeight="1">
      <c r="Q379" s="57"/>
    </row>
    <row r="380" spans="17:17" ht="12.75" customHeight="1">
      <c r="Q380" s="57"/>
    </row>
    <row r="381" spans="17:17" ht="12.75" customHeight="1">
      <c r="Q381" s="57"/>
    </row>
    <row r="382" spans="17:17" ht="12.75" customHeight="1">
      <c r="Q382" s="57"/>
    </row>
    <row r="383" spans="17:17" ht="12.75" customHeight="1">
      <c r="Q383" s="57"/>
    </row>
    <row r="384" spans="17:17" ht="12.75" customHeight="1">
      <c r="Q384" s="57"/>
    </row>
    <row r="385" spans="17:17" ht="12.75" customHeight="1">
      <c r="Q385" s="57"/>
    </row>
    <row r="386" spans="17:17" ht="12.75" customHeight="1">
      <c r="Q386" s="57"/>
    </row>
    <row r="387" spans="17:17" ht="12.75" customHeight="1">
      <c r="Q387" s="57"/>
    </row>
    <row r="388" spans="17:17" ht="12.75" customHeight="1">
      <c r="Q388" s="57"/>
    </row>
    <row r="389" spans="17:17" ht="12.75" customHeight="1">
      <c r="Q389" s="57"/>
    </row>
    <row r="390" spans="17:17" ht="12.75" customHeight="1">
      <c r="Q390" s="57"/>
    </row>
    <row r="391" spans="17:17" ht="12.75" customHeight="1">
      <c r="Q391" s="57"/>
    </row>
    <row r="392" spans="17:17" ht="12.75" customHeight="1">
      <c r="Q392" s="57"/>
    </row>
    <row r="393" spans="17:17" ht="12.75" customHeight="1">
      <c r="Q393" s="57"/>
    </row>
    <row r="394" spans="17:17" ht="12.75" customHeight="1">
      <c r="Q394" s="57"/>
    </row>
    <row r="395" spans="17:17" ht="12.75" customHeight="1">
      <c r="Q395" s="57"/>
    </row>
    <row r="396" spans="17:17" ht="12.75" customHeight="1">
      <c r="Q396" s="57"/>
    </row>
    <row r="397" spans="17:17" ht="12.75" customHeight="1">
      <c r="Q397" s="57"/>
    </row>
    <row r="398" spans="17:17" ht="12.75" customHeight="1">
      <c r="Q398" s="57"/>
    </row>
    <row r="399" spans="17:17" ht="12.75" customHeight="1">
      <c r="Q399" s="57"/>
    </row>
    <row r="400" spans="17:17" ht="12.75" customHeight="1">
      <c r="Q400" s="57"/>
    </row>
    <row r="401" spans="17:17" ht="12.75" customHeight="1">
      <c r="Q401" s="57"/>
    </row>
    <row r="402" spans="17:17" ht="12.75" customHeight="1">
      <c r="Q402" s="57"/>
    </row>
    <row r="403" spans="17:17" ht="12.75" customHeight="1">
      <c r="Q403" s="57"/>
    </row>
    <row r="404" spans="17:17" ht="12.75" customHeight="1">
      <c r="Q404" s="57"/>
    </row>
    <row r="405" spans="17:17" ht="12.75" customHeight="1">
      <c r="Q405" s="57"/>
    </row>
    <row r="406" spans="17:17" ht="12.75" customHeight="1">
      <c r="Q406" s="57"/>
    </row>
    <row r="407" spans="17:17" ht="12.75" customHeight="1">
      <c r="Q407" s="57"/>
    </row>
    <row r="408" spans="17:17" ht="12.75" customHeight="1">
      <c r="Q408" s="57"/>
    </row>
    <row r="409" spans="17:17" ht="12.75" customHeight="1">
      <c r="Q409" s="57"/>
    </row>
    <row r="410" spans="17:17" ht="12.75" customHeight="1">
      <c r="Q410" s="57"/>
    </row>
    <row r="411" spans="17:17" ht="12.75" customHeight="1">
      <c r="Q411" s="57"/>
    </row>
    <row r="412" spans="17:17" ht="12.75" customHeight="1">
      <c r="Q412" s="57"/>
    </row>
    <row r="413" spans="17:17" ht="12.75" customHeight="1">
      <c r="Q413" s="57"/>
    </row>
    <row r="414" spans="17:17" ht="12.75" customHeight="1">
      <c r="Q414" s="57"/>
    </row>
    <row r="415" spans="17:17" ht="12.75" customHeight="1">
      <c r="Q415" s="57"/>
    </row>
    <row r="416" spans="17:17" ht="12.75" customHeight="1">
      <c r="Q416" s="57"/>
    </row>
    <row r="417" spans="17:17" ht="12.75" customHeight="1">
      <c r="Q417" s="57"/>
    </row>
    <row r="418" spans="17:17" ht="12.75" customHeight="1">
      <c r="Q418" s="57"/>
    </row>
    <row r="419" spans="17:17" ht="12.75" customHeight="1">
      <c r="Q419" s="57"/>
    </row>
    <row r="420" spans="17:17" ht="12.75" customHeight="1">
      <c r="Q420" s="57"/>
    </row>
    <row r="421" spans="17:17" ht="12.75" customHeight="1">
      <c r="Q421" s="57"/>
    </row>
    <row r="422" spans="17:17" ht="12.75" customHeight="1">
      <c r="Q422" s="57"/>
    </row>
    <row r="423" spans="17:17" ht="12.75" customHeight="1">
      <c r="Q423" s="57"/>
    </row>
    <row r="424" spans="17:17" ht="12.75" customHeight="1">
      <c r="Q424" s="57"/>
    </row>
    <row r="425" spans="17:17" ht="12.75" customHeight="1">
      <c r="Q425" s="57"/>
    </row>
    <row r="426" spans="17:17" ht="12.75" customHeight="1">
      <c r="Q426" s="57"/>
    </row>
    <row r="427" spans="17:17" ht="12.75" customHeight="1">
      <c r="Q427" s="57"/>
    </row>
    <row r="428" spans="17:17" ht="12.75" customHeight="1">
      <c r="Q428" s="57"/>
    </row>
    <row r="429" spans="17:17" ht="12.75" customHeight="1">
      <c r="Q429" s="57"/>
    </row>
    <row r="430" spans="17:17" ht="12.75" customHeight="1">
      <c r="Q430" s="57"/>
    </row>
    <row r="431" spans="17:17" ht="12.75" customHeight="1">
      <c r="Q431" s="57"/>
    </row>
    <row r="432" spans="17:17" ht="12.75" customHeight="1">
      <c r="Q432" s="57"/>
    </row>
    <row r="433" spans="17:17" ht="12.75" customHeight="1">
      <c r="Q433" s="57"/>
    </row>
    <row r="434" spans="17:17" ht="12.75" customHeight="1">
      <c r="Q434" s="57"/>
    </row>
    <row r="435" spans="17:17" ht="12.75" customHeight="1">
      <c r="Q435" s="57"/>
    </row>
    <row r="436" spans="17:17" ht="12.75" customHeight="1">
      <c r="Q436" s="57"/>
    </row>
    <row r="437" spans="17:17" ht="12.75" customHeight="1">
      <c r="Q437" s="57"/>
    </row>
    <row r="438" spans="17:17" ht="12.75" customHeight="1">
      <c r="Q438" s="57"/>
    </row>
    <row r="439" spans="17:17" ht="12.75" customHeight="1">
      <c r="Q439" s="57"/>
    </row>
    <row r="440" spans="17:17" ht="12.75" customHeight="1">
      <c r="Q440" s="57"/>
    </row>
    <row r="441" spans="17:17" ht="12.75" customHeight="1">
      <c r="Q441" s="57"/>
    </row>
    <row r="442" spans="17:17" ht="12.75" customHeight="1">
      <c r="Q442" s="57"/>
    </row>
    <row r="443" spans="17:17" ht="12.75" customHeight="1">
      <c r="Q443" s="57"/>
    </row>
    <row r="444" spans="17:17" ht="12.75" customHeight="1">
      <c r="Q444" s="57"/>
    </row>
    <row r="445" spans="17:17" ht="12.75" customHeight="1">
      <c r="Q445" s="57"/>
    </row>
    <row r="446" spans="17:17" ht="12.75" customHeight="1">
      <c r="Q446" s="57"/>
    </row>
    <row r="447" spans="17:17" ht="12.75" customHeight="1">
      <c r="Q447" s="57"/>
    </row>
    <row r="448" spans="17:17" ht="12.75" customHeight="1">
      <c r="Q448" s="57"/>
    </row>
    <row r="449" spans="17:17" ht="12.75" customHeight="1">
      <c r="Q449" s="57"/>
    </row>
    <row r="450" spans="17:17" ht="12.75" customHeight="1">
      <c r="Q450" s="57"/>
    </row>
    <row r="451" spans="17:17" ht="12.75" customHeight="1">
      <c r="Q451" s="57"/>
    </row>
    <row r="452" spans="17:17" ht="12.75" customHeight="1">
      <c r="Q452" s="57"/>
    </row>
    <row r="453" spans="17:17" ht="12.75" customHeight="1">
      <c r="Q453" s="57"/>
    </row>
    <row r="454" spans="17:17" ht="12.75" customHeight="1">
      <c r="Q454" s="57"/>
    </row>
    <row r="455" spans="17:17" ht="12.75" customHeight="1">
      <c r="Q455" s="57"/>
    </row>
    <row r="456" spans="17:17" ht="12.75" customHeight="1">
      <c r="Q456" s="57"/>
    </row>
    <row r="457" spans="17:17" ht="12.75" customHeight="1">
      <c r="Q457" s="57"/>
    </row>
    <row r="458" spans="17:17" ht="12.75" customHeight="1">
      <c r="Q458" s="57"/>
    </row>
    <row r="459" spans="17:17" ht="12.75" customHeight="1">
      <c r="Q459" s="57"/>
    </row>
    <row r="460" spans="17:17" ht="12.75" customHeight="1">
      <c r="Q460" s="57"/>
    </row>
    <row r="461" spans="17:17" ht="12.75" customHeight="1">
      <c r="Q461" s="57"/>
    </row>
    <row r="462" spans="17:17" ht="12.75" customHeight="1">
      <c r="Q462" s="57"/>
    </row>
    <row r="463" spans="17:17" ht="12.75" customHeight="1">
      <c r="Q463" s="57"/>
    </row>
    <row r="464" spans="17:17" ht="12.75" customHeight="1">
      <c r="Q464" s="57"/>
    </row>
    <row r="465" spans="17:17" ht="12.75" customHeight="1">
      <c r="Q465" s="57"/>
    </row>
    <row r="466" spans="17:17" ht="12.75" customHeight="1">
      <c r="Q466" s="57"/>
    </row>
    <row r="467" spans="17:17" ht="12.75" customHeight="1">
      <c r="Q467" s="57"/>
    </row>
    <row r="468" spans="17:17" ht="12.75" customHeight="1">
      <c r="Q468" s="57"/>
    </row>
    <row r="469" spans="17:17" ht="12.75" customHeight="1">
      <c r="Q469" s="57"/>
    </row>
    <row r="470" spans="17:17" ht="12.75" customHeight="1">
      <c r="Q470" s="57"/>
    </row>
    <row r="471" spans="17:17" ht="12.75" customHeight="1">
      <c r="Q471" s="57"/>
    </row>
    <row r="472" spans="17:17" ht="12.75" customHeight="1">
      <c r="Q472" s="57"/>
    </row>
    <row r="473" spans="17:17" ht="12.75" customHeight="1">
      <c r="Q473" s="57"/>
    </row>
    <row r="474" spans="17:17" ht="12.75" customHeight="1">
      <c r="Q474" s="57"/>
    </row>
    <row r="475" spans="17:17" ht="12.75" customHeight="1">
      <c r="Q475" s="57"/>
    </row>
    <row r="476" spans="17:17" ht="12.75" customHeight="1">
      <c r="Q476" s="57"/>
    </row>
    <row r="477" spans="17:17" ht="12.75" customHeight="1">
      <c r="Q477" s="57"/>
    </row>
    <row r="478" spans="17:17" ht="12.75" customHeight="1">
      <c r="Q478" s="57"/>
    </row>
    <row r="479" spans="17:17" ht="12.75" customHeight="1">
      <c r="Q479" s="57"/>
    </row>
    <row r="480" spans="17:17" ht="12.75" customHeight="1">
      <c r="Q480" s="57"/>
    </row>
    <row r="481" spans="17:17" ht="12.75" customHeight="1">
      <c r="Q481" s="57"/>
    </row>
    <row r="482" spans="17:17" ht="12.75" customHeight="1">
      <c r="Q482" s="57"/>
    </row>
    <row r="483" spans="17:17" ht="12.75" customHeight="1">
      <c r="Q483" s="57"/>
    </row>
    <row r="484" spans="17:17" ht="12.75" customHeight="1">
      <c r="Q484" s="57"/>
    </row>
    <row r="485" spans="17:17" ht="12.75" customHeight="1">
      <c r="Q485" s="57"/>
    </row>
    <row r="486" spans="17:17" ht="12.75" customHeight="1">
      <c r="Q486" s="57"/>
    </row>
    <row r="487" spans="17:17" ht="12.75" customHeight="1">
      <c r="Q487" s="57"/>
    </row>
    <row r="488" spans="17:17" ht="12.75" customHeight="1">
      <c r="Q488" s="57"/>
    </row>
    <row r="489" spans="17:17" ht="12.75" customHeight="1">
      <c r="Q489" s="57"/>
    </row>
    <row r="490" spans="17:17" ht="12.75" customHeight="1">
      <c r="Q490" s="57"/>
    </row>
    <row r="491" spans="17:17" ht="12.75" customHeight="1">
      <c r="Q491" s="57"/>
    </row>
    <row r="492" spans="17:17" ht="12.75" customHeight="1">
      <c r="Q492" s="57"/>
    </row>
    <row r="493" spans="17:17" ht="12.75" customHeight="1">
      <c r="Q493" s="57"/>
    </row>
    <row r="494" spans="17:17" ht="12.75" customHeight="1">
      <c r="Q494" s="57"/>
    </row>
    <row r="495" spans="17:17" ht="12.75" customHeight="1">
      <c r="Q495" s="57"/>
    </row>
    <row r="496" spans="17:17" ht="12.75" customHeight="1">
      <c r="Q496" s="57"/>
    </row>
    <row r="497" spans="17:17" ht="12.75" customHeight="1">
      <c r="Q497" s="57"/>
    </row>
    <row r="498" spans="17:17" ht="12.75" customHeight="1">
      <c r="Q498" s="57"/>
    </row>
    <row r="499" spans="17:17" ht="12.75" customHeight="1">
      <c r="Q499" s="57"/>
    </row>
    <row r="500" spans="17:17" ht="12.75" customHeight="1">
      <c r="Q500" s="57"/>
    </row>
    <row r="501" spans="17:17" ht="12.75" customHeight="1">
      <c r="Q501" s="57"/>
    </row>
    <row r="502" spans="17:17" ht="12.75" customHeight="1">
      <c r="Q502" s="57"/>
    </row>
    <row r="503" spans="17:17" ht="12.75" customHeight="1">
      <c r="Q503" s="57"/>
    </row>
    <row r="504" spans="17:17" ht="12.75" customHeight="1">
      <c r="Q504" s="57"/>
    </row>
    <row r="505" spans="17:17" ht="12.75" customHeight="1">
      <c r="Q505" s="57"/>
    </row>
    <row r="506" spans="17:17" ht="12.75" customHeight="1">
      <c r="Q506" s="57"/>
    </row>
    <row r="507" spans="17:17" ht="12.75" customHeight="1">
      <c r="Q507" s="57"/>
    </row>
    <row r="508" spans="17:17" ht="12.75" customHeight="1">
      <c r="Q508" s="57"/>
    </row>
    <row r="509" spans="17:17" ht="12.75" customHeight="1">
      <c r="Q509" s="57"/>
    </row>
    <row r="510" spans="17:17" ht="12.75" customHeight="1">
      <c r="Q510" s="57"/>
    </row>
    <row r="511" spans="17:17" ht="12.75" customHeight="1">
      <c r="Q511" s="57"/>
    </row>
    <row r="512" spans="17:17" ht="12.75" customHeight="1">
      <c r="Q512" s="57"/>
    </row>
    <row r="513" spans="17:17" ht="12.75" customHeight="1">
      <c r="Q513" s="57"/>
    </row>
    <row r="514" spans="17:17" ht="12.75" customHeight="1">
      <c r="Q514" s="57"/>
    </row>
    <row r="515" spans="17:17" ht="12.75" customHeight="1">
      <c r="Q515" s="57"/>
    </row>
    <row r="516" spans="17:17" ht="12.75" customHeight="1">
      <c r="Q516" s="57"/>
    </row>
    <row r="517" spans="17:17" ht="12.75" customHeight="1">
      <c r="Q517" s="57"/>
    </row>
    <row r="518" spans="17:17" ht="12.75" customHeight="1">
      <c r="Q518" s="57"/>
    </row>
    <row r="519" spans="17:17" ht="12.75" customHeight="1">
      <c r="Q519" s="57"/>
    </row>
    <row r="520" spans="17:17" ht="12.75" customHeight="1">
      <c r="Q520" s="57"/>
    </row>
    <row r="521" spans="17:17" ht="12.75" customHeight="1">
      <c r="Q521" s="57"/>
    </row>
    <row r="522" spans="17:17" ht="12.75" customHeight="1">
      <c r="Q522" s="57"/>
    </row>
    <row r="523" spans="17:17" ht="12.75" customHeight="1">
      <c r="Q523" s="57"/>
    </row>
    <row r="524" spans="17:17" ht="12.75" customHeight="1">
      <c r="Q524" s="57"/>
    </row>
    <row r="525" spans="17:17" ht="12.75" customHeight="1">
      <c r="Q525" s="57"/>
    </row>
    <row r="526" spans="17:17" ht="12.75" customHeight="1">
      <c r="Q526" s="57"/>
    </row>
    <row r="527" spans="17:17" ht="12.75" customHeight="1">
      <c r="Q527" s="57"/>
    </row>
    <row r="528" spans="17:17" ht="12.75" customHeight="1">
      <c r="Q528" s="57"/>
    </row>
    <row r="529" spans="17:17" ht="12.75" customHeight="1">
      <c r="Q529" s="57"/>
    </row>
    <row r="530" spans="17:17" ht="12.75" customHeight="1">
      <c r="Q530" s="57"/>
    </row>
    <row r="531" spans="17:17" ht="12.75" customHeight="1">
      <c r="Q531" s="57"/>
    </row>
    <row r="532" spans="17:17" ht="12.75" customHeight="1">
      <c r="Q532" s="57"/>
    </row>
    <row r="533" spans="17:17" ht="12.75" customHeight="1">
      <c r="Q533" s="57"/>
    </row>
    <row r="534" spans="17:17" ht="12.75" customHeight="1">
      <c r="Q534" s="57"/>
    </row>
    <row r="535" spans="17:17" ht="12.75" customHeight="1">
      <c r="Q535" s="57"/>
    </row>
    <row r="536" spans="17:17" ht="12.75" customHeight="1">
      <c r="Q536" s="57"/>
    </row>
    <row r="537" spans="17:17" ht="12.75" customHeight="1">
      <c r="Q537" s="57"/>
    </row>
    <row r="538" spans="17:17" ht="12.75" customHeight="1">
      <c r="Q538" s="57"/>
    </row>
    <row r="539" spans="17:17" ht="12.75" customHeight="1">
      <c r="Q539" s="57"/>
    </row>
    <row r="540" spans="17:17" ht="12.75" customHeight="1">
      <c r="Q540" s="57"/>
    </row>
    <row r="541" spans="17:17" ht="12.75" customHeight="1">
      <c r="Q541" s="57"/>
    </row>
    <row r="542" spans="17:17" ht="12.75" customHeight="1">
      <c r="Q542" s="57"/>
    </row>
    <row r="543" spans="17:17" ht="12.75" customHeight="1">
      <c r="Q543" s="57"/>
    </row>
    <row r="544" spans="17:17" ht="12.75" customHeight="1">
      <c r="Q544" s="57"/>
    </row>
    <row r="545" spans="17:17" ht="12.75" customHeight="1">
      <c r="Q545" s="57"/>
    </row>
    <row r="546" spans="17:17" ht="12.75" customHeight="1">
      <c r="Q546" s="57"/>
    </row>
    <row r="547" spans="17:17" ht="12.75" customHeight="1">
      <c r="Q547" s="57"/>
    </row>
    <row r="548" spans="17:17" ht="12.75" customHeight="1">
      <c r="Q548" s="57"/>
    </row>
    <row r="549" spans="17:17" ht="12.75" customHeight="1">
      <c r="Q549" s="57"/>
    </row>
    <row r="550" spans="17:17" ht="12.75" customHeight="1">
      <c r="Q550" s="57"/>
    </row>
    <row r="551" spans="17:17" ht="12.75" customHeight="1">
      <c r="Q551" s="57"/>
    </row>
    <row r="552" spans="17:17" ht="12.75" customHeight="1">
      <c r="Q552" s="57"/>
    </row>
    <row r="553" spans="17:17" ht="12.75" customHeight="1">
      <c r="Q553" s="57"/>
    </row>
    <row r="554" spans="17:17" ht="12.75" customHeight="1">
      <c r="Q554" s="57"/>
    </row>
    <row r="555" spans="17:17" ht="12.75" customHeight="1">
      <c r="Q555" s="57"/>
    </row>
    <row r="556" spans="17:17" ht="12.75" customHeight="1">
      <c r="Q556" s="57"/>
    </row>
    <row r="557" spans="17:17" ht="12.75" customHeight="1">
      <c r="Q557" s="57"/>
    </row>
    <row r="558" spans="17:17" ht="12.75" customHeight="1">
      <c r="Q558" s="57"/>
    </row>
    <row r="559" spans="17:17" ht="12.75" customHeight="1">
      <c r="Q559" s="57"/>
    </row>
    <row r="560" spans="17:17" ht="12.75" customHeight="1">
      <c r="Q560" s="57"/>
    </row>
    <row r="561" spans="17:17" ht="12.75" customHeight="1">
      <c r="Q561" s="57"/>
    </row>
    <row r="562" spans="17:17" ht="12.75" customHeight="1">
      <c r="Q562" s="57"/>
    </row>
    <row r="563" spans="17:17" ht="12.75" customHeight="1">
      <c r="Q563" s="57"/>
    </row>
    <row r="564" spans="17:17" ht="12.75" customHeight="1">
      <c r="Q564" s="57"/>
    </row>
    <row r="565" spans="17:17" ht="12.75" customHeight="1">
      <c r="Q565" s="57"/>
    </row>
    <row r="566" spans="17:17" ht="12.75" customHeight="1">
      <c r="Q566" s="57"/>
    </row>
    <row r="567" spans="17:17" ht="12.75" customHeight="1">
      <c r="Q567" s="57"/>
    </row>
    <row r="568" spans="17:17" ht="12.75" customHeight="1">
      <c r="Q568" s="57"/>
    </row>
    <row r="569" spans="17:17" ht="12.75" customHeight="1">
      <c r="Q569" s="57"/>
    </row>
    <row r="570" spans="17:17" ht="12.75" customHeight="1">
      <c r="Q570" s="57"/>
    </row>
    <row r="571" spans="17:17" ht="12.75" customHeight="1">
      <c r="Q571" s="57"/>
    </row>
    <row r="572" spans="17:17" ht="12.75" customHeight="1">
      <c r="Q572" s="57"/>
    </row>
    <row r="573" spans="17:17" ht="12.75" customHeight="1">
      <c r="Q573" s="57"/>
    </row>
    <row r="574" spans="17:17" ht="12.75" customHeight="1">
      <c r="Q574" s="57"/>
    </row>
    <row r="575" spans="17:17" ht="12.75" customHeight="1">
      <c r="Q575" s="57"/>
    </row>
    <row r="576" spans="17:17" ht="12.75" customHeight="1">
      <c r="Q576" s="57"/>
    </row>
    <row r="577" spans="17:17" ht="12.75" customHeight="1">
      <c r="Q577" s="57"/>
    </row>
    <row r="578" spans="17:17" ht="12.75" customHeight="1">
      <c r="Q578" s="57"/>
    </row>
    <row r="579" spans="17:17" ht="12.75" customHeight="1">
      <c r="Q579" s="57"/>
    </row>
    <row r="580" spans="17:17" ht="12.75" customHeight="1">
      <c r="Q580" s="57"/>
    </row>
    <row r="581" spans="17:17" ht="12.75" customHeight="1">
      <c r="Q581" s="57"/>
    </row>
    <row r="582" spans="17:17" ht="12.75" customHeight="1">
      <c r="Q582" s="57"/>
    </row>
    <row r="583" spans="17:17" ht="12.75" customHeight="1">
      <c r="Q583" s="57"/>
    </row>
    <row r="584" spans="17:17" ht="12.75" customHeight="1">
      <c r="Q584" s="57"/>
    </row>
    <row r="585" spans="17:17" ht="12.75" customHeight="1">
      <c r="Q585" s="57"/>
    </row>
    <row r="586" spans="17:17" ht="12.75" customHeight="1">
      <c r="Q586" s="57"/>
    </row>
    <row r="587" spans="17:17" ht="12.75" customHeight="1">
      <c r="Q587" s="57"/>
    </row>
    <row r="588" spans="17:17" ht="12.75" customHeight="1">
      <c r="Q588" s="57"/>
    </row>
    <row r="589" spans="17:17" ht="12.75" customHeight="1">
      <c r="Q589" s="57"/>
    </row>
    <row r="590" spans="17:17" ht="12.75" customHeight="1">
      <c r="Q590" s="57"/>
    </row>
    <row r="591" spans="17:17" ht="12.75" customHeight="1">
      <c r="Q591" s="57"/>
    </row>
    <row r="592" spans="17:17" ht="12.75" customHeight="1">
      <c r="Q592" s="57"/>
    </row>
    <row r="593" spans="17:17" ht="12.75" customHeight="1">
      <c r="Q593" s="57"/>
    </row>
    <row r="594" spans="17:17" ht="12.75" customHeight="1">
      <c r="Q594" s="57"/>
    </row>
    <row r="595" spans="17:17" ht="12.75" customHeight="1">
      <c r="Q595" s="57"/>
    </row>
    <row r="596" spans="17:17" ht="12.75" customHeight="1">
      <c r="Q596" s="57"/>
    </row>
    <row r="597" spans="17:17" ht="12.75" customHeight="1">
      <c r="Q597" s="57"/>
    </row>
    <row r="598" spans="17:17" ht="12.75" customHeight="1">
      <c r="Q598" s="57"/>
    </row>
    <row r="599" spans="17:17" ht="12.75" customHeight="1">
      <c r="Q599" s="57"/>
    </row>
    <row r="600" spans="17:17" ht="12.75" customHeight="1">
      <c r="Q600" s="57"/>
    </row>
    <row r="601" spans="17:17" ht="12.75" customHeight="1">
      <c r="Q601" s="57"/>
    </row>
    <row r="602" spans="17:17" ht="12.75" customHeight="1">
      <c r="Q602" s="57"/>
    </row>
    <row r="603" spans="17:17" ht="12.75" customHeight="1">
      <c r="Q603" s="57"/>
    </row>
    <row r="604" spans="17:17" ht="12.75" customHeight="1">
      <c r="Q604" s="57"/>
    </row>
    <row r="605" spans="17:17" ht="12.75" customHeight="1">
      <c r="Q605" s="57"/>
    </row>
    <row r="606" spans="17:17" ht="12.75" customHeight="1">
      <c r="Q606" s="57"/>
    </row>
    <row r="607" spans="17:17" ht="12.75" customHeight="1">
      <c r="Q607" s="57"/>
    </row>
    <row r="608" spans="17:17" ht="12.75" customHeight="1">
      <c r="Q608" s="57"/>
    </row>
    <row r="609" spans="17:17" ht="12.75" customHeight="1">
      <c r="Q609" s="57"/>
    </row>
    <row r="610" spans="17:17" ht="12.75" customHeight="1">
      <c r="Q610" s="57"/>
    </row>
    <row r="611" spans="17:17" ht="12.75" customHeight="1">
      <c r="Q611" s="57"/>
    </row>
    <row r="612" spans="17:17" ht="12.75" customHeight="1">
      <c r="Q612" s="57"/>
    </row>
    <row r="613" spans="17:17" ht="12.75" customHeight="1">
      <c r="Q613" s="57"/>
    </row>
    <row r="614" spans="17:17" ht="12.75" customHeight="1">
      <c r="Q614" s="57"/>
    </row>
    <row r="615" spans="17:17" ht="12.75" customHeight="1">
      <c r="Q615" s="57"/>
    </row>
    <row r="616" spans="17:17" ht="12.75" customHeight="1">
      <c r="Q616" s="57"/>
    </row>
    <row r="617" spans="17:17" ht="12.75" customHeight="1">
      <c r="Q617" s="57"/>
    </row>
    <row r="618" spans="17:17" ht="12.75" customHeight="1">
      <c r="Q618" s="57"/>
    </row>
    <row r="619" spans="17:17" ht="12.75" customHeight="1">
      <c r="Q619" s="57"/>
    </row>
    <row r="620" spans="17:17" ht="12.75" customHeight="1">
      <c r="Q620" s="57"/>
    </row>
    <row r="621" spans="17:17" ht="12.75" customHeight="1">
      <c r="Q621" s="57"/>
    </row>
    <row r="622" spans="17:17" ht="12.75" customHeight="1">
      <c r="Q622" s="57"/>
    </row>
    <row r="623" spans="17:17" ht="12.75" customHeight="1">
      <c r="Q623" s="57"/>
    </row>
    <row r="624" spans="17:17" ht="12.75" customHeight="1">
      <c r="Q624" s="57"/>
    </row>
    <row r="625" spans="17:17" ht="12.75" customHeight="1">
      <c r="Q625" s="57"/>
    </row>
    <row r="626" spans="17:17" ht="12.75" customHeight="1">
      <c r="Q626" s="57"/>
    </row>
    <row r="627" spans="17:17" ht="12.75" customHeight="1">
      <c r="Q627" s="57"/>
    </row>
    <row r="628" spans="17:17" ht="12.75" customHeight="1">
      <c r="Q628" s="57"/>
    </row>
    <row r="629" spans="17:17" ht="12.75" customHeight="1">
      <c r="Q629" s="57"/>
    </row>
    <row r="630" spans="17:17" ht="12.75" customHeight="1">
      <c r="Q630" s="57"/>
    </row>
    <row r="631" spans="17:17" ht="12.75" customHeight="1">
      <c r="Q631" s="57"/>
    </row>
    <row r="632" spans="17:17" ht="12.75" customHeight="1">
      <c r="Q632" s="57"/>
    </row>
    <row r="633" spans="17:17" ht="12.75" customHeight="1">
      <c r="Q633" s="57"/>
    </row>
    <row r="634" spans="17:17" ht="12.75" customHeight="1">
      <c r="Q634" s="57"/>
    </row>
    <row r="635" spans="17:17" ht="12.75" customHeight="1">
      <c r="Q635" s="57"/>
    </row>
    <row r="636" spans="17:17" ht="12.75" customHeight="1">
      <c r="Q636" s="57"/>
    </row>
    <row r="637" spans="17:17" ht="12.75" customHeight="1">
      <c r="Q637" s="57"/>
    </row>
    <row r="638" spans="17:17" ht="12.75" customHeight="1">
      <c r="Q638" s="57"/>
    </row>
    <row r="639" spans="17:17" ht="12.75" customHeight="1">
      <c r="Q639" s="57"/>
    </row>
    <row r="640" spans="17:17" ht="12.75" customHeight="1">
      <c r="Q640" s="57"/>
    </row>
    <row r="641" spans="17:17" ht="12.75" customHeight="1">
      <c r="Q641" s="57"/>
    </row>
    <row r="642" spans="17:17" ht="12.75" customHeight="1">
      <c r="Q642" s="57"/>
    </row>
    <row r="643" spans="17:17" ht="12.75" customHeight="1">
      <c r="Q643" s="57"/>
    </row>
    <row r="644" spans="17:17" ht="12.75" customHeight="1">
      <c r="Q644" s="57"/>
    </row>
    <row r="645" spans="17:17" ht="12.75" customHeight="1">
      <c r="Q645" s="57"/>
    </row>
    <row r="646" spans="17:17" ht="12.75" customHeight="1">
      <c r="Q646" s="57"/>
    </row>
    <row r="647" spans="17:17" ht="12.75" customHeight="1">
      <c r="Q647" s="57"/>
    </row>
    <row r="648" spans="17:17" ht="12.75" customHeight="1">
      <c r="Q648" s="57"/>
    </row>
    <row r="649" spans="17:17" ht="12.75" customHeight="1">
      <c r="Q649" s="57"/>
    </row>
    <row r="650" spans="17:17" ht="12.75" customHeight="1">
      <c r="Q650" s="57"/>
    </row>
    <row r="651" spans="17:17" ht="12.75" customHeight="1">
      <c r="Q651" s="57"/>
    </row>
    <row r="652" spans="17:17" ht="12.75" customHeight="1">
      <c r="Q652" s="57"/>
    </row>
    <row r="653" spans="17:17" ht="12.75" customHeight="1">
      <c r="Q653" s="57"/>
    </row>
    <row r="654" spans="17:17" ht="12.75" customHeight="1">
      <c r="Q654" s="57"/>
    </row>
    <row r="655" spans="17:17" ht="12.75" customHeight="1">
      <c r="Q655" s="57"/>
    </row>
    <row r="656" spans="17:17" ht="12.75" customHeight="1">
      <c r="Q656" s="57"/>
    </row>
    <row r="657" spans="17:17" ht="12.75" customHeight="1">
      <c r="Q657" s="57"/>
    </row>
    <row r="658" spans="17:17" ht="12.75" customHeight="1">
      <c r="Q658" s="57"/>
    </row>
    <row r="659" spans="17:17" ht="12.75" customHeight="1">
      <c r="Q659" s="57"/>
    </row>
    <row r="660" spans="17:17" ht="12.75" customHeight="1">
      <c r="Q660" s="57"/>
    </row>
    <row r="661" spans="17:17" ht="12.75" customHeight="1">
      <c r="Q661" s="57"/>
    </row>
    <row r="662" spans="17:17" ht="12.75" customHeight="1">
      <c r="Q662" s="57"/>
    </row>
    <row r="663" spans="17:17" ht="12.75" customHeight="1">
      <c r="Q663" s="57"/>
    </row>
    <row r="664" spans="17:17" ht="12.75" customHeight="1">
      <c r="Q664" s="57"/>
    </row>
    <row r="665" spans="17:17" ht="12.75" customHeight="1">
      <c r="Q665" s="57"/>
    </row>
    <row r="666" spans="17:17" ht="12.75" customHeight="1">
      <c r="Q666" s="57"/>
    </row>
    <row r="667" spans="17:17" ht="12.75" customHeight="1">
      <c r="Q667" s="57"/>
    </row>
    <row r="668" spans="17:17" ht="12.75" customHeight="1">
      <c r="Q668" s="57"/>
    </row>
    <row r="669" spans="17:17" ht="12.75" customHeight="1">
      <c r="Q669" s="57"/>
    </row>
    <row r="670" spans="17:17" ht="12.75" customHeight="1">
      <c r="Q670" s="57"/>
    </row>
    <row r="671" spans="17:17" ht="12.75" customHeight="1">
      <c r="Q671" s="57"/>
    </row>
    <row r="672" spans="17:17" ht="12.75" customHeight="1">
      <c r="Q672" s="57"/>
    </row>
    <row r="673" spans="17:17" ht="12.75" customHeight="1">
      <c r="Q673" s="57"/>
    </row>
    <row r="674" spans="17:17" ht="12.75" customHeight="1">
      <c r="Q674" s="57"/>
    </row>
    <row r="675" spans="17:17" ht="12.75" customHeight="1">
      <c r="Q675" s="57"/>
    </row>
    <row r="676" spans="17:17" ht="12.75" customHeight="1">
      <c r="Q676" s="57"/>
    </row>
    <row r="677" spans="17:17" ht="12.75" customHeight="1">
      <c r="Q677" s="57"/>
    </row>
    <row r="678" spans="17:17" ht="12.75" customHeight="1">
      <c r="Q678" s="57"/>
    </row>
    <row r="679" spans="17:17" ht="12.75" customHeight="1">
      <c r="Q679" s="57"/>
    </row>
    <row r="680" spans="17:17" ht="12.75" customHeight="1">
      <c r="Q680" s="57"/>
    </row>
    <row r="681" spans="17:17" ht="12.75" customHeight="1">
      <c r="Q681" s="57"/>
    </row>
    <row r="682" spans="17:17" ht="12.75" customHeight="1">
      <c r="Q682" s="57"/>
    </row>
    <row r="683" spans="17:17" ht="12.75" customHeight="1">
      <c r="Q683" s="57"/>
    </row>
    <row r="684" spans="17:17" ht="12.75" customHeight="1">
      <c r="Q684" s="57"/>
    </row>
    <row r="685" spans="17:17" ht="12.75" customHeight="1">
      <c r="Q685" s="57"/>
    </row>
    <row r="686" spans="17:17" ht="12.75" customHeight="1">
      <c r="Q686" s="57"/>
    </row>
    <row r="687" spans="17:17" ht="12.75" customHeight="1">
      <c r="Q687" s="57"/>
    </row>
    <row r="688" spans="17:17" ht="12.75" customHeight="1">
      <c r="Q688" s="57"/>
    </row>
    <row r="689" spans="17:17" ht="12.75" customHeight="1">
      <c r="Q689" s="57"/>
    </row>
    <row r="690" spans="17:17" ht="12.75" customHeight="1">
      <c r="Q690" s="57"/>
    </row>
    <row r="691" spans="17:17" ht="12.75" customHeight="1">
      <c r="Q691" s="57"/>
    </row>
    <row r="692" spans="17:17" ht="12.75" customHeight="1">
      <c r="Q692" s="57"/>
    </row>
    <row r="693" spans="17:17" ht="12.75" customHeight="1">
      <c r="Q693" s="57"/>
    </row>
    <row r="694" spans="17:17" ht="12.75" customHeight="1">
      <c r="Q694" s="57"/>
    </row>
    <row r="695" spans="17:17" ht="12.75" customHeight="1">
      <c r="Q695" s="57"/>
    </row>
    <row r="696" spans="17:17" ht="12.75" customHeight="1">
      <c r="Q696" s="57"/>
    </row>
    <row r="697" spans="17:17" ht="12.75" customHeight="1">
      <c r="Q697" s="57"/>
    </row>
    <row r="698" spans="17:17" ht="12.75" customHeight="1">
      <c r="Q698" s="57"/>
    </row>
    <row r="699" spans="17:17" ht="12.75" customHeight="1">
      <c r="Q699" s="57"/>
    </row>
    <row r="700" spans="17:17" ht="12.75" customHeight="1">
      <c r="Q700" s="57"/>
    </row>
    <row r="701" spans="17:17" ht="12.75" customHeight="1">
      <c r="Q701" s="57"/>
    </row>
    <row r="702" spans="17:17" ht="12.75" customHeight="1">
      <c r="Q702" s="57"/>
    </row>
    <row r="703" spans="17:17" ht="12.75" customHeight="1">
      <c r="Q703" s="57"/>
    </row>
    <row r="704" spans="17:17" ht="12.75" customHeight="1">
      <c r="Q704" s="57"/>
    </row>
    <row r="705" spans="17:17" ht="12.75" customHeight="1">
      <c r="Q705" s="57"/>
    </row>
    <row r="706" spans="17:17" ht="12.75" customHeight="1">
      <c r="Q706" s="57"/>
    </row>
    <row r="707" spans="17:17" ht="12.75" customHeight="1">
      <c r="Q707" s="57"/>
    </row>
    <row r="708" spans="17:17" ht="12.75" customHeight="1">
      <c r="Q708" s="57"/>
    </row>
    <row r="709" spans="17:17" ht="12.75" customHeight="1">
      <c r="Q709" s="57"/>
    </row>
    <row r="710" spans="17:17" ht="12.75" customHeight="1">
      <c r="Q710" s="57"/>
    </row>
    <row r="711" spans="17:17" ht="12.75" customHeight="1">
      <c r="Q711" s="57"/>
    </row>
    <row r="712" spans="17:17" ht="12.75" customHeight="1">
      <c r="Q712" s="57"/>
    </row>
    <row r="713" spans="17:17" ht="12.75" customHeight="1">
      <c r="Q713" s="57"/>
    </row>
    <row r="714" spans="17:17" ht="12.75" customHeight="1">
      <c r="Q714" s="57"/>
    </row>
    <row r="715" spans="17:17" ht="12.75" customHeight="1">
      <c r="Q715" s="57"/>
    </row>
    <row r="716" spans="17:17" ht="12.75" customHeight="1">
      <c r="Q716" s="57"/>
    </row>
    <row r="717" spans="17:17" ht="12.75" customHeight="1">
      <c r="Q717" s="57"/>
    </row>
    <row r="718" spans="17:17" ht="12.75" customHeight="1">
      <c r="Q718" s="57"/>
    </row>
    <row r="719" spans="17:17" ht="12.75" customHeight="1">
      <c r="Q719" s="57"/>
    </row>
    <row r="720" spans="17:17" ht="12.75" customHeight="1">
      <c r="Q720" s="57"/>
    </row>
    <row r="721" spans="17:17" ht="12.75" customHeight="1">
      <c r="Q721" s="57"/>
    </row>
    <row r="722" spans="17:17" ht="12.75" customHeight="1">
      <c r="Q722" s="57"/>
    </row>
    <row r="723" spans="17:17" ht="12.75" customHeight="1">
      <c r="Q723" s="57"/>
    </row>
    <row r="724" spans="17:17" ht="12.75" customHeight="1">
      <c r="Q724" s="57"/>
    </row>
    <row r="725" spans="17:17" ht="12.75" customHeight="1">
      <c r="Q725" s="57"/>
    </row>
    <row r="726" spans="17:17" ht="12.75" customHeight="1">
      <c r="Q726" s="57"/>
    </row>
    <row r="727" spans="17:17" ht="12.75" customHeight="1">
      <c r="Q727" s="57"/>
    </row>
    <row r="728" spans="17:17" ht="12.75" customHeight="1">
      <c r="Q728" s="57"/>
    </row>
    <row r="729" spans="17:17" ht="12.75" customHeight="1">
      <c r="Q729" s="57"/>
    </row>
    <row r="730" spans="17:17" ht="12.75" customHeight="1">
      <c r="Q730" s="57"/>
    </row>
    <row r="731" spans="17:17" ht="12.75" customHeight="1">
      <c r="Q731" s="57"/>
    </row>
    <row r="732" spans="17:17" ht="12.75" customHeight="1">
      <c r="Q732" s="57"/>
    </row>
    <row r="733" spans="17:17" ht="12.75" customHeight="1">
      <c r="Q733" s="57"/>
    </row>
    <row r="734" spans="17:17" ht="12.75" customHeight="1">
      <c r="Q734" s="57"/>
    </row>
    <row r="735" spans="17:17" ht="12.75" customHeight="1">
      <c r="Q735" s="57"/>
    </row>
    <row r="736" spans="17:17" ht="12.75" customHeight="1">
      <c r="Q736" s="57"/>
    </row>
    <row r="737" spans="17:17" ht="12.75" customHeight="1">
      <c r="Q737" s="57"/>
    </row>
    <row r="738" spans="17:17" ht="12.75" customHeight="1">
      <c r="Q738" s="57"/>
    </row>
    <row r="739" spans="17:17" ht="12.75" customHeight="1">
      <c r="Q739" s="57"/>
    </row>
    <row r="740" spans="17:17" ht="12.75" customHeight="1">
      <c r="Q740" s="57"/>
    </row>
    <row r="741" spans="17:17" ht="12.75" customHeight="1">
      <c r="Q741" s="57"/>
    </row>
    <row r="742" spans="17:17" ht="12.75" customHeight="1">
      <c r="Q742" s="57"/>
    </row>
    <row r="743" spans="17:17" ht="12.75" customHeight="1">
      <c r="Q743" s="57"/>
    </row>
    <row r="744" spans="17:17" ht="12.75" customHeight="1">
      <c r="Q744" s="57"/>
    </row>
    <row r="745" spans="17:17" ht="12.75" customHeight="1">
      <c r="Q745" s="57"/>
    </row>
    <row r="746" spans="17:17" ht="12.75" customHeight="1">
      <c r="Q746" s="57"/>
    </row>
    <row r="747" spans="17:17" ht="12.75" customHeight="1">
      <c r="Q747" s="57"/>
    </row>
    <row r="748" spans="17:17" ht="12.75" customHeight="1">
      <c r="Q748" s="57"/>
    </row>
    <row r="749" spans="17:17" ht="12.75" customHeight="1">
      <c r="Q749" s="57"/>
    </row>
    <row r="750" spans="17:17" ht="12.75" customHeight="1">
      <c r="Q750" s="57"/>
    </row>
    <row r="751" spans="17:17" ht="12.75" customHeight="1">
      <c r="Q751" s="57"/>
    </row>
    <row r="752" spans="17:17" ht="12.75" customHeight="1">
      <c r="Q752" s="57"/>
    </row>
    <row r="753" spans="17:17" ht="12.75" customHeight="1">
      <c r="Q753" s="57"/>
    </row>
    <row r="754" spans="17:17" ht="12.75" customHeight="1">
      <c r="Q754" s="57"/>
    </row>
    <row r="755" spans="17:17" ht="12.75" customHeight="1">
      <c r="Q755" s="57"/>
    </row>
    <row r="756" spans="17:17" ht="12.75" customHeight="1">
      <c r="Q756" s="57"/>
    </row>
    <row r="757" spans="17:17" ht="12.75" customHeight="1">
      <c r="Q757" s="57"/>
    </row>
    <row r="758" spans="17:17" ht="12.75" customHeight="1">
      <c r="Q758" s="57"/>
    </row>
    <row r="759" spans="17:17" ht="12.75" customHeight="1">
      <c r="Q759" s="57"/>
    </row>
    <row r="760" spans="17:17" ht="12.75" customHeight="1">
      <c r="Q760" s="57"/>
    </row>
    <row r="761" spans="17:17" ht="12.75" customHeight="1">
      <c r="Q761" s="57"/>
    </row>
    <row r="762" spans="17:17" ht="12.75" customHeight="1">
      <c r="Q762" s="57"/>
    </row>
    <row r="763" spans="17:17" ht="12.75" customHeight="1">
      <c r="Q763" s="57"/>
    </row>
    <row r="764" spans="17:17" ht="12.75" customHeight="1">
      <c r="Q764" s="57"/>
    </row>
    <row r="765" spans="17:17" ht="12.75" customHeight="1">
      <c r="Q765" s="57"/>
    </row>
    <row r="766" spans="17:17" ht="12.75" customHeight="1">
      <c r="Q766" s="57"/>
    </row>
    <row r="767" spans="17:17" ht="12.75" customHeight="1">
      <c r="Q767" s="57"/>
    </row>
    <row r="768" spans="17:17" ht="12.75" customHeight="1">
      <c r="Q768" s="57"/>
    </row>
    <row r="769" spans="17:17" ht="12.75" customHeight="1">
      <c r="Q769" s="57"/>
    </row>
    <row r="770" spans="17:17" ht="12.75" customHeight="1">
      <c r="Q770" s="57"/>
    </row>
    <row r="771" spans="17:17" ht="12.75" customHeight="1">
      <c r="Q771" s="57"/>
    </row>
    <row r="772" spans="17:17" ht="12.75" customHeight="1">
      <c r="Q772" s="57"/>
    </row>
    <row r="773" spans="17:17" ht="12.75" customHeight="1">
      <c r="Q773" s="57"/>
    </row>
    <row r="774" spans="17:17" ht="12.75" customHeight="1">
      <c r="Q774" s="57"/>
    </row>
    <row r="775" spans="17:17" ht="12.75" customHeight="1">
      <c r="Q775" s="57"/>
    </row>
    <row r="776" spans="17:17" ht="12.75" customHeight="1">
      <c r="Q776" s="57"/>
    </row>
    <row r="777" spans="17:17" ht="12.75" customHeight="1">
      <c r="Q777" s="57"/>
    </row>
    <row r="778" spans="17:17" ht="12.75" customHeight="1">
      <c r="Q778" s="57"/>
    </row>
    <row r="779" spans="17:17" ht="12.75" customHeight="1">
      <c r="Q779" s="57"/>
    </row>
    <row r="780" spans="17:17" ht="12.75" customHeight="1">
      <c r="Q780" s="57"/>
    </row>
    <row r="781" spans="17:17" ht="12.75" customHeight="1">
      <c r="Q781" s="57"/>
    </row>
    <row r="782" spans="17:17" ht="12.75" customHeight="1">
      <c r="Q782" s="57"/>
    </row>
    <row r="783" spans="17:17" ht="12.75" customHeight="1">
      <c r="Q783" s="57"/>
    </row>
    <row r="784" spans="17:17" ht="12.75" customHeight="1">
      <c r="Q784" s="57"/>
    </row>
    <row r="785" spans="17:17" ht="12.75" customHeight="1">
      <c r="Q785" s="57"/>
    </row>
    <row r="786" spans="17:17" ht="12.75" customHeight="1">
      <c r="Q786" s="57"/>
    </row>
    <row r="787" spans="17:17" ht="12.75" customHeight="1">
      <c r="Q787" s="57"/>
    </row>
    <row r="788" spans="17:17" ht="12.75" customHeight="1">
      <c r="Q788" s="57"/>
    </row>
    <row r="789" spans="17:17" ht="12.75" customHeight="1">
      <c r="Q789" s="57"/>
    </row>
    <row r="790" spans="17:17" ht="12.75" customHeight="1">
      <c r="Q790" s="57"/>
    </row>
    <row r="791" spans="17:17" ht="12.75" customHeight="1">
      <c r="Q791" s="57"/>
    </row>
    <row r="792" spans="17:17" ht="12.75" customHeight="1">
      <c r="Q792" s="57"/>
    </row>
    <row r="793" spans="17:17" ht="12.75" customHeight="1">
      <c r="Q793" s="57"/>
    </row>
    <row r="794" spans="17:17" ht="12.75" customHeight="1">
      <c r="Q794" s="57"/>
    </row>
    <row r="795" spans="17:17" ht="12.75" customHeight="1">
      <c r="Q795" s="57"/>
    </row>
    <row r="796" spans="17:17" ht="12.75" customHeight="1">
      <c r="Q796" s="57"/>
    </row>
    <row r="797" spans="17:17" ht="12.75" customHeight="1">
      <c r="Q797" s="57"/>
    </row>
    <row r="798" spans="17:17" ht="12.75" customHeight="1">
      <c r="Q798" s="57"/>
    </row>
    <row r="799" spans="17:17" ht="12.75" customHeight="1">
      <c r="Q799" s="57"/>
    </row>
    <row r="800" spans="17:17" ht="12.75" customHeight="1">
      <c r="Q800" s="57"/>
    </row>
    <row r="801" spans="17:17" ht="12.75" customHeight="1">
      <c r="Q801" s="57"/>
    </row>
    <row r="802" spans="17:17" ht="12.75" customHeight="1">
      <c r="Q802" s="57"/>
    </row>
    <row r="803" spans="17:17" ht="12.75" customHeight="1">
      <c r="Q803" s="57"/>
    </row>
    <row r="804" spans="17:17" ht="12.75" customHeight="1">
      <c r="Q804" s="57"/>
    </row>
    <row r="805" spans="17:17" ht="12.75" customHeight="1">
      <c r="Q805" s="57"/>
    </row>
    <row r="806" spans="17:17" ht="12.75" customHeight="1">
      <c r="Q806" s="57"/>
    </row>
    <row r="807" spans="17:17" ht="12.75" customHeight="1">
      <c r="Q807" s="57"/>
    </row>
    <row r="808" spans="17:17" ht="12.75" customHeight="1">
      <c r="Q808" s="57"/>
    </row>
    <row r="809" spans="17:17" ht="12.75" customHeight="1">
      <c r="Q809" s="57"/>
    </row>
    <row r="810" spans="17:17" ht="12.75" customHeight="1">
      <c r="Q810" s="57"/>
    </row>
    <row r="811" spans="17:17" ht="12.75" customHeight="1">
      <c r="Q811" s="57"/>
    </row>
    <row r="812" spans="17:17" ht="12.75" customHeight="1">
      <c r="Q812" s="57"/>
    </row>
    <row r="813" spans="17:17" ht="12.75" customHeight="1">
      <c r="Q813" s="57"/>
    </row>
    <row r="814" spans="17:17" ht="12.75" customHeight="1">
      <c r="Q814" s="57"/>
    </row>
    <row r="815" spans="17:17" ht="12.75" customHeight="1">
      <c r="Q815" s="57"/>
    </row>
    <row r="816" spans="17:17" ht="12.75" customHeight="1">
      <c r="Q816" s="57"/>
    </row>
    <row r="817" spans="17:17" ht="12.75" customHeight="1">
      <c r="Q817" s="57"/>
    </row>
    <row r="818" spans="17:17" ht="12.75" customHeight="1">
      <c r="Q818" s="57"/>
    </row>
    <row r="819" spans="17:17" ht="12.75" customHeight="1">
      <c r="Q819" s="57"/>
    </row>
    <row r="820" spans="17:17" ht="12.75" customHeight="1">
      <c r="Q820" s="57"/>
    </row>
    <row r="821" spans="17:17" ht="12.75" customHeight="1">
      <c r="Q821" s="57"/>
    </row>
    <row r="822" spans="17:17" ht="12.75" customHeight="1">
      <c r="Q822" s="57"/>
    </row>
    <row r="823" spans="17:17" ht="12.75" customHeight="1">
      <c r="Q823" s="57"/>
    </row>
    <row r="824" spans="17:17" ht="12.75" customHeight="1">
      <c r="Q824" s="57"/>
    </row>
    <row r="825" spans="17:17" ht="12.75" customHeight="1">
      <c r="Q825" s="57"/>
    </row>
    <row r="826" spans="17:17" ht="12.75" customHeight="1">
      <c r="Q826" s="57"/>
    </row>
    <row r="827" spans="17:17" ht="12.75" customHeight="1">
      <c r="Q827" s="57"/>
    </row>
    <row r="828" spans="17:17" ht="12.75" customHeight="1">
      <c r="Q828" s="57"/>
    </row>
    <row r="829" spans="17:17" ht="12.75" customHeight="1">
      <c r="Q829" s="57"/>
    </row>
    <row r="830" spans="17:17" ht="12.75" customHeight="1">
      <c r="Q830" s="57"/>
    </row>
    <row r="831" spans="17:17" ht="12.75" customHeight="1">
      <c r="Q831" s="57"/>
    </row>
    <row r="832" spans="17:17" ht="12.75" customHeight="1">
      <c r="Q832" s="57"/>
    </row>
    <row r="833" spans="17:17" ht="12.75" customHeight="1">
      <c r="Q833" s="57"/>
    </row>
    <row r="834" spans="17:17" ht="12.75" customHeight="1">
      <c r="Q834" s="57"/>
    </row>
    <row r="835" spans="17:17" ht="12.75" customHeight="1">
      <c r="Q835" s="57"/>
    </row>
    <row r="836" spans="17:17" ht="12.75" customHeight="1">
      <c r="Q836" s="57"/>
    </row>
    <row r="837" spans="17:17" ht="12.75" customHeight="1">
      <c r="Q837" s="57"/>
    </row>
    <row r="838" spans="17:17" ht="12.75" customHeight="1">
      <c r="Q838" s="57"/>
    </row>
    <row r="839" spans="17:17" ht="12.75" customHeight="1">
      <c r="Q839" s="57"/>
    </row>
    <row r="840" spans="17:17" ht="12.75" customHeight="1">
      <c r="Q840" s="57"/>
    </row>
    <row r="841" spans="17:17" ht="12.75" customHeight="1">
      <c r="Q841" s="57"/>
    </row>
    <row r="842" spans="17:17" ht="12.75" customHeight="1">
      <c r="Q842" s="57"/>
    </row>
    <row r="843" spans="17:17" ht="12.75" customHeight="1">
      <c r="Q843" s="57"/>
    </row>
    <row r="844" spans="17:17" ht="12.75" customHeight="1">
      <c r="Q844" s="57"/>
    </row>
    <row r="845" spans="17:17" ht="12.75" customHeight="1">
      <c r="Q845" s="57"/>
    </row>
    <row r="846" spans="17:17" ht="12.75" customHeight="1">
      <c r="Q846" s="57"/>
    </row>
    <row r="847" spans="17:17" ht="12.75" customHeight="1">
      <c r="Q847" s="57"/>
    </row>
    <row r="848" spans="17:17" ht="12.75" customHeight="1">
      <c r="Q848" s="57"/>
    </row>
    <row r="849" spans="17:17" ht="12.75" customHeight="1">
      <c r="Q849" s="57"/>
    </row>
    <row r="850" spans="17:17" ht="12.75" customHeight="1">
      <c r="Q850" s="57"/>
    </row>
    <row r="851" spans="17:17" ht="12.75" customHeight="1">
      <c r="Q851" s="57"/>
    </row>
    <row r="852" spans="17:17" ht="12.75" customHeight="1">
      <c r="Q852" s="57"/>
    </row>
    <row r="853" spans="17:17" ht="12.75" customHeight="1">
      <c r="Q853" s="57"/>
    </row>
    <row r="854" spans="17:17" ht="12.75" customHeight="1">
      <c r="Q854" s="57"/>
    </row>
    <row r="855" spans="17:17" ht="12.75" customHeight="1">
      <c r="Q855" s="57"/>
    </row>
    <row r="856" spans="17:17" ht="12.75" customHeight="1">
      <c r="Q856" s="57"/>
    </row>
    <row r="857" spans="17:17" ht="12.75" customHeight="1">
      <c r="Q857" s="57"/>
    </row>
    <row r="858" spans="17:17" ht="12.75" customHeight="1">
      <c r="Q858" s="57"/>
    </row>
    <row r="859" spans="17:17" ht="12.75" customHeight="1">
      <c r="Q859" s="57"/>
    </row>
    <row r="860" spans="17:17" ht="12.75" customHeight="1">
      <c r="Q860" s="57"/>
    </row>
    <row r="861" spans="17:17" ht="12.75" customHeight="1">
      <c r="Q861" s="57"/>
    </row>
    <row r="862" spans="17:17" ht="12.75" customHeight="1">
      <c r="Q862" s="57"/>
    </row>
    <row r="863" spans="17:17" ht="12.75" customHeight="1">
      <c r="Q863" s="57"/>
    </row>
    <row r="864" spans="17:17" ht="12.75" customHeight="1">
      <c r="Q864" s="57"/>
    </row>
    <row r="865" spans="17:17" ht="12.75" customHeight="1">
      <c r="Q865" s="57"/>
    </row>
    <row r="866" spans="17:17" ht="12.75" customHeight="1">
      <c r="Q866" s="57"/>
    </row>
    <row r="867" spans="17:17" ht="12.75" customHeight="1">
      <c r="Q867" s="57"/>
    </row>
    <row r="868" spans="17:17" ht="12.75" customHeight="1">
      <c r="Q868" s="57"/>
    </row>
    <row r="869" spans="17:17" ht="12.75" customHeight="1">
      <c r="Q869" s="57"/>
    </row>
    <row r="870" spans="17:17" ht="12.75" customHeight="1">
      <c r="Q870" s="57"/>
    </row>
    <row r="871" spans="17:17" ht="12.75" customHeight="1">
      <c r="Q871" s="57"/>
    </row>
    <row r="872" spans="17:17" ht="12.75" customHeight="1">
      <c r="Q872" s="57"/>
    </row>
    <row r="873" spans="17:17" ht="12.75" customHeight="1">
      <c r="Q873" s="57"/>
    </row>
    <row r="874" spans="17:17" ht="12.75" customHeight="1">
      <c r="Q874" s="57"/>
    </row>
    <row r="875" spans="17:17" ht="12.75" customHeight="1">
      <c r="Q875" s="57"/>
    </row>
    <row r="876" spans="17:17" ht="12.75" customHeight="1">
      <c r="Q876" s="57"/>
    </row>
    <row r="877" spans="17:17" ht="12.75" customHeight="1">
      <c r="Q877" s="57"/>
    </row>
    <row r="878" spans="17:17" ht="12.75" customHeight="1">
      <c r="Q878" s="57"/>
    </row>
    <row r="879" spans="17:17" ht="12.75" customHeight="1">
      <c r="Q879" s="57"/>
    </row>
    <row r="880" spans="17:17" ht="12.75" customHeight="1">
      <c r="Q880" s="57"/>
    </row>
    <row r="881" spans="17:17" ht="12.75" customHeight="1">
      <c r="Q881" s="57"/>
    </row>
    <row r="882" spans="17:17" ht="12.75" customHeight="1">
      <c r="Q882" s="57"/>
    </row>
    <row r="883" spans="17:17" ht="12.75" customHeight="1">
      <c r="Q883" s="57"/>
    </row>
    <row r="884" spans="17:17" ht="12.75" customHeight="1">
      <c r="Q884" s="57"/>
    </row>
    <row r="885" spans="17:17" ht="12.75" customHeight="1">
      <c r="Q885" s="57"/>
    </row>
    <row r="886" spans="17:17" ht="12.75" customHeight="1">
      <c r="Q886" s="57"/>
    </row>
    <row r="887" spans="17:17" ht="12.75" customHeight="1">
      <c r="Q887" s="57"/>
    </row>
    <row r="888" spans="17:17" ht="12.75" customHeight="1">
      <c r="Q888" s="57"/>
    </row>
    <row r="889" spans="17:17" ht="12.75" customHeight="1">
      <c r="Q889" s="57"/>
    </row>
    <row r="890" spans="17:17" ht="12.75" customHeight="1">
      <c r="Q890" s="57"/>
    </row>
    <row r="891" spans="17:17" ht="12.75" customHeight="1">
      <c r="Q891" s="57"/>
    </row>
    <row r="892" spans="17:17" ht="12.75" customHeight="1">
      <c r="Q892" s="57"/>
    </row>
    <row r="893" spans="17:17" ht="12.75" customHeight="1">
      <c r="Q893" s="57"/>
    </row>
    <row r="894" spans="17:17" ht="12.75" customHeight="1">
      <c r="Q894" s="57"/>
    </row>
    <row r="895" spans="17:17" ht="12.75" customHeight="1">
      <c r="Q895" s="57"/>
    </row>
    <row r="896" spans="17:17" ht="12.75" customHeight="1">
      <c r="Q896" s="57"/>
    </row>
    <row r="897" spans="17:17" ht="12.75" customHeight="1">
      <c r="Q897" s="57"/>
    </row>
    <row r="898" spans="17:17" ht="12.75" customHeight="1">
      <c r="Q898" s="57"/>
    </row>
    <row r="899" spans="17:17" ht="12.75" customHeight="1">
      <c r="Q899" s="57"/>
    </row>
    <row r="900" spans="17:17" ht="12.75" customHeight="1">
      <c r="Q900" s="57"/>
    </row>
    <row r="901" spans="17:17" ht="12.75" customHeight="1">
      <c r="Q901" s="57"/>
    </row>
    <row r="902" spans="17:17" ht="12.75" customHeight="1">
      <c r="Q902" s="57"/>
    </row>
    <row r="903" spans="17:17" ht="12.75" customHeight="1">
      <c r="Q903" s="57"/>
    </row>
    <row r="904" spans="17:17" ht="12.75" customHeight="1">
      <c r="Q904" s="57"/>
    </row>
    <row r="905" spans="17:17" ht="12.75" customHeight="1">
      <c r="Q905" s="57"/>
    </row>
    <row r="906" spans="17:17" ht="12.75" customHeight="1">
      <c r="Q906" s="57"/>
    </row>
    <row r="907" spans="17:17" ht="12.75" customHeight="1">
      <c r="Q907" s="57"/>
    </row>
    <row r="908" spans="17:17" ht="12.75" customHeight="1">
      <c r="Q908" s="57"/>
    </row>
    <row r="909" spans="17:17" ht="12.75" customHeight="1">
      <c r="Q909" s="57"/>
    </row>
    <row r="910" spans="17:17" ht="12.75" customHeight="1">
      <c r="Q910" s="57"/>
    </row>
    <row r="911" spans="17:17" ht="12.75" customHeight="1">
      <c r="Q911" s="57"/>
    </row>
    <row r="912" spans="17:17" ht="12.75" customHeight="1">
      <c r="Q912" s="57"/>
    </row>
    <row r="913" spans="17:17" ht="12.75" customHeight="1">
      <c r="Q913" s="57"/>
    </row>
    <row r="914" spans="17:17" ht="12.75" customHeight="1">
      <c r="Q914" s="57"/>
    </row>
    <row r="915" spans="17:17" ht="12.75" customHeight="1">
      <c r="Q915" s="57"/>
    </row>
    <row r="916" spans="17:17" ht="12.75" customHeight="1">
      <c r="Q916" s="57"/>
    </row>
    <row r="917" spans="17:17" ht="12.75" customHeight="1">
      <c r="Q917" s="57"/>
    </row>
    <row r="918" spans="17:17" ht="12.75" customHeight="1">
      <c r="Q918" s="57"/>
    </row>
    <row r="919" spans="17:17" ht="12.75" customHeight="1">
      <c r="Q919" s="57"/>
    </row>
    <row r="920" spans="17:17" ht="12.75" customHeight="1">
      <c r="Q920" s="57"/>
    </row>
    <row r="921" spans="17:17" ht="12.75" customHeight="1">
      <c r="Q921" s="57"/>
    </row>
    <row r="922" spans="17:17" ht="12.75" customHeight="1">
      <c r="Q922" s="57"/>
    </row>
    <row r="923" spans="17:17" ht="12.75" customHeight="1">
      <c r="Q923" s="57"/>
    </row>
    <row r="924" spans="17:17" ht="12.75" customHeight="1">
      <c r="Q924" s="57"/>
    </row>
    <row r="925" spans="17:17" ht="12.75" customHeight="1">
      <c r="Q925" s="57"/>
    </row>
    <row r="926" spans="17:17" ht="12.75" customHeight="1">
      <c r="Q926" s="57"/>
    </row>
    <row r="927" spans="17:17" ht="12.75" customHeight="1">
      <c r="Q927" s="57"/>
    </row>
    <row r="928" spans="17:17" ht="12.75" customHeight="1">
      <c r="Q928" s="57"/>
    </row>
    <row r="929" spans="17:17" ht="12.75" customHeight="1">
      <c r="Q929" s="57"/>
    </row>
    <row r="930" spans="17:17" ht="12.75" customHeight="1">
      <c r="Q930" s="57"/>
    </row>
    <row r="931" spans="17:17" ht="12.75" customHeight="1">
      <c r="Q931" s="57"/>
    </row>
    <row r="932" spans="17:17" ht="12.75" customHeight="1">
      <c r="Q932" s="57"/>
    </row>
    <row r="933" spans="17:17" ht="12.75" customHeight="1">
      <c r="Q933" s="57"/>
    </row>
    <row r="934" spans="17:17" ht="12.75" customHeight="1">
      <c r="Q934" s="57"/>
    </row>
    <row r="935" spans="17:17" ht="12.75" customHeight="1">
      <c r="Q935" s="57"/>
    </row>
    <row r="936" spans="17:17" ht="12.75" customHeight="1">
      <c r="Q936" s="57"/>
    </row>
    <row r="937" spans="17:17" ht="12.75" customHeight="1">
      <c r="Q937" s="57"/>
    </row>
    <row r="938" spans="17:17" ht="12.75" customHeight="1">
      <c r="Q938" s="57"/>
    </row>
    <row r="939" spans="17:17" ht="12.75" customHeight="1">
      <c r="Q939" s="57"/>
    </row>
    <row r="940" spans="17:17" ht="12.75" customHeight="1">
      <c r="Q940" s="57"/>
    </row>
    <row r="941" spans="17:17" ht="12.75" customHeight="1">
      <c r="Q941" s="57"/>
    </row>
    <row r="942" spans="17:17" ht="12.75" customHeight="1">
      <c r="Q942" s="57"/>
    </row>
    <row r="943" spans="17:17" ht="12.75" customHeight="1">
      <c r="Q943" s="57"/>
    </row>
    <row r="944" spans="17:17" ht="12.75" customHeight="1">
      <c r="Q944" s="57"/>
    </row>
    <row r="945" spans="17:17" ht="12.75" customHeight="1">
      <c r="Q945" s="57"/>
    </row>
    <row r="946" spans="17:17" ht="12.75" customHeight="1">
      <c r="Q946" s="57"/>
    </row>
    <row r="947" spans="17:17" ht="12.75" customHeight="1">
      <c r="Q947" s="57"/>
    </row>
    <row r="948" spans="17:17" ht="12.75" customHeight="1">
      <c r="Q948" s="57"/>
    </row>
    <row r="949" spans="17:17" ht="12.75" customHeight="1">
      <c r="Q949" s="57"/>
    </row>
    <row r="950" spans="17:17" ht="12.75" customHeight="1">
      <c r="Q950" s="57"/>
    </row>
    <row r="951" spans="17:17" ht="12.75" customHeight="1">
      <c r="Q951" s="57"/>
    </row>
    <row r="952" spans="17:17" ht="12.75" customHeight="1">
      <c r="Q952" s="57"/>
    </row>
    <row r="953" spans="17:17" ht="12.75" customHeight="1">
      <c r="Q953" s="57"/>
    </row>
    <row r="954" spans="17:17" ht="12.75" customHeight="1">
      <c r="Q954" s="57"/>
    </row>
    <row r="955" spans="17:17" ht="12.75" customHeight="1">
      <c r="Q955" s="57"/>
    </row>
    <row r="956" spans="17:17" ht="12.75" customHeight="1">
      <c r="Q956" s="57"/>
    </row>
    <row r="957" spans="17:17" ht="12.75" customHeight="1">
      <c r="Q957" s="57"/>
    </row>
    <row r="958" spans="17:17" ht="12.75" customHeight="1">
      <c r="Q958" s="57"/>
    </row>
    <row r="959" spans="17:17" ht="12.75" customHeight="1">
      <c r="Q959" s="57"/>
    </row>
    <row r="960" spans="17:17" ht="12.75" customHeight="1">
      <c r="Q960" s="57"/>
    </row>
    <row r="961" spans="17:17" ht="12.75" customHeight="1">
      <c r="Q961" s="57"/>
    </row>
    <row r="962" spans="17:17" ht="12.75" customHeight="1">
      <c r="Q962" s="57"/>
    </row>
    <row r="963" spans="17:17" ht="12.75" customHeight="1">
      <c r="Q963" s="57"/>
    </row>
    <row r="964" spans="17:17" ht="12.75" customHeight="1">
      <c r="Q964" s="57"/>
    </row>
    <row r="965" spans="17:17" ht="12.75" customHeight="1">
      <c r="Q965" s="57"/>
    </row>
    <row r="966" spans="17:17" ht="12.75" customHeight="1">
      <c r="Q966" s="57"/>
    </row>
    <row r="967" spans="17:17" ht="12.75" customHeight="1">
      <c r="Q967" s="57"/>
    </row>
    <row r="968" spans="17:17" ht="12.75" customHeight="1">
      <c r="Q968" s="57"/>
    </row>
    <row r="969" spans="17:17" ht="12.75" customHeight="1">
      <c r="Q969" s="57"/>
    </row>
    <row r="970" spans="17:17" ht="12.75" customHeight="1">
      <c r="Q970" s="57"/>
    </row>
    <row r="971" spans="17:17" ht="12.75" customHeight="1">
      <c r="Q971" s="57"/>
    </row>
    <row r="972" spans="17:17" ht="12.75" customHeight="1">
      <c r="Q972" s="57"/>
    </row>
    <row r="973" spans="17:17" ht="12.75" customHeight="1">
      <c r="Q973" s="57"/>
    </row>
    <row r="974" spans="17:17" ht="12.75" customHeight="1">
      <c r="Q974" s="57"/>
    </row>
    <row r="975" spans="17:17" ht="12.75" customHeight="1">
      <c r="Q975" s="57"/>
    </row>
    <row r="976" spans="17:17" ht="12.75" customHeight="1">
      <c r="Q976" s="57"/>
    </row>
    <row r="977" spans="17:17" ht="12.75" customHeight="1">
      <c r="Q977" s="57"/>
    </row>
    <row r="978" spans="17:17" ht="12.75" customHeight="1">
      <c r="Q978" s="57"/>
    </row>
    <row r="979" spans="17:17" ht="12.75" customHeight="1">
      <c r="Q979" s="57"/>
    </row>
    <row r="980" spans="17:17" ht="12.75" customHeight="1">
      <c r="Q980" s="57"/>
    </row>
    <row r="981" spans="17:17" ht="12.75" customHeight="1">
      <c r="Q981" s="57"/>
    </row>
    <row r="982" spans="17:17" ht="12.75" customHeight="1">
      <c r="Q982" s="57"/>
    </row>
    <row r="983" spans="17:17" ht="12.75" customHeight="1">
      <c r="Q983" s="57"/>
    </row>
    <row r="984" spans="17:17" ht="12.75" customHeight="1">
      <c r="Q984" s="57"/>
    </row>
    <row r="985" spans="17:17" ht="12.75" customHeight="1">
      <c r="Q985" s="57"/>
    </row>
    <row r="986" spans="17:17" ht="12.75" customHeight="1">
      <c r="Q986" s="57"/>
    </row>
    <row r="987" spans="17:17" ht="12.75" customHeight="1">
      <c r="Q987" s="57"/>
    </row>
    <row r="988" spans="17:17" ht="12.75" customHeight="1">
      <c r="Q988" s="57"/>
    </row>
    <row r="989" spans="17:17" ht="12.75" customHeight="1">
      <c r="Q989" s="57"/>
    </row>
    <row r="990" spans="17:17" ht="12.75" customHeight="1">
      <c r="Q990" s="57"/>
    </row>
    <row r="991" spans="17:17" ht="12.75" customHeight="1">
      <c r="Q991" s="57"/>
    </row>
    <row r="992" spans="17:17" ht="12.75" customHeight="1">
      <c r="Q992" s="57"/>
    </row>
    <row r="993" spans="17:17" ht="12.75" customHeight="1">
      <c r="Q993" s="57"/>
    </row>
    <row r="994" spans="17:17" ht="12.75" customHeight="1">
      <c r="Q994" s="57"/>
    </row>
    <row r="995" spans="17:17" ht="12.75" customHeight="1">
      <c r="Q995" s="57"/>
    </row>
    <row r="996" spans="17:17" ht="12.75" customHeight="1">
      <c r="Q996" s="57"/>
    </row>
    <row r="997" spans="17:17" ht="12.75" customHeight="1">
      <c r="Q997" s="57"/>
    </row>
    <row r="998" spans="17:17" ht="12.75" customHeight="1">
      <c r="Q998" s="57"/>
    </row>
    <row r="999" spans="17:17" ht="12.75" customHeight="1">
      <c r="Q999" s="57"/>
    </row>
    <row r="1000" spans="17:17" ht="12.75" customHeight="1">
      <c r="Q1000" s="57"/>
    </row>
  </sheetData>
  <mergeCells count="7">
    <mergeCell ref="D6:G6"/>
    <mergeCell ref="I6:L6"/>
    <mergeCell ref="B1:O1"/>
    <mergeCell ref="B2:O2"/>
    <mergeCell ref="B3:O3"/>
    <mergeCell ref="D5:L5"/>
    <mergeCell ref="N5:O5"/>
  </mergeCells>
  <conditionalFormatting sqref="N9:N44">
    <cfRule type="cellIs" dxfId="436" priority="3" stopIfTrue="1" operator="greaterThanOrEqual">
      <formula>0</formula>
    </cfRule>
    <cfRule type="cellIs" dxfId="435" priority="4" stopIfTrue="1" operator="lessThan">
      <formula>0</formula>
    </cfRule>
  </conditionalFormatting>
  <conditionalFormatting sqref="O28">
    <cfRule type="cellIs" dxfId="434" priority="7" stopIfTrue="1" operator="greaterThan">
      <formula>$N$70</formula>
    </cfRule>
    <cfRule type="cellIs" dxfId="433" priority="8" stopIfTrue="1" operator="lessThanOrEqual">
      <formula>$N$70</formula>
    </cfRule>
  </conditionalFormatting>
  <conditionalFormatting sqref="O29">
    <cfRule type="cellIs" dxfId="432" priority="5" stopIfTrue="1" operator="greaterThan">
      <formula>$N$79</formula>
    </cfRule>
    <cfRule type="cellIs" dxfId="431" priority="6" stopIfTrue="1" operator="lessThanOrEqual">
      <formula>$N$79</formula>
    </cfRule>
  </conditionalFormatting>
  <conditionalFormatting sqref="O9:P44 N19:P27 P28:P29 N28:N44 N45:O62 P71:P75">
    <cfRule type="cellIs" dxfId="430" priority="1" stopIfTrue="1" operator="greaterThan">
      <formula>$N$70</formula>
    </cfRule>
    <cfRule type="cellIs" dxfId="429" priority="2" stopIfTrue="1" operator="lessThanOrEqual">
      <formula>$N$70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4.28515625" defaultRowHeight="15" customHeight="1"/>
  <cols>
    <col min="1" max="1" width="3.28515625" customWidth="1"/>
    <col min="2" max="2" width="31.28515625" customWidth="1"/>
    <col min="3" max="3" width="6.7109375" customWidth="1"/>
    <col min="4" max="4" width="8.7109375" customWidth="1"/>
    <col min="5" max="5" width="10.28515625" customWidth="1"/>
    <col min="6" max="6" width="14.28515625" customWidth="1"/>
    <col min="7" max="7" width="12.28515625" customWidth="1"/>
    <col min="8" max="8" width="14.7109375" customWidth="1"/>
    <col min="9" max="9" width="10.7109375" customWidth="1"/>
    <col min="10" max="10" width="10" customWidth="1"/>
    <col min="11" max="11" width="14.28515625" customWidth="1"/>
    <col min="12" max="12" width="12.28515625" customWidth="1"/>
    <col min="13" max="13" width="1.28515625" customWidth="1"/>
    <col min="14" max="14" width="8.28515625" customWidth="1"/>
    <col min="15" max="15" width="8" customWidth="1"/>
    <col min="16" max="16" width="7.28515625" customWidth="1"/>
    <col min="17" max="17" width="11.28515625" customWidth="1"/>
    <col min="18" max="18" width="9.28515625" customWidth="1"/>
    <col min="19" max="19" width="12.28515625" customWidth="1"/>
    <col min="20" max="20" width="10" customWidth="1"/>
    <col min="21" max="26" width="9.28515625" customWidth="1"/>
  </cols>
  <sheetData>
    <row r="1" spans="1:26" ht="12.75" customHeight="1">
      <c r="A1" s="309"/>
      <c r="B1" s="2011" t="s">
        <v>0</v>
      </c>
      <c r="C1" s="2012"/>
      <c r="D1" s="2012"/>
      <c r="E1" s="2012"/>
      <c r="F1" s="2012"/>
      <c r="G1" s="2012"/>
      <c r="H1" s="2012"/>
      <c r="I1" s="2012"/>
      <c r="J1" s="2012"/>
      <c r="K1" s="2012"/>
      <c r="L1" s="2012"/>
      <c r="M1" s="2012"/>
      <c r="N1" s="2012"/>
      <c r="O1" s="2013"/>
      <c r="P1" s="1190"/>
      <c r="Q1" s="1162"/>
      <c r="R1" s="989"/>
      <c r="S1" s="990"/>
      <c r="T1" s="990"/>
      <c r="U1" s="990"/>
      <c r="V1" s="1021"/>
      <c r="W1" s="5"/>
      <c r="X1" s="5"/>
      <c r="Y1" s="5"/>
      <c r="Z1" s="5"/>
    </row>
    <row r="2" spans="1:26" ht="12.75" customHeight="1">
      <c r="A2" s="309"/>
      <c r="B2" s="2014" t="s">
        <v>394</v>
      </c>
      <c r="C2" s="1985"/>
      <c r="D2" s="1985"/>
      <c r="E2" s="1985"/>
      <c r="F2" s="1985"/>
      <c r="G2" s="1985"/>
      <c r="H2" s="1985"/>
      <c r="I2" s="1985"/>
      <c r="J2" s="1985"/>
      <c r="K2" s="1985"/>
      <c r="L2" s="1985"/>
      <c r="M2" s="1985"/>
      <c r="N2" s="1985"/>
      <c r="O2" s="2000"/>
      <c r="P2" s="1191"/>
      <c r="Q2" s="325"/>
      <c r="R2" s="991"/>
      <c r="S2" s="345"/>
      <c r="T2" s="345"/>
      <c r="U2" s="345"/>
      <c r="V2" s="1022"/>
      <c r="W2" s="5"/>
      <c r="X2" s="5"/>
      <c r="Y2" s="5"/>
      <c r="Z2" s="5"/>
    </row>
    <row r="3" spans="1:26" ht="12.75" customHeight="1">
      <c r="A3" s="309"/>
      <c r="B3" s="2015"/>
      <c r="C3" s="1985"/>
      <c r="D3" s="1985"/>
      <c r="E3" s="1985"/>
      <c r="F3" s="1985"/>
      <c r="G3" s="1985"/>
      <c r="H3" s="1985"/>
      <c r="I3" s="1985"/>
      <c r="J3" s="1985"/>
      <c r="K3" s="1985"/>
      <c r="L3" s="1985"/>
      <c r="M3" s="1985"/>
      <c r="N3" s="1985"/>
      <c r="O3" s="2000"/>
      <c r="P3" s="1191"/>
      <c r="Q3" s="325"/>
      <c r="R3" s="991"/>
      <c r="S3" s="992"/>
      <c r="T3" s="992"/>
      <c r="U3" s="992"/>
      <c r="V3" s="1022"/>
      <c r="W3" s="5"/>
      <c r="X3" s="5"/>
      <c r="Y3" s="5"/>
      <c r="Z3" s="5"/>
    </row>
    <row r="4" spans="1:26" ht="12.75" customHeight="1">
      <c r="A4" s="309"/>
      <c r="B4" s="1192"/>
      <c r="C4" s="894"/>
      <c r="D4" s="894"/>
      <c r="E4" s="894"/>
      <c r="F4" s="894"/>
      <c r="G4" s="894"/>
      <c r="H4" s="894"/>
      <c r="I4" s="894"/>
      <c r="J4" s="894"/>
      <c r="K4" s="894"/>
      <c r="L4" s="894"/>
      <c r="M4" s="894"/>
      <c r="N4" s="894"/>
      <c r="O4" s="993"/>
      <c r="P4" s="1193"/>
      <c r="Q4" s="1163"/>
      <c r="R4" s="994"/>
      <c r="S4" s="933"/>
      <c r="T4" s="933"/>
      <c r="U4" s="933"/>
      <c r="V4" s="609"/>
      <c r="W4" s="5"/>
      <c r="X4" s="5"/>
      <c r="Y4" s="5"/>
      <c r="Z4" s="5"/>
    </row>
    <row r="5" spans="1:26" ht="12.75" customHeight="1">
      <c r="A5" s="897"/>
      <c r="B5" s="25"/>
      <c r="C5" s="1175"/>
      <c r="D5" s="1988" t="s">
        <v>3</v>
      </c>
      <c r="E5" s="1989"/>
      <c r="F5" s="1989"/>
      <c r="G5" s="1989"/>
      <c r="H5" s="1989"/>
      <c r="I5" s="1989"/>
      <c r="J5" s="1989"/>
      <c r="K5" s="1989"/>
      <c r="L5" s="1990"/>
      <c r="M5" s="63"/>
      <c r="N5" s="1991"/>
      <c r="O5" s="2002"/>
      <c r="P5" s="1194"/>
      <c r="Q5" s="1164"/>
      <c r="R5" s="995"/>
      <c r="S5" s="309"/>
      <c r="T5" s="309"/>
      <c r="U5" s="309"/>
      <c r="V5" s="328"/>
      <c r="W5" s="5"/>
      <c r="X5" s="5"/>
      <c r="Y5" s="5"/>
      <c r="Z5" s="5"/>
    </row>
    <row r="6" spans="1:26" ht="12.75" customHeight="1">
      <c r="A6" s="1053"/>
      <c r="B6" s="1134"/>
      <c r="C6" s="901"/>
      <c r="D6" s="2008">
        <v>41639</v>
      </c>
      <c r="E6" s="1981"/>
      <c r="F6" s="1981"/>
      <c r="G6" s="1981"/>
      <c r="H6" s="1195"/>
      <c r="I6" s="2003">
        <v>42004</v>
      </c>
      <c r="J6" s="1981"/>
      <c r="K6" s="1981"/>
      <c r="L6" s="1983"/>
      <c r="M6" s="1134"/>
      <c r="N6" s="544" t="s">
        <v>5</v>
      </c>
      <c r="O6" s="41" t="s">
        <v>6</v>
      </c>
      <c r="P6" s="1196"/>
      <c r="Q6" s="1116"/>
      <c r="R6" s="1116"/>
      <c r="S6" s="1116"/>
      <c r="T6" s="1116"/>
      <c r="U6" s="323"/>
      <c r="V6" s="327"/>
      <c r="W6" s="5"/>
      <c r="X6" s="5"/>
      <c r="Y6" s="5"/>
      <c r="Z6" s="5"/>
    </row>
    <row r="7" spans="1:26" ht="12.75" customHeight="1">
      <c r="A7" s="42"/>
      <c r="B7" s="1" t="s">
        <v>7</v>
      </c>
      <c r="C7" s="1176" t="s">
        <v>8</v>
      </c>
      <c r="D7" s="893" t="s">
        <v>9</v>
      </c>
      <c r="E7" s="113" t="s">
        <v>10</v>
      </c>
      <c r="F7" s="113" t="s">
        <v>11</v>
      </c>
      <c r="G7" s="113" t="s">
        <v>12</v>
      </c>
      <c r="H7" s="113"/>
      <c r="I7" s="113" t="s">
        <v>9</v>
      </c>
      <c r="J7" s="113" t="s">
        <v>10</v>
      </c>
      <c r="K7" s="114" t="s">
        <v>11</v>
      </c>
      <c r="L7" s="115" t="s">
        <v>12</v>
      </c>
      <c r="M7" s="1"/>
      <c r="N7" s="113" t="s">
        <v>15</v>
      </c>
      <c r="O7" s="115" t="s">
        <v>15</v>
      </c>
      <c r="P7" s="111"/>
      <c r="Q7" s="544"/>
      <c r="R7" s="544"/>
      <c r="S7" s="1116"/>
      <c r="T7" s="1116"/>
      <c r="U7" s="323"/>
      <c r="V7" s="327"/>
      <c r="W7" s="5"/>
      <c r="X7" s="5"/>
      <c r="Y7" s="5"/>
      <c r="Z7" s="5"/>
    </row>
    <row r="8" spans="1:26" ht="12.75" customHeight="1">
      <c r="A8" s="334"/>
      <c r="B8" s="1134" t="s">
        <v>360</v>
      </c>
      <c r="C8" s="1178"/>
      <c r="D8" s="544"/>
      <c r="E8" s="544"/>
      <c r="F8" s="544"/>
      <c r="G8" s="544"/>
      <c r="H8" s="544"/>
      <c r="I8" s="544"/>
      <c r="J8" s="544"/>
      <c r="K8" s="1179"/>
      <c r="L8" s="855"/>
      <c r="M8" s="1134"/>
      <c r="N8" s="62"/>
      <c r="O8" s="1180"/>
      <c r="P8" s="111"/>
      <c r="Q8" s="882"/>
      <c r="R8" s="892"/>
      <c r="S8" s="323"/>
      <c r="T8" s="323"/>
      <c r="U8" s="323"/>
      <c r="V8" s="327"/>
      <c r="W8" s="5"/>
      <c r="X8" s="5"/>
      <c r="Y8" s="5"/>
      <c r="Z8" s="5"/>
    </row>
    <row r="9" spans="1:26" ht="12.75" customHeight="1">
      <c r="A9" s="532">
        <v>1</v>
      </c>
      <c r="B9" s="334" t="s">
        <v>230</v>
      </c>
      <c r="C9" s="335" t="s">
        <v>231</v>
      </c>
      <c r="D9" s="547">
        <v>25</v>
      </c>
      <c r="E9" s="1055">
        <v>140.25</v>
      </c>
      <c r="F9" s="327">
        <f t="shared" ref="F9:F38" si="0">E9*D9</f>
        <v>3506.25</v>
      </c>
      <c r="G9" s="331">
        <f t="shared" ref="G9:G38" si="1">F9/$F$70</f>
        <v>2.8644864462917675E-2</v>
      </c>
      <c r="H9" s="544"/>
      <c r="I9" s="547">
        <v>25</v>
      </c>
      <c r="J9" s="1055">
        <v>164.32</v>
      </c>
      <c r="K9" s="1147">
        <f t="shared" ref="K9:K38" si="2">I9*J9</f>
        <v>4108</v>
      </c>
      <c r="L9" s="1118">
        <f t="shared" ref="L9:L39" si="3">K9/$K$70</f>
        <v>2.8492889817135016E-2</v>
      </c>
      <c r="M9" s="1134"/>
      <c r="N9" s="495">
        <f>(K9-F9)/F9</f>
        <v>0.17162210338680928</v>
      </c>
      <c r="O9" s="329">
        <f>(J9-Transactions!C1395)/Transactions!C1395</f>
        <v>1.0980592441266599</v>
      </c>
      <c r="P9" s="119"/>
      <c r="Q9" s="327"/>
      <c r="R9" s="331"/>
      <c r="S9" s="327"/>
      <c r="T9" s="327"/>
      <c r="U9" s="323"/>
      <c r="V9" s="327"/>
      <c r="W9" s="5"/>
      <c r="X9" s="5"/>
      <c r="Y9" s="5"/>
      <c r="Z9" s="5"/>
    </row>
    <row r="10" spans="1:26" ht="12.75" customHeight="1">
      <c r="A10" s="532">
        <v>2</v>
      </c>
      <c r="B10" s="334" t="s">
        <v>276</v>
      </c>
      <c r="C10" s="335" t="s">
        <v>277</v>
      </c>
      <c r="D10" s="547">
        <v>40</v>
      </c>
      <c r="E10" s="1055">
        <v>38.33</v>
      </c>
      <c r="F10" s="327">
        <f t="shared" si="0"/>
        <v>1533.1999999999998</v>
      </c>
      <c r="G10" s="331">
        <f t="shared" si="1"/>
        <v>1.2525720126786559E-2</v>
      </c>
      <c r="H10" s="544"/>
      <c r="I10" s="547">
        <v>40</v>
      </c>
      <c r="J10" s="1055">
        <v>45.02</v>
      </c>
      <c r="K10" s="1147">
        <f t="shared" si="2"/>
        <v>1800.8000000000002</v>
      </c>
      <c r="L10" s="1118">
        <f t="shared" si="3"/>
        <v>1.2490261923733386E-2</v>
      </c>
      <c r="M10" s="1134"/>
      <c r="N10" s="495">
        <f>(K10-F10)/F10</f>
        <v>0.17453691625358753</v>
      </c>
      <c r="O10" s="329">
        <f>(J10-Transactions!C1200)/Transactions!C1200</f>
        <v>0.92269912449284663</v>
      </c>
      <c r="P10" s="119"/>
      <c r="Q10" s="327"/>
      <c r="R10" s="331"/>
      <c r="S10" s="327"/>
      <c r="T10" s="327"/>
      <c r="U10" s="323"/>
      <c r="V10" s="327"/>
      <c r="W10" s="5"/>
      <c r="X10" s="5"/>
      <c r="Y10" s="5"/>
      <c r="Z10" s="5"/>
    </row>
    <row r="11" spans="1:26" ht="12.75" customHeight="1">
      <c r="A11" s="532">
        <v>3</v>
      </c>
      <c r="B11" s="334" t="s">
        <v>395</v>
      </c>
      <c r="C11" s="335" t="s">
        <v>396</v>
      </c>
      <c r="D11" s="547">
        <v>40</v>
      </c>
      <c r="E11" s="1055">
        <v>79.540000000000006</v>
      </c>
      <c r="F11" s="327">
        <f t="shared" si="0"/>
        <v>3181.6000000000004</v>
      </c>
      <c r="G11" s="331">
        <f t="shared" si="1"/>
        <v>2.5992584891328024E-2</v>
      </c>
      <c r="H11" s="548" t="s">
        <v>397</v>
      </c>
      <c r="I11" s="547">
        <v>40</v>
      </c>
      <c r="J11" s="1055">
        <v>89.31</v>
      </c>
      <c r="K11" s="1147">
        <f t="shared" si="2"/>
        <v>3572.4</v>
      </c>
      <c r="L11" s="1118">
        <f t="shared" si="3"/>
        <v>2.4777994056166781E-2</v>
      </c>
      <c r="M11" s="1134"/>
      <c r="N11" s="495"/>
      <c r="O11" s="1197">
        <f>(J11-Transactions!C937)/Transactions!C937</f>
        <v>0.11931319714249899</v>
      </c>
      <c r="P11" s="119"/>
      <c r="Q11" s="327"/>
      <c r="R11" s="331"/>
      <c r="S11" s="327"/>
      <c r="T11" s="327"/>
      <c r="U11" s="323"/>
      <c r="V11" s="327"/>
      <c r="W11" s="5"/>
      <c r="X11" s="5"/>
      <c r="Y11" s="5"/>
      <c r="Z11" s="5"/>
    </row>
    <row r="12" spans="1:26" ht="12.75" customHeight="1">
      <c r="A12" s="532">
        <v>4</v>
      </c>
      <c r="B12" s="334" t="s">
        <v>341</v>
      </c>
      <c r="C12" s="335" t="s">
        <v>342</v>
      </c>
      <c r="D12" s="547">
        <v>10</v>
      </c>
      <c r="E12" s="1055">
        <v>111.78</v>
      </c>
      <c r="F12" s="327">
        <f t="shared" si="0"/>
        <v>1117.8</v>
      </c>
      <c r="G12" s="331">
        <f t="shared" si="1"/>
        <v>9.1320440632155081E-3</v>
      </c>
      <c r="H12" s="544"/>
      <c r="I12" s="547">
        <v>10</v>
      </c>
      <c r="J12" s="1055">
        <v>144.22999999999999</v>
      </c>
      <c r="K12" s="1147">
        <f t="shared" si="2"/>
        <v>1442.3</v>
      </c>
      <c r="L12" s="1118">
        <f t="shared" si="3"/>
        <v>1.0003723218903075E-2</v>
      </c>
      <c r="M12" s="1134"/>
      <c r="N12" s="495">
        <f>(K12-F12)/F12</f>
        <v>0.29030237967436034</v>
      </c>
      <c r="O12" s="329">
        <f>(J12-Transactions!C1086)/Transactions!C1086</f>
        <v>0.76169537070966142</v>
      </c>
      <c r="P12" s="119"/>
      <c r="Q12" s="57"/>
      <c r="R12" s="331"/>
      <c r="S12" s="327"/>
      <c r="T12" s="327"/>
      <c r="U12" s="323"/>
      <c r="V12" s="327"/>
      <c r="W12" s="5"/>
      <c r="X12" s="5"/>
      <c r="Y12" s="5"/>
      <c r="Z12" s="5"/>
    </row>
    <row r="13" spans="1:26" ht="12.75" customHeight="1">
      <c r="A13" s="532">
        <v>5</v>
      </c>
      <c r="B13" s="334" t="s">
        <v>398</v>
      </c>
      <c r="C13" s="335" t="s">
        <v>399</v>
      </c>
      <c r="D13" s="547">
        <v>20</v>
      </c>
      <c r="E13" s="1055">
        <v>102.03</v>
      </c>
      <c r="F13" s="327">
        <f t="shared" si="0"/>
        <v>2040.6</v>
      </c>
      <c r="G13" s="331">
        <f t="shared" si="1"/>
        <v>1.6671004755231318E-2</v>
      </c>
      <c r="H13" s="547" t="s">
        <v>400</v>
      </c>
      <c r="I13" s="547">
        <v>20</v>
      </c>
      <c r="J13" s="1055">
        <v>98.85</v>
      </c>
      <c r="K13" s="1147">
        <f t="shared" si="2"/>
        <v>1977</v>
      </c>
      <c r="L13" s="1118">
        <f t="shared" si="3"/>
        <v>1.3712376623290149E-2</v>
      </c>
      <c r="M13" s="1134"/>
      <c r="N13" s="495"/>
      <c r="O13" s="329">
        <f>(J13-Transactions!C884)/Transactions!C884</f>
        <v>-3.5891934068077704E-2</v>
      </c>
      <c r="P13" s="119"/>
      <c r="Q13" s="1198"/>
      <c r="R13" s="331"/>
      <c r="S13" s="327"/>
      <c r="T13" s="327"/>
      <c r="U13" s="323"/>
      <c r="V13" s="327"/>
      <c r="W13" s="5"/>
      <c r="X13" s="5"/>
      <c r="Y13" s="5"/>
      <c r="Z13" s="5"/>
    </row>
    <row r="14" spans="1:26" ht="12.75" customHeight="1">
      <c r="A14" s="532">
        <v>6</v>
      </c>
      <c r="B14" s="334" t="s">
        <v>401</v>
      </c>
      <c r="C14" s="335" t="s">
        <v>402</v>
      </c>
      <c r="D14" s="547">
        <v>15</v>
      </c>
      <c r="E14" s="1055">
        <v>161.85</v>
      </c>
      <c r="F14" s="327">
        <f t="shared" si="0"/>
        <v>2427.75</v>
      </c>
      <c r="G14" s="331">
        <f t="shared" si="1"/>
        <v>1.9833887971436259E-2</v>
      </c>
      <c r="H14" s="547" t="s">
        <v>403</v>
      </c>
      <c r="I14" s="547">
        <v>15</v>
      </c>
      <c r="J14" s="1055">
        <v>159.29</v>
      </c>
      <c r="K14" s="1147">
        <f t="shared" si="2"/>
        <v>2389.35</v>
      </c>
      <c r="L14" s="1118">
        <f t="shared" si="3"/>
        <v>1.6572416330226766E-2</v>
      </c>
      <c r="M14" s="1134"/>
      <c r="N14" s="495"/>
      <c r="O14" s="329">
        <f>(J14-Transactions!C897)/Transactions!C897</f>
        <v>-1.8364454304554249E-2</v>
      </c>
      <c r="P14" s="119"/>
      <c r="Q14" s="1198"/>
      <c r="R14" s="331"/>
      <c r="S14" s="327"/>
      <c r="T14" s="327"/>
      <c r="U14" s="323"/>
      <c r="V14" s="327"/>
      <c r="W14" s="5"/>
      <c r="X14" s="5"/>
      <c r="Y14" s="5"/>
      <c r="Z14" s="5"/>
    </row>
    <row r="15" spans="1:26" ht="12.75" customHeight="1">
      <c r="A15" s="532">
        <v>7</v>
      </c>
      <c r="B15" s="334" t="s">
        <v>206</v>
      </c>
      <c r="C15" s="335" t="s">
        <v>207</v>
      </c>
      <c r="D15" s="547">
        <v>6</v>
      </c>
      <c r="E15" s="1055">
        <v>561.02</v>
      </c>
      <c r="F15" s="327">
        <f t="shared" si="0"/>
        <v>3366.12</v>
      </c>
      <c r="G15" s="331">
        <f t="shared" si="1"/>
        <v>2.7500050243398629E-2</v>
      </c>
      <c r="H15" s="547"/>
      <c r="I15" s="547">
        <v>42</v>
      </c>
      <c r="J15" s="1055">
        <v>110.43</v>
      </c>
      <c r="K15" s="1147">
        <f t="shared" si="2"/>
        <v>4638.0600000000004</v>
      </c>
      <c r="L15" s="1118">
        <f t="shared" si="3"/>
        <v>3.2169360405370315E-2</v>
      </c>
      <c r="M15" s="1199"/>
      <c r="N15" s="495">
        <f>(K15-F15)/F15</f>
        <v>0.37786531674450125</v>
      </c>
      <c r="O15" s="329">
        <f>(J15-Transactions!C1433)/Transactions!C1433</f>
        <v>3.359652585866562</v>
      </c>
      <c r="P15" s="119"/>
      <c r="Q15" s="1200"/>
      <c r="R15" s="331"/>
      <c r="S15" s="327"/>
      <c r="T15" s="327"/>
      <c r="U15" s="309"/>
      <c r="V15" s="328"/>
      <c r="W15" s="5"/>
      <c r="X15" s="5"/>
      <c r="Y15" s="5"/>
      <c r="Z15" s="5"/>
    </row>
    <row r="16" spans="1:26" ht="12.75" customHeight="1">
      <c r="A16" s="532">
        <v>8</v>
      </c>
      <c r="B16" s="334" t="s">
        <v>404</v>
      </c>
      <c r="C16" s="335" t="s">
        <v>405</v>
      </c>
      <c r="D16" s="547">
        <v>50</v>
      </c>
      <c r="E16" s="1055">
        <v>58.218000000000004</v>
      </c>
      <c r="F16" s="327">
        <f t="shared" si="0"/>
        <v>2910.9</v>
      </c>
      <c r="G16" s="331">
        <f t="shared" si="1"/>
        <v>2.3781058385770285E-2</v>
      </c>
      <c r="H16" s="547" t="s">
        <v>406</v>
      </c>
      <c r="I16" s="547">
        <v>50</v>
      </c>
      <c r="J16" s="1055">
        <v>64.66</v>
      </c>
      <c r="K16" s="1147">
        <f t="shared" si="2"/>
        <v>3233</v>
      </c>
      <c r="L16" s="1118">
        <f t="shared" si="3"/>
        <v>2.2423932029892287E-2</v>
      </c>
      <c r="M16" s="1199"/>
      <c r="N16" s="495"/>
      <c r="O16" s="1201">
        <f>(J16-Transactions!C921)/Transactions!C921</f>
        <v>0.10681273536460108</v>
      </c>
      <c r="P16" s="119"/>
      <c r="Q16" s="1202"/>
      <c r="R16" s="331"/>
      <c r="S16" s="327"/>
      <c r="T16" s="327"/>
      <c r="U16" s="309"/>
      <c r="V16" s="328"/>
      <c r="W16" s="5"/>
      <c r="X16" s="5"/>
      <c r="Y16" s="5"/>
      <c r="Z16" s="5"/>
    </row>
    <row r="17" spans="1:26" ht="12.75" customHeight="1">
      <c r="A17" s="532">
        <v>9</v>
      </c>
      <c r="B17" s="334" t="s">
        <v>407</v>
      </c>
      <c r="C17" s="335" t="s">
        <v>408</v>
      </c>
      <c r="D17" s="547">
        <v>3</v>
      </c>
      <c r="E17" s="1055">
        <v>670.05</v>
      </c>
      <c r="F17" s="327">
        <f t="shared" si="0"/>
        <v>2010.1499999999999</v>
      </c>
      <c r="G17" s="331">
        <f t="shared" si="1"/>
        <v>1.6422238659574748E-2</v>
      </c>
      <c r="H17" s="547" t="s">
        <v>409</v>
      </c>
      <c r="I17" s="547">
        <v>3</v>
      </c>
      <c r="J17" s="1055">
        <v>684.51</v>
      </c>
      <c r="K17" s="1147">
        <f t="shared" si="2"/>
        <v>2053.5299999999997</v>
      </c>
      <c r="L17" s="1118">
        <f t="shared" si="3"/>
        <v>1.4243185011241789E-2</v>
      </c>
      <c r="M17" s="1199"/>
      <c r="N17" s="495"/>
      <c r="O17" s="329">
        <f>(J17-Transactions!C892)/Transactions!C892</f>
        <v>2.1580631532069496E-2</v>
      </c>
      <c r="P17" s="119"/>
      <c r="Q17" s="1202"/>
      <c r="R17" s="331"/>
      <c r="S17" s="327"/>
      <c r="T17" s="327"/>
      <c r="U17" s="309"/>
      <c r="V17" s="328"/>
      <c r="W17" s="5"/>
      <c r="X17" s="5"/>
      <c r="Y17" s="5"/>
      <c r="Z17" s="5"/>
    </row>
    <row r="18" spans="1:26" ht="12.75" customHeight="1">
      <c r="A18" s="532">
        <v>10</v>
      </c>
      <c r="B18" s="334" t="s">
        <v>281</v>
      </c>
      <c r="C18" s="335" t="s">
        <v>152</v>
      </c>
      <c r="D18" s="547">
        <v>120</v>
      </c>
      <c r="E18" s="1055">
        <v>22.43</v>
      </c>
      <c r="F18" s="327">
        <f t="shared" si="0"/>
        <v>2691.6</v>
      </c>
      <c r="G18" s="331">
        <f t="shared" si="1"/>
        <v>2.1989452317544161E-2</v>
      </c>
      <c r="H18" s="547"/>
      <c r="I18" s="547">
        <v>120</v>
      </c>
      <c r="J18" s="1055">
        <v>27.82</v>
      </c>
      <c r="K18" s="1147">
        <f t="shared" si="2"/>
        <v>3338.4</v>
      </c>
      <c r="L18" s="1118">
        <f t="shared" si="3"/>
        <v>2.3154981345064156E-2</v>
      </c>
      <c r="M18" s="1199"/>
      <c r="N18" s="495">
        <f t="shared" ref="N18:N23" si="4">(K18-F18)/F18</f>
        <v>0.24030316540347757</v>
      </c>
      <c r="O18" s="329">
        <f>(J18-Transactions!C1201)/Transactions!C1201</f>
        <v>0.48373333333333335</v>
      </c>
      <c r="P18" s="119"/>
      <c r="Q18" s="1200"/>
      <c r="R18" s="331"/>
      <c r="S18" s="327"/>
      <c r="T18" s="327"/>
      <c r="U18" s="309"/>
      <c r="V18" s="328"/>
      <c r="W18" s="5"/>
      <c r="X18" s="5"/>
      <c r="Y18" s="5"/>
      <c r="Z18" s="5"/>
    </row>
    <row r="19" spans="1:26" ht="12.75" customHeight="1">
      <c r="A19" s="532">
        <v>11</v>
      </c>
      <c r="B19" s="334" t="s">
        <v>153</v>
      </c>
      <c r="C19" s="335" t="s">
        <v>154</v>
      </c>
      <c r="D19" s="547">
        <v>70</v>
      </c>
      <c r="E19" s="1055">
        <v>41.31</v>
      </c>
      <c r="F19" s="327">
        <f t="shared" si="0"/>
        <v>2891.7000000000003</v>
      </c>
      <c r="G19" s="331">
        <f t="shared" si="1"/>
        <v>2.362420094614447E-2</v>
      </c>
      <c r="H19" s="547"/>
      <c r="I19" s="547">
        <v>70</v>
      </c>
      <c r="J19" s="1055">
        <v>42.22</v>
      </c>
      <c r="K19" s="1147">
        <f t="shared" si="2"/>
        <v>2955.4</v>
      </c>
      <c r="L19" s="1118">
        <f t="shared" si="3"/>
        <v>2.0498511822191052E-2</v>
      </c>
      <c r="M19" s="1199"/>
      <c r="N19" s="495">
        <f t="shared" si="4"/>
        <v>2.2028564512224579E-2</v>
      </c>
      <c r="O19" s="329">
        <f>(J19-Transactions!C1375)/Transactions!C1375</f>
        <v>0.92609489051094873</v>
      </c>
      <c r="P19" s="119"/>
      <c r="Q19" s="1200"/>
      <c r="R19" s="331"/>
      <c r="S19" s="327"/>
      <c r="T19" s="327"/>
      <c r="U19" s="309"/>
      <c r="V19" s="328"/>
      <c r="W19" s="5"/>
      <c r="X19" s="5"/>
      <c r="Y19" s="5"/>
      <c r="Z19" s="5"/>
    </row>
    <row r="20" spans="1:26" ht="12.75" customHeight="1">
      <c r="A20" s="532">
        <v>12</v>
      </c>
      <c r="B20" s="1059" t="s">
        <v>24</v>
      </c>
      <c r="C20" s="138" t="s">
        <v>25</v>
      </c>
      <c r="D20" s="1181">
        <v>60</v>
      </c>
      <c r="E20" s="1055">
        <v>77.2</v>
      </c>
      <c r="F20" s="327">
        <f t="shared" si="0"/>
        <v>4632</v>
      </c>
      <c r="G20" s="331">
        <f t="shared" si="1"/>
        <v>3.784185730972825E-2</v>
      </c>
      <c r="H20" s="548"/>
      <c r="I20" s="1181">
        <v>60</v>
      </c>
      <c r="J20" s="1055">
        <v>85.71</v>
      </c>
      <c r="K20" s="1147">
        <f t="shared" si="2"/>
        <v>5142.5999999999995</v>
      </c>
      <c r="L20" s="1118">
        <f t="shared" si="3"/>
        <v>3.5668825504770817E-2</v>
      </c>
      <c r="M20" s="344"/>
      <c r="N20" s="495">
        <f t="shared" si="4"/>
        <v>0.11023316062176154</v>
      </c>
      <c r="O20" s="329">
        <f>(J20-Transactions!C1718)/Transactions!C1718</f>
        <v>2.377733990147783</v>
      </c>
      <c r="P20" s="119"/>
      <c r="Q20" s="1200"/>
      <c r="R20" s="331"/>
      <c r="S20" s="327"/>
      <c r="T20" s="327"/>
      <c r="U20" s="309"/>
      <c r="V20" s="328"/>
      <c r="W20" s="5"/>
      <c r="X20" s="5"/>
      <c r="Y20" s="5"/>
      <c r="Z20" s="5"/>
    </row>
    <row r="21" spans="1:26" ht="12.75" customHeight="1">
      <c r="A21" s="532">
        <v>13</v>
      </c>
      <c r="B21" s="1059" t="s">
        <v>252</v>
      </c>
      <c r="C21" s="138" t="s">
        <v>253</v>
      </c>
      <c r="D21" s="1181">
        <v>30</v>
      </c>
      <c r="E21" s="1055">
        <v>55.95</v>
      </c>
      <c r="F21" s="327">
        <f t="shared" si="0"/>
        <v>1678.5</v>
      </c>
      <c r="G21" s="331">
        <f t="shared" si="1"/>
        <v>1.3712771479788183E-2</v>
      </c>
      <c r="H21" s="548"/>
      <c r="I21" s="1181">
        <v>30</v>
      </c>
      <c r="J21" s="1055">
        <v>65.489999999999995</v>
      </c>
      <c r="K21" s="1147">
        <f t="shared" si="2"/>
        <v>1964.6999999999998</v>
      </c>
      <c r="L21" s="1118">
        <f t="shared" si="3"/>
        <v>1.3627064416680906E-2</v>
      </c>
      <c r="M21" s="344"/>
      <c r="N21" s="495">
        <f t="shared" si="4"/>
        <v>0.17050938337801597</v>
      </c>
      <c r="O21" s="329">
        <f>(J21-Transactions!C1138)/Transactions!C1138</f>
        <v>1.6185525789684121</v>
      </c>
      <c r="P21" s="119"/>
      <c r="Q21" s="1200"/>
      <c r="R21" s="331"/>
      <c r="S21" s="327"/>
      <c r="T21" s="327"/>
      <c r="U21" s="309"/>
      <c r="V21" s="328"/>
      <c r="W21" s="5"/>
      <c r="X21" s="5"/>
      <c r="Y21" s="5"/>
      <c r="Z21" s="5"/>
    </row>
    <row r="22" spans="1:26" ht="12.75" customHeight="1">
      <c r="A22" s="532">
        <v>14</v>
      </c>
      <c r="B22" s="334" t="s">
        <v>284</v>
      </c>
      <c r="C22" s="138" t="s">
        <v>285</v>
      </c>
      <c r="D22" s="1181">
        <v>28</v>
      </c>
      <c r="E22" s="1055">
        <v>101.2</v>
      </c>
      <c r="F22" s="327">
        <f t="shared" si="0"/>
        <v>2833.6</v>
      </c>
      <c r="G22" s="331">
        <f t="shared" si="1"/>
        <v>2.3149543798110097E-2</v>
      </c>
      <c r="H22" s="548"/>
      <c r="I22" s="1181">
        <v>28</v>
      </c>
      <c r="J22" s="1055">
        <v>92.45</v>
      </c>
      <c r="K22" s="1147">
        <f t="shared" si="2"/>
        <v>2588.6</v>
      </c>
      <c r="L22" s="1118">
        <f t="shared" si="3"/>
        <v>1.7954404717778896E-2</v>
      </c>
      <c r="M22" s="344"/>
      <c r="N22" s="495">
        <f t="shared" si="4"/>
        <v>-8.6462450592885376E-2</v>
      </c>
      <c r="O22" s="1201">
        <f>(J22-Transactions!C1403)/Transactions!C1403</f>
        <v>9.6678529062870777E-2</v>
      </c>
      <c r="P22" s="119"/>
      <c r="Q22" s="1200"/>
      <c r="R22" s="331"/>
      <c r="S22" s="327"/>
      <c r="T22" s="327"/>
      <c r="U22" s="309"/>
      <c r="V22" s="328"/>
      <c r="W22" s="5"/>
      <c r="X22" s="5"/>
      <c r="Y22" s="5"/>
      <c r="Z22" s="5"/>
    </row>
    <row r="23" spans="1:26" ht="12.75" customHeight="1">
      <c r="A23" s="532">
        <v>15</v>
      </c>
      <c r="B23" s="334" t="s">
        <v>319</v>
      </c>
      <c r="C23" s="138" t="s">
        <v>320</v>
      </c>
      <c r="D23" s="1181">
        <v>15</v>
      </c>
      <c r="E23" s="1055">
        <v>143.77000000000001</v>
      </c>
      <c r="F23" s="327">
        <f t="shared" si="0"/>
        <v>2156.5500000000002</v>
      </c>
      <c r="G23" s="331">
        <f t="shared" si="1"/>
        <v>1.7618276636721601E-2</v>
      </c>
      <c r="H23" s="548"/>
      <c r="I23" s="1181">
        <v>15</v>
      </c>
      <c r="J23" s="1055">
        <v>173.66</v>
      </c>
      <c r="K23" s="1147">
        <f t="shared" si="2"/>
        <v>2604.9</v>
      </c>
      <c r="L23" s="1118">
        <f t="shared" si="3"/>
        <v>1.8067460731415533E-2</v>
      </c>
      <c r="M23" s="344"/>
      <c r="N23" s="495">
        <f t="shared" si="4"/>
        <v>0.20790150935522009</v>
      </c>
      <c r="O23" s="329">
        <f>(J23-Transactions!C1094)/Transactions!C1094</f>
        <v>1.0827536579515471</v>
      </c>
      <c r="P23" s="119"/>
      <c r="Q23" s="1200"/>
      <c r="R23" s="331"/>
      <c r="S23" s="327"/>
      <c r="T23" s="327"/>
      <c r="U23" s="309"/>
      <c r="V23" s="328"/>
      <c r="W23" s="5"/>
      <c r="X23" s="5"/>
      <c r="Y23" s="5"/>
      <c r="Z23" s="5"/>
    </row>
    <row r="24" spans="1:26" ht="12.75" customHeight="1">
      <c r="A24" s="532">
        <v>16</v>
      </c>
      <c r="B24" s="334" t="s">
        <v>410</v>
      </c>
      <c r="C24" s="138" t="s">
        <v>411</v>
      </c>
      <c r="D24" s="1181">
        <v>40</v>
      </c>
      <c r="E24" s="1055">
        <v>75.14</v>
      </c>
      <c r="F24" s="327">
        <f t="shared" si="0"/>
        <v>3005.6</v>
      </c>
      <c r="G24" s="331">
        <f t="shared" si="1"/>
        <v>2.4554725028091369E-2</v>
      </c>
      <c r="H24" s="548" t="s">
        <v>412</v>
      </c>
      <c r="I24" s="1181">
        <v>40</v>
      </c>
      <c r="J24" s="1055">
        <v>94.26</v>
      </c>
      <c r="K24" s="1147">
        <f t="shared" si="2"/>
        <v>3770.4</v>
      </c>
      <c r="L24" s="1118">
        <f t="shared" si="3"/>
        <v>2.6151312504022851E-2</v>
      </c>
      <c r="M24" s="344"/>
      <c r="N24" s="495"/>
      <c r="O24" s="329">
        <f>(J24-Transactions!C931)/Transactions!C931</f>
        <v>0.25029844807003587</v>
      </c>
      <c r="P24" s="119"/>
      <c r="Q24" s="1200"/>
      <c r="R24" s="331"/>
      <c r="S24" s="327"/>
      <c r="T24" s="327"/>
      <c r="U24" s="309"/>
      <c r="V24" s="328"/>
      <c r="W24" s="5"/>
      <c r="X24" s="5"/>
      <c r="Y24" s="5"/>
      <c r="Z24" s="5"/>
    </row>
    <row r="25" spans="1:26" ht="12.75" customHeight="1">
      <c r="A25" s="532">
        <v>17</v>
      </c>
      <c r="B25" s="334" t="s">
        <v>323</v>
      </c>
      <c r="C25" s="138" t="s">
        <v>110</v>
      </c>
      <c r="D25" s="1181">
        <v>140</v>
      </c>
      <c r="E25" s="1055">
        <v>25.954999999999998</v>
      </c>
      <c r="F25" s="327">
        <f t="shared" si="0"/>
        <v>3633.7</v>
      </c>
      <c r="G25" s="331">
        <f t="shared" si="1"/>
        <v>2.968608741501717E-2</v>
      </c>
      <c r="H25" s="548"/>
      <c r="I25" s="1181">
        <v>140</v>
      </c>
      <c r="J25" s="1055">
        <v>36.299999999999997</v>
      </c>
      <c r="K25" s="1147">
        <f t="shared" si="2"/>
        <v>5082</v>
      </c>
      <c r="L25" s="1118">
        <f t="shared" si="3"/>
        <v>3.5248506828305784E-2</v>
      </c>
      <c r="M25" s="344"/>
      <c r="N25" s="495">
        <f>(K25-F25)/F25</f>
        <v>0.39857445578886541</v>
      </c>
      <c r="O25" s="329">
        <f>(J25-Transactions!C1170)/Transactions!C1170</f>
        <v>0.69865090618112369</v>
      </c>
      <c r="P25" s="119"/>
      <c r="Q25" s="1200"/>
      <c r="R25" s="331"/>
      <c r="S25" s="327"/>
      <c r="T25" s="327"/>
      <c r="U25" s="309"/>
      <c r="V25" s="328"/>
      <c r="W25" s="5"/>
      <c r="X25" s="5"/>
      <c r="Y25" s="5"/>
      <c r="Z25" s="5"/>
    </row>
    <row r="26" spans="1:26" ht="12.75" customHeight="1">
      <c r="A26" s="532">
        <v>18</v>
      </c>
      <c r="B26" s="334" t="s">
        <v>413</v>
      </c>
      <c r="C26" s="138" t="s">
        <v>414</v>
      </c>
      <c r="D26" s="1181">
        <v>40</v>
      </c>
      <c r="E26" s="1055">
        <v>54.81</v>
      </c>
      <c r="F26" s="327">
        <f t="shared" si="0"/>
        <v>2192.4</v>
      </c>
      <c r="G26" s="331">
        <f t="shared" si="1"/>
        <v>1.7911158887272932E-2</v>
      </c>
      <c r="H26" s="548" t="s">
        <v>415</v>
      </c>
      <c r="I26" s="1181">
        <v>40</v>
      </c>
      <c r="J26" s="1055">
        <v>53.58</v>
      </c>
      <c r="K26" s="1147">
        <f t="shared" si="2"/>
        <v>2143.1999999999998</v>
      </c>
      <c r="L26" s="1118">
        <f t="shared" si="3"/>
        <v>1.4865131805278424E-2</v>
      </c>
      <c r="M26" s="344"/>
      <c r="N26" s="495"/>
      <c r="O26" s="329">
        <f>(J26-Transactions!C880)/Transactions!C880</f>
        <v>-2.2441160372194926E-2</v>
      </c>
      <c r="P26" s="119"/>
      <c r="Q26" s="1198"/>
      <c r="R26" s="331"/>
      <c r="S26" s="327"/>
      <c r="T26" s="327"/>
      <c r="U26" s="309"/>
      <c r="V26" s="328"/>
      <c r="W26" s="5"/>
      <c r="X26" s="5"/>
      <c r="Y26" s="5"/>
      <c r="Z26" s="5"/>
    </row>
    <row r="27" spans="1:26" ht="12.75" customHeight="1">
      <c r="A27" s="532">
        <v>19</v>
      </c>
      <c r="B27" s="1182" t="s">
        <v>363</v>
      </c>
      <c r="C27" s="138" t="s">
        <v>364</v>
      </c>
      <c r="D27" s="1181">
        <v>37</v>
      </c>
      <c r="E27" s="1055">
        <v>80.66</v>
      </c>
      <c r="F27" s="327">
        <f t="shared" si="0"/>
        <v>2984.42</v>
      </c>
      <c r="G27" s="331">
        <f t="shared" si="1"/>
        <v>2.4381691665004143E-2</v>
      </c>
      <c r="H27" s="548"/>
      <c r="I27" s="1181">
        <v>81</v>
      </c>
      <c r="J27" s="1055">
        <v>42.31</v>
      </c>
      <c r="K27" s="1147">
        <f t="shared" si="2"/>
        <v>3427.11</v>
      </c>
      <c r="L27" s="1118">
        <f t="shared" si="3"/>
        <v>2.3770269625414214E-2</v>
      </c>
      <c r="M27" s="344"/>
      <c r="N27" s="495">
        <f>(K27-F27)/F27</f>
        <v>0.14833367957593102</v>
      </c>
      <c r="O27" s="329">
        <f>(K27-Transactions!E942)/Transactions!E942</f>
        <v>0.15391297613796676</v>
      </c>
      <c r="P27" s="119"/>
      <c r="Q27" s="1200"/>
      <c r="R27" s="331"/>
      <c r="S27" s="327"/>
      <c r="T27" s="327"/>
      <c r="U27" s="309"/>
      <c r="V27" s="328"/>
      <c r="W27" s="5"/>
      <c r="X27" s="5"/>
      <c r="Y27" s="5"/>
      <c r="Z27" s="5"/>
    </row>
    <row r="28" spans="1:26" ht="12.75" customHeight="1">
      <c r="A28" s="532">
        <v>20</v>
      </c>
      <c r="B28" s="334" t="s">
        <v>290</v>
      </c>
      <c r="C28" s="335" t="s">
        <v>291</v>
      </c>
      <c r="D28" s="547">
        <v>100</v>
      </c>
      <c r="E28" s="1055">
        <v>49.55</v>
      </c>
      <c r="F28" s="327">
        <f t="shared" si="0"/>
        <v>4955</v>
      </c>
      <c r="G28" s="331">
        <f t="shared" si="1"/>
        <v>4.0480656945100058E-2</v>
      </c>
      <c r="H28" s="547"/>
      <c r="I28" s="547">
        <v>100</v>
      </c>
      <c r="J28" s="1055">
        <v>68.8</v>
      </c>
      <c r="K28" s="1147">
        <f t="shared" si="2"/>
        <v>6880</v>
      </c>
      <c r="L28" s="1118">
        <f t="shared" si="3"/>
        <v>4.7719348087119993E-2</v>
      </c>
      <c r="M28" s="1199"/>
      <c r="N28" s="495">
        <f>(K28-F28)/F28</f>
        <v>0.38849646821392531</v>
      </c>
      <c r="O28" s="329">
        <f>(J28-Transactions!C1272)/Transactions!C1272</f>
        <v>1.8047289033836116</v>
      </c>
      <c r="P28" s="119"/>
      <c r="Q28" s="1200"/>
      <c r="R28" s="331"/>
      <c r="S28" s="327"/>
      <c r="T28" s="327"/>
      <c r="U28" s="309"/>
      <c r="V28" s="328"/>
      <c r="W28" s="5"/>
      <c r="X28" s="5"/>
      <c r="Y28" s="5"/>
      <c r="Z28" s="5"/>
    </row>
    <row r="29" spans="1:26" ht="12.75" customHeight="1">
      <c r="A29" s="532">
        <v>21</v>
      </c>
      <c r="B29" s="334" t="s">
        <v>40</v>
      </c>
      <c r="C29" s="138" t="s">
        <v>41</v>
      </c>
      <c r="D29" s="1181">
        <v>75</v>
      </c>
      <c r="E29" s="1055">
        <v>37.409999999999997</v>
      </c>
      <c r="F29" s="327">
        <f t="shared" si="0"/>
        <v>2805.7499999999995</v>
      </c>
      <c r="G29" s="331">
        <f t="shared" si="1"/>
        <v>2.2922018814069519E-2</v>
      </c>
      <c r="H29" s="548"/>
      <c r="I29" s="1181">
        <v>75</v>
      </c>
      <c r="J29" s="1055">
        <v>46.45</v>
      </c>
      <c r="K29" s="1147">
        <f t="shared" si="2"/>
        <v>3483.75</v>
      </c>
      <c r="L29" s="1118">
        <f t="shared" si="3"/>
        <v>2.4163121932922131E-2</v>
      </c>
      <c r="M29" s="344"/>
      <c r="N29" s="495">
        <f>(K29-F29)/F29</f>
        <v>0.24164661855118971</v>
      </c>
      <c r="O29" s="329">
        <f>(J29-Transactions!C1774)/Transactions!C1774</f>
        <v>0.82443047918303225</v>
      </c>
      <c r="P29" s="119"/>
      <c r="Q29" s="1200"/>
      <c r="R29" s="331"/>
      <c r="S29" s="327"/>
      <c r="T29" s="327"/>
      <c r="U29" s="309"/>
      <c r="V29" s="328"/>
      <c r="W29" s="5"/>
      <c r="X29" s="5"/>
      <c r="Y29" s="5"/>
      <c r="Z29" s="5"/>
    </row>
    <row r="30" spans="1:26" ht="12.75" customHeight="1">
      <c r="A30" s="532">
        <v>22</v>
      </c>
      <c r="B30" s="334" t="s">
        <v>292</v>
      </c>
      <c r="C30" s="138" t="s">
        <v>293</v>
      </c>
      <c r="D30" s="1181">
        <v>65</v>
      </c>
      <c r="E30" s="1055">
        <v>80.38</v>
      </c>
      <c r="F30" s="327">
        <f t="shared" si="0"/>
        <v>5224.7</v>
      </c>
      <c r="G30" s="331">
        <f t="shared" si="1"/>
        <v>4.2684013792343947E-2</v>
      </c>
      <c r="H30" s="548"/>
      <c r="I30" s="1181">
        <v>65</v>
      </c>
      <c r="J30" s="1055">
        <v>92.66</v>
      </c>
      <c r="K30" s="1147">
        <f t="shared" si="2"/>
        <v>6022.9</v>
      </c>
      <c r="L30" s="1118">
        <f t="shared" si="3"/>
        <v>4.1774543836324854E-2</v>
      </c>
      <c r="M30" s="344"/>
      <c r="N30" s="495">
        <f>(K30-F30)/F30</f>
        <v>0.15277432197063942</v>
      </c>
      <c r="O30" s="329">
        <f>(J30-Transactions!C1250)/Transactions!C1250</f>
        <v>0.75359576078728219</v>
      </c>
      <c r="P30" s="119"/>
      <c r="Q30" s="1200"/>
      <c r="R30" s="331"/>
      <c r="S30" s="327"/>
      <c r="T30" s="327"/>
      <c r="U30" s="309"/>
      <c r="V30" s="328"/>
      <c r="W30" s="5"/>
      <c r="X30" s="5"/>
      <c r="Y30" s="5"/>
      <c r="Z30" s="5"/>
    </row>
    <row r="31" spans="1:26" ht="12.75" customHeight="1">
      <c r="A31" s="532">
        <v>23</v>
      </c>
      <c r="B31" s="334" t="s">
        <v>416</v>
      </c>
      <c r="C31" s="138" t="s">
        <v>417</v>
      </c>
      <c r="D31" s="1181">
        <v>40</v>
      </c>
      <c r="E31" s="1055">
        <v>76.28</v>
      </c>
      <c r="F31" s="327">
        <f t="shared" si="0"/>
        <v>3051.2</v>
      </c>
      <c r="G31" s="331">
        <f t="shared" si="1"/>
        <v>2.4927261447202684E-2</v>
      </c>
      <c r="H31" s="548" t="s">
        <v>418</v>
      </c>
      <c r="I31" s="1181">
        <v>40</v>
      </c>
      <c r="J31" s="1055">
        <v>76.400000000000006</v>
      </c>
      <c r="K31" s="1147">
        <f t="shared" si="2"/>
        <v>3056</v>
      </c>
      <c r="L31" s="1118">
        <f t="shared" si="3"/>
        <v>2.1196268568930043E-2</v>
      </c>
      <c r="M31" s="344"/>
      <c r="N31" s="495"/>
      <c r="O31" s="329">
        <f>(J31-Transactions!C888)/Transactions!C888</f>
        <v>1.5994126746899484E-3</v>
      </c>
      <c r="P31" s="119"/>
      <c r="Q31" s="1202"/>
      <c r="R31" s="331"/>
      <c r="S31" s="327"/>
      <c r="T31" s="327"/>
      <c r="U31" s="309"/>
      <c r="V31" s="328"/>
      <c r="W31" s="5"/>
      <c r="X31" s="5"/>
      <c r="Y31" s="5"/>
      <c r="Z31" s="5"/>
    </row>
    <row r="32" spans="1:26" ht="12.75" customHeight="1">
      <c r="A32" s="532">
        <v>24</v>
      </c>
      <c r="B32" s="334" t="s">
        <v>256</v>
      </c>
      <c r="C32" s="138" t="s">
        <v>257</v>
      </c>
      <c r="D32" s="1181">
        <v>20</v>
      </c>
      <c r="E32" s="1055">
        <v>81.41</v>
      </c>
      <c r="F32" s="327">
        <f t="shared" si="0"/>
        <v>1628.1999999999998</v>
      </c>
      <c r="G32" s="331">
        <f t="shared" si="1"/>
        <v>1.3301837666601798E-2</v>
      </c>
      <c r="H32" s="548"/>
      <c r="I32" s="1181">
        <v>20</v>
      </c>
      <c r="J32" s="1055">
        <v>91.09</v>
      </c>
      <c r="K32" s="1147">
        <f t="shared" si="2"/>
        <v>1821.8000000000002</v>
      </c>
      <c r="L32" s="1118">
        <f t="shared" si="3"/>
        <v>1.2635916910627211E-2</v>
      </c>
      <c r="M32" s="344"/>
      <c r="N32" s="495">
        <f>(K32-F32)/F32</f>
        <v>0.11890431150964278</v>
      </c>
      <c r="O32" s="329">
        <f>(J32-Transactions!C1315)/Transactions!C1315</f>
        <v>0.473009117164785</v>
      </c>
      <c r="P32" s="119"/>
      <c r="Q32" s="1202"/>
      <c r="R32" s="331"/>
      <c r="S32" s="327"/>
      <c r="T32" s="327"/>
      <c r="U32" s="309"/>
      <c r="V32" s="328"/>
      <c r="W32" s="5"/>
      <c r="X32" s="5"/>
      <c r="Y32" s="5"/>
      <c r="Z32" s="5"/>
    </row>
    <row r="33" spans="1:26" ht="12.75" customHeight="1">
      <c r="A33" s="532">
        <v>25</v>
      </c>
      <c r="B33" s="334" t="s">
        <v>365</v>
      </c>
      <c r="C33" s="138" t="s">
        <v>80</v>
      </c>
      <c r="D33" s="1181">
        <v>60</v>
      </c>
      <c r="E33" s="1055">
        <v>32.04</v>
      </c>
      <c r="F33" s="327">
        <f t="shared" si="0"/>
        <v>1922.3999999999999</v>
      </c>
      <c r="G33" s="331">
        <f t="shared" si="1"/>
        <v>1.5705351142534883E-2</v>
      </c>
      <c r="H33" s="548"/>
      <c r="I33" s="1181">
        <v>60</v>
      </c>
      <c r="J33" s="1055">
        <v>41.41</v>
      </c>
      <c r="K33" s="1147">
        <f t="shared" si="2"/>
        <v>2484.6</v>
      </c>
      <c r="L33" s="1118">
        <f t="shared" si="3"/>
        <v>1.7233065735066617E-2</v>
      </c>
      <c r="M33" s="344"/>
      <c r="N33" s="495">
        <f>(K33-F33)/F33</f>
        <v>0.29244694132334587</v>
      </c>
      <c r="O33" s="329">
        <f>(J33-Transactions!C953)/Transactions!C953</f>
        <v>0.24804098854731757</v>
      </c>
      <c r="P33" s="119"/>
      <c r="Q33" s="1202"/>
      <c r="R33" s="331"/>
      <c r="S33" s="327"/>
      <c r="T33" s="327"/>
      <c r="U33" s="309"/>
      <c r="V33" s="328"/>
      <c r="W33" s="5"/>
      <c r="X33" s="5"/>
      <c r="Y33" s="5"/>
      <c r="Z33" s="5"/>
    </row>
    <row r="34" spans="1:26" ht="12.75" customHeight="1">
      <c r="A34" s="532">
        <v>26</v>
      </c>
      <c r="B34" s="334" t="s">
        <v>419</v>
      </c>
      <c r="C34" s="138" t="s">
        <v>420</v>
      </c>
      <c r="D34" s="1181">
        <v>30</v>
      </c>
      <c r="E34" s="1055">
        <v>37.840000000000003</v>
      </c>
      <c r="F34" s="327">
        <f t="shared" si="0"/>
        <v>1135.2</v>
      </c>
      <c r="G34" s="331">
        <f t="shared" si="1"/>
        <v>9.274196117876405E-3</v>
      </c>
      <c r="H34" s="548" t="s">
        <v>421</v>
      </c>
      <c r="I34" s="1181">
        <v>30</v>
      </c>
      <c r="J34" s="1055">
        <v>42.32</v>
      </c>
      <c r="K34" s="1147">
        <f t="shared" si="2"/>
        <v>1269.5999999999999</v>
      </c>
      <c r="L34" s="1118">
        <f t="shared" si="3"/>
        <v>8.805884350495282E-3</v>
      </c>
      <c r="M34" s="344"/>
      <c r="N34" s="495"/>
      <c r="O34" s="329">
        <f>(J34-Transactions!C905)/Transactions!C905</f>
        <v>0.1185114705571414</v>
      </c>
      <c r="P34" s="119"/>
      <c r="Q34" s="1202"/>
      <c r="R34" s="331"/>
      <c r="S34" s="327"/>
      <c r="T34" s="327"/>
      <c r="U34" s="309"/>
      <c r="V34" s="328"/>
      <c r="W34" s="5"/>
      <c r="X34" s="5"/>
      <c r="Y34" s="5"/>
      <c r="Z34" s="5"/>
    </row>
    <row r="35" spans="1:26" ht="12.75" customHeight="1">
      <c r="A35" s="532">
        <v>27</v>
      </c>
      <c r="B35" s="334" t="s">
        <v>345</v>
      </c>
      <c r="C35" s="138" t="s">
        <v>346</v>
      </c>
      <c r="D35" s="1181">
        <v>50</v>
      </c>
      <c r="E35" s="1055">
        <v>47.12</v>
      </c>
      <c r="F35" s="327">
        <f t="shared" si="0"/>
        <v>2356</v>
      </c>
      <c r="G35" s="331">
        <f t="shared" si="1"/>
        <v>1.924771498741791E-2</v>
      </c>
      <c r="H35" s="548"/>
      <c r="I35" s="1181">
        <v>50</v>
      </c>
      <c r="J35" s="1055">
        <v>47.78</v>
      </c>
      <c r="K35" s="1147">
        <f t="shared" si="2"/>
        <v>2389</v>
      </c>
      <c r="L35" s="1118">
        <f t="shared" si="3"/>
        <v>1.656998874711187E-2</v>
      </c>
      <c r="M35" s="344"/>
      <c r="N35" s="495">
        <f>(K35-F35)/F35</f>
        <v>1.400679117147708E-2</v>
      </c>
      <c r="O35" s="329">
        <f>(J35-Transactions!C1090)/Transactions!C1090</f>
        <v>0.14814369818575029</v>
      </c>
      <c r="P35" s="119"/>
      <c r="Q35" s="1202"/>
      <c r="R35" s="331"/>
      <c r="S35" s="327"/>
      <c r="T35" s="327"/>
      <c r="U35" s="1020"/>
      <c r="V35" s="328"/>
      <c r="W35" s="5"/>
      <c r="X35" s="5"/>
      <c r="Y35" s="5"/>
      <c r="Z35" s="5"/>
    </row>
    <row r="36" spans="1:26" ht="12.75" customHeight="1">
      <c r="A36" s="532">
        <v>28</v>
      </c>
      <c r="B36" s="334" t="s">
        <v>422</v>
      </c>
      <c r="C36" s="138" t="s">
        <v>173</v>
      </c>
      <c r="D36" s="1181">
        <v>60</v>
      </c>
      <c r="E36" s="1055">
        <v>75.3</v>
      </c>
      <c r="F36" s="327">
        <f t="shared" si="0"/>
        <v>4518</v>
      </c>
      <c r="G36" s="331">
        <f t="shared" si="1"/>
        <v>3.6910516261949966E-2</v>
      </c>
      <c r="H36" s="548"/>
      <c r="I36" s="1181">
        <v>60</v>
      </c>
      <c r="J36" s="1055">
        <v>116.43</v>
      </c>
      <c r="K36" s="1147">
        <f t="shared" si="2"/>
        <v>6985.8</v>
      </c>
      <c r="L36" s="1118">
        <f t="shared" si="3"/>
        <v>4.8453171782994596E-2</v>
      </c>
      <c r="M36" s="344"/>
      <c r="N36" s="495">
        <f>(K36-F36)/F36</f>
        <v>0.5462151394422311</v>
      </c>
      <c r="O36" s="329">
        <f>(J36-Transactions!C1058)/Transactions!C1058</f>
        <v>0.98415132924335391</v>
      </c>
      <c r="P36" s="119"/>
      <c r="Q36" s="1202"/>
      <c r="R36" s="331"/>
      <c r="S36" s="327"/>
      <c r="T36" s="327"/>
      <c r="U36" s="309"/>
      <c r="V36" s="328"/>
      <c r="W36" s="5"/>
      <c r="X36" s="5"/>
      <c r="Y36" s="5"/>
      <c r="Z36" s="5"/>
    </row>
    <row r="37" spans="1:26" ht="12.75" customHeight="1">
      <c r="A37" s="532">
        <v>29</v>
      </c>
      <c r="B37" s="1059" t="s">
        <v>423</v>
      </c>
      <c r="C37" s="138" t="s">
        <v>424</v>
      </c>
      <c r="D37" s="1181">
        <v>35</v>
      </c>
      <c r="E37" s="1055">
        <v>68.430000000000007</v>
      </c>
      <c r="F37" s="327">
        <f t="shared" si="0"/>
        <v>2395.0500000000002</v>
      </c>
      <c r="G37" s="331">
        <f t="shared" si="1"/>
        <v>1.9566740144573543E-2</v>
      </c>
      <c r="H37" s="548" t="s">
        <v>425</v>
      </c>
      <c r="I37" s="1181">
        <v>35</v>
      </c>
      <c r="J37" s="1055">
        <v>74.900000000000006</v>
      </c>
      <c r="K37" s="1147">
        <f t="shared" si="2"/>
        <v>2621.5</v>
      </c>
      <c r="L37" s="1118">
        <f t="shared" si="3"/>
        <v>1.8182597530579225E-2</v>
      </c>
      <c r="M37" s="344"/>
      <c r="N37" s="495"/>
      <c r="O37" s="329">
        <f>(J37-Transactions!C912)/Transactions!C912</f>
        <v>9.4549174338740299E-2</v>
      </c>
      <c r="P37" s="119"/>
      <c r="Q37" s="1202"/>
      <c r="R37" s="331"/>
      <c r="S37" s="327"/>
      <c r="T37" s="327"/>
      <c r="U37" s="309"/>
      <c r="V37" s="328"/>
      <c r="W37" s="5"/>
      <c r="X37" s="5"/>
      <c r="Y37" s="5"/>
      <c r="Z37" s="5"/>
    </row>
    <row r="38" spans="1:26" ht="12.75" customHeight="1">
      <c r="A38" s="532">
        <v>30</v>
      </c>
      <c r="B38" s="334" t="s">
        <v>426</v>
      </c>
      <c r="C38" s="138" t="s">
        <v>310</v>
      </c>
      <c r="D38" s="1181">
        <v>30</v>
      </c>
      <c r="E38" s="1055">
        <v>49.1</v>
      </c>
      <c r="F38" s="327">
        <f t="shared" si="0"/>
        <v>1473</v>
      </c>
      <c r="G38" s="331">
        <f t="shared" si="1"/>
        <v>1.2033906696293116E-2</v>
      </c>
      <c r="H38" s="548" t="s">
        <v>397</v>
      </c>
      <c r="I38" s="1181">
        <v>30</v>
      </c>
      <c r="J38" s="1055">
        <v>54.82</v>
      </c>
      <c r="K38" s="1147">
        <f t="shared" si="2"/>
        <v>1644.6</v>
      </c>
      <c r="L38" s="1118">
        <f t="shared" si="3"/>
        <v>1.1406866259313595E-2</v>
      </c>
      <c r="M38" s="344"/>
      <c r="N38" s="495"/>
      <c r="O38" s="329">
        <f>(J38-Transactions!C938)/Transactions!C938</f>
        <v>0.11649694501018328</v>
      </c>
      <c r="P38" s="119"/>
      <c r="Q38" s="1202"/>
      <c r="R38" s="331"/>
      <c r="S38" s="327"/>
      <c r="T38" s="327"/>
      <c r="U38" s="309"/>
      <c r="V38" s="328"/>
      <c r="W38" s="5"/>
      <c r="X38" s="5"/>
      <c r="Y38" s="5"/>
      <c r="Z38" s="5"/>
    </row>
    <row r="39" spans="1:26" ht="12.75" customHeight="1">
      <c r="A39" s="532"/>
      <c r="B39" s="1203" t="s">
        <v>375</v>
      </c>
      <c r="C39" s="138"/>
      <c r="D39" s="1181"/>
      <c r="E39" s="1055"/>
      <c r="F39" s="327"/>
      <c r="G39" s="331"/>
      <c r="H39" s="545"/>
      <c r="I39" s="1181"/>
      <c r="J39" s="1055"/>
      <c r="K39" s="1096">
        <f>SUM(K9:K38)</f>
        <v>96891.300000000017</v>
      </c>
      <c r="L39" s="1184">
        <f t="shared" si="3"/>
        <v>0.67203338245836775</v>
      </c>
      <c r="M39" s="344"/>
      <c r="N39" s="495"/>
      <c r="O39" s="329"/>
      <c r="P39" s="119"/>
      <c r="Q39" s="1200"/>
      <c r="R39" s="326"/>
      <c r="S39" s="327"/>
      <c r="T39" s="328"/>
      <c r="U39" s="309"/>
      <c r="V39" s="328"/>
      <c r="W39" s="5"/>
      <c r="X39" s="5"/>
      <c r="Y39" s="5"/>
      <c r="Z39" s="5"/>
    </row>
    <row r="40" spans="1:26" ht="12.75" customHeight="1">
      <c r="A40" s="532"/>
      <c r="B40" s="1059"/>
      <c r="C40" s="138"/>
      <c r="D40" s="1181"/>
      <c r="E40" s="1055"/>
      <c r="F40" s="327"/>
      <c r="G40" s="331"/>
      <c r="H40" s="545"/>
      <c r="I40" s="1181"/>
      <c r="J40" s="1055"/>
      <c r="K40" s="1147"/>
      <c r="L40" s="1118"/>
      <c r="M40" s="344"/>
      <c r="N40" s="495"/>
      <c r="O40" s="329"/>
      <c r="P40" s="119"/>
      <c r="Q40" s="1200"/>
      <c r="R40" s="326"/>
      <c r="S40" s="327"/>
      <c r="T40" s="328"/>
      <c r="U40" s="309"/>
      <c r="V40" s="328"/>
      <c r="W40" s="5"/>
      <c r="X40" s="5"/>
      <c r="Y40" s="5"/>
      <c r="Z40" s="5"/>
    </row>
    <row r="41" spans="1:26" ht="12.75" customHeight="1">
      <c r="A41" s="532"/>
      <c r="B41" s="1203" t="s">
        <v>366</v>
      </c>
      <c r="C41" s="138"/>
      <c r="D41" s="1181"/>
      <c r="E41" s="1055"/>
      <c r="F41" s="327"/>
      <c r="G41" s="331"/>
      <c r="H41" s="545"/>
      <c r="I41" s="1181"/>
      <c r="J41" s="1055"/>
      <c r="K41" s="1147"/>
      <c r="L41" s="1118"/>
      <c r="M41" s="344"/>
      <c r="N41" s="495"/>
      <c r="O41" s="329"/>
      <c r="P41" s="119"/>
      <c r="Q41" s="1200"/>
      <c r="R41" s="326"/>
      <c r="S41" s="327"/>
      <c r="T41" s="328"/>
      <c r="U41" s="309"/>
      <c r="V41" s="328"/>
      <c r="W41" s="5"/>
      <c r="X41" s="5"/>
      <c r="Y41" s="5"/>
      <c r="Z41" s="5"/>
    </row>
    <row r="42" spans="1:26" ht="12.75" customHeight="1">
      <c r="A42" s="532">
        <v>31</v>
      </c>
      <c r="B42" s="334" t="s">
        <v>367</v>
      </c>
      <c r="C42" s="138" t="s">
        <v>368</v>
      </c>
      <c r="D42" s="1181">
        <v>178</v>
      </c>
      <c r="E42" s="1055">
        <v>28.36</v>
      </c>
      <c r="F42" s="327">
        <f>E42*D42</f>
        <v>5048.08</v>
      </c>
      <c r="G42" s="331">
        <f>F42/$F$70</f>
        <v>4.1241088740952718E-2</v>
      </c>
      <c r="H42" s="545"/>
      <c r="I42" s="1181">
        <v>178</v>
      </c>
      <c r="J42" s="1055">
        <v>32.85</v>
      </c>
      <c r="K42" s="1147">
        <f>I42*J42</f>
        <v>5847.3</v>
      </c>
      <c r="L42" s="1118">
        <f>K42/$K$70</f>
        <v>4.05565907078222E-2</v>
      </c>
      <c r="M42" s="344"/>
      <c r="N42" s="495">
        <f>(K42-F42)/F42</f>
        <v>0.15832157968970387</v>
      </c>
      <c r="O42" s="329">
        <f>(J42-Transactions!C965)/Transactions!C965</f>
        <v>3.0749921556322574E-2</v>
      </c>
      <c r="P42" s="119"/>
      <c r="Q42" s="1200"/>
      <c r="R42" s="331"/>
      <c r="S42" s="327"/>
      <c r="T42" s="327"/>
      <c r="U42" s="309"/>
      <c r="V42" s="328"/>
      <c r="W42" s="5"/>
      <c r="X42" s="5"/>
      <c r="Y42" s="5"/>
      <c r="Z42" s="5"/>
    </row>
    <row r="43" spans="1:26" ht="12.75" customHeight="1">
      <c r="A43" s="532">
        <v>32</v>
      </c>
      <c r="B43" s="334" t="s">
        <v>369</v>
      </c>
      <c r="C43" s="138" t="s">
        <v>370</v>
      </c>
      <c r="D43" s="1181">
        <v>34</v>
      </c>
      <c r="E43" s="1055">
        <v>72.62</v>
      </c>
      <c r="F43" s="327">
        <f>E43*D43</f>
        <v>2469.08</v>
      </c>
      <c r="G43" s="331">
        <f>F43/$F$70</f>
        <v>2.0171539949547457E-2</v>
      </c>
      <c r="H43" s="545"/>
      <c r="I43" s="1181">
        <v>34</v>
      </c>
      <c r="J43" s="1055">
        <v>78.8</v>
      </c>
      <c r="K43" s="1147">
        <f>I43*J43</f>
        <v>2679.2</v>
      </c>
      <c r="L43" s="1118">
        <f>K43/$K$70</f>
        <v>1.85828019469494E-2</v>
      </c>
      <c r="M43" s="344"/>
      <c r="N43" s="495">
        <f>(K43-F43)/F43</f>
        <v>8.5100523271825906E-2</v>
      </c>
      <c r="O43" s="329">
        <f>(J43-Transactions!C967)/Transactions!C967</f>
        <v>7.85655625513276E-2</v>
      </c>
      <c r="P43" s="119"/>
      <c r="Q43" s="1200"/>
      <c r="R43" s="331"/>
      <c r="S43" s="327"/>
      <c r="T43" s="327"/>
      <c r="U43" s="309"/>
      <c r="V43" s="328"/>
      <c r="W43" s="5"/>
      <c r="X43" s="5"/>
      <c r="Y43" s="5"/>
      <c r="Z43" s="5"/>
    </row>
    <row r="44" spans="1:26" ht="12.75" customHeight="1">
      <c r="A44" s="532">
        <v>33</v>
      </c>
      <c r="B44" s="334" t="s">
        <v>371</v>
      </c>
      <c r="C44" s="138" t="s">
        <v>372</v>
      </c>
      <c r="D44" s="1181">
        <v>81</v>
      </c>
      <c r="E44" s="1055">
        <v>62.32</v>
      </c>
      <c r="F44" s="327">
        <f>E44*D44</f>
        <v>5047.92</v>
      </c>
      <c r="G44" s="331">
        <f>F44/$F$70</f>
        <v>4.1239781595622499E-2</v>
      </c>
      <c r="H44" s="545"/>
      <c r="I44" s="1181">
        <v>81</v>
      </c>
      <c r="J44" s="1055">
        <v>68.75</v>
      </c>
      <c r="K44" s="1147">
        <f>I44*J44</f>
        <v>5568.75</v>
      </c>
      <c r="L44" s="1118">
        <f>K44/$K$70</f>
        <v>3.8624581345951953E-2</v>
      </c>
      <c r="M44" s="344"/>
      <c r="N44" s="495">
        <f>(K44-F44)/F44</f>
        <v>0.10317715019255454</v>
      </c>
      <c r="O44" s="329">
        <f>(J44-Transactions!C961)/Transactions!C961</f>
        <v>0.11570918532943854</v>
      </c>
      <c r="P44" s="119"/>
      <c r="Q44" s="1200"/>
      <c r="R44" s="331"/>
      <c r="S44" s="327"/>
      <c r="T44" s="327"/>
      <c r="U44" s="309"/>
      <c r="V44" s="328"/>
      <c r="W44" s="5"/>
      <c r="X44" s="5"/>
      <c r="Y44" s="5"/>
      <c r="Z44" s="5"/>
    </row>
    <row r="45" spans="1:26" ht="12.75" customHeight="1">
      <c r="A45" s="532">
        <v>34</v>
      </c>
      <c r="B45" s="334" t="s">
        <v>373</v>
      </c>
      <c r="C45" s="138" t="s">
        <v>374</v>
      </c>
      <c r="D45" s="1181">
        <v>38</v>
      </c>
      <c r="E45" s="1055">
        <v>66.540000000000006</v>
      </c>
      <c r="F45" s="327">
        <f>E45*D45</f>
        <v>2528.5200000000004</v>
      </c>
      <c r="G45" s="331">
        <f>F45/$F$70</f>
        <v>2.0657144439722386E-2</v>
      </c>
      <c r="H45" s="545"/>
      <c r="I45" s="1181">
        <v>38</v>
      </c>
      <c r="J45" s="1055">
        <v>74.16</v>
      </c>
      <c r="K45" s="1147">
        <f>I45*J45</f>
        <v>2818.08</v>
      </c>
      <c r="L45" s="1118">
        <f>K45/$K$70</f>
        <v>1.9546066926940567E-2</v>
      </c>
      <c r="M45" s="344"/>
      <c r="N45" s="495">
        <f>(K45-F45)/F45</f>
        <v>0.11451758340847588</v>
      </c>
      <c r="O45" s="329">
        <f>(J45-Transactions!C966)/Transactions!C966</f>
        <v>0.13690019929480288</v>
      </c>
      <c r="P45" s="119"/>
      <c r="Q45" s="1200"/>
      <c r="R45" s="331"/>
      <c r="S45" s="327"/>
      <c r="T45" s="327"/>
      <c r="U45" s="309"/>
      <c r="V45" s="328"/>
      <c r="W45" s="5"/>
      <c r="X45" s="5"/>
      <c r="Y45" s="5"/>
      <c r="Z45" s="5"/>
    </row>
    <row r="46" spans="1:26" ht="12.75" customHeight="1">
      <c r="A46" s="532"/>
      <c r="B46" s="1203" t="s">
        <v>375</v>
      </c>
      <c r="C46" s="138"/>
      <c r="D46" s="1181"/>
      <c r="E46" s="1055"/>
      <c r="F46" s="327"/>
      <c r="G46" s="331"/>
      <c r="H46" s="545"/>
      <c r="I46" s="1181"/>
      <c r="J46" s="1055"/>
      <c r="K46" s="1096">
        <f>SUM(K42:K45)</f>
        <v>16913.330000000002</v>
      </c>
      <c r="L46" s="1184">
        <f>K46/$K$70</f>
        <v>0.11731004092766413</v>
      </c>
      <c r="M46" s="344"/>
      <c r="N46" s="495"/>
      <c r="O46" s="329"/>
      <c r="P46" s="119"/>
      <c r="Q46" s="1200"/>
      <c r="R46" s="326"/>
      <c r="S46" s="327"/>
      <c r="T46" s="328"/>
      <c r="U46" s="309"/>
      <c r="V46" s="328"/>
      <c r="W46" s="5"/>
      <c r="X46" s="5"/>
      <c r="Y46" s="5"/>
      <c r="Z46" s="5"/>
    </row>
    <row r="47" spans="1:26" ht="12.75" customHeight="1">
      <c r="A47" s="532"/>
      <c r="B47" s="1059"/>
      <c r="C47" s="138"/>
      <c r="D47" s="1181"/>
      <c r="E47" s="1055"/>
      <c r="F47" s="327"/>
      <c r="G47" s="331"/>
      <c r="H47" s="545"/>
      <c r="I47" s="1181"/>
      <c r="J47" s="1055"/>
      <c r="K47" s="1147"/>
      <c r="L47" s="1118"/>
      <c r="M47" s="344"/>
      <c r="N47" s="495"/>
      <c r="O47" s="329"/>
      <c r="P47" s="119"/>
      <c r="Q47" s="1200"/>
      <c r="R47" s="326"/>
      <c r="S47" s="327"/>
      <c r="T47" s="328"/>
      <c r="U47" s="309"/>
      <c r="V47" s="328"/>
      <c r="W47" s="5"/>
      <c r="X47" s="5"/>
      <c r="Y47" s="5"/>
      <c r="Z47" s="5"/>
    </row>
    <row r="48" spans="1:26" ht="12.75" customHeight="1">
      <c r="A48" s="532"/>
      <c r="B48" s="1203" t="s">
        <v>376</v>
      </c>
      <c r="C48" s="138"/>
      <c r="D48" s="1181"/>
      <c r="E48" s="1055"/>
      <c r="F48" s="327"/>
      <c r="G48" s="331"/>
      <c r="H48" s="545"/>
      <c r="I48" s="1181"/>
      <c r="J48" s="1055"/>
      <c r="K48" s="1147"/>
      <c r="L48" s="1118"/>
      <c r="M48" s="344"/>
      <c r="N48" s="495"/>
      <c r="O48" s="329"/>
      <c r="P48" s="119"/>
      <c r="Q48" s="1200"/>
      <c r="R48" s="326"/>
      <c r="S48" s="327"/>
      <c r="T48" s="328"/>
      <c r="U48" s="309"/>
      <c r="V48" s="328"/>
      <c r="W48" s="5"/>
      <c r="X48" s="5"/>
      <c r="Y48" s="5"/>
      <c r="Z48" s="5"/>
    </row>
    <row r="49" spans="1:26" ht="12.75" customHeight="1">
      <c r="A49" s="532">
        <v>35</v>
      </c>
      <c r="B49" s="374" t="s">
        <v>427</v>
      </c>
      <c r="C49" s="335" t="s">
        <v>428</v>
      </c>
      <c r="D49" s="1181">
        <v>55</v>
      </c>
      <c r="E49" s="1055">
        <v>92.48</v>
      </c>
      <c r="F49" s="327">
        <f>E49*D49</f>
        <v>5086.4000000000005</v>
      </c>
      <c r="G49" s="331">
        <f>F49/$F$70</f>
        <v>4.1554150047539248E-2</v>
      </c>
      <c r="H49" s="548" t="s">
        <v>403</v>
      </c>
      <c r="I49" s="1181">
        <v>55</v>
      </c>
      <c r="J49" s="1055">
        <v>89.6</v>
      </c>
      <c r="K49" s="1147">
        <f>I49*J49</f>
        <v>4928</v>
      </c>
      <c r="L49" s="1118">
        <f>K49/$K$70</f>
        <v>3.4180370257751065E-2</v>
      </c>
      <c r="M49" s="344"/>
      <c r="N49" s="495"/>
      <c r="O49" s="329">
        <f>(J49-Transactions!C896)/Transactions!C896</f>
        <v>-3.1141868512110829E-2</v>
      </c>
      <c r="P49" s="119"/>
      <c r="Q49" s="1198"/>
      <c r="R49" s="331"/>
      <c r="S49" s="327"/>
      <c r="T49" s="327"/>
      <c r="U49" s="309"/>
      <c r="V49" s="328"/>
      <c r="W49" s="5"/>
      <c r="X49" s="5"/>
      <c r="Y49" s="5"/>
      <c r="Z49" s="5"/>
    </row>
    <row r="50" spans="1:26" ht="12.75" customHeight="1">
      <c r="A50" s="532">
        <v>36</v>
      </c>
      <c r="B50" s="334" t="s">
        <v>429</v>
      </c>
      <c r="C50" s="138" t="s">
        <v>382</v>
      </c>
      <c r="D50" s="1181">
        <v>208</v>
      </c>
      <c r="E50" s="1055">
        <v>24.88</v>
      </c>
      <c r="F50" s="327">
        <f>E50*D50</f>
        <v>5175.04</v>
      </c>
      <c r="G50" s="331">
        <f>F50/$F$70</f>
        <v>4.2278308560478428E-2</v>
      </c>
      <c r="H50" s="548"/>
      <c r="I50" s="1181">
        <v>208</v>
      </c>
      <c r="J50" s="1055">
        <v>24.03</v>
      </c>
      <c r="K50" s="1147">
        <f>I50*J50</f>
        <v>4998.24</v>
      </c>
      <c r="L50" s="1118">
        <f>K50/$K$70</f>
        <v>3.4667551509152121E-2</v>
      </c>
      <c r="M50" s="344"/>
      <c r="N50" s="495">
        <f>(K50-F50)/F50</f>
        <v>-3.4163987138263699E-2</v>
      </c>
      <c r="O50" s="329">
        <f>(J50-Transactions!C964)/Transactions!C964</f>
        <v>-3.1438935912938233E-2</v>
      </c>
      <c r="P50" s="119"/>
      <c r="Q50" s="1200"/>
      <c r="R50" s="331"/>
      <c r="S50" s="327"/>
      <c r="T50" s="327"/>
      <c r="U50" s="309"/>
      <c r="V50" s="328"/>
      <c r="W50" s="5"/>
      <c r="X50" s="5"/>
      <c r="Y50" s="5"/>
      <c r="Z50" s="5"/>
    </row>
    <row r="51" spans="1:26" ht="12.75" customHeight="1">
      <c r="A51" s="532">
        <v>37</v>
      </c>
      <c r="B51" s="334" t="s">
        <v>430</v>
      </c>
      <c r="C51" s="138" t="s">
        <v>431</v>
      </c>
      <c r="D51" s="1181">
        <v>15</v>
      </c>
      <c r="E51" s="1055">
        <v>126</v>
      </c>
      <c r="F51" s="327">
        <f>E51*D51</f>
        <v>1890</v>
      </c>
      <c r="G51" s="331">
        <f>F51/$F$70</f>
        <v>1.544065421316632E-2</v>
      </c>
      <c r="H51" s="354" t="s">
        <v>432</v>
      </c>
      <c r="I51" s="1181">
        <v>15</v>
      </c>
      <c r="J51" s="1055">
        <v>125.92</v>
      </c>
      <c r="K51" s="1147">
        <f>I51*J51</f>
        <v>1888.8</v>
      </c>
      <c r="L51" s="1118">
        <f>K51/$K$70</f>
        <v>1.3100625678336081E-2</v>
      </c>
      <c r="M51" s="344"/>
      <c r="N51" s="495"/>
      <c r="O51" s="329">
        <f>(J51-Transactions!C869)/Transactions!C869</f>
        <v>-6.3492063492062137E-4</v>
      </c>
      <c r="P51" s="119"/>
      <c r="Q51" s="1198"/>
      <c r="R51" s="331"/>
      <c r="S51" s="327"/>
      <c r="T51" s="327"/>
      <c r="U51" s="5"/>
      <c r="V51" s="5"/>
      <c r="W51" s="5"/>
      <c r="X51" s="5"/>
      <c r="Y51" s="5"/>
      <c r="Z51" s="5"/>
    </row>
    <row r="52" spans="1:26" ht="12.75" customHeight="1">
      <c r="A52" s="532">
        <v>38</v>
      </c>
      <c r="B52" s="374" t="s">
        <v>433</v>
      </c>
      <c r="C52" s="335" t="s">
        <v>434</v>
      </c>
      <c r="D52" s="1181">
        <v>275</v>
      </c>
      <c r="E52" s="1055">
        <v>10.85</v>
      </c>
      <c r="F52" s="327">
        <f>E52*D52</f>
        <v>2983.75</v>
      </c>
      <c r="G52" s="331">
        <f>F52/$F$70</f>
        <v>2.4376217993933864E-2</v>
      </c>
      <c r="H52" s="548" t="s">
        <v>432</v>
      </c>
      <c r="I52" s="1181">
        <f>D52</f>
        <v>275</v>
      </c>
      <c r="J52" s="1055">
        <v>10.87</v>
      </c>
      <c r="K52" s="1147">
        <f>I52*J52</f>
        <v>2989.25</v>
      </c>
      <c r="L52" s="1118">
        <f>K52/$K$70</f>
        <v>2.0733293789160383E-2</v>
      </c>
      <c r="M52" s="344"/>
      <c r="N52" s="495"/>
      <c r="O52" s="329">
        <f>(J52-Transactions!C870)/Transactions!C870</f>
        <v>1.8433179723501912E-3</v>
      </c>
      <c r="P52" s="119"/>
      <c r="Q52" s="1202"/>
      <c r="R52" s="331"/>
      <c r="S52" s="327"/>
      <c r="T52" s="327"/>
      <c r="U52" s="309"/>
      <c r="V52" s="328"/>
      <c r="W52" s="5"/>
      <c r="X52" s="5"/>
      <c r="Y52" s="5"/>
      <c r="Z52" s="5"/>
    </row>
    <row r="53" spans="1:26" ht="12.75" customHeight="1">
      <c r="A53" s="532"/>
      <c r="B53" s="1203" t="s">
        <v>375</v>
      </c>
      <c r="C53" s="138"/>
      <c r="D53" s="1181"/>
      <c r="E53" s="1055"/>
      <c r="F53" s="327"/>
      <c r="G53" s="331"/>
      <c r="H53" s="548"/>
      <c r="I53" s="1181"/>
      <c r="J53" s="1055"/>
      <c r="K53" s="1096">
        <f>SUM(K49:K52)</f>
        <v>14804.289999999999</v>
      </c>
      <c r="L53" s="1184">
        <f>K53/$K$70</f>
        <v>0.10268184123439965</v>
      </c>
      <c r="M53" s="344"/>
      <c r="N53" s="495"/>
      <c r="O53" s="329"/>
      <c r="P53" s="119"/>
      <c r="Q53" s="1200"/>
      <c r="R53" s="326"/>
      <c r="S53" s="327"/>
      <c r="T53" s="328"/>
      <c r="U53" s="309"/>
      <c r="V53" s="328"/>
      <c r="W53" s="5"/>
      <c r="X53" s="5"/>
      <c r="Y53" s="5"/>
      <c r="Z53" s="5"/>
    </row>
    <row r="54" spans="1:26" ht="12.75" customHeight="1">
      <c r="A54" s="532"/>
      <c r="B54" s="334"/>
      <c r="C54" s="323"/>
      <c r="D54" s="946"/>
      <c r="E54" s="964"/>
      <c r="F54" s="948"/>
      <c r="G54" s="949"/>
      <c r="H54" s="545"/>
      <c r="I54" s="950"/>
      <c r="J54" s="1032"/>
      <c r="K54" s="1056"/>
      <c r="L54" s="1031"/>
      <c r="M54" s="344"/>
      <c r="N54" s="895"/>
      <c r="O54" s="329"/>
      <c r="P54" s="1204"/>
      <c r="Q54" s="1205"/>
      <c r="R54" s="326"/>
      <c r="S54" s="327"/>
      <c r="T54" s="309"/>
      <c r="U54" s="309"/>
      <c r="V54" s="328"/>
      <c r="W54" s="5"/>
      <c r="X54" s="5"/>
      <c r="Y54" s="5"/>
      <c r="Z54" s="5"/>
    </row>
    <row r="55" spans="1:26" ht="12.75" customHeight="1">
      <c r="A55" s="1169"/>
      <c r="B55" s="1122" t="s">
        <v>52</v>
      </c>
      <c r="C55" s="1123"/>
      <c r="D55" s="946"/>
      <c r="E55" s="964"/>
      <c r="F55" s="1005"/>
      <c r="G55" s="949"/>
      <c r="H55" s="1206"/>
      <c r="I55" s="950"/>
      <c r="J55" s="1032"/>
      <c r="K55" s="1056"/>
      <c r="L55" s="1031"/>
      <c r="M55" s="344"/>
      <c r="N55" s="895"/>
      <c r="O55" s="329"/>
      <c r="P55" s="1204"/>
      <c r="Q55" s="1205"/>
      <c r="R55" s="326"/>
      <c r="S55" s="327"/>
      <c r="T55" s="309"/>
      <c r="U55" s="309"/>
      <c r="V55" s="328"/>
      <c r="W55" s="5"/>
      <c r="X55" s="5"/>
      <c r="Y55" s="5"/>
      <c r="Z55" s="5"/>
    </row>
    <row r="56" spans="1:26" ht="12.75" customHeight="1">
      <c r="A56" s="532"/>
      <c r="B56" s="334"/>
      <c r="C56" s="138"/>
      <c r="D56" s="1152" t="s">
        <v>435</v>
      </c>
      <c r="E56" s="1185" t="s">
        <v>436</v>
      </c>
      <c r="F56" s="1058" t="s">
        <v>437</v>
      </c>
      <c r="G56" s="1185" t="s">
        <v>438</v>
      </c>
      <c r="H56" s="1055" t="s">
        <v>439</v>
      </c>
      <c r="I56" s="1207" t="s">
        <v>440</v>
      </c>
      <c r="J56" s="1207" t="s">
        <v>15</v>
      </c>
      <c r="K56" s="1081"/>
      <c r="L56" s="1129"/>
      <c r="M56" s="1208"/>
      <c r="N56" s="132"/>
      <c r="O56" s="1086"/>
      <c r="P56" s="1204"/>
      <c r="Q56" s="1205"/>
      <c r="R56" s="326"/>
      <c r="S56" s="327"/>
      <c r="T56" s="309"/>
      <c r="U56" s="309"/>
      <c r="V56" s="328"/>
      <c r="W56" s="5"/>
      <c r="X56" s="5"/>
      <c r="Y56" s="5"/>
      <c r="Z56" s="5"/>
    </row>
    <row r="57" spans="1:26" ht="12.75" customHeight="1">
      <c r="A57" s="532">
        <v>1</v>
      </c>
      <c r="B57" s="334" t="s">
        <v>361</v>
      </c>
      <c r="C57" s="323" t="s">
        <v>362</v>
      </c>
      <c r="D57" s="1155">
        <v>40</v>
      </c>
      <c r="E57" s="1209">
        <v>49.85</v>
      </c>
      <c r="F57" s="1209">
        <v>23.42</v>
      </c>
      <c r="G57" s="1209">
        <f>(E57*D57)-9.99</f>
        <v>1984.01</v>
      </c>
      <c r="H57" s="1209">
        <f>(F57*D57)+9.99</f>
        <v>946.79000000000008</v>
      </c>
      <c r="I57" s="1210">
        <f t="shared" ref="I57:I64" si="5">G57-H57</f>
        <v>1037.2199999999998</v>
      </c>
      <c r="J57" s="1072">
        <f t="shared" ref="J57:J64" si="6">(E57-F57)/F57</f>
        <v>1.128522630230572</v>
      </c>
      <c r="K57" s="1056"/>
      <c r="L57" s="1031"/>
      <c r="M57" s="344"/>
      <c r="N57" s="895"/>
      <c r="O57" s="329"/>
      <c r="P57" s="1204"/>
      <c r="Q57" s="1200"/>
      <c r="R57" s="331"/>
      <c r="S57" s="327"/>
      <c r="T57" s="309"/>
      <c r="U57" s="309"/>
      <c r="V57" s="328"/>
      <c r="W57" s="5"/>
      <c r="X57" s="5"/>
      <c r="Y57" s="5"/>
      <c r="Z57" s="5"/>
    </row>
    <row r="58" spans="1:26" ht="12.75" customHeight="1">
      <c r="A58" s="532">
        <v>2</v>
      </c>
      <c r="B58" s="374" t="s">
        <v>377</v>
      </c>
      <c r="C58" s="323" t="s">
        <v>378</v>
      </c>
      <c r="D58" s="1155">
        <v>200</v>
      </c>
      <c r="E58" s="1209">
        <v>24.22</v>
      </c>
      <c r="F58" s="1209">
        <v>25.8</v>
      </c>
      <c r="G58" s="1209">
        <f>(E58*D58)-(9.99*2)</f>
        <v>4824.0200000000004</v>
      </c>
      <c r="H58" s="1209">
        <f>(F58*D58)+(9.99*2)</f>
        <v>5179.9799999999996</v>
      </c>
      <c r="I58" s="1211">
        <f t="shared" si="5"/>
        <v>-355.95999999999913</v>
      </c>
      <c r="J58" s="1212">
        <f t="shared" si="6"/>
        <v>-6.1240310077519448E-2</v>
      </c>
      <c r="K58" s="1056"/>
      <c r="L58" s="1213"/>
      <c r="M58" s="344"/>
      <c r="N58" s="895"/>
      <c r="O58" s="329"/>
      <c r="P58" s="1204"/>
      <c r="Q58" s="1198"/>
      <c r="R58" s="331"/>
      <c r="S58" s="327"/>
      <c r="T58" s="309"/>
      <c r="U58" s="309"/>
      <c r="V58" s="328"/>
      <c r="W58" s="5"/>
      <c r="X58" s="5"/>
      <c r="Y58" s="5"/>
      <c r="Z58" s="5"/>
    </row>
    <row r="59" spans="1:26" ht="12.75" customHeight="1">
      <c r="A59" s="532">
        <v>3</v>
      </c>
      <c r="B59" s="334" t="s">
        <v>343</v>
      </c>
      <c r="C59" s="335" t="s">
        <v>344</v>
      </c>
      <c r="D59" s="547">
        <v>35</v>
      </c>
      <c r="E59" s="1209">
        <v>68.430000000000007</v>
      </c>
      <c r="F59" s="1209">
        <v>51.99</v>
      </c>
      <c r="G59" s="1209">
        <f t="shared" ref="G59:G64" si="7">(E59*D59)-9.99</f>
        <v>2385.0600000000004</v>
      </c>
      <c r="H59" s="1209">
        <f t="shared" ref="H59:H64" si="8">(F59*D59)+9.99</f>
        <v>1829.64</v>
      </c>
      <c r="I59" s="1210">
        <f t="shared" si="5"/>
        <v>555.4200000000003</v>
      </c>
      <c r="J59" s="1072">
        <f t="shared" si="6"/>
        <v>0.3162146566647433</v>
      </c>
      <c r="K59" s="1147"/>
      <c r="L59" s="1213"/>
      <c r="M59" s="1199"/>
      <c r="N59" s="495"/>
      <c r="O59" s="329"/>
      <c r="P59" s="119"/>
      <c r="Q59" s="1198"/>
      <c r="R59" s="331"/>
      <c r="S59" s="327"/>
      <c r="T59" s="328"/>
      <c r="U59" s="309"/>
      <c r="V59" s="328"/>
      <c r="W59" s="5"/>
      <c r="X59" s="5"/>
      <c r="Y59" s="5"/>
      <c r="Z59" s="5"/>
    </row>
    <row r="60" spans="1:26" ht="12.75" customHeight="1">
      <c r="A60" s="532">
        <v>4</v>
      </c>
      <c r="B60" s="1182" t="s">
        <v>379</v>
      </c>
      <c r="C60" s="335" t="s">
        <v>380</v>
      </c>
      <c r="D60" s="547">
        <v>89</v>
      </c>
      <c r="E60" s="1209">
        <v>52.83</v>
      </c>
      <c r="F60" s="1209">
        <v>56.8</v>
      </c>
      <c r="G60" s="1209">
        <f t="shared" si="7"/>
        <v>4691.88</v>
      </c>
      <c r="H60" s="1209">
        <f t="shared" si="8"/>
        <v>5065.1899999999996</v>
      </c>
      <c r="I60" s="1211">
        <f t="shared" si="5"/>
        <v>-373.30999999999949</v>
      </c>
      <c r="J60" s="1212">
        <f t="shared" si="6"/>
        <v>-6.9894366197183089E-2</v>
      </c>
      <c r="K60" s="1147"/>
      <c r="L60" s="1213"/>
      <c r="M60" s="1199"/>
      <c r="N60" s="495"/>
      <c r="O60" s="329"/>
      <c r="P60" s="119"/>
      <c r="Q60" s="1202"/>
      <c r="R60" s="331"/>
      <c r="S60" s="327"/>
      <c r="T60" s="328"/>
      <c r="U60" s="309"/>
      <c r="V60" s="328"/>
      <c r="W60" s="5"/>
      <c r="X60" s="5"/>
      <c r="Y60" s="5"/>
      <c r="Z60" s="5"/>
    </row>
    <row r="61" spans="1:26" ht="12.75" customHeight="1">
      <c r="A61" s="532">
        <v>5</v>
      </c>
      <c r="B61" s="1182" t="s">
        <v>441</v>
      </c>
      <c r="C61" s="335" t="s">
        <v>442</v>
      </c>
      <c r="D61" s="547">
        <v>20</v>
      </c>
      <c r="E61" s="1209">
        <v>83</v>
      </c>
      <c r="F61" s="1209">
        <v>66.930000000000007</v>
      </c>
      <c r="G61" s="1209">
        <f t="shared" si="7"/>
        <v>1650.01</v>
      </c>
      <c r="H61" s="1209">
        <f t="shared" si="8"/>
        <v>1348.5900000000001</v>
      </c>
      <c r="I61" s="1210">
        <f t="shared" si="5"/>
        <v>301.41999999999985</v>
      </c>
      <c r="J61" s="1072">
        <f t="shared" si="6"/>
        <v>0.24010159868519335</v>
      </c>
      <c r="K61" s="1147"/>
      <c r="L61" s="1213"/>
      <c r="M61" s="1199"/>
      <c r="N61" s="495"/>
      <c r="O61" s="329"/>
      <c r="P61" s="119"/>
      <c r="Q61" s="1202"/>
      <c r="R61" s="331"/>
      <c r="S61" s="327"/>
      <c r="T61" s="328"/>
      <c r="U61" s="309"/>
      <c r="V61" s="328"/>
      <c r="W61" s="5"/>
      <c r="X61" s="5"/>
      <c r="Y61" s="5"/>
      <c r="Z61" s="5"/>
    </row>
    <row r="62" spans="1:26" ht="12.75" customHeight="1">
      <c r="A62" s="532">
        <v>6</v>
      </c>
      <c r="B62" s="334" t="s">
        <v>296</v>
      </c>
      <c r="C62" s="138" t="s">
        <v>297</v>
      </c>
      <c r="D62" s="1181">
        <v>76</v>
      </c>
      <c r="E62" s="1209">
        <v>49.06</v>
      </c>
      <c r="F62" s="1209">
        <v>27.79</v>
      </c>
      <c r="G62" s="1209">
        <f t="shared" si="7"/>
        <v>3718.5700000000006</v>
      </c>
      <c r="H62" s="1209">
        <f t="shared" si="8"/>
        <v>2122.0299999999997</v>
      </c>
      <c r="I62" s="1210">
        <f t="shared" si="5"/>
        <v>1596.5400000000009</v>
      </c>
      <c r="J62" s="1072">
        <f t="shared" si="6"/>
        <v>0.76538323137819375</v>
      </c>
      <c r="K62" s="1147"/>
      <c r="L62" s="1213"/>
      <c r="M62" s="344"/>
      <c r="N62" s="495"/>
      <c r="O62" s="329"/>
      <c r="P62" s="119"/>
      <c r="Q62" s="1202"/>
      <c r="R62" s="331"/>
      <c r="S62" s="327"/>
      <c r="T62" s="328"/>
      <c r="U62" s="309"/>
      <c r="V62" s="328"/>
      <c r="W62" s="5"/>
      <c r="X62" s="5"/>
      <c r="Y62" s="5"/>
      <c r="Z62" s="5"/>
    </row>
    <row r="63" spans="1:26" ht="12.75" customHeight="1">
      <c r="A63" s="532">
        <v>7</v>
      </c>
      <c r="B63" s="334" t="s">
        <v>298</v>
      </c>
      <c r="C63" s="138" t="s">
        <v>299</v>
      </c>
      <c r="D63" s="1181">
        <v>35</v>
      </c>
      <c r="E63" s="1209">
        <v>64.650000000000006</v>
      </c>
      <c r="F63" s="1209">
        <v>45.12</v>
      </c>
      <c r="G63" s="1209">
        <f t="shared" si="7"/>
        <v>2252.7600000000002</v>
      </c>
      <c r="H63" s="1209">
        <f t="shared" si="8"/>
        <v>1589.1899999999998</v>
      </c>
      <c r="I63" s="1210">
        <f t="shared" si="5"/>
        <v>663.57000000000039</v>
      </c>
      <c r="J63" s="1072">
        <f t="shared" si="6"/>
        <v>0.4328457446808513</v>
      </c>
      <c r="K63" s="1056"/>
      <c r="L63" s="1031"/>
      <c r="M63" s="344"/>
      <c r="N63" s="895"/>
      <c r="O63" s="329"/>
      <c r="P63" s="1204"/>
      <c r="Q63" s="1200"/>
      <c r="R63" s="331"/>
      <c r="S63" s="327"/>
      <c r="T63" s="309"/>
      <c r="U63" s="309"/>
      <c r="V63" s="328"/>
      <c r="W63" s="5"/>
      <c r="X63" s="5"/>
      <c r="Y63" s="5"/>
      <c r="Z63" s="5"/>
    </row>
    <row r="64" spans="1:26" ht="12.75" customHeight="1">
      <c r="A64" s="532">
        <v>8</v>
      </c>
      <c r="B64" s="334" t="s">
        <v>50</v>
      </c>
      <c r="C64" s="138" t="s">
        <v>51</v>
      </c>
      <c r="D64" s="1181">
        <v>54</v>
      </c>
      <c r="E64" s="1209">
        <v>73.16</v>
      </c>
      <c r="F64" s="1209">
        <v>28.86</v>
      </c>
      <c r="G64" s="1209">
        <f t="shared" si="7"/>
        <v>3940.65</v>
      </c>
      <c r="H64" s="1209">
        <f t="shared" si="8"/>
        <v>1568.43</v>
      </c>
      <c r="I64" s="1210">
        <f t="shared" si="5"/>
        <v>2372.2200000000003</v>
      </c>
      <c r="J64" s="1072">
        <f t="shared" si="6"/>
        <v>1.5349965349965349</v>
      </c>
      <c r="K64" s="1056"/>
      <c r="L64" s="1213"/>
      <c r="M64" s="344"/>
      <c r="N64" s="895"/>
      <c r="O64" s="329"/>
      <c r="P64" s="1204"/>
      <c r="Q64" s="1202"/>
      <c r="R64" s="331"/>
      <c r="S64" s="327"/>
      <c r="T64" s="309"/>
      <c r="U64" s="309"/>
      <c r="V64" s="328"/>
      <c r="W64" s="5"/>
      <c r="X64" s="5"/>
      <c r="Y64" s="5"/>
      <c r="Z64" s="5"/>
    </row>
    <row r="65" spans="1:26" ht="12.75" customHeight="1">
      <c r="A65" s="1169"/>
      <c r="B65" s="1075"/>
      <c r="C65" s="31"/>
      <c r="D65" s="1187"/>
      <c r="E65" s="1156"/>
      <c r="F65" s="1157"/>
      <c r="G65" s="1137"/>
      <c r="H65" s="1214"/>
      <c r="I65" s="1215">
        <f>SUM(I57:I64)</f>
        <v>5797.1200000000026</v>
      </c>
      <c r="J65" s="1216"/>
      <c r="K65" s="1087"/>
      <c r="L65" s="914"/>
      <c r="M65" s="64"/>
      <c r="N65" s="1087"/>
      <c r="O65" s="400"/>
      <c r="P65" s="374"/>
      <c r="Q65" s="65"/>
      <c r="R65" s="5"/>
      <c r="S65" s="327"/>
      <c r="T65" s="5"/>
      <c r="U65" s="5"/>
      <c r="V65" s="5"/>
      <c r="W65" s="5"/>
      <c r="X65" s="5"/>
      <c r="Y65" s="5"/>
      <c r="Z65" s="5"/>
    </row>
    <row r="66" spans="1:26" ht="12.75" customHeight="1">
      <c r="A66" s="344"/>
      <c r="B66" s="1199" t="s">
        <v>63</v>
      </c>
      <c r="C66" s="345"/>
      <c r="D66" s="346"/>
      <c r="E66" s="782"/>
      <c r="F66" s="1090">
        <v>101429.09</v>
      </c>
      <c r="G66" s="1091">
        <f>F66/$F$70</f>
        <v>0.82864100838419352</v>
      </c>
      <c r="H66" s="1217"/>
      <c r="I66" s="308"/>
      <c r="J66" s="308"/>
      <c r="K66" s="1096">
        <v>131265.12</v>
      </c>
      <c r="L66" s="143">
        <f>K66/$K$70</f>
        <v>0.91044853967697326</v>
      </c>
      <c r="M66" s="1199"/>
      <c r="N66" s="137"/>
      <c r="O66" s="138"/>
      <c r="P66" s="1204"/>
      <c r="Q66" s="1218"/>
      <c r="R66" s="326"/>
      <c r="S66" s="327"/>
      <c r="T66" s="309"/>
      <c r="U66" s="309"/>
      <c r="V66" s="328"/>
      <c r="W66" s="5"/>
      <c r="X66" s="5"/>
      <c r="Y66" s="5"/>
      <c r="Z66" s="5"/>
    </row>
    <row r="67" spans="1:26" ht="12.75" customHeight="1">
      <c r="A67" s="344"/>
      <c r="B67" s="1199"/>
      <c r="C67" s="345"/>
      <c r="D67" s="346"/>
      <c r="E67" s="347"/>
      <c r="F67" s="1090"/>
      <c r="G67" s="1091"/>
      <c r="H67" s="1217"/>
      <c r="I67" s="308"/>
      <c r="J67" s="922" t="s">
        <v>443</v>
      </c>
      <c r="K67" s="1096"/>
      <c r="L67" s="143"/>
      <c r="M67" s="1199"/>
      <c r="N67" s="587"/>
      <c r="O67" s="138"/>
      <c r="P67" s="1204"/>
      <c r="Q67" s="1218"/>
      <c r="R67" s="326"/>
      <c r="S67" s="327"/>
      <c r="T67" s="309"/>
      <c r="U67" s="309"/>
      <c r="V67" s="328"/>
      <c r="W67" s="5"/>
      <c r="X67" s="5"/>
      <c r="Y67" s="5"/>
      <c r="Z67" s="5"/>
    </row>
    <row r="68" spans="1:26" ht="12.75" customHeight="1">
      <c r="A68" s="344"/>
      <c r="B68" s="1199" t="s">
        <v>64</v>
      </c>
      <c r="C68" s="345"/>
      <c r="D68" s="346"/>
      <c r="E68" s="347"/>
      <c r="F68" s="1096">
        <v>20975.05</v>
      </c>
      <c r="G68" s="1091">
        <f>F68/$F$70</f>
        <v>0.17135899161580645</v>
      </c>
      <c r="H68" s="1217"/>
      <c r="I68" s="308"/>
      <c r="J68" s="922"/>
      <c r="K68" s="1096">
        <v>12911.2</v>
      </c>
      <c r="L68" s="143">
        <f>K68/$K$70</f>
        <v>8.9551460323026688E-2</v>
      </c>
      <c r="M68" s="1199"/>
      <c r="N68" s="587"/>
      <c r="O68" s="138"/>
      <c r="P68" s="1204"/>
      <c r="Q68" s="1218"/>
      <c r="R68" s="326"/>
      <c r="S68" s="327"/>
      <c r="T68" s="309"/>
      <c r="U68" s="309"/>
      <c r="V68" s="328"/>
      <c r="W68" s="5"/>
      <c r="X68" s="5"/>
      <c r="Y68" s="5"/>
      <c r="Z68" s="5"/>
    </row>
    <row r="69" spans="1:26" ht="12.75" customHeight="1">
      <c r="A69" s="49"/>
      <c r="B69" s="66" t="s">
        <v>65</v>
      </c>
      <c r="C69" s="924"/>
      <c r="D69" s="34"/>
      <c r="E69" s="1099"/>
      <c r="F69" s="1100"/>
      <c r="G69" s="1101"/>
      <c r="H69" s="1219"/>
      <c r="I69" s="925"/>
      <c r="J69" s="925"/>
      <c r="K69" s="1103"/>
      <c r="L69" s="50"/>
      <c r="M69" s="66"/>
      <c r="N69" s="588"/>
      <c r="O69" s="36"/>
      <c r="P69" s="1204"/>
      <c r="Q69" s="1218"/>
      <c r="R69" s="326"/>
      <c r="S69" s="327"/>
      <c r="T69" s="309"/>
      <c r="U69" s="309"/>
      <c r="V69" s="328"/>
      <c r="W69" s="5"/>
      <c r="X69" s="5"/>
      <c r="Y69" s="5"/>
      <c r="Z69" s="5"/>
    </row>
    <row r="70" spans="1:26" ht="12.75" customHeight="1">
      <c r="A70" s="309"/>
      <c r="B70" s="1199" t="s">
        <v>66</v>
      </c>
      <c r="C70" s="345"/>
      <c r="D70" s="1105"/>
      <c r="E70" s="1106"/>
      <c r="F70" s="1107">
        <f>F66+F68</f>
        <v>122404.14</v>
      </c>
      <c r="G70" s="1108">
        <f>SUM(G66:G69)</f>
        <v>1</v>
      </c>
      <c r="H70" s="1220"/>
      <c r="I70" s="2009"/>
      <c r="J70" s="2010"/>
      <c r="K70" s="1109">
        <v>144176.32000000001</v>
      </c>
      <c r="L70" s="51">
        <f>SUM(L66:L69)</f>
        <v>1</v>
      </c>
      <c r="M70" s="1199"/>
      <c r="N70" s="58">
        <v>0.1439</v>
      </c>
      <c r="O70" s="67"/>
      <c r="P70" s="5"/>
      <c r="Q70" s="1202"/>
      <c r="R70" s="331"/>
      <c r="S70" s="327"/>
      <c r="T70" s="309"/>
      <c r="U70" s="309"/>
      <c r="V70" s="328"/>
      <c r="W70" s="5"/>
      <c r="X70" s="5"/>
      <c r="Y70" s="5"/>
      <c r="Z70" s="5"/>
    </row>
    <row r="71" spans="1:26" ht="12.75" customHeight="1">
      <c r="A71" s="309"/>
      <c r="B71" s="344"/>
      <c r="C71" s="985"/>
      <c r="D71" s="1024"/>
      <c r="E71" s="1024"/>
      <c r="F71" s="1024"/>
      <c r="G71" s="1024"/>
      <c r="H71" s="546"/>
      <c r="I71" s="940"/>
      <c r="J71" s="940"/>
      <c r="K71" s="1147"/>
      <c r="L71" s="949"/>
      <c r="M71" s="309"/>
      <c r="N71" s="882"/>
      <c r="O71" s="138"/>
      <c r="P71" s="1151"/>
      <c r="Q71" s="325"/>
      <c r="R71" s="326"/>
      <c r="S71" s="309"/>
      <c r="T71" s="309"/>
      <c r="U71" s="309"/>
      <c r="V71" s="328"/>
      <c r="W71" s="5"/>
      <c r="X71" s="5"/>
      <c r="Y71" s="5"/>
      <c r="Z71" s="5"/>
    </row>
    <row r="72" spans="1:26" ht="12.75" customHeight="1">
      <c r="A72" s="309"/>
      <c r="B72" s="1221"/>
      <c r="C72" s="873"/>
      <c r="D72" s="874"/>
      <c r="E72" s="875"/>
      <c r="F72" s="876"/>
      <c r="G72" s="877"/>
      <c r="H72" s="878"/>
      <c r="I72" s="879"/>
      <c r="J72" s="879"/>
      <c r="K72" s="880"/>
      <c r="L72" s="881"/>
      <c r="M72" s="879"/>
      <c r="N72" s="1171"/>
      <c r="O72" s="1222"/>
      <c r="P72" s="1158"/>
      <c r="Q72" s="1172"/>
      <c r="R72" s="1019"/>
      <c r="S72" s="309"/>
      <c r="T72" s="309"/>
      <c r="U72" s="309"/>
      <c r="V72" s="328"/>
      <c r="W72" s="5"/>
      <c r="X72" s="5"/>
      <c r="Y72" s="5"/>
      <c r="Z72" s="5"/>
    </row>
    <row r="73" spans="1:26" ht="12.75" customHeight="1">
      <c r="A73" s="309"/>
      <c r="B73" s="1199" t="s">
        <v>390</v>
      </c>
      <c r="C73" s="309"/>
      <c r="D73" s="323"/>
      <c r="E73" s="323"/>
      <c r="F73" s="1114"/>
      <c r="G73" s="323"/>
      <c r="H73" s="546"/>
      <c r="I73" s="309"/>
      <c r="J73" s="309"/>
      <c r="K73" s="324"/>
      <c r="L73" s="309"/>
      <c r="M73" s="309"/>
      <c r="N73" s="882"/>
      <c r="O73" s="1026"/>
      <c r="P73" s="895"/>
      <c r="Q73" s="325"/>
      <c r="R73" s="326"/>
      <c r="S73" s="309"/>
      <c r="T73" s="309"/>
      <c r="U73" s="309"/>
      <c r="V73" s="328"/>
      <c r="W73" s="5"/>
      <c r="X73" s="5"/>
      <c r="Y73" s="5"/>
      <c r="Z73" s="5"/>
    </row>
    <row r="74" spans="1:26" ht="12.75" customHeight="1">
      <c r="A74" s="309"/>
      <c r="B74" s="344" t="s">
        <v>272</v>
      </c>
      <c r="C74" s="309"/>
      <c r="D74" s="323"/>
      <c r="E74" s="323"/>
      <c r="F74" s="1188">
        <v>1848.36</v>
      </c>
      <c r="G74" s="323"/>
      <c r="H74" s="546"/>
      <c r="I74" s="309"/>
      <c r="J74" s="309"/>
      <c r="K74" s="1189">
        <v>2058.9</v>
      </c>
      <c r="L74" s="1040"/>
      <c r="M74" s="309"/>
      <c r="N74" s="882">
        <f>(K74-F74)/F74</f>
        <v>0.11390638187366109</v>
      </c>
      <c r="O74" s="1026"/>
      <c r="P74" s="1066"/>
      <c r="Q74" s="325"/>
      <c r="R74" s="326"/>
      <c r="S74" s="309"/>
      <c r="T74" s="309"/>
      <c r="U74" s="309"/>
      <c r="V74" s="328"/>
      <c r="W74" s="5"/>
      <c r="X74" s="5"/>
      <c r="Y74" s="5"/>
      <c r="Z74" s="5"/>
    </row>
    <row r="75" spans="1:26" ht="12.75" customHeight="1">
      <c r="A75" s="309"/>
      <c r="B75" s="344" t="s">
        <v>273</v>
      </c>
      <c r="C75" s="309"/>
      <c r="D75" s="309"/>
      <c r="E75" s="309"/>
      <c r="F75" s="1146"/>
      <c r="G75" s="309"/>
      <c r="H75" s="546"/>
      <c r="I75" s="309"/>
      <c r="J75" s="309"/>
      <c r="K75" s="324"/>
      <c r="L75" s="1040"/>
      <c r="M75" s="309"/>
      <c r="N75" s="1173">
        <f>N76-N74</f>
        <v>2.2993618126338905E-2</v>
      </c>
      <c r="O75" s="1026"/>
      <c r="P75" s="1066"/>
      <c r="Q75" s="325"/>
      <c r="R75" s="326"/>
      <c r="S75" s="309"/>
      <c r="T75" s="309"/>
      <c r="U75" s="309"/>
      <c r="V75" s="328"/>
      <c r="W75" s="5"/>
      <c r="X75" s="5"/>
      <c r="Y75" s="5"/>
      <c r="Z75" s="5"/>
    </row>
    <row r="76" spans="1:26" ht="12.75" customHeight="1">
      <c r="A76" s="309"/>
      <c r="B76" s="344" t="s">
        <v>228</v>
      </c>
      <c r="C76" s="309"/>
      <c r="D76" s="309"/>
      <c r="E76" s="309"/>
      <c r="F76" s="1146"/>
      <c r="G76" s="309"/>
      <c r="H76" s="546"/>
      <c r="I76" s="309"/>
      <c r="J76" s="309"/>
      <c r="K76" s="1020"/>
      <c r="L76" s="1040"/>
      <c r="M76" s="309"/>
      <c r="N76" s="882">
        <v>0.13689999999999999</v>
      </c>
      <c r="O76" s="1026"/>
      <c r="P76" s="1066"/>
      <c r="Q76" s="325"/>
      <c r="R76" s="326"/>
      <c r="S76" s="309"/>
      <c r="T76" s="309"/>
      <c r="U76" s="309"/>
      <c r="V76" s="328"/>
      <c r="W76" s="5"/>
      <c r="X76" s="5"/>
      <c r="Y76" s="5"/>
      <c r="Z76" s="5"/>
    </row>
    <row r="77" spans="1:26" ht="12.75" customHeight="1">
      <c r="A77" s="309"/>
      <c r="B77" s="344"/>
      <c r="C77" s="309"/>
      <c r="D77" s="309"/>
      <c r="E77" s="309"/>
      <c r="F77" s="1146"/>
      <c r="G77" s="309"/>
      <c r="H77" s="546"/>
      <c r="I77" s="309"/>
      <c r="J77" s="309"/>
      <c r="K77" s="1020"/>
      <c r="L77" s="1040"/>
      <c r="M77" s="309"/>
      <c r="N77" s="882"/>
      <c r="O77" s="1026"/>
      <c r="P77" s="1066"/>
      <c r="Q77" s="325"/>
      <c r="R77" s="326"/>
      <c r="S77" s="309"/>
      <c r="T77" s="309"/>
      <c r="U77" s="309"/>
      <c r="V77" s="328"/>
      <c r="W77" s="5"/>
      <c r="X77" s="5"/>
      <c r="Y77" s="5"/>
      <c r="Z77" s="5"/>
    </row>
    <row r="78" spans="1:26" ht="14.25" customHeight="1">
      <c r="A78" s="309"/>
      <c r="B78" s="344" t="s">
        <v>391</v>
      </c>
      <c r="C78" s="309"/>
      <c r="D78" s="309"/>
      <c r="E78" s="309"/>
      <c r="F78" s="5"/>
      <c r="G78" s="309"/>
      <c r="H78" s="546"/>
      <c r="I78" s="309"/>
      <c r="J78" s="309"/>
      <c r="K78" s="1020"/>
      <c r="L78" s="309"/>
      <c r="M78" s="309"/>
      <c r="N78" s="882">
        <v>5.9700000000000003E-2</v>
      </c>
      <c r="O78" s="138"/>
      <c r="P78" s="1151"/>
      <c r="Q78" s="325"/>
      <c r="R78" s="326"/>
      <c r="S78" s="309"/>
      <c r="T78" s="309"/>
      <c r="U78" s="309"/>
      <c r="V78" s="328"/>
      <c r="W78" s="5"/>
      <c r="X78" s="5"/>
      <c r="Y78" s="5"/>
      <c r="Z78" s="5"/>
    </row>
    <row r="79" spans="1:26" ht="14.25" customHeight="1">
      <c r="A79" s="309"/>
      <c r="B79" s="344"/>
      <c r="C79" s="309"/>
      <c r="D79" s="309"/>
      <c r="E79" s="309"/>
      <c r="F79" s="309"/>
      <c r="G79" s="309"/>
      <c r="H79" s="546"/>
      <c r="I79" s="309"/>
      <c r="J79" s="309"/>
      <c r="K79" s="1020"/>
      <c r="L79" s="309"/>
      <c r="M79" s="309"/>
      <c r="N79" s="882"/>
      <c r="O79" s="138"/>
      <c r="P79" s="1151"/>
      <c r="Q79" s="325"/>
      <c r="R79" s="326"/>
      <c r="S79" s="309"/>
      <c r="T79" s="309"/>
      <c r="U79" s="309"/>
      <c r="V79" s="328"/>
      <c r="W79" s="5"/>
      <c r="X79" s="5"/>
      <c r="Y79" s="5"/>
      <c r="Z79" s="5"/>
    </row>
    <row r="80" spans="1:26" ht="14.25" customHeight="1">
      <c r="A80" s="309"/>
      <c r="B80" s="344" t="s">
        <v>392</v>
      </c>
      <c r="C80" s="309"/>
      <c r="D80" s="309"/>
      <c r="E80" s="309"/>
      <c r="F80" s="309"/>
      <c r="G80" s="309"/>
      <c r="H80" s="546"/>
      <c r="I80" s="309"/>
      <c r="J80" s="309"/>
      <c r="K80" s="1020"/>
      <c r="L80" s="309"/>
      <c r="M80" s="309"/>
      <c r="N80" s="882">
        <f>0.8*N76+0.2*N78</f>
        <v>0.12146000000000001</v>
      </c>
      <c r="O80" s="138"/>
      <c r="P80" s="1151"/>
      <c r="Q80" s="325"/>
      <c r="R80" s="326"/>
      <c r="S80" s="309"/>
      <c r="T80" s="309"/>
      <c r="U80" s="309"/>
      <c r="V80" s="328"/>
      <c r="W80" s="5"/>
      <c r="X80" s="5"/>
      <c r="Y80" s="5"/>
      <c r="Z80" s="5"/>
    </row>
    <row r="81" spans="1:26" ht="12.75" customHeight="1">
      <c r="A81" s="5"/>
      <c r="B81" s="1223"/>
      <c r="C81" s="916"/>
      <c r="D81" s="916"/>
      <c r="E81" s="916"/>
      <c r="F81" s="916"/>
      <c r="G81" s="916"/>
      <c r="H81" s="1224"/>
      <c r="I81" s="916"/>
      <c r="J81" s="916"/>
      <c r="K81" s="916"/>
      <c r="L81" s="1216" t="s">
        <v>393</v>
      </c>
      <c r="M81" s="916"/>
      <c r="N81" s="1225">
        <f>N70-N80</f>
        <v>2.2439999999999988E-2</v>
      </c>
      <c r="O81" s="31"/>
      <c r="P81" s="5"/>
      <c r="Q81" s="57"/>
      <c r="R81" s="5"/>
      <c r="S81" s="5"/>
      <c r="T81" s="5"/>
      <c r="U81" s="5"/>
      <c r="V81" s="5"/>
      <c r="W81" s="5"/>
      <c r="X81" s="5"/>
      <c r="Y81" s="5"/>
      <c r="Z81" s="5"/>
    </row>
    <row r="82" spans="1:26" ht="12.75" customHeight="1">
      <c r="A82" s="5"/>
      <c r="B82" s="344"/>
      <c r="C82" s="5"/>
      <c r="D82" s="5"/>
      <c r="E82" s="5"/>
      <c r="F82" s="309"/>
      <c r="G82" s="5"/>
      <c r="H82" s="68"/>
      <c r="I82" s="5"/>
      <c r="J82" s="5"/>
      <c r="K82" s="5"/>
      <c r="L82" s="60"/>
      <c r="M82" s="5"/>
      <c r="N82" s="61"/>
      <c r="O82" s="323"/>
      <c r="P82" s="5"/>
      <c r="Q82" s="57"/>
      <c r="R82" s="5"/>
      <c r="S82" s="5"/>
      <c r="T82" s="5"/>
      <c r="U82" s="5"/>
      <c r="V82" s="5"/>
      <c r="W82" s="5"/>
      <c r="X82" s="5"/>
      <c r="Y82" s="5"/>
      <c r="Z82" s="5"/>
    </row>
    <row r="83" spans="1:26" ht="12.75" customHeight="1">
      <c r="A83" s="5"/>
      <c r="B83" s="344" t="s">
        <v>444</v>
      </c>
      <c r="C83" s="5"/>
      <c r="D83" s="5"/>
      <c r="E83" s="5"/>
      <c r="F83" s="5"/>
      <c r="G83" s="5"/>
      <c r="H83" s="68"/>
      <c r="I83" s="5"/>
      <c r="J83" s="5"/>
      <c r="K83" s="5"/>
      <c r="L83" s="60"/>
      <c r="M83" s="5"/>
      <c r="N83" s="61">
        <v>2.1700000000000001E-2</v>
      </c>
      <c r="O83" s="323"/>
      <c r="P83" s="5"/>
      <c r="Q83" s="57"/>
      <c r="R83" s="5"/>
      <c r="S83" s="5"/>
      <c r="T83" s="5"/>
      <c r="U83" s="5"/>
      <c r="V83" s="5"/>
      <c r="W83" s="5"/>
      <c r="X83" s="5"/>
      <c r="Y83" s="5"/>
      <c r="Z83" s="5"/>
    </row>
    <row r="84" spans="1:26" ht="12.75" customHeight="1">
      <c r="A84" s="5"/>
      <c r="B84" s="344"/>
      <c r="C84" s="5"/>
      <c r="D84" s="5"/>
      <c r="E84" s="5"/>
      <c r="F84" s="5"/>
      <c r="G84" s="5"/>
      <c r="H84" s="68"/>
      <c r="I84" s="5"/>
      <c r="J84" s="5"/>
      <c r="K84" s="5"/>
      <c r="L84" s="60"/>
      <c r="M84" s="5"/>
      <c r="N84" s="61"/>
      <c r="O84" s="5"/>
      <c r="P84" s="5"/>
      <c r="Q84" s="57"/>
      <c r="R84" s="5"/>
      <c r="S84" s="5"/>
      <c r="T84" s="5"/>
      <c r="U84" s="5"/>
      <c r="V84" s="5"/>
      <c r="W84" s="5"/>
      <c r="X84" s="5"/>
      <c r="Y84" s="5"/>
      <c r="Z84" s="5"/>
    </row>
    <row r="85" spans="1:26" ht="12.75" customHeight="1">
      <c r="A85" s="5"/>
      <c r="B85" s="344" t="s">
        <v>445</v>
      </c>
      <c r="C85" s="52"/>
      <c r="D85" s="5"/>
      <c r="E85" s="5"/>
      <c r="F85" s="5"/>
      <c r="G85" s="5"/>
      <c r="H85" s="306"/>
      <c r="I85" s="5"/>
      <c r="J85" s="5"/>
      <c r="K85" s="5"/>
      <c r="L85" s="5"/>
      <c r="M85" s="5"/>
      <c r="N85" s="61">
        <f>(0.6*N83)+(0.4*N78)</f>
        <v>3.6900000000000002E-2</v>
      </c>
      <c r="O85" s="5"/>
      <c r="P85" s="5"/>
      <c r="Q85" s="57"/>
      <c r="R85" s="5"/>
      <c r="S85" s="5"/>
      <c r="T85" s="5"/>
      <c r="U85" s="5"/>
      <c r="V85" s="5"/>
      <c r="W85" s="5"/>
      <c r="X85" s="5"/>
      <c r="Y85" s="5"/>
      <c r="Z85" s="5"/>
    </row>
    <row r="86" spans="1:26" ht="12.75" customHeight="1">
      <c r="A86" s="5"/>
      <c r="B86" s="344"/>
      <c r="C86" s="52"/>
      <c r="D86" s="5"/>
      <c r="E86" s="5"/>
      <c r="F86" s="5"/>
      <c r="G86" s="5"/>
      <c r="H86" s="306"/>
      <c r="I86" s="5"/>
      <c r="J86" s="5"/>
      <c r="K86" s="5"/>
      <c r="L86" s="60" t="s">
        <v>393</v>
      </c>
      <c r="M86" s="5"/>
      <c r="N86" s="61">
        <f>N70-N85</f>
        <v>0.107</v>
      </c>
      <c r="O86" s="5"/>
      <c r="P86" s="5"/>
      <c r="Q86" s="57"/>
      <c r="R86" s="5"/>
      <c r="S86" s="5"/>
      <c r="T86" s="5"/>
      <c r="U86" s="5"/>
      <c r="V86" s="5"/>
      <c r="W86" s="5"/>
      <c r="X86" s="5"/>
      <c r="Y86" s="5"/>
      <c r="Z86" s="5"/>
    </row>
    <row r="87" spans="1:26" ht="12.75" customHeight="1">
      <c r="A87" s="5"/>
      <c r="B87" s="5"/>
      <c r="C87" s="5"/>
      <c r="D87" s="5"/>
      <c r="E87" s="5"/>
      <c r="F87" s="5"/>
      <c r="G87" s="5"/>
      <c r="H87" s="306"/>
      <c r="I87" s="5"/>
      <c r="J87" s="5"/>
      <c r="K87" s="5"/>
      <c r="L87" s="5"/>
      <c r="M87" s="5"/>
      <c r="N87" s="5"/>
      <c r="O87" s="5"/>
      <c r="P87" s="5"/>
      <c r="Q87" s="57"/>
      <c r="R87" s="5"/>
      <c r="S87" s="5"/>
      <c r="T87" s="5"/>
      <c r="U87" s="5"/>
      <c r="V87" s="5"/>
      <c r="W87" s="5"/>
      <c r="X87" s="5"/>
      <c r="Y87" s="5"/>
      <c r="Z87" s="5"/>
    </row>
    <row r="88" spans="1:26" ht="12.75" customHeight="1">
      <c r="A88" s="5"/>
      <c r="B88" s="5"/>
      <c r="C88" s="5"/>
      <c r="D88" s="5"/>
      <c r="E88" s="5"/>
      <c r="F88" s="5"/>
      <c r="G88" s="5"/>
      <c r="H88" s="306"/>
      <c r="I88" s="5"/>
      <c r="J88" s="5"/>
      <c r="K88" s="5"/>
      <c r="L88" s="5"/>
      <c r="M88" s="5"/>
      <c r="N88" s="5"/>
      <c r="O88" s="5"/>
      <c r="P88" s="5"/>
      <c r="Q88" s="57"/>
      <c r="R88" s="5"/>
      <c r="S88" s="5"/>
      <c r="T88" s="5"/>
      <c r="U88" s="5"/>
      <c r="V88" s="5"/>
      <c r="W88" s="5"/>
      <c r="X88" s="5"/>
      <c r="Y88" s="5"/>
      <c r="Z88" s="5"/>
    </row>
    <row r="89" spans="1:26" ht="12.75" customHeight="1">
      <c r="A89" s="5"/>
      <c r="B89" s="5"/>
      <c r="C89" s="5"/>
      <c r="D89" s="5"/>
      <c r="E89" s="5"/>
      <c r="F89" s="5"/>
      <c r="G89" s="5"/>
      <c r="H89" s="306"/>
      <c r="I89" s="5"/>
      <c r="J89" s="5"/>
      <c r="K89" s="5"/>
      <c r="L89" s="5"/>
      <c r="M89" s="5"/>
      <c r="N89" s="5"/>
      <c r="O89" s="5"/>
      <c r="P89" s="5"/>
      <c r="Q89" s="57"/>
      <c r="R89" s="5"/>
      <c r="S89" s="5"/>
      <c r="T89" s="5"/>
      <c r="U89" s="5"/>
      <c r="V89" s="5"/>
      <c r="W89" s="5"/>
      <c r="X89" s="5"/>
      <c r="Y89" s="5"/>
      <c r="Z89" s="5"/>
    </row>
    <row r="90" spans="1:26" ht="12.75" customHeight="1">
      <c r="A90" s="5"/>
      <c r="B90" s="5"/>
      <c r="C90" s="5"/>
      <c r="D90" s="5"/>
      <c r="E90" s="5"/>
      <c r="F90" s="5"/>
      <c r="G90" s="5"/>
      <c r="H90" s="306"/>
      <c r="I90" s="5"/>
      <c r="J90" s="5"/>
      <c r="K90" s="5"/>
      <c r="L90" s="5"/>
      <c r="M90" s="5"/>
      <c r="N90" s="5"/>
      <c r="O90" s="5"/>
      <c r="P90" s="5"/>
      <c r="Q90" s="57"/>
      <c r="R90" s="5"/>
      <c r="S90" s="5"/>
      <c r="T90" s="5"/>
      <c r="U90" s="5"/>
      <c r="V90" s="5"/>
      <c r="W90" s="5"/>
      <c r="X90" s="5"/>
      <c r="Y90" s="5"/>
      <c r="Z90" s="5"/>
    </row>
    <row r="91" spans="1:26" ht="12.75" customHeight="1">
      <c r="A91" s="5"/>
      <c r="B91" s="5"/>
      <c r="C91" s="5"/>
      <c r="D91" s="5"/>
      <c r="E91" s="5"/>
      <c r="F91" s="5"/>
      <c r="G91" s="5"/>
      <c r="H91" s="306"/>
      <c r="I91" s="5"/>
      <c r="J91" s="5"/>
      <c r="K91" s="5"/>
      <c r="L91" s="5"/>
      <c r="M91" s="5"/>
      <c r="N91" s="5"/>
      <c r="O91" s="5"/>
      <c r="P91" s="5"/>
      <c r="Q91" s="57"/>
      <c r="R91" s="5"/>
      <c r="S91" s="5"/>
      <c r="T91" s="5"/>
      <c r="U91" s="5"/>
      <c r="V91" s="5"/>
      <c r="W91" s="5"/>
      <c r="X91" s="5"/>
      <c r="Y91" s="5"/>
      <c r="Z91" s="5"/>
    </row>
    <row r="92" spans="1:26" ht="12.75" customHeight="1">
      <c r="A92" s="5"/>
      <c r="B92" s="5"/>
      <c r="C92" s="5"/>
      <c r="D92" s="5"/>
      <c r="E92" s="5"/>
      <c r="F92" s="5"/>
      <c r="G92" s="5"/>
      <c r="H92" s="306"/>
      <c r="I92" s="5"/>
      <c r="J92" s="5"/>
      <c r="K92" s="5"/>
      <c r="L92" s="5"/>
      <c r="M92" s="5"/>
      <c r="N92" s="5"/>
      <c r="O92" s="5"/>
      <c r="P92" s="5"/>
      <c r="Q92" s="57"/>
      <c r="R92" s="5"/>
      <c r="S92" s="5"/>
      <c r="T92" s="5"/>
      <c r="U92" s="5"/>
      <c r="V92" s="5"/>
      <c r="W92" s="5"/>
      <c r="X92" s="5"/>
      <c r="Y92" s="5"/>
      <c r="Z92" s="5"/>
    </row>
    <row r="93" spans="1:26" ht="12.75" customHeight="1">
      <c r="A93" s="5"/>
      <c r="B93" s="5"/>
      <c r="C93" s="5"/>
      <c r="D93" s="5"/>
      <c r="E93" s="5"/>
      <c r="F93" s="5"/>
      <c r="G93" s="5"/>
      <c r="H93" s="1226"/>
      <c r="I93" s="5"/>
      <c r="J93" s="5"/>
      <c r="K93" s="5"/>
      <c r="L93" s="5"/>
      <c r="M93" s="5"/>
      <c r="N93" s="5"/>
      <c r="O93" s="5"/>
      <c r="P93" s="5"/>
      <c r="Q93" s="57"/>
      <c r="R93" s="5"/>
      <c r="S93" s="5"/>
      <c r="T93" s="5"/>
      <c r="U93" s="5"/>
      <c r="V93" s="5"/>
      <c r="W93" s="5"/>
      <c r="X93" s="5"/>
      <c r="Y93" s="5"/>
      <c r="Z93" s="5"/>
    </row>
    <row r="94" spans="1:26" ht="12.75" customHeight="1">
      <c r="A94" s="5"/>
      <c r="B94" s="5"/>
      <c r="C94" s="5"/>
      <c r="D94" s="5"/>
      <c r="E94" s="5"/>
      <c r="F94" s="5"/>
      <c r="G94" s="5"/>
      <c r="H94" s="306"/>
      <c r="I94" s="5"/>
      <c r="J94" s="5"/>
      <c r="K94" s="5"/>
      <c r="L94" s="5"/>
      <c r="M94" s="5"/>
      <c r="N94" s="5"/>
      <c r="O94" s="5"/>
      <c r="P94" s="5"/>
      <c r="Q94" s="57"/>
      <c r="R94" s="5"/>
      <c r="S94" s="5"/>
      <c r="T94" s="5"/>
      <c r="U94" s="5"/>
      <c r="V94" s="5"/>
      <c r="W94" s="5"/>
      <c r="X94" s="5"/>
      <c r="Y94" s="5"/>
      <c r="Z94" s="5"/>
    </row>
    <row r="95" spans="1:26" ht="12.75" customHeight="1">
      <c r="A95" s="5"/>
      <c r="B95" s="5"/>
      <c r="C95" s="5"/>
      <c r="D95" s="5"/>
      <c r="E95" s="5"/>
      <c r="F95" s="5"/>
      <c r="G95" s="5"/>
      <c r="H95" s="306"/>
      <c r="I95" s="5"/>
      <c r="J95" s="5"/>
      <c r="K95" s="5"/>
      <c r="L95" s="5"/>
      <c r="M95" s="5"/>
      <c r="N95" s="5"/>
      <c r="O95" s="5"/>
      <c r="P95" s="5"/>
      <c r="Q95" s="57"/>
      <c r="R95" s="5"/>
      <c r="S95" s="5"/>
      <c r="T95" s="5"/>
      <c r="U95" s="5"/>
      <c r="V95" s="5"/>
      <c r="W95" s="5"/>
      <c r="X95" s="5"/>
      <c r="Y95" s="5"/>
      <c r="Z95" s="5"/>
    </row>
    <row r="96" spans="1:26" ht="12.75" customHeight="1">
      <c r="A96" s="5"/>
      <c r="B96" s="5"/>
      <c r="C96" s="5"/>
      <c r="D96" s="5"/>
      <c r="E96" s="5"/>
      <c r="F96" s="5"/>
      <c r="G96" s="5"/>
      <c r="H96" s="306"/>
      <c r="I96" s="5"/>
      <c r="J96" s="5"/>
      <c r="K96" s="5"/>
      <c r="L96" s="5"/>
      <c r="M96" s="5"/>
      <c r="N96" s="5"/>
      <c r="O96" s="5"/>
      <c r="P96" s="5"/>
      <c r="Q96" s="57"/>
      <c r="R96" s="5"/>
      <c r="S96" s="5"/>
      <c r="T96" s="5"/>
      <c r="U96" s="5"/>
      <c r="V96" s="5"/>
      <c r="W96" s="5"/>
      <c r="X96" s="5"/>
      <c r="Y96" s="5"/>
      <c r="Z96" s="5"/>
    </row>
    <row r="97" spans="1:26" ht="12.75" customHeight="1">
      <c r="A97" s="5"/>
      <c r="B97" s="5"/>
      <c r="C97" s="5"/>
      <c r="D97" s="5"/>
      <c r="E97" s="5"/>
      <c r="F97" s="5"/>
      <c r="G97" s="5"/>
      <c r="H97" s="306"/>
      <c r="I97" s="5"/>
      <c r="J97" s="5"/>
      <c r="K97" s="5"/>
      <c r="L97" s="5"/>
      <c r="M97" s="5"/>
      <c r="N97" s="5"/>
      <c r="O97" s="5"/>
      <c r="P97" s="5"/>
      <c r="Q97" s="57"/>
      <c r="R97" s="5"/>
      <c r="S97" s="5"/>
      <c r="T97" s="5"/>
      <c r="U97" s="5"/>
      <c r="V97" s="5"/>
      <c r="W97" s="5"/>
      <c r="X97" s="5"/>
      <c r="Y97" s="5"/>
      <c r="Z97" s="5"/>
    </row>
    <row r="98" spans="1:26" ht="12.75" customHeight="1">
      <c r="A98" s="5"/>
      <c r="B98" s="5"/>
      <c r="C98" s="5"/>
      <c r="D98" s="5"/>
      <c r="E98" s="5"/>
      <c r="F98" s="5"/>
      <c r="G98" s="5"/>
      <c r="H98" s="306"/>
      <c r="I98" s="5"/>
      <c r="J98" s="5"/>
      <c r="K98" s="5"/>
      <c r="L98" s="5"/>
      <c r="M98" s="5"/>
      <c r="N98" s="5"/>
      <c r="O98" s="5"/>
      <c r="P98" s="5"/>
      <c r="Q98" s="57"/>
      <c r="R98" s="5"/>
      <c r="S98" s="5"/>
      <c r="T98" s="5"/>
      <c r="U98" s="5"/>
      <c r="V98" s="5"/>
      <c r="W98" s="5"/>
      <c r="X98" s="5"/>
      <c r="Y98" s="5"/>
      <c r="Z98" s="5"/>
    </row>
    <row r="99" spans="1:26" ht="12.75" customHeight="1">
      <c r="A99" s="5"/>
      <c r="B99" s="5"/>
      <c r="C99" s="5"/>
      <c r="D99" s="5"/>
      <c r="E99" s="5"/>
      <c r="F99" s="5"/>
      <c r="G99" s="5"/>
      <c r="H99" s="306"/>
      <c r="I99" s="5"/>
      <c r="J99" s="5"/>
      <c r="K99" s="5"/>
      <c r="L99" s="5"/>
      <c r="M99" s="5"/>
      <c r="N99" s="5"/>
      <c r="O99" s="5"/>
      <c r="P99" s="5"/>
      <c r="Q99" s="57"/>
      <c r="R99" s="5"/>
      <c r="S99" s="5"/>
      <c r="T99" s="5"/>
      <c r="U99" s="5"/>
      <c r="V99" s="5"/>
      <c r="W99" s="5"/>
      <c r="X99" s="5"/>
      <c r="Y99" s="5"/>
      <c r="Z99" s="5"/>
    </row>
    <row r="100" spans="1:26" ht="12.75" customHeight="1">
      <c r="A100" s="5"/>
      <c r="B100" s="5"/>
      <c r="C100" s="5"/>
      <c r="D100" s="5"/>
      <c r="E100" s="5"/>
      <c r="F100" s="5"/>
      <c r="G100" s="5"/>
      <c r="H100" s="306"/>
      <c r="I100" s="5"/>
      <c r="J100" s="5"/>
      <c r="K100" s="5"/>
      <c r="L100" s="5"/>
      <c r="M100" s="5"/>
      <c r="N100" s="5"/>
      <c r="O100" s="5"/>
      <c r="P100" s="5"/>
      <c r="Q100" s="57"/>
      <c r="R100" s="5"/>
      <c r="S100" s="5"/>
      <c r="T100" s="5"/>
      <c r="U100" s="5"/>
      <c r="V100" s="5"/>
      <c r="W100" s="5"/>
      <c r="X100" s="5"/>
      <c r="Y100" s="5"/>
      <c r="Z100" s="5"/>
    </row>
    <row r="101" spans="1:26" ht="12.75" customHeight="1">
      <c r="A101" s="5"/>
      <c r="B101" s="5"/>
      <c r="C101" s="5"/>
      <c r="D101" s="5"/>
      <c r="E101" s="5"/>
      <c r="F101" s="5"/>
      <c r="G101" s="5"/>
      <c r="H101" s="306"/>
      <c r="I101" s="5"/>
      <c r="J101" s="5"/>
      <c r="K101" s="5"/>
      <c r="L101" s="5"/>
      <c r="M101" s="5"/>
      <c r="N101" s="5"/>
      <c r="O101" s="5"/>
      <c r="P101" s="5"/>
      <c r="Q101" s="57"/>
      <c r="R101" s="5"/>
      <c r="S101" s="5"/>
      <c r="T101" s="5"/>
      <c r="U101" s="5"/>
      <c r="V101" s="5"/>
      <c r="W101" s="5"/>
      <c r="X101" s="5"/>
      <c r="Y101" s="5"/>
      <c r="Z101" s="5"/>
    </row>
    <row r="102" spans="1:26" ht="12.75" customHeight="1">
      <c r="A102" s="5"/>
      <c r="B102" s="5"/>
      <c r="C102" s="5"/>
      <c r="D102" s="5"/>
      <c r="E102" s="5"/>
      <c r="F102" s="5"/>
      <c r="G102" s="5"/>
      <c r="H102" s="306"/>
      <c r="I102" s="5"/>
      <c r="J102" s="5"/>
      <c r="K102" s="5"/>
      <c r="L102" s="5"/>
      <c r="M102" s="5"/>
      <c r="N102" s="5"/>
      <c r="O102" s="5"/>
      <c r="P102" s="5"/>
      <c r="Q102" s="57"/>
      <c r="R102" s="5"/>
      <c r="S102" s="5"/>
      <c r="T102" s="5"/>
      <c r="U102" s="5"/>
      <c r="V102" s="5"/>
      <c r="W102" s="5"/>
      <c r="X102" s="5"/>
      <c r="Y102" s="5"/>
      <c r="Z102" s="5"/>
    </row>
    <row r="103" spans="1:26" ht="12.75" customHeight="1">
      <c r="A103" s="5"/>
      <c r="B103" s="5"/>
      <c r="C103" s="5"/>
      <c r="D103" s="5"/>
      <c r="E103" s="5"/>
      <c r="F103" s="5"/>
      <c r="G103" s="5"/>
      <c r="H103" s="306"/>
      <c r="I103" s="5"/>
      <c r="J103" s="5"/>
      <c r="K103" s="5"/>
      <c r="L103" s="5"/>
      <c r="M103" s="5"/>
      <c r="N103" s="5"/>
      <c r="O103" s="5"/>
      <c r="P103" s="5"/>
      <c r="Q103" s="57"/>
      <c r="R103" s="5"/>
      <c r="S103" s="5"/>
      <c r="T103" s="5"/>
      <c r="U103" s="5"/>
      <c r="V103" s="5"/>
      <c r="W103" s="5"/>
      <c r="X103" s="5"/>
      <c r="Y103" s="5"/>
      <c r="Z103" s="5"/>
    </row>
    <row r="104" spans="1:26" ht="12.75" customHeight="1">
      <c r="A104" s="5"/>
      <c r="B104" s="5"/>
      <c r="C104" s="5"/>
      <c r="D104" s="5"/>
      <c r="E104" s="5"/>
      <c r="F104" s="5"/>
      <c r="G104" s="5"/>
      <c r="H104" s="306"/>
      <c r="I104" s="5"/>
      <c r="J104" s="5"/>
      <c r="K104" s="5"/>
      <c r="L104" s="5"/>
      <c r="M104" s="5"/>
      <c r="N104" s="5"/>
      <c r="O104" s="5"/>
      <c r="P104" s="5"/>
      <c r="Q104" s="57"/>
      <c r="R104" s="5"/>
      <c r="S104" s="5"/>
      <c r="T104" s="5"/>
      <c r="U104" s="5"/>
      <c r="V104" s="5"/>
      <c r="W104" s="5"/>
      <c r="X104" s="5"/>
      <c r="Y104" s="5"/>
      <c r="Z104" s="5"/>
    </row>
    <row r="105" spans="1:26" ht="12.75" customHeight="1">
      <c r="A105" s="5"/>
      <c r="B105" s="5"/>
      <c r="C105" s="5"/>
      <c r="D105" s="5"/>
      <c r="E105" s="5"/>
      <c r="F105" s="5"/>
      <c r="G105" s="5"/>
      <c r="H105" s="306"/>
      <c r="I105" s="5"/>
      <c r="J105" s="5"/>
      <c r="K105" s="5"/>
      <c r="L105" s="5"/>
      <c r="M105" s="5"/>
      <c r="N105" s="5"/>
      <c r="O105" s="5"/>
      <c r="P105" s="5"/>
      <c r="Q105" s="57"/>
      <c r="R105" s="5"/>
      <c r="S105" s="5"/>
      <c r="T105" s="5"/>
      <c r="U105" s="5"/>
      <c r="V105" s="5"/>
      <c r="W105" s="5"/>
      <c r="X105" s="5"/>
      <c r="Y105" s="5"/>
      <c r="Z105" s="5"/>
    </row>
    <row r="106" spans="1:26" ht="12.75" customHeight="1">
      <c r="A106" s="5"/>
      <c r="B106" s="5"/>
      <c r="C106" s="5"/>
      <c r="D106" s="5"/>
      <c r="E106" s="5"/>
      <c r="F106" s="5"/>
      <c r="G106" s="5"/>
      <c r="H106" s="306"/>
      <c r="I106" s="5"/>
      <c r="J106" s="5"/>
      <c r="K106" s="5"/>
      <c r="L106" s="5"/>
      <c r="M106" s="5"/>
      <c r="N106" s="5"/>
      <c r="O106" s="5"/>
      <c r="P106" s="5"/>
      <c r="Q106" s="57"/>
      <c r="R106" s="5"/>
      <c r="S106" s="5"/>
      <c r="T106" s="5"/>
      <c r="U106" s="5"/>
      <c r="V106" s="5"/>
      <c r="W106" s="5"/>
      <c r="X106" s="5"/>
      <c r="Y106" s="5"/>
      <c r="Z106" s="5"/>
    </row>
    <row r="107" spans="1:26" ht="12.75" customHeight="1">
      <c r="A107" s="5"/>
      <c r="B107" s="5"/>
      <c r="C107" s="5"/>
      <c r="D107" s="5"/>
      <c r="E107" s="5"/>
      <c r="F107" s="5"/>
      <c r="G107" s="5"/>
      <c r="H107" s="306"/>
      <c r="I107" s="5"/>
      <c r="J107" s="5"/>
      <c r="K107" s="5"/>
      <c r="L107" s="5"/>
      <c r="M107" s="5"/>
      <c r="N107" s="5"/>
      <c r="O107" s="5"/>
      <c r="P107" s="5"/>
      <c r="Q107" s="57"/>
      <c r="R107" s="5"/>
      <c r="S107" s="5"/>
      <c r="T107" s="5"/>
      <c r="U107" s="5"/>
      <c r="V107" s="5"/>
      <c r="W107" s="5"/>
      <c r="X107" s="5"/>
      <c r="Y107" s="5"/>
      <c r="Z107" s="5"/>
    </row>
    <row r="108" spans="1:26" ht="12.75" customHeight="1">
      <c r="A108" s="5"/>
      <c r="B108" s="5"/>
      <c r="C108" s="5"/>
      <c r="D108" s="5"/>
      <c r="E108" s="5"/>
      <c r="F108" s="5"/>
      <c r="G108" s="5"/>
      <c r="H108" s="306"/>
      <c r="I108" s="5"/>
      <c r="J108" s="5"/>
      <c r="K108" s="5"/>
      <c r="L108" s="5"/>
      <c r="M108" s="5"/>
      <c r="N108" s="5"/>
      <c r="O108" s="5"/>
      <c r="P108" s="5"/>
      <c r="Q108" s="57"/>
      <c r="R108" s="5"/>
      <c r="S108" s="5"/>
      <c r="T108" s="5"/>
      <c r="U108" s="5"/>
      <c r="V108" s="5"/>
      <c r="W108" s="5"/>
      <c r="X108" s="5"/>
      <c r="Y108" s="5"/>
      <c r="Z108" s="5"/>
    </row>
    <row r="109" spans="1:26" ht="12.75" customHeight="1">
      <c r="A109" s="5"/>
      <c r="B109" s="5"/>
      <c r="C109" s="5"/>
      <c r="D109" s="5"/>
      <c r="E109" s="5"/>
      <c r="F109" s="5"/>
      <c r="G109" s="5"/>
      <c r="H109" s="306"/>
      <c r="I109" s="5"/>
      <c r="J109" s="5"/>
      <c r="K109" s="5"/>
      <c r="L109" s="5"/>
      <c r="M109" s="5"/>
      <c r="N109" s="5"/>
      <c r="O109" s="5"/>
      <c r="P109" s="5"/>
      <c r="Q109" s="57"/>
      <c r="R109" s="5"/>
      <c r="S109" s="5"/>
      <c r="T109" s="5"/>
      <c r="U109" s="5"/>
      <c r="V109" s="5"/>
      <c r="W109" s="5"/>
      <c r="X109" s="5"/>
      <c r="Y109" s="5"/>
      <c r="Z109" s="5"/>
    </row>
    <row r="110" spans="1:26" ht="12.75" customHeight="1">
      <c r="A110" s="5"/>
      <c r="B110" s="5"/>
      <c r="C110" s="5"/>
      <c r="D110" s="5"/>
      <c r="E110" s="5"/>
      <c r="F110" s="5"/>
      <c r="G110" s="5"/>
      <c r="H110" s="306"/>
      <c r="I110" s="5"/>
      <c r="J110" s="5"/>
      <c r="K110" s="5"/>
      <c r="L110" s="5"/>
      <c r="M110" s="5"/>
      <c r="N110" s="5"/>
      <c r="O110" s="5"/>
      <c r="P110" s="5"/>
      <c r="Q110" s="57"/>
      <c r="R110" s="5"/>
      <c r="S110" s="5"/>
      <c r="T110" s="5"/>
      <c r="U110" s="5"/>
      <c r="V110" s="5"/>
      <c r="W110" s="5"/>
      <c r="X110" s="5"/>
      <c r="Y110" s="5"/>
      <c r="Z110" s="5"/>
    </row>
    <row r="111" spans="1:26" ht="12.75" customHeight="1">
      <c r="A111" s="5"/>
      <c r="B111" s="5"/>
      <c r="C111" s="5"/>
      <c r="D111" s="5"/>
      <c r="E111" s="5"/>
      <c r="F111" s="5"/>
      <c r="G111" s="5"/>
      <c r="H111" s="306"/>
      <c r="I111" s="5"/>
      <c r="J111" s="5"/>
      <c r="K111" s="5"/>
      <c r="L111" s="5"/>
      <c r="M111" s="5"/>
      <c r="N111" s="5"/>
      <c r="O111" s="5"/>
      <c r="P111" s="5"/>
      <c r="Q111" s="57"/>
      <c r="R111" s="5"/>
      <c r="S111" s="5"/>
      <c r="T111" s="5"/>
      <c r="U111" s="5"/>
      <c r="V111" s="5"/>
      <c r="W111" s="5"/>
      <c r="X111" s="5"/>
      <c r="Y111" s="5"/>
      <c r="Z111" s="5"/>
    </row>
    <row r="112" spans="1:26" ht="12.75" customHeight="1">
      <c r="A112" s="5"/>
      <c r="B112" s="5"/>
      <c r="C112" s="5"/>
      <c r="D112" s="5"/>
      <c r="E112" s="5"/>
      <c r="F112" s="5"/>
      <c r="G112" s="5"/>
      <c r="H112" s="306"/>
      <c r="I112" s="5"/>
      <c r="J112" s="5"/>
      <c r="K112" s="5"/>
      <c r="L112" s="5"/>
      <c r="M112" s="5"/>
      <c r="N112" s="5"/>
      <c r="O112" s="5"/>
      <c r="P112" s="5"/>
      <c r="Q112" s="57"/>
      <c r="R112" s="5"/>
      <c r="S112" s="5"/>
      <c r="T112" s="5"/>
      <c r="U112" s="5"/>
      <c r="V112" s="5"/>
      <c r="W112" s="5"/>
      <c r="X112" s="5"/>
      <c r="Y112" s="5"/>
      <c r="Z112" s="5"/>
    </row>
    <row r="113" spans="1:26" ht="12.75" customHeight="1">
      <c r="A113" s="5"/>
      <c r="B113" s="5"/>
      <c r="C113" s="5"/>
      <c r="D113" s="5"/>
      <c r="E113" s="5"/>
      <c r="F113" s="5"/>
      <c r="G113" s="5"/>
      <c r="H113" s="306"/>
      <c r="I113" s="5"/>
      <c r="J113" s="5"/>
      <c r="K113" s="5"/>
      <c r="L113" s="5"/>
      <c r="M113" s="5"/>
      <c r="N113" s="5"/>
      <c r="O113" s="5"/>
      <c r="P113" s="5"/>
      <c r="Q113" s="57"/>
      <c r="R113" s="5"/>
      <c r="S113" s="5"/>
      <c r="T113" s="5"/>
      <c r="U113" s="5"/>
      <c r="V113" s="5"/>
      <c r="W113" s="5"/>
      <c r="X113" s="5"/>
      <c r="Y113" s="5"/>
      <c r="Z113" s="5"/>
    </row>
    <row r="114" spans="1:26" ht="12.75" customHeight="1">
      <c r="A114" s="5"/>
      <c r="B114" s="5"/>
      <c r="C114" s="5"/>
      <c r="D114" s="5"/>
      <c r="E114" s="5"/>
      <c r="F114" s="5"/>
      <c r="G114" s="5"/>
      <c r="H114" s="306"/>
      <c r="I114" s="5"/>
      <c r="J114" s="5"/>
      <c r="K114" s="5"/>
      <c r="L114" s="5"/>
      <c r="M114" s="5"/>
      <c r="N114" s="5"/>
      <c r="O114" s="5"/>
      <c r="P114" s="5"/>
      <c r="Q114" s="57"/>
      <c r="R114" s="5"/>
      <c r="S114" s="5"/>
      <c r="T114" s="5"/>
      <c r="U114" s="5"/>
      <c r="V114" s="5"/>
      <c r="W114" s="5"/>
      <c r="X114" s="5"/>
      <c r="Y114" s="5"/>
      <c r="Z114" s="5"/>
    </row>
    <row r="115" spans="1:26" ht="12.75" customHeight="1">
      <c r="A115" s="5"/>
      <c r="B115" s="5"/>
      <c r="C115" s="5"/>
      <c r="D115" s="5"/>
      <c r="E115" s="5"/>
      <c r="F115" s="5"/>
      <c r="G115" s="5"/>
      <c r="H115" s="306"/>
      <c r="I115" s="5"/>
      <c r="J115" s="5"/>
      <c r="K115" s="5"/>
      <c r="L115" s="5"/>
      <c r="M115" s="5"/>
      <c r="N115" s="5"/>
      <c r="O115" s="5"/>
      <c r="P115" s="5"/>
      <c r="Q115" s="57"/>
      <c r="R115" s="5"/>
      <c r="S115" s="5"/>
      <c r="T115" s="5"/>
      <c r="U115" s="5"/>
      <c r="V115" s="5"/>
      <c r="W115" s="5"/>
      <c r="X115" s="5"/>
      <c r="Y115" s="5"/>
      <c r="Z115" s="5"/>
    </row>
    <row r="116" spans="1:26" ht="12.75" customHeight="1">
      <c r="A116" s="5"/>
      <c r="B116" s="5"/>
      <c r="C116" s="5"/>
      <c r="D116" s="5"/>
      <c r="E116" s="5"/>
      <c r="F116" s="5"/>
      <c r="G116" s="5"/>
      <c r="H116" s="306"/>
      <c r="I116" s="5"/>
      <c r="J116" s="5"/>
      <c r="K116" s="5"/>
      <c r="L116" s="5"/>
      <c r="M116" s="5"/>
      <c r="N116" s="5"/>
      <c r="O116" s="5"/>
      <c r="P116" s="5"/>
      <c r="Q116" s="57"/>
      <c r="R116" s="5"/>
      <c r="S116" s="5"/>
      <c r="T116" s="5"/>
      <c r="U116" s="5"/>
      <c r="V116" s="5"/>
      <c r="W116" s="5"/>
      <c r="X116" s="5"/>
      <c r="Y116" s="5"/>
      <c r="Z116" s="5"/>
    </row>
    <row r="117" spans="1:26" ht="12.75" customHeight="1">
      <c r="A117" s="5"/>
      <c r="B117" s="5"/>
      <c r="C117" s="5"/>
      <c r="D117" s="5"/>
      <c r="E117" s="5"/>
      <c r="F117" s="5"/>
      <c r="G117" s="5"/>
      <c r="H117" s="306"/>
      <c r="I117" s="5"/>
      <c r="J117" s="5"/>
      <c r="K117" s="5"/>
      <c r="L117" s="5"/>
      <c r="M117" s="5"/>
      <c r="N117" s="5"/>
      <c r="O117" s="5"/>
      <c r="P117" s="5"/>
      <c r="Q117" s="57"/>
      <c r="R117" s="5"/>
      <c r="S117" s="5"/>
      <c r="T117" s="5"/>
      <c r="U117" s="5"/>
      <c r="V117" s="5"/>
      <c r="W117" s="5"/>
      <c r="X117" s="5"/>
      <c r="Y117" s="5"/>
      <c r="Z117" s="5"/>
    </row>
    <row r="118" spans="1:26" ht="12.75" customHeight="1">
      <c r="A118" s="5"/>
      <c r="B118" s="5"/>
      <c r="C118" s="5"/>
      <c r="D118" s="5"/>
      <c r="E118" s="5"/>
      <c r="F118" s="5"/>
      <c r="G118" s="5"/>
      <c r="H118" s="306"/>
      <c r="I118" s="5"/>
      <c r="J118" s="5"/>
      <c r="K118" s="5"/>
      <c r="L118" s="5"/>
      <c r="M118" s="5"/>
      <c r="N118" s="5"/>
      <c r="O118" s="5"/>
      <c r="P118" s="5"/>
      <c r="Q118" s="57"/>
      <c r="R118" s="5"/>
      <c r="S118" s="5"/>
      <c r="T118" s="5"/>
      <c r="U118" s="5"/>
      <c r="V118" s="5"/>
      <c r="W118" s="5"/>
      <c r="X118" s="5"/>
      <c r="Y118" s="5"/>
      <c r="Z118" s="5"/>
    </row>
    <row r="119" spans="1:26" ht="12.75" customHeight="1">
      <c r="A119" s="5"/>
      <c r="B119" s="5"/>
      <c r="C119" s="5"/>
      <c r="D119" s="5"/>
      <c r="E119" s="5"/>
      <c r="F119" s="5"/>
      <c r="G119" s="5"/>
      <c r="H119" s="306"/>
      <c r="I119" s="5"/>
      <c r="J119" s="5"/>
      <c r="K119" s="5"/>
      <c r="L119" s="5"/>
      <c r="M119" s="5"/>
      <c r="N119" s="5"/>
      <c r="O119" s="5"/>
      <c r="P119" s="5"/>
      <c r="Q119" s="57"/>
      <c r="R119" s="5"/>
      <c r="S119" s="5"/>
      <c r="T119" s="5"/>
      <c r="U119" s="5"/>
      <c r="V119" s="5"/>
      <c r="W119" s="5"/>
      <c r="X119" s="5"/>
      <c r="Y119" s="5"/>
      <c r="Z119" s="5"/>
    </row>
    <row r="120" spans="1:26" ht="12.75" customHeight="1">
      <c r="A120" s="5"/>
      <c r="B120" s="5"/>
      <c r="C120" s="5"/>
      <c r="D120" s="5"/>
      <c r="E120" s="5"/>
      <c r="F120" s="5"/>
      <c r="G120" s="5"/>
      <c r="H120" s="306"/>
      <c r="I120" s="5"/>
      <c r="J120" s="5"/>
      <c r="K120" s="5"/>
      <c r="L120" s="5"/>
      <c r="M120" s="5"/>
      <c r="N120" s="5"/>
      <c r="O120" s="5"/>
      <c r="P120" s="5"/>
      <c r="Q120" s="57"/>
      <c r="R120" s="5"/>
      <c r="S120" s="5"/>
      <c r="T120" s="5"/>
      <c r="U120" s="5"/>
      <c r="V120" s="5"/>
      <c r="W120" s="5"/>
      <c r="X120" s="5"/>
      <c r="Y120" s="5"/>
      <c r="Z120" s="5"/>
    </row>
    <row r="121" spans="1:26" ht="12.75" customHeight="1">
      <c r="A121" s="5"/>
      <c r="B121" s="5"/>
      <c r="C121" s="5"/>
      <c r="D121" s="5"/>
      <c r="E121" s="5"/>
      <c r="F121" s="5"/>
      <c r="G121" s="5"/>
      <c r="H121" s="306"/>
      <c r="I121" s="5"/>
      <c r="J121" s="5"/>
      <c r="K121" s="5"/>
      <c r="L121" s="5"/>
      <c r="M121" s="5"/>
      <c r="N121" s="5"/>
      <c r="O121" s="5"/>
      <c r="P121" s="5"/>
      <c r="Q121" s="57"/>
      <c r="R121" s="5"/>
      <c r="S121" s="5"/>
      <c r="T121" s="5"/>
      <c r="U121" s="5"/>
      <c r="V121" s="5"/>
      <c r="W121" s="5"/>
      <c r="X121" s="5"/>
      <c r="Y121" s="5"/>
      <c r="Z121" s="5"/>
    </row>
    <row r="122" spans="1:26" ht="12.75" customHeight="1">
      <c r="A122" s="5"/>
      <c r="B122" s="5"/>
      <c r="C122" s="5"/>
      <c r="D122" s="5"/>
      <c r="E122" s="5"/>
      <c r="F122" s="5"/>
      <c r="G122" s="5"/>
      <c r="H122" s="306"/>
      <c r="I122" s="5"/>
      <c r="J122" s="5"/>
      <c r="K122" s="5"/>
      <c r="L122" s="5"/>
      <c r="M122" s="5"/>
      <c r="N122" s="5"/>
      <c r="O122" s="5"/>
      <c r="P122" s="5"/>
      <c r="Q122" s="57"/>
      <c r="R122" s="5"/>
      <c r="S122" s="5"/>
      <c r="T122" s="5"/>
      <c r="U122" s="5"/>
      <c r="V122" s="5"/>
      <c r="W122" s="5"/>
      <c r="X122" s="5"/>
      <c r="Y122" s="5"/>
      <c r="Z122" s="5"/>
    </row>
    <row r="123" spans="1:26" ht="12.75" customHeight="1">
      <c r="A123" s="5"/>
      <c r="B123" s="5"/>
      <c r="C123" s="5"/>
      <c r="D123" s="5"/>
      <c r="E123" s="5"/>
      <c r="F123" s="5"/>
      <c r="G123" s="5"/>
      <c r="H123" s="306"/>
      <c r="I123" s="5"/>
      <c r="J123" s="5"/>
      <c r="K123" s="5"/>
      <c r="L123" s="5"/>
      <c r="M123" s="5"/>
      <c r="N123" s="5"/>
      <c r="O123" s="5"/>
      <c r="P123" s="5"/>
      <c r="Q123" s="57"/>
      <c r="R123" s="5"/>
      <c r="S123" s="5"/>
      <c r="T123" s="5"/>
      <c r="U123" s="5"/>
      <c r="V123" s="5"/>
      <c r="W123" s="5"/>
      <c r="X123" s="5"/>
      <c r="Y123" s="5"/>
      <c r="Z123" s="5"/>
    </row>
    <row r="124" spans="1:26" ht="12.75" customHeight="1">
      <c r="A124" s="5"/>
      <c r="B124" s="5"/>
      <c r="C124" s="5"/>
      <c r="D124" s="5"/>
      <c r="E124" s="5"/>
      <c r="F124" s="5"/>
      <c r="G124" s="5"/>
      <c r="H124" s="306"/>
      <c r="I124" s="5"/>
      <c r="J124" s="5"/>
      <c r="K124" s="5"/>
      <c r="L124" s="5"/>
      <c r="M124" s="5"/>
      <c r="N124" s="5"/>
      <c r="O124" s="5"/>
      <c r="P124" s="5"/>
      <c r="Q124" s="57"/>
      <c r="R124" s="5"/>
      <c r="S124" s="5"/>
      <c r="T124" s="5"/>
      <c r="U124" s="5"/>
      <c r="V124" s="5"/>
      <c r="W124" s="5"/>
      <c r="X124" s="5"/>
      <c r="Y124" s="5"/>
      <c r="Z124" s="5"/>
    </row>
    <row r="125" spans="1:26" ht="12.75" customHeight="1">
      <c r="A125" s="5"/>
      <c r="B125" s="5"/>
      <c r="C125" s="5"/>
      <c r="D125" s="5"/>
      <c r="E125" s="5"/>
      <c r="F125" s="5"/>
      <c r="G125" s="5"/>
      <c r="H125" s="306"/>
      <c r="I125" s="5"/>
      <c r="J125" s="5"/>
      <c r="K125" s="5"/>
      <c r="L125" s="5"/>
      <c r="M125" s="5"/>
      <c r="N125" s="5"/>
      <c r="O125" s="5"/>
      <c r="P125" s="5"/>
      <c r="Q125" s="57"/>
      <c r="R125" s="5"/>
      <c r="S125" s="5"/>
      <c r="T125" s="5"/>
      <c r="U125" s="5"/>
      <c r="V125" s="5"/>
      <c r="W125" s="5"/>
      <c r="X125" s="5"/>
      <c r="Y125" s="5"/>
      <c r="Z125" s="5"/>
    </row>
    <row r="126" spans="1:26" ht="12.75" customHeight="1">
      <c r="A126" s="5"/>
      <c r="B126" s="5"/>
      <c r="C126" s="5"/>
      <c r="D126" s="5"/>
      <c r="E126" s="5"/>
      <c r="F126" s="5"/>
      <c r="G126" s="5"/>
      <c r="H126" s="306"/>
      <c r="I126" s="5"/>
      <c r="J126" s="5"/>
      <c r="K126" s="5"/>
      <c r="L126" s="5"/>
      <c r="M126" s="5"/>
      <c r="N126" s="5"/>
      <c r="O126" s="5"/>
      <c r="P126" s="5"/>
      <c r="Q126" s="57"/>
      <c r="R126" s="5"/>
      <c r="S126" s="5"/>
      <c r="T126" s="5"/>
      <c r="U126" s="5"/>
      <c r="V126" s="5"/>
      <c r="W126" s="5"/>
      <c r="X126" s="5"/>
      <c r="Y126" s="5"/>
      <c r="Z126" s="5"/>
    </row>
    <row r="127" spans="1:26" ht="12.75" customHeight="1">
      <c r="A127" s="5"/>
      <c r="B127" s="5"/>
      <c r="C127" s="5"/>
      <c r="D127" s="5"/>
      <c r="E127" s="5"/>
      <c r="F127" s="5"/>
      <c r="G127" s="5"/>
      <c r="H127" s="306"/>
      <c r="I127" s="5"/>
      <c r="J127" s="5"/>
      <c r="K127" s="5"/>
      <c r="L127" s="5"/>
      <c r="M127" s="5"/>
      <c r="N127" s="5"/>
      <c r="O127" s="5"/>
      <c r="P127" s="5"/>
      <c r="Q127" s="57"/>
      <c r="R127" s="5"/>
      <c r="S127" s="5"/>
      <c r="T127" s="5"/>
      <c r="U127" s="5"/>
      <c r="V127" s="5"/>
      <c r="W127" s="5"/>
      <c r="X127" s="5"/>
      <c r="Y127" s="5"/>
      <c r="Z127" s="5"/>
    </row>
    <row r="128" spans="1:26" ht="12.75" customHeight="1">
      <c r="A128" s="5"/>
      <c r="B128" s="5"/>
      <c r="C128" s="5"/>
      <c r="D128" s="5"/>
      <c r="E128" s="5"/>
      <c r="F128" s="5"/>
      <c r="G128" s="5"/>
      <c r="H128" s="306"/>
      <c r="I128" s="5"/>
      <c r="J128" s="5"/>
      <c r="K128" s="5"/>
      <c r="L128" s="5"/>
      <c r="M128" s="5"/>
      <c r="N128" s="5"/>
      <c r="O128" s="5"/>
      <c r="P128" s="5"/>
      <c r="Q128" s="57"/>
      <c r="R128" s="5"/>
      <c r="S128" s="5"/>
      <c r="T128" s="5"/>
      <c r="U128" s="5"/>
      <c r="V128" s="5"/>
      <c r="W128" s="5"/>
      <c r="X128" s="5"/>
      <c r="Y128" s="5"/>
      <c r="Z128" s="5"/>
    </row>
    <row r="129" spans="1:26" ht="12.75" customHeight="1">
      <c r="A129" s="5"/>
      <c r="B129" s="5"/>
      <c r="C129" s="5"/>
      <c r="D129" s="5"/>
      <c r="E129" s="5"/>
      <c r="F129" s="5"/>
      <c r="G129" s="5"/>
      <c r="H129" s="306"/>
      <c r="I129" s="5"/>
      <c r="J129" s="5"/>
      <c r="K129" s="5"/>
      <c r="L129" s="5"/>
      <c r="M129" s="5"/>
      <c r="N129" s="5"/>
      <c r="O129" s="5"/>
      <c r="P129" s="5"/>
      <c r="Q129" s="57"/>
      <c r="R129" s="5"/>
      <c r="S129" s="5"/>
      <c r="T129" s="5"/>
      <c r="U129" s="5"/>
      <c r="V129" s="5"/>
      <c r="W129" s="5"/>
      <c r="X129" s="5"/>
      <c r="Y129" s="5"/>
      <c r="Z129" s="5"/>
    </row>
    <row r="130" spans="1:26" ht="12.75" customHeight="1">
      <c r="A130" s="5"/>
      <c r="B130" s="5"/>
      <c r="C130" s="5"/>
      <c r="D130" s="5"/>
      <c r="E130" s="5"/>
      <c r="F130" s="5"/>
      <c r="G130" s="5"/>
      <c r="H130" s="306"/>
      <c r="I130" s="5"/>
      <c r="J130" s="5"/>
      <c r="K130" s="5"/>
      <c r="L130" s="5"/>
      <c r="M130" s="5"/>
      <c r="N130" s="5"/>
      <c r="O130" s="5"/>
      <c r="P130" s="5"/>
      <c r="Q130" s="57"/>
      <c r="R130" s="5"/>
      <c r="S130" s="5"/>
      <c r="T130" s="5"/>
      <c r="U130" s="5"/>
      <c r="V130" s="5"/>
      <c r="W130" s="5"/>
      <c r="X130" s="5"/>
      <c r="Y130" s="5"/>
      <c r="Z130" s="5"/>
    </row>
    <row r="131" spans="1:26" ht="12.75" customHeight="1">
      <c r="A131" s="5"/>
      <c r="B131" s="5"/>
      <c r="C131" s="5"/>
      <c r="D131" s="5"/>
      <c r="E131" s="5"/>
      <c r="F131" s="5"/>
      <c r="G131" s="5"/>
      <c r="H131" s="306"/>
      <c r="I131" s="5"/>
      <c r="J131" s="5"/>
      <c r="K131" s="5"/>
      <c r="L131" s="5"/>
      <c r="M131" s="5"/>
      <c r="N131" s="5"/>
      <c r="O131" s="5"/>
      <c r="P131" s="5"/>
      <c r="Q131" s="57"/>
      <c r="R131" s="5"/>
      <c r="S131" s="5"/>
      <c r="T131" s="5"/>
      <c r="U131" s="5"/>
      <c r="V131" s="5"/>
      <c r="W131" s="5"/>
      <c r="X131" s="5"/>
      <c r="Y131" s="5"/>
      <c r="Z131" s="5"/>
    </row>
    <row r="132" spans="1:26" ht="12.75" customHeight="1">
      <c r="A132" s="5"/>
      <c r="B132" s="5"/>
      <c r="C132" s="5"/>
      <c r="D132" s="5"/>
      <c r="E132" s="5"/>
      <c r="F132" s="5"/>
      <c r="G132" s="5"/>
      <c r="H132" s="306"/>
      <c r="I132" s="5"/>
      <c r="J132" s="5"/>
      <c r="K132" s="5"/>
      <c r="L132" s="5"/>
      <c r="M132" s="5"/>
      <c r="N132" s="5"/>
      <c r="O132" s="5"/>
      <c r="P132" s="5"/>
      <c r="Q132" s="57"/>
      <c r="R132" s="5"/>
      <c r="S132" s="5"/>
      <c r="T132" s="5"/>
      <c r="U132" s="5"/>
      <c r="V132" s="5"/>
      <c r="W132" s="5"/>
      <c r="X132" s="5"/>
      <c r="Y132" s="5"/>
      <c r="Z132" s="5"/>
    </row>
    <row r="133" spans="1:26" ht="12.75" customHeight="1">
      <c r="A133" s="5"/>
      <c r="B133" s="5"/>
      <c r="C133" s="5"/>
      <c r="D133" s="5"/>
      <c r="E133" s="5"/>
      <c r="F133" s="5"/>
      <c r="G133" s="5"/>
      <c r="H133" s="306"/>
      <c r="I133" s="5"/>
      <c r="J133" s="5"/>
      <c r="K133" s="5"/>
      <c r="L133" s="5"/>
      <c r="M133" s="5"/>
      <c r="N133" s="5"/>
      <c r="O133" s="5"/>
      <c r="P133" s="5"/>
      <c r="Q133" s="57"/>
      <c r="R133" s="5"/>
      <c r="S133" s="5"/>
      <c r="T133" s="5"/>
      <c r="U133" s="5"/>
      <c r="V133" s="5"/>
      <c r="W133" s="5"/>
      <c r="X133" s="5"/>
      <c r="Y133" s="5"/>
      <c r="Z133" s="5"/>
    </row>
    <row r="134" spans="1:26" ht="12.75" customHeight="1">
      <c r="A134" s="5"/>
      <c r="B134" s="5"/>
      <c r="C134" s="5"/>
      <c r="D134" s="5"/>
      <c r="E134" s="5"/>
      <c r="F134" s="5"/>
      <c r="G134" s="5"/>
      <c r="H134" s="306"/>
      <c r="I134" s="5"/>
      <c r="J134" s="5"/>
      <c r="K134" s="5"/>
      <c r="L134" s="5"/>
      <c r="M134" s="5"/>
      <c r="N134" s="5"/>
      <c r="O134" s="5"/>
      <c r="P134" s="5"/>
      <c r="Q134" s="57"/>
      <c r="R134" s="5"/>
      <c r="S134" s="5"/>
      <c r="T134" s="5"/>
      <c r="U134" s="5"/>
      <c r="V134" s="5"/>
      <c r="W134" s="5"/>
      <c r="X134" s="5"/>
      <c r="Y134" s="5"/>
      <c r="Z134" s="5"/>
    </row>
    <row r="135" spans="1:26" ht="12.75" customHeight="1">
      <c r="A135" s="5"/>
      <c r="B135" s="5"/>
      <c r="C135" s="5"/>
      <c r="D135" s="5"/>
      <c r="E135" s="5"/>
      <c r="F135" s="5"/>
      <c r="G135" s="5"/>
      <c r="H135" s="306"/>
      <c r="I135" s="5"/>
      <c r="J135" s="5"/>
      <c r="K135" s="5"/>
      <c r="L135" s="5"/>
      <c r="M135" s="5"/>
      <c r="N135" s="5"/>
      <c r="O135" s="5"/>
      <c r="P135" s="5"/>
      <c r="Q135" s="57"/>
      <c r="R135" s="5"/>
      <c r="S135" s="5"/>
      <c r="T135" s="5"/>
      <c r="U135" s="5"/>
      <c r="V135" s="5"/>
      <c r="W135" s="5"/>
      <c r="X135" s="5"/>
      <c r="Y135" s="5"/>
      <c r="Z135" s="5"/>
    </row>
    <row r="136" spans="1:26" ht="12.75" customHeight="1">
      <c r="A136" s="5"/>
      <c r="B136" s="5"/>
      <c r="C136" s="5"/>
      <c r="D136" s="5"/>
      <c r="E136" s="5"/>
      <c r="F136" s="5"/>
      <c r="G136" s="5"/>
      <c r="H136" s="306"/>
      <c r="I136" s="5"/>
      <c r="J136" s="5"/>
      <c r="K136" s="5"/>
      <c r="L136" s="5"/>
      <c r="M136" s="5"/>
      <c r="N136" s="5"/>
      <c r="O136" s="5"/>
      <c r="P136" s="5"/>
      <c r="Q136" s="57"/>
      <c r="R136" s="5"/>
      <c r="S136" s="5"/>
      <c r="T136" s="5"/>
      <c r="U136" s="5"/>
      <c r="V136" s="5"/>
      <c r="W136" s="5"/>
      <c r="X136" s="5"/>
      <c r="Y136" s="5"/>
      <c r="Z136" s="5"/>
    </row>
    <row r="137" spans="1:26" ht="12.75" customHeight="1">
      <c r="A137" s="5"/>
      <c r="B137" s="5"/>
      <c r="C137" s="5"/>
      <c r="D137" s="5"/>
      <c r="E137" s="5"/>
      <c r="F137" s="5"/>
      <c r="G137" s="5"/>
      <c r="H137" s="306"/>
      <c r="I137" s="5"/>
      <c r="J137" s="5"/>
      <c r="K137" s="5"/>
      <c r="L137" s="5"/>
      <c r="M137" s="5"/>
      <c r="N137" s="5"/>
      <c r="O137" s="5"/>
      <c r="P137" s="5"/>
      <c r="Q137" s="57"/>
      <c r="R137" s="5"/>
      <c r="S137" s="5"/>
      <c r="T137" s="5"/>
      <c r="U137" s="5"/>
      <c r="V137" s="5"/>
      <c r="W137" s="5"/>
      <c r="X137" s="5"/>
      <c r="Y137" s="5"/>
      <c r="Z137" s="5"/>
    </row>
    <row r="138" spans="1:26" ht="12.75" customHeight="1">
      <c r="A138" s="5"/>
      <c r="B138" s="5"/>
      <c r="C138" s="5"/>
      <c r="D138" s="5"/>
      <c r="E138" s="5"/>
      <c r="F138" s="5"/>
      <c r="G138" s="5"/>
      <c r="H138" s="306"/>
      <c r="I138" s="5"/>
      <c r="J138" s="5"/>
      <c r="K138" s="5"/>
      <c r="L138" s="5"/>
      <c r="M138" s="5"/>
      <c r="N138" s="5"/>
      <c r="O138" s="5"/>
      <c r="P138" s="5"/>
      <c r="Q138" s="57"/>
      <c r="R138" s="5"/>
      <c r="S138" s="5"/>
      <c r="T138" s="5"/>
      <c r="U138" s="5"/>
      <c r="V138" s="5"/>
      <c r="W138" s="5"/>
      <c r="X138" s="5"/>
      <c r="Y138" s="5"/>
      <c r="Z138" s="5"/>
    </row>
    <row r="139" spans="1:26" ht="12.75" customHeight="1">
      <c r="A139" s="5"/>
      <c r="B139" s="5"/>
      <c r="C139" s="5"/>
      <c r="D139" s="5"/>
      <c r="E139" s="5"/>
      <c r="F139" s="5"/>
      <c r="G139" s="5"/>
      <c r="H139" s="306"/>
      <c r="I139" s="5"/>
      <c r="J139" s="5"/>
      <c r="K139" s="5"/>
      <c r="L139" s="5"/>
      <c r="M139" s="5"/>
      <c r="N139" s="5"/>
      <c r="O139" s="5"/>
      <c r="P139" s="5"/>
      <c r="Q139" s="57"/>
      <c r="R139" s="5"/>
      <c r="S139" s="5"/>
      <c r="T139" s="5"/>
      <c r="U139" s="5"/>
      <c r="V139" s="5"/>
      <c r="W139" s="5"/>
      <c r="X139" s="5"/>
      <c r="Y139" s="5"/>
      <c r="Z139" s="5"/>
    </row>
    <row r="140" spans="1:26" ht="12.75" customHeight="1">
      <c r="A140" s="5"/>
      <c r="B140" s="5"/>
      <c r="C140" s="5"/>
      <c r="D140" s="5"/>
      <c r="E140" s="5"/>
      <c r="F140" s="5"/>
      <c r="G140" s="5"/>
      <c r="H140" s="306"/>
      <c r="I140" s="5"/>
      <c r="J140" s="5"/>
      <c r="K140" s="5"/>
      <c r="L140" s="5"/>
      <c r="M140" s="5"/>
      <c r="N140" s="5"/>
      <c r="O140" s="5"/>
      <c r="P140" s="5"/>
      <c r="Q140" s="57"/>
      <c r="R140" s="5"/>
      <c r="S140" s="5"/>
      <c r="T140" s="5"/>
      <c r="U140" s="5"/>
      <c r="V140" s="5"/>
      <c r="W140" s="5"/>
      <c r="X140" s="5"/>
      <c r="Y140" s="5"/>
      <c r="Z140" s="5"/>
    </row>
    <row r="141" spans="1:26" ht="12.75" customHeight="1">
      <c r="A141" s="5"/>
      <c r="B141" s="5"/>
      <c r="C141" s="5"/>
      <c r="D141" s="5"/>
      <c r="E141" s="5"/>
      <c r="F141" s="5"/>
      <c r="G141" s="5"/>
      <c r="H141" s="306"/>
      <c r="I141" s="5"/>
      <c r="J141" s="5"/>
      <c r="K141" s="5"/>
      <c r="L141" s="5"/>
      <c r="M141" s="5"/>
      <c r="N141" s="5"/>
      <c r="O141" s="5"/>
      <c r="P141" s="5"/>
      <c r="Q141" s="57"/>
      <c r="R141" s="5"/>
      <c r="S141" s="5"/>
      <c r="T141" s="5"/>
      <c r="U141" s="5"/>
      <c r="V141" s="5"/>
      <c r="W141" s="5"/>
      <c r="X141" s="5"/>
      <c r="Y141" s="5"/>
      <c r="Z141" s="5"/>
    </row>
    <row r="142" spans="1:26" ht="12.75" customHeight="1">
      <c r="A142" s="5"/>
      <c r="B142" s="5"/>
      <c r="C142" s="5"/>
      <c r="D142" s="5"/>
      <c r="E142" s="5"/>
      <c r="F142" s="5"/>
      <c r="G142" s="5"/>
      <c r="H142" s="306"/>
      <c r="I142" s="5"/>
      <c r="J142" s="5"/>
      <c r="K142" s="5"/>
      <c r="L142" s="5"/>
      <c r="M142" s="5"/>
      <c r="N142" s="5"/>
      <c r="O142" s="5"/>
      <c r="P142" s="5"/>
      <c r="Q142" s="57"/>
      <c r="R142" s="5"/>
      <c r="S142" s="5"/>
      <c r="T142" s="5"/>
      <c r="U142" s="5"/>
      <c r="V142" s="5"/>
      <c r="W142" s="5"/>
      <c r="X142" s="5"/>
      <c r="Y142" s="5"/>
      <c r="Z142" s="5"/>
    </row>
    <row r="143" spans="1:26" ht="12.75" customHeight="1">
      <c r="A143" s="5"/>
      <c r="B143" s="5"/>
      <c r="C143" s="5"/>
      <c r="D143" s="5"/>
      <c r="E143" s="5"/>
      <c r="F143" s="5"/>
      <c r="G143" s="5"/>
      <c r="H143" s="306"/>
      <c r="I143" s="5"/>
      <c r="J143" s="5"/>
      <c r="K143" s="5"/>
      <c r="L143" s="5"/>
      <c r="M143" s="5"/>
      <c r="N143" s="5"/>
      <c r="O143" s="5"/>
      <c r="P143" s="5"/>
      <c r="Q143" s="57"/>
      <c r="R143" s="5"/>
      <c r="S143" s="5"/>
      <c r="T143" s="5"/>
      <c r="U143" s="5"/>
      <c r="V143" s="5"/>
      <c r="W143" s="5"/>
      <c r="X143" s="5"/>
      <c r="Y143" s="5"/>
      <c r="Z143" s="5"/>
    </row>
    <row r="144" spans="1:26" ht="12.75" customHeight="1">
      <c r="A144" s="5"/>
      <c r="B144" s="5"/>
      <c r="C144" s="5"/>
      <c r="D144" s="5"/>
      <c r="E144" s="5"/>
      <c r="F144" s="5"/>
      <c r="G144" s="5"/>
      <c r="H144" s="306"/>
      <c r="I144" s="5"/>
      <c r="J144" s="5"/>
      <c r="K144" s="5"/>
      <c r="L144" s="5"/>
      <c r="M144" s="5"/>
      <c r="N144" s="5"/>
      <c r="O144" s="5"/>
      <c r="P144" s="5"/>
      <c r="Q144" s="57"/>
      <c r="R144" s="5"/>
      <c r="S144" s="5"/>
      <c r="T144" s="5"/>
      <c r="U144" s="5"/>
      <c r="V144" s="5"/>
      <c r="W144" s="5"/>
      <c r="X144" s="5"/>
      <c r="Y144" s="5"/>
      <c r="Z144" s="5"/>
    </row>
    <row r="145" spans="1:26" ht="12.75" customHeight="1">
      <c r="A145" s="5"/>
      <c r="B145" s="5"/>
      <c r="C145" s="5"/>
      <c r="D145" s="5"/>
      <c r="E145" s="5"/>
      <c r="F145" s="5"/>
      <c r="G145" s="5"/>
      <c r="H145" s="306"/>
      <c r="I145" s="5"/>
      <c r="J145" s="5"/>
      <c r="K145" s="5"/>
      <c r="L145" s="5"/>
      <c r="M145" s="5"/>
      <c r="N145" s="5"/>
      <c r="O145" s="5"/>
      <c r="P145" s="5"/>
      <c r="Q145" s="57"/>
      <c r="R145" s="5"/>
      <c r="S145" s="5"/>
      <c r="T145" s="5"/>
      <c r="U145" s="5"/>
      <c r="V145" s="5"/>
      <c r="W145" s="5"/>
      <c r="X145" s="5"/>
      <c r="Y145" s="5"/>
      <c r="Z145" s="5"/>
    </row>
    <row r="146" spans="1:26" ht="12.75" customHeight="1">
      <c r="A146" s="5"/>
      <c r="B146" s="5"/>
      <c r="C146" s="5"/>
      <c r="D146" s="5"/>
      <c r="E146" s="5"/>
      <c r="F146" s="5"/>
      <c r="G146" s="5"/>
      <c r="H146" s="306"/>
      <c r="I146" s="5"/>
      <c r="J146" s="5"/>
      <c r="K146" s="5"/>
      <c r="L146" s="5"/>
      <c r="M146" s="5"/>
      <c r="N146" s="5"/>
      <c r="O146" s="5"/>
      <c r="P146" s="5"/>
      <c r="Q146" s="57"/>
      <c r="R146" s="5"/>
      <c r="S146" s="5"/>
      <c r="T146" s="5"/>
      <c r="U146" s="5"/>
      <c r="V146" s="5"/>
      <c r="W146" s="5"/>
      <c r="X146" s="5"/>
      <c r="Y146" s="5"/>
      <c r="Z146" s="5"/>
    </row>
    <row r="147" spans="1:26" ht="12.75" customHeight="1">
      <c r="A147" s="5"/>
      <c r="B147" s="5"/>
      <c r="C147" s="5"/>
      <c r="D147" s="5"/>
      <c r="E147" s="5"/>
      <c r="F147" s="5"/>
      <c r="G147" s="5"/>
      <c r="H147" s="306"/>
      <c r="I147" s="5"/>
      <c r="J147" s="5"/>
      <c r="K147" s="5"/>
      <c r="L147" s="5"/>
      <c r="M147" s="5"/>
      <c r="N147" s="5"/>
      <c r="O147" s="5"/>
      <c r="P147" s="5"/>
      <c r="Q147" s="57"/>
      <c r="R147" s="5"/>
      <c r="S147" s="5"/>
      <c r="T147" s="5"/>
      <c r="U147" s="5"/>
      <c r="V147" s="5"/>
      <c r="W147" s="5"/>
      <c r="X147" s="5"/>
      <c r="Y147" s="5"/>
      <c r="Z147" s="5"/>
    </row>
    <row r="148" spans="1:26" ht="12.75" customHeight="1">
      <c r="A148" s="5"/>
      <c r="B148" s="5"/>
      <c r="C148" s="5"/>
      <c r="D148" s="5"/>
      <c r="E148" s="5"/>
      <c r="F148" s="5"/>
      <c r="G148" s="5"/>
      <c r="H148" s="306"/>
      <c r="I148" s="5"/>
      <c r="J148" s="5"/>
      <c r="K148" s="5"/>
      <c r="L148" s="5"/>
      <c r="M148" s="5"/>
      <c r="N148" s="5"/>
      <c r="O148" s="5"/>
      <c r="P148" s="5"/>
      <c r="Q148" s="57"/>
      <c r="R148" s="5"/>
      <c r="S148" s="5"/>
      <c r="T148" s="5"/>
      <c r="U148" s="5"/>
      <c r="V148" s="5"/>
      <c r="W148" s="5"/>
      <c r="X148" s="5"/>
      <c r="Y148" s="5"/>
      <c r="Z148" s="5"/>
    </row>
    <row r="149" spans="1:26" ht="12.75" customHeight="1">
      <c r="A149" s="5"/>
      <c r="B149" s="5"/>
      <c r="C149" s="5"/>
      <c r="D149" s="5"/>
      <c r="E149" s="5"/>
      <c r="F149" s="5"/>
      <c r="G149" s="5"/>
      <c r="H149" s="306"/>
      <c r="I149" s="5"/>
      <c r="J149" s="5"/>
      <c r="K149" s="5"/>
      <c r="L149" s="5"/>
      <c r="M149" s="5"/>
      <c r="N149" s="5"/>
      <c r="O149" s="5"/>
      <c r="P149" s="5"/>
      <c r="Q149" s="57"/>
      <c r="R149" s="5"/>
      <c r="S149" s="5"/>
      <c r="T149" s="5"/>
      <c r="U149" s="5"/>
      <c r="V149" s="5"/>
      <c r="W149" s="5"/>
      <c r="X149" s="5"/>
      <c r="Y149" s="5"/>
      <c r="Z149" s="5"/>
    </row>
    <row r="150" spans="1:26" ht="12.75" customHeight="1">
      <c r="A150" s="5"/>
      <c r="B150" s="5"/>
      <c r="C150" s="5"/>
      <c r="D150" s="5"/>
      <c r="E150" s="5"/>
      <c r="F150" s="5"/>
      <c r="G150" s="5"/>
      <c r="H150" s="306"/>
      <c r="I150" s="5"/>
      <c r="J150" s="5"/>
      <c r="K150" s="5"/>
      <c r="L150" s="5"/>
      <c r="M150" s="5"/>
      <c r="N150" s="5"/>
      <c r="O150" s="5"/>
      <c r="P150" s="5"/>
      <c r="Q150" s="57"/>
      <c r="R150" s="5"/>
      <c r="S150" s="5"/>
      <c r="T150" s="5"/>
      <c r="U150" s="5"/>
      <c r="V150" s="5"/>
      <c r="W150" s="5"/>
      <c r="X150" s="5"/>
      <c r="Y150" s="5"/>
      <c r="Z150" s="5"/>
    </row>
    <row r="151" spans="1:26" ht="12.75" customHeight="1">
      <c r="A151" s="5"/>
      <c r="B151" s="5"/>
      <c r="C151" s="5"/>
      <c r="D151" s="5"/>
      <c r="E151" s="5"/>
      <c r="F151" s="5"/>
      <c r="G151" s="5"/>
      <c r="H151" s="306"/>
      <c r="I151" s="5"/>
      <c r="J151" s="5"/>
      <c r="K151" s="5"/>
      <c r="L151" s="5"/>
      <c r="M151" s="5"/>
      <c r="N151" s="5"/>
      <c r="O151" s="5"/>
      <c r="P151" s="5"/>
      <c r="Q151" s="57"/>
      <c r="R151" s="5"/>
      <c r="S151" s="5"/>
      <c r="T151" s="5"/>
      <c r="U151" s="5"/>
      <c r="V151" s="5"/>
      <c r="W151" s="5"/>
      <c r="X151" s="5"/>
      <c r="Y151" s="5"/>
      <c r="Z151" s="5"/>
    </row>
    <row r="152" spans="1:26" ht="12.75" customHeight="1">
      <c r="A152" s="5"/>
      <c r="B152" s="5"/>
      <c r="C152" s="5"/>
      <c r="D152" s="5"/>
      <c r="E152" s="5"/>
      <c r="F152" s="5"/>
      <c r="G152" s="5"/>
      <c r="H152" s="306"/>
      <c r="I152" s="5"/>
      <c r="J152" s="5"/>
      <c r="K152" s="5"/>
      <c r="L152" s="5"/>
      <c r="M152" s="5"/>
      <c r="N152" s="5"/>
      <c r="O152" s="5"/>
      <c r="P152" s="5"/>
      <c r="Q152" s="57"/>
      <c r="R152" s="5"/>
      <c r="S152" s="5"/>
      <c r="T152" s="5"/>
      <c r="U152" s="5"/>
      <c r="V152" s="5"/>
      <c r="W152" s="5"/>
      <c r="X152" s="5"/>
      <c r="Y152" s="5"/>
      <c r="Z152" s="5"/>
    </row>
    <row r="153" spans="1:26" ht="12.75" customHeight="1">
      <c r="A153" s="5"/>
      <c r="B153" s="5"/>
      <c r="C153" s="5"/>
      <c r="D153" s="5"/>
      <c r="E153" s="5"/>
      <c r="F153" s="5"/>
      <c r="G153" s="5"/>
      <c r="H153" s="306"/>
      <c r="I153" s="5"/>
      <c r="J153" s="5"/>
      <c r="K153" s="5"/>
      <c r="L153" s="5"/>
      <c r="M153" s="5"/>
      <c r="N153" s="5"/>
      <c r="O153" s="5"/>
      <c r="P153" s="5"/>
      <c r="Q153" s="57"/>
      <c r="R153" s="5"/>
      <c r="S153" s="5"/>
      <c r="T153" s="5"/>
      <c r="U153" s="5"/>
      <c r="V153" s="5"/>
      <c r="W153" s="5"/>
      <c r="X153" s="5"/>
      <c r="Y153" s="5"/>
      <c r="Z153" s="5"/>
    </row>
    <row r="154" spans="1:26" ht="12.75" customHeight="1">
      <c r="A154" s="5"/>
      <c r="B154" s="5"/>
      <c r="C154" s="5"/>
      <c r="D154" s="5"/>
      <c r="E154" s="5"/>
      <c r="F154" s="5"/>
      <c r="G154" s="5"/>
      <c r="H154" s="306"/>
      <c r="I154" s="5"/>
      <c r="J154" s="5"/>
      <c r="K154" s="5"/>
      <c r="L154" s="5"/>
      <c r="M154" s="5"/>
      <c r="N154" s="5"/>
      <c r="O154" s="5"/>
      <c r="P154" s="5"/>
      <c r="Q154" s="57"/>
      <c r="R154" s="5"/>
      <c r="S154" s="5"/>
      <c r="T154" s="5"/>
      <c r="U154" s="5"/>
      <c r="V154" s="5"/>
      <c r="W154" s="5"/>
      <c r="X154" s="5"/>
      <c r="Y154" s="5"/>
      <c r="Z154" s="5"/>
    </row>
    <row r="155" spans="1:26" ht="12.75" customHeight="1">
      <c r="A155" s="5"/>
      <c r="B155" s="5"/>
      <c r="C155" s="5"/>
      <c r="D155" s="5"/>
      <c r="E155" s="5"/>
      <c r="F155" s="5"/>
      <c r="G155" s="5"/>
      <c r="H155" s="306"/>
      <c r="I155" s="5"/>
      <c r="J155" s="5"/>
      <c r="K155" s="5"/>
      <c r="L155" s="5"/>
      <c r="M155" s="5"/>
      <c r="N155" s="5"/>
      <c r="O155" s="5"/>
      <c r="P155" s="5"/>
      <c r="Q155" s="57"/>
      <c r="R155" s="5"/>
      <c r="S155" s="5"/>
      <c r="T155" s="5"/>
      <c r="U155" s="5"/>
      <c r="V155" s="5"/>
      <c r="W155" s="5"/>
      <c r="X155" s="5"/>
      <c r="Y155" s="5"/>
      <c r="Z155" s="5"/>
    </row>
    <row r="156" spans="1:26" ht="12.75" customHeight="1">
      <c r="A156" s="5"/>
      <c r="B156" s="5"/>
      <c r="C156" s="5"/>
      <c r="D156" s="5"/>
      <c r="E156" s="5"/>
      <c r="F156" s="5"/>
      <c r="G156" s="5"/>
      <c r="H156" s="306"/>
      <c r="I156" s="5"/>
      <c r="J156" s="5"/>
      <c r="K156" s="5"/>
      <c r="L156" s="5"/>
      <c r="M156" s="5"/>
      <c r="N156" s="5"/>
      <c r="O156" s="5"/>
      <c r="P156" s="5"/>
      <c r="Q156" s="57"/>
      <c r="R156" s="5"/>
      <c r="S156" s="5"/>
      <c r="T156" s="5"/>
      <c r="U156" s="5"/>
      <c r="V156" s="5"/>
      <c r="W156" s="5"/>
      <c r="X156" s="5"/>
      <c r="Y156" s="5"/>
      <c r="Z156" s="5"/>
    </row>
    <row r="157" spans="1:26" ht="12.75" customHeight="1">
      <c r="A157" s="5"/>
      <c r="B157" s="5"/>
      <c r="C157" s="5"/>
      <c r="D157" s="5"/>
      <c r="E157" s="5"/>
      <c r="F157" s="5"/>
      <c r="G157" s="5"/>
      <c r="H157" s="306"/>
      <c r="I157" s="5"/>
      <c r="J157" s="5"/>
      <c r="K157" s="5"/>
      <c r="L157" s="5"/>
      <c r="M157" s="5"/>
      <c r="N157" s="5"/>
      <c r="O157" s="5"/>
      <c r="P157" s="5"/>
      <c r="Q157" s="57"/>
      <c r="R157" s="5"/>
      <c r="S157" s="5"/>
      <c r="T157" s="5"/>
      <c r="U157" s="5"/>
      <c r="V157" s="5"/>
      <c r="W157" s="5"/>
      <c r="X157" s="5"/>
      <c r="Y157" s="5"/>
      <c r="Z157" s="5"/>
    </row>
    <row r="158" spans="1:26" ht="12.75" customHeight="1">
      <c r="A158" s="5"/>
      <c r="B158" s="5"/>
      <c r="C158" s="5"/>
      <c r="D158" s="5"/>
      <c r="E158" s="5"/>
      <c r="F158" s="5"/>
      <c r="G158" s="5"/>
      <c r="H158" s="306"/>
      <c r="I158" s="5"/>
      <c r="J158" s="5"/>
      <c r="K158" s="5"/>
      <c r="L158" s="5"/>
      <c r="M158" s="5"/>
      <c r="N158" s="5"/>
      <c r="O158" s="5"/>
      <c r="P158" s="5"/>
      <c r="Q158" s="57"/>
      <c r="R158" s="5"/>
      <c r="S158" s="5"/>
      <c r="T158" s="5"/>
      <c r="U158" s="5"/>
      <c r="V158" s="5"/>
      <c r="W158" s="5"/>
      <c r="X158" s="5"/>
      <c r="Y158" s="5"/>
      <c r="Z158" s="5"/>
    </row>
    <row r="159" spans="1:26" ht="12.75" customHeight="1">
      <c r="A159" s="5"/>
      <c r="B159" s="5"/>
      <c r="C159" s="5"/>
      <c r="D159" s="5"/>
      <c r="E159" s="5"/>
      <c r="F159" s="5"/>
      <c r="G159" s="5"/>
      <c r="H159" s="306"/>
      <c r="I159" s="5"/>
      <c r="J159" s="5"/>
      <c r="K159" s="5"/>
      <c r="L159" s="5"/>
      <c r="M159" s="5"/>
      <c r="N159" s="5"/>
      <c r="O159" s="5"/>
      <c r="P159" s="5"/>
      <c r="Q159" s="57"/>
      <c r="R159" s="5"/>
      <c r="S159" s="5"/>
      <c r="T159" s="5"/>
      <c r="U159" s="5"/>
      <c r="V159" s="5"/>
      <c r="W159" s="5"/>
      <c r="X159" s="5"/>
      <c r="Y159" s="5"/>
      <c r="Z159" s="5"/>
    </row>
    <row r="160" spans="1:26" ht="12.75" customHeight="1">
      <c r="A160" s="5"/>
      <c r="B160" s="5"/>
      <c r="C160" s="5"/>
      <c r="D160" s="5"/>
      <c r="E160" s="5"/>
      <c r="F160" s="5"/>
      <c r="G160" s="5"/>
      <c r="H160" s="306"/>
      <c r="I160" s="5"/>
      <c r="J160" s="5"/>
      <c r="K160" s="5"/>
      <c r="L160" s="5"/>
      <c r="M160" s="5"/>
      <c r="N160" s="5"/>
      <c r="O160" s="5"/>
      <c r="P160" s="5"/>
      <c r="Q160" s="57"/>
      <c r="R160" s="5"/>
      <c r="S160" s="5"/>
      <c r="T160" s="5"/>
      <c r="U160" s="5"/>
      <c r="V160" s="5"/>
      <c r="W160" s="5"/>
      <c r="X160" s="5"/>
      <c r="Y160" s="5"/>
      <c r="Z160" s="5"/>
    </row>
    <row r="161" spans="1:26" ht="12.75" customHeight="1">
      <c r="A161" s="5"/>
      <c r="B161" s="5"/>
      <c r="C161" s="5"/>
      <c r="D161" s="5"/>
      <c r="E161" s="5"/>
      <c r="F161" s="5"/>
      <c r="G161" s="5"/>
      <c r="H161" s="306"/>
      <c r="I161" s="5"/>
      <c r="J161" s="5"/>
      <c r="K161" s="5"/>
      <c r="L161" s="5"/>
      <c r="M161" s="5"/>
      <c r="N161" s="5"/>
      <c r="O161" s="5"/>
      <c r="P161" s="5"/>
      <c r="Q161" s="57"/>
      <c r="R161" s="5"/>
      <c r="S161" s="5"/>
      <c r="T161" s="5"/>
      <c r="U161" s="5"/>
      <c r="V161" s="5"/>
      <c r="W161" s="5"/>
      <c r="X161" s="5"/>
      <c r="Y161" s="5"/>
      <c r="Z161" s="5"/>
    </row>
    <row r="162" spans="1:26" ht="12.75" customHeight="1">
      <c r="A162" s="5"/>
      <c r="B162" s="5"/>
      <c r="C162" s="5"/>
      <c r="D162" s="5"/>
      <c r="E162" s="5"/>
      <c r="F162" s="5"/>
      <c r="G162" s="5"/>
      <c r="H162" s="306"/>
      <c r="I162" s="5"/>
      <c r="J162" s="5"/>
      <c r="K162" s="5"/>
      <c r="L162" s="5"/>
      <c r="M162" s="5"/>
      <c r="N162" s="5"/>
      <c r="O162" s="5"/>
      <c r="P162" s="5"/>
      <c r="Q162" s="57"/>
      <c r="R162" s="5"/>
      <c r="S162" s="5"/>
      <c r="T162" s="5"/>
      <c r="U162" s="5"/>
      <c r="V162" s="5"/>
      <c r="W162" s="5"/>
      <c r="X162" s="5"/>
      <c r="Y162" s="5"/>
      <c r="Z162" s="5"/>
    </row>
    <row r="163" spans="1:26" ht="12.75" customHeight="1">
      <c r="A163" s="5"/>
      <c r="B163" s="5"/>
      <c r="C163" s="5"/>
      <c r="D163" s="5"/>
      <c r="E163" s="5"/>
      <c r="F163" s="5"/>
      <c r="G163" s="5"/>
      <c r="H163" s="306"/>
      <c r="I163" s="5"/>
      <c r="J163" s="5"/>
      <c r="K163" s="5"/>
      <c r="L163" s="5"/>
      <c r="M163" s="5"/>
      <c r="N163" s="5"/>
      <c r="O163" s="5"/>
      <c r="P163" s="5"/>
      <c r="Q163" s="57"/>
      <c r="R163" s="5"/>
      <c r="S163" s="5"/>
      <c r="T163" s="5"/>
      <c r="U163" s="5"/>
      <c r="V163" s="5"/>
      <c r="W163" s="5"/>
      <c r="X163" s="5"/>
      <c r="Y163" s="5"/>
      <c r="Z163" s="5"/>
    </row>
    <row r="164" spans="1:26" ht="12.75" customHeight="1">
      <c r="A164" s="5"/>
      <c r="B164" s="5"/>
      <c r="C164" s="5"/>
      <c r="D164" s="5"/>
      <c r="E164" s="5"/>
      <c r="F164" s="5"/>
      <c r="G164" s="5"/>
      <c r="H164" s="306"/>
      <c r="I164" s="5"/>
      <c r="J164" s="5"/>
      <c r="K164" s="5"/>
      <c r="L164" s="5"/>
      <c r="M164" s="5"/>
      <c r="N164" s="5"/>
      <c r="O164" s="5"/>
      <c r="P164" s="5"/>
      <c r="Q164" s="57"/>
      <c r="R164" s="5"/>
      <c r="S164" s="5"/>
      <c r="T164" s="5"/>
      <c r="U164" s="5"/>
      <c r="V164" s="5"/>
      <c r="W164" s="5"/>
      <c r="X164" s="5"/>
      <c r="Y164" s="5"/>
      <c r="Z164" s="5"/>
    </row>
    <row r="165" spans="1:26" ht="12.75" customHeight="1">
      <c r="A165" s="5"/>
      <c r="B165" s="5"/>
      <c r="C165" s="5"/>
      <c r="D165" s="5"/>
      <c r="E165" s="5"/>
      <c r="F165" s="5"/>
      <c r="G165" s="5"/>
      <c r="H165" s="306"/>
      <c r="I165" s="5"/>
      <c r="J165" s="5"/>
      <c r="K165" s="5"/>
      <c r="L165" s="5"/>
      <c r="M165" s="5"/>
      <c r="N165" s="5"/>
      <c r="O165" s="5"/>
      <c r="P165" s="5"/>
      <c r="Q165" s="57"/>
      <c r="R165" s="5"/>
      <c r="S165" s="5"/>
      <c r="T165" s="5"/>
      <c r="U165" s="5"/>
      <c r="V165" s="5"/>
      <c r="W165" s="5"/>
      <c r="X165" s="5"/>
      <c r="Y165" s="5"/>
      <c r="Z165" s="5"/>
    </row>
    <row r="166" spans="1:26" ht="12.75" customHeight="1">
      <c r="A166" s="5"/>
      <c r="B166" s="5"/>
      <c r="C166" s="5"/>
      <c r="D166" s="5"/>
      <c r="E166" s="5"/>
      <c r="F166" s="5"/>
      <c r="G166" s="5"/>
      <c r="H166" s="306"/>
      <c r="I166" s="5"/>
      <c r="J166" s="5"/>
      <c r="K166" s="5"/>
      <c r="L166" s="5"/>
      <c r="M166" s="5"/>
      <c r="N166" s="5"/>
      <c r="O166" s="5"/>
      <c r="P166" s="5"/>
      <c r="Q166" s="57"/>
      <c r="R166" s="5"/>
      <c r="S166" s="5"/>
      <c r="T166" s="5"/>
      <c r="U166" s="5"/>
      <c r="V166" s="5"/>
      <c r="W166" s="5"/>
      <c r="X166" s="5"/>
      <c r="Y166" s="5"/>
      <c r="Z166" s="5"/>
    </row>
    <row r="167" spans="1:26" ht="12.75" customHeight="1">
      <c r="A167" s="5"/>
      <c r="B167" s="5"/>
      <c r="C167" s="5"/>
      <c r="D167" s="5"/>
      <c r="E167" s="5"/>
      <c r="F167" s="5"/>
      <c r="G167" s="5"/>
      <c r="H167" s="306"/>
      <c r="I167" s="5"/>
      <c r="J167" s="5"/>
      <c r="K167" s="5"/>
      <c r="L167" s="5"/>
      <c r="M167" s="5"/>
      <c r="N167" s="5"/>
      <c r="O167" s="5"/>
      <c r="P167" s="5"/>
      <c r="Q167" s="57"/>
      <c r="R167" s="5"/>
      <c r="S167" s="5"/>
      <c r="T167" s="5"/>
      <c r="U167" s="5"/>
      <c r="V167" s="5"/>
      <c r="W167" s="5"/>
      <c r="X167" s="5"/>
      <c r="Y167" s="5"/>
      <c r="Z167" s="5"/>
    </row>
    <row r="168" spans="1:26" ht="12.75" customHeight="1">
      <c r="A168" s="5"/>
      <c r="B168" s="5"/>
      <c r="C168" s="5"/>
      <c r="D168" s="5"/>
      <c r="E168" s="5"/>
      <c r="F168" s="5"/>
      <c r="G168" s="5"/>
      <c r="H168" s="306"/>
      <c r="I168" s="5"/>
      <c r="J168" s="5"/>
      <c r="K168" s="5"/>
      <c r="L168" s="5"/>
      <c r="M168" s="5"/>
      <c r="N168" s="5"/>
      <c r="O168" s="5"/>
      <c r="P168" s="5"/>
      <c r="Q168" s="57"/>
      <c r="R168" s="5"/>
      <c r="S168" s="5"/>
      <c r="T168" s="5"/>
      <c r="U168" s="5"/>
      <c r="V168" s="5"/>
      <c r="W168" s="5"/>
      <c r="X168" s="5"/>
      <c r="Y168" s="5"/>
      <c r="Z168" s="5"/>
    </row>
    <row r="169" spans="1:26" ht="12.75" customHeight="1">
      <c r="A169" s="5"/>
      <c r="B169" s="5"/>
      <c r="C169" s="5"/>
      <c r="D169" s="5"/>
      <c r="E169" s="5"/>
      <c r="F169" s="5"/>
      <c r="G169" s="5"/>
      <c r="H169" s="306"/>
      <c r="I169" s="5"/>
      <c r="J169" s="5"/>
      <c r="K169" s="5"/>
      <c r="L169" s="5"/>
      <c r="M169" s="5"/>
      <c r="N169" s="5"/>
      <c r="O169" s="5"/>
      <c r="P169" s="5"/>
      <c r="Q169" s="57"/>
      <c r="R169" s="5"/>
      <c r="S169" s="5"/>
      <c r="T169" s="5"/>
      <c r="U169" s="5"/>
      <c r="V169" s="5"/>
      <c r="W169" s="5"/>
      <c r="X169" s="5"/>
      <c r="Y169" s="5"/>
      <c r="Z169" s="5"/>
    </row>
    <row r="170" spans="1:26" ht="12.75" customHeight="1">
      <c r="A170" s="5"/>
      <c r="B170" s="5"/>
      <c r="C170" s="5"/>
      <c r="D170" s="5"/>
      <c r="E170" s="5"/>
      <c r="F170" s="5"/>
      <c r="G170" s="5"/>
      <c r="H170" s="306"/>
      <c r="I170" s="5"/>
      <c r="J170" s="5"/>
      <c r="K170" s="5"/>
      <c r="L170" s="5"/>
      <c r="M170" s="5"/>
      <c r="N170" s="5"/>
      <c r="O170" s="5"/>
      <c r="P170" s="5"/>
      <c r="Q170" s="57"/>
      <c r="R170" s="5"/>
      <c r="S170" s="5"/>
      <c r="T170" s="5"/>
      <c r="U170" s="5"/>
      <c r="V170" s="5"/>
      <c r="W170" s="5"/>
      <c r="X170" s="5"/>
      <c r="Y170" s="5"/>
      <c r="Z170" s="5"/>
    </row>
    <row r="171" spans="1:26" ht="12.75" customHeight="1">
      <c r="A171" s="5"/>
      <c r="B171" s="5"/>
      <c r="C171" s="5"/>
      <c r="D171" s="5"/>
      <c r="E171" s="5"/>
      <c r="F171" s="5"/>
      <c r="G171" s="5"/>
      <c r="H171" s="306"/>
      <c r="I171" s="5"/>
      <c r="J171" s="5"/>
      <c r="K171" s="5"/>
      <c r="L171" s="5"/>
      <c r="M171" s="5"/>
      <c r="N171" s="5"/>
      <c r="O171" s="5"/>
      <c r="P171" s="5"/>
      <c r="Q171" s="57"/>
      <c r="R171" s="5"/>
      <c r="S171" s="5"/>
      <c r="T171" s="5"/>
      <c r="U171" s="5"/>
      <c r="V171" s="5"/>
      <c r="W171" s="5"/>
      <c r="X171" s="5"/>
      <c r="Y171" s="5"/>
      <c r="Z171" s="5"/>
    </row>
    <row r="172" spans="1:26" ht="12.75" customHeight="1">
      <c r="A172" s="5"/>
      <c r="B172" s="5"/>
      <c r="C172" s="5"/>
      <c r="D172" s="5"/>
      <c r="E172" s="5"/>
      <c r="F172" s="5"/>
      <c r="G172" s="5"/>
      <c r="H172" s="306"/>
      <c r="I172" s="5"/>
      <c r="J172" s="5"/>
      <c r="K172" s="5"/>
      <c r="L172" s="5"/>
      <c r="M172" s="5"/>
      <c r="N172" s="5"/>
      <c r="O172" s="5"/>
      <c r="P172" s="5"/>
      <c r="Q172" s="57"/>
      <c r="R172" s="5"/>
      <c r="S172" s="5"/>
      <c r="T172" s="5"/>
      <c r="U172" s="5"/>
      <c r="V172" s="5"/>
      <c r="W172" s="5"/>
      <c r="X172" s="5"/>
      <c r="Y172" s="5"/>
      <c r="Z172" s="5"/>
    </row>
    <row r="173" spans="1:26" ht="12.75" customHeight="1">
      <c r="A173" s="5"/>
      <c r="B173" s="5"/>
      <c r="C173" s="5"/>
      <c r="D173" s="5"/>
      <c r="E173" s="5"/>
      <c r="F173" s="5"/>
      <c r="G173" s="5"/>
      <c r="H173" s="306"/>
      <c r="I173" s="5"/>
      <c r="J173" s="5"/>
      <c r="K173" s="5"/>
      <c r="L173" s="5"/>
      <c r="M173" s="5"/>
      <c r="N173" s="5"/>
      <c r="O173" s="5"/>
      <c r="P173" s="5"/>
      <c r="Q173" s="57"/>
      <c r="R173" s="5"/>
      <c r="S173" s="5"/>
      <c r="T173" s="5"/>
      <c r="U173" s="5"/>
      <c r="V173" s="5"/>
      <c r="W173" s="5"/>
      <c r="X173" s="5"/>
      <c r="Y173" s="5"/>
      <c r="Z173" s="5"/>
    </row>
    <row r="174" spans="1:26" ht="12.75" customHeight="1">
      <c r="A174" s="5"/>
      <c r="B174" s="5"/>
      <c r="C174" s="5"/>
      <c r="D174" s="5"/>
      <c r="E174" s="5"/>
      <c r="F174" s="5"/>
      <c r="G174" s="5"/>
      <c r="H174" s="306"/>
      <c r="I174" s="5"/>
      <c r="J174" s="5"/>
      <c r="K174" s="5"/>
      <c r="L174" s="5"/>
      <c r="M174" s="5"/>
      <c r="N174" s="5"/>
      <c r="O174" s="5"/>
      <c r="P174" s="5"/>
      <c r="Q174" s="57"/>
      <c r="R174" s="5"/>
      <c r="S174" s="5"/>
      <c r="T174" s="5"/>
      <c r="U174" s="5"/>
      <c r="V174" s="5"/>
      <c r="W174" s="5"/>
      <c r="X174" s="5"/>
      <c r="Y174" s="5"/>
      <c r="Z174" s="5"/>
    </row>
    <row r="175" spans="1:26" ht="12.75" customHeight="1">
      <c r="A175" s="5"/>
      <c r="B175" s="5"/>
      <c r="C175" s="5"/>
      <c r="D175" s="5"/>
      <c r="E175" s="5"/>
      <c r="F175" s="5"/>
      <c r="G175" s="5"/>
      <c r="H175" s="306"/>
      <c r="I175" s="5"/>
      <c r="J175" s="5"/>
      <c r="K175" s="5"/>
      <c r="L175" s="5"/>
      <c r="M175" s="5"/>
      <c r="N175" s="5"/>
      <c r="O175" s="5"/>
      <c r="P175" s="5"/>
      <c r="Q175" s="57"/>
      <c r="R175" s="5"/>
      <c r="S175" s="5"/>
      <c r="T175" s="5"/>
      <c r="U175" s="5"/>
      <c r="V175" s="5"/>
      <c r="W175" s="5"/>
      <c r="X175" s="5"/>
      <c r="Y175" s="5"/>
      <c r="Z175" s="5"/>
    </row>
    <row r="176" spans="1:26" ht="12.75" customHeight="1">
      <c r="A176" s="5"/>
      <c r="B176" s="5"/>
      <c r="C176" s="5"/>
      <c r="D176" s="5"/>
      <c r="E176" s="5"/>
      <c r="F176" s="5"/>
      <c r="G176" s="5"/>
      <c r="H176" s="306"/>
      <c r="I176" s="5"/>
      <c r="J176" s="5"/>
      <c r="K176" s="5"/>
      <c r="L176" s="5"/>
      <c r="M176" s="5"/>
      <c r="N176" s="5"/>
      <c r="O176" s="5"/>
      <c r="P176" s="5"/>
      <c r="Q176" s="57"/>
      <c r="R176" s="5"/>
      <c r="S176" s="5"/>
      <c r="T176" s="5"/>
      <c r="U176" s="5"/>
      <c r="V176" s="5"/>
      <c r="W176" s="5"/>
      <c r="X176" s="5"/>
      <c r="Y176" s="5"/>
      <c r="Z176" s="5"/>
    </row>
    <row r="177" spans="1:26" ht="12.75" customHeight="1">
      <c r="A177" s="5"/>
      <c r="B177" s="5"/>
      <c r="C177" s="5"/>
      <c r="D177" s="5"/>
      <c r="E177" s="5"/>
      <c r="F177" s="5"/>
      <c r="G177" s="5"/>
      <c r="H177" s="306"/>
      <c r="I177" s="5"/>
      <c r="J177" s="5"/>
      <c r="K177" s="5"/>
      <c r="L177" s="5"/>
      <c r="M177" s="5"/>
      <c r="N177" s="5"/>
      <c r="O177" s="5"/>
      <c r="P177" s="5"/>
      <c r="Q177" s="57"/>
      <c r="R177" s="5"/>
      <c r="S177" s="5"/>
      <c r="T177" s="5"/>
      <c r="U177" s="5"/>
      <c r="V177" s="5"/>
      <c r="W177" s="5"/>
      <c r="X177" s="5"/>
      <c r="Y177" s="5"/>
      <c r="Z177" s="5"/>
    </row>
    <row r="178" spans="1:26" ht="12.75" customHeight="1">
      <c r="A178" s="5"/>
      <c r="B178" s="5"/>
      <c r="C178" s="5"/>
      <c r="D178" s="5"/>
      <c r="E178" s="5"/>
      <c r="F178" s="5"/>
      <c r="G178" s="5"/>
      <c r="H178" s="306"/>
      <c r="I178" s="5"/>
      <c r="J178" s="5"/>
      <c r="K178" s="5"/>
      <c r="L178" s="5"/>
      <c r="M178" s="5"/>
      <c r="N178" s="5"/>
      <c r="O178" s="5"/>
      <c r="P178" s="5"/>
      <c r="Q178" s="57"/>
      <c r="R178" s="5"/>
      <c r="S178" s="5"/>
      <c r="T178" s="5"/>
      <c r="U178" s="5"/>
      <c r="V178" s="5"/>
      <c r="W178" s="5"/>
      <c r="X178" s="5"/>
      <c r="Y178" s="5"/>
      <c r="Z178" s="5"/>
    </row>
    <row r="179" spans="1:26" ht="12.75" customHeight="1">
      <c r="A179" s="5"/>
      <c r="B179" s="5"/>
      <c r="C179" s="5"/>
      <c r="D179" s="5"/>
      <c r="E179" s="5"/>
      <c r="F179" s="5"/>
      <c r="G179" s="5"/>
      <c r="H179" s="306"/>
      <c r="I179" s="5"/>
      <c r="J179" s="5"/>
      <c r="K179" s="5"/>
      <c r="L179" s="5"/>
      <c r="M179" s="5"/>
      <c r="N179" s="5"/>
      <c r="O179" s="5"/>
      <c r="P179" s="5"/>
      <c r="Q179" s="57"/>
      <c r="R179" s="5"/>
      <c r="S179" s="5"/>
      <c r="T179" s="5"/>
      <c r="U179" s="5"/>
      <c r="V179" s="5"/>
      <c r="W179" s="5"/>
      <c r="X179" s="5"/>
      <c r="Y179" s="5"/>
      <c r="Z179" s="5"/>
    </row>
    <row r="180" spans="1:26" ht="12.75" customHeight="1">
      <c r="A180" s="5"/>
      <c r="B180" s="5"/>
      <c r="C180" s="5"/>
      <c r="D180" s="5"/>
      <c r="E180" s="5"/>
      <c r="F180" s="5"/>
      <c r="G180" s="5"/>
      <c r="H180" s="306"/>
      <c r="I180" s="5"/>
      <c r="J180" s="5"/>
      <c r="K180" s="5"/>
      <c r="L180" s="5"/>
      <c r="M180" s="5"/>
      <c r="N180" s="5"/>
      <c r="O180" s="5"/>
      <c r="P180" s="5"/>
      <c r="Q180" s="57"/>
      <c r="R180" s="5"/>
      <c r="S180" s="5"/>
      <c r="T180" s="5"/>
      <c r="U180" s="5"/>
      <c r="V180" s="5"/>
      <c r="W180" s="5"/>
      <c r="X180" s="5"/>
      <c r="Y180" s="5"/>
      <c r="Z180" s="5"/>
    </row>
    <row r="181" spans="1:26" ht="12.75" customHeight="1">
      <c r="A181" s="5"/>
      <c r="B181" s="5"/>
      <c r="C181" s="5"/>
      <c r="D181" s="5"/>
      <c r="E181" s="5"/>
      <c r="F181" s="5"/>
      <c r="G181" s="5"/>
      <c r="H181" s="306"/>
      <c r="I181" s="5"/>
      <c r="J181" s="5"/>
      <c r="K181" s="5"/>
      <c r="L181" s="5"/>
      <c r="M181" s="5"/>
      <c r="N181" s="5"/>
      <c r="O181" s="5"/>
      <c r="P181" s="5"/>
      <c r="Q181" s="57"/>
      <c r="R181" s="5"/>
      <c r="S181" s="5"/>
      <c r="T181" s="5"/>
      <c r="U181" s="5"/>
      <c r="V181" s="5"/>
      <c r="W181" s="5"/>
      <c r="X181" s="5"/>
      <c r="Y181" s="5"/>
      <c r="Z181" s="5"/>
    </row>
    <row r="182" spans="1:26" ht="12.75" customHeight="1">
      <c r="A182" s="5"/>
      <c r="B182" s="5"/>
      <c r="C182" s="5"/>
      <c r="D182" s="5"/>
      <c r="E182" s="5"/>
      <c r="F182" s="5"/>
      <c r="G182" s="5"/>
      <c r="H182" s="306"/>
      <c r="I182" s="5"/>
      <c r="J182" s="5"/>
      <c r="K182" s="5"/>
      <c r="L182" s="5"/>
      <c r="M182" s="5"/>
      <c r="N182" s="5"/>
      <c r="O182" s="5"/>
      <c r="P182" s="5"/>
      <c r="Q182" s="57"/>
      <c r="R182" s="5"/>
      <c r="S182" s="5"/>
      <c r="T182" s="5"/>
      <c r="U182" s="5"/>
      <c r="V182" s="5"/>
      <c r="W182" s="5"/>
      <c r="X182" s="5"/>
      <c r="Y182" s="5"/>
      <c r="Z182" s="5"/>
    </row>
    <row r="183" spans="1:26" ht="12.75" customHeight="1">
      <c r="A183" s="5"/>
      <c r="B183" s="5"/>
      <c r="C183" s="5"/>
      <c r="D183" s="5"/>
      <c r="E183" s="5"/>
      <c r="F183" s="5"/>
      <c r="G183" s="5"/>
      <c r="H183" s="306"/>
      <c r="I183" s="5"/>
      <c r="J183" s="5"/>
      <c r="K183" s="5"/>
      <c r="L183" s="5"/>
      <c r="M183" s="5"/>
      <c r="N183" s="5"/>
      <c r="O183" s="5"/>
      <c r="P183" s="5"/>
      <c r="Q183" s="57"/>
      <c r="R183" s="5"/>
      <c r="S183" s="5"/>
      <c r="T183" s="5"/>
      <c r="U183" s="5"/>
      <c r="V183" s="5"/>
      <c r="W183" s="5"/>
      <c r="X183" s="5"/>
      <c r="Y183" s="5"/>
      <c r="Z183" s="5"/>
    </row>
    <row r="184" spans="1:26" ht="12.75" customHeight="1">
      <c r="A184" s="5"/>
      <c r="B184" s="5"/>
      <c r="C184" s="5"/>
      <c r="D184" s="5"/>
      <c r="E184" s="5"/>
      <c r="F184" s="5"/>
      <c r="G184" s="5"/>
      <c r="H184" s="306"/>
      <c r="I184" s="5"/>
      <c r="J184" s="5"/>
      <c r="K184" s="5"/>
      <c r="L184" s="5"/>
      <c r="M184" s="5"/>
      <c r="N184" s="5"/>
      <c r="O184" s="5"/>
      <c r="P184" s="5"/>
      <c r="Q184" s="57"/>
      <c r="R184" s="5"/>
      <c r="S184" s="5"/>
      <c r="T184" s="5"/>
      <c r="U184" s="5"/>
      <c r="V184" s="5"/>
      <c r="W184" s="5"/>
      <c r="X184" s="5"/>
      <c r="Y184" s="5"/>
      <c r="Z184" s="5"/>
    </row>
    <row r="185" spans="1:26" ht="12.75" customHeight="1">
      <c r="A185" s="5"/>
      <c r="B185" s="5"/>
      <c r="C185" s="5"/>
      <c r="D185" s="5"/>
      <c r="E185" s="5"/>
      <c r="F185" s="5"/>
      <c r="G185" s="5"/>
      <c r="H185" s="306"/>
      <c r="I185" s="5"/>
      <c r="J185" s="5"/>
      <c r="K185" s="5"/>
      <c r="L185" s="5"/>
      <c r="M185" s="5"/>
      <c r="N185" s="5"/>
      <c r="O185" s="5"/>
      <c r="P185" s="5"/>
      <c r="Q185" s="57"/>
      <c r="R185" s="5"/>
      <c r="S185" s="5"/>
      <c r="T185" s="5"/>
      <c r="U185" s="5"/>
      <c r="V185" s="5"/>
      <c r="W185" s="5"/>
      <c r="X185" s="5"/>
      <c r="Y185" s="5"/>
      <c r="Z185" s="5"/>
    </row>
    <row r="186" spans="1:26" ht="12.75" customHeight="1">
      <c r="A186" s="5"/>
      <c r="B186" s="5"/>
      <c r="C186" s="5"/>
      <c r="D186" s="5"/>
      <c r="E186" s="5"/>
      <c r="F186" s="5"/>
      <c r="G186" s="5"/>
      <c r="H186" s="306"/>
      <c r="I186" s="5"/>
      <c r="J186" s="5"/>
      <c r="K186" s="5"/>
      <c r="L186" s="5"/>
      <c r="M186" s="5"/>
      <c r="N186" s="5"/>
      <c r="O186" s="5"/>
      <c r="P186" s="5"/>
      <c r="Q186" s="57"/>
      <c r="R186" s="5"/>
      <c r="S186" s="5"/>
      <c r="T186" s="5"/>
      <c r="U186" s="5"/>
      <c r="V186" s="5"/>
      <c r="W186" s="5"/>
      <c r="X186" s="5"/>
      <c r="Y186" s="5"/>
      <c r="Z186" s="5"/>
    </row>
    <row r="187" spans="1:26" ht="12.75" customHeight="1">
      <c r="A187" s="5"/>
      <c r="B187" s="5"/>
      <c r="C187" s="5"/>
      <c r="D187" s="5"/>
      <c r="E187" s="5"/>
      <c r="F187" s="5"/>
      <c r="G187" s="5"/>
      <c r="H187" s="306"/>
      <c r="I187" s="5"/>
      <c r="J187" s="5"/>
      <c r="K187" s="5"/>
      <c r="L187" s="5"/>
      <c r="M187" s="5"/>
      <c r="N187" s="5"/>
      <c r="O187" s="5"/>
      <c r="P187" s="5"/>
      <c r="Q187" s="57"/>
      <c r="R187" s="5"/>
      <c r="S187" s="5"/>
      <c r="T187" s="5"/>
      <c r="U187" s="5"/>
      <c r="V187" s="5"/>
      <c r="W187" s="5"/>
      <c r="X187" s="5"/>
      <c r="Y187" s="5"/>
      <c r="Z187" s="5"/>
    </row>
    <row r="188" spans="1:26" ht="12.75" customHeight="1">
      <c r="A188" s="5"/>
      <c r="B188" s="5"/>
      <c r="C188" s="5"/>
      <c r="D188" s="5"/>
      <c r="E188" s="5"/>
      <c r="F188" s="5"/>
      <c r="G188" s="5"/>
      <c r="H188" s="306"/>
      <c r="I188" s="5"/>
      <c r="J188" s="5"/>
      <c r="K188" s="5"/>
      <c r="L188" s="5"/>
      <c r="M188" s="5"/>
      <c r="N188" s="5"/>
      <c r="O188" s="5"/>
      <c r="P188" s="5"/>
      <c r="Q188" s="57"/>
      <c r="R188" s="5"/>
      <c r="S188" s="5"/>
      <c r="T188" s="5"/>
      <c r="U188" s="5"/>
      <c r="V188" s="5"/>
      <c r="W188" s="5"/>
      <c r="X188" s="5"/>
      <c r="Y188" s="5"/>
      <c r="Z188" s="5"/>
    </row>
    <row r="189" spans="1:26" ht="12.75" customHeight="1">
      <c r="A189" s="5"/>
      <c r="B189" s="5"/>
      <c r="C189" s="5"/>
      <c r="D189" s="5"/>
      <c r="E189" s="5"/>
      <c r="F189" s="5"/>
      <c r="G189" s="5"/>
      <c r="H189" s="306"/>
      <c r="I189" s="5"/>
      <c r="J189" s="5"/>
      <c r="K189" s="5"/>
      <c r="L189" s="5"/>
      <c r="M189" s="5"/>
      <c r="N189" s="5"/>
      <c r="O189" s="5"/>
      <c r="P189" s="5"/>
      <c r="Q189" s="57"/>
      <c r="R189" s="5"/>
      <c r="S189" s="5"/>
      <c r="T189" s="5"/>
      <c r="U189" s="5"/>
      <c r="V189" s="5"/>
      <c r="W189" s="5"/>
      <c r="X189" s="5"/>
      <c r="Y189" s="5"/>
      <c r="Z189" s="5"/>
    </row>
    <row r="190" spans="1:26" ht="12.75" customHeight="1">
      <c r="A190" s="5"/>
      <c r="B190" s="5"/>
      <c r="C190" s="5"/>
      <c r="D190" s="5"/>
      <c r="E190" s="5"/>
      <c r="F190" s="5"/>
      <c r="G190" s="5"/>
      <c r="H190" s="306"/>
      <c r="I190" s="5"/>
      <c r="J190" s="5"/>
      <c r="K190" s="5"/>
      <c r="L190" s="5"/>
      <c r="M190" s="5"/>
      <c r="N190" s="5"/>
      <c r="O190" s="5"/>
      <c r="P190" s="5"/>
      <c r="Q190" s="57"/>
      <c r="R190" s="5"/>
      <c r="S190" s="5"/>
      <c r="T190" s="5"/>
      <c r="U190" s="5"/>
      <c r="V190" s="5"/>
      <c r="W190" s="5"/>
      <c r="X190" s="5"/>
      <c r="Y190" s="5"/>
      <c r="Z190" s="5"/>
    </row>
    <row r="191" spans="1:26" ht="12.75" customHeight="1">
      <c r="A191" s="5"/>
      <c r="B191" s="5"/>
      <c r="C191" s="5"/>
      <c r="D191" s="5"/>
      <c r="E191" s="5"/>
      <c r="F191" s="5"/>
      <c r="G191" s="5"/>
      <c r="H191" s="306"/>
      <c r="I191" s="5"/>
      <c r="J191" s="5"/>
      <c r="K191" s="5"/>
      <c r="L191" s="5"/>
      <c r="M191" s="5"/>
      <c r="N191" s="5"/>
      <c r="O191" s="5"/>
      <c r="P191" s="5"/>
      <c r="Q191" s="57"/>
      <c r="R191" s="5"/>
      <c r="S191" s="5"/>
      <c r="T191" s="5"/>
      <c r="U191" s="5"/>
      <c r="V191" s="5"/>
      <c r="W191" s="5"/>
      <c r="X191" s="5"/>
      <c r="Y191" s="5"/>
      <c r="Z191" s="5"/>
    </row>
    <row r="192" spans="1:26" ht="12.75" customHeight="1">
      <c r="A192" s="5"/>
      <c r="B192" s="5"/>
      <c r="C192" s="5"/>
      <c r="D192" s="5"/>
      <c r="E192" s="5"/>
      <c r="F192" s="5"/>
      <c r="G192" s="5"/>
      <c r="H192" s="306"/>
      <c r="I192" s="5"/>
      <c r="J192" s="5"/>
      <c r="K192" s="5"/>
      <c r="L192" s="5"/>
      <c r="M192" s="5"/>
      <c r="N192" s="5"/>
      <c r="O192" s="5"/>
      <c r="P192" s="5"/>
      <c r="Q192" s="57"/>
      <c r="R192" s="5"/>
      <c r="S192" s="5"/>
      <c r="T192" s="5"/>
      <c r="U192" s="5"/>
      <c r="V192" s="5"/>
      <c r="W192" s="5"/>
      <c r="X192" s="5"/>
      <c r="Y192" s="5"/>
      <c r="Z192" s="5"/>
    </row>
    <row r="193" spans="1:26" ht="12.75" customHeight="1">
      <c r="A193" s="5"/>
      <c r="B193" s="5"/>
      <c r="C193" s="5"/>
      <c r="D193" s="5"/>
      <c r="E193" s="5"/>
      <c r="F193" s="5"/>
      <c r="G193" s="5"/>
      <c r="H193" s="306"/>
      <c r="I193" s="5"/>
      <c r="J193" s="5"/>
      <c r="K193" s="5"/>
      <c r="L193" s="5"/>
      <c r="M193" s="5"/>
      <c r="N193" s="5"/>
      <c r="O193" s="5"/>
      <c r="P193" s="5"/>
      <c r="Q193" s="57"/>
      <c r="R193" s="5"/>
      <c r="S193" s="5"/>
      <c r="T193" s="5"/>
      <c r="U193" s="5"/>
      <c r="V193" s="5"/>
      <c r="W193" s="5"/>
      <c r="X193" s="5"/>
      <c r="Y193" s="5"/>
      <c r="Z193" s="5"/>
    </row>
    <row r="194" spans="1:26" ht="12.75" customHeight="1">
      <c r="A194" s="5"/>
      <c r="B194" s="5"/>
      <c r="C194" s="5"/>
      <c r="D194" s="5"/>
      <c r="E194" s="5"/>
      <c r="F194" s="5"/>
      <c r="G194" s="5"/>
      <c r="H194" s="306"/>
      <c r="I194" s="5"/>
      <c r="J194" s="5"/>
      <c r="K194" s="5"/>
      <c r="L194" s="5"/>
      <c r="M194" s="5"/>
      <c r="N194" s="5"/>
      <c r="O194" s="5"/>
      <c r="P194" s="5"/>
      <c r="Q194" s="57"/>
      <c r="R194" s="5"/>
      <c r="S194" s="5"/>
      <c r="T194" s="5"/>
      <c r="U194" s="5"/>
      <c r="V194" s="5"/>
      <c r="W194" s="5"/>
      <c r="X194" s="5"/>
      <c r="Y194" s="5"/>
      <c r="Z194" s="5"/>
    </row>
    <row r="195" spans="1:26" ht="12.75" customHeight="1">
      <c r="A195" s="5"/>
      <c r="B195" s="5"/>
      <c r="C195" s="5"/>
      <c r="D195" s="5"/>
      <c r="E195" s="5"/>
      <c r="F195" s="5"/>
      <c r="G195" s="5"/>
      <c r="H195" s="306"/>
      <c r="I195" s="5"/>
      <c r="J195" s="5"/>
      <c r="K195" s="5"/>
      <c r="L195" s="5"/>
      <c r="M195" s="5"/>
      <c r="N195" s="5"/>
      <c r="O195" s="5"/>
      <c r="P195" s="5"/>
      <c r="Q195" s="57"/>
      <c r="R195" s="5"/>
      <c r="S195" s="5"/>
      <c r="T195" s="5"/>
      <c r="U195" s="5"/>
      <c r="V195" s="5"/>
      <c r="W195" s="5"/>
      <c r="X195" s="5"/>
      <c r="Y195" s="5"/>
      <c r="Z195" s="5"/>
    </row>
    <row r="196" spans="1:26" ht="12.75" customHeight="1">
      <c r="A196" s="5"/>
      <c r="B196" s="5"/>
      <c r="C196" s="5"/>
      <c r="D196" s="5"/>
      <c r="E196" s="5"/>
      <c r="F196" s="5"/>
      <c r="G196" s="5"/>
      <c r="H196" s="306"/>
      <c r="I196" s="5"/>
      <c r="J196" s="5"/>
      <c r="K196" s="5"/>
      <c r="L196" s="5"/>
      <c r="M196" s="5"/>
      <c r="N196" s="5"/>
      <c r="O196" s="5"/>
      <c r="P196" s="5"/>
      <c r="Q196" s="57"/>
      <c r="R196" s="5"/>
      <c r="S196" s="5"/>
      <c r="T196" s="5"/>
      <c r="U196" s="5"/>
      <c r="V196" s="5"/>
      <c r="W196" s="5"/>
      <c r="X196" s="5"/>
      <c r="Y196" s="5"/>
      <c r="Z196" s="5"/>
    </row>
    <row r="197" spans="1:26" ht="12.75" customHeight="1">
      <c r="A197" s="5"/>
      <c r="B197" s="5"/>
      <c r="C197" s="5"/>
      <c r="D197" s="5"/>
      <c r="E197" s="5"/>
      <c r="F197" s="5"/>
      <c r="G197" s="5"/>
      <c r="H197" s="306"/>
      <c r="I197" s="5"/>
      <c r="J197" s="5"/>
      <c r="K197" s="5"/>
      <c r="L197" s="5"/>
      <c r="M197" s="5"/>
      <c r="N197" s="5"/>
      <c r="O197" s="5"/>
      <c r="P197" s="5"/>
      <c r="Q197" s="57"/>
      <c r="R197" s="5"/>
      <c r="S197" s="5"/>
      <c r="T197" s="5"/>
      <c r="U197" s="5"/>
      <c r="V197" s="5"/>
      <c r="W197" s="5"/>
      <c r="X197" s="5"/>
      <c r="Y197" s="5"/>
      <c r="Z197" s="5"/>
    </row>
    <row r="198" spans="1:26" ht="12.75" customHeight="1">
      <c r="A198" s="5"/>
      <c r="B198" s="5"/>
      <c r="C198" s="5"/>
      <c r="D198" s="5"/>
      <c r="E198" s="5"/>
      <c r="F198" s="5"/>
      <c r="G198" s="5"/>
      <c r="H198" s="306"/>
      <c r="I198" s="5"/>
      <c r="J198" s="5"/>
      <c r="K198" s="5"/>
      <c r="L198" s="5"/>
      <c r="M198" s="5"/>
      <c r="N198" s="5"/>
      <c r="O198" s="5"/>
      <c r="P198" s="5"/>
      <c r="Q198" s="57"/>
      <c r="R198" s="5"/>
      <c r="S198" s="5"/>
      <c r="T198" s="5"/>
      <c r="U198" s="5"/>
      <c r="V198" s="5"/>
      <c r="W198" s="5"/>
      <c r="X198" s="5"/>
      <c r="Y198" s="5"/>
      <c r="Z198" s="5"/>
    </row>
    <row r="199" spans="1:26" ht="12.75" customHeight="1">
      <c r="A199" s="5"/>
      <c r="B199" s="5"/>
      <c r="C199" s="5"/>
      <c r="D199" s="5"/>
      <c r="E199" s="5"/>
      <c r="F199" s="5"/>
      <c r="G199" s="5"/>
      <c r="H199" s="306"/>
      <c r="I199" s="5"/>
      <c r="J199" s="5"/>
      <c r="K199" s="5"/>
      <c r="L199" s="5"/>
      <c r="M199" s="5"/>
      <c r="N199" s="5"/>
      <c r="O199" s="5"/>
      <c r="P199" s="5"/>
      <c r="Q199" s="57"/>
      <c r="R199" s="5"/>
      <c r="S199" s="5"/>
      <c r="T199" s="5"/>
      <c r="U199" s="5"/>
      <c r="V199" s="5"/>
      <c r="W199" s="5"/>
      <c r="X199" s="5"/>
      <c r="Y199" s="5"/>
      <c r="Z199" s="5"/>
    </row>
    <row r="200" spans="1:26" ht="12.75" customHeight="1">
      <c r="A200" s="5"/>
      <c r="B200" s="5"/>
      <c r="C200" s="5"/>
      <c r="D200" s="5"/>
      <c r="E200" s="5"/>
      <c r="F200" s="5"/>
      <c r="G200" s="5"/>
      <c r="H200" s="306"/>
      <c r="I200" s="5"/>
      <c r="J200" s="5"/>
      <c r="K200" s="5"/>
      <c r="L200" s="5"/>
      <c r="M200" s="5"/>
      <c r="N200" s="5"/>
      <c r="O200" s="5"/>
      <c r="P200" s="5"/>
      <c r="Q200" s="57"/>
      <c r="R200" s="5"/>
      <c r="S200" s="5"/>
      <c r="T200" s="5"/>
      <c r="U200" s="5"/>
      <c r="V200" s="5"/>
      <c r="W200" s="5"/>
      <c r="X200" s="5"/>
      <c r="Y200" s="5"/>
      <c r="Z200" s="5"/>
    </row>
    <row r="201" spans="1:26" ht="12.75" customHeight="1">
      <c r="A201" s="5"/>
      <c r="B201" s="5"/>
      <c r="C201" s="5"/>
      <c r="D201" s="5"/>
      <c r="E201" s="5"/>
      <c r="F201" s="5"/>
      <c r="G201" s="5"/>
      <c r="H201" s="306"/>
      <c r="I201" s="5"/>
      <c r="J201" s="5"/>
      <c r="K201" s="5"/>
      <c r="L201" s="5"/>
      <c r="M201" s="5"/>
      <c r="N201" s="5"/>
      <c r="O201" s="5"/>
      <c r="P201" s="5"/>
      <c r="Q201" s="57"/>
      <c r="R201" s="5"/>
      <c r="S201" s="5"/>
      <c r="T201" s="5"/>
      <c r="U201" s="5"/>
      <c r="V201" s="5"/>
      <c r="W201" s="5"/>
      <c r="X201" s="5"/>
      <c r="Y201" s="5"/>
      <c r="Z201" s="5"/>
    </row>
    <row r="202" spans="1:26" ht="12.75" customHeight="1">
      <c r="A202" s="5"/>
      <c r="B202" s="5"/>
      <c r="C202" s="5"/>
      <c r="D202" s="5"/>
      <c r="E202" s="5"/>
      <c r="F202" s="5"/>
      <c r="G202" s="5"/>
      <c r="H202" s="306"/>
      <c r="I202" s="5"/>
      <c r="J202" s="5"/>
      <c r="K202" s="5"/>
      <c r="L202" s="5"/>
      <c r="M202" s="5"/>
      <c r="N202" s="5"/>
      <c r="O202" s="5"/>
      <c r="P202" s="5"/>
      <c r="Q202" s="57"/>
      <c r="R202" s="5"/>
      <c r="S202" s="5"/>
      <c r="T202" s="5"/>
      <c r="U202" s="5"/>
      <c r="V202" s="5"/>
      <c r="W202" s="5"/>
      <c r="X202" s="5"/>
      <c r="Y202" s="5"/>
      <c r="Z202" s="5"/>
    </row>
    <row r="203" spans="1:26" ht="12.75" customHeight="1">
      <c r="A203" s="5"/>
      <c r="B203" s="5"/>
      <c r="C203" s="5"/>
      <c r="D203" s="5"/>
      <c r="E203" s="5"/>
      <c r="F203" s="5"/>
      <c r="G203" s="5"/>
      <c r="H203" s="306"/>
      <c r="I203" s="5"/>
      <c r="J203" s="5"/>
      <c r="K203" s="5"/>
      <c r="L203" s="5"/>
      <c r="M203" s="5"/>
      <c r="N203" s="5"/>
      <c r="O203" s="5"/>
      <c r="P203" s="5"/>
      <c r="Q203" s="57"/>
      <c r="R203" s="5"/>
      <c r="S203" s="5"/>
      <c r="T203" s="5"/>
      <c r="U203" s="5"/>
      <c r="V203" s="5"/>
      <c r="W203" s="5"/>
      <c r="X203" s="5"/>
      <c r="Y203" s="5"/>
      <c r="Z203" s="5"/>
    </row>
    <row r="204" spans="1:26" ht="12.75" customHeight="1">
      <c r="A204" s="5"/>
      <c r="B204" s="5"/>
      <c r="C204" s="5"/>
      <c r="D204" s="5"/>
      <c r="E204" s="5"/>
      <c r="F204" s="5"/>
      <c r="G204" s="5"/>
      <c r="H204" s="306"/>
      <c r="I204" s="5"/>
      <c r="J204" s="5"/>
      <c r="K204" s="5"/>
      <c r="L204" s="5"/>
      <c r="M204" s="5"/>
      <c r="N204" s="5"/>
      <c r="O204" s="5"/>
      <c r="P204" s="5"/>
      <c r="Q204" s="57"/>
      <c r="R204" s="5"/>
      <c r="S204" s="5"/>
      <c r="T204" s="5"/>
      <c r="U204" s="5"/>
      <c r="V204" s="5"/>
      <c r="W204" s="5"/>
      <c r="X204" s="5"/>
      <c r="Y204" s="5"/>
      <c r="Z204" s="5"/>
    </row>
    <row r="205" spans="1:26" ht="12.75" customHeight="1">
      <c r="A205" s="5"/>
      <c r="B205" s="5"/>
      <c r="C205" s="5"/>
      <c r="D205" s="5"/>
      <c r="E205" s="5"/>
      <c r="F205" s="5"/>
      <c r="G205" s="5"/>
      <c r="H205" s="306"/>
      <c r="I205" s="5"/>
      <c r="J205" s="5"/>
      <c r="K205" s="5"/>
      <c r="L205" s="5"/>
      <c r="M205" s="5"/>
      <c r="N205" s="5"/>
      <c r="O205" s="5"/>
      <c r="P205" s="5"/>
      <c r="Q205" s="57"/>
      <c r="R205" s="5"/>
      <c r="S205" s="5"/>
      <c r="T205" s="5"/>
      <c r="U205" s="5"/>
      <c r="V205" s="5"/>
      <c r="W205" s="5"/>
      <c r="X205" s="5"/>
      <c r="Y205" s="5"/>
      <c r="Z205" s="5"/>
    </row>
    <row r="206" spans="1:26" ht="12.75" customHeight="1">
      <c r="A206" s="5"/>
      <c r="B206" s="5"/>
      <c r="C206" s="5"/>
      <c r="D206" s="5"/>
      <c r="E206" s="5"/>
      <c r="F206" s="5"/>
      <c r="G206" s="5"/>
      <c r="H206" s="306"/>
      <c r="I206" s="5"/>
      <c r="J206" s="5"/>
      <c r="K206" s="5"/>
      <c r="L206" s="5"/>
      <c r="M206" s="5"/>
      <c r="N206" s="5"/>
      <c r="O206" s="5"/>
      <c r="P206" s="5"/>
      <c r="Q206" s="57"/>
      <c r="R206" s="5"/>
      <c r="S206" s="5"/>
      <c r="T206" s="5"/>
      <c r="U206" s="5"/>
      <c r="V206" s="5"/>
      <c r="W206" s="5"/>
      <c r="X206" s="5"/>
      <c r="Y206" s="5"/>
      <c r="Z206" s="5"/>
    </row>
    <row r="207" spans="1:26" ht="12.75" customHeight="1">
      <c r="A207" s="5"/>
      <c r="B207" s="5"/>
      <c r="C207" s="5"/>
      <c r="D207" s="5"/>
      <c r="E207" s="5"/>
      <c r="F207" s="5"/>
      <c r="G207" s="5"/>
      <c r="H207" s="306"/>
      <c r="I207" s="5"/>
      <c r="J207" s="5"/>
      <c r="K207" s="5"/>
      <c r="L207" s="5"/>
      <c r="M207" s="5"/>
      <c r="N207" s="5"/>
      <c r="O207" s="5"/>
      <c r="P207" s="5"/>
      <c r="Q207" s="57"/>
      <c r="R207" s="5"/>
      <c r="S207" s="5"/>
      <c r="T207" s="5"/>
      <c r="U207" s="5"/>
      <c r="V207" s="5"/>
      <c r="W207" s="5"/>
      <c r="X207" s="5"/>
      <c r="Y207" s="5"/>
      <c r="Z207" s="5"/>
    </row>
    <row r="208" spans="1:26" ht="12.75" customHeight="1">
      <c r="A208" s="5"/>
      <c r="B208" s="5"/>
      <c r="C208" s="5"/>
      <c r="D208" s="5"/>
      <c r="E208" s="5"/>
      <c r="F208" s="5"/>
      <c r="G208" s="5"/>
      <c r="H208" s="306"/>
      <c r="I208" s="5"/>
      <c r="J208" s="5"/>
      <c r="K208" s="5"/>
      <c r="L208" s="5"/>
      <c r="M208" s="5"/>
      <c r="N208" s="5"/>
      <c r="O208" s="5"/>
      <c r="P208" s="5"/>
      <c r="Q208" s="57"/>
      <c r="R208" s="5"/>
      <c r="S208" s="5"/>
      <c r="T208" s="5"/>
      <c r="U208" s="5"/>
      <c r="V208" s="5"/>
      <c r="W208" s="5"/>
      <c r="X208" s="5"/>
      <c r="Y208" s="5"/>
      <c r="Z208" s="5"/>
    </row>
    <row r="209" spans="1:26" ht="12.75" customHeight="1">
      <c r="A209" s="5"/>
      <c r="B209" s="5"/>
      <c r="C209" s="5"/>
      <c r="D209" s="5"/>
      <c r="E209" s="5"/>
      <c r="F209" s="5"/>
      <c r="G209" s="5"/>
      <c r="H209" s="306"/>
      <c r="I209" s="5"/>
      <c r="J209" s="5"/>
      <c r="K209" s="5"/>
      <c r="L209" s="5"/>
      <c r="M209" s="5"/>
      <c r="N209" s="5"/>
      <c r="O209" s="5"/>
      <c r="P209" s="5"/>
      <c r="Q209" s="57"/>
      <c r="R209" s="5"/>
      <c r="S209" s="5"/>
      <c r="T209" s="5"/>
      <c r="U209" s="5"/>
      <c r="V209" s="5"/>
      <c r="W209" s="5"/>
      <c r="X209" s="5"/>
      <c r="Y209" s="5"/>
      <c r="Z209" s="5"/>
    </row>
    <row r="210" spans="1:26" ht="12.75" customHeight="1">
      <c r="A210" s="5"/>
      <c r="B210" s="5"/>
      <c r="C210" s="5"/>
      <c r="D210" s="5"/>
      <c r="E210" s="5"/>
      <c r="F210" s="5"/>
      <c r="G210" s="5"/>
      <c r="H210" s="306"/>
      <c r="I210" s="5"/>
      <c r="J210" s="5"/>
      <c r="K210" s="5"/>
      <c r="L210" s="5"/>
      <c r="M210" s="5"/>
      <c r="N210" s="5"/>
      <c r="O210" s="5"/>
      <c r="P210" s="5"/>
      <c r="Q210" s="57"/>
      <c r="R210" s="5"/>
      <c r="S210" s="5"/>
      <c r="T210" s="5"/>
      <c r="U210" s="5"/>
      <c r="V210" s="5"/>
      <c r="W210" s="5"/>
      <c r="X210" s="5"/>
      <c r="Y210" s="5"/>
      <c r="Z210" s="5"/>
    </row>
    <row r="211" spans="1:26" ht="12.75" customHeight="1">
      <c r="A211" s="5"/>
      <c r="B211" s="5"/>
      <c r="C211" s="5"/>
      <c r="D211" s="5"/>
      <c r="E211" s="5"/>
      <c r="F211" s="5"/>
      <c r="G211" s="5"/>
      <c r="H211" s="306"/>
      <c r="I211" s="5"/>
      <c r="J211" s="5"/>
      <c r="K211" s="5"/>
      <c r="L211" s="5"/>
      <c r="M211" s="5"/>
      <c r="N211" s="5"/>
      <c r="O211" s="5"/>
      <c r="P211" s="5"/>
      <c r="Q211" s="57"/>
      <c r="R211" s="5"/>
      <c r="S211" s="5"/>
      <c r="T211" s="5"/>
      <c r="U211" s="5"/>
      <c r="V211" s="5"/>
      <c r="W211" s="5"/>
      <c r="X211" s="5"/>
      <c r="Y211" s="5"/>
      <c r="Z211" s="5"/>
    </row>
    <row r="212" spans="1:26" ht="12.75" customHeight="1">
      <c r="A212" s="5"/>
      <c r="B212" s="5"/>
      <c r="C212" s="5"/>
      <c r="D212" s="5"/>
      <c r="E212" s="5"/>
      <c r="F212" s="5"/>
      <c r="G212" s="5"/>
      <c r="H212" s="306"/>
      <c r="I212" s="5"/>
      <c r="J212" s="5"/>
      <c r="K212" s="5"/>
      <c r="L212" s="5"/>
      <c r="M212" s="5"/>
      <c r="N212" s="5"/>
      <c r="O212" s="5"/>
      <c r="P212" s="5"/>
      <c r="Q212" s="57"/>
      <c r="R212" s="5"/>
      <c r="S212" s="5"/>
      <c r="T212" s="5"/>
      <c r="U212" s="5"/>
      <c r="V212" s="5"/>
      <c r="W212" s="5"/>
      <c r="X212" s="5"/>
      <c r="Y212" s="5"/>
      <c r="Z212" s="5"/>
    </row>
    <row r="213" spans="1:26" ht="12.75" customHeight="1">
      <c r="A213" s="5"/>
      <c r="B213" s="5"/>
      <c r="C213" s="5"/>
      <c r="D213" s="5"/>
      <c r="E213" s="5"/>
      <c r="F213" s="5"/>
      <c r="G213" s="5"/>
      <c r="H213" s="306"/>
      <c r="I213" s="5"/>
      <c r="J213" s="5"/>
      <c r="K213" s="5"/>
      <c r="L213" s="5"/>
      <c r="M213" s="5"/>
      <c r="N213" s="5"/>
      <c r="O213" s="5"/>
      <c r="P213" s="5"/>
      <c r="Q213" s="57"/>
      <c r="R213" s="5"/>
      <c r="S213" s="5"/>
      <c r="T213" s="5"/>
      <c r="U213" s="5"/>
      <c r="V213" s="5"/>
      <c r="W213" s="5"/>
      <c r="X213" s="5"/>
      <c r="Y213" s="5"/>
      <c r="Z213" s="5"/>
    </row>
    <row r="214" spans="1:26" ht="12.75" customHeight="1">
      <c r="A214" s="5"/>
      <c r="B214" s="5"/>
      <c r="C214" s="5"/>
      <c r="D214" s="5"/>
      <c r="E214" s="5"/>
      <c r="F214" s="5"/>
      <c r="G214" s="5"/>
      <c r="H214" s="306"/>
      <c r="I214" s="5"/>
      <c r="J214" s="5"/>
      <c r="K214" s="5"/>
      <c r="L214" s="5"/>
      <c r="M214" s="5"/>
      <c r="N214" s="5"/>
      <c r="O214" s="5"/>
      <c r="P214" s="5"/>
      <c r="Q214" s="57"/>
      <c r="R214" s="5"/>
      <c r="S214" s="5"/>
      <c r="T214" s="5"/>
      <c r="U214" s="5"/>
      <c r="V214" s="5"/>
      <c r="W214" s="5"/>
      <c r="X214" s="5"/>
      <c r="Y214" s="5"/>
      <c r="Z214" s="5"/>
    </row>
    <row r="215" spans="1:26" ht="12.75" customHeight="1">
      <c r="A215" s="5"/>
      <c r="B215" s="5"/>
      <c r="C215" s="5"/>
      <c r="D215" s="5"/>
      <c r="E215" s="5"/>
      <c r="F215" s="5"/>
      <c r="G215" s="5"/>
      <c r="H215" s="306"/>
      <c r="I215" s="5"/>
      <c r="J215" s="5"/>
      <c r="K215" s="5"/>
      <c r="L215" s="5"/>
      <c r="M215" s="5"/>
      <c r="N215" s="5"/>
      <c r="O215" s="5"/>
      <c r="P215" s="5"/>
      <c r="Q215" s="57"/>
      <c r="R215" s="5"/>
      <c r="S215" s="5"/>
      <c r="T215" s="5"/>
      <c r="U215" s="5"/>
      <c r="V215" s="5"/>
      <c r="W215" s="5"/>
      <c r="X215" s="5"/>
      <c r="Y215" s="5"/>
      <c r="Z215" s="5"/>
    </row>
    <row r="216" spans="1:26" ht="12.75" customHeight="1">
      <c r="A216" s="5"/>
      <c r="B216" s="5"/>
      <c r="C216" s="5"/>
      <c r="D216" s="5"/>
      <c r="E216" s="5"/>
      <c r="F216" s="5"/>
      <c r="G216" s="5"/>
      <c r="H216" s="306"/>
      <c r="I216" s="5"/>
      <c r="J216" s="5"/>
      <c r="K216" s="5"/>
      <c r="L216" s="5"/>
      <c r="M216" s="5"/>
      <c r="N216" s="5"/>
      <c r="O216" s="5"/>
      <c r="P216" s="5"/>
      <c r="Q216" s="57"/>
      <c r="R216" s="5"/>
      <c r="S216" s="5"/>
      <c r="T216" s="5"/>
      <c r="U216" s="5"/>
      <c r="V216" s="5"/>
      <c r="W216" s="5"/>
      <c r="X216" s="5"/>
      <c r="Y216" s="5"/>
      <c r="Z216" s="5"/>
    </row>
    <row r="217" spans="1:26" ht="12.75" customHeight="1">
      <c r="A217" s="5"/>
      <c r="B217" s="5"/>
      <c r="C217" s="5"/>
      <c r="D217" s="5"/>
      <c r="E217" s="5"/>
      <c r="F217" s="5"/>
      <c r="G217" s="5"/>
      <c r="H217" s="306"/>
      <c r="I217" s="5"/>
      <c r="J217" s="5"/>
      <c r="K217" s="5"/>
      <c r="L217" s="5"/>
      <c r="M217" s="5"/>
      <c r="N217" s="5"/>
      <c r="O217" s="5"/>
      <c r="P217" s="5"/>
      <c r="Q217" s="57"/>
      <c r="R217" s="5"/>
      <c r="S217" s="5"/>
      <c r="T217" s="5"/>
      <c r="U217" s="5"/>
      <c r="V217" s="5"/>
      <c r="W217" s="5"/>
      <c r="X217" s="5"/>
      <c r="Y217" s="5"/>
      <c r="Z217" s="5"/>
    </row>
    <row r="218" spans="1:26" ht="12.75" customHeight="1">
      <c r="A218" s="5"/>
      <c r="B218" s="5"/>
      <c r="C218" s="5"/>
      <c r="D218" s="5"/>
      <c r="E218" s="5"/>
      <c r="F218" s="5"/>
      <c r="G218" s="5"/>
      <c r="H218" s="306"/>
      <c r="I218" s="5"/>
      <c r="J218" s="5"/>
      <c r="K218" s="5"/>
      <c r="L218" s="5"/>
      <c r="M218" s="5"/>
      <c r="N218" s="5"/>
      <c r="O218" s="5"/>
      <c r="P218" s="5"/>
      <c r="Q218" s="57"/>
      <c r="R218" s="5"/>
      <c r="S218" s="5"/>
      <c r="T218" s="5"/>
      <c r="U218" s="5"/>
      <c r="V218" s="5"/>
      <c r="W218" s="5"/>
      <c r="X218" s="5"/>
      <c r="Y218" s="5"/>
      <c r="Z218" s="5"/>
    </row>
    <row r="219" spans="1:26" ht="12.75" customHeight="1">
      <c r="A219" s="5"/>
      <c r="B219" s="5"/>
      <c r="C219" s="5"/>
      <c r="D219" s="5"/>
      <c r="E219" s="5"/>
      <c r="F219" s="5"/>
      <c r="G219" s="5"/>
      <c r="H219" s="306"/>
      <c r="I219" s="5"/>
      <c r="J219" s="5"/>
      <c r="K219" s="5"/>
      <c r="L219" s="5"/>
      <c r="M219" s="5"/>
      <c r="N219" s="5"/>
      <c r="O219" s="5"/>
      <c r="P219" s="5"/>
      <c r="Q219" s="57"/>
      <c r="R219" s="5"/>
      <c r="S219" s="5"/>
      <c r="T219" s="5"/>
      <c r="U219" s="5"/>
      <c r="V219" s="5"/>
      <c r="W219" s="5"/>
      <c r="X219" s="5"/>
      <c r="Y219" s="5"/>
      <c r="Z219" s="5"/>
    </row>
    <row r="220" spans="1:26" ht="12.75" customHeight="1">
      <c r="A220" s="5"/>
      <c r="B220" s="5"/>
      <c r="C220" s="5"/>
      <c r="D220" s="5"/>
      <c r="E220" s="5"/>
      <c r="F220" s="5"/>
      <c r="G220" s="5"/>
      <c r="H220" s="306"/>
      <c r="I220" s="5"/>
      <c r="J220" s="5"/>
      <c r="K220" s="5"/>
      <c r="L220" s="5"/>
      <c r="M220" s="5"/>
      <c r="N220" s="5"/>
      <c r="O220" s="5"/>
      <c r="P220" s="5"/>
      <c r="Q220" s="57"/>
      <c r="R220" s="5"/>
      <c r="S220" s="5"/>
      <c r="T220" s="5"/>
      <c r="U220" s="5"/>
      <c r="V220" s="5"/>
      <c r="W220" s="5"/>
      <c r="X220" s="5"/>
      <c r="Y220" s="5"/>
      <c r="Z220" s="5"/>
    </row>
    <row r="221" spans="1:26" ht="12.75" customHeight="1">
      <c r="A221" s="5"/>
      <c r="B221" s="5"/>
      <c r="C221" s="5"/>
      <c r="D221" s="5"/>
      <c r="E221" s="5"/>
      <c r="F221" s="5"/>
      <c r="G221" s="5"/>
      <c r="H221" s="306"/>
      <c r="I221" s="5"/>
      <c r="J221" s="5"/>
      <c r="K221" s="5"/>
      <c r="L221" s="5"/>
      <c r="M221" s="5"/>
      <c r="N221" s="5"/>
      <c r="O221" s="5"/>
      <c r="P221" s="5"/>
      <c r="Q221" s="57"/>
      <c r="R221" s="5"/>
      <c r="S221" s="5"/>
      <c r="T221" s="5"/>
      <c r="U221" s="5"/>
      <c r="V221" s="5"/>
      <c r="W221" s="5"/>
      <c r="X221" s="5"/>
      <c r="Y221" s="5"/>
      <c r="Z221" s="5"/>
    </row>
    <row r="222" spans="1:26" ht="12.75" customHeight="1">
      <c r="A222" s="5"/>
      <c r="B222" s="5"/>
      <c r="C222" s="5"/>
      <c r="D222" s="5"/>
      <c r="E222" s="5"/>
      <c r="F222" s="5"/>
      <c r="G222" s="5"/>
      <c r="H222" s="306"/>
      <c r="I222" s="5"/>
      <c r="J222" s="5"/>
      <c r="K222" s="5"/>
      <c r="L222" s="5"/>
      <c r="M222" s="5"/>
      <c r="N222" s="5"/>
      <c r="O222" s="5"/>
      <c r="P222" s="5"/>
      <c r="Q222" s="57"/>
      <c r="R222" s="5"/>
      <c r="S222" s="5"/>
      <c r="T222" s="5"/>
      <c r="U222" s="5"/>
      <c r="V222" s="5"/>
      <c r="W222" s="5"/>
      <c r="X222" s="5"/>
      <c r="Y222" s="5"/>
      <c r="Z222" s="5"/>
    </row>
    <row r="223" spans="1:26" ht="12.75" customHeight="1">
      <c r="A223" s="5"/>
      <c r="B223" s="5"/>
      <c r="C223" s="5"/>
      <c r="D223" s="5"/>
      <c r="E223" s="5"/>
      <c r="F223" s="5"/>
      <c r="G223" s="5"/>
      <c r="H223" s="306"/>
      <c r="I223" s="5"/>
      <c r="J223" s="5"/>
      <c r="K223" s="5"/>
      <c r="L223" s="5"/>
      <c r="M223" s="5"/>
      <c r="N223" s="5"/>
      <c r="O223" s="5"/>
      <c r="P223" s="5"/>
      <c r="Q223" s="57"/>
      <c r="R223" s="5"/>
      <c r="S223" s="5"/>
      <c r="T223" s="5"/>
      <c r="U223" s="5"/>
      <c r="V223" s="5"/>
      <c r="W223" s="5"/>
      <c r="X223" s="5"/>
      <c r="Y223" s="5"/>
      <c r="Z223" s="5"/>
    </row>
    <row r="224" spans="1:26" ht="12.75" customHeight="1">
      <c r="A224" s="5"/>
      <c r="B224" s="5"/>
      <c r="C224" s="5"/>
      <c r="D224" s="5"/>
      <c r="E224" s="5"/>
      <c r="F224" s="5"/>
      <c r="G224" s="5"/>
      <c r="H224" s="306"/>
      <c r="I224" s="5"/>
      <c r="J224" s="5"/>
      <c r="K224" s="5"/>
      <c r="L224" s="5"/>
      <c r="M224" s="5"/>
      <c r="N224" s="5"/>
      <c r="O224" s="5"/>
      <c r="P224" s="5"/>
      <c r="Q224" s="57"/>
      <c r="R224" s="5"/>
      <c r="S224" s="5"/>
      <c r="T224" s="5"/>
      <c r="U224" s="5"/>
      <c r="V224" s="5"/>
      <c r="W224" s="5"/>
      <c r="X224" s="5"/>
      <c r="Y224" s="5"/>
      <c r="Z224" s="5"/>
    </row>
    <row r="225" spans="1:26" ht="12.75" customHeight="1">
      <c r="A225" s="5"/>
      <c r="B225" s="5"/>
      <c r="C225" s="5"/>
      <c r="D225" s="5"/>
      <c r="E225" s="5"/>
      <c r="F225" s="5"/>
      <c r="G225" s="5"/>
      <c r="H225" s="306"/>
      <c r="I225" s="5"/>
      <c r="J225" s="5"/>
      <c r="K225" s="5"/>
      <c r="L225" s="5"/>
      <c r="M225" s="5"/>
      <c r="N225" s="5"/>
      <c r="O225" s="5"/>
      <c r="P225" s="5"/>
      <c r="Q225" s="57"/>
      <c r="R225" s="5"/>
      <c r="S225" s="5"/>
      <c r="T225" s="5"/>
      <c r="U225" s="5"/>
      <c r="V225" s="5"/>
      <c r="W225" s="5"/>
      <c r="X225" s="5"/>
      <c r="Y225" s="5"/>
      <c r="Z225" s="5"/>
    </row>
    <row r="226" spans="1:26" ht="12.75" customHeight="1">
      <c r="A226" s="5"/>
      <c r="B226" s="5"/>
      <c r="C226" s="5"/>
      <c r="D226" s="5"/>
      <c r="E226" s="5"/>
      <c r="F226" s="5"/>
      <c r="G226" s="5"/>
      <c r="H226" s="306"/>
      <c r="I226" s="5"/>
      <c r="J226" s="5"/>
      <c r="K226" s="5"/>
      <c r="L226" s="5"/>
      <c r="M226" s="5"/>
      <c r="N226" s="5"/>
      <c r="O226" s="5"/>
      <c r="P226" s="5"/>
      <c r="Q226" s="57"/>
      <c r="R226" s="5"/>
      <c r="S226" s="5"/>
      <c r="T226" s="5"/>
      <c r="U226" s="5"/>
      <c r="V226" s="5"/>
      <c r="W226" s="5"/>
      <c r="X226" s="5"/>
      <c r="Y226" s="5"/>
      <c r="Z226" s="5"/>
    </row>
    <row r="227" spans="1:26" ht="12.75" customHeight="1">
      <c r="A227" s="5"/>
      <c r="B227" s="5"/>
      <c r="C227" s="5"/>
      <c r="D227" s="5"/>
      <c r="E227" s="5"/>
      <c r="F227" s="5"/>
      <c r="G227" s="5"/>
      <c r="H227" s="306"/>
      <c r="I227" s="5"/>
      <c r="J227" s="5"/>
      <c r="K227" s="5"/>
      <c r="L227" s="5"/>
      <c r="M227" s="5"/>
      <c r="N227" s="5"/>
      <c r="O227" s="5"/>
      <c r="P227" s="5"/>
      <c r="Q227" s="57"/>
      <c r="R227" s="5"/>
      <c r="S227" s="5"/>
      <c r="T227" s="5"/>
      <c r="U227" s="5"/>
      <c r="V227" s="5"/>
      <c r="W227" s="5"/>
      <c r="X227" s="5"/>
      <c r="Y227" s="5"/>
      <c r="Z227" s="5"/>
    </row>
    <row r="228" spans="1:26" ht="12.75" customHeight="1">
      <c r="A228" s="5"/>
      <c r="B228" s="5"/>
      <c r="C228" s="5"/>
      <c r="D228" s="5"/>
      <c r="E228" s="5"/>
      <c r="F228" s="5"/>
      <c r="G228" s="5"/>
      <c r="H228" s="306"/>
      <c r="I228" s="5"/>
      <c r="J228" s="5"/>
      <c r="K228" s="5"/>
      <c r="L228" s="5"/>
      <c r="M228" s="5"/>
      <c r="N228" s="5"/>
      <c r="O228" s="5"/>
      <c r="P228" s="5"/>
      <c r="Q228" s="57"/>
      <c r="R228" s="5"/>
      <c r="S228" s="5"/>
      <c r="T228" s="5"/>
      <c r="U228" s="5"/>
      <c r="V228" s="5"/>
      <c r="W228" s="5"/>
      <c r="X228" s="5"/>
      <c r="Y228" s="5"/>
      <c r="Z228" s="5"/>
    </row>
    <row r="229" spans="1:26" ht="12.75" customHeight="1">
      <c r="A229" s="5"/>
      <c r="B229" s="5"/>
      <c r="C229" s="5"/>
      <c r="D229" s="5"/>
      <c r="E229" s="5"/>
      <c r="F229" s="5"/>
      <c r="G229" s="5"/>
      <c r="H229" s="306"/>
      <c r="I229" s="5"/>
      <c r="J229" s="5"/>
      <c r="K229" s="5"/>
      <c r="L229" s="5"/>
      <c r="M229" s="5"/>
      <c r="N229" s="5"/>
      <c r="O229" s="5"/>
      <c r="P229" s="5"/>
      <c r="Q229" s="57"/>
      <c r="R229" s="5"/>
      <c r="S229" s="5"/>
      <c r="T229" s="5"/>
      <c r="U229" s="5"/>
      <c r="V229" s="5"/>
      <c r="W229" s="5"/>
      <c r="X229" s="5"/>
      <c r="Y229" s="5"/>
      <c r="Z229" s="5"/>
    </row>
    <row r="230" spans="1:26" ht="12.75" customHeight="1">
      <c r="A230" s="5"/>
      <c r="B230" s="5"/>
      <c r="C230" s="5"/>
      <c r="D230" s="5"/>
      <c r="E230" s="5"/>
      <c r="F230" s="5"/>
      <c r="G230" s="5"/>
      <c r="H230" s="306"/>
      <c r="I230" s="5"/>
      <c r="J230" s="5"/>
      <c r="K230" s="5"/>
      <c r="L230" s="5"/>
      <c r="M230" s="5"/>
      <c r="N230" s="5"/>
      <c r="O230" s="5"/>
      <c r="P230" s="5"/>
      <c r="Q230" s="57"/>
      <c r="R230" s="5"/>
      <c r="S230" s="5"/>
      <c r="T230" s="5"/>
      <c r="U230" s="5"/>
      <c r="V230" s="5"/>
      <c r="W230" s="5"/>
      <c r="X230" s="5"/>
      <c r="Y230" s="5"/>
      <c r="Z230" s="5"/>
    </row>
    <row r="231" spans="1:26" ht="12.75" customHeight="1">
      <c r="A231" s="5"/>
      <c r="B231" s="5"/>
      <c r="C231" s="5"/>
      <c r="D231" s="5"/>
      <c r="E231" s="5"/>
      <c r="F231" s="5"/>
      <c r="G231" s="5"/>
      <c r="H231" s="306"/>
      <c r="I231" s="5"/>
      <c r="J231" s="5"/>
      <c r="K231" s="5"/>
      <c r="L231" s="5"/>
      <c r="M231" s="5"/>
      <c r="N231" s="5"/>
      <c r="O231" s="5"/>
      <c r="P231" s="5"/>
      <c r="Q231" s="57"/>
      <c r="R231" s="5"/>
      <c r="S231" s="5"/>
      <c r="T231" s="5"/>
      <c r="U231" s="5"/>
      <c r="V231" s="5"/>
      <c r="W231" s="5"/>
      <c r="X231" s="5"/>
      <c r="Y231" s="5"/>
      <c r="Z231" s="5"/>
    </row>
    <row r="232" spans="1:26" ht="12.75" customHeight="1">
      <c r="A232" s="5"/>
      <c r="B232" s="5"/>
      <c r="C232" s="5"/>
      <c r="D232" s="5"/>
      <c r="E232" s="5"/>
      <c r="F232" s="5"/>
      <c r="G232" s="5"/>
      <c r="H232" s="306"/>
      <c r="I232" s="5"/>
      <c r="J232" s="5"/>
      <c r="K232" s="5"/>
      <c r="L232" s="5"/>
      <c r="M232" s="5"/>
      <c r="N232" s="5"/>
      <c r="O232" s="5"/>
      <c r="P232" s="5"/>
      <c r="Q232" s="57"/>
      <c r="R232" s="5"/>
      <c r="S232" s="5"/>
      <c r="T232" s="5"/>
      <c r="U232" s="5"/>
      <c r="V232" s="5"/>
      <c r="W232" s="5"/>
      <c r="X232" s="5"/>
      <c r="Y232" s="5"/>
      <c r="Z232" s="5"/>
    </row>
    <row r="233" spans="1:26" ht="12.75" customHeight="1">
      <c r="A233" s="5"/>
      <c r="B233" s="5"/>
      <c r="C233" s="5"/>
      <c r="D233" s="5"/>
      <c r="E233" s="5"/>
      <c r="F233" s="5"/>
      <c r="G233" s="5"/>
      <c r="H233" s="306"/>
      <c r="I233" s="5"/>
      <c r="J233" s="5"/>
      <c r="K233" s="5"/>
      <c r="L233" s="5"/>
      <c r="M233" s="5"/>
      <c r="N233" s="5"/>
      <c r="O233" s="5"/>
      <c r="P233" s="5"/>
      <c r="Q233" s="57"/>
      <c r="R233" s="5"/>
      <c r="S233" s="5"/>
      <c r="T233" s="5"/>
      <c r="U233" s="5"/>
      <c r="V233" s="5"/>
      <c r="W233" s="5"/>
      <c r="X233" s="5"/>
      <c r="Y233" s="5"/>
      <c r="Z233" s="5"/>
    </row>
    <row r="234" spans="1:26" ht="12.75" customHeight="1">
      <c r="A234" s="5"/>
      <c r="B234" s="5"/>
      <c r="C234" s="5"/>
      <c r="D234" s="5"/>
      <c r="E234" s="5"/>
      <c r="F234" s="5"/>
      <c r="G234" s="5"/>
      <c r="H234" s="306"/>
      <c r="I234" s="5"/>
      <c r="J234" s="5"/>
      <c r="K234" s="5"/>
      <c r="L234" s="5"/>
      <c r="M234" s="5"/>
      <c r="N234" s="5"/>
      <c r="O234" s="5"/>
      <c r="P234" s="5"/>
      <c r="Q234" s="57"/>
      <c r="R234" s="5"/>
      <c r="S234" s="5"/>
      <c r="T234" s="5"/>
      <c r="U234" s="5"/>
      <c r="V234" s="5"/>
      <c r="W234" s="5"/>
      <c r="X234" s="5"/>
      <c r="Y234" s="5"/>
      <c r="Z234" s="5"/>
    </row>
    <row r="235" spans="1:26" ht="12.75" customHeight="1">
      <c r="A235" s="5"/>
      <c r="B235" s="5"/>
      <c r="C235" s="5"/>
      <c r="D235" s="5"/>
      <c r="E235" s="5"/>
      <c r="F235" s="5"/>
      <c r="G235" s="5"/>
      <c r="H235" s="306"/>
      <c r="I235" s="5"/>
      <c r="J235" s="5"/>
      <c r="K235" s="5"/>
      <c r="L235" s="5"/>
      <c r="M235" s="5"/>
      <c r="N235" s="5"/>
      <c r="O235" s="5"/>
      <c r="P235" s="5"/>
      <c r="Q235" s="57"/>
      <c r="R235" s="5"/>
      <c r="S235" s="5"/>
      <c r="T235" s="5"/>
      <c r="U235" s="5"/>
      <c r="V235" s="5"/>
      <c r="W235" s="5"/>
      <c r="X235" s="5"/>
      <c r="Y235" s="5"/>
      <c r="Z235" s="5"/>
    </row>
    <row r="236" spans="1:26" ht="12.75" customHeight="1">
      <c r="A236" s="5"/>
      <c r="B236" s="5"/>
      <c r="C236" s="5"/>
      <c r="D236" s="5"/>
      <c r="E236" s="5"/>
      <c r="F236" s="5"/>
      <c r="G236" s="5"/>
      <c r="H236" s="306"/>
      <c r="I236" s="5"/>
      <c r="J236" s="5"/>
      <c r="K236" s="5"/>
      <c r="L236" s="5"/>
      <c r="M236" s="5"/>
      <c r="N236" s="5"/>
      <c r="O236" s="5"/>
      <c r="P236" s="5"/>
      <c r="Q236" s="57"/>
      <c r="R236" s="5"/>
      <c r="S236" s="5"/>
      <c r="T236" s="5"/>
      <c r="U236" s="5"/>
      <c r="V236" s="5"/>
      <c r="W236" s="5"/>
      <c r="X236" s="5"/>
      <c r="Y236" s="5"/>
      <c r="Z236" s="5"/>
    </row>
    <row r="237" spans="1:26" ht="12.75" customHeight="1">
      <c r="A237" s="5"/>
      <c r="B237" s="5"/>
      <c r="C237" s="5"/>
      <c r="D237" s="5"/>
      <c r="E237" s="5"/>
      <c r="F237" s="5"/>
      <c r="G237" s="5"/>
      <c r="H237" s="306"/>
      <c r="I237" s="5"/>
      <c r="J237" s="5"/>
      <c r="K237" s="5"/>
      <c r="L237" s="5"/>
      <c r="M237" s="5"/>
      <c r="N237" s="5"/>
      <c r="O237" s="5"/>
      <c r="P237" s="5"/>
      <c r="Q237" s="57"/>
      <c r="R237" s="5"/>
      <c r="S237" s="5"/>
      <c r="T237" s="5"/>
      <c r="U237" s="5"/>
      <c r="V237" s="5"/>
      <c r="W237" s="5"/>
      <c r="X237" s="5"/>
      <c r="Y237" s="5"/>
      <c r="Z237" s="5"/>
    </row>
    <row r="238" spans="1:26" ht="12.75" customHeight="1">
      <c r="A238" s="5"/>
      <c r="B238" s="5"/>
      <c r="C238" s="5"/>
      <c r="D238" s="5"/>
      <c r="E238" s="5"/>
      <c r="F238" s="5"/>
      <c r="G238" s="5"/>
      <c r="H238" s="306"/>
      <c r="I238" s="5"/>
      <c r="J238" s="5"/>
      <c r="K238" s="5"/>
      <c r="L238" s="5"/>
      <c r="M238" s="5"/>
      <c r="N238" s="5"/>
      <c r="O238" s="5"/>
      <c r="P238" s="5"/>
      <c r="Q238" s="57"/>
      <c r="R238" s="5"/>
      <c r="S238" s="5"/>
      <c r="T238" s="5"/>
      <c r="U238" s="5"/>
      <c r="V238" s="5"/>
      <c r="W238" s="5"/>
      <c r="X238" s="5"/>
      <c r="Y238" s="5"/>
      <c r="Z238" s="5"/>
    </row>
    <row r="239" spans="1:26" ht="12.75" customHeight="1">
      <c r="A239" s="5"/>
      <c r="B239" s="5"/>
      <c r="C239" s="5"/>
      <c r="D239" s="5"/>
      <c r="E239" s="5"/>
      <c r="F239" s="5"/>
      <c r="G239" s="5"/>
      <c r="H239" s="306"/>
      <c r="I239" s="5"/>
      <c r="J239" s="5"/>
      <c r="K239" s="5"/>
      <c r="L239" s="5"/>
      <c r="M239" s="5"/>
      <c r="N239" s="5"/>
      <c r="O239" s="5"/>
      <c r="P239" s="5"/>
      <c r="Q239" s="57"/>
      <c r="R239" s="5"/>
      <c r="S239" s="5"/>
      <c r="T239" s="5"/>
      <c r="U239" s="5"/>
      <c r="V239" s="5"/>
      <c r="W239" s="5"/>
      <c r="X239" s="5"/>
      <c r="Y239" s="5"/>
      <c r="Z239" s="5"/>
    </row>
    <row r="240" spans="1:26" ht="12.75" customHeight="1">
      <c r="A240" s="5"/>
      <c r="B240" s="5"/>
      <c r="C240" s="5"/>
      <c r="D240" s="5"/>
      <c r="E240" s="5"/>
      <c r="F240" s="5"/>
      <c r="G240" s="5"/>
      <c r="H240" s="306"/>
      <c r="I240" s="5"/>
      <c r="J240" s="5"/>
      <c r="K240" s="5"/>
      <c r="L240" s="5"/>
      <c r="M240" s="5"/>
      <c r="N240" s="5"/>
      <c r="O240" s="5"/>
      <c r="P240" s="5"/>
      <c r="Q240" s="57"/>
      <c r="R240" s="5"/>
      <c r="S240" s="5"/>
      <c r="T240" s="5"/>
      <c r="U240" s="5"/>
      <c r="V240" s="5"/>
      <c r="W240" s="5"/>
      <c r="X240" s="5"/>
      <c r="Y240" s="5"/>
      <c r="Z240" s="5"/>
    </row>
    <row r="241" spans="1:26" ht="12.75" customHeight="1">
      <c r="A241" s="5"/>
      <c r="B241" s="5"/>
      <c r="C241" s="5"/>
      <c r="D241" s="5"/>
      <c r="E241" s="5"/>
      <c r="F241" s="5"/>
      <c r="G241" s="5"/>
      <c r="H241" s="306"/>
      <c r="I241" s="5"/>
      <c r="J241" s="5"/>
      <c r="K241" s="5"/>
      <c r="L241" s="5"/>
      <c r="M241" s="5"/>
      <c r="N241" s="5"/>
      <c r="O241" s="5"/>
      <c r="P241" s="5"/>
      <c r="Q241" s="57"/>
      <c r="R241" s="5"/>
      <c r="S241" s="5"/>
      <c r="T241" s="5"/>
      <c r="U241" s="5"/>
      <c r="V241" s="5"/>
      <c r="W241" s="5"/>
      <c r="X241" s="5"/>
      <c r="Y241" s="5"/>
      <c r="Z241" s="5"/>
    </row>
    <row r="242" spans="1:26" ht="12.75" customHeight="1">
      <c r="A242" s="5"/>
      <c r="B242" s="5"/>
      <c r="C242" s="5"/>
      <c r="D242" s="5"/>
      <c r="E242" s="5"/>
      <c r="F242" s="5"/>
      <c r="G242" s="5"/>
      <c r="H242" s="306"/>
      <c r="I242" s="5"/>
      <c r="J242" s="5"/>
      <c r="K242" s="5"/>
      <c r="L242" s="5"/>
      <c r="M242" s="5"/>
      <c r="N242" s="5"/>
      <c r="O242" s="5"/>
      <c r="P242" s="5"/>
      <c r="Q242" s="57"/>
      <c r="R242" s="5"/>
      <c r="S242" s="5"/>
      <c r="T242" s="5"/>
      <c r="U242" s="5"/>
      <c r="V242" s="5"/>
      <c r="W242" s="5"/>
      <c r="X242" s="5"/>
      <c r="Y242" s="5"/>
      <c r="Z242" s="5"/>
    </row>
    <row r="243" spans="1:26" ht="12.75" customHeight="1">
      <c r="A243" s="5"/>
      <c r="B243" s="5"/>
      <c r="C243" s="5"/>
      <c r="D243" s="5"/>
      <c r="E243" s="5"/>
      <c r="F243" s="5"/>
      <c r="G243" s="5"/>
      <c r="H243" s="306"/>
      <c r="I243" s="5"/>
      <c r="J243" s="5"/>
      <c r="K243" s="5"/>
      <c r="L243" s="5"/>
      <c r="M243" s="5"/>
      <c r="N243" s="5"/>
      <c r="O243" s="5"/>
      <c r="P243" s="5"/>
      <c r="Q243" s="57"/>
      <c r="R243" s="5"/>
      <c r="S243" s="5"/>
      <c r="T243" s="5"/>
      <c r="U243" s="5"/>
      <c r="V243" s="5"/>
      <c r="W243" s="5"/>
      <c r="X243" s="5"/>
      <c r="Y243" s="5"/>
      <c r="Z243" s="5"/>
    </row>
    <row r="244" spans="1:26" ht="12.75" customHeight="1">
      <c r="A244" s="5"/>
      <c r="B244" s="5"/>
      <c r="C244" s="5"/>
      <c r="D244" s="5"/>
      <c r="E244" s="5"/>
      <c r="F244" s="5"/>
      <c r="G244" s="5"/>
      <c r="H244" s="306"/>
      <c r="I244" s="5"/>
      <c r="J244" s="5"/>
      <c r="K244" s="5"/>
      <c r="L244" s="5"/>
      <c r="M244" s="5"/>
      <c r="N244" s="5"/>
      <c r="O244" s="5"/>
      <c r="P244" s="5"/>
      <c r="Q244" s="57"/>
      <c r="R244" s="5"/>
      <c r="S244" s="5"/>
      <c r="T244" s="5"/>
      <c r="U244" s="5"/>
      <c r="V244" s="5"/>
      <c r="W244" s="5"/>
      <c r="X244" s="5"/>
      <c r="Y244" s="5"/>
      <c r="Z244" s="5"/>
    </row>
    <row r="245" spans="1:26" ht="12.75" customHeight="1">
      <c r="A245" s="5"/>
      <c r="B245" s="5"/>
      <c r="C245" s="5"/>
      <c r="D245" s="5"/>
      <c r="E245" s="5"/>
      <c r="F245" s="5"/>
      <c r="G245" s="5"/>
      <c r="H245" s="306"/>
      <c r="I245" s="5"/>
      <c r="J245" s="5"/>
      <c r="K245" s="5"/>
      <c r="L245" s="5"/>
      <c r="M245" s="5"/>
      <c r="N245" s="5"/>
      <c r="O245" s="5"/>
      <c r="P245" s="5"/>
      <c r="Q245" s="57"/>
      <c r="R245" s="5"/>
      <c r="S245" s="5"/>
      <c r="T245" s="5"/>
      <c r="U245" s="5"/>
      <c r="V245" s="5"/>
      <c r="W245" s="5"/>
      <c r="X245" s="5"/>
      <c r="Y245" s="5"/>
      <c r="Z245" s="5"/>
    </row>
    <row r="246" spans="1:26" ht="12.75" customHeight="1">
      <c r="A246" s="5"/>
      <c r="B246" s="5"/>
      <c r="C246" s="5"/>
      <c r="D246" s="5"/>
      <c r="E246" s="5"/>
      <c r="F246" s="5"/>
      <c r="G246" s="5"/>
      <c r="H246" s="306"/>
      <c r="I246" s="5"/>
      <c r="J246" s="5"/>
      <c r="K246" s="5"/>
      <c r="L246" s="5"/>
      <c r="M246" s="5"/>
      <c r="N246" s="5"/>
      <c r="O246" s="5"/>
      <c r="P246" s="5"/>
      <c r="Q246" s="57"/>
      <c r="R246" s="5"/>
      <c r="S246" s="5"/>
      <c r="T246" s="5"/>
      <c r="U246" s="5"/>
      <c r="V246" s="5"/>
      <c r="W246" s="5"/>
      <c r="X246" s="5"/>
      <c r="Y246" s="5"/>
      <c r="Z246" s="5"/>
    </row>
    <row r="247" spans="1:26" ht="12.75" customHeight="1">
      <c r="A247" s="5"/>
      <c r="B247" s="5"/>
      <c r="C247" s="5"/>
      <c r="D247" s="5"/>
      <c r="E247" s="5"/>
      <c r="F247" s="5"/>
      <c r="G247" s="5"/>
      <c r="H247" s="306"/>
      <c r="I247" s="5"/>
      <c r="J247" s="5"/>
      <c r="K247" s="5"/>
      <c r="L247" s="5"/>
      <c r="M247" s="5"/>
      <c r="N247" s="5"/>
      <c r="O247" s="5"/>
      <c r="P247" s="5"/>
      <c r="Q247" s="57"/>
      <c r="R247" s="5"/>
      <c r="S247" s="5"/>
      <c r="T247" s="5"/>
      <c r="U247" s="5"/>
      <c r="V247" s="5"/>
      <c r="W247" s="5"/>
      <c r="X247" s="5"/>
      <c r="Y247" s="5"/>
      <c r="Z247" s="5"/>
    </row>
    <row r="248" spans="1:26" ht="12.75" customHeight="1">
      <c r="A248" s="5"/>
      <c r="B248" s="5"/>
      <c r="C248" s="5"/>
      <c r="D248" s="5"/>
      <c r="E248" s="5"/>
      <c r="F248" s="5"/>
      <c r="G248" s="5"/>
      <c r="H248" s="306"/>
      <c r="I248" s="5"/>
      <c r="J248" s="5"/>
      <c r="K248" s="5"/>
      <c r="L248" s="5"/>
      <c r="M248" s="5"/>
      <c r="N248" s="5"/>
      <c r="O248" s="5"/>
      <c r="P248" s="5"/>
      <c r="Q248" s="57"/>
      <c r="R248" s="5"/>
      <c r="S248" s="5"/>
      <c r="T248" s="5"/>
      <c r="U248" s="5"/>
      <c r="V248" s="5"/>
      <c r="W248" s="5"/>
      <c r="X248" s="5"/>
      <c r="Y248" s="5"/>
      <c r="Z248" s="5"/>
    </row>
    <row r="249" spans="1:26" ht="12.75" customHeight="1">
      <c r="A249" s="5"/>
      <c r="B249" s="5"/>
      <c r="C249" s="5"/>
      <c r="D249" s="5"/>
      <c r="E249" s="5"/>
      <c r="F249" s="5"/>
      <c r="G249" s="5"/>
      <c r="H249" s="306"/>
      <c r="I249" s="5"/>
      <c r="J249" s="5"/>
      <c r="K249" s="5"/>
      <c r="L249" s="5"/>
      <c r="M249" s="5"/>
      <c r="N249" s="5"/>
      <c r="O249" s="5"/>
      <c r="P249" s="5"/>
      <c r="Q249" s="57"/>
      <c r="R249" s="5"/>
      <c r="S249" s="5"/>
      <c r="T249" s="5"/>
      <c r="U249" s="5"/>
      <c r="V249" s="5"/>
      <c r="W249" s="5"/>
      <c r="X249" s="5"/>
      <c r="Y249" s="5"/>
      <c r="Z249" s="5"/>
    </row>
    <row r="250" spans="1:26" ht="12.75" customHeight="1">
      <c r="A250" s="5"/>
      <c r="B250" s="5"/>
      <c r="C250" s="5"/>
      <c r="D250" s="5"/>
      <c r="E250" s="5"/>
      <c r="F250" s="5"/>
      <c r="G250" s="5"/>
      <c r="H250" s="306"/>
      <c r="I250" s="5"/>
      <c r="J250" s="5"/>
      <c r="K250" s="5"/>
      <c r="L250" s="5"/>
      <c r="M250" s="5"/>
      <c r="N250" s="5"/>
      <c r="O250" s="5"/>
      <c r="P250" s="5"/>
      <c r="Q250" s="57"/>
      <c r="R250" s="5"/>
      <c r="S250" s="5"/>
      <c r="T250" s="5"/>
      <c r="U250" s="5"/>
      <c r="V250" s="5"/>
      <c r="W250" s="5"/>
      <c r="X250" s="5"/>
      <c r="Y250" s="5"/>
      <c r="Z250" s="5"/>
    </row>
    <row r="251" spans="1:26" ht="12.75" customHeight="1">
      <c r="A251" s="5"/>
      <c r="B251" s="5"/>
      <c r="C251" s="5"/>
      <c r="D251" s="5"/>
      <c r="E251" s="5"/>
      <c r="F251" s="5"/>
      <c r="G251" s="5"/>
      <c r="H251" s="306"/>
      <c r="I251" s="5"/>
      <c r="J251" s="5"/>
      <c r="K251" s="5"/>
      <c r="L251" s="5"/>
      <c r="M251" s="5"/>
      <c r="N251" s="5"/>
      <c r="O251" s="5"/>
      <c r="P251" s="5"/>
      <c r="Q251" s="57"/>
      <c r="R251" s="5"/>
      <c r="S251" s="5"/>
      <c r="T251" s="5"/>
      <c r="U251" s="5"/>
      <c r="V251" s="5"/>
      <c r="W251" s="5"/>
      <c r="X251" s="5"/>
      <c r="Y251" s="5"/>
      <c r="Z251" s="5"/>
    </row>
    <row r="252" spans="1:26" ht="12.75" customHeight="1">
      <c r="A252" s="5"/>
      <c r="B252" s="5"/>
      <c r="C252" s="5"/>
      <c r="D252" s="5"/>
      <c r="E252" s="5"/>
      <c r="F252" s="5"/>
      <c r="G252" s="5"/>
      <c r="H252" s="306"/>
      <c r="I252" s="5"/>
      <c r="J252" s="5"/>
      <c r="K252" s="5"/>
      <c r="L252" s="5"/>
      <c r="M252" s="5"/>
      <c r="N252" s="5"/>
      <c r="O252" s="5"/>
      <c r="P252" s="5"/>
      <c r="Q252" s="57"/>
      <c r="R252" s="5"/>
      <c r="S252" s="5"/>
      <c r="T252" s="5"/>
      <c r="U252" s="5"/>
      <c r="V252" s="5"/>
      <c r="W252" s="5"/>
      <c r="X252" s="5"/>
      <c r="Y252" s="5"/>
      <c r="Z252" s="5"/>
    </row>
    <row r="253" spans="1:26" ht="12.75" customHeight="1">
      <c r="A253" s="5"/>
      <c r="B253" s="5"/>
      <c r="C253" s="5"/>
      <c r="D253" s="5"/>
      <c r="E253" s="5"/>
      <c r="F253" s="5"/>
      <c r="G253" s="5"/>
      <c r="H253" s="306"/>
      <c r="I253" s="5"/>
      <c r="J253" s="5"/>
      <c r="K253" s="5"/>
      <c r="L253" s="5"/>
      <c r="M253" s="5"/>
      <c r="N253" s="5"/>
      <c r="O253" s="5"/>
      <c r="P253" s="5"/>
      <c r="Q253" s="57"/>
      <c r="R253" s="5"/>
      <c r="S253" s="5"/>
      <c r="T253" s="5"/>
      <c r="U253" s="5"/>
      <c r="V253" s="5"/>
      <c r="W253" s="5"/>
      <c r="X253" s="5"/>
      <c r="Y253" s="5"/>
      <c r="Z253" s="5"/>
    </row>
    <row r="254" spans="1:26" ht="12.75" customHeight="1">
      <c r="A254" s="5"/>
      <c r="B254" s="5"/>
      <c r="C254" s="5"/>
      <c r="D254" s="5"/>
      <c r="E254" s="5"/>
      <c r="F254" s="5"/>
      <c r="G254" s="5"/>
      <c r="H254" s="306"/>
      <c r="I254" s="5"/>
      <c r="J254" s="5"/>
      <c r="K254" s="5"/>
      <c r="L254" s="5"/>
      <c r="M254" s="5"/>
      <c r="N254" s="5"/>
      <c r="O254" s="5"/>
      <c r="P254" s="5"/>
      <c r="Q254" s="57"/>
      <c r="R254" s="5"/>
      <c r="S254" s="5"/>
      <c r="T254" s="5"/>
      <c r="U254" s="5"/>
      <c r="V254" s="5"/>
      <c r="W254" s="5"/>
      <c r="X254" s="5"/>
      <c r="Y254" s="5"/>
      <c r="Z254" s="5"/>
    </row>
    <row r="255" spans="1:26" ht="12.75" customHeight="1">
      <c r="A255" s="5"/>
      <c r="B255" s="5"/>
      <c r="C255" s="5"/>
      <c r="D255" s="5"/>
      <c r="E255" s="5"/>
      <c r="F255" s="5"/>
      <c r="G255" s="5"/>
      <c r="H255" s="306"/>
      <c r="I255" s="5"/>
      <c r="J255" s="5"/>
      <c r="K255" s="5"/>
      <c r="L255" s="5"/>
      <c r="M255" s="5"/>
      <c r="N255" s="5"/>
      <c r="O255" s="5"/>
      <c r="P255" s="5"/>
      <c r="Q255" s="57"/>
      <c r="R255" s="5"/>
      <c r="S255" s="5"/>
      <c r="T255" s="5"/>
      <c r="U255" s="5"/>
      <c r="V255" s="5"/>
      <c r="W255" s="5"/>
      <c r="X255" s="5"/>
      <c r="Y255" s="5"/>
      <c r="Z255" s="5"/>
    </row>
    <row r="256" spans="1:26" ht="12.75" customHeight="1">
      <c r="A256" s="5"/>
      <c r="B256" s="5"/>
      <c r="C256" s="5"/>
      <c r="D256" s="5"/>
      <c r="E256" s="5"/>
      <c r="F256" s="5"/>
      <c r="G256" s="5"/>
      <c r="H256" s="306"/>
      <c r="I256" s="5"/>
      <c r="J256" s="5"/>
      <c r="K256" s="5"/>
      <c r="L256" s="5"/>
      <c r="M256" s="5"/>
      <c r="N256" s="5"/>
      <c r="O256" s="5"/>
      <c r="P256" s="5"/>
      <c r="Q256" s="57"/>
      <c r="R256" s="5"/>
      <c r="S256" s="5"/>
      <c r="T256" s="5"/>
      <c r="U256" s="5"/>
      <c r="V256" s="5"/>
      <c r="W256" s="5"/>
      <c r="X256" s="5"/>
      <c r="Y256" s="5"/>
      <c r="Z256" s="5"/>
    </row>
    <row r="257" spans="1:26" ht="12.75" customHeight="1">
      <c r="A257" s="5"/>
      <c r="B257" s="5"/>
      <c r="C257" s="5"/>
      <c r="D257" s="5"/>
      <c r="E257" s="5"/>
      <c r="F257" s="5"/>
      <c r="G257" s="5"/>
      <c r="H257" s="306"/>
      <c r="I257" s="5"/>
      <c r="J257" s="5"/>
      <c r="K257" s="5"/>
      <c r="L257" s="5"/>
      <c r="M257" s="5"/>
      <c r="N257" s="5"/>
      <c r="O257" s="5"/>
      <c r="P257" s="5"/>
      <c r="Q257" s="57"/>
      <c r="R257" s="5"/>
      <c r="S257" s="5"/>
      <c r="T257" s="5"/>
      <c r="U257" s="5"/>
      <c r="V257" s="5"/>
      <c r="W257" s="5"/>
      <c r="X257" s="5"/>
      <c r="Y257" s="5"/>
      <c r="Z257" s="5"/>
    </row>
    <row r="258" spans="1:26" ht="12.75" customHeight="1">
      <c r="A258" s="5"/>
      <c r="B258" s="5"/>
      <c r="C258" s="5"/>
      <c r="D258" s="5"/>
      <c r="E258" s="5"/>
      <c r="F258" s="5"/>
      <c r="G258" s="5"/>
      <c r="H258" s="306"/>
      <c r="I258" s="5"/>
      <c r="J258" s="5"/>
      <c r="K258" s="5"/>
      <c r="L258" s="5"/>
      <c r="M258" s="5"/>
      <c r="N258" s="5"/>
      <c r="O258" s="5"/>
      <c r="P258" s="5"/>
      <c r="Q258" s="57"/>
      <c r="R258" s="5"/>
      <c r="S258" s="5"/>
      <c r="T258" s="5"/>
      <c r="U258" s="5"/>
      <c r="V258" s="5"/>
      <c r="W258" s="5"/>
      <c r="X258" s="5"/>
      <c r="Y258" s="5"/>
      <c r="Z258" s="5"/>
    </row>
    <row r="259" spans="1:26" ht="12.75" customHeight="1">
      <c r="A259" s="5"/>
      <c r="B259" s="5"/>
      <c r="C259" s="5"/>
      <c r="D259" s="5"/>
      <c r="E259" s="5"/>
      <c r="F259" s="5"/>
      <c r="G259" s="5"/>
      <c r="H259" s="306"/>
      <c r="I259" s="5"/>
      <c r="J259" s="5"/>
      <c r="K259" s="5"/>
      <c r="L259" s="5"/>
      <c r="M259" s="5"/>
      <c r="N259" s="5"/>
      <c r="O259" s="5"/>
      <c r="P259" s="5"/>
      <c r="Q259" s="57"/>
      <c r="R259" s="5"/>
      <c r="S259" s="5"/>
      <c r="T259" s="5"/>
      <c r="U259" s="5"/>
      <c r="V259" s="5"/>
      <c r="W259" s="5"/>
      <c r="X259" s="5"/>
      <c r="Y259" s="5"/>
      <c r="Z259" s="5"/>
    </row>
    <row r="260" spans="1:26" ht="12.75" customHeight="1">
      <c r="A260" s="5"/>
      <c r="B260" s="5"/>
      <c r="C260" s="5"/>
      <c r="D260" s="5"/>
      <c r="E260" s="5"/>
      <c r="F260" s="5"/>
      <c r="G260" s="5"/>
      <c r="H260" s="306"/>
      <c r="I260" s="5"/>
      <c r="J260" s="5"/>
      <c r="K260" s="5"/>
      <c r="L260" s="5"/>
      <c r="M260" s="5"/>
      <c r="N260" s="5"/>
      <c r="O260" s="5"/>
      <c r="P260" s="5"/>
      <c r="Q260" s="57"/>
      <c r="R260" s="5"/>
      <c r="S260" s="5"/>
      <c r="T260" s="5"/>
      <c r="U260" s="5"/>
      <c r="V260" s="5"/>
      <c r="W260" s="5"/>
      <c r="X260" s="5"/>
      <c r="Y260" s="5"/>
      <c r="Z260" s="5"/>
    </row>
    <row r="261" spans="1:26" ht="12.75" customHeight="1">
      <c r="A261" s="5"/>
      <c r="B261" s="5"/>
      <c r="C261" s="5"/>
      <c r="D261" s="5"/>
      <c r="E261" s="5"/>
      <c r="F261" s="5"/>
      <c r="G261" s="5"/>
      <c r="H261" s="306"/>
      <c r="I261" s="5"/>
      <c r="J261" s="5"/>
      <c r="K261" s="5"/>
      <c r="L261" s="5"/>
      <c r="M261" s="5"/>
      <c r="N261" s="5"/>
      <c r="O261" s="5"/>
      <c r="P261" s="5"/>
      <c r="Q261" s="57"/>
      <c r="R261" s="5"/>
      <c r="S261" s="5"/>
      <c r="T261" s="5"/>
      <c r="U261" s="5"/>
      <c r="V261" s="5"/>
      <c r="W261" s="5"/>
      <c r="X261" s="5"/>
      <c r="Y261" s="5"/>
      <c r="Z261" s="5"/>
    </row>
    <row r="262" spans="1:26" ht="12.75" customHeight="1">
      <c r="A262" s="5"/>
      <c r="B262" s="5"/>
      <c r="C262" s="5"/>
      <c r="D262" s="5"/>
      <c r="E262" s="5"/>
      <c r="F262" s="5"/>
      <c r="G262" s="5"/>
      <c r="H262" s="306"/>
      <c r="I262" s="5"/>
      <c r="J262" s="5"/>
      <c r="K262" s="5"/>
      <c r="L262" s="5"/>
      <c r="M262" s="5"/>
      <c r="N262" s="5"/>
      <c r="O262" s="5"/>
      <c r="P262" s="5"/>
      <c r="Q262" s="57"/>
      <c r="R262" s="5"/>
      <c r="S262" s="5"/>
      <c r="T262" s="5"/>
      <c r="U262" s="5"/>
      <c r="V262" s="5"/>
      <c r="W262" s="5"/>
      <c r="X262" s="5"/>
      <c r="Y262" s="5"/>
      <c r="Z262" s="5"/>
    </row>
    <row r="263" spans="1:26" ht="12.75" customHeight="1">
      <c r="A263" s="5"/>
      <c r="B263" s="5"/>
      <c r="C263" s="5"/>
      <c r="D263" s="5"/>
      <c r="E263" s="5"/>
      <c r="F263" s="5"/>
      <c r="G263" s="5"/>
      <c r="H263" s="306"/>
      <c r="I263" s="5"/>
      <c r="J263" s="5"/>
      <c r="K263" s="5"/>
      <c r="L263" s="5"/>
      <c r="M263" s="5"/>
      <c r="N263" s="5"/>
      <c r="O263" s="5"/>
      <c r="P263" s="5"/>
      <c r="Q263" s="57"/>
      <c r="R263" s="5"/>
      <c r="S263" s="5"/>
      <c r="T263" s="5"/>
      <c r="U263" s="5"/>
      <c r="V263" s="5"/>
      <c r="W263" s="5"/>
      <c r="X263" s="5"/>
      <c r="Y263" s="5"/>
      <c r="Z263" s="5"/>
    </row>
    <row r="264" spans="1:26" ht="12.75" customHeight="1">
      <c r="A264" s="5"/>
      <c r="B264" s="5"/>
      <c r="C264" s="5"/>
      <c r="D264" s="5"/>
      <c r="E264" s="5"/>
      <c r="F264" s="5"/>
      <c r="G264" s="5"/>
      <c r="H264" s="306"/>
      <c r="I264" s="5"/>
      <c r="J264" s="5"/>
      <c r="K264" s="5"/>
      <c r="L264" s="5"/>
      <c r="M264" s="5"/>
      <c r="N264" s="5"/>
      <c r="O264" s="5"/>
      <c r="P264" s="5"/>
      <c r="Q264" s="57"/>
      <c r="R264" s="5"/>
      <c r="S264" s="5"/>
      <c r="T264" s="5"/>
      <c r="U264" s="5"/>
      <c r="V264" s="5"/>
      <c r="W264" s="5"/>
      <c r="X264" s="5"/>
      <c r="Y264" s="5"/>
      <c r="Z264" s="5"/>
    </row>
    <row r="265" spans="1:26" ht="12.75" customHeight="1">
      <c r="A265" s="5"/>
      <c r="B265" s="5"/>
      <c r="C265" s="5"/>
      <c r="D265" s="5"/>
      <c r="E265" s="5"/>
      <c r="F265" s="5"/>
      <c r="G265" s="5"/>
      <c r="H265" s="306"/>
      <c r="I265" s="5"/>
      <c r="J265" s="5"/>
      <c r="K265" s="5"/>
      <c r="L265" s="5"/>
      <c r="M265" s="5"/>
      <c r="N265" s="5"/>
      <c r="O265" s="5"/>
      <c r="P265" s="5"/>
      <c r="Q265" s="57"/>
      <c r="R265" s="5"/>
      <c r="S265" s="5"/>
      <c r="T265" s="5"/>
      <c r="U265" s="5"/>
      <c r="V265" s="5"/>
      <c r="W265" s="5"/>
      <c r="X265" s="5"/>
      <c r="Y265" s="5"/>
      <c r="Z265" s="5"/>
    </row>
    <row r="266" spans="1:26" ht="12.75" customHeight="1">
      <c r="A266" s="5"/>
      <c r="B266" s="5"/>
      <c r="C266" s="5"/>
      <c r="D266" s="5"/>
      <c r="E266" s="5"/>
      <c r="F266" s="5"/>
      <c r="G266" s="5"/>
      <c r="H266" s="306"/>
      <c r="I266" s="5"/>
      <c r="J266" s="5"/>
      <c r="K266" s="5"/>
      <c r="L266" s="5"/>
      <c r="M266" s="5"/>
      <c r="N266" s="5"/>
      <c r="O266" s="5"/>
      <c r="P266" s="5"/>
      <c r="Q266" s="57"/>
      <c r="R266" s="5"/>
      <c r="S266" s="5"/>
      <c r="T266" s="5"/>
      <c r="U266" s="5"/>
      <c r="V266" s="5"/>
      <c r="W266" s="5"/>
      <c r="X266" s="5"/>
      <c r="Y266" s="5"/>
      <c r="Z266" s="5"/>
    </row>
    <row r="267" spans="1:26" ht="12.75" customHeight="1">
      <c r="A267" s="5"/>
      <c r="B267" s="5"/>
      <c r="C267" s="5"/>
      <c r="D267" s="5"/>
      <c r="E267" s="5"/>
      <c r="F267" s="5"/>
      <c r="G267" s="5"/>
      <c r="H267" s="306"/>
      <c r="I267" s="5"/>
      <c r="J267" s="5"/>
      <c r="K267" s="5"/>
      <c r="L267" s="5"/>
      <c r="M267" s="5"/>
      <c r="N267" s="5"/>
      <c r="O267" s="5"/>
      <c r="P267" s="5"/>
      <c r="Q267" s="57"/>
      <c r="R267" s="5"/>
      <c r="S267" s="5"/>
      <c r="T267" s="5"/>
      <c r="U267" s="5"/>
      <c r="V267" s="5"/>
      <c r="W267" s="5"/>
      <c r="X267" s="5"/>
      <c r="Y267" s="5"/>
      <c r="Z267" s="5"/>
    </row>
    <row r="268" spans="1:26" ht="12.75" customHeight="1">
      <c r="A268" s="5"/>
      <c r="B268" s="5"/>
      <c r="C268" s="5"/>
      <c r="D268" s="5"/>
      <c r="E268" s="5"/>
      <c r="F268" s="5"/>
      <c r="G268" s="5"/>
      <c r="H268" s="306"/>
      <c r="I268" s="5"/>
      <c r="J268" s="5"/>
      <c r="K268" s="5"/>
      <c r="L268" s="5"/>
      <c r="M268" s="5"/>
      <c r="N268" s="5"/>
      <c r="O268" s="5"/>
      <c r="P268" s="5"/>
      <c r="Q268" s="57"/>
      <c r="R268" s="5"/>
      <c r="S268" s="5"/>
      <c r="T268" s="5"/>
      <c r="U268" s="5"/>
      <c r="V268" s="5"/>
      <c r="W268" s="5"/>
      <c r="X268" s="5"/>
      <c r="Y268" s="5"/>
      <c r="Z268" s="5"/>
    </row>
    <row r="269" spans="1:26" ht="12.75" customHeight="1">
      <c r="A269" s="5"/>
      <c r="B269" s="5"/>
      <c r="C269" s="5"/>
      <c r="D269" s="5"/>
      <c r="E269" s="5"/>
      <c r="F269" s="5"/>
      <c r="G269" s="5"/>
      <c r="H269" s="306"/>
      <c r="I269" s="5"/>
      <c r="J269" s="5"/>
      <c r="K269" s="5"/>
      <c r="L269" s="5"/>
      <c r="M269" s="5"/>
      <c r="N269" s="5"/>
      <c r="O269" s="5"/>
      <c r="P269" s="5"/>
      <c r="Q269" s="57"/>
      <c r="R269" s="5"/>
      <c r="S269" s="5"/>
      <c r="T269" s="5"/>
      <c r="U269" s="5"/>
      <c r="V269" s="5"/>
      <c r="W269" s="5"/>
      <c r="X269" s="5"/>
      <c r="Y269" s="5"/>
      <c r="Z269" s="5"/>
    </row>
    <row r="270" spans="1:26" ht="12.75" customHeight="1">
      <c r="A270" s="5"/>
      <c r="B270" s="5"/>
      <c r="C270" s="5"/>
      <c r="D270" s="5"/>
      <c r="E270" s="5"/>
      <c r="F270" s="5"/>
      <c r="G270" s="5"/>
      <c r="H270" s="306"/>
      <c r="I270" s="5"/>
      <c r="J270" s="5"/>
      <c r="K270" s="5"/>
      <c r="L270" s="5"/>
      <c r="M270" s="5"/>
      <c r="N270" s="5"/>
      <c r="O270" s="5"/>
      <c r="P270" s="5"/>
      <c r="Q270" s="57"/>
      <c r="R270" s="5"/>
      <c r="S270" s="5"/>
      <c r="T270" s="5"/>
      <c r="U270" s="5"/>
      <c r="V270" s="5"/>
      <c r="W270" s="5"/>
      <c r="X270" s="5"/>
      <c r="Y270" s="5"/>
      <c r="Z270" s="5"/>
    </row>
    <row r="271" spans="1:26" ht="12.75" customHeight="1">
      <c r="A271" s="5"/>
      <c r="B271" s="5"/>
      <c r="C271" s="5"/>
      <c r="D271" s="5"/>
      <c r="E271" s="5"/>
      <c r="F271" s="5"/>
      <c r="G271" s="5"/>
      <c r="H271" s="306"/>
      <c r="I271" s="5"/>
      <c r="J271" s="5"/>
      <c r="K271" s="5"/>
      <c r="L271" s="5"/>
      <c r="M271" s="5"/>
      <c r="N271" s="5"/>
      <c r="O271" s="5"/>
      <c r="P271" s="5"/>
      <c r="Q271" s="57"/>
      <c r="R271" s="5"/>
      <c r="S271" s="5"/>
      <c r="T271" s="5"/>
      <c r="U271" s="5"/>
      <c r="V271" s="5"/>
      <c r="W271" s="5"/>
      <c r="X271" s="5"/>
      <c r="Y271" s="5"/>
      <c r="Z271" s="5"/>
    </row>
    <row r="272" spans="1:26" ht="12.75" customHeight="1">
      <c r="A272" s="5"/>
      <c r="B272" s="5"/>
      <c r="C272" s="5"/>
      <c r="D272" s="5"/>
      <c r="E272" s="5"/>
      <c r="F272" s="5"/>
      <c r="G272" s="5"/>
      <c r="H272" s="306"/>
      <c r="I272" s="5"/>
      <c r="J272" s="5"/>
      <c r="K272" s="5"/>
      <c r="L272" s="5"/>
      <c r="M272" s="5"/>
      <c r="N272" s="5"/>
      <c r="O272" s="5"/>
      <c r="P272" s="5"/>
      <c r="Q272" s="57"/>
      <c r="R272" s="5"/>
      <c r="S272" s="5"/>
      <c r="T272" s="5"/>
      <c r="U272" s="5"/>
      <c r="V272" s="5"/>
      <c r="W272" s="5"/>
      <c r="X272" s="5"/>
      <c r="Y272" s="5"/>
      <c r="Z272" s="5"/>
    </row>
    <row r="273" spans="1:26" ht="12.75" customHeight="1">
      <c r="A273" s="5"/>
      <c r="B273" s="5"/>
      <c r="C273" s="5"/>
      <c r="D273" s="5"/>
      <c r="E273" s="5"/>
      <c r="F273" s="5"/>
      <c r="G273" s="5"/>
      <c r="H273" s="306"/>
      <c r="I273" s="5"/>
      <c r="J273" s="5"/>
      <c r="K273" s="5"/>
      <c r="L273" s="5"/>
      <c r="M273" s="5"/>
      <c r="N273" s="5"/>
      <c r="O273" s="5"/>
      <c r="P273" s="5"/>
      <c r="Q273" s="57"/>
      <c r="R273" s="5"/>
      <c r="S273" s="5"/>
      <c r="T273" s="5"/>
      <c r="U273" s="5"/>
      <c r="V273" s="5"/>
      <c r="W273" s="5"/>
      <c r="X273" s="5"/>
      <c r="Y273" s="5"/>
      <c r="Z273" s="5"/>
    </row>
    <row r="274" spans="1:26" ht="12.75" customHeight="1">
      <c r="A274" s="5"/>
      <c r="B274" s="5"/>
      <c r="C274" s="5"/>
      <c r="D274" s="5"/>
      <c r="E274" s="5"/>
      <c r="F274" s="5"/>
      <c r="G274" s="5"/>
      <c r="H274" s="306"/>
      <c r="I274" s="5"/>
      <c r="J274" s="5"/>
      <c r="K274" s="5"/>
      <c r="L274" s="5"/>
      <c r="M274" s="5"/>
      <c r="N274" s="5"/>
      <c r="O274" s="5"/>
      <c r="P274" s="5"/>
      <c r="Q274" s="57"/>
      <c r="R274" s="5"/>
      <c r="S274" s="5"/>
      <c r="T274" s="5"/>
      <c r="U274" s="5"/>
      <c r="V274" s="5"/>
      <c r="W274" s="5"/>
      <c r="X274" s="5"/>
      <c r="Y274" s="5"/>
      <c r="Z274" s="5"/>
    </row>
    <row r="275" spans="1:26" ht="12.75" customHeight="1">
      <c r="A275" s="5"/>
      <c r="B275" s="5"/>
      <c r="C275" s="5"/>
      <c r="D275" s="5"/>
      <c r="E275" s="5"/>
      <c r="F275" s="5"/>
      <c r="G275" s="5"/>
      <c r="H275" s="306"/>
      <c r="I275" s="5"/>
      <c r="J275" s="5"/>
      <c r="K275" s="5"/>
      <c r="L275" s="5"/>
      <c r="M275" s="5"/>
      <c r="N275" s="5"/>
      <c r="O275" s="5"/>
      <c r="P275" s="5"/>
      <c r="Q275" s="57"/>
      <c r="R275" s="5"/>
      <c r="S275" s="5"/>
      <c r="T275" s="5"/>
      <c r="U275" s="5"/>
      <c r="V275" s="5"/>
      <c r="W275" s="5"/>
      <c r="X275" s="5"/>
      <c r="Y275" s="5"/>
      <c r="Z275" s="5"/>
    </row>
    <row r="276" spans="1:26" ht="12.75" customHeight="1">
      <c r="A276" s="5"/>
      <c r="B276" s="5"/>
      <c r="C276" s="5"/>
      <c r="D276" s="5"/>
      <c r="E276" s="5"/>
      <c r="F276" s="5"/>
      <c r="G276" s="5"/>
      <c r="H276" s="306"/>
      <c r="I276" s="5"/>
      <c r="J276" s="5"/>
      <c r="K276" s="5"/>
      <c r="L276" s="5"/>
      <c r="M276" s="5"/>
      <c r="N276" s="5"/>
      <c r="O276" s="5"/>
      <c r="P276" s="5"/>
      <c r="Q276" s="57"/>
      <c r="R276" s="5"/>
      <c r="S276" s="5"/>
      <c r="T276" s="5"/>
      <c r="U276" s="5"/>
      <c r="V276" s="5"/>
      <c r="W276" s="5"/>
      <c r="X276" s="5"/>
      <c r="Y276" s="5"/>
      <c r="Z276" s="5"/>
    </row>
    <row r="277" spans="1:26" ht="12.75" customHeight="1">
      <c r="A277" s="5"/>
      <c r="B277" s="5"/>
      <c r="C277" s="5"/>
      <c r="D277" s="5"/>
      <c r="E277" s="5"/>
      <c r="F277" s="5"/>
      <c r="G277" s="5"/>
      <c r="H277" s="306"/>
      <c r="I277" s="5"/>
      <c r="J277" s="5"/>
      <c r="K277" s="5"/>
      <c r="L277" s="5"/>
      <c r="M277" s="5"/>
      <c r="N277" s="5"/>
      <c r="O277" s="5"/>
      <c r="P277" s="5"/>
      <c r="Q277" s="57"/>
      <c r="R277" s="5"/>
      <c r="S277" s="5"/>
      <c r="T277" s="5"/>
      <c r="U277" s="5"/>
      <c r="V277" s="5"/>
      <c r="W277" s="5"/>
      <c r="X277" s="5"/>
      <c r="Y277" s="5"/>
      <c r="Z277" s="5"/>
    </row>
    <row r="278" spans="1:26" ht="12.75" customHeight="1">
      <c r="A278" s="5"/>
      <c r="B278" s="5"/>
      <c r="C278" s="5"/>
      <c r="D278" s="5"/>
      <c r="E278" s="5"/>
      <c r="F278" s="5"/>
      <c r="G278" s="5"/>
      <c r="H278" s="306"/>
      <c r="I278" s="5"/>
      <c r="J278" s="5"/>
      <c r="K278" s="5"/>
      <c r="L278" s="5"/>
      <c r="M278" s="5"/>
      <c r="N278" s="5"/>
      <c r="O278" s="5"/>
      <c r="P278" s="5"/>
      <c r="Q278" s="57"/>
      <c r="R278" s="5"/>
      <c r="S278" s="5"/>
      <c r="T278" s="5"/>
      <c r="U278" s="5"/>
      <c r="V278" s="5"/>
      <c r="W278" s="5"/>
      <c r="X278" s="5"/>
      <c r="Y278" s="5"/>
      <c r="Z278" s="5"/>
    </row>
    <row r="279" spans="1:26" ht="12.75" customHeight="1">
      <c r="A279" s="5"/>
      <c r="B279" s="5"/>
      <c r="C279" s="5"/>
      <c r="D279" s="5"/>
      <c r="E279" s="5"/>
      <c r="F279" s="5"/>
      <c r="G279" s="5"/>
      <c r="H279" s="306"/>
      <c r="I279" s="5"/>
      <c r="J279" s="5"/>
      <c r="K279" s="5"/>
      <c r="L279" s="5"/>
      <c r="M279" s="5"/>
      <c r="N279" s="5"/>
      <c r="O279" s="5"/>
      <c r="P279" s="5"/>
      <c r="Q279" s="57"/>
      <c r="R279" s="5"/>
      <c r="S279" s="5"/>
      <c r="T279" s="5"/>
      <c r="U279" s="5"/>
      <c r="V279" s="5"/>
      <c r="W279" s="5"/>
      <c r="X279" s="5"/>
      <c r="Y279" s="5"/>
      <c r="Z279" s="5"/>
    </row>
    <row r="280" spans="1:26" ht="12.75" customHeight="1">
      <c r="A280" s="5"/>
      <c r="B280" s="5"/>
      <c r="C280" s="5"/>
      <c r="D280" s="5"/>
      <c r="E280" s="5"/>
      <c r="F280" s="5"/>
      <c r="G280" s="5"/>
      <c r="H280" s="306"/>
      <c r="I280" s="5"/>
      <c r="J280" s="5"/>
      <c r="K280" s="5"/>
      <c r="L280" s="5"/>
      <c r="M280" s="5"/>
      <c r="N280" s="5"/>
      <c r="O280" s="5"/>
      <c r="P280" s="5"/>
      <c r="Q280" s="57"/>
      <c r="R280" s="5"/>
      <c r="S280" s="5"/>
      <c r="T280" s="5"/>
      <c r="U280" s="5"/>
      <c r="V280" s="5"/>
      <c r="W280" s="5"/>
      <c r="X280" s="5"/>
      <c r="Y280" s="5"/>
      <c r="Z280" s="5"/>
    </row>
    <row r="281" spans="1:26" ht="12.75" customHeight="1">
      <c r="A281" s="5"/>
      <c r="B281" s="5"/>
      <c r="C281" s="5"/>
      <c r="D281" s="5"/>
      <c r="E281" s="5"/>
      <c r="F281" s="5"/>
      <c r="G281" s="5"/>
      <c r="H281" s="306"/>
      <c r="I281" s="5"/>
      <c r="J281" s="5"/>
      <c r="K281" s="5"/>
      <c r="L281" s="5"/>
      <c r="M281" s="5"/>
      <c r="N281" s="5"/>
      <c r="O281" s="5"/>
      <c r="P281" s="5"/>
      <c r="Q281" s="57"/>
      <c r="R281" s="5"/>
      <c r="S281" s="5"/>
      <c r="T281" s="5"/>
      <c r="U281" s="5"/>
      <c r="V281" s="5"/>
      <c r="W281" s="5"/>
      <c r="X281" s="5"/>
      <c r="Y281" s="5"/>
      <c r="Z281" s="5"/>
    </row>
    <row r="282" spans="1:26" ht="12.75" customHeight="1">
      <c r="A282" s="5"/>
      <c r="B282" s="5"/>
      <c r="C282" s="5"/>
      <c r="D282" s="5"/>
      <c r="E282" s="5"/>
      <c r="F282" s="5"/>
      <c r="G282" s="5"/>
      <c r="H282" s="306"/>
      <c r="I282" s="5"/>
      <c r="J282" s="5"/>
      <c r="K282" s="5"/>
      <c r="L282" s="5"/>
      <c r="M282" s="5"/>
      <c r="N282" s="5"/>
      <c r="O282" s="5"/>
      <c r="P282" s="5"/>
      <c r="Q282" s="57"/>
      <c r="R282" s="5"/>
      <c r="S282" s="5"/>
      <c r="T282" s="5"/>
      <c r="U282" s="5"/>
      <c r="V282" s="5"/>
      <c r="W282" s="5"/>
      <c r="X282" s="5"/>
      <c r="Y282" s="5"/>
      <c r="Z282" s="5"/>
    </row>
    <row r="283" spans="1:26" ht="12.75" customHeight="1">
      <c r="A283" s="5"/>
      <c r="B283" s="5"/>
      <c r="C283" s="5"/>
      <c r="D283" s="5"/>
      <c r="E283" s="5"/>
      <c r="F283" s="5"/>
      <c r="G283" s="5"/>
      <c r="H283" s="306"/>
      <c r="I283" s="5"/>
      <c r="J283" s="5"/>
      <c r="K283" s="5"/>
      <c r="L283" s="5"/>
      <c r="M283" s="5"/>
      <c r="N283" s="5"/>
      <c r="O283" s="5"/>
      <c r="P283" s="5"/>
      <c r="Q283" s="57"/>
      <c r="R283" s="5"/>
      <c r="S283" s="5"/>
      <c r="T283" s="5"/>
      <c r="U283" s="5"/>
      <c r="V283" s="5"/>
      <c r="W283" s="5"/>
      <c r="X283" s="5"/>
      <c r="Y283" s="5"/>
      <c r="Z283" s="5"/>
    </row>
    <row r="284" spans="1:26" ht="12.75" customHeight="1">
      <c r="A284" s="5"/>
      <c r="B284" s="5"/>
      <c r="C284" s="5"/>
      <c r="D284" s="5"/>
      <c r="E284" s="5"/>
      <c r="F284" s="5"/>
      <c r="G284" s="5"/>
      <c r="H284" s="306"/>
      <c r="I284" s="5"/>
      <c r="J284" s="5"/>
      <c r="K284" s="5"/>
      <c r="L284" s="5"/>
      <c r="M284" s="5"/>
      <c r="N284" s="5"/>
      <c r="O284" s="5"/>
      <c r="P284" s="5"/>
      <c r="Q284" s="57"/>
      <c r="R284" s="5"/>
      <c r="S284" s="5"/>
      <c r="T284" s="5"/>
      <c r="U284" s="5"/>
      <c r="V284" s="5"/>
      <c r="W284" s="5"/>
      <c r="X284" s="5"/>
      <c r="Y284" s="5"/>
      <c r="Z284" s="5"/>
    </row>
    <row r="285" spans="1:26" ht="12.75" customHeight="1">
      <c r="A285" s="5"/>
      <c r="B285" s="5"/>
      <c r="C285" s="5"/>
      <c r="D285" s="5"/>
      <c r="E285" s="5"/>
      <c r="F285" s="5"/>
      <c r="G285" s="5"/>
      <c r="H285" s="306"/>
      <c r="I285" s="5"/>
      <c r="J285" s="5"/>
      <c r="K285" s="5"/>
      <c r="L285" s="5"/>
      <c r="M285" s="5"/>
      <c r="N285" s="5"/>
      <c r="O285" s="5"/>
      <c r="P285" s="5"/>
      <c r="Q285" s="57"/>
      <c r="R285" s="5"/>
      <c r="S285" s="5"/>
      <c r="T285" s="5"/>
      <c r="U285" s="5"/>
      <c r="V285" s="5"/>
      <c r="W285" s="5"/>
      <c r="X285" s="5"/>
      <c r="Y285" s="5"/>
      <c r="Z285" s="5"/>
    </row>
    <row r="286" spans="1:26" ht="12.75" customHeight="1">
      <c r="A286" s="5"/>
      <c r="B286" s="5"/>
      <c r="C286" s="5"/>
      <c r="D286" s="5"/>
      <c r="E286" s="5"/>
      <c r="F286" s="5"/>
      <c r="G286" s="5"/>
      <c r="H286" s="306"/>
      <c r="I286" s="5"/>
      <c r="J286" s="5"/>
      <c r="K286" s="5"/>
      <c r="L286" s="5"/>
      <c r="M286" s="5"/>
      <c r="N286" s="5"/>
      <c r="O286" s="5"/>
      <c r="P286" s="5"/>
      <c r="Q286" s="57"/>
      <c r="R286" s="5"/>
      <c r="S286" s="5"/>
      <c r="T286" s="5"/>
      <c r="U286" s="5"/>
      <c r="V286" s="5"/>
      <c r="W286" s="5"/>
      <c r="X286" s="5"/>
      <c r="Y286" s="5"/>
      <c r="Z286" s="5"/>
    </row>
    <row r="287" spans="1:26" ht="12.75" customHeight="1">
      <c r="A287" s="5"/>
      <c r="B287" s="5"/>
      <c r="C287" s="5"/>
      <c r="D287" s="5"/>
      <c r="E287" s="5"/>
      <c r="F287" s="5"/>
      <c r="G287" s="5"/>
      <c r="H287" s="306"/>
      <c r="I287" s="5"/>
      <c r="J287" s="5"/>
      <c r="K287" s="5"/>
      <c r="L287" s="5"/>
      <c r="M287" s="5"/>
      <c r="N287" s="5"/>
      <c r="O287" s="5"/>
      <c r="P287" s="5"/>
      <c r="Q287" s="57"/>
      <c r="R287" s="5"/>
      <c r="S287" s="5"/>
      <c r="T287" s="5"/>
      <c r="U287" s="5"/>
      <c r="V287" s="5"/>
      <c r="W287" s="5"/>
      <c r="X287" s="5"/>
      <c r="Y287" s="5"/>
      <c r="Z287" s="5"/>
    </row>
    <row r="288" spans="1:26" ht="12.75" customHeight="1">
      <c r="A288" s="5"/>
      <c r="B288" s="5"/>
      <c r="C288" s="5"/>
      <c r="D288" s="5"/>
      <c r="E288" s="5"/>
      <c r="F288" s="5"/>
      <c r="G288" s="5"/>
      <c r="H288" s="306"/>
      <c r="I288" s="5"/>
      <c r="J288" s="5"/>
      <c r="K288" s="5"/>
      <c r="L288" s="5"/>
      <c r="M288" s="5"/>
      <c r="N288" s="5"/>
      <c r="O288" s="5"/>
      <c r="P288" s="5"/>
      <c r="Q288" s="57"/>
      <c r="R288" s="5"/>
      <c r="S288" s="5"/>
      <c r="T288" s="5"/>
      <c r="U288" s="5"/>
      <c r="V288" s="5"/>
      <c r="W288" s="5"/>
      <c r="X288" s="5"/>
      <c r="Y288" s="5"/>
      <c r="Z288" s="5"/>
    </row>
    <row r="289" spans="1:26" ht="12.75" customHeight="1">
      <c r="A289" s="5"/>
      <c r="B289" s="5"/>
      <c r="C289" s="5"/>
      <c r="D289" s="5"/>
      <c r="E289" s="5"/>
      <c r="F289" s="5"/>
      <c r="G289" s="5"/>
      <c r="H289" s="306"/>
      <c r="I289" s="5"/>
      <c r="J289" s="5"/>
      <c r="K289" s="5"/>
      <c r="L289" s="5"/>
      <c r="M289" s="5"/>
      <c r="N289" s="5"/>
      <c r="O289" s="5"/>
      <c r="P289" s="5"/>
      <c r="Q289" s="57"/>
      <c r="R289" s="5"/>
      <c r="S289" s="5"/>
      <c r="T289" s="5"/>
      <c r="U289" s="5"/>
      <c r="V289" s="5"/>
      <c r="W289" s="5"/>
      <c r="X289" s="5"/>
      <c r="Y289" s="5"/>
      <c r="Z289" s="5"/>
    </row>
    <row r="290" spans="1:26" ht="12.75" customHeight="1">
      <c r="A290" s="5"/>
      <c r="B290" s="5"/>
      <c r="C290" s="5"/>
      <c r="D290" s="5"/>
      <c r="E290" s="5"/>
      <c r="F290" s="5"/>
      <c r="G290" s="5"/>
      <c r="H290" s="306"/>
      <c r="I290" s="5"/>
      <c r="J290" s="5"/>
      <c r="K290" s="5"/>
      <c r="L290" s="5"/>
      <c r="M290" s="5"/>
      <c r="N290" s="5"/>
      <c r="O290" s="5"/>
      <c r="P290" s="5"/>
      <c r="Q290" s="57"/>
      <c r="R290" s="5"/>
      <c r="S290" s="5"/>
      <c r="T290" s="5"/>
      <c r="U290" s="5"/>
      <c r="V290" s="5"/>
      <c r="W290" s="5"/>
      <c r="X290" s="5"/>
      <c r="Y290" s="5"/>
      <c r="Z290" s="5"/>
    </row>
    <row r="291" spans="1:26" ht="12.75" customHeight="1">
      <c r="A291" s="5"/>
      <c r="B291" s="5"/>
      <c r="C291" s="5"/>
      <c r="D291" s="5"/>
      <c r="E291" s="5"/>
      <c r="F291" s="5"/>
      <c r="G291" s="5"/>
      <c r="H291" s="306"/>
      <c r="I291" s="5"/>
      <c r="J291" s="5"/>
      <c r="K291" s="5"/>
      <c r="L291" s="5"/>
      <c r="M291" s="5"/>
      <c r="N291" s="5"/>
      <c r="O291" s="5"/>
      <c r="P291" s="5"/>
      <c r="Q291" s="57"/>
      <c r="R291" s="5"/>
      <c r="S291" s="5"/>
      <c r="T291" s="5"/>
      <c r="U291" s="5"/>
      <c r="V291" s="5"/>
      <c r="W291" s="5"/>
      <c r="X291" s="5"/>
      <c r="Y291" s="5"/>
      <c r="Z291" s="5"/>
    </row>
    <row r="292" spans="1:26" ht="12.75" customHeight="1">
      <c r="A292" s="5"/>
      <c r="B292" s="5"/>
      <c r="C292" s="5"/>
      <c r="D292" s="5"/>
      <c r="E292" s="5"/>
      <c r="F292" s="5"/>
      <c r="G292" s="5"/>
      <c r="H292" s="306"/>
      <c r="I292" s="5"/>
      <c r="J292" s="5"/>
      <c r="K292" s="5"/>
      <c r="L292" s="5"/>
      <c r="M292" s="5"/>
      <c r="N292" s="5"/>
      <c r="O292" s="5"/>
      <c r="P292" s="5"/>
      <c r="Q292" s="57"/>
      <c r="R292" s="5"/>
      <c r="S292" s="5"/>
      <c r="T292" s="5"/>
      <c r="U292" s="5"/>
      <c r="V292" s="5"/>
      <c r="W292" s="5"/>
      <c r="X292" s="5"/>
      <c r="Y292" s="5"/>
      <c r="Z292" s="5"/>
    </row>
    <row r="293" spans="1:26" ht="12.75" customHeight="1">
      <c r="A293" s="5"/>
      <c r="B293" s="5"/>
      <c r="C293" s="5"/>
      <c r="D293" s="5"/>
      <c r="E293" s="5"/>
      <c r="F293" s="5"/>
      <c r="G293" s="5"/>
      <c r="H293" s="306"/>
      <c r="I293" s="5"/>
      <c r="J293" s="5"/>
      <c r="K293" s="5"/>
      <c r="L293" s="5"/>
      <c r="M293" s="5"/>
      <c r="N293" s="5"/>
      <c r="O293" s="5"/>
      <c r="P293" s="5"/>
      <c r="Q293" s="57"/>
      <c r="R293" s="5"/>
      <c r="S293" s="5"/>
      <c r="T293" s="5"/>
      <c r="U293" s="5"/>
      <c r="V293" s="5"/>
      <c r="W293" s="5"/>
      <c r="X293" s="5"/>
      <c r="Y293" s="5"/>
      <c r="Z293" s="5"/>
    </row>
    <row r="294" spans="1:26" ht="12.75" customHeight="1">
      <c r="A294" s="5"/>
      <c r="B294" s="5"/>
      <c r="C294" s="5"/>
      <c r="D294" s="5"/>
      <c r="E294" s="5"/>
      <c r="F294" s="5"/>
      <c r="G294" s="5"/>
      <c r="H294" s="306"/>
      <c r="I294" s="5"/>
      <c r="J294" s="5"/>
      <c r="K294" s="5"/>
      <c r="L294" s="5"/>
      <c r="M294" s="5"/>
      <c r="N294" s="5"/>
      <c r="O294" s="5"/>
      <c r="P294" s="5"/>
      <c r="Q294" s="57"/>
      <c r="R294" s="5"/>
      <c r="S294" s="5"/>
      <c r="T294" s="5"/>
      <c r="U294" s="5"/>
      <c r="V294" s="5"/>
      <c r="W294" s="5"/>
      <c r="X294" s="5"/>
      <c r="Y294" s="5"/>
      <c r="Z294" s="5"/>
    </row>
    <row r="295" spans="1:26" ht="12.75" customHeight="1">
      <c r="A295" s="5"/>
      <c r="B295" s="5"/>
      <c r="C295" s="5"/>
      <c r="D295" s="5"/>
      <c r="E295" s="5"/>
      <c r="F295" s="5"/>
      <c r="G295" s="5"/>
      <c r="H295" s="306"/>
      <c r="I295" s="5"/>
      <c r="J295" s="5"/>
      <c r="K295" s="5"/>
      <c r="L295" s="5"/>
      <c r="M295" s="5"/>
      <c r="N295" s="5"/>
      <c r="O295" s="5"/>
      <c r="P295" s="5"/>
      <c r="Q295" s="57"/>
      <c r="R295" s="5"/>
      <c r="S295" s="5"/>
      <c r="T295" s="5"/>
      <c r="U295" s="5"/>
      <c r="V295" s="5"/>
      <c r="W295" s="5"/>
      <c r="X295" s="5"/>
      <c r="Y295" s="5"/>
      <c r="Z295" s="5"/>
    </row>
    <row r="296" spans="1:26" ht="12.75" customHeight="1">
      <c r="A296" s="5"/>
      <c r="B296" s="5"/>
      <c r="C296" s="5"/>
      <c r="D296" s="5"/>
      <c r="E296" s="5"/>
      <c r="F296" s="5"/>
      <c r="G296" s="5"/>
      <c r="H296" s="306"/>
      <c r="I296" s="5"/>
      <c r="J296" s="5"/>
      <c r="K296" s="5"/>
      <c r="L296" s="5"/>
      <c r="M296" s="5"/>
      <c r="N296" s="5"/>
      <c r="O296" s="5"/>
      <c r="P296" s="5"/>
      <c r="Q296" s="57"/>
      <c r="R296" s="5"/>
      <c r="S296" s="5"/>
      <c r="T296" s="5"/>
      <c r="U296" s="5"/>
      <c r="V296" s="5"/>
      <c r="W296" s="5"/>
      <c r="X296" s="5"/>
      <c r="Y296" s="5"/>
      <c r="Z296" s="5"/>
    </row>
    <row r="297" spans="1:26" ht="12.75" customHeight="1">
      <c r="A297" s="5"/>
      <c r="B297" s="5"/>
      <c r="C297" s="5"/>
      <c r="D297" s="5"/>
      <c r="E297" s="5"/>
      <c r="F297" s="5"/>
      <c r="G297" s="5"/>
      <c r="H297" s="306"/>
      <c r="I297" s="5"/>
      <c r="J297" s="5"/>
      <c r="K297" s="5"/>
      <c r="L297" s="5"/>
      <c r="M297" s="5"/>
      <c r="N297" s="5"/>
      <c r="O297" s="5"/>
      <c r="P297" s="5"/>
      <c r="Q297" s="57"/>
      <c r="R297" s="5"/>
      <c r="S297" s="5"/>
      <c r="T297" s="5"/>
      <c r="U297" s="5"/>
      <c r="V297" s="5"/>
      <c r="W297" s="5"/>
      <c r="X297" s="5"/>
      <c r="Y297" s="5"/>
      <c r="Z297" s="5"/>
    </row>
    <row r="298" spans="1:26" ht="12.75" customHeight="1">
      <c r="A298" s="5"/>
      <c r="B298" s="5"/>
      <c r="C298" s="5"/>
      <c r="D298" s="5"/>
      <c r="E298" s="5"/>
      <c r="F298" s="5"/>
      <c r="G298" s="5"/>
      <c r="H298" s="306"/>
      <c r="I298" s="5"/>
      <c r="J298" s="5"/>
      <c r="K298" s="5"/>
      <c r="L298" s="5"/>
      <c r="M298" s="5"/>
      <c r="N298" s="5"/>
      <c r="O298" s="5"/>
      <c r="P298" s="5"/>
      <c r="Q298" s="57"/>
      <c r="R298" s="5"/>
      <c r="S298" s="5"/>
      <c r="T298" s="5"/>
      <c r="U298" s="5"/>
      <c r="V298" s="5"/>
      <c r="W298" s="5"/>
      <c r="X298" s="5"/>
      <c r="Y298" s="5"/>
      <c r="Z298" s="5"/>
    </row>
    <row r="299" spans="1:26" ht="12.75" customHeight="1">
      <c r="A299" s="5"/>
      <c r="B299" s="5"/>
      <c r="C299" s="5"/>
      <c r="D299" s="5"/>
      <c r="E299" s="5"/>
      <c r="F299" s="5"/>
      <c r="G299" s="5"/>
      <c r="H299" s="306"/>
      <c r="I299" s="5"/>
      <c r="J299" s="5"/>
      <c r="K299" s="5"/>
      <c r="L299" s="5"/>
      <c r="M299" s="5"/>
      <c r="N299" s="5"/>
      <c r="O299" s="5"/>
      <c r="P299" s="5"/>
      <c r="Q299" s="57"/>
      <c r="R299" s="5"/>
      <c r="S299" s="5"/>
      <c r="T299" s="5"/>
      <c r="U299" s="5"/>
      <c r="V299" s="5"/>
      <c r="W299" s="5"/>
      <c r="X299" s="5"/>
      <c r="Y299" s="5"/>
      <c r="Z299" s="5"/>
    </row>
    <row r="300" spans="1:26" ht="12.75" customHeight="1">
      <c r="A300" s="5"/>
      <c r="B300" s="5"/>
      <c r="C300" s="5"/>
      <c r="D300" s="5"/>
      <c r="E300" s="5"/>
      <c r="F300" s="5"/>
      <c r="G300" s="5"/>
      <c r="H300" s="306"/>
      <c r="I300" s="5"/>
      <c r="J300" s="5"/>
      <c r="K300" s="5"/>
      <c r="L300" s="5"/>
      <c r="M300" s="5"/>
      <c r="N300" s="5"/>
      <c r="O300" s="5"/>
      <c r="P300" s="5"/>
      <c r="Q300" s="57"/>
      <c r="R300" s="5"/>
      <c r="S300" s="5"/>
      <c r="T300" s="5"/>
      <c r="U300" s="5"/>
      <c r="V300" s="5"/>
      <c r="W300" s="5"/>
      <c r="X300" s="5"/>
      <c r="Y300" s="5"/>
      <c r="Z300" s="5"/>
    </row>
    <row r="301" spans="1:26" ht="12.75" customHeight="1">
      <c r="A301" s="5"/>
      <c r="B301" s="5"/>
      <c r="C301" s="5"/>
      <c r="D301" s="5"/>
      <c r="E301" s="5"/>
      <c r="F301" s="5"/>
      <c r="G301" s="5"/>
      <c r="H301" s="306"/>
      <c r="I301" s="5"/>
      <c r="J301" s="5"/>
      <c r="K301" s="5"/>
      <c r="L301" s="5"/>
      <c r="M301" s="5"/>
      <c r="N301" s="5"/>
      <c r="O301" s="5"/>
      <c r="P301" s="5"/>
      <c r="Q301" s="57"/>
      <c r="R301" s="5"/>
      <c r="S301" s="5"/>
      <c r="T301" s="5"/>
      <c r="U301" s="5"/>
      <c r="V301" s="5"/>
      <c r="W301" s="5"/>
      <c r="X301" s="5"/>
      <c r="Y301" s="5"/>
      <c r="Z301" s="5"/>
    </row>
    <row r="302" spans="1:26" ht="12.75" customHeight="1">
      <c r="A302" s="5"/>
      <c r="B302" s="5"/>
      <c r="C302" s="5"/>
      <c r="D302" s="5"/>
      <c r="E302" s="5"/>
      <c r="F302" s="5"/>
      <c r="G302" s="5"/>
      <c r="H302" s="306"/>
      <c r="I302" s="5"/>
      <c r="J302" s="5"/>
      <c r="K302" s="5"/>
      <c r="L302" s="5"/>
      <c r="M302" s="5"/>
      <c r="N302" s="5"/>
      <c r="O302" s="5"/>
      <c r="P302" s="5"/>
      <c r="Q302" s="57"/>
      <c r="R302" s="5"/>
      <c r="S302" s="5"/>
      <c r="T302" s="5"/>
      <c r="U302" s="5"/>
      <c r="V302" s="5"/>
      <c r="W302" s="5"/>
      <c r="X302" s="5"/>
      <c r="Y302" s="5"/>
      <c r="Z302" s="5"/>
    </row>
    <row r="303" spans="1:26" ht="12.75" customHeight="1">
      <c r="A303" s="5"/>
      <c r="B303" s="5"/>
      <c r="C303" s="5"/>
      <c r="D303" s="5"/>
      <c r="E303" s="5"/>
      <c r="F303" s="5"/>
      <c r="G303" s="5"/>
      <c r="H303" s="306"/>
      <c r="I303" s="5"/>
      <c r="J303" s="5"/>
      <c r="K303" s="5"/>
      <c r="L303" s="5"/>
      <c r="M303" s="5"/>
      <c r="N303" s="5"/>
      <c r="O303" s="5"/>
      <c r="P303" s="5"/>
      <c r="Q303" s="57"/>
      <c r="R303" s="5"/>
      <c r="S303" s="5"/>
      <c r="T303" s="5"/>
      <c r="U303" s="5"/>
      <c r="V303" s="5"/>
      <c r="W303" s="5"/>
      <c r="X303" s="5"/>
      <c r="Y303" s="5"/>
      <c r="Z303" s="5"/>
    </row>
    <row r="304" spans="1:26" ht="12.75" customHeight="1">
      <c r="A304" s="5"/>
      <c r="B304" s="5"/>
      <c r="C304" s="5"/>
      <c r="D304" s="5"/>
      <c r="E304" s="5"/>
      <c r="F304" s="5"/>
      <c r="G304" s="5"/>
      <c r="H304" s="306"/>
      <c r="I304" s="5"/>
      <c r="J304" s="5"/>
      <c r="K304" s="5"/>
      <c r="L304" s="5"/>
      <c r="M304" s="5"/>
      <c r="N304" s="5"/>
      <c r="O304" s="5"/>
      <c r="P304" s="5"/>
      <c r="Q304" s="57"/>
      <c r="R304" s="5"/>
      <c r="S304" s="5"/>
      <c r="T304" s="5"/>
      <c r="U304" s="5"/>
      <c r="V304" s="5"/>
      <c r="W304" s="5"/>
      <c r="X304" s="5"/>
      <c r="Y304" s="5"/>
      <c r="Z304" s="5"/>
    </row>
    <row r="305" spans="1:26" ht="12.75" customHeight="1">
      <c r="A305" s="5"/>
      <c r="B305" s="5"/>
      <c r="C305" s="5"/>
      <c r="D305" s="5"/>
      <c r="E305" s="5"/>
      <c r="F305" s="5"/>
      <c r="G305" s="5"/>
      <c r="H305" s="306"/>
      <c r="I305" s="5"/>
      <c r="J305" s="5"/>
      <c r="K305" s="5"/>
      <c r="L305" s="5"/>
      <c r="M305" s="5"/>
      <c r="N305" s="5"/>
      <c r="O305" s="5"/>
      <c r="P305" s="5"/>
      <c r="Q305" s="57"/>
      <c r="R305" s="5"/>
      <c r="S305" s="5"/>
      <c r="T305" s="5"/>
      <c r="U305" s="5"/>
      <c r="V305" s="5"/>
      <c r="W305" s="5"/>
      <c r="X305" s="5"/>
      <c r="Y305" s="5"/>
      <c r="Z305" s="5"/>
    </row>
    <row r="306" spans="1:26" ht="12.75" customHeight="1">
      <c r="A306" s="5"/>
      <c r="B306" s="5"/>
      <c r="C306" s="5"/>
      <c r="D306" s="5"/>
      <c r="E306" s="5"/>
      <c r="F306" s="5"/>
      <c r="G306" s="5"/>
      <c r="H306" s="306"/>
      <c r="I306" s="5"/>
      <c r="J306" s="5"/>
      <c r="K306" s="5"/>
      <c r="L306" s="5"/>
      <c r="M306" s="5"/>
      <c r="N306" s="5"/>
      <c r="O306" s="5"/>
      <c r="P306" s="5"/>
      <c r="Q306" s="57"/>
      <c r="R306" s="5"/>
      <c r="S306" s="5"/>
      <c r="T306" s="5"/>
      <c r="U306" s="5"/>
      <c r="V306" s="5"/>
      <c r="W306" s="5"/>
      <c r="X306" s="5"/>
      <c r="Y306" s="5"/>
      <c r="Z306" s="5"/>
    </row>
    <row r="307" spans="1:26" ht="12.75" customHeight="1">
      <c r="A307" s="5"/>
      <c r="B307" s="5"/>
      <c r="C307" s="5"/>
      <c r="D307" s="5"/>
      <c r="E307" s="5"/>
      <c r="F307" s="5"/>
      <c r="G307" s="5"/>
      <c r="H307" s="306"/>
      <c r="I307" s="5"/>
      <c r="J307" s="5"/>
      <c r="K307" s="5"/>
      <c r="L307" s="5"/>
      <c r="M307" s="5"/>
      <c r="N307" s="5"/>
      <c r="O307" s="5"/>
      <c r="P307" s="5"/>
      <c r="Q307" s="57"/>
      <c r="R307" s="5"/>
      <c r="S307" s="5"/>
      <c r="T307" s="5"/>
      <c r="U307" s="5"/>
      <c r="V307" s="5"/>
      <c r="W307" s="5"/>
      <c r="X307" s="5"/>
      <c r="Y307" s="5"/>
      <c r="Z307" s="5"/>
    </row>
    <row r="308" spans="1:26" ht="12.75" customHeight="1">
      <c r="A308" s="5"/>
      <c r="B308" s="5"/>
      <c r="C308" s="5"/>
      <c r="D308" s="5"/>
      <c r="E308" s="5"/>
      <c r="F308" s="5"/>
      <c r="G308" s="5"/>
      <c r="H308" s="306"/>
      <c r="I308" s="5"/>
      <c r="J308" s="5"/>
      <c r="K308" s="5"/>
      <c r="L308" s="5"/>
      <c r="M308" s="5"/>
      <c r="N308" s="5"/>
      <c r="O308" s="5"/>
      <c r="P308" s="5"/>
      <c r="Q308" s="57"/>
      <c r="R308" s="5"/>
      <c r="S308" s="5"/>
      <c r="T308" s="5"/>
      <c r="U308" s="5"/>
      <c r="V308" s="5"/>
      <c r="W308" s="5"/>
      <c r="X308" s="5"/>
      <c r="Y308" s="5"/>
      <c r="Z308" s="5"/>
    </row>
    <row r="309" spans="1:26" ht="12.75" customHeight="1">
      <c r="A309" s="5"/>
      <c r="B309" s="5"/>
      <c r="C309" s="5"/>
      <c r="D309" s="5"/>
      <c r="E309" s="5"/>
      <c r="F309" s="5"/>
      <c r="G309" s="5"/>
      <c r="H309" s="306"/>
      <c r="I309" s="5"/>
      <c r="J309" s="5"/>
      <c r="K309" s="5"/>
      <c r="L309" s="5"/>
      <c r="M309" s="5"/>
      <c r="N309" s="5"/>
      <c r="O309" s="5"/>
      <c r="P309" s="5"/>
      <c r="Q309" s="57"/>
      <c r="R309" s="5"/>
      <c r="S309" s="5"/>
      <c r="T309" s="5"/>
      <c r="U309" s="5"/>
      <c r="V309" s="5"/>
      <c r="W309" s="5"/>
      <c r="X309" s="5"/>
      <c r="Y309" s="5"/>
      <c r="Z309" s="5"/>
    </row>
    <row r="310" spans="1:26" ht="12.75" customHeight="1">
      <c r="A310" s="5"/>
      <c r="B310" s="5"/>
      <c r="C310" s="5"/>
      <c r="D310" s="5"/>
      <c r="E310" s="5"/>
      <c r="F310" s="5"/>
      <c r="G310" s="5"/>
      <c r="H310" s="306"/>
      <c r="I310" s="5"/>
      <c r="J310" s="5"/>
      <c r="K310" s="5"/>
      <c r="L310" s="5"/>
      <c r="M310" s="5"/>
      <c r="N310" s="5"/>
      <c r="O310" s="5"/>
      <c r="P310" s="5"/>
      <c r="Q310" s="57"/>
      <c r="R310" s="5"/>
      <c r="S310" s="5"/>
      <c r="T310" s="5"/>
      <c r="U310" s="5"/>
      <c r="V310" s="5"/>
      <c r="W310" s="5"/>
      <c r="X310" s="5"/>
      <c r="Y310" s="5"/>
      <c r="Z310" s="5"/>
    </row>
    <row r="311" spans="1:26" ht="12.75" customHeight="1">
      <c r="A311" s="5"/>
      <c r="B311" s="5"/>
      <c r="C311" s="5"/>
      <c r="D311" s="5"/>
      <c r="E311" s="5"/>
      <c r="F311" s="5"/>
      <c r="G311" s="5"/>
      <c r="H311" s="306"/>
      <c r="I311" s="5"/>
      <c r="J311" s="5"/>
      <c r="K311" s="5"/>
      <c r="L311" s="5"/>
      <c r="M311" s="5"/>
      <c r="N311" s="5"/>
      <c r="O311" s="5"/>
      <c r="P311" s="5"/>
      <c r="Q311" s="57"/>
      <c r="R311" s="5"/>
      <c r="S311" s="5"/>
      <c r="T311" s="5"/>
      <c r="U311" s="5"/>
      <c r="V311" s="5"/>
      <c r="W311" s="5"/>
      <c r="X311" s="5"/>
      <c r="Y311" s="5"/>
      <c r="Z311" s="5"/>
    </row>
    <row r="312" spans="1:26" ht="12.75" customHeight="1">
      <c r="A312" s="5"/>
      <c r="B312" s="5"/>
      <c r="C312" s="5"/>
      <c r="D312" s="5"/>
      <c r="E312" s="5"/>
      <c r="F312" s="5"/>
      <c r="G312" s="5"/>
      <c r="H312" s="306"/>
      <c r="I312" s="5"/>
      <c r="J312" s="5"/>
      <c r="K312" s="5"/>
      <c r="L312" s="5"/>
      <c r="M312" s="5"/>
      <c r="N312" s="5"/>
      <c r="O312" s="5"/>
      <c r="P312" s="5"/>
      <c r="Q312" s="57"/>
      <c r="R312" s="5"/>
      <c r="S312" s="5"/>
      <c r="T312" s="5"/>
      <c r="U312" s="5"/>
      <c r="V312" s="5"/>
      <c r="W312" s="5"/>
      <c r="X312" s="5"/>
      <c r="Y312" s="5"/>
      <c r="Z312" s="5"/>
    </row>
    <row r="313" spans="1:26" ht="12.75" customHeight="1">
      <c r="A313" s="5"/>
      <c r="B313" s="5"/>
      <c r="C313" s="5"/>
      <c r="D313" s="5"/>
      <c r="E313" s="5"/>
      <c r="F313" s="5"/>
      <c r="G313" s="5"/>
      <c r="H313" s="306"/>
      <c r="I313" s="5"/>
      <c r="J313" s="5"/>
      <c r="K313" s="5"/>
      <c r="L313" s="5"/>
      <c r="M313" s="5"/>
      <c r="N313" s="5"/>
      <c r="O313" s="5"/>
      <c r="P313" s="5"/>
      <c r="Q313" s="57"/>
      <c r="R313" s="5"/>
      <c r="S313" s="5"/>
      <c r="T313" s="5"/>
      <c r="U313" s="5"/>
      <c r="V313" s="5"/>
      <c r="W313" s="5"/>
      <c r="X313" s="5"/>
      <c r="Y313" s="5"/>
      <c r="Z313" s="5"/>
    </row>
    <row r="314" spans="1:26" ht="12.75" customHeight="1">
      <c r="A314" s="5"/>
      <c r="B314" s="5"/>
      <c r="C314" s="5"/>
      <c r="D314" s="5"/>
      <c r="E314" s="5"/>
      <c r="F314" s="5"/>
      <c r="G314" s="5"/>
      <c r="H314" s="306"/>
      <c r="I314" s="5"/>
      <c r="J314" s="5"/>
      <c r="K314" s="5"/>
      <c r="L314" s="5"/>
      <c r="M314" s="5"/>
      <c r="N314" s="5"/>
      <c r="O314" s="5"/>
      <c r="P314" s="5"/>
      <c r="Q314" s="57"/>
      <c r="R314" s="5"/>
      <c r="S314" s="5"/>
      <c r="T314" s="5"/>
      <c r="U314" s="5"/>
      <c r="V314" s="5"/>
      <c r="W314" s="5"/>
      <c r="X314" s="5"/>
      <c r="Y314" s="5"/>
      <c r="Z314" s="5"/>
    </row>
    <row r="315" spans="1:26" ht="12.75" customHeight="1">
      <c r="A315" s="5"/>
      <c r="B315" s="5"/>
      <c r="C315" s="5"/>
      <c r="D315" s="5"/>
      <c r="E315" s="5"/>
      <c r="F315" s="5"/>
      <c r="G315" s="5"/>
      <c r="H315" s="306"/>
      <c r="I315" s="5"/>
      <c r="J315" s="5"/>
      <c r="K315" s="5"/>
      <c r="L315" s="5"/>
      <c r="M315" s="5"/>
      <c r="N315" s="5"/>
      <c r="O315" s="5"/>
      <c r="P315" s="5"/>
      <c r="Q315" s="57"/>
      <c r="R315" s="5"/>
      <c r="S315" s="5"/>
      <c r="T315" s="5"/>
      <c r="U315" s="5"/>
      <c r="V315" s="5"/>
      <c r="W315" s="5"/>
      <c r="X315" s="5"/>
      <c r="Y315" s="5"/>
      <c r="Z315" s="5"/>
    </row>
    <row r="316" spans="1:26" ht="12.75" customHeight="1">
      <c r="A316" s="5"/>
      <c r="B316" s="5"/>
      <c r="C316" s="5"/>
      <c r="D316" s="5"/>
      <c r="E316" s="5"/>
      <c r="F316" s="5"/>
      <c r="G316" s="5"/>
      <c r="H316" s="306"/>
      <c r="I316" s="5"/>
      <c r="J316" s="5"/>
      <c r="K316" s="5"/>
      <c r="L316" s="5"/>
      <c r="M316" s="5"/>
      <c r="N316" s="5"/>
      <c r="O316" s="5"/>
      <c r="P316" s="5"/>
      <c r="Q316" s="57"/>
      <c r="R316" s="5"/>
      <c r="S316" s="5"/>
      <c r="T316" s="5"/>
      <c r="U316" s="5"/>
      <c r="V316" s="5"/>
      <c r="W316" s="5"/>
      <c r="X316" s="5"/>
      <c r="Y316" s="5"/>
      <c r="Z316" s="5"/>
    </row>
    <row r="317" spans="1:26" ht="12.75" customHeight="1">
      <c r="A317" s="5"/>
      <c r="B317" s="5"/>
      <c r="C317" s="5"/>
      <c r="D317" s="5"/>
      <c r="E317" s="5"/>
      <c r="F317" s="5"/>
      <c r="G317" s="5"/>
      <c r="H317" s="306"/>
      <c r="I317" s="5"/>
      <c r="J317" s="5"/>
      <c r="K317" s="5"/>
      <c r="L317" s="5"/>
      <c r="M317" s="5"/>
      <c r="N317" s="5"/>
      <c r="O317" s="5"/>
      <c r="P317" s="5"/>
      <c r="Q317" s="57"/>
      <c r="R317" s="5"/>
      <c r="S317" s="5"/>
      <c r="T317" s="5"/>
      <c r="U317" s="5"/>
      <c r="V317" s="5"/>
      <c r="W317" s="5"/>
      <c r="X317" s="5"/>
      <c r="Y317" s="5"/>
      <c r="Z317" s="5"/>
    </row>
    <row r="318" spans="1:26" ht="12.75" customHeight="1">
      <c r="A318" s="5"/>
      <c r="B318" s="5"/>
      <c r="C318" s="5"/>
      <c r="D318" s="5"/>
      <c r="E318" s="5"/>
      <c r="F318" s="5"/>
      <c r="G318" s="5"/>
      <c r="H318" s="306"/>
      <c r="I318" s="5"/>
      <c r="J318" s="5"/>
      <c r="K318" s="5"/>
      <c r="L318" s="5"/>
      <c r="M318" s="5"/>
      <c r="N318" s="5"/>
      <c r="O318" s="5"/>
      <c r="P318" s="5"/>
      <c r="Q318" s="57"/>
      <c r="R318" s="5"/>
      <c r="S318" s="5"/>
      <c r="T318" s="5"/>
      <c r="U318" s="5"/>
      <c r="V318" s="5"/>
      <c r="W318" s="5"/>
      <c r="X318" s="5"/>
      <c r="Y318" s="5"/>
      <c r="Z318" s="5"/>
    </row>
    <row r="319" spans="1:26" ht="12.75" customHeight="1">
      <c r="A319" s="5"/>
      <c r="B319" s="5"/>
      <c r="C319" s="5"/>
      <c r="D319" s="5"/>
      <c r="E319" s="5"/>
      <c r="F319" s="5"/>
      <c r="G319" s="5"/>
      <c r="H319" s="306"/>
      <c r="I319" s="5"/>
      <c r="J319" s="5"/>
      <c r="K319" s="5"/>
      <c r="L319" s="5"/>
      <c r="M319" s="5"/>
      <c r="N319" s="5"/>
      <c r="O319" s="5"/>
      <c r="P319" s="5"/>
      <c r="Q319" s="57"/>
      <c r="R319" s="5"/>
      <c r="S319" s="5"/>
      <c r="T319" s="5"/>
      <c r="U319" s="5"/>
      <c r="V319" s="5"/>
      <c r="W319" s="5"/>
      <c r="X319" s="5"/>
      <c r="Y319" s="5"/>
      <c r="Z319" s="5"/>
    </row>
    <row r="320" spans="1:26" ht="12.75" customHeight="1">
      <c r="A320" s="5"/>
      <c r="B320" s="5"/>
      <c r="C320" s="5"/>
      <c r="D320" s="5"/>
      <c r="E320" s="5"/>
      <c r="F320" s="5"/>
      <c r="G320" s="5"/>
      <c r="H320" s="306"/>
      <c r="I320" s="5"/>
      <c r="J320" s="5"/>
      <c r="K320" s="5"/>
      <c r="L320" s="5"/>
      <c r="M320" s="5"/>
      <c r="N320" s="5"/>
      <c r="O320" s="5"/>
      <c r="P320" s="5"/>
      <c r="Q320" s="57"/>
      <c r="R320" s="5"/>
      <c r="S320" s="5"/>
      <c r="T320" s="5"/>
      <c r="U320" s="5"/>
      <c r="V320" s="5"/>
      <c r="W320" s="5"/>
      <c r="X320" s="5"/>
      <c r="Y320" s="5"/>
      <c r="Z320" s="5"/>
    </row>
    <row r="321" spans="1:26" ht="12.75" customHeight="1">
      <c r="A321" s="5"/>
      <c r="B321" s="5"/>
      <c r="C321" s="5"/>
      <c r="D321" s="5"/>
      <c r="E321" s="5"/>
      <c r="F321" s="5"/>
      <c r="G321" s="5"/>
      <c r="H321" s="306"/>
      <c r="I321" s="5"/>
      <c r="J321" s="5"/>
      <c r="K321" s="5"/>
      <c r="L321" s="5"/>
      <c r="M321" s="5"/>
      <c r="N321" s="5"/>
      <c r="O321" s="5"/>
      <c r="P321" s="5"/>
      <c r="Q321" s="57"/>
      <c r="R321" s="5"/>
      <c r="S321" s="5"/>
      <c r="T321" s="5"/>
      <c r="U321" s="5"/>
      <c r="V321" s="5"/>
      <c r="W321" s="5"/>
      <c r="X321" s="5"/>
      <c r="Y321" s="5"/>
      <c r="Z321" s="5"/>
    </row>
    <row r="322" spans="1:26" ht="12.75" customHeight="1">
      <c r="A322" s="5"/>
      <c r="B322" s="5"/>
      <c r="C322" s="5"/>
      <c r="D322" s="5"/>
      <c r="E322" s="5"/>
      <c r="F322" s="5"/>
      <c r="G322" s="5"/>
      <c r="H322" s="306"/>
      <c r="I322" s="5"/>
      <c r="J322" s="5"/>
      <c r="K322" s="5"/>
      <c r="L322" s="5"/>
      <c r="M322" s="5"/>
      <c r="N322" s="5"/>
      <c r="O322" s="5"/>
      <c r="P322" s="5"/>
      <c r="Q322" s="57"/>
      <c r="R322" s="5"/>
      <c r="S322" s="5"/>
      <c r="T322" s="5"/>
      <c r="U322" s="5"/>
      <c r="V322" s="5"/>
      <c r="W322" s="5"/>
      <c r="X322" s="5"/>
      <c r="Y322" s="5"/>
      <c r="Z322" s="5"/>
    </row>
    <row r="323" spans="1:26" ht="12.75" customHeight="1">
      <c r="A323" s="5"/>
      <c r="B323" s="5"/>
      <c r="C323" s="5"/>
      <c r="D323" s="5"/>
      <c r="E323" s="5"/>
      <c r="F323" s="5"/>
      <c r="G323" s="5"/>
      <c r="H323" s="306"/>
      <c r="I323" s="5"/>
      <c r="J323" s="5"/>
      <c r="K323" s="5"/>
      <c r="L323" s="5"/>
      <c r="M323" s="5"/>
      <c r="N323" s="5"/>
      <c r="O323" s="5"/>
      <c r="P323" s="5"/>
      <c r="Q323" s="57"/>
      <c r="R323" s="5"/>
      <c r="S323" s="5"/>
      <c r="T323" s="5"/>
      <c r="U323" s="5"/>
      <c r="V323" s="5"/>
      <c r="W323" s="5"/>
      <c r="X323" s="5"/>
      <c r="Y323" s="5"/>
      <c r="Z323" s="5"/>
    </row>
    <row r="324" spans="1:26" ht="12.75" customHeight="1">
      <c r="A324" s="5"/>
      <c r="B324" s="5"/>
      <c r="C324" s="5"/>
      <c r="D324" s="5"/>
      <c r="E324" s="5"/>
      <c r="F324" s="5"/>
      <c r="G324" s="5"/>
      <c r="H324" s="306"/>
      <c r="I324" s="5"/>
      <c r="J324" s="5"/>
      <c r="K324" s="5"/>
      <c r="L324" s="5"/>
      <c r="M324" s="5"/>
      <c r="N324" s="5"/>
      <c r="O324" s="5"/>
      <c r="P324" s="5"/>
      <c r="Q324" s="57"/>
      <c r="R324" s="5"/>
      <c r="S324" s="5"/>
      <c r="T324" s="5"/>
      <c r="U324" s="5"/>
      <c r="V324" s="5"/>
      <c r="W324" s="5"/>
      <c r="X324" s="5"/>
      <c r="Y324" s="5"/>
      <c r="Z324" s="5"/>
    </row>
    <row r="325" spans="1:26" ht="12.75" customHeight="1">
      <c r="A325" s="5"/>
      <c r="B325" s="5"/>
      <c r="C325" s="5"/>
      <c r="D325" s="5"/>
      <c r="E325" s="5"/>
      <c r="F325" s="5"/>
      <c r="G325" s="5"/>
      <c r="H325" s="306"/>
      <c r="I325" s="5"/>
      <c r="J325" s="5"/>
      <c r="K325" s="5"/>
      <c r="L325" s="5"/>
      <c r="M325" s="5"/>
      <c r="N325" s="5"/>
      <c r="O325" s="5"/>
      <c r="P325" s="5"/>
      <c r="Q325" s="57"/>
      <c r="R325" s="5"/>
      <c r="S325" s="5"/>
      <c r="T325" s="5"/>
      <c r="U325" s="5"/>
      <c r="V325" s="5"/>
      <c r="W325" s="5"/>
      <c r="X325" s="5"/>
      <c r="Y325" s="5"/>
      <c r="Z325" s="5"/>
    </row>
    <row r="326" spans="1:26" ht="12.75" customHeight="1">
      <c r="A326" s="5"/>
      <c r="B326" s="5"/>
      <c r="C326" s="5"/>
      <c r="D326" s="5"/>
      <c r="E326" s="5"/>
      <c r="F326" s="5"/>
      <c r="G326" s="5"/>
      <c r="H326" s="306"/>
      <c r="I326" s="5"/>
      <c r="J326" s="5"/>
      <c r="K326" s="5"/>
      <c r="L326" s="5"/>
      <c r="M326" s="5"/>
      <c r="N326" s="5"/>
      <c r="O326" s="5"/>
      <c r="P326" s="5"/>
      <c r="Q326" s="57"/>
      <c r="R326" s="5"/>
      <c r="S326" s="5"/>
      <c r="T326" s="5"/>
      <c r="U326" s="5"/>
      <c r="V326" s="5"/>
      <c r="W326" s="5"/>
      <c r="X326" s="5"/>
      <c r="Y326" s="5"/>
      <c r="Z326" s="5"/>
    </row>
    <row r="327" spans="1:26" ht="12.75" customHeight="1">
      <c r="A327" s="5"/>
      <c r="B327" s="5"/>
      <c r="C327" s="5"/>
      <c r="D327" s="5"/>
      <c r="E327" s="5"/>
      <c r="F327" s="5"/>
      <c r="G327" s="5"/>
      <c r="H327" s="306"/>
      <c r="I327" s="5"/>
      <c r="J327" s="5"/>
      <c r="K327" s="5"/>
      <c r="L327" s="5"/>
      <c r="M327" s="5"/>
      <c r="N327" s="5"/>
      <c r="O327" s="5"/>
      <c r="P327" s="5"/>
      <c r="Q327" s="57"/>
      <c r="R327" s="5"/>
      <c r="S327" s="5"/>
      <c r="T327" s="5"/>
      <c r="U327" s="5"/>
      <c r="V327" s="5"/>
      <c r="W327" s="5"/>
      <c r="X327" s="5"/>
      <c r="Y327" s="5"/>
      <c r="Z327" s="5"/>
    </row>
    <row r="328" spans="1:26" ht="12.75" customHeight="1">
      <c r="A328" s="5"/>
      <c r="B328" s="5"/>
      <c r="C328" s="5"/>
      <c r="D328" s="5"/>
      <c r="E328" s="5"/>
      <c r="F328" s="5"/>
      <c r="G328" s="5"/>
      <c r="H328" s="306"/>
      <c r="I328" s="5"/>
      <c r="J328" s="5"/>
      <c r="K328" s="5"/>
      <c r="L328" s="5"/>
      <c r="M328" s="5"/>
      <c r="N328" s="5"/>
      <c r="O328" s="5"/>
      <c r="P328" s="5"/>
      <c r="Q328" s="57"/>
      <c r="R328" s="5"/>
      <c r="S328" s="5"/>
      <c r="T328" s="5"/>
      <c r="U328" s="5"/>
      <c r="V328" s="5"/>
      <c r="W328" s="5"/>
      <c r="X328" s="5"/>
      <c r="Y328" s="5"/>
      <c r="Z328" s="5"/>
    </row>
    <row r="329" spans="1:26" ht="12.75" customHeight="1">
      <c r="A329" s="5"/>
      <c r="B329" s="5"/>
      <c r="C329" s="5"/>
      <c r="D329" s="5"/>
      <c r="E329" s="5"/>
      <c r="F329" s="5"/>
      <c r="G329" s="5"/>
      <c r="H329" s="306"/>
      <c r="I329" s="5"/>
      <c r="J329" s="5"/>
      <c r="K329" s="5"/>
      <c r="L329" s="5"/>
      <c r="M329" s="5"/>
      <c r="N329" s="5"/>
      <c r="O329" s="5"/>
      <c r="P329" s="5"/>
      <c r="Q329" s="57"/>
      <c r="R329" s="5"/>
      <c r="S329" s="5"/>
      <c r="T329" s="5"/>
      <c r="U329" s="5"/>
      <c r="V329" s="5"/>
      <c r="W329" s="5"/>
      <c r="X329" s="5"/>
      <c r="Y329" s="5"/>
      <c r="Z329" s="5"/>
    </row>
    <row r="330" spans="1:26" ht="12.75" customHeight="1">
      <c r="A330" s="5"/>
      <c r="B330" s="5"/>
      <c r="C330" s="5"/>
      <c r="D330" s="5"/>
      <c r="E330" s="5"/>
      <c r="F330" s="5"/>
      <c r="G330" s="5"/>
      <c r="H330" s="306"/>
      <c r="I330" s="5"/>
      <c r="J330" s="5"/>
      <c r="K330" s="5"/>
      <c r="L330" s="5"/>
      <c r="M330" s="5"/>
      <c r="N330" s="5"/>
      <c r="O330" s="5"/>
      <c r="P330" s="5"/>
      <c r="Q330" s="57"/>
      <c r="R330" s="5"/>
      <c r="S330" s="5"/>
      <c r="T330" s="5"/>
      <c r="U330" s="5"/>
      <c r="V330" s="5"/>
      <c r="W330" s="5"/>
      <c r="X330" s="5"/>
      <c r="Y330" s="5"/>
      <c r="Z330" s="5"/>
    </row>
    <row r="331" spans="1:26" ht="12.75" customHeight="1">
      <c r="A331" s="5"/>
      <c r="B331" s="5"/>
      <c r="C331" s="5"/>
      <c r="D331" s="5"/>
      <c r="E331" s="5"/>
      <c r="F331" s="5"/>
      <c r="G331" s="5"/>
      <c r="H331" s="306"/>
      <c r="I331" s="5"/>
      <c r="J331" s="5"/>
      <c r="K331" s="5"/>
      <c r="L331" s="5"/>
      <c r="M331" s="5"/>
      <c r="N331" s="5"/>
      <c r="O331" s="5"/>
      <c r="P331" s="5"/>
      <c r="Q331" s="57"/>
      <c r="R331" s="5"/>
      <c r="S331" s="5"/>
      <c r="T331" s="5"/>
      <c r="U331" s="5"/>
      <c r="V331" s="5"/>
      <c r="W331" s="5"/>
      <c r="X331" s="5"/>
      <c r="Y331" s="5"/>
      <c r="Z331" s="5"/>
    </row>
    <row r="332" spans="1:26" ht="12.75" customHeight="1">
      <c r="A332" s="5"/>
      <c r="B332" s="5"/>
      <c r="C332" s="5"/>
      <c r="D332" s="5"/>
      <c r="E332" s="5"/>
      <c r="F332" s="5"/>
      <c r="G332" s="5"/>
      <c r="H332" s="306"/>
      <c r="I332" s="5"/>
      <c r="J332" s="5"/>
      <c r="K332" s="5"/>
      <c r="L332" s="5"/>
      <c r="M332" s="5"/>
      <c r="N332" s="5"/>
      <c r="O332" s="5"/>
      <c r="P332" s="5"/>
      <c r="Q332" s="57"/>
      <c r="R332" s="5"/>
      <c r="S332" s="5"/>
      <c r="T332" s="5"/>
      <c r="U332" s="5"/>
      <c r="V332" s="5"/>
      <c r="W332" s="5"/>
      <c r="X332" s="5"/>
      <c r="Y332" s="5"/>
      <c r="Z332" s="5"/>
    </row>
    <row r="333" spans="1:26" ht="12.75" customHeight="1">
      <c r="A333" s="5"/>
      <c r="B333" s="5"/>
      <c r="C333" s="5"/>
      <c r="D333" s="5"/>
      <c r="E333" s="5"/>
      <c r="F333" s="5"/>
      <c r="G333" s="5"/>
      <c r="H333" s="306"/>
      <c r="I333" s="5"/>
      <c r="J333" s="5"/>
      <c r="K333" s="5"/>
      <c r="L333" s="5"/>
      <c r="M333" s="5"/>
      <c r="N333" s="5"/>
      <c r="O333" s="5"/>
      <c r="P333" s="5"/>
      <c r="Q333" s="57"/>
      <c r="R333" s="5"/>
      <c r="S333" s="5"/>
      <c r="T333" s="5"/>
      <c r="U333" s="5"/>
      <c r="V333" s="5"/>
      <c r="W333" s="5"/>
      <c r="X333" s="5"/>
      <c r="Y333" s="5"/>
      <c r="Z333" s="5"/>
    </row>
    <row r="334" spans="1:26" ht="12.75" customHeight="1">
      <c r="A334" s="5"/>
      <c r="B334" s="5"/>
      <c r="C334" s="5"/>
      <c r="D334" s="5"/>
      <c r="E334" s="5"/>
      <c r="F334" s="5"/>
      <c r="G334" s="5"/>
      <c r="H334" s="306"/>
      <c r="I334" s="5"/>
      <c r="J334" s="5"/>
      <c r="K334" s="5"/>
      <c r="L334" s="5"/>
      <c r="M334" s="5"/>
      <c r="N334" s="5"/>
      <c r="O334" s="5"/>
      <c r="P334" s="5"/>
      <c r="Q334" s="57"/>
      <c r="R334" s="5"/>
      <c r="S334" s="5"/>
      <c r="T334" s="5"/>
      <c r="U334" s="5"/>
      <c r="V334" s="5"/>
      <c r="W334" s="5"/>
      <c r="X334" s="5"/>
      <c r="Y334" s="5"/>
      <c r="Z334" s="5"/>
    </row>
    <row r="335" spans="1:26" ht="12.75" customHeight="1">
      <c r="A335" s="5"/>
      <c r="B335" s="5"/>
      <c r="C335" s="5"/>
      <c r="D335" s="5"/>
      <c r="E335" s="5"/>
      <c r="F335" s="5"/>
      <c r="G335" s="5"/>
      <c r="H335" s="306"/>
      <c r="I335" s="5"/>
      <c r="J335" s="5"/>
      <c r="K335" s="5"/>
      <c r="L335" s="5"/>
      <c r="M335" s="5"/>
      <c r="N335" s="5"/>
      <c r="O335" s="5"/>
      <c r="P335" s="5"/>
      <c r="Q335" s="57"/>
      <c r="R335" s="5"/>
      <c r="S335" s="5"/>
      <c r="T335" s="5"/>
      <c r="U335" s="5"/>
      <c r="V335" s="5"/>
      <c r="W335" s="5"/>
      <c r="X335" s="5"/>
      <c r="Y335" s="5"/>
      <c r="Z335" s="5"/>
    </row>
    <row r="336" spans="1:26" ht="12.75" customHeight="1">
      <c r="A336" s="5"/>
      <c r="B336" s="5"/>
      <c r="C336" s="5"/>
      <c r="D336" s="5"/>
      <c r="E336" s="5"/>
      <c r="F336" s="5"/>
      <c r="G336" s="5"/>
      <c r="H336" s="306"/>
      <c r="I336" s="5"/>
      <c r="J336" s="5"/>
      <c r="K336" s="5"/>
      <c r="L336" s="5"/>
      <c r="M336" s="5"/>
      <c r="N336" s="5"/>
      <c r="O336" s="5"/>
      <c r="P336" s="5"/>
      <c r="Q336" s="57"/>
      <c r="R336" s="5"/>
      <c r="S336" s="5"/>
      <c r="T336" s="5"/>
      <c r="U336" s="5"/>
      <c r="V336" s="5"/>
      <c r="W336" s="5"/>
      <c r="X336" s="5"/>
      <c r="Y336" s="5"/>
      <c r="Z336" s="5"/>
    </row>
    <row r="337" spans="1:26" ht="12.75" customHeight="1">
      <c r="A337" s="5"/>
      <c r="B337" s="5"/>
      <c r="C337" s="5"/>
      <c r="D337" s="5"/>
      <c r="E337" s="5"/>
      <c r="F337" s="5"/>
      <c r="G337" s="5"/>
      <c r="H337" s="306"/>
      <c r="I337" s="5"/>
      <c r="J337" s="5"/>
      <c r="K337" s="5"/>
      <c r="L337" s="5"/>
      <c r="M337" s="5"/>
      <c r="N337" s="5"/>
      <c r="O337" s="5"/>
      <c r="P337" s="5"/>
      <c r="Q337" s="57"/>
      <c r="R337" s="5"/>
      <c r="S337" s="5"/>
      <c r="T337" s="5"/>
      <c r="U337" s="5"/>
      <c r="V337" s="5"/>
      <c r="W337" s="5"/>
      <c r="X337" s="5"/>
      <c r="Y337" s="5"/>
      <c r="Z337" s="5"/>
    </row>
    <row r="338" spans="1:26" ht="12.75" customHeight="1">
      <c r="A338" s="5"/>
      <c r="B338" s="5"/>
      <c r="C338" s="5"/>
      <c r="D338" s="5"/>
      <c r="E338" s="5"/>
      <c r="F338" s="5"/>
      <c r="G338" s="5"/>
      <c r="H338" s="306"/>
      <c r="I338" s="5"/>
      <c r="J338" s="5"/>
      <c r="K338" s="5"/>
      <c r="L338" s="5"/>
      <c r="M338" s="5"/>
      <c r="N338" s="5"/>
      <c r="O338" s="5"/>
      <c r="P338" s="5"/>
      <c r="Q338" s="57"/>
      <c r="R338" s="5"/>
      <c r="S338" s="5"/>
      <c r="T338" s="5"/>
      <c r="U338" s="5"/>
      <c r="V338" s="5"/>
      <c r="W338" s="5"/>
      <c r="X338" s="5"/>
      <c r="Y338" s="5"/>
      <c r="Z338" s="5"/>
    </row>
    <row r="339" spans="1:26" ht="12.75" customHeight="1">
      <c r="A339" s="5"/>
      <c r="B339" s="5"/>
      <c r="C339" s="5"/>
      <c r="D339" s="5"/>
      <c r="E339" s="5"/>
      <c r="F339" s="5"/>
      <c r="G339" s="5"/>
      <c r="H339" s="306"/>
      <c r="I339" s="5"/>
      <c r="J339" s="5"/>
      <c r="K339" s="5"/>
      <c r="L339" s="5"/>
      <c r="M339" s="5"/>
      <c r="N339" s="5"/>
      <c r="O339" s="5"/>
      <c r="P339" s="5"/>
      <c r="Q339" s="57"/>
      <c r="R339" s="5"/>
      <c r="S339" s="5"/>
      <c r="T339" s="5"/>
      <c r="U339" s="5"/>
      <c r="V339" s="5"/>
      <c r="W339" s="5"/>
      <c r="X339" s="5"/>
      <c r="Y339" s="5"/>
      <c r="Z339" s="5"/>
    </row>
    <row r="340" spans="1:26" ht="12.75" customHeight="1">
      <c r="A340" s="5"/>
      <c r="B340" s="5"/>
      <c r="C340" s="5"/>
      <c r="D340" s="5"/>
      <c r="E340" s="5"/>
      <c r="F340" s="5"/>
      <c r="G340" s="5"/>
      <c r="H340" s="306"/>
      <c r="I340" s="5"/>
      <c r="J340" s="5"/>
      <c r="K340" s="5"/>
      <c r="L340" s="5"/>
      <c r="M340" s="5"/>
      <c r="N340" s="5"/>
      <c r="O340" s="5"/>
      <c r="P340" s="5"/>
      <c r="Q340" s="57"/>
      <c r="R340" s="5"/>
      <c r="S340" s="5"/>
      <c r="T340" s="5"/>
      <c r="U340" s="5"/>
      <c r="V340" s="5"/>
      <c r="W340" s="5"/>
      <c r="X340" s="5"/>
      <c r="Y340" s="5"/>
      <c r="Z340" s="5"/>
    </row>
    <row r="341" spans="1:26" ht="12.75" customHeight="1">
      <c r="A341" s="5"/>
      <c r="B341" s="5"/>
      <c r="C341" s="5"/>
      <c r="D341" s="5"/>
      <c r="E341" s="5"/>
      <c r="F341" s="5"/>
      <c r="G341" s="5"/>
      <c r="H341" s="306"/>
      <c r="I341" s="5"/>
      <c r="J341" s="5"/>
      <c r="K341" s="5"/>
      <c r="L341" s="5"/>
      <c r="M341" s="5"/>
      <c r="N341" s="5"/>
      <c r="O341" s="5"/>
      <c r="P341" s="5"/>
      <c r="Q341" s="57"/>
      <c r="R341" s="5"/>
      <c r="S341" s="5"/>
      <c r="T341" s="5"/>
      <c r="U341" s="5"/>
      <c r="V341" s="5"/>
      <c r="W341" s="5"/>
      <c r="X341" s="5"/>
      <c r="Y341" s="5"/>
      <c r="Z341" s="5"/>
    </row>
    <row r="342" spans="1:26" ht="12.75" customHeight="1">
      <c r="A342" s="5"/>
      <c r="B342" s="5"/>
      <c r="C342" s="5"/>
      <c r="D342" s="5"/>
      <c r="E342" s="5"/>
      <c r="F342" s="5"/>
      <c r="G342" s="5"/>
      <c r="H342" s="306"/>
      <c r="I342" s="5"/>
      <c r="J342" s="5"/>
      <c r="K342" s="5"/>
      <c r="L342" s="5"/>
      <c r="M342" s="5"/>
      <c r="N342" s="5"/>
      <c r="O342" s="5"/>
      <c r="P342" s="5"/>
      <c r="Q342" s="57"/>
      <c r="R342" s="5"/>
      <c r="S342" s="5"/>
      <c r="T342" s="5"/>
      <c r="U342" s="5"/>
      <c r="V342" s="5"/>
      <c r="W342" s="5"/>
      <c r="X342" s="5"/>
      <c r="Y342" s="5"/>
      <c r="Z342" s="5"/>
    </row>
    <row r="343" spans="1:26" ht="12.75" customHeight="1">
      <c r="A343" s="5"/>
      <c r="B343" s="5"/>
      <c r="C343" s="5"/>
      <c r="D343" s="5"/>
      <c r="E343" s="5"/>
      <c r="F343" s="5"/>
      <c r="G343" s="5"/>
      <c r="H343" s="306"/>
      <c r="I343" s="5"/>
      <c r="J343" s="5"/>
      <c r="K343" s="5"/>
      <c r="L343" s="5"/>
      <c r="M343" s="5"/>
      <c r="N343" s="5"/>
      <c r="O343" s="5"/>
      <c r="P343" s="5"/>
      <c r="Q343" s="57"/>
      <c r="R343" s="5"/>
      <c r="S343" s="5"/>
      <c r="T343" s="5"/>
      <c r="U343" s="5"/>
      <c r="V343" s="5"/>
      <c r="W343" s="5"/>
      <c r="X343" s="5"/>
      <c r="Y343" s="5"/>
      <c r="Z343" s="5"/>
    </row>
    <row r="344" spans="1:26" ht="12.75" customHeight="1">
      <c r="A344" s="5"/>
      <c r="B344" s="5"/>
      <c r="C344" s="5"/>
      <c r="D344" s="5"/>
      <c r="E344" s="5"/>
      <c r="F344" s="5"/>
      <c r="G344" s="5"/>
      <c r="H344" s="306"/>
      <c r="I344" s="5"/>
      <c r="J344" s="5"/>
      <c r="K344" s="5"/>
      <c r="L344" s="5"/>
      <c r="M344" s="5"/>
      <c r="N344" s="5"/>
      <c r="O344" s="5"/>
      <c r="P344" s="5"/>
      <c r="Q344" s="57"/>
      <c r="R344" s="5"/>
      <c r="S344" s="5"/>
      <c r="T344" s="5"/>
      <c r="U344" s="5"/>
      <c r="V344" s="5"/>
      <c r="W344" s="5"/>
      <c r="X344" s="5"/>
      <c r="Y344" s="5"/>
      <c r="Z344" s="5"/>
    </row>
    <row r="345" spans="1:26" ht="12.75" customHeight="1">
      <c r="A345" s="5"/>
      <c r="B345" s="5"/>
      <c r="C345" s="5"/>
      <c r="D345" s="5"/>
      <c r="E345" s="5"/>
      <c r="F345" s="5"/>
      <c r="G345" s="5"/>
      <c r="H345" s="306"/>
      <c r="I345" s="5"/>
      <c r="J345" s="5"/>
      <c r="K345" s="5"/>
      <c r="L345" s="5"/>
      <c r="M345" s="5"/>
      <c r="N345" s="5"/>
      <c r="O345" s="5"/>
      <c r="P345" s="5"/>
      <c r="Q345" s="57"/>
      <c r="R345" s="5"/>
      <c r="S345" s="5"/>
      <c r="T345" s="5"/>
      <c r="U345" s="5"/>
      <c r="V345" s="5"/>
      <c r="W345" s="5"/>
      <c r="X345" s="5"/>
      <c r="Y345" s="5"/>
      <c r="Z345" s="5"/>
    </row>
    <row r="346" spans="1:26" ht="12.75" customHeight="1">
      <c r="A346" s="5"/>
      <c r="B346" s="5"/>
      <c r="C346" s="5"/>
      <c r="D346" s="5"/>
      <c r="E346" s="5"/>
      <c r="F346" s="5"/>
      <c r="G346" s="5"/>
      <c r="H346" s="306"/>
      <c r="I346" s="5"/>
      <c r="J346" s="5"/>
      <c r="K346" s="5"/>
      <c r="L346" s="5"/>
      <c r="M346" s="5"/>
      <c r="N346" s="5"/>
      <c r="O346" s="5"/>
      <c r="P346" s="5"/>
      <c r="Q346" s="57"/>
      <c r="R346" s="5"/>
      <c r="S346" s="5"/>
      <c r="T346" s="5"/>
      <c r="U346" s="5"/>
      <c r="V346" s="5"/>
      <c r="W346" s="5"/>
      <c r="X346" s="5"/>
      <c r="Y346" s="5"/>
      <c r="Z346" s="5"/>
    </row>
    <row r="347" spans="1:26" ht="12.75" customHeight="1">
      <c r="A347" s="5"/>
      <c r="B347" s="5"/>
      <c r="C347" s="5"/>
      <c r="D347" s="5"/>
      <c r="E347" s="5"/>
      <c r="F347" s="5"/>
      <c r="G347" s="5"/>
      <c r="H347" s="306"/>
      <c r="I347" s="5"/>
      <c r="J347" s="5"/>
      <c r="K347" s="5"/>
      <c r="L347" s="5"/>
      <c r="M347" s="5"/>
      <c r="N347" s="5"/>
      <c r="O347" s="5"/>
      <c r="P347" s="5"/>
      <c r="Q347" s="57"/>
      <c r="R347" s="5"/>
      <c r="S347" s="5"/>
      <c r="T347" s="5"/>
      <c r="U347" s="5"/>
      <c r="V347" s="5"/>
      <c r="W347" s="5"/>
      <c r="X347" s="5"/>
      <c r="Y347" s="5"/>
      <c r="Z347" s="5"/>
    </row>
    <row r="348" spans="1:26" ht="12.75" customHeight="1">
      <c r="A348" s="5"/>
      <c r="B348" s="5"/>
      <c r="C348" s="5"/>
      <c r="D348" s="5"/>
      <c r="E348" s="5"/>
      <c r="F348" s="5"/>
      <c r="G348" s="5"/>
      <c r="H348" s="306"/>
      <c r="I348" s="5"/>
      <c r="J348" s="5"/>
      <c r="K348" s="5"/>
      <c r="L348" s="5"/>
      <c r="M348" s="5"/>
      <c r="N348" s="5"/>
      <c r="O348" s="5"/>
      <c r="P348" s="5"/>
      <c r="Q348" s="57"/>
      <c r="R348" s="5"/>
      <c r="S348" s="5"/>
      <c r="T348" s="5"/>
      <c r="U348" s="5"/>
      <c r="V348" s="5"/>
      <c r="W348" s="5"/>
      <c r="X348" s="5"/>
      <c r="Y348" s="5"/>
      <c r="Z348" s="5"/>
    </row>
    <row r="349" spans="1:26" ht="12.75" customHeight="1">
      <c r="A349" s="5"/>
      <c r="B349" s="5"/>
      <c r="C349" s="5"/>
      <c r="D349" s="5"/>
      <c r="E349" s="5"/>
      <c r="F349" s="5"/>
      <c r="G349" s="5"/>
      <c r="H349" s="306"/>
      <c r="I349" s="5"/>
      <c r="J349" s="5"/>
      <c r="K349" s="5"/>
      <c r="L349" s="5"/>
      <c r="M349" s="5"/>
      <c r="N349" s="5"/>
      <c r="O349" s="5"/>
      <c r="P349" s="5"/>
      <c r="Q349" s="57"/>
      <c r="R349" s="5"/>
      <c r="S349" s="5"/>
      <c r="T349" s="5"/>
      <c r="U349" s="5"/>
      <c r="V349" s="5"/>
      <c r="W349" s="5"/>
      <c r="X349" s="5"/>
      <c r="Y349" s="5"/>
      <c r="Z349" s="5"/>
    </row>
    <row r="350" spans="1:26" ht="12.75" customHeight="1">
      <c r="A350" s="5"/>
      <c r="B350" s="5"/>
      <c r="C350" s="5"/>
      <c r="D350" s="5"/>
      <c r="E350" s="5"/>
      <c r="F350" s="5"/>
      <c r="G350" s="5"/>
      <c r="H350" s="306"/>
      <c r="I350" s="5"/>
      <c r="J350" s="5"/>
      <c r="K350" s="5"/>
      <c r="L350" s="5"/>
      <c r="M350" s="5"/>
      <c r="N350" s="5"/>
      <c r="O350" s="5"/>
      <c r="P350" s="5"/>
      <c r="Q350" s="57"/>
      <c r="R350" s="5"/>
      <c r="S350" s="5"/>
      <c r="T350" s="5"/>
      <c r="U350" s="5"/>
      <c r="V350" s="5"/>
      <c r="W350" s="5"/>
      <c r="X350" s="5"/>
      <c r="Y350" s="5"/>
      <c r="Z350" s="5"/>
    </row>
    <row r="351" spans="1:26" ht="12.75" customHeight="1">
      <c r="A351" s="5"/>
      <c r="B351" s="5"/>
      <c r="C351" s="5"/>
      <c r="D351" s="5"/>
      <c r="E351" s="5"/>
      <c r="F351" s="5"/>
      <c r="G351" s="5"/>
      <c r="H351" s="306"/>
      <c r="I351" s="5"/>
      <c r="J351" s="5"/>
      <c r="K351" s="5"/>
      <c r="L351" s="5"/>
      <c r="M351" s="5"/>
      <c r="N351" s="5"/>
      <c r="O351" s="5"/>
      <c r="P351" s="5"/>
      <c r="Q351" s="57"/>
      <c r="R351" s="5"/>
      <c r="S351" s="5"/>
      <c r="T351" s="5"/>
      <c r="U351" s="5"/>
      <c r="V351" s="5"/>
      <c r="W351" s="5"/>
      <c r="X351" s="5"/>
      <c r="Y351" s="5"/>
      <c r="Z351" s="5"/>
    </row>
    <row r="352" spans="1:26" ht="12.75" customHeight="1">
      <c r="A352" s="5"/>
      <c r="B352" s="5"/>
      <c r="C352" s="5"/>
      <c r="D352" s="5"/>
      <c r="E352" s="5"/>
      <c r="F352" s="5"/>
      <c r="G352" s="5"/>
      <c r="H352" s="306"/>
      <c r="I352" s="5"/>
      <c r="J352" s="5"/>
      <c r="K352" s="5"/>
      <c r="L352" s="5"/>
      <c r="M352" s="5"/>
      <c r="N352" s="5"/>
      <c r="O352" s="5"/>
      <c r="P352" s="5"/>
      <c r="Q352" s="57"/>
      <c r="R352" s="5"/>
      <c r="S352" s="5"/>
      <c r="T352" s="5"/>
      <c r="U352" s="5"/>
      <c r="V352" s="5"/>
      <c r="W352" s="5"/>
      <c r="X352" s="5"/>
      <c r="Y352" s="5"/>
      <c r="Z352" s="5"/>
    </row>
    <row r="353" spans="1:26" ht="12.75" customHeight="1">
      <c r="A353" s="5"/>
      <c r="B353" s="5"/>
      <c r="C353" s="5"/>
      <c r="D353" s="5"/>
      <c r="E353" s="5"/>
      <c r="F353" s="5"/>
      <c r="G353" s="5"/>
      <c r="H353" s="306"/>
      <c r="I353" s="5"/>
      <c r="J353" s="5"/>
      <c r="K353" s="5"/>
      <c r="L353" s="5"/>
      <c r="M353" s="5"/>
      <c r="N353" s="5"/>
      <c r="O353" s="5"/>
      <c r="P353" s="5"/>
      <c r="Q353" s="57"/>
      <c r="R353" s="5"/>
      <c r="S353" s="5"/>
      <c r="T353" s="5"/>
      <c r="U353" s="5"/>
      <c r="V353" s="5"/>
      <c r="W353" s="5"/>
      <c r="X353" s="5"/>
      <c r="Y353" s="5"/>
      <c r="Z353" s="5"/>
    </row>
    <row r="354" spans="1:26" ht="12.75" customHeight="1">
      <c r="A354" s="5"/>
      <c r="B354" s="5"/>
      <c r="C354" s="5"/>
      <c r="D354" s="5"/>
      <c r="E354" s="5"/>
      <c r="F354" s="5"/>
      <c r="G354" s="5"/>
      <c r="H354" s="306"/>
      <c r="I354" s="5"/>
      <c r="J354" s="5"/>
      <c r="K354" s="5"/>
      <c r="L354" s="5"/>
      <c r="M354" s="5"/>
      <c r="N354" s="5"/>
      <c r="O354" s="5"/>
      <c r="P354" s="5"/>
      <c r="Q354" s="57"/>
      <c r="R354" s="5"/>
      <c r="S354" s="5"/>
      <c r="T354" s="5"/>
      <c r="U354" s="5"/>
      <c r="V354" s="5"/>
      <c r="W354" s="5"/>
      <c r="X354" s="5"/>
      <c r="Y354" s="5"/>
      <c r="Z354" s="5"/>
    </row>
    <row r="355" spans="1:26" ht="12.75" customHeight="1">
      <c r="A355" s="5"/>
      <c r="B355" s="5"/>
      <c r="C355" s="5"/>
      <c r="D355" s="5"/>
      <c r="E355" s="5"/>
      <c r="F355" s="5"/>
      <c r="G355" s="5"/>
      <c r="H355" s="306"/>
      <c r="I355" s="5"/>
      <c r="J355" s="5"/>
      <c r="K355" s="5"/>
      <c r="L355" s="5"/>
      <c r="M355" s="5"/>
      <c r="N355" s="5"/>
      <c r="O355" s="5"/>
      <c r="P355" s="5"/>
      <c r="Q355" s="57"/>
      <c r="R355" s="5"/>
      <c r="S355" s="5"/>
      <c r="T355" s="5"/>
      <c r="U355" s="5"/>
      <c r="V355" s="5"/>
      <c r="W355" s="5"/>
      <c r="X355" s="5"/>
      <c r="Y355" s="5"/>
      <c r="Z355" s="5"/>
    </row>
    <row r="356" spans="1:26" ht="12.75" customHeight="1">
      <c r="A356" s="5"/>
      <c r="B356" s="5"/>
      <c r="C356" s="5"/>
      <c r="D356" s="5"/>
      <c r="E356" s="5"/>
      <c r="F356" s="5"/>
      <c r="G356" s="5"/>
      <c r="H356" s="306"/>
      <c r="I356" s="5"/>
      <c r="J356" s="5"/>
      <c r="K356" s="5"/>
      <c r="L356" s="5"/>
      <c r="M356" s="5"/>
      <c r="N356" s="5"/>
      <c r="O356" s="5"/>
      <c r="P356" s="5"/>
      <c r="Q356" s="57"/>
      <c r="R356" s="5"/>
      <c r="S356" s="5"/>
      <c r="T356" s="5"/>
      <c r="U356" s="5"/>
      <c r="V356" s="5"/>
      <c r="W356" s="5"/>
      <c r="X356" s="5"/>
      <c r="Y356" s="5"/>
      <c r="Z356" s="5"/>
    </row>
    <row r="357" spans="1:26" ht="12.75" customHeight="1">
      <c r="A357" s="5"/>
      <c r="B357" s="5"/>
      <c r="C357" s="5"/>
      <c r="D357" s="5"/>
      <c r="E357" s="5"/>
      <c r="F357" s="5"/>
      <c r="G357" s="5"/>
      <c r="H357" s="306"/>
      <c r="I357" s="5"/>
      <c r="J357" s="5"/>
      <c r="K357" s="5"/>
      <c r="L357" s="5"/>
      <c r="M357" s="5"/>
      <c r="N357" s="5"/>
      <c r="O357" s="5"/>
      <c r="P357" s="5"/>
      <c r="Q357" s="57"/>
      <c r="R357" s="5"/>
      <c r="S357" s="5"/>
      <c r="T357" s="5"/>
      <c r="U357" s="5"/>
      <c r="V357" s="5"/>
      <c r="W357" s="5"/>
      <c r="X357" s="5"/>
      <c r="Y357" s="5"/>
      <c r="Z357" s="5"/>
    </row>
    <row r="358" spans="1:26" ht="12.75" customHeight="1">
      <c r="A358" s="5"/>
      <c r="B358" s="5"/>
      <c r="C358" s="5"/>
      <c r="D358" s="5"/>
      <c r="E358" s="5"/>
      <c r="F358" s="5"/>
      <c r="G358" s="5"/>
      <c r="H358" s="306"/>
      <c r="I358" s="5"/>
      <c r="J358" s="5"/>
      <c r="K358" s="5"/>
      <c r="L358" s="5"/>
      <c r="M358" s="5"/>
      <c r="N358" s="5"/>
      <c r="O358" s="5"/>
      <c r="P358" s="5"/>
      <c r="Q358" s="57"/>
      <c r="R358" s="5"/>
      <c r="S358" s="5"/>
      <c r="T358" s="5"/>
      <c r="U358" s="5"/>
      <c r="V358" s="5"/>
      <c r="W358" s="5"/>
      <c r="X358" s="5"/>
      <c r="Y358" s="5"/>
      <c r="Z358" s="5"/>
    </row>
    <row r="359" spans="1:26" ht="12.75" customHeight="1">
      <c r="A359" s="5"/>
      <c r="B359" s="5"/>
      <c r="C359" s="5"/>
      <c r="D359" s="5"/>
      <c r="E359" s="5"/>
      <c r="F359" s="5"/>
      <c r="G359" s="5"/>
      <c r="H359" s="306"/>
      <c r="I359" s="5"/>
      <c r="J359" s="5"/>
      <c r="K359" s="5"/>
      <c r="L359" s="5"/>
      <c r="M359" s="5"/>
      <c r="N359" s="5"/>
      <c r="O359" s="5"/>
      <c r="P359" s="5"/>
      <c r="Q359" s="57"/>
      <c r="R359" s="5"/>
      <c r="S359" s="5"/>
      <c r="T359" s="5"/>
      <c r="U359" s="5"/>
      <c r="V359" s="5"/>
      <c r="W359" s="5"/>
      <c r="X359" s="5"/>
      <c r="Y359" s="5"/>
      <c r="Z359" s="5"/>
    </row>
    <row r="360" spans="1:26" ht="12.75" customHeight="1">
      <c r="A360" s="5"/>
      <c r="B360" s="5"/>
      <c r="C360" s="5"/>
      <c r="D360" s="5"/>
      <c r="E360" s="5"/>
      <c r="F360" s="5"/>
      <c r="G360" s="5"/>
      <c r="H360" s="306"/>
      <c r="I360" s="5"/>
      <c r="J360" s="5"/>
      <c r="K360" s="5"/>
      <c r="L360" s="5"/>
      <c r="M360" s="5"/>
      <c r="N360" s="5"/>
      <c r="O360" s="5"/>
      <c r="P360" s="5"/>
      <c r="Q360" s="57"/>
      <c r="R360" s="5"/>
      <c r="S360" s="5"/>
      <c r="T360" s="5"/>
      <c r="U360" s="5"/>
      <c r="V360" s="5"/>
      <c r="W360" s="5"/>
      <c r="X360" s="5"/>
      <c r="Y360" s="5"/>
      <c r="Z360" s="5"/>
    </row>
    <row r="361" spans="1:26" ht="12.75" customHeight="1">
      <c r="A361" s="5"/>
      <c r="B361" s="5"/>
      <c r="C361" s="5"/>
      <c r="D361" s="5"/>
      <c r="E361" s="5"/>
      <c r="F361" s="5"/>
      <c r="G361" s="5"/>
      <c r="H361" s="306"/>
      <c r="I361" s="5"/>
      <c r="J361" s="5"/>
      <c r="K361" s="5"/>
      <c r="L361" s="5"/>
      <c r="M361" s="5"/>
      <c r="N361" s="5"/>
      <c r="O361" s="5"/>
      <c r="P361" s="5"/>
      <c r="Q361" s="57"/>
      <c r="R361" s="5"/>
      <c r="S361" s="5"/>
      <c r="T361" s="5"/>
      <c r="U361" s="5"/>
      <c r="V361" s="5"/>
      <c r="W361" s="5"/>
      <c r="X361" s="5"/>
      <c r="Y361" s="5"/>
      <c r="Z361" s="5"/>
    </row>
    <row r="362" spans="1:26" ht="12.75" customHeight="1">
      <c r="A362" s="5"/>
      <c r="B362" s="5"/>
      <c r="C362" s="5"/>
      <c r="D362" s="5"/>
      <c r="E362" s="5"/>
      <c r="F362" s="5"/>
      <c r="G362" s="5"/>
      <c r="H362" s="306"/>
      <c r="I362" s="5"/>
      <c r="J362" s="5"/>
      <c r="K362" s="5"/>
      <c r="L362" s="5"/>
      <c r="M362" s="5"/>
      <c r="N362" s="5"/>
      <c r="O362" s="5"/>
      <c r="P362" s="5"/>
      <c r="Q362" s="57"/>
      <c r="R362" s="5"/>
      <c r="S362" s="5"/>
      <c r="T362" s="5"/>
      <c r="U362" s="5"/>
      <c r="V362" s="5"/>
      <c r="W362" s="5"/>
      <c r="X362" s="5"/>
      <c r="Y362" s="5"/>
      <c r="Z362" s="5"/>
    </row>
    <row r="363" spans="1:26" ht="12.75" customHeight="1">
      <c r="A363" s="5"/>
      <c r="B363" s="5"/>
      <c r="C363" s="5"/>
      <c r="D363" s="5"/>
      <c r="E363" s="5"/>
      <c r="F363" s="5"/>
      <c r="G363" s="5"/>
      <c r="H363" s="306"/>
      <c r="I363" s="5"/>
      <c r="J363" s="5"/>
      <c r="K363" s="5"/>
      <c r="L363" s="5"/>
      <c r="M363" s="5"/>
      <c r="N363" s="5"/>
      <c r="O363" s="5"/>
      <c r="P363" s="5"/>
      <c r="Q363" s="57"/>
      <c r="R363" s="5"/>
      <c r="S363" s="5"/>
      <c r="T363" s="5"/>
      <c r="U363" s="5"/>
      <c r="V363" s="5"/>
      <c r="W363" s="5"/>
      <c r="X363" s="5"/>
      <c r="Y363" s="5"/>
      <c r="Z363" s="5"/>
    </row>
    <row r="364" spans="1:26" ht="12.75" customHeight="1">
      <c r="A364" s="5"/>
      <c r="B364" s="5"/>
      <c r="C364" s="5"/>
      <c r="D364" s="5"/>
      <c r="E364" s="5"/>
      <c r="F364" s="5"/>
      <c r="G364" s="5"/>
      <c r="H364" s="306"/>
      <c r="I364" s="5"/>
      <c r="J364" s="5"/>
      <c r="K364" s="5"/>
      <c r="L364" s="5"/>
      <c r="M364" s="5"/>
      <c r="N364" s="5"/>
      <c r="O364" s="5"/>
      <c r="P364" s="5"/>
      <c r="Q364" s="57"/>
      <c r="R364" s="5"/>
      <c r="S364" s="5"/>
      <c r="T364" s="5"/>
      <c r="U364" s="5"/>
      <c r="V364" s="5"/>
      <c r="W364" s="5"/>
      <c r="X364" s="5"/>
      <c r="Y364" s="5"/>
      <c r="Z364" s="5"/>
    </row>
    <row r="365" spans="1:26" ht="12.75" customHeight="1">
      <c r="A365" s="5"/>
      <c r="B365" s="5"/>
      <c r="C365" s="5"/>
      <c r="D365" s="5"/>
      <c r="E365" s="5"/>
      <c r="F365" s="5"/>
      <c r="G365" s="5"/>
      <c r="H365" s="306"/>
      <c r="I365" s="5"/>
      <c r="J365" s="5"/>
      <c r="K365" s="5"/>
      <c r="L365" s="5"/>
      <c r="M365" s="5"/>
      <c r="N365" s="5"/>
      <c r="O365" s="5"/>
      <c r="P365" s="5"/>
      <c r="Q365" s="57"/>
      <c r="R365" s="5"/>
      <c r="S365" s="5"/>
      <c r="T365" s="5"/>
      <c r="U365" s="5"/>
      <c r="V365" s="5"/>
      <c r="W365" s="5"/>
      <c r="X365" s="5"/>
      <c r="Y365" s="5"/>
      <c r="Z365" s="5"/>
    </row>
    <row r="366" spans="1:26" ht="12.75" customHeight="1">
      <c r="A366" s="5"/>
      <c r="B366" s="5"/>
      <c r="C366" s="5"/>
      <c r="D366" s="5"/>
      <c r="E366" s="5"/>
      <c r="F366" s="5"/>
      <c r="G366" s="5"/>
      <c r="H366" s="306"/>
      <c r="I366" s="5"/>
      <c r="J366" s="5"/>
      <c r="K366" s="5"/>
      <c r="L366" s="5"/>
      <c r="M366" s="5"/>
      <c r="N366" s="5"/>
      <c r="O366" s="5"/>
      <c r="P366" s="5"/>
      <c r="Q366" s="57"/>
      <c r="R366" s="5"/>
      <c r="S366" s="5"/>
      <c r="T366" s="5"/>
      <c r="U366" s="5"/>
      <c r="V366" s="5"/>
      <c r="W366" s="5"/>
      <c r="X366" s="5"/>
      <c r="Y366" s="5"/>
      <c r="Z366" s="5"/>
    </row>
    <row r="367" spans="1:26" ht="12.75" customHeight="1">
      <c r="A367" s="5"/>
      <c r="B367" s="5"/>
      <c r="C367" s="5"/>
      <c r="D367" s="5"/>
      <c r="E367" s="5"/>
      <c r="F367" s="5"/>
      <c r="G367" s="5"/>
      <c r="H367" s="306"/>
      <c r="I367" s="5"/>
      <c r="J367" s="5"/>
      <c r="K367" s="5"/>
      <c r="L367" s="5"/>
      <c r="M367" s="5"/>
      <c r="N367" s="5"/>
      <c r="O367" s="5"/>
      <c r="P367" s="5"/>
      <c r="Q367" s="57"/>
      <c r="R367" s="5"/>
      <c r="S367" s="5"/>
      <c r="T367" s="5"/>
      <c r="U367" s="5"/>
      <c r="V367" s="5"/>
      <c r="W367" s="5"/>
      <c r="X367" s="5"/>
      <c r="Y367" s="5"/>
      <c r="Z367" s="5"/>
    </row>
    <row r="368" spans="1:26" ht="12.75" customHeight="1">
      <c r="A368" s="5"/>
      <c r="B368" s="5"/>
      <c r="C368" s="5"/>
      <c r="D368" s="5"/>
      <c r="E368" s="5"/>
      <c r="F368" s="5"/>
      <c r="G368" s="5"/>
      <c r="H368" s="306"/>
      <c r="I368" s="5"/>
      <c r="J368" s="5"/>
      <c r="K368" s="5"/>
      <c r="L368" s="5"/>
      <c r="M368" s="5"/>
      <c r="N368" s="5"/>
      <c r="O368" s="5"/>
      <c r="P368" s="5"/>
      <c r="Q368" s="57"/>
      <c r="R368" s="5"/>
      <c r="S368" s="5"/>
      <c r="T368" s="5"/>
      <c r="U368" s="5"/>
      <c r="V368" s="5"/>
      <c r="W368" s="5"/>
      <c r="X368" s="5"/>
      <c r="Y368" s="5"/>
      <c r="Z368" s="5"/>
    </row>
    <row r="369" spans="1:26" ht="12.75" customHeight="1">
      <c r="A369" s="5"/>
      <c r="B369" s="5"/>
      <c r="C369" s="5"/>
      <c r="D369" s="5"/>
      <c r="E369" s="5"/>
      <c r="F369" s="5"/>
      <c r="G369" s="5"/>
      <c r="H369" s="306"/>
      <c r="I369" s="5"/>
      <c r="J369" s="5"/>
      <c r="K369" s="5"/>
      <c r="L369" s="5"/>
      <c r="M369" s="5"/>
      <c r="N369" s="5"/>
      <c r="O369" s="5"/>
      <c r="P369" s="5"/>
      <c r="Q369" s="57"/>
      <c r="R369" s="5"/>
      <c r="S369" s="5"/>
      <c r="T369" s="5"/>
      <c r="U369" s="5"/>
      <c r="V369" s="5"/>
      <c r="W369" s="5"/>
      <c r="X369" s="5"/>
      <c r="Y369" s="5"/>
      <c r="Z369" s="5"/>
    </row>
    <row r="370" spans="1:26" ht="12.75" customHeight="1">
      <c r="A370" s="5"/>
      <c r="B370" s="5"/>
      <c r="C370" s="5"/>
      <c r="D370" s="5"/>
      <c r="E370" s="5"/>
      <c r="F370" s="5"/>
      <c r="G370" s="5"/>
      <c r="H370" s="306"/>
      <c r="I370" s="5"/>
      <c r="J370" s="5"/>
      <c r="K370" s="5"/>
      <c r="L370" s="5"/>
      <c r="M370" s="5"/>
      <c r="N370" s="5"/>
      <c r="O370" s="5"/>
      <c r="P370" s="5"/>
      <c r="Q370" s="57"/>
      <c r="R370" s="5"/>
      <c r="S370" s="5"/>
      <c r="T370" s="5"/>
      <c r="U370" s="5"/>
      <c r="V370" s="5"/>
      <c r="W370" s="5"/>
      <c r="X370" s="5"/>
      <c r="Y370" s="5"/>
      <c r="Z370" s="5"/>
    </row>
    <row r="371" spans="1:26" ht="12.75" customHeight="1">
      <c r="A371" s="5"/>
      <c r="B371" s="5"/>
      <c r="C371" s="5"/>
      <c r="D371" s="5"/>
      <c r="E371" s="5"/>
      <c r="F371" s="5"/>
      <c r="G371" s="5"/>
      <c r="H371" s="306"/>
      <c r="I371" s="5"/>
      <c r="J371" s="5"/>
      <c r="K371" s="5"/>
      <c r="L371" s="5"/>
      <c r="M371" s="5"/>
      <c r="N371" s="5"/>
      <c r="O371" s="5"/>
      <c r="P371" s="5"/>
      <c r="Q371" s="57"/>
      <c r="R371" s="5"/>
      <c r="S371" s="5"/>
      <c r="T371" s="5"/>
      <c r="U371" s="5"/>
      <c r="V371" s="5"/>
      <c r="W371" s="5"/>
      <c r="X371" s="5"/>
      <c r="Y371" s="5"/>
      <c r="Z371" s="5"/>
    </row>
    <row r="372" spans="1:26" ht="12.75" customHeight="1">
      <c r="A372" s="5"/>
      <c r="B372" s="5"/>
      <c r="C372" s="5"/>
      <c r="D372" s="5"/>
      <c r="E372" s="5"/>
      <c r="F372" s="5"/>
      <c r="G372" s="5"/>
      <c r="H372" s="306"/>
      <c r="I372" s="5"/>
      <c r="J372" s="5"/>
      <c r="K372" s="5"/>
      <c r="L372" s="5"/>
      <c r="M372" s="5"/>
      <c r="N372" s="5"/>
      <c r="O372" s="5"/>
      <c r="P372" s="5"/>
      <c r="Q372" s="57"/>
      <c r="R372" s="5"/>
      <c r="S372" s="5"/>
      <c r="T372" s="5"/>
      <c r="U372" s="5"/>
      <c r="V372" s="5"/>
      <c r="W372" s="5"/>
      <c r="X372" s="5"/>
      <c r="Y372" s="5"/>
      <c r="Z372" s="5"/>
    </row>
    <row r="373" spans="1:26" ht="12.75" customHeight="1">
      <c r="A373" s="5"/>
      <c r="B373" s="5"/>
      <c r="C373" s="5"/>
      <c r="D373" s="5"/>
      <c r="E373" s="5"/>
      <c r="F373" s="5"/>
      <c r="G373" s="5"/>
      <c r="H373" s="306"/>
      <c r="I373" s="5"/>
      <c r="J373" s="5"/>
      <c r="K373" s="5"/>
      <c r="L373" s="5"/>
      <c r="M373" s="5"/>
      <c r="N373" s="5"/>
      <c r="O373" s="5"/>
      <c r="P373" s="5"/>
      <c r="Q373" s="57"/>
      <c r="R373" s="5"/>
      <c r="S373" s="5"/>
      <c r="T373" s="5"/>
      <c r="U373" s="5"/>
      <c r="V373" s="5"/>
      <c r="W373" s="5"/>
      <c r="X373" s="5"/>
      <c r="Y373" s="5"/>
      <c r="Z373" s="5"/>
    </row>
    <row r="374" spans="1:26" ht="12.75" customHeight="1">
      <c r="A374" s="5"/>
      <c r="B374" s="5"/>
      <c r="C374" s="5"/>
      <c r="D374" s="5"/>
      <c r="E374" s="5"/>
      <c r="F374" s="5"/>
      <c r="G374" s="5"/>
      <c r="H374" s="306"/>
      <c r="I374" s="5"/>
      <c r="J374" s="5"/>
      <c r="K374" s="5"/>
      <c r="L374" s="5"/>
      <c r="M374" s="5"/>
      <c r="N374" s="5"/>
      <c r="O374" s="5"/>
      <c r="P374" s="5"/>
      <c r="Q374" s="57"/>
      <c r="R374" s="5"/>
      <c r="S374" s="5"/>
      <c r="T374" s="5"/>
      <c r="U374" s="5"/>
      <c r="V374" s="5"/>
      <c r="W374" s="5"/>
      <c r="X374" s="5"/>
      <c r="Y374" s="5"/>
      <c r="Z374" s="5"/>
    </row>
    <row r="375" spans="1:26" ht="12.75" customHeight="1">
      <c r="A375" s="5"/>
      <c r="B375" s="5"/>
      <c r="C375" s="5"/>
      <c r="D375" s="5"/>
      <c r="E375" s="5"/>
      <c r="F375" s="5"/>
      <c r="G375" s="5"/>
      <c r="H375" s="306"/>
      <c r="I375" s="5"/>
      <c r="J375" s="5"/>
      <c r="K375" s="5"/>
      <c r="L375" s="5"/>
      <c r="M375" s="5"/>
      <c r="N375" s="5"/>
      <c r="O375" s="5"/>
      <c r="P375" s="5"/>
      <c r="Q375" s="57"/>
      <c r="R375" s="5"/>
      <c r="S375" s="5"/>
      <c r="T375" s="5"/>
      <c r="U375" s="5"/>
      <c r="V375" s="5"/>
      <c r="W375" s="5"/>
      <c r="X375" s="5"/>
      <c r="Y375" s="5"/>
      <c r="Z375" s="5"/>
    </row>
    <row r="376" spans="1:26" ht="12.75" customHeight="1">
      <c r="A376" s="5"/>
      <c r="B376" s="5"/>
      <c r="C376" s="5"/>
      <c r="D376" s="5"/>
      <c r="E376" s="5"/>
      <c r="F376" s="5"/>
      <c r="G376" s="5"/>
      <c r="H376" s="306"/>
      <c r="I376" s="5"/>
      <c r="J376" s="5"/>
      <c r="K376" s="5"/>
      <c r="L376" s="5"/>
      <c r="M376" s="5"/>
      <c r="N376" s="5"/>
      <c r="O376" s="5"/>
      <c r="P376" s="5"/>
      <c r="Q376" s="57"/>
      <c r="R376" s="5"/>
      <c r="S376" s="5"/>
      <c r="T376" s="5"/>
      <c r="U376" s="5"/>
      <c r="V376" s="5"/>
      <c r="W376" s="5"/>
      <c r="X376" s="5"/>
      <c r="Y376" s="5"/>
      <c r="Z376" s="5"/>
    </row>
    <row r="377" spans="1:26" ht="12.75" customHeight="1">
      <c r="A377" s="5"/>
      <c r="B377" s="5"/>
      <c r="C377" s="5"/>
      <c r="D377" s="5"/>
      <c r="E377" s="5"/>
      <c r="F377" s="5"/>
      <c r="G377" s="5"/>
      <c r="H377" s="306"/>
      <c r="I377" s="5"/>
      <c r="J377" s="5"/>
      <c r="K377" s="5"/>
      <c r="L377" s="5"/>
      <c r="M377" s="5"/>
      <c r="N377" s="5"/>
      <c r="O377" s="5"/>
      <c r="P377" s="5"/>
      <c r="Q377" s="57"/>
      <c r="R377" s="5"/>
      <c r="S377" s="5"/>
      <c r="T377" s="5"/>
      <c r="U377" s="5"/>
      <c r="V377" s="5"/>
      <c r="W377" s="5"/>
      <c r="X377" s="5"/>
      <c r="Y377" s="5"/>
      <c r="Z377" s="5"/>
    </row>
    <row r="378" spans="1:26" ht="12.75" customHeight="1">
      <c r="A378" s="5"/>
      <c r="B378" s="5"/>
      <c r="C378" s="5"/>
      <c r="D378" s="5"/>
      <c r="E378" s="5"/>
      <c r="F378" s="5"/>
      <c r="G378" s="5"/>
      <c r="H378" s="306"/>
      <c r="I378" s="5"/>
      <c r="J378" s="5"/>
      <c r="K378" s="5"/>
      <c r="L378" s="5"/>
      <c r="M378" s="5"/>
      <c r="N378" s="5"/>
      <c r="O378" s="5"/>
      <c r="P378" s="5"/>
      <c r="Q378" s="57"/>
      <c r="R378" s="5"/>
      <c r="S378" s="5"/>
      <c r="T378" s="5"/>
      <c r="U378" s="5"/>
      <c r="V378" s="5"/>
      <c r="W378" s="5"/>
      <c r="X378" s="5"/>
      <c r="Y378" s="5"/>
      <c r="Z378" s="5"/>
    </row>
    <row r="379" spans="1:26" ht="12.75" customHeight="1">
      <c r="A379" s="5"/>
      <c r="B379" s="5"/>
      <c r="C379" s="5"/>
      <c r="D379" s="5"/>
      <c r="E379" s="5"/>
      <c r="F379" s="5"/>
      <c r="G379" s="5"/>
      <c r="H379" s="306"/>
      <c r="I379" s="5"/>
      <c r="J379" s="5"/>
      <c r="K379" s="5"/>
      <c r="L379" s="5"/>
      <c r="M379" s="5"/>
      <c r="N379" s="5"/>
      <c r="O379" s="5"/>
      <c r="P379" s="5"/>
      <c r="Q379" s="57"/>
      <c r="R379" s="5"/>
      <c r="S379" s="5"/>
      <c r="T379" s="5"/>
      <c r="U379" s="5"/>
      <c r="V379" s="5"/>
      <c r="W379" s="5"/>
      <c r="X379" s="5"/>
      <c r="Y379" s="5"/>
      <c r="Z379" s="5"/>
    </row>
    <row r="380" spans="1:26" ht="12.75" customHeight="1">
      <c r="A380" s="5"/>
      <c r="B380" s="5"/>
      <c r="C380" s="5"/>
      <c r="D380" s="5"/>
      <c r="E380" s="5"/>
      <c r="F380" s="5"/>
      <c r="G380" s="5"/>
      <c r="H380" s="306"/>
      <c r="I380" s="5"/>
      <c r="J380" s="5"/>
      <c r="K380" s="5"/>
      <c r="L380" s="5"/>
      <c r="M380" s="5"/>
      <c r="N380" s="5"/>
      <c r="O380" s="5"/>
      <c r="P380" s="5"/>
      <c r="Q380" s="57"/>
      <c r="R380" s="5"/>
      <c r="S380" s="5"/>
      <c r="T380" s="5"/>
      <c r="U380" s="5"/>
      <c r="V380" s="5"/>
      <c r="W380" s="5"/>
      <c r="X380" s="5"/>
      <c r="Y380" s="5"/>
      <c r="Z380" s="5"/>
    </row>
    <row r="381" spans="1:26" ht="12.75" customHeight="1">
      <c r="A381" s="5"/>
      <c r="B381" s="5"/>
      <c r="C381" s="5"/>
      <c r="D381" s="5"/>
      <c r="E381" s="5"/>
      <c r="F381" s="5"/>
      <c r="G381" s="5"/>
      <c r="H381" s="306"/>
      <c r="I381" s="5"/>
      <c r="J381" s="5"/>
      <c r="K381" s="5"/>
      <c r="L381" s="5"/>
      <c r="M381" s="5"/>
      <c r="N381" s="5"/>
      <c r="O381" s="5"/>
      <c r="P381" s="5"/>
      <c r="Q381" s="57"/>
      <c r="R381" s="5"/>
      <c r="S381" s="5"/>
      <c r="T381" s="5"/>
      <c r="U381" s="5"/>
      <c r="V381" s="5"/>
      <c r="W381" s="5"/>
      <c r="X381" s="5"/>
      <c r="Y381" s="5"/>
      <c r="Z381" s="5"/>
    </row>
    <row r="382" spans="1:26" ht="12.75" customHeight="1">
      <c r="A382" s="5"/>
      <c r="B382" s="5"/>
      <c r="C382" s="5"/>
      <c r="D382" s="5"/>
      <c r="E382" s="5"/>
      <c r="F382" s="5"/>
      <c r="G382" s="5"/>
      <c r="H382" s="306"/>
      <c r="I382" s="5"/>
      <c r="J382" s="5"/>
      <c r="K382" s="5"/>
      <c r="L382" s="5"/>
      <c r="M382" s="5"/>
      <c r="N382" s="5"/>
      <c r="O382" s="5"/>
      <c r="P382" s="5"/>
      <c r="Q382" s="57"/>
      <c r="R382" s="5"/>
      <c r="S382" s="5"/>
      <c r="T382" s="5"/>
      <c r="U382" s="5"/>
      <c r="V382" s="5"/>
      <c r="W382" s="5"/>
      <c r="X382" s="5"/>
      <c r="Y382" s="5"/>
      <c r="Z382" s="5"/>
    </row>
    <row r="383" spans="1:26" ht="12.75" customHeight="1">
      <c r="A383" s="5"/>
      <c r="B383" s="5"/>
      <c r="C383" s="5"/>
      <c r="D383" s="5"/>
      <c r="E383" s="5"/>
      <c r="F383" s="5"/>
      <c r="G383" s="5"/>
      <c r="H383" s="306"/>
      <c r="I383" s="5"/>
      <c r="J383" s="5"/>
      <c r="K383" s="5"/>
      <c r="L383" s="5"/>
      <c r="M383" s="5"/>
      <c r="N383" s="5"/>
      <c r="O383" s="5"/>
      <c r="P383" s="5"/>
      <c r="Q383" s="57"/>
      <c r="R383" s="5"/>
      <c r="S383" s="5"/>
      <c r="T383" s="5"/>
      <c r="U383" s="5"/>
      <c r="V383" s="5"/>
      <c r="W383" s="5"/>
      <c r="X383" s="5"/>
      <c r="Y383" s="5"/>
      <c r="Z383" s="5"/>
    </row>
    <row r="384" spans="1:26" ht="12.75" customHeight="1">
      <c r="A384" s="5"/>
      <c r="B384" s="5"/>
      <c r="C384" s="5"/>
      <c r="D384" s="5"/>
      <c r="E384" s="5"/>
      <c r="F384" s="5"/>
      <c r="G384" s="5"/>
      <c r="H384" s="306"/>
      <c r="I384" s="5"/>
      <c r="J384" s="5"/>
      <c r="K384" s="5"/>
      <c r="L384" s="5"/>
      <c r="M384" s="5"/>
      <c r="N384" s="5"/>
      <c r="O384" s="5"/>
      <c r="P384" s="5"/>
      <c r="Q384" s="57"/>
      <c r="R384" s="5"/>
      <c r="S384" s="5"/>
      <c r="T384" s="5"/>
      <c r="U384" s="5"/>
      <c r="V384" s="5"/>
      <c r="W384" s="5"/>
      <c r="X384" s="5"/>
      <c r="Y384" s="5"/>
      <c r="Z384" s="5"/>
    </row>
    <row r="385" spans="1:26" ht="12.75" customHeight="1">
      <c r="A385" s="5"/>
      <c r="B385" s="5"/>
      <c r="C385" s="5"/>
      <c r="D385" s="5"/>
      <c r="E385" s="5"/>
      <c r="F385" s="5"/>
      <c r="G385" s="5"/>
      <c r="H385" s="306"/>
      <c r="I385" s="5"/>
      <c r="J385" s="5"/>
      <c r="K385" s="5"/>
      <c r="L385" s="5"/>
      <c r="M385" s="5"/>
      <c r="N385" s="5"/>
      <c r="O385" s="5"/>
      <c r="P385" s="5"/>
      <c r="Q385" s="57"/>
      <c r="R385" s="5"/>
      <c r="S385" s="5"/>
      <c r="T385" s="5"/>
      <c r="U385" s="5"/>
      <c r="V385" s="5"/>
      <c r="W385" s="5"/>
      <c r="X385" s="5"/>
      <c r="Y385" s="5"/>
      <c r="Z385" s="5"/>
    </row>
    <row r="386" spans="1:26" ht="12.75" customHeight="1">
      <c r="A386" s="5"/>
      <c r="B386" s="5"/>
      <c r="C386" s="5"/>
      <c r="D386" s="5"/>
      <c r="E386" s="5"/>
      <c r="F386" s="5"/>
      <c r="G386" s="5"/>
      <c r="H386" s="306"/>
      <c r="I386" s="5"/>
      <c r="J386" s="5"/>
      <c r="K386" s="5"/>
      <c r="L386" s="5"/>
      <c r="M386" s="5"/>
      <c r="N386" s="5"/>
      <c r="O386" s="5"/>
      <c r="P386" s="5"/>
      <c r="Q386" s="57"/>
      <c r="R386" s="5"/>
      <c r="S386" s="5"/>
      <c r="T386" s="5"/>
      <c r="U386" s="5"/>
      <c r="V386" s="5"/>
      <c r="W386" s="5"/>
      <c r="X386" s="5"/>
      <c r="Y386" s="5"/>
      <c r="Z386" s="5"/>
    </row>
    <row r="387" spans="1:26" ht="12.75" customHeight="1">
      <c r="A387" s="5"/>
      <c r="B387" s="5"/>
      <c r="C387" s="5"/>
      <c r="D387" s="5"/>
      <c r="E387" s="5"/>
      <c r="F387" s="5"/>
      <c r="G387" s="5"/>
      <c r="H387" s="306"/>
      <c r="I387" s="5"/>
      <c r="J387" s="5"/>
      <c r="K387" s="5"/>
      <c r="L387" s="5"/>
      <c r="M387" s="5"/>
      <c r="N387" s="5"/>
      <c r="O387" s="5"/>
      <c r="P387" s="5"/>
      <c r="Q387" s="57"/>
      <c r="R387" s="5"/>
      <c r="S387" s="5"/>
      <c r="T387" s="5"/>
      <c r="U387" s="5"/>
      <c r="V387" s="5"/>
      <c r="W387" s="5"/>
      <c r="X387" s="5"/>
      <c r="Y387" s="5"/>
      <c r="Z387" s="5"/>
    </row>
    <row r="388" spans="1:26" ht="12.75" customHeight="1">
      <c r="A388" s="5"/>
      <c r="B388" s="5"/>
      <c r="C388" s="5"/>
      <c r="D388" s="5"/>
      <c r="E388" s="5"/>
      <c r="F388" s="5"/>
      <c r="G388" s="5"/>
      <c r="H388" s="306"/>
      <c r="I388" s="5"/>
      <c r="J388" s="5"/>
      <c r="K388" s="5"/>
      <c r="L388" s="5"/>
      <c r="M388" s="5"/>
      <c r="N388" s="5"/>
      <c r="O388" s="5"/>
      <c r="P388" s="5"/>
      <c r="Q388" s="57"/>
      <c r="R388" s="5"/>
      <c r="S388" s="5"/>
      <c r="T388" s="5"/>
      <c r="U388" s="5"/>
      <c r="V388" s="5"/>
      <c r="W388" s="5"/>
      <c r="X388" s="5"/>
      <c r="Y388" s="5"/>
      <c r="Z388" s="5"/>
    </row>
    <row r="389" spans="1:26" ht="12.75" customHeight="1">
      <c r="A389" s="5"/>
      <c r="B389" s="5"/>
      <c r="C389" s="5"/>
      <c r="D389" s="5"/>
      <c r="E389" s="5"/>
      <c r="F389" s="5"/>
      <c r="G389" s="5"/>
      <c r="H389" s="306"/>
      <c r="I389" s="5"/>
      <c r="J389" s="5"/>
      <c r="K389" s="5"/>
      <c r="L389" s="5"/>
      <c r="M389" s="5"/>
      <c r="N389" s="5"/>
      <c r="O389" s="5"/>
      <c r="P389" s="5"/>
      <c r="Q389" s="57"/>
      <c r="R389" s="5"/>
      <c r="S389" s="5"/>
      <c r="T389" s="5"/>
      <c r="U389" s="5"/>
      <c r="V389" s="5"/>
      <c r="W389" s="5"/>
      <c r="X389" s="5"/>
      <c r="Y389" s="5"/>
      <c r="Z389" s="5"/>
    </row>
    <row r="390" spans="1:26" ht="12.75" customHeight="1">
      <c r="A390" s="5"/>
      <c r="B390" s="5"/>
      <c r="C390" s="5"/>
      <c r="D390" s="5"/>
      <c r="E390" s="5"/>
      <c r="F390" s="5"/>
      <c r="G390" s="5"/>
      <c r="H390" s="306"/>
      <c r="I390" s="5"/>
      <c r="J390" s="5"/>
      <c r="K390" s="5"/>
      <c r="L390" s="5"/>
      <c r="M390" s="5"/>
      <c r="N390" s="5"/>
      <c r="O390" s="5"/>
      <c r="P390" s="5"/>
      <c r="Q390" s="57"/>
      <c r="R390" s="5"/>
      <c r="S390" s="5"/>
      <c r="T390" s="5"/>
      <c r="U390" s="5"/>
      <c r="V390" s="5"/>
      <c r="W390" s="5"/>
      <c r="X390" s="5"/>
      <c r="Y390" s="5"/>
      <c r="Z390" s="5"/>
    </row>
    <row r="391" spans="1:26" ht="12.75" customHeight="1">
      <c r="A391" s="5"/>
      <c r="B391" s="5"/>
      <c r="C391" s="5"/>
      <c r="D391" s="5"/>
      <c r="E391" s="5"/>
      <c r="F391" s="5"/>
      <c r="G391" s="5"/>
      <c r="H391" s="306"/>
      <c r="I391" s="5"/>
      <c r="J391" s="5"/>
      <c r="K391" s="5"/>
      <c r="L391" s="5"/>
      <c r="M391" s="5"/>
      <c r="N391" s="5"/>
      <c r="O391" s="5"/>
      <c r="P391" s="5"/>
      <c r="Q391" s="57"/>
      <c r="R391" s="5"/>
      <c r="S391" s="5"/>
      <c r="T391" s="5"/>
      <c r="U391" s="5"/>
      <c r="V391" s="5"/>
      <c r="W391" s="5"/>
      <c r="X391" s="5"/>
      <c r="Y391" s="5"/>
      <c r="Z391" s="5"/>
    </row>
    <row r="392" spans="1:26" ht="12.75" customHeight="1">
      <c r="A392" s="5"/>
      <c r="B392" s="5"/>
      <c r="C392" s="5"/>
      <c r="D392" s="5"/>
      <c r="E392" s="5"/>
      <c r="F392" s="5"/>
      <c r="G392" s="5"/>
      <c r="H392" s="306"/>
      <c r="I392" s="5"/>
      <c r="J392" s="5"/>
      <c r="K392" s="5"/>
      <c r="L392" s="5"/>
      <c r="M392" s="5"/>
      <c r="N392" s="5"/>
      <c r="O392" s="5"/>
      <c r="P392" s="5"/>
      <c r="Q392" s="57"/>
      <c r="R392" s="5"/>
      <c r="S392" s="5"/>
      <c r="T392" s="5"/>
      <c r="U392" s="5"/>
      <c r="V392" s="5"/>
      <c r="W392" s="5"/>
      <c r="X392" s="5"/>
      <c r="Y392" s="5"/>
      <c r="Z392" s="5"/>
    </row>
    <row r="393" spans="1:26" ht="12.75" customHeight="1">
      <c r="A393" s="5"/>
      <c r="B393" s="5"/>
      <c r="C393" s="5"/>
      <c r="D393" s="5"/>
      <c r="E393" s="5"/>
      <c r="F393" s="5"/>
      <c r="G393" s="5"/>
      <c r="H393" s="306"/>
      <c r="I393" s="5"/>
      <c r="J393" s="5"/>
      <c r="K393" s="5"/>
      <c r="L393" s="5"/>
      <c r="M393" s="5"/>
      <c r="N393" s="5"/>
      <c r="O393" s="5"/>
      <c r="P393" s="5"/>
      <c r="Q393" s="57"/>
      <c r="R393" s="5"/>
      <c r="S393" s="5"/>
      <c r="T393" s="5"/>
      <c r="U393" s="5"/>
      <c r="V393" s="5"/>
      <c r="W393" s="5"/>
      <c r="X393" s="5"/>
      <c r="Y393" s="5"/>
      <c r="Z393" s="5"/>
    </row>
    <row r="394" spans="1:26" ht="12.75" customHeight="1">
      <c r="A394" s="5"/>
      <c r="B394" s="5"/>
      <c r="C394" s="5"/>
      <c r="D394" s="5"/>
      <c r="E394" s="5"/>
      <c r="F394" s="5"/>
      <c r="G394" s="5"/>
      <c r="H394" s="306"/>
      <c r="I394" s="5"/>
      <c r="J394" s="5"/>
      <c r="K394" s="5"/>
      <c r="L394" s="5"/>
      <c r="M394" s="5"/>
      <c r="N394" s="5"/>
      <c r="O394" s="5"/>
      <c r="P394" s="5"/>
      <c r="Q394" s="57"/>
      <c r="R394" s="5"/>
      <c r="S394" s="5"/>
      <c r="T394" s="5"/>
      <c r="U394" s="5"/>
      <c r="V394" s="5"/>
      <c r="W394" s="5"/>
      <c r="X394" s="5"/>
      <c r="Y394" s="5"/>
      <c r="Z394" s="5"/>
    </row>
    <row r="395" spans="1:26" ht="12.75" customHeight="1">
      <c r="A395" s="5"/>
      <c r="B395" s="5"/>
      <c r="C395" s="5"/>
      <c r="D395" s="5"/>
      <c r="E395" s="5"/>
      <c r="F395" s="5"/>
      <c r="G395" s="5"/>
      <c r="H395" s="306"/>
      <c r="I395" s="5"/>
      <c r="J395" s="5"/>
      <c r="K395" s="5"/>
      <c r="L395" s="5"/>
      <c r="M395" s="5"/>
      <c r="N395" s="5"/>
      <c r="O395" s="5"/>
      <c r="P395" s="5"/>
      <c r="Q395" s="57"/>
      <c r="R395" s="5"/>
      <c r="S395" s="5"/>
      <c r="T395" s="5"/>
      <c r="U395" s="5"/>
      <c r="V395" s="5"/>
      <c r="W395" s="5"/>
      <c r="X395" s="5"/>
      <c r="Y395" s="5"/>
      <c r="Z395" s="5"/>
    </row>
    <row r="396" spans="1:26" ht="12.75" customHeight="1">
      <c r="A396" s="5"/>
      <c r="B396" s="5"/>
      <c r="C396" s="5"/>
      <c r="D396" s="5"/>
      <c r="E396" s="5"/>
      <c r="F396" s="5"/>
      <c r="G396" s="5"/>
      <c r="H396" s="306"/>
      <c r="I396" s="5"/>
      <c r="J396" s="5"/>
      <c r="K396" s="5"/>
      <c r="L396" s="5"/>
      <c r="M396" s="5"/>
      <c r="N396" s="5"/>
      <c r="O396" s="5"/>
      <c r="P396" s="5"/>
      <c r="Q396" s="57"/>
      <c r="R396" s="5"/>
      <c r="S396" s="5"/>
      <c r="T396" s="5"/>
      <c r="U396" s="5"/>
      <c r="V396" s="5"/>
      <c r="W396" s="5"/>
      <c r="X396" s="5"/>
      <c r="Y396" s="5"/>
      <c r="Z396" s="5"/>
    </row>
    <row r="397" spans="1:26" ht="12.75" customHeight="1">
      <c r="A397" s="5"/>
      <c r="B397" s="5"/>
      <c r="C397" s="5"/>
      <c r="D397" s="5"/>
      <c r="E397" s="5"/>
      <c r="F397" s="5"/>
      <c r="G397" s="5"/>
      <c r="H397" s="306"/>
      <c r="I397" s="5"/>
      <c r="J397" s="5"/>
      <c r="K397" s="5"/>
      <c r="L397" s="5"/>
      <c r="M397" s="5"/>
      <c r="N397" s="5"/>
      <c r="O397" s="5"/>
      <c r="P397" s="5"/>
      <c r="Q397" s="57"/>
      <c r="R397" s="5"/>
      <c r="S397" s="5"/>
      <c r="T397" s="5"/>
      <c r="U397" s="5"/>
      <c r="V397" s="5"/>
      <c r="W397" s="5"/>
      <c r="X397" s="5"/>
      <c r="Y397" s="5"/>
      <c r="Z397" s="5"/>
    </row>
    <row r="398" spans="1:26" ht="12.75" customHeight="1">
      <c r="A398" s="5"/>
      <c r="B398" s="5"/>
      <c r="C398" s="5"/>
      <c r="D398" s="5"/>
      <c r="E398" s="5"/>
      <c r="F398" s="5"/>
      <c r="G398" s="5"/>
      <c r="H398" s="306"/>
      <c r="I398" s="5"/>
      <c r="J398" s="5"/>
      <c r="K398" s="5"/>
      <c r="L398" s="5"/>
      <c r="M398" s="5"/>
      <c r="N398" s="5"/>
      <c r="O398" s="5"/>
      <c r="P398" s="5"/>
      <c r="Q398" s="57"/>
      <c r="R398" s="5"/>
      <c r="S398" s="5"/>
      <c r="T398" s="5"/>
      <c r="U398" s="5"/>
      <c r="V398" s="5"/>
      <c r="W398" s="5"/>
      <c r="X398" s="5"/>
      <c r="Y398" s="5"/>
      <c r="Z398" s="5"/>
    </row>
    <row r="399" spans="1:26" ht="12.75" customHeight="1">
      <c r="A399" s="5"/>
      <c r="B399" s="5"/>
      <c r="C399" s="5"/>
      <c r="D399" s="5"/>
      <c r="E399" s="5"/>
      <c r="F399" s="5"/>
      <c r="G399" s="5"/>
      <c r="H399" s="306"/>
      <c r="I399" s="5"/>
      <c r="J399" s="5"/>
      <c r="K399" s="5"/>
      <c r="L399" s="5"/>
      <c r="M399" s="5"/>
      <c r="N399" s="5"/>
      <c r="O399" s="5"/>
      <c r="P399" s="5"/>
      <c r="Q399" s="57"/>
      <c r="R399" s="5"/>
      <c r="S399" s="5"/>
      <c r="T399" s="5"/>
      <c r="U399" s="5"/>
      <c r="V399" s="5"/>
      <c r="W399" s="5"/>
      <c r="X399" s="5"/>
      <c r="Y399" s="5"/>
      <c r="Z399" s="5"/>
    </row>
    <row r="400" spans="1:26" ht="12.75" customHeight="1">
      <c r="A400" s="5"/>
      <c r="B400" s="5"/>
      <c r="C400" s="5"/>
      <c r="D400" s="5"/>
      <c r="E400" s="5"/>
      <c r="F400" s="5"/>
      <c r="G400" s="5"/>
      <c r="H400" s="306"/>
      <c r="I400" s="5"/>
      <c r="J400" s="5"/>
      <c r="K400" s="5"/>
      <c r="L400" s="5"/>
      <c r="M400" s="5"/>
      <c r="N400" s="5"/>
      <c r="O400" s="5"/>
      <c r="P400" s="5"/>
      <c r="Q400" s="57"/>
      <c r="R400" s="5"/>
      <c r="S400" s="5"/>
      <c r="T400" s="5"/>
      <c r="U400" s="5"/>
      <c r="V400" s="5"/>
      <c r="W400" s="5"/>
      <c r="X400" s="5"/>
      <c r="Y400" s="5"/>
      <c r="Z400" s="5"/>
    </row>
    <row r="401" spans="1:26" ht="12.75" customHeight="1">
      <c r="A401" s="5"/>
      <c r="B401" s="5"/>
      <c r="C401" s="5"/>
      <c r="D401" s="5"/>
      <c r="E401" s="5"/>
      <c r="F401" s="5"/>
      <c r="G401" s="5"/>
      <c r="H401" s="306"/>
      <c r="I401" s="5"/>
      <c r="J401" s="5"/>
      <c r="K401" s="5"/>
      <c r="L401" s="5"/>
      <c r="M401" s="5"/>
      <c r="N401" s="5"/>
      <c r="O401" s="5"/>
      <c r="P401" s="5"/>
      <c r="Q401" s="57"/>
      <c r="R401" s="5"/>
      <c r="S401" s="5"/>
      <c r="T401" s="5"/>
      <c r="U401" s="5"/>
      <c r="V401" s="5"/>
      <c r="W401" s="5"/>
      <c r="X401" s="5"/>
      <c r="Y401" s="5"/>
      <c r="Z401" s="5"/>
    </row>
    <row r="402" spans="1:26" ht="12.75" customHeight="1">
      <c r="A402" s="5"/>
      <c r="B402" s="5"/>
      <c r="C402" s="5"/>
      <c r="D402" s="5"/>
      <c r="E402" s="5"/>
      <c r="F402" s="5"/>
      <c r="G402" s="5"/>
      <c r="H402" s="306"/>
      <c r="I402" s="5"/>
      <c r="J402" s="5"/>
      <c r="K402" s="5"/>
      <c r="L402" s="5"/>
      <c r="M402" s="5"/>
      <c r="N402" s="5"/>
      <c r="O402" s="5"/>
      <c r="P402" s="5"/>
      <c r="Q402" s="57"/>
      <c r="R402" s="5"/>
      <c r="S402" s="5"/>
      <c r="T402" s="5"/>
      <c r="U402" s="5"/>
      <c r="V402" s="5"/>
      <c r="W402" s="5"/>
      <c r="X402" s="5"/>
      <c r="Y402" s="5"/>
      <c r="Z402" s="5"/>
    </row>
    <row r="403" spans="1:26" ht="12.75" customHeight="1">
      <c r="A403" s="5"/>
      <c r="B403" s="5"/>
      <c r="C403" s="5"/>
      <c r="D403" s="5"/>
      <c r="E403" s="5"/>
      <c r="F403" s="5"/>
      <c r="G403" s="5"/>
      <c r="H403" s="306"/>
      <c r="I403" s="5"/>
      <c r="J403" s="5"/>
      <c r="K403" s="5"/>
      <c r="L403" s="5"/>
      <c r="M403" s="5"/>
      <c r="N403" s="5"/>
      <c r="O403" s="5"/>
      <c r="P403" s="5"/>
      <c r="Q403" s="57"/>
      <c r="R403" s="5"/>
      <c r="S403" s="5"/>
      <c r="T403" s="5"/>
      <c r="U403" s="5"/>
      <c r="V403" s="5"/>
      <c r="W403" s="5"/>
      <c r="X403" s="5"/>
      <c r="Y403" s="5"/>
      <c r="Z403" s="5"/>
    </row>
    <row r="404" spans="1:26" ht="12.75" customHeight="1">
      <c r="A404" s="5"/>
      <c r="B404" s="5"/>
      <c r="C404" s="5"/>
      <c r="D404" s="5"/>
      <c r="E404" s="5"/>
      <c r="F404" s="5"/>
      <c r="G404" s="5"/>
      <c r="H404" s="306"/>
      <c r="I404" s="5"/>
      <c r="J404" s="5"/>
      <c r="K404" s="5"/>
      <c r="L404" s="5"/>
      <c r="M404" s="5"/>
      <c r="N404" s="5"/>
      <c r="O404" s="5"/>
      <c r="P404" s="5"/>
      <c r="Q404" s="57"/>
      <c r="R404" s="5"/>
      <c r="S404" s="5"/>
      <c r="T404" s="5"/>
      <c r="U404" s="5"/>
      <c r="V404" s="5"/>
      <c r="W404" s="5"/>
      <c r="X404" s="5"/>
      <c r="Y404" s="5"/>
      <c r="Z404" s="5"/>
    </row>
    <row r="405" spans="1:26" ht="12.75" customHeight="1">
      <c r="A405" s="5"/>
      <c r="B405" s="5"/>
      <c r="C405" s="5"/>
      <c r="D405" s="5"/>
      <c r="E405" s="5"/>
      <c r="F405" s="5"/>
      <c r="G405" s="5"/>
      <c r="H405" s="306"/>
      <c r="I405" s="5"/>
      <c r="J405" s="5"/>
      <c r="K405" s="5"/>
      <c r="L405" s="5"/>
      <c r="M405" s="5"/>
      <c r="N405" s="5"/>
      <c r="O405" s="5"/>
      <c r="P405" s="5"/>
      <c r="Q405" s="57"/>
      <c r="R405" s="5"/>
      <c r="S405" s="5"/>
      <c r="T405" s="5"/>
      <c r="U405" s="5"/>
      <c r="V405" s="5"/>
      <c r="W405" s="5"/>
      <c r="X405" s="5"/>
      <c r="Y405" s="5"/>
      <c r="Z405" s="5"/>
    </row>
    <row r="406" spans="1:26" ht="12.75" customHeight="1">
      <c r="A406" s="5"/>
      <c r="B406" s="5"/>
      <c r="C406" s="5"/>
      <c r="D406" s="5"/>
      <c r="E406" s="5"/>
      <c r="F406" s="5"/>
      <c r="G406" s="5"/>
      <c r="H406" s="306"/>
      <c r="I406" s="5"/>
      <c r="J406" s="5"/>
      <c r="K406" s="5"/>
      <c r="L406" s="5"/>
      <c r="M406" s="5"/>
      <c r="N406" s="5"/>
      <c r="O406" s="5"/>
      <c r="P406" s="5"/>
      <c r="Q406" s="57"/>
      <c r="R406" s="5"/>
      <c r="S406" s="5"/>
      <c r="T406" s="5"/>
      <c r="U406" s="5"/>
      <c r="V406" s="5"/>
      <c r="W406" s="5"/>
      <c r="X406" s="5"/>
      <c r="Y406" s="5"/>
      <c r="Z406" s="5"/>
    </row>
    <row r="407" spans="1:26" ht="12.75" customHeight="1">
      <c r="A407" s="5"/>
      <c r="B407" s="5"/>
      <c r="C407" s="5"/>
      <c r="D407" s="5"/>
      <c r="E407" s="5"/>
      <c r="F407" s="5"/>
      <c r="G407" s="5"/>
      <c r="H407" s="306"/>
      <c r="I407" s="5"/>
      <c r="J407" s="5"/>
      <c r="K407" s="5"/>
      <c r="L407" s="5"/>
      <c r="M407" s="5"/>
      <c r="N407" s="5"/>
      <c r="O407" s="5"/>
      <c r="P407" s="5"/>
      <c r="Q407" s="57"/>
      <c r="R407" s="5"/>
      <c r="S407" s="5"/>
      <c r="T407" s="5"/>
      <c r="U407" s="5"/>
      <c r="V407" s="5"/>
      <c r="W407" s="5"/>
      <c r="X407" s="5"/>
      <c r="Y407" s="5"/>
      <c r="Z407" s="5"/>
    </row>
    <row r="408" spans="1:26" ht="12.75" customHeight="1">
      <c r="A408" s="5"/>
      <c r="B408" s="5"/>
      <c r="C408" s="5"/>
      <c r="D408" s="5"/>
      <c r="E408" s="5"/>
      <c r="F408" s="5"/>
      <c r="G408" s="5"/>
      <c r="H408" s="306"/>
      <c r="I408" s="5"/>
      <c r="J408" s="5"/>
      <c r="K408" s="5"/>
      <c r="L408" s="5"/>
      <c r="M408" s="5"/>
      <c r="N408" s="5"/>
      <c r="O408" s="5"/>
      <c r="P408" s="5"/>
      <c r="Q408" s="57"/>
      <c r="R408" s="5"/>
      <c r="S408" s="5"/>
      <c r="T408" s="5"/>
      <c r="U408" s="5"/>
      <c r="V408" s="5"/>
      <c r="W408" s="5"/>
      <c r="X408" s="5"/>
      <c r="Y408" s="5"/>
      <c r="Z408" s="5"/>
    </row>
    <row r="409" spans="1:26" ht="12.75" customHeight="1">
      <c r="A409" s="5"/>
      <c r="B409" s="5"/>
      <c r="C409" s="5"/>
      <c r="D409" s="5"/>
      <c r="E409" s="5"/>
      <c r="F409" s="5"/>
      <c r="G409" s="5"/>
      <c r="H409" s="306"/>
      <c r="I409" s="5"/>
      <c r="J409" s="5"/>
      <c r="K409" s="5"/>
      <c r="L409" s="5"/>
      <c r="M409" s="5"/>
      <c r="N409" s="5"/>
      <c r="O409" s="5"/>
      <c r="P409" s="5"/>
      <c r="Q409" s="57"/>
      <c r="R409" s="5"/>
      <c r="S409" s="5"/>
      <c r="T409" s="5"/>
      <c r="U409" s="5"/>
      <c r="V409" s="5"/>
      <c r="W409" s="5"/>
      <c r="X409" s="5"/>
      <c r="Y409" s="5"/>
      <c r="Z409" s="5"/>
    </row>
    <row r="410" spans="1:26" ht="12.75" customHeight="1">
      <c r="A410" s="5"/>
      <c r="B410" s="5"/>
      <c r="C410" s="5"/>
      <c r="D410" s="5"/>
      <c r="E410" s="5"/>
      <c r="F410" s="5"/>
      <c r="G410" s="5"/>
      <c r="H410" s="306"/>
      <c r="I410" s="5"/>
      <c r="J410" s="5"/>
      <c r="K410" s="5"/>
      <c r="L410" s="5"/>
      <c r="M410" s="5"/>
      <c r="N410" s="5"/>
      <c r="O410" s="5"/>
      <c r="P410" s="5"/>
      <c r="Q410" s="57"/>
      <c r="R410" s="5"/>
      <c r="S410" s="5"/>
      <c r="T410" s="5"/>
      <c r="U410" s="5"/>
      <c r="V410" s="5"/>
      <c r="W410" s="5"/>
      <c r="X410" s="5"/>
      <c r="Y410" s="5"/>
      <c r="Z410" s="5"/>
    </row>
    <row r="411" spans="1:26" ht="12.75" customHeight="1">
      <c r="A411" s="5"/>
      <c r="B411" s="5"/>
      <c r="C411" s="5"/>
      <c r="D411" s="5"/>
      <c r="E411" s="5"/>
      <c r="F411" s="5"/>
      <c r="G411" s="5"/>
      <c r="H411" s="306"/>
      <c r="I411" s="5"/>
      <c r="J411" s="5"/>
      <c r="K411" s="5"/>
      <c r="L411" s="5"/>
      <c r="M411" s="5"/>
      <c r="N411" s="5"/>
      <c r="O411" s="5"/>
      <c r="P411" s="5"/>
      <c r="Q411" s="57"/>
      <c r="R411" s="5"/>
      <c r="S411" s="5"/>
      <c r="T411" s="5"/>
      <c r="U411" s="5"/>
      <c r="V411" s="5"/>
      <c r="W411" s="5"/>
      <c r="X411" s="5"/>
      <c r="Y411" s="5"/>
      <c r="Z411" s="5"/>
    </row>
    <row r="412" spans="1:26" ht="12.75" customHeight="1">
      <c r="A412" s="5"/>
      <c r="B412" s="5"/>
      <c r="C412" s="5"/>
      <c r="D412" s="5"/>
      <c r="E412" s="5"/>
      <c r="F412" s="5"/>
      <c r="G412" s="5"/>
      <c r="H412" s="306"/>
      <c r="I412" s="5"/>
      <c r="J412" s="5"/>
      <c r="K412" s="5"/>
      <c r="L412" s="5"/>
      <c r="M412" s="5"/>
      <c r="N412" s="5"/>
      <c r="O412" s="5"/>
      <c r="P412" s="5"/>
      <c r="Q412" s="57"/>
      <c r="R412" s="5"/>
      <c r="S412" s="5"/>
      <c r="T412" s="5"/>
      <c r="U412" s="5"/>
      <c r="V412" s="5"/>
      <c r="W412" s="5"/>
      <c r="X412" s="5"/>
      <c r="Y412" s="5"/>
      <c r="Z412" s="5"/>
    </row>
    <row r="413" spans="1:26" ht="12.75" customHeight="1">
      <c r="A413" s="5"/>
      <c r="B413" s="5"/>
      <c r="C413" s="5"/>
      <c r="D413" s="5"/>
      <c r="E413" s="5"/>
      <c r="F413" s="5"/>
      <c r="G413" s="5"/>
      <c r="H413" s="306"/>
      <c r="I413" s="5"/>
      <c r="J413" s="5"/>
      <c r="K413" s="5"/>
      <c r="L413" s="5"/>
      <c r="M413" s="5"/>
      <c r="N413" s="5"/>
      <c r="O413" s="5"/>
      <c r="P413" s="5"/>
      <c r="Q413" s="57"/>
      <c r="R413" s="5"/>
      <c r="S413" s="5"/>
      <c r="T413" s="5"/>
      <c r="U413" s="5"/>
      <c r="V413" s="5"/>
      <c r="W413" s="5"/>
      <c r="X413" s="5"/>
      <c r="Y413" s="5"/>
      <c r="Z413" s="5"/>
    </row>
    <row r="414" spans="1:26" ht="12.75" customHeight="1">
      <c r="A414" s="5"/>
      <c r="B414" s="5"/>
      <c r="C414" s="5"/>
      <c r="D414" s="5"/>
      <c r="E414" s="5"/>
      <c r="F414" s="5"/>
      <c r="G414" s="5"/>
      <c r="H414" s="306"/>
      <c r="I414" s="5"/>
      <c r="J414" s="5"/>
      <c r="K414" s="5"/>
      <c r="L414" s="5"/>
      <c r="M414" s="5"/>
      <c r="N414" s="5"/>
      <c r="O414" s="5"/>
      <c r="P414" s="5"/>
      <c r="Q414" s="57"/>
      <c r="R414" s="5"/>
      <c r="S414" s="5"/>
      <c r="T414" s="5"/>
      <c r="U414" s="5"/>
      <c r="V414" s="5"/>
      <c r="W414" s="5"/>
      <c r="X414" s="5"/>
      <c r="Y414" s="5"/>
      <c r="Z414" s="5"/>
    </row>
    <row r="415" spans="1:26" ht="12.75" customHeight="1">
      <c r="A415" s="5"/>
      <c r="B415" s="5"/>
      <c r="C415" s="5"/>
      <c r="D415" s="5"/>
      <c r="E415" s="5"/>
      <c r="F415" s="5"/>
      <c r="G415" s="5"/>
      <c r="H415" s="306"/>
      <c r="I415" s="5"/>
      <c r="J415" s="5"/>
      <c r="K415" s="5"/>
      <c r="L415" s="5"/>
      <c r="M415" s="5"/>
      <c r="N415" s="5"/>
      <c r="O415" s="5"/>
      <c r="P415" s="5"/>
      <c r="Q415" s="57"/>
      <c r="R415" s="5"/>
      <c r="S415" s="5"/>
      <c r="T415" s="5"/>
      <c r="U415" s="5"/>
      <c r="V415" s="5"/>
      <c r="W415" s="5"/>
      <c r="X415" s="5"/>
      <c r="Y415" s="5"/>
      <c r="Z415" s="5"/>
    </row>
    <row r="416" spans="1:26" ht="12.75" customHeight="1">
      <c r="A416" s="5"/>
      <c r="B416" s="5"/>
      <c r="C416" s="5"/>
      <c r="D416" s="5"/>
      <c r="E416" s="5"/>
      <c r="F416" s="5"/>
      <c r="G416" s="5"/>
      <c r="H416" s="306"/>
      <c r="I416" s="5"/>
      <c r="J416" s="5"/>
      <c r="K416" s="5"/>
      <c r="L416" s="5"/>
      <c r="M416" s="5"/>
      <c r="N416" s="5"/>
      <c r="O416" s="5"/>
      <c r="P416" s="5"/>
      <c r="Q416" s="57"/>
      <c r="R416" s="5"/>
      <c r="S416" s="5"/>
      <c r="T416" s="5"/>
      <c r="U416" s="5"/>
      <c r="V416" s="5"/>
      <c r="W416" s="5"/>
      <c r="X416" s="5"/>
      <c r="Y416" s="5"/>
      <c r="Z416" s="5"/>
    </row>
    <row r="417" spans="1:26" ht="12.75" customHeight="1">
      <c r="A417" s="5"/>
      <c r="B417" s="5"/>
      <c r="C417" s="5"/>
      <c r="D417" s="5"/>
      <c r="E417" s="5"/>
      <c r="F417" s="5"/>
      <c r="G417" s="5"/>
      <c r="H417" s="306"/>
      <c r="I417" s="5"/>
      <c r="J417" s="5"/>
      <c r="K417" s="5"/>
      <c r="L417" s="5"/>
      <c r="M417" s="5"/>
      <c r="N417" s="5"/>
      <c r="O417" s="5"/>
      <c r="P417" s="5"/>
      <c r="Q417" s="57"/>
      <c r="R417" s="5"/>
      <c r="S417" s="5"/>
      <c r="T417" s="5"/>
      <c r="U417" s="5"/>
      <c r="V417" s="5"/>
      <c r="W417" s="5"/>
      <c r="X417" s="5"/>
      <c r="Y417" s="5"/>
      <c r="Z417" s="5"/>
    </row>
    <row r="418" spans="1:26" ht="12.75" customHeight="1">
      <c r="A418" s="5"/>
      <c r="B418" s="5"/>
      <c r="C418" s="5"/>
      <c r="D418" s="5"/>
      <c r="E418" s="5"/>
      <c r="F418" s="5"/>
      <c r="G418" s="5"/>
      <c r="H418" s="306"/>
      <c r="I418" s="5"/>
      <c r="J418" s="5"/>
      <c r="K418" s="5"/>
      <c r="L418" s="5"/>
      <c r="M418" s="5"/>
      <c r="N418" s="5"/>
      <c r="O418" s="5"/>
      <c r="P418" s="5"/>
      <c r="Q418" s="57"/>
      <c r="R418" s="5"/>
      <c r="S418" s="5"/>
      <c r="T418" s="5"/>
      <c r="U418" s="5"/>
      <c r="V418" s="5"/>
      <c r="W418" s="5"/>
      <c r="X418" s="5"/>
      <c r="Y418" s="5"/>
      <c r="Z418" s="5"/>
    </row>
    <row r="419" spans="1:26" ht="12.75" customHeight="1">
      <c r="A419" s="5"/>
      <c r="B419" s="5"/>
      <c r="C419" s="5"/>
      <c r="D419" s="5"/>
      <c r="E419" s="5"/>
      <c r="F419" s="5"/>
      <c r="G419" s="5"/>
      <c r="H419" s="306"/>
      <c r="I419" s="5"/>
      <c r="J419" s="5"/>
      <c r="K419" s="5"/>
      <c r="L419" s="5"/>
      <c r="M419" s="5"/>
      <c r="N419" s="5"/>
      <c r="O419" s="5"/>
      <c r="P419" s="5"/>
      <c r="Q419" s="57"/>
      <c r="R419" s="5"/>
      <c r="S419" s="5"/>
      <c r="T419" s="5"/>
      <c r="U419" s="5"/>
      <c r="V419" s="5"/>
      <c r="W419" s="5"/>
      <c r="X419" s="5"/>
      <c r="Y419" s="5"/>
      <c r="Z419" s="5"/>
    </row>
    <row r="420" spans="1:26" ht="12.75" customHeight="1">
      <c r="A420" s="5"/>
      <c r="B420" s="5"/>
      <c r="C420" s="5"/>
      <c r="D420" s="5"/>
      <c r="E420" s="5"/>
      <c r="F420" s="5"/>
      <c r="G420" s="5"/>
      <c r="H420" s="306"/>
      <c r="I420" s="5"/>
      <c r="J420" s="5"/>
      <c r="K420" s="5"/>
      <c r="L420" s="5"/>
      <c r="M420" s="5"/>
      <c r="N420" s="5"/>
      <c r="O420" s="5"/>
      <c r="P420" s="5"/>
      <c r="Q420" s="57"/>
      <c r="R420" s="5"/>
      <c r="S420" s="5"/>
      <c r="T420" s="5"/>
      <c r="U420" s="5"/>
      <c r="V420" s="5"/>
      <c r="W420" s="5"/>
      <c r="X420" s="5"/>
      <c r="Y420" s="5"/>
      <c r="Z420" s="5"/>
    </row>
    <row r="421" spans="1:26" ht="12.75" customHeight="1">
      <c r="A421" s="5"/>
      <c r="B421" s="5"/>
      <c r="C421" s="5"/>
      <c r="D421" s="5"/>
      <c r="E421" s="5"/>
      <c r="F421" s="5"/>
      <c r="G421" s="5"/>
      <c r="H421" s="306"/>
      <c r="I421" s="5"/>
      <c r="J421" s="5"/>
      <c r="K421" s="5"/>
      <c r="L421" s="5"/>
      <c r="M421" s="5"/>
      <c r="N421" s="5"/>
      <c r="O421" s="5"/>
      <c r="P421" s="5"/>
      <c r="Q421" s="57"/>
      <c r="R421" s="5"/>
      <c r="S421" s="5"/>
      <c r="T421" s="5"/>
      <c r="U421" s="5"/>
      <c r="V421" s="5"/>
      <c r="W421" s="5"/>
      <c r="X421" s="5"/>
      <c r="Y421" s="5"/>
      <c r="Z421" s="5"/>
    </row>
    <row r="422" spans="1:26" ht="12.75" customHeight="1">
      <c r="A422" s="5"/>
      <c r="B422" s="5"/>
      <c r="C422" s="5"/>
      <c r="D422" s="5"/>
      <c r="E422" s="5"/>
      <c r="F422" s="5"/>
      <c r="G422" s="5"/>
      <c r="H422" s="306"/>
      <c r="I422" s="5"/>
      <c r="J422" s="5"/>
      <c r="K422" s="5"/>
      <c r="L422" s="5"/>
      <c r="M422" s="5"/>
      <c r="N422" s="5"/>
      <c r="O422" s="5"/>
      <c r="P422" s="5"/>
      <c r="Q422" s="57"/>
      <c r="R422" s="5"/>
      <c r="S422" s="5"/>
      <c r="T422" s="5"/>
      <c r="U422" s="5"/>
      <c r="V422" s="5"/>
      <c r="W422" s="5"/>
      <c r="X422" s="5"/>
      <c r="Y422" s="5"/>
      <c r="Z422" s="5"/>
    </row>
    <row r="423" spans="1:26" ht="12.75" customHeight="1">
      <c r="A423" s="5"/>
      <c r="B423" s="5"/>
      <c r="C423" s="5"/>
      <c r="D423" s="5"/>
      <c r="E423" s="5"/>
      <c r="F423" s="5"/>
      <c r="G423" s="5"/>
      <c r="H423" s="306"/>
      <c r="I423" s="5"/>
      <c r="J423" s="5"/>
      <c r="K423" s="5"/>
      <c r="L423" s="5"/>
      <c r="M423" s="5"/>
      <c r="N423" s="5"/>
      <c r="O423" s="5"/>
      <c r="P423" s="5"/>
      <c r="Q423" s="57"/>
      <c r="R423" s="5"/>
      <c r="S423" s="5"/>
      <c r="T423" s="5"/>
      <c r="U423" s="5"/>
      <c r="V423" s="5"/>
      <c r="W423" s="5"/>
      <c r="X423" s="5"/>
      <c r="Y423" s="5"/>
      <c r="Z423" s="5"/>
    </row>
    <row r="424" spans="1:26" ht="12.75" customHeight="1">
      <c r="A424" s="5"/>
      <c r="B424" s="5"/>
      <c r="C424" s="5"/>
      <c r="D424" s="5"/>
      <c r="E424" s="5"/>
      <c r="F424" s="5"/>
      <c r="G424" s="5"/>
      <c r="H424" s="306"/>
      <c r="I424" s="5"/>
      <c r="J424" s="5"/>
      <c r="K424" s="5"/>
      <c r="L424" s="5"/>
      <c r="M424" s="5"/>
      <c r="N424" s="5"/>
      <c r="O424" s="5"/>
      <c r="P424" s="5"/>
      <c r="Q424" s="57"/>
      <c r="R424" s="5"/>
      <c r="S424" s="5"/>
      <c r="T424" s="5"/>
      <c r="U424" s="5"/>
      <c r="V424" s="5"/>
      <c r="W424" s="5"/>
      <c r="X424" s="5"/>
      <c r="Y424" s="5"/>
      <c r="Z424" s="5"/>
    </row>
    <row r="425" spans="1:26" ht="12.75" customHeight="1">
      <c r="A425" s="5"/>
      <c r="B425" s="5"/>
      <c r="C425" s="5"/>
      <c r="D425" s="5"/>
      <c r="E425" s="5"/>
      <c r="F425" s="5"/>
      <c r="G425" s="5"/>
      <c r="H425" s="306"/>
      <c r="I425" s="5"/>
      <c r="J425" s="5"/>
      <c r="K425" s="5"/>
      <c r="L425" s="5"/>
      <c r="M425" s="5"/>
      <c r="N425" s="5"/>
      <c r="O425" s="5"/>
      <c r="P425" s="5"/>
      <c r="Q425" s="57"/>
      <c r="R425" s="5"/>
      <c r="S425" s="5"/>
      <c r="T425" s="5"/>
      <c r="U425" s="5"/>
      <c r="V425" s="5"/>
      <c r="W425" s="5"/>
      <c r="X425" s="5"/>
      <c r="Y425" s="5"/>
      <c r="Z425" s="5"/>
    </row>
    <row r="426" spans="1:26" ht="12.75" customHeight="1">
      <c r="A426" s="5"/>
      <c r="B426" s="5"/>
      <c r="C426" s="5"/>
      <c r="D426" s="5"/>
      <c r="E426" s="5"/>
      <c r="F426" s="5"/>
      <c r="G426" s="5"/>
      <c r="H426" s="306"/>
      <c r="I426" s="5"/>
      <c r="J426" s="5"/>
      <c r="K426" s="5"/>
      <c r="L426" s="5"/>
      <c r="M426" s="5"/>
      <c r="N426" s="5"/>
      <c r="O426" s="5"/>
      <c r="P426" s="5"/>
      <c r="Q426" s="57"/>
      <c r="R426" s="5"/>
      <c r="S426" s="5"/>
      <c r="T426" s="5"/>
      <c r="U426" s="5"/>
      <c r="V426" s="5"/>
      <c r="W426" s="5"/>
      <c r="X426" s="5"/>
      <c r="Y426" s="5"/>
      <c r="Z426" s="5"/>
    </row>
    <row r="427" spans="1:26" ht="12.75" customHeight="1">
      <c r="A427" s="5"/>
      <c r="B427" s="5"/>
      <c r="C427" s="5"/>
      <c r="D427" s="5"/>
      <c r="E427" s="5"/>
      <c r="F427" s="5"/>
      <c r="G427" s="5"/>
      <c r="H427" s="306"/>
      <c r="I427" s="5"/>
      <c r="J427" s="5"/>
      <c r="K427" s="5"/>
      <c r="L427" s="5"/>
      <c r="M427" s="5"/>
      <c r="N427" s="5"/>
      <c r="O427" s="5"/>
      <c r="P427" s="5"/>
      <c r="Q427" s="57"/>
      <c r="R427" s="5"/>
      <c r="S427" s="5"/>
      <c r="T427" s="5"/>
      <c r="U427" s="5"/>
      <c r="V427" s="5"/>
      <c r="W427" s="5"/>
      <c r="X427" s="5"/>
      <c r="Y427" s="5"/>
      <c r="Z427" s="5"/>
    </row>
    <row r="428" spans="1:26" ht="12.75" customHeight="1">
      <c r="A428" s="5"/>
      <c r="B428" s="5"/>
      <c r="C428" s="5"/>
      <c r="D428" s="5"/>
      <c r="E428" s="5"/>
      <c r="F428" s="5"/>
      <c r="G428" s="5"/>
      <c r="H428" s="306"/>
      <c r="I428" s="5"/>
      <c r="J428" s="5"/>
      <c r="K428" s="5"/>
      <c r="L428" s="5"/>
      <c r="M428" s="5"/>
      <c r="N428" s="5"/>
      <c r="O428" s="5"/>
      <c r="P428" s="5"/>
      <c r="Q428" s="57"/>
      <c r="R428" s="5"/>
      <c r="S428" s="5"/>
      <c r="T428" s="5"/>
      <c r="U428" s="5"/>
      <c r="V428" s="5"/>
      <c r="W428" s="5"/>
      <c r="X428" s="5"/>
      <c r="Y428" s="5"/>
      <c r="Z428" s="5"/>
    </row>
    <row r="429" spans="1:26" ht="12.75" customHeight="1">
      <c r="A429" s="5"/>
      <c r="B429" s="5"/>
      <c r="C429" s="5"/>
      <c r="D429" s="5"/>
      <c r="E429" s="5"/>
      <c r="F429" s="5"/>
      <c r="G429" s="5"/>
      <c r="H429" s="306"/>
      <c r="I429" s="5"/>
      <c r="J429" s="5"/>
      <c r="K429" s="5"/>
      <c r="L429" s="5"/>
      <c r="M429" s="5"/>
      <c r="N429" s="5"/>
      <c r="O429" s="5"/>
      <c r="P429" s="5"/>
      <c r="Q429" s="57"/>
      <c r="R429" s="5"/>
      <c r="S429" s="5"/>
      <c r="T429" s="5"/>
      <c r="U429" s="5"/>
      <c r="V429" s="5"/>
      <c r="W429" s="5"/>
      <c r="X429" s="5"/>
      <c r="Y429" s="5"/>
      <c r="Z429" s="5"/>
    </row>
    <row r="430" spans="1:26" ht="12.75" customHeight="1">
      <c r="A430" s="5"/>
      <c r="B430" s="5"/>
      <c r="C430" s="5"/>
      <c r="D430" s="5"/>
      <c r="E430" s="5"/>
      <c r="F430" s="5"/>
      <c r="G430" s="5"/>
      <c r="H430" s="306"/>
      <c r="I430" s="5"/>
      <c r="J430" s="5"/>
      <c r="K430" s="5"/>
      <c r="L430" s="5"/>
      <c r="M430" s="5"/>
      <c r="N430" s="5"/>
      <c r="O430" s="5"/>
      <c r="P430" s="5"/>
      <c r="Q430" s="57"/>
      <c r="R430" s="5"/>
      <c r="S430" s="5"/>
      <c r="T430" s="5"/>
      <c r="U430" s="5"/>
      <c r="V430" s="5"/>
      <c r="W430" s="5"/>
      <c r="X430" s="5"/>
      <c r="Y430" s="5"/>
      <c r="Z430" s="5"/>
    </row>
    <row r="431" spans="1:26" ht="12.75" customHeight="1">
      <c r="A431" s="5"/>
      <c r="B431" s="5"/>
      <c r="C431" s="5"/>
      <c r="D431" s="5"/>
      <c r="E431" s="5"/>
      <c r="F431" s="5"/>
      <c r="G431" s="5"/>
      <c r="H431" s="306"/>
      <c r="I431" s="5"/>
      <c r="J431" s="5"/>
      <c r="K431" s="5"/>
      <c r="L431" s="5"/>
      <c r="M431" s="5"/>
      <c r="N431" s="5"/>
      <c r="O431" s="5"/>
      <c r="P431" s="5"/>
      <c r="Q431" s="57"/>
      <c r="R431" s="5"/>
      <c r="S431" s="5"/>
      <c r="T431" s="5"/>
      <c r="U431" s="5"/>
      <c r="V431" s="5"/>
      <c r="W431" s="5"/>
      <c r="X431" s="5"/>
      <c r="Y431" s="5"/>
      <c r="Z431" s="5"/>
    </row>
    <row r="432" spans="1:26" ht="12.75" customHeight="1">
      <c r="A432" s="5"/>
      <c r="B432" s="5"/>
      <c r="C432" s="5"/>
      <c r="D432" s="5"/>
      <c r="E432" s="5"/>
      <c r="F432" s="5"/>
      <c r="G432" s="5"/>
      <c r="H432" s="306"/>
      <c r="I432" s="5"/>
      <c r="J432" s="5"/>
      <c r="K432" s="5"/>
      <c r="L432" s="5"/>
      <c r="M432" s="5"/>
      <c r="N432" s="5"/>
      <c r="O432" s="5"/>
      <c r="P432" s="5"/>
      <c r="Q432" s="57"/>
      <c r="R432" s="5"/>
      <c r="S432" s="5"/>
      <c r="T432" s="5"/>
      <c r="U432" s="5"/>
      <c r="V432" s="5"/>
      <c r="W432" s="5"/>
      <c r="X432" s="5"/>
      <c r="Y432" s="5"/>
      <c r="Z432" s="5"/>
    </row>
    <row r="433" spans="1:26" ht="12.75" customHeight="1">
      <c r="A433" s="5"/>
      <c r="B433" s="5"/>
      <c r="C433" s="5"/>
      <c r="D433" s="5"/>
      <c r="E433" s="5"/>
      <c r="F433" s="5"/>
      <c r="G433" s="5"/>
      <c r="H433" s="306"/>
      <c r="I433" s="5"/>
      <c r="J433" s="5"/>
      <c r="K433" s="5"/>
      <c r="L433" s="5"/>
      <c r="M433" s="5"/>
      <c r="N433" s="5"/>
      <c r="O433" s="5"/>
      <c r="P433" s="5"/>
      <c r="Q433" s="57"/>
      <c r="R433" s="5"/>
      <c r="S433" s="5"/>
      <c r="T433" s="5"/>
      <c r="U433" s="5"/>
      <c r="V433" s="5"/>
      <c r="W433" s="5"/>
      <c r="X433" s="5"/>
      <c r="Y433" s="5"/>
      <c r="Z433" s="5"/>
    </row>
    <row r="434" spans="1:26" ht="12.75" customHeight="1">
      <c r="A434" s="5"/>
      <c r="B434" s="5"/>
      <c r="C434" s="5"/>
      <c r="D434" s="5"/>
      <c r="E434" s="5"/>
      <c r="F434" s="5"/>
      <c r="G434" s="5"/>
      <c r="H434" s="306"/>
      <c r="I434" s="5"/>
      <c r="J434" s="5"/>
      <c r="K434" s="5"/>
      <c r="L434" s="5"/>
      <c r="M434" s="5"/>
      <c r="N434" s="5"/>
      <c r="O434" s="5"/>
      <c r="P434" s="5"/>
      <c r="Q434" s="57"/>
      <c r="R434" s="5"/>
      <c r="S434" s="5"/>
      <c r="T434" s="5"/>
      <c r="U434" s="5"/>
      <c r="V434" s="5"/>
      <c r="W434" s="5"/>
      <c r="X434" s="5"/>
      <c r="Y434" s="5"/>
      <c r="Z434" s="5"/>
    </row>
    <row r="435" spans="1:26" ht="12.75" customHeight="1">
      <c r="A435" s="5"/>
      <c r="B435" s="5"/>
      <c r="C435" s="5"/>
      <c r="D435" s="5"/>
      <c r="E435" s="5"/>
      <c r="F435" s="5"/>
      <c r="G435" s="5"/>
      <c r="H435" s="306"/>
      <c r="I435" s="5"/>
      <c r="J435" s="5"/>
      <c r="K435" s="5"/>
      <c r="L435" s="5"/>
      <c r="M435" s="5"/>
      <c r="N435" s="5"/>
      <c r="O435" s="5"/>
      <c r="P435" s="5"/>
      <c r="Q435" s="57"/>
      <c r="R435" s="5"/>
      <c r="S435" s="5"/>
      <c r="T435" s="5"/>
      <c r="U435" s="5"/>
      <c r="V435" s="5"/>
      <c r="W435" s="5"/>
      <c r="X435" s="5"/>
      <c r="Y435" s="5"/>
      <c r="Z435" s="5"/>
    </row>
    <row r="436" spans="1:26" ht="12.75" customHeight="1">
      <c r="A436" s="5"/>
      <c r="B436" s="5"/>
      <c r="C436" s="5"/>
      <c r="D436" s="5"/>
      <c r="E436" s="5"/>
      <c r="F436" s="5"/>
      <c r="G436" s="5"/>
      <c r="H436" s="306"/>
      <c r="I436" s="5"/>
      <c r="J436" s="5"/>
      <c r="K436" s="5"/>
      <c r="L436" s="5"/>
      <c r="M436" s="5"/>
      <c r="N436" s="5"/>
      <c r="O436" s="5"/>
      <c r="P436" s="5"/>
      <c r="Q436" s="57"/>
      <c r="R436" s="5"/>
      <c r="S436" s="5"/>
      <c r="T436" s="5"/>
      <c r="U436" s="5"/>
      <c r="V436" s="5"/>
      <c r="W436" s="5"/>
      <c r="X436" s="5"/>
      <c r="Y436" s="5"/>
      <c r="Z436" s="5"/>
    </row>
    <row r="437" spans="1:26" ht="12.75" customHeight="1">
      <c r="A437" s="5"/>
      <c r="B437" s="5"/>
      <c r="C437" s="5"/>
      <c r="D437" s="5"/>
      <c r="E437" s="5"/>
      <c r="F437" s="5"/>
      <c r="G437" s="5"/>
      <c r="H437" s="306"/>
      <c r="I437" s="5"/>
      <c r="J437" s="5"/>
      <c r="K437" s="5"/>
      <c r="L437" s="5"/>
      <c r="M437" s="5"/>
      <c r="N437" s="5"/>
      <c r="O437" s="5"/>
      <c r="P437" s="5"/>
      <c r="Q437" s="57"/>
      <c r="R437" s="5"/>
      <c r="S437" s="5"/>
      <c r="T437" s="5"/>
      <c r="U437" s="5"/>
      <c r="V437" s="5"/>
      <c r="W437" s="5"/>
      <c r="X437" s="5"/>
      <c r="Y437" s="5"/>
      <c r="Z437" s="5"/>
    </row>
    <row r="438" spans="1:26" ht="12.75" customHeight="1">
      <c r="A438" s="5"/>
      <c r="B438" s="5"/>
      <c r="C438" s="5"/>
      <c r="D438" s="5"/>
      <c r="E438" s="5"/>
      <c r="F438" s="5"/>
      <c r="G438" s="5"/>
      <c r="H438" s="306"/>
      <c r="I438" s="5"/>
      <c r="J438" s="5"/>
      <c r="K438" s="5"/>
      <c r="L438" s="5"/>
      <c r="M438" s="5"/>
      <c r="N438" s="5"/>
      <c r="O438" s="5"/>
      <c r="P438" s="5"/>
      <c r="Q438" s="57"/>
      <c r="R438" s="5"/>
      <c r="S438" s="5"/>
      <c r="T438" s="5"/>
      <c r="U438" s="5"/>
      <c r="V438" s="5"/>
      <c r="W438" s="5"/>
      <c r="X438" s="5"/>
      <c r="Y438" s="5"/>
      <c r="Z438" s="5"/>
    </row>
    <row r="439" spans="1:26" ht="12.75" customHeight="1">
      <c r="A439" s="5"/>
      <c r="B439" s="5"/>
      <c r="C439" s="5"/>
      <c r="D439" s="5"/>
      <c r="E439" s="5"/>
      <c r="F439" s="5"/>
      <c r="G439" s="5"/>
      <c r="H439" s="306"/>
      <c r="I439" s="5"/>
      <c r="J439" s="5"/>
      <c r="K439" s="5"/>
      <c r="L439" s="5"/>
      <c r="M439" s="5"/>
      <c r="N439" s="5"/>
      <c r="O439" s="5"/>
      <c r="P439" s="5"/>
      <c r="Q439" s="57"/>
      <c r="R439" s="5"/>
      <c r="S439" s="5"/>
      <c r="T439" s="5"/>
      <c r="U439" s="5"/>
      <c r="V439" s="5"/>
      <c r="W439" s="5"/>
      <c r="X439" s="5"/>
      <c r="Y439" s="5"/>
      <c r="Z439" s="5"/>
    </row>
    <row r="440" spans="1:26" ht="12.75" customHeight="1">
      <c r="A440" s="5"/>
      <c r="B440" s="5"/>
      <c r="C440" s="5"/>
      <c r="D440" s="5"/>
      <c r="E440" s="5"/>
      <c r="F440" s="5"/>
      <c r="G440" s="5"/>
      <c r="H440" s="306"/>
      <c r="I440" s="5"/>
      <c r="J440" s="5"/>
      <c r="K440" s="5"/>
      <c r="L440" s="5"/>
      <c r="M440" s="5"/>
      <c r="N440" s="5"/>
      <c r="O440" s="5"/>
      <c r="P440" s="5"/>
      <c r="Q440" s="57"/>
      <c r="R440" s="5"/>
      <c r="S440" s="5"/>
      <c r="T440" s="5"/>
      <c r="U440" s="5"/>
      <c r="V440" s="5"/>
      <c r="W440" s="5"/>
      <c r="X440" s="5"/>
      <c r="Y440" s="5"/>
      <c r="Z440" s="5"/>
    </row>
    <row r="441" spans="1:26" ht="12.75" customHeight="1">
      <c r="A441" s="5"/>
      <c r="B441" s="5"/>
      <c r="C441" s="5"/>
      <c r="D441" s="5"/>
      <c r="E441" s="5"/>
      <c r="F441" s="5"/>
      <c r="G441" s="5"/>
      <c r="H441" s="306"/>
      <c r="I441" s="5"/>
      <c r="J441" s="5"/>
      <c r="K441" s="5"/>
      <c r="L441" s="5"/>
      <c r="M441" s="5"/>
      <c r="N441" s="5"/>
      <c r="O441" s="5"/>
      <c r="P441" s="5"/>
      <c r="Q441" s="57"/>
      <c r="R441" s="5"/>
      <c r="S441" s="5"/>
      <c r="T441" s="5"/>
      <c r="U441" s="5"/>
      <c r="V441" s="5"/>
      <c r="W441" s="5"/>
      <c r="X441" s="5"/>
      <c r="Y441" s="5"/>
      <c r="Z441" s="5"/>
    </row>
    <row r="442" spans="1:26" ht="12.75" customHeight="1">
      <c r="A442" s="5"/>
      <c r="B442" s="5"/>
      <c r="C442" s="5"/>
      <c r="D442" s="5"/>
      <c r="E442" s="5"/>
      <c r="F442" s="5"/>
      <c r="G442" s="5"/>
      <c r="H442" s="306"/>
      <c r="I442" s="5"/>
      <c r="J442" s="5"/>
      <c r="K442" s="5"/>
      <c r="L442" s="5"/>
      <c r="M442" s="5"/>
      <c r="N442" s="5"/>
      <c r="O442" s="5"/>
      <c r="P442" s="5"/>
      <c r="Q442" s="57"/>
      <c r="R442" s="5"/>
      <c r="S442" s="5"/>
      <c r="T442" s="5"/>
      <c r="U442" s="5"/>
      <c r="V442" s="5"/>
      <c r="W442" s="5"/>
      <c r="X442" s="5"/>
      <c r="Y442" s="5"/>
      <c r="Z442" s="5"/>
    </row>
    <row r="443" spans="1:26" ht="12.75" customHeight="1">
      <c r="A443" s="5"/>
      <c r="B443" s="5"/>
      <c r="C443" s="5"/>
      <c r="D443" s="5"/>
      <c r="E443" s="5"/>
      <c r="F443" s="5"/>
      <c r="G443" s="5"/>
      <c r="H443" s="306"/>
      <c r="I443" s="5"/>
      <c r="J443" s="5"/>
      <c r="K443" s="5"/>
      <c r="L443" s="5"/>
      <c r="M443" s="5"/>
      <c r="N443" s="5"/>
      <c r="O443" s="5"/>
      <c r="P443" s="5"/>
      <c r="Q443" s="57"/>
      <c r="R443" s="5"/>
      <c r="S443" s="5"/>
      <c r="T443" s="5"/>
      <c r="U443" s="5"/>
      <c r="V443" s="5"/>
      <c r="W443" s="5"/>
      <c r="X443" s="5"/>
      <c r="Y443" s="5"/>
      <c r="Z443" s="5"/>
    </row>
    <row r="444" spans="1:26" ht="12.75" customHeight="1">
      <c r="A444" s="5"/>
      <c r="B444" s="5"/>
      <c r="C444" s="5"/>
      <c r="D444" s="5"/>
      <c r="E444" s="5"/>
      <c r="F444" s="5"/>
      <c r="G444" s="5"/>
      <c r="H444" s="306"/>
      <c r="I444" s="5"/>
      <c r="J444" s="5"/>
      <c r="K444" s="5"/>
      <c r="L444" s="5"/>
      <c r="M444" s="5"/>
      <c r="N444" s="5"/>
      <c r="O444" s="5"/>
      <c r="P444" s="5"/>
      <c r="Q444" s="57"/>
      <c r="R444" s="5"/>
      <c r="S444" s="5"/>
      <c r="T444" s="5"/>
      <c r="U444" s="5"/>
      <c r="V444" s="5"/>
      <c r="W444" s="5"/>
      <c r="X444" s="5"/>
      <c r="Y444" s="5"/>
      <c r="Z444" s="5"/>
    </row>
    <row r="445" spans="1:26" ht="12.75" customHeight="1">
      <c r="A445" s="5"/>
      <c r="B445" s="5"/>
      <c r="C445" s="5"/>
      <c r="D445" s="5"/>
      <c r="E445" s="5"/>
      <c r="F445" s="5"/>
      <c r="G445" s="5"/>
      <c r="H445" s="306"/>
      <c r="I445" s="5"/>
      <c r="J445" s="5"/>
      <c r="K445" s="5"/>
      <c r="L445" s="5"/>
      <c r="M445" s="5"/>
      <c r="N445" s="5"/>
      <c r="O445" s="5"/>
      <c r="P445" s="5"/>
      <c r="Q445" s="57"/>
      <c r="R445" s="5"/>
      <c r="S445" s="5"/>
      <c r="T445" s="5"/>
      <c r="U445" s="5"/>
      <c r="V445" s="5"/>
      <c r="W445" s="5"/>
      <c r="X445" s="5"/>
      <c r="Y445" s="5"/>
      <c r="Z445" s="5"/>
    </row>
    <row r="446" spans="1:26" ht="12.75" customHeight="1">
      <c r="A446" s="5"/>
      <c r="B446" s="5"/>
      <c r="C446" s="5"/>
      <c r="D446" s="5"/>
      <c r="E446" s="5"/>
      <c r="F446" s="5"/>
      <c r="G446" s="5"/>
      <c r="H446" s="306"/>
      <c r="I446" s="5"/>
      <c r="J446" s="5"/>
      <c r="K446" s="5"/>
      <c r="L446" s="5"/>
      <c r="M446" s="5"/>
      <c r="N446" s="5"/>
      <c r="O446" s="5"/>
      <c r="P446" s="5"/>
      <c r="Q446" s="57"/>
      <c r="R446" s="5"/>
      <c r="S446" s="5"/>
      <c r="T446" s="5"/>
      <c r="U446" s="5"/>
      <c r="V446" s="5"/>
      <c r="W446" s="5"/>
      <c r="X446" s="5"/>
      <c r="Y446" s="5"/>
      <c r="Z446" s="5"/>
    </row>
    <row r="447" spans="1:26" ht="12.75" customHeight="1">
      <c r="A447" s="5"/>
      <c r="B447" s="5"/>
      <c r="C447" s="5"/>
      <c r="D447" s="5"/>
      <c r="E447" s="5"/>
      <c r="F447" s="5"/>
      <c r="G447" s="5"/>
      <c r="H447" s="306"/>
      <c r="I447" s="5"/>
      <c r="J447" s="5"/>
      <c r="K447" s="5"/>
      <c r="L447" s="5"/>
      <c r="M447" s="5"/>
      <c r="N447" s="5"/>
      <c r="O447" s="5"/>
      <c r="P447" s="5"/>
      <c r="Q447" s="57"/>
      <c r="R447" s="5"/>
      <c r="S447" s="5"/>
      <c r="T447" s="5"/>
      <c r="U447" s="5"/>
      <c r="V447" s="5"/>
      <c r="W447" s="5"/>
      <c r="X447" s="5"/>
      <c r="Y447" s="5"/>
      <c r="Z447" s="5"/>
    </row>
    <row r="448" spans="1:26" ht="12.75" customHeight="1">
      <c r="A448" s="5"/>
      <c r="B448" s="5"/>
      <c r="C448" s="5"/>
      <c r="D448" s="5"/>
      <c r="E448" s="5"/>
      <c r="F448" s="5"/>
      <c r="G448" s="5"/>
      <c r="H448" s="306"/>
      <c r="I448" s="5"/>
      <c r="J448" s="5"/>
      <c r="K448" s="5"/>
      <c r="L448" s="5"/>
      <c r="M448" s="5"/>
      <c r="N448" s="5"/>
      <c r="O448" s="5"/>
      <c r="P448" s="5"/>
      <c r="Q448" s="57"/>
      <c r="R448" s="5"/>
      <c r="S448" s="5"/>
      <c r="T448" s="5"/>
      <c r="U448" s="5"/>
      <c r="V448" s="5"/>
      <c r="W448" s="5"/>
      <c r="X448" s="5"/>
      <c r="Y448" s="5"/>
      <c r="Z448" s="5"/>
    </row>
    <row r="449" spans="1:26" ht="12.75" customHeight="1">
      <c r="A449" s="5"/>
      <c r="B449" s="5"/>
      <c r="C449" s="5"/>
      <c r="D449" s="5"/>
      <c r="E449" s="5"/>
      <c r="F449" s="5"/>
      <c r="G449" s="5"/>
      <c r="H449" s="306"/>
      <c r="I449" s="5"/>
      <c r="J449" s="5"/>
      <c r="K449" s="5"/>
      <c r="L449" s="5"/>
      <c r="M449" s="5"/>
      <c r="N449" s="5"/>
      <c r="O449" s="5"/>
      <c r="P449" s="5"/>
      <c r="Q449" s="57"/>
      <c r="R449" s="5"/>
      <c r="S449" s="5"/>
      <c r="T449" s="5"/>
      <c r="U449" s="5"/>
      <c r="V449" s="5"/>
      <c r="W449" s="5"/>
      <c r="X449" s="5"/>
      <c r="Y449" s="5"/>
      <c r="Z449" s="5"/>
    </row>
    <row r="450" spans="1:26" ht="12.75" customHeight="1">
      <c r="A450" s="5"/>
      <c r="B450" s="5"/>
      <c r="C450" s="5"/>
      <c r="D450" s="5"/>
      <c r="E450" s="5"/>
      <c r="F450" s="5"/>
      <c r="G450" s="5"/>
      <c r="H450" s="306"/>
      <c r="I450" s="5"/>
      <c r="J450" s="5"/>
      <c r="K450" s="5"/>
      <c r="L450" s="5"/>
      <c r="M450" s="5"/>
      <c r="N450" s="5"/>
      <c r="O450" s="5"/>
      <c r="P450" s="5"/>
      <c r="Q450" s="57"/>
      <c r="R450" s="5"/>
      <c r="S450" s="5"/>
      <c r="T450" s="5"/>
      <c r="U450" s="5"/>
      <c r="V450" s="5"/>
      <c r="W450" s="5"/>
      <c r="X450" s="5"/>
      <c r="Y450" s="5"/>
      <c r="Z450" s="5"/>
    </row>
    <row r="451" spans="1:26" ht="12.75" customHeight="1">
      <c r="A451" s="5"/>
      <c r="B451" s="5"/>
      <c r="C451" s="5"/>
      <c r="D451" s="5"/>
      <c r="E451" s="5"/>
      <c r="F451" s="5"/>
      <c r="G451" s="5"/>
      <c r="H451" s="306"/>
      <c r="I451" s="5"/>
      <c r="J451" s="5"/>
      <c r="K451" s="5"/>
      <c r="L451" s="5"/>
      <c r="M451" s="5"/>
      <c r="N451" s="5"/>
      <c r="O451" s="5"/>
      <c r="P451" s="5"/>
      <c r="Q451" s="57"/>
      <c r="R451" s="5"/>
      <c r="S451" s="5"/>
      <c r="T451" s="5"/>
      <c r="U451" s="5"/>
      <c r="V451" s="5"/>
      <c r="W451" s="5"/>
      <c r="X451" s="5"/>
      <c r="Y451" s="5"/>
      <c r="Z451" s="5"/>
    </row>
    <row r="452" spans="1:26" ht="12.75" customHeight="1">
      <c r="A452" s="5"/>
      <c r="B452" s="5"/>
      <c r="C452" s="5"/>
      <c r="D452" s="5"/>
      <c r="E452" s="5"/>
      <c r="F452" s="5"/>
      <c r="G452" s="5"/>
      <c r="H452" s="306"/>
      <c r="I452" s="5"/>
      <c r="J452" s="5"/>
      <c r="K452" s="5"/>
      <c r="L452" s="5"/>
      <c r="M452" s="5"/>
      <c r="N452" s="5"/>
      <c r="O452" s="5"/>
      <c r="P452" s="5"/>
      <c r="Q452" s="57"/>
      <c r="R452" s="5"/>
      <c r="S452" s="5"/>
      <c r="T452" s="5"/>
      <c r="U452" s="5"/>
      <c r="V452" s="5"/>
      <c r="W452" s="5"/>
      <c r="X452" s="5"/>
      <c r="Y452" s="5"/>
      <c r="Z452" s="5"/>
    </row>
    <row r="453" spans="1:26" ht="12.75" customHeight="1">
      <c r="A453" s="5"/>
      <c r="B453" s="5"/>
      <c r="C453" s="5"/>
      <c r="D453" s="5"/>
      <c r="E453" s="5"/>
      <c r="F453" s="5"/>
      <c r="G453" s="5"/>
      <c r="H453" s="306"/>
      <c r="I453" s="5"/>
      <c r="J453" s="5"/>
      <c r="K453" s="5"/>
      <c r="L453" s="5"/>
      <c r="M453" s="5"/>
      <c r="N453" s="5"/>
      <c r="O453" s="5"/>
      <c r="P453" s="5"/>
      <c r="Q453" s="57"/>
      <c r="R453" s="5"/>
      <c r="S453" s="5"/>
      <c r="T453" s="5"/>
      <c r="U453" s="5"/>
      <c r="V453" s="5"/>
      <c r="W453" s="5"/>
      <c r="X453" s="5"/>
      <c r="Y453" s="5"/>
      <c r="Z453" s="5"/>
    </row>
    <row r="454" spans="1:26" ht="12.75" customHeight="1">
      <c r="A454" s="5"/>
      <c r="B454" s="5"/>
      <c r="C454" s="5"/>
      <c r="D454" s="5"/>
      <c r="E454" s="5"/>
      <c r="F454" s="5"/>
      <c r="G454" s="5"/>
      <c r="H454" s="306"/>
      <c r="I454" s="5"/>
      <c r="J454" s="5"/>
      <c r="K454" s="5"/>
      <c r="L454" s="5"/>
      <c r="M454" s="5"/>
      <c r="N454" s="5"/>
      <c r="O454" s="5"/>
      <c r="P454" s="5"/>
      <c r="Q454" s="57"/>
      <c r="R454" s="5"/>
      <c r="S454" s="5"/>
      <c r="T454" s="5"/>
      <c r="U454" s="5"/>
      <c r="V454" s="5"/>
      <c r="W454" s="5"/>
      <c r="X454" s="5"/>
      <c r="Y454" s="5"/>
      <c r="Z454" s="5"/>
    </row>
    <row r="455" spans="1:26" ht="12.75" customHeight="1">
      <c r="A455" s="5"/>
      <c r="B455" s="5"/>
      <c r="C455" s="5"/>
      <c r="D455" s="5"/>
      <c r="E455" s="5"/>
      <c r="F455" s="5"/>
      <c r="G455" s="5"/>
      <c r="H455" s="306"/>
      <c r="I455" s="5"/>
      <c r="J455" s="5"/>
      <c r="K455" s="5"/>
      <c r="L455" s="5"/>
      <c r="M455" s="5"/>
      <c r="N455" s="5"/>
      <c r="O455" s="5"/>
      <c r="P455" s="5"/>
      <c r="Q455" s="57"/>
      <c r="R455" s="5"/>
      <c r="S455" s="5"/>
      <c r="T455" s="5"/>
      <c r="U455" s="5"/>
      <c r="V455" s="5"/>
      <c r="W455" s="5"/>
      <c r="X455" s="5"/>
      <c r="Y455" s="5"/>
      <c r="Z455" s="5"/>
    </row>
    <row r="456" spans="1:26" ht="12.75" customHeight="1">
      <c r="A456" s="5"/>
      <c r="B456" s="5"/>
      <c r="C456" s="5"/>
      <c r="D456" s="5"/>
      <c r="E456" s="5"/>
      <c r="F456" s="5"/>
      <c r="G456" s="5"/>
      <c r="H456" s="306"/>
      <c r="I456" s="5"/>
      <c r="J456" s="5"/>
      <c r="K456" s="5"/>
      <c r="L456" s="5"/>
      <c r="M456" s="5"/>
      <c r="N456" s="5"/>
      <c r="O456" s="5"/>
      <c r="P456" s="5"/>
      <c r="Q456" s="57"/>
      <c r="R456" s="5"/>
      <c r="S456" s="5"/>
      <c r="T456" s="5"/>
      <c r="U456" s="5"/>
      <c r="V456" s="5"/>
      <c r="W456" s="5"/>
      <c r="X456" s="5"/>
      <c r="Y456" s="5"/>
      <c r="Z456" s="5"/>
    </row>
    <row r="457" spans="1:26" ht="12.75" customHeight="1">
      <c r="A457" s="5"/>
      <c r="B457" s="5"/>
      <c r="C457" s="5"/>
      <c r="D457" s="5"/>
      <c r="E457" s="5"/>
      <c r="F457" s="5"/>
      <c r="G457" s="5"/>
      <c r="H457" s="306"/>
      <c r="I457" s="5"/>
      <c r="J457" s="5"/>
      <c r="K457" s="5"/>
      <c r="L457" s="5"/>
      <c r="M457" s="5"/>
      <c r="N457" s="5"/>
      <c r="O457" s="5"/>
      <c r="P457" s="5"/>
      <c r="Q457" s="57"/>
      <c r="R457" s="5"/>
      <c r="S457" s="5"/>
      <c r="T457" s="5"/>
      <c r="U457" s="5"/>
      <c r="V457" s="5"/>
      <c r="W457" s="5"/>
      <c r="X457" s="5"/>
      <c r="Y457" s="5"/>
      <c r="Z457" s="5"/>
    </row>
    <row r="458" spans="1:26" ht="12.75" customHeight="1">
      <c r="A458" s="5"/>
      <c r="B458" s="5"/>
      <c r="C458" s="5"/>
      <c r="D458" s="5"/>
      <c r="E458" s="5"/>
      <c r="F458" s="5"/>
      <c r="G458" s="5"/>
      <c r="H458" s="306"/>
      <c r="I458" s="5"/>
      <c r="J458" s="5"/>
      <c r="K458" s="5"/>
      <c r="L458" s="5"/>
      <c r="M458" s="5"/>
      <c r="N458" s="5"/>
      <c r="O458" s="5"/>
      <c r="P458" s="5"/>
      <c r="Q458" s="57"/>
      <c r="R458" s="5"/>
      <c r="S458" s="5"/>
      <c r="T458" s="5"/>
      <c r="U458" s="5"/>
      <c r="V458" s="5"/>
      <c r="W458" s="5"/>
      <c r="X458" s="5"/>
      <c r="Y458" s="5"/>
      <c r="Z458" s="5"/>
    </row>
    <row r="459" spans="1:26" ht="12.75" customHeight="1">
      <c r="A459" s="5"/>
      <c r="B459" s="5"/>
      <c r="C459" s="5"/>
      <c r="D459" s="5"/>
      <c r="E459" s="5"/>
      <c r="F459" s="5"/>
      <c r="G459" s="5"/>
      <c r="H459" s="306"/>
      <c r="I459" s="5"/>
      <c r="J459" s="5"/>
      <c r="K459" s="5"/>
      <c r="L459" s="5"/>
      <c r="M459" s="5"/>
      <c r="N459" s="5"/>
      <c r="O459" s="5"/>
      <c r="P459" s="5"/>
      <c r="Q459" s="57"/>
      <c r="R459" s="5"/>
      <c r="S459" s="5"/>
      <c r="T459" s="5"/>
      <c r="U459" s="5"/>
      <c r="V459" s="5"/>
      <c r="W459" s="5"/>
      <c r="X459" s="5"/>
      <c r="Y459" s="5"/>
      <c r="Z459" s="5"/>
    </row>
    <row r="460" spans="1:26" ht="12.75" customHeight="1">
      <c r="A460" s="5"/>
      <c r="B460" s="5"/>
      <c r="C460" s="5"/>
      <c r="D460" s="5"/>
      <c r="E460" s="5"/>
      <c r="F460" s="5"/>
      <c r="G460" s="5"/>
      <c r="H460" s="306"/>
      <c r="I460" s="5"/>
      <c r="J460" s="5"/>
      <c r="K460" s="5"/>
      <c r="L460" s="5"/>
      <c r="M460" s="5"/>
      <c r="N460" s="5"/>
      <c r="O460" s="5"/>
      <c r="P460" s="5"/>
      <c r="Q460" s="57"/>
      <c r="R460" s="5"/>
      <c r="S460" s="5"/>
      <c r="T460" s="5"/>
      <c r="U460" s="5"/>
      <c r="V460" s="5"/>
      <c r="W460" s="5"/>
      <c r="X460" s="5"/>
      <c r="Y460" s="5"/>
      <c r="Z460" s="5"/>
    </row>
    <row r="461" spans="1:26" ht="12.75" customHeight="1">
      <c r="A461" s="5"/>
      <c r="B461" s="5"/>
      <c r="C461" s="5"/>
      <c r="D461" s="5"/>
      <c r="E461" s="5"/>
      <c r="F461" s="5"/>
      <c r="G461" s="5"/>
      <c r="H461" s="306"/>
      <c r="I461" s="5"/>
      <c r="J461" s="5"/>
      <c r="K461" s="5"/>
      <c r="L461" s="5"/>
      <c r="M461" s="5"/>
      <c r="N461" s="5"/>
      <c r="O461" s="5"/>
      <c r="P461" s="5"/>
      <c r="Q461" s="57"/>
      <c r="R461" s="5"/>
      <c r="S461" s="5"/>
      <c r="T461" s="5"/>
      <c r="U461" s="5"/>
      <c r="V461" s="5"/>
      <c r="W461" s="5"/>
      <c r="X461" s="5"/>
      <c r="Y461" s="5"/>
      <c r="Z461" s="5"/>
    </row>
    <row r="462" spans="1:26" ht="12.75" customHeight="1">
      <c r="A462" s="5"/>
      <c r="B462" s="5"/>
      <c r="C462" s="5"/>
      <c r="D462" s="5"/>
      <c r="E462" s="5"/>
      <c r="F462" s="5"/>
      <c r="G462" s="5"/>
      <c r="H462" s="306"/>
      <c r="I462" s="5"/>
      <c r="J462" s="5"/>
      <c r="K462" s="5"/>
      <c r="L462" s="5"/>
      <c r="M462" s="5"/>
      <c r="N462" s="5"/>
      <c r="O462" s="5"/>
      <c r="P462" s="5"/>
      <c r="Q462" s="57"/>
      <c r="R462" s="5"/>
      <c r="S462" s="5"/>
      <c r="T462" s="5"/>
      <c r="U462" s="5"/>
      <c r="V462" s="5"/>
      <c r="W462" s="5"/>
      <c r="X462" s="5"/>
      <c r="Y462" s="5"/>
      <c r="Z462" s="5"/>
    </row>
    <row r="463" spans="1:26" ht="12.75" customHeight="1">
      <c r="A463" s="5"/>
      <c r="B463" s="5"/>
      <c r="C463" s="5"/>
      <c r="D463" s="5"/>
      <c r="E463" s="5"/>
      <c r="F463" s="5"/>
      <c r="G463" s="5"/>
      <c r="H463" s="306"/>
      <c r="I463" s="5"/>
      <c r="J463" s="5"/>
      <c r="K463" s="5"/>
      <c r="L463" s="5"/>
      <c r="M463" s="5"/>
      <c r="N463" s="5"/>
      <c r="O463" s="5"/>
      <c r="P463" s="5"/>
      <c r="Q463" s="57"/>
      <c r="R463" s="5"/>
      <c r="S463" s="5"/>
      <c r="T463" s="5"/>
      <c r="U463" s="5"/>
      <c r="V463" s="5"/>
      <c r="W463" s="5"/>
      <c r="X463" s="5"/>
      <c r="Y463" s="5"/>
      <c r="Z463" s="5"/>
    </row>
    <row r="464" spans="1:26" ht="12.75" customHeight="1">
      <c r="A464" s="5"/>
      <c r="B464" s="5"/>
      <c r="C464" s="5"/>
      <c r="D464" s="5"/>
      <c r="E464" s="5"/>
      <c r="F464" s="5"/>
      <c r="G464" s="5"/>
      <c r="H464" s="306"/>
      <c r="I464" s="5"/>
      <c r="J464" s="5"/>
      <c r="K464" s="5"/>
      <c r="L464" s="5"/>
      <c r="M464" s="5"/>
      <c r="N464" s="5"/>
      <c r="O464" s="5"/>
      <c r="P464" s="5"/>
      <c r="Q464" s="57"/>
      <c r="R464" s="5"/>
      <c r="S464" s="5"/>
      <c r="T464" s="5"/>
      <c r="U464" s="5"/>
      <c r="V464" s="5"/>
      <c r="W464" s="5"/>
      <c r="X464" s="5"/>
      <c r="Y464" s="5"/>
      <c r="Z464" s="5"/>
    </row>
    <row r="465" spans="1:26" ht="12.75" customHeight="1">
      <c r="A465" s="5"/>
      <c r="B465" s="5"/>
      <c r="C465" s="5"/>
      <c r="D465" s="5"/>
      <c r="E465" s="5"/>
      <c r="F465" s="5"/>
      <c r="G465" s="5"/>
      <c r="H465" s="306"/>
      <c r="I465" s="5"/>
      <c r="J465" s="5"/>
      <c r="K465" s="5"/>
      <c r="L465" s="5"/>
      <c r="M465" s="5"/>
      <c r="N465" s="5"/>
      <c r="O465" s="5"/>
      <c r="P465" s="5"/>
      <c r="Q465" s="57"/>
      <c r="R465" s="5"/>
      <c r="S465" s="5"/>
      <c r="T465" s="5"/>
      <c r="U465" s="5"/>
      <c r="V465" s="5"/>
      <c r="W465" s="5"/>
      <c r="X465" s="5"/>
      <c r="Y465" s="5"/>
      <c r="Z465" s="5"/>
    </row>
    <row r="466" spans="1:26" ht="12.75" customHeight="1">
      <c r="A466" s="5"/>
      <c r="B466" s="5"/>
      <c r="C466" s="5"/>
      <c r="D466" s="5"/>
      <c r="E466" s="5"/>
      <c r="F466" s="5"/>
      <c r="G466" s="5"/>
      <c r="H466" s="306"/>
      <c r="I466" s="5"/>
      <c r="J466" s="5"/>
      <c r="K466" s="5"/>
      <c r="L466" s="5"/>
      <c r="M466" s="5"/>
      <c r="N466" s="5"/>
      <c r="O466" s="5"/>
      <c r="P466" s="5"/>
      <c r="Q466" s="57"/>
      <c r="R466" s="5"/>
      <c r="S466" s="5"/>
      <c r="T466" s="5"/>
      <c r="U466" s="5"/>
      <c r="V466" s="5"/>
      <c r="W466" s="5"/>
      <c r="X466" s="5"/>
      <c r="Y466" s="5"/>
      <c r="Z466" s="5"/>
    </row>
    <row r="467" spans="1:26" ht="12.75" customHeight="1">
      <c r="A467" s="5"/>
      <c r="B467" s="5"/>
      <c r="C467" s="5"/>
      <c r="D467" s="5"/>
      <c r="E467" s="5"/>
      <c r="F467" s="5"/>
      <c r="G467" s="5"/>
      <c r="H467" s="306"/>
      <c r="I467" s="5"/>
      <c r="J467" s="5"/>
      <c r="K467" s="5"/>
      <c r="L467" s="5"/>
      <c r="M467" s="5"/>
      <c r="N467" s="5"/>
      <c r="O467" s="5"/>
      <c r="P467" s="5"/>
      <c r="Q467" s="57"/>
      <c r="R467" s="5"/>
      <c r="S467" s="5"/>
      <c r="T467" s="5"/>
      <c r="U467" s="5"/>
      <c r="V467" s="5"/>
      <c r="W467" s="5"/>
      <c r="X467" s="5"/>
      <c r="Y467" s="5"/>
      <c r="Z467" s="5"/>
    </row>
    <row r="468" spans="1:26" ht="12.75" customHeight="1">
      <c r="A468" s="5"/>
      <c r="B468" s="5"/>
      <c r="C468" s="5"/>
      <c r="D468" s="5"/>
      <c r="E468" s="5"/>
      <c r="F468" s="5"/>
      <c r="G468" s="5"/>
      <c r="H468" s="306"/>
      <c r="I468" s="5"/>
      <c r="J468" s="5"/>
      <c r="K468" s="5"/>
      <c r="L468" s="5"/>
      <c r="M468" s="5"/>
      <c r="N468" s="5"/>
      <c r="O468" s="5"/>
      <c r="P468" s="5"/>
      <c r="Q468" s="57"/>
      <c r="R468" s="5"/>
      <c r="S468" s="5"/>
      <c r="T468" s="5"/>
      <c r="U468" s="5"/>
      <c r="V468" s="5"/>
      <c r="W468" s="5"/>
      <c r="X468" s="5"/>
      <c r="Y468" s="5"/>
      <c r="Z468" s="5"/>
    </row>
    <row r="469" spans="1:26" ht="12.75" customHeight="1">
      <c r="A469" s="5"/>
      <c r="B469" s="5"/>
      <c r="C469" s="5"/>
      <c r="D469" s="5"/>
      <c r="E469" s="5"/>
      <c r="F469" s="5"/>
      <c r="G469" s="5"/>
      <c r="H469" s="306"/>
      <c r="I469" s="5"/>
      <c r="J469" s="5"/>
      <c r="K469" s="5"/>
      <c r="L469" s="5"/>
      <c r="M469" s="5"/>
      <c r="N469" s="5"/>
      <c r="O469" s="5"/>
      <c r="P469" s="5"/>
      <c r="Q469" s="57"/>
      <c r="R469" s="5"/>
      <c r="S469" s="5"/>
      <c r="T469" s="5"/>
      <c r="U469" s="5"/>
      <c r="V469" s="5"/>
      <c r="W469" s="5"/>
      <c r="X469" s="5"/>
      <c r="Y469" s="5"/>
      <c r="Z469" s="5"/>
    </row>
    <row r="470" spans="1:26" ht="12.75" customHeight="1">
      <c r="A470" s="5"/>
      <c r="B470" s="5"/>
      <c r="C470" s="5"/>
      <c r="D470" s="5"/>
      <c r="E470" s="5"/>
      <c r="F470" s="5"/>
      <c r="G470" s="5"/>
      <c r="H470" s="306"/>
      <c r="I470" s="5"/>
      <c r="J470" s="5"/>
      <c r="K470" s="5"/>
      <c r="L470" s="5"/>
      <c r="M470" s="5"/>
      <c r="N470" s="5"/>
      <c r="O470" s="5"/>
      <c r="P470" s="5"/>
      <c r="Q470" s="57"/>
      <c r="R470" s="5"/>
      <c r="S470" s="5"/>
      <c r="T470" s="5"/>
      <c r="U470" s="5"/>
      <c r="V470" s="5"/>
      <c r="W470" s="5"/>
      <c r="X470" s="5"/>
      <c r="Y470" s="5"/>
      <c r="Z470" s="5"/>
    </row>
    <row r="471" spans="1:26" ht="12.75" customHeight="1">
      <c r="A471" s="5"/>
      <c r="B471" s="5"/>
      <c r="C471" s="5"/>
      <c r="D471" s="5"/>
      <c r="E471" s="5"/>
      <c r="F471" s="5"/>
      <c r="G471" s="5"/>
      <c r="H471" s="306"/>
      <c r="I471" s="5"/>
      <c r="J471" s="5"/>
      <c r="K471" s="5"/>
      <c r="L471" s="5"/>
      <c r="M471" s="5"/>
      <c r="N471" s="5"/>
      <c r="O471" s="5"/>
      <c r="P471" s="5"/>
      <c r="Q471" s="57"/>
      <c r="R471" s="5"/>
      <c r="S471" s="5"/>
      <c r="T471" s="5"/>
      <c r="U471" s="5"/>
      <c r="V471" s="5"/>
      <c r="W471" s="5"/>
      <c r="X471" s="5"/>
      <c r="Y471" s="5"/>
      <c r="Z471" s="5"/>
    </row>
    <row r="472" spans="1:26" ht="12.75" customHeight="1">
      <c r="A472" s="5"/>
      <c r="B472" s="5"/>
      <c r="C472" s="5"/>
      <c r="D472" s="5"/>
      <c r="E472" s="5"/>
      <c r="F472" s="5"/>
      <c r="G472" s="5"/>
      <c r="H472" s="306"/>
      <c r="I472" s="5"/>
      <c r="J472" s="5"/>
      <c r="K472" s="5"/>
      <c r="L472" s="5"/>
      <c r="M472" s="5"/>
      <c r="N472" s="5"/>
      <c r="O472" s="5"/>
      <c r="P472" s="5"/>
      <c r="Q472" s="57"/>
      <c r="R472" s="5"/>
      <c r="S472" s="5"/>
      <c r="T472" s="5"/>
      <c r="U472" s="5"/>
      <c r="V472" s="5"/>
      <c r="W472" s="5"/>
      <c r="X472" s="5"/>
      <c r="Y472" s="5"/>
      <c r="Z472" s="5"/>
    </row>
    <row r="473" spans="1:26" ht="12.75" customHeight="1">
      <c r="A473" s="5"/>
      <c r="B473" s="5"/>
      <c r="C473" s="5"/>
      <c r="D473" s="5"/>
      <c r="E473" s="5"/>
      <c r="F473" s="5"/>
      <c r="G473" s="5"/>
      <c r="H473" s="306"/>
      <c r="I473" s="5"/>
      <c r="J473" s="5"/>
      <c r="K473" s="5"/>
      <c r="L473" s="5"/>
      <c r="M473" s="5"/>
      <c r="N473" s="5"/>
      <c r="O473" s="5"/>
      <c r="P473" s="5"/>
      <c r="Q473" s="57"/>
      <c r="R473" s="5"/>
      <c r="S473" s="5"/>
      <c r="T473" s="5"/>
      <c r="U473" s="5"/>
      <c r="V473" s="5"/>
      <c r="W473" s="5"/>
      <c r="X473" s="5"/>
      <c r="Y473" s="5"/>
      <c r="Z473" s="5"/>
    </row>
    <row r="474" spans="1:26" ht="12.75" customHeight="1">
      <c r="A474" s="5"/>
      <c r="B474" s="5"/>
      <c r="C474" s="5"/>
      <c r="D474" s="5"/>
      <c r="E474" s="5"/>
      <c r="F474" s="5"/>
      <c r="G474" s="5"/>
      <c r="H474" s="306"/>
      <c r="I474" s="5"/>
      <c r="J474" s="5"/>
      <c r="K474" s="5"/>
      <c r="L474" s="5"/>
      <c r="M474" s="5"/>
      <c r="N474" s="5"/>
      <c r="O474" s="5"/>
      <c r="P474" s="5"/>
      <c r="Q474" s="57"/>
      <c r="R474" s="5"/>
      <c r="S474" s="5"/>
      <c r="T474" s="5"/>
      <c r="U474" s="5"/>
      <c r="V474" s="5"/>
      <c r="W474" s="5"/>
      <c r="X474" s="5"/>
      <c r="Y474" s="5"/>
      <c r="Z474" s="5"/>
    </row>
    <row r="475" spans="1:26" ht="12.75" customHeight="1">
      <c r="A475" s="5"/>
      <c r="B475" s="5"/>
      <c r="C475" s="5"/>
      <c r="D475" s="5"/>
      <c r="E475" s="5"/>
      <c r="F475" s="5"/>
      <c r="G475" s="5"/>
      <c r="H475" s="306"/>
      <c r="I475" s="5"/>
      <c r="J475" s="5"/>
      <c r="K475" s="5"/>
      <c r="L475" s="5"/>
      <c r="M475" s="5"/>
      <c r="N475" s="5"/>
      <c r="O475" s="5"/>
      <c r="P475" s="5"/>
      <c r="Q475" s="57"/>
      <c r="R475" s="5"/>
      <c r="S475" s="5"/>
      <c r="T475" s="5"/>
      <c r="U475" s="5"/>
      <c r="V475" s="5"/>
      <c r="W475" s="5"/>
      <c r="X475" s="5"/>
      <c r="Y475" s="5"/>
      <c r="Z475" s="5"/>
    </row>
    <row r="476" spans="1:26" ht="12.75" customHeight="1">
      <c r="A476" s="5"/>
      <c r="B476" s="5"/>
      <c r="C476" s="5"/>
      <c r="D476" s="5"/>
      <c r="E476" s="5"/>
      <c r="F476" s="5"/>
      <c r="G476" s="5"/>
      <c r="H476" s="306"/>
      <c r="I476" s="5"/>
      <c r="J476" s="5"/>
      <c r="K476" s="5"/>
      <c r="L476" s="5"/>
      <c r="M476" s="5"/>
      <c r="N476" s="5"/>
      <c r="O476" s="5"/>
      <c r="P476" s="5"/>
      <c r="Q476" s="57"/>
      <c r="R476" s="5"/>
      <c r="S476" s="5"/>
      <c r="T476" s="5"/>
      <c r="U476" s="5"/>
      <c r="V476" s="5"/>
      <c r="W476" s="5"/>
      <c r="X476" s="5"/>
      <c r="Y476" s="5"/>
      <c r="Z476" s="5"/>
    </row>
    <row r="477" spans="1:26" ht="12.75" customHeight="1">
      <c r="A477" s="5"/>
      <c r="B477" s="5"/>
      <c r="C477" s="5"/>
      <c r="D477" s="5"/>
      <c r="E477" s="5"/>
      <c r="F477" s="5"/>
      <c r="G477" s="5"/>
      <c r="H477" s="306"/>
      <c r="I477" s="5"/>
      <c r="J477" s="5"/>
      <c r="K477" s="5"/>
      <c r="L477" s="5"/>
      <c r="M477" s="5"/>
      <c r="N477" s="5"/>
      <c r="O477" s="5"/>
      <c r="P477" s="5"/>
      <c r="Q477" s="57"/>
      <c r="R477" s="5"/>
      <c r="S477" s="5"/>
      <c r="T477" s="5"/>
      <c r="U477" s="5"/>
      <c r="V477" s="5"/>
      <c r="W477" s="5"/>
      <c r="X477" s="5"/>
      <c r="Y477" s="5"/>
      <c r="Z477" s="5"/>
    </row>
    <row r="478" spans="1:26" ht="12.75" customHeight="1">
      <c r="A478" s="5"/>
      <c r="B478" s="5"/>
      <c r="C478" s="5"/>
      <c r="D478" s="5"/>
      <c r="E478" s="5"/>
      <c r="F478" s="5"/>
      <c r="G478" s="5"/>
      <c r="H478" s="306"/>
      <c r="I478" s="5"/>
      <c r="J478" s="5"/>
      <c r="K478" s="5"/>
      <c r="L478" s="5"/>
      <c r="M478" s="5"/>
      <c r="N478" s="5"/>
      <c r="O478" s="5"/>
      <c r="P478" s="5"/>
      <c r="Q478" s="57"/>
      <c r="R478" s="5"/>
      <c r="S478" s="5"/>
      <c r="T478" s="5"/>
      <c r="U478" s="5"/>
      <c r="V478" s="5"/>
      <c r="W478" s="5"/>
      <c r="X478" s="5"/>
      <c r="Y478" s="5"/>
      <c r="Z478" s="5"/>
    </row>
    <row r="479" spans="1:26" ht="12.75" customHeight="1">
      <c r="A479" s="5"/>
      <c r="B479" s="5"/>
      <c r="C479" s="5"/>
      <c r="D479" s="5"/>
      <c r="E479" s="5"/>
      <c r="F479" s="5"/>
      <c r="G479" s="5"/>
      <c r="H479" s="306"/>
      <c r="I479" s="5"/>
      <c r="J479" s="5"/>
      <c r="K479" s="5"/>
      <c r="L479" s="5"/>
      <c r="M479" s="5"/>
      <c r="N479" s="5"/>
      <c r="O479" s="5"/>
      <c r="P479" s="5"/>
      <c r="Q479" s="57"/>
      <c r="R479" s="5"/>
      <c r="S479" s="5"/>
      <c r="T479" s="5"/>
      <c r="U479" s="5"/>
      <c r="V479" s="5"/>
      <c r="W479" s="5"/>
      <c r="X479" s="5"/>
      <c r="Y479" s="5"/>
      <c r="Z479" s="5"/>
    </row>
    <row r="480" spans="1:26" ht="12.75" customHeight="1">
      <c r="A480" s="5"/>
      <c r="B480" s="5"/>
      <c r="C480" s="5"/>
      <c r="D480" s="5"/>
      <c r="E480" s="5"/>
      <c r="F480" s="5"/>
      <c r="G480" s="5"/>
      <c r="H480" s="306"/>
      <c r="I480" s="5"/>
      <c r="J480" s="5"/>
      <c r="K480" s="5"/>
      <c r="L480" s="5"/>
      <c r="M480" s="5"/>
      <c r="N480" s="5"/>
      <c r="O480" s="5"/>
      <c r="P480" s="5"/>
      <c r="Q480" s="57"/>
      <c r="R480" s="5"/>
      <c r="S480" s="5"/>
      <c r="T480" s="5"/>
      <c r="U480" s="5"/>
      <c r="V480" s="5"/>
      <c r="W480" s="5"/>
      <c r="X480" s="5"/>
      <c r="Y480" s="5"/>
      <c r="Z480" s="5"/>
    </row>
    <row r="481" spans="1:26" ht="12.75" customHeight="1">
      <c r="A481" s="5"/>
      <c r="B481" s="5"/>
      <c r="C481" s="5"/>
      <c r="D481" s="5"/>
      <c r="E481" s="5"/>
      <c r="F481" s="5"/>
      <c r="G481" s="5"/>
      <c r="H481" s="306"/>
      <c r="I481" s="5"/>
      <c r="J481" s="5"/>
      <c r="K481" s="5"/>
      <c r="L481" s="5"/>
      <c r="M481" s="5"/>
      <c r="N481" s="5"/>
      <c r="O481" s="5"/>
      <c r="P481" s="5"/>
      <c r="Q481" s="57"/>
      <c r="R481" s="5"/>
      <c r="S481" s="5"/>
      <c r="T481" s="5"/>
      <c r="U481" s="5"/>
      <c r="V481" s="5"/>
      <c r="W481" s="5"/>
      <c r="X481" s="5"/>
      <c r="Y481" s="5"/>
      <c r="Z481" s="5"/>
    </row>
    <row r="482" spans="1:26" ht="12.75" customHeight="1">
      <c r="A482" s="5"/>
      <c r="B482" s="5"/>
      <c r="C482" s="5"/>
      <c r="D482" s="5"/>
      <c r="E482" s="5"/>
      <c r="F482" s="5"/>
      <c r="G482" s="5"/>
      <c r="H482" s="306"/>
      <c r="I482" s="5"/>
      <c r="J482" s="5"/>
      <c r="K482" s="5"/>
      <c r="L482" s="5"/>
      <c r="M482" s="5"/>
      <c r="N482" s="5"/>
      <c r="O482" s="5"/>
      <c r="P482" s="5"/>
      <c r="Q482" s="57"/>
      <c r="R482" s="5"/>
      <c r="S482" s="5"/>
      <c r="T482" s="5"/>
      <c r="U482" s="5"/>
      <c r="V482" s="5"/>
      <c r="W482" s="5"/>
      <c r="X482" s="5"/>
      <c r="Y482" s="5"/>
      <c r="Z482" s="5"/>
    </row>
    <row r="483" spans="1:26" ht="12.75" customHeight="1">
      <c r="A483" s="5"/>
      <c r="B483" s="5"/>
      <c r="C483" s="5"/>
      <c r="D483" s="5"/>
      <c r="E483" s="5"/>
      <c r="F483" s="5"/>
      <c r="G483" s="5"/>
      <c r="H483" s="306"/>
      <c r="I483" s="5"/>
      <c r="J483" s="5"/>
      <c r="K483" s="5"/>
      <c r="L483" s="5"/>
      <c r="M483" s="5"/>
      <c r="N483" s="5"/>
      <c r="O483" s="5"/>
      <c r="P483" s="5"/>
      <c r="Q483" s="57"/>
      <c r="R483" s="5"/>
      <c r="S483" s="5"/>
      <c r="T483" s="5"/>
      <c r="U483" s="5"/>
      <c r="V483" s="5"/>
      <c r="W483" s="5"/>
      <c r="X483" s="5"/>
      <c r="Y483" s="5"/>
      <c r="Z483" s="5"/>
    </row>
    <row r="484" spans="1:26" ht="12.75" customHeight="1">
      <c r="A484" s="5"/>
      <c r="B484" s="5"/>
      <c r="C484" s="5"/>
      <c r="D484" s="5"/>
      <c r="E484" s="5"/>
      <c r="F484" s="5"/>
      <c r="G484" s="5"/>
      <c r="H484" s="306"/>
      <c r="I484" s="5"/>
      <c r="J484" s="5"/>
      <c r="K484" s="5"/>
      <c r="L484" s="5"/>
      <c r="M484" s="5"/>
      <c r="N484" s="5"/>
      <c r="O484" s="5"/>
      <c r="P484" s="5"/>
      <c r="Q484" s="57"/>
      <c r="R484" s="5"/>
      <c r="S484" s="5"/>
      <c r="T484" s="5"/>
      <c r="U484" s="5"/>
      <c r="V484" s="5"/>
      <c r="W484" s="5"/>
      <c r="X484" s="5"/>
      <c r="Y484" s="5"/>
      <c r="Z484" s="5"/>
    </row>
    <row r="485" spans="1:26" ht="12.75" customHeight="1">
      <c r="A485" s="5"/>
      <c r="B485" s="5"/>
      <c r="C485" s="5"/>
      <c r="D485" s="5"/>
      <c r="E485" s="5"/>
      <c r="F485" s="5"/>
      <c r="G485" s="5"/>
      <c r="H485" s="306"/>
      <c r="I485" s="5"/>
      <c r="J485" s="5"/>
      <c r="K485" s="5"/>
      <c r="L485" s="5"/>
      <c r="M485" s="5"/>
      <c r="N485" s="5"/>
      <c r="O485" s="5"/>
      <c r="P485" s="5"/>
      <c r="Q485" s="57"/>
      <c r="R485" s="5"/>
      <c r="S485" s="5"/>
      <c r="T485" s="5"/>
      <c r="U485" s="5"/>
      <c r="V485" s="5"/>
      <c r="W485" s="5"/>
      <c r="X485" s="5"/>
      <c r="Y485" s="5"/>
      <c r="Z485" s="5"/>
    </row>
    <row r="486" spans="1:26" ht="12.75" customHeight="1">
      <c r="A486" s="5"/>
      <c r="B486" s="5"/>
      <c r="C486" s="5"/>
      <c r="D486" s="5"/>
      <c r="E486" s="5"/>
      <c r="F486" s="5"/>
      <c r="G486" s="5"/>
      <c r="H486" s="306"/>
      <c r="I486" s="5"/>
      <c r="J486" s="5"/>
      <c r="K486" s="5"/>
      <c r="L486" s="5"/>
      <c r="M486" s="5"/>
      <c r="N486" s="5"/>
      <c r="O486" s="5"/>
      <c r="P486" s="5"/>
      <c r="Q486" s="57"/>
      <c r="R486" s="5"/>
      <c r="S486" s="5"/>
      <c r="T486" s="5"/>
      <c r="U486" s="5"/>
      <c r="V486" s="5"/>
      <c r="W486" s="5"/>
      <c r="X486" s="5"/>
      <c r="Y486" s="5"/>
      <c r="Z486" s="5"/>
    </row>
    <row r="487" spans="1:26" ht="12.75" customHeight="1">
      <c r="A487" s="5"/>
      <c r="B487" s="5"/>
      <c r="C487" s="5"/>
      <c r="D487" s="5"/>
      <c r="E487" s="5"/>
      <c r="F487" s="5"/>
      <c r="G487" s="5"/>
      <c r="H487" s="306"/>
      <c r="I487" s="5"/>
      <c r="J487" s="5"/>
      <c r="K487" s="5"/>
      <c r="L487" s="5"/>
      <c r="M487" s="5"/>
      <c r="N487" s="5"/>
      <c r="O487" s="5"/>
      <c r="P487" s="5"/>
      <c r="Q487" s="57"/>
      <c r="R487" s="5"/>
      <c r="S487" s="5"/>
      <c r="T487" s="5"/>
      <c r="U487" s="5"/>
      <c r="V487" s="5"/>
      <c r="W487" s="5"/>
      <c r="X487" s="5"/>
      <c r="Y487" s="5"/>
      <c r="Z487" s="5"/>
    </row>
    <row r="488" spans="1:26" ht="12.75" customHeight="1">
      <c r="A488" s="5"/>
      <c r="B488" s="5"/>
      <c r="C488" s="5"/>
      <c r="D488" s="5"/>
      <c r="E488" s="5"/>
      <c r="F488" s="5"/>
      <c r="G488" s="5"/>
      <c r="H488" s="306"/>
      <c r="I488" s="5"/>
      <c r="J488" s="5"/>
      <c r="K488" s="5"/>
      <c r="L488" s="5"/>
      <c r="M488" s="5"/>
      <c r="N488" s="5"/>
      <c r="O488" s="5"/>
      <c r="P488" s="5"/>
      <c r="Q488" s="57"/>
      <c r="R488" s="5"/>
      <c r="S488" s="5"/>
      <c r="T488" s="5"/>
      <c r="U488" s="5"/>
      <c r="V488" s="5"/>
      <c r="W488" s="5"/>
      <c r="X488" s="5"/>
      <c r="Y488" s="5"/>
      <c r="Z488" s="5"/>
    </row>
    <row r="489" spans="1:26" ht="12.75" customHeight="1">
      <c r="A489" s="5"/>
      <c r="B489" s="5"/>
      <c r="C489" s="5"/>
      <c r="D489" s="5"/>
      <c r="E489" s="5"/>
      <c r="F489" s="5"/>
      <c r="G489" s="5"/>
      <c r="H489" s="306"/>
      <c r="I489" s="5"/>
      <c r="J489" s="5"/>
      <c r="K489" s="5"/>
      <c r="L489" s="5"/>
      <c r="M489" s="5"/>
      <c r="N489" s="5"/>
      <c r="O489" s="5"/>
      <c r="P489" s="5"/>
      <c r="Q489" s="57"/>
      <c r="R489" s="5"/>
      <c r="S489" s="5"/>
      <c r="T489" s="5"/>
      <c r="U489" s="5"/>
      <c r="V489" s="5"/>
      <c r="W489" s="5"/>
      <c r="X489" s="5"/>
      <c r="Y489" s="5"/>
      <c r="Z489" s="5"/>
    </row>
    <row r="490" spans="1:26" ht="12.75" customHeight="1">
      <c r="A490" s="5"/>
      <c r="B490" s="5"/>
      <c r="C490" s="5"/>
      <c r="D490" s="5"/>
      <c r="E490" s="5"/>
      <c r="F490" s="5"/>
      <c r="G490" s="5"/>
      <c r="H490" s="306"/>
      <c r="I490" s="5"/>
      <c r="J490" s="5"/>
      <c r="K490" s="5"/>
      <c r="L490" s="5"/>
      <c r="M490" s="5"/>
      <c r="N490" s="5"/>
      <c r="O490" s="5"/>
      <c r="P490" s="5"/>
      <c r="Q490" s="57"/>
      <c r="R490" s="5"/>
      <c r="S490" s="5"/>
      <c r="T490" s="5"/>
      <c r="U490" s="5"/>
      <c r="V490" s="5"/>
      <c r="W490" s="5"/>
      <c r="X490" s="5"/>
      <c r="Y490" s="5"/>
      <c r="Z490" s="5"/>
    </row>
    <row r="491" spans="1:26" ht="12.75" customHeight="1">
      <c r="A491" s="5"/>
      <c r="B491" s="5"/>
      <c r="C491" s="5"/>
      <c r="D491" s="5"/>
      <c r="E491" s="5"/>
      <c r="F491" s="5"/>
      <c r="G491" s="5"/>
      <c r="H491" s="306"/>
      <c r="I491" s="5"/>
      <c r="J491" s="5"/>
      <c r="K491" s="5"/>
      <c r="L491" s="5"/>
      <c r="M491" s="5"/>
      <c r="N491" s="5"/>
      <c r="O491" s="5"/>
      <c r="P491" s="5"/>
      <c r="Q491" s="57"/>
      <c r="R491" s="5"/>
      <c r="S491" s="5"/>
      <c r="T491" s="5"/>
      <c r="U491" s="5"/>
      <c r="V491" s="5"/>
      <c r="W491" s="5"/>
      <c r="X491" s="5"/>
      <c r="Y491" s="5"/>
      <c r="Z491" s="5"/>
    </row>
    <row r="492" spans="1:26" ht="12.75" customHeight="1">
      <c r="A492" s="5"/>
      <c r="B492" s="5"/>
      <c r="C492" s="5"/>
      <c r="D492" s="5"/>
      <c r="E492" s="5"/>
      <c r="F492" s="5"/>
      <c r="G492" s="5"/>
      <c r="H492" s="306"/>
      <c r="I492" s="5"/>
      <c r="J492" s="5"/>
      <c r="K492" s="5"/>
      <c r="L492" s="5"/>
      <c r="M492" s="5"/>
      <c r="N492" s="5"/>
      <c r="O492" s="5"/>
      <c r="P492" s="5"/>
      <c r="Q492" s="57"/>
      <c r="R492" s="5"/>
      <c r="S492" s="5"/>
      <c r="T492" s="5"/>
      <c r="U492" s="5"/>
      <c r="V492" s="5"/>
      <c r="W492" s="5"/>
      <c r="X492" s="5"/>
      <c r="Y492" s="5"/>
      <c r="Z492" s="5"/>
    </row>
    <row r="493" spans="1:26" ht="12.75" customHeight="1">
      <c r="A493" s="5"/>
      <c r="B493" s="5"/>
      <c r="C493" s="5"/>
      <c r="D493" s="5"/>
      <c r="E493" s="5"/>
      <c r="F493" s="5"/>
      <c r="G493" s="5"/>
      <c r="H493" s="306"/>
      <c r="I493" s="5"/>
      <c r="J493" s="5"/>
      <c r="K493" s="5"/>
      <c r="L493" s="5"/>
      <c r="M493" s="5"/>
      <c r="N493" s="5"/>
      <c r="O493" s="5"/>
      <c r="P493" s="5"/>
      <c r="Q493" s="57"/>
      <c r="R493" s="5"/>
      <c r="S493" s="5"/>
      <c r="T493" s="5"/>
      <c r="U493" s="5"/>
      <c r="V493" s="5"/>
      <c r="W493" s="5"/>
      <c r="X493" s="5"/>
      <c r="Y493" s="5"/>
      <c r="Z493" s="5"/>
    </row>
    <row r="494" spans="1:26" ht="12.75" customHeight="1">
      <c r="A494" s="5"/>
      <c r="B494" s="5"/>
      <c r="C494" s="5"/>
      <c r="D494" s="5"/>
      <c r="E494" s="5"/>
      <c r="F494" s="5"/>
      <c r="G494" s="5"/>
      <c r="H494" s="306"/>
      <c r="I494" s="5"/>
      <c r="J494" s="5"/>
      <c r="K494" s="5"/>
      <c r="L494" s="5"/>
      <c r="M494" s="5"/>
      <c r="N494" s="5"/>
      <c r="O494" s="5"/>
      <c r="P494" s="5"/>
      <c r="Q494" s="57"/>
      <c r="R494" s="5"/>
      <c r="S494" s="5"/>
      <c r="T494" s="5"/>
      <c r="U494" s="5"/>
      <c r="V494" s="5"/>
      <c r="W494" s="5"/>
      <c r="X494" s="5"/>
      <c r="Y494" s="5"/>
      <c r="Z494" s="5"/>
    </row>
    <row r="495" spans="1:26" ht="12.75" customHeight="1">
      <c r="A495" s="5"/>
      <c r="B495" s="5"/>
      <c r="C495" s="5"/>
      <c r="D495" s="5"/>
      <c r="E495" s="5"/>
      <c r="F495" s="5"/>
      <c r="G495" s="5"/>
      <c r="H495" s="306"/>
      <c r="I495" s="5"/>
      <c r="J495" s="5"/>
      <c r="K495" s="5"/>
      <c r="L495" s="5"/>
      <c r="M495" s="5"/>
      <c r="N495" s="5"/>
      <c r="O495" s="5"/>
      <c r="P495" s="5"/>
      <c r="Q495" s="57"/>
      <c r="R495" s="5"/>
      <c r="S495" s="5"/>
      <c r="T495" s="5"/>
      <c r="U495" s="5"/>
      <c r="V495" s="5"/>
      <c r="W495" s="5"/>
      <c r="X495" s="5"/>
      <c r="Y495" s="5"/>
      <c r="Z495" s="5"/>
    </row>
    <row r="496" spans="1:26" ht="12.75" customHeight="1">
      <c r="A496" s="5"/>
      <c r="B496" s="5"/>
      <c r="C496" s="5"/>
      <c r="D496" s="5"/>
      <c r="E496" s="5"/>
      <c r="F496" s="5"/>
      <c r="G496" s="5"/>
      <c r="H496" s="306"/>
      <c r="I496" s="5"/>
      <c r="J496" s="5"/>
      <c r="K496" s="5"/>
      <c r="L496" s="5"/>
      <c r="M496" s="5"/>
      <c r="N496" s="5"/>
      <c r="O496" s="5"/>
      <c r="P496" s="5"/>
      <c r="Q496" s="57"/>
      <c r="R496" s="5"/>
      <c r="S496" s="5"/>
      <c r="T496" s="5"/>
      <c r="U496" s="5"/>
      <c r="V496" s="5"/>
      <c r="W496" s="5"/>
      <c r="X496" s="5"/>
      <c r="Y496" s="5"/>
      <c r="Z496" s="5"/>
    </row>
    <row r="497" spans="1:26" ht="12.75" customHeight="1">
      <c r="A497" s="5"/>
      <c r="B497" s="5"/>
      <c r="C497" s="5"/>
      <c r="D497" s="5"/>
      <c r="E497" s="5"/>
      <c r="F497" s="5"/>
      <c r="G497" s="5"/>
      <c r="H497" s="306"/>
      <c r="I497" s="5"/>
      <c r="J497" s="5"/>
      <c r="K497" s="5"/>
      <c r="L497" s="5"/>
      <c r="M497" s="5"/>
      <c r="N497" s="5"/>
      <c r="O497" s="5"/>
      <c r="P497" s="5"/>
      <c r="Q497" s="57"/>
      <c r="R497" s="5"/>
      <c r="S497" s="5"/>
      <c r="T497" s="5"/>
      <c r="U497" s="5"/>
      <c r="V497" s="5"/>
      <c r="W497" s="5"/>
      <c r="X497" s="5"/>
      <c r="Y497" s="5"/>
      <c r="Z497" s="5"/>
    </row>
    <row r="498" spans="1:26" ht="12.75" customHeight="1">
      <c r="A498" s="5"/>
      <c r="B498" s="5"/>
      <c r="C498" s="5"/>
      <c r="D498" s="5"/>
      <c r="E498" s="5"/>
      <c r="F498" s="5"/>
      <c r="G498" s="5"/>
      <c r="H498" s="306"/>
      <c r="I498" s="5"/>
      <c r="J498" s="5"/>
      <c r="K498" s="5"/>
      <c r="L498" s="5"/>
      <c r="M498" s="5"/>
      <c r="N498" s="5"/>
      <c r="O498" s="5"/>
      <c r="P498" s="5"/>
      <c r="Q498" s="57"/>
      <c r="R498" s="5"/>
      <c r="S498" s="5"/>
      <c r="T498" s="5"/>
      <c r="U498" s="5"/>
      <c r="V498" s="5"/>
      <c r="W498" s="5"/>
      <c r="X498" s="5"/>
      <c r="Y498" s="5"/>
      <c r="Z498" s="5"/>
    </row>
    <row r="499" spans="1:26" ht="12.75" customHeight="1">
      <c r="A499" s="5"/>
      <c r="B499" s="5"/>
      <c r="C499" s="5"/>
      <c r="D499" s="5"/>
      <c r="E499" s="5"/>
      <c r="F499" s="5"/>
      <c r="G499" s="5"/>
      <c r="H499" s="306"/>
      <c r="I499" s="5"/>
      <c r="J499" s="5"/>
      <c r="K499" s="5"/>
      <c r="L499" s="5"/>
      <c r="M499" s="5"/>
      <c r="N499" s="5"/>
      <c r="O499" s="5"/>
      <c r="P499" s="5"/>
      <c r="Q499" s="57"/>
      <c r="R499" s="5"/>
      <c r="S499" s="5"/>
      <c r="T499" s="5"/>
      <c r="U499" s="5"/>
      <c r="V499" s="5"/>
      <c r="W499" s="5"/>
      <c r="X499" s="5"/>
      <c r="Y499" s="5"/>
      <c r="Z499" s="5"/>
    </row>
    <row r="500" spans="1:26" ht="12.75" customHeight="1">
      <c r="A500" s="5"/>
      <c r="B500" s="5"/>
      <c r="C500" s="5"/>
      <c r="D500" s="5"/>
      <c r="E500" s="5"/>
      <c r="F500" s="5"/>
      <c r="G500" s="5"/>
      <c r="H500" s="306"/>
      <c r="I500" s="5"/>
      <c r="J500" s="5"/>
      <c r="K500" s="5"/>
      <c r="L500" s="5"/>
      <c r="M500" s="5"/>
      <c r="N500" s="5"/>
      <c r="O500" s="5"/>
      <c r="P500" s="5"/>
      <c r="Q500" s="57"/>
      <c r="R500" s="5"/>
      <c r="S500" s="5"/>
      <c r="T500" s="5"/>
      <c r="U500" s="5"/>
      <c r="V500" s="5"/>
      <c r="W500" s="5"/>
      <c r="X500" s="5"/>
      <c r="Y500" s="5"/>
      <c r="Z500" s="5"/>
    </row>
    <row r="501" spans="1:26" ht="12.75" customHeight="1">
      <c r="A501" s="5"/>
      <c r="B501" s="5"/>
      <c r="C501" s="5"/>
      <c r="D501" s="5"/>
      <c r="E501" s="5"/>
      <c r="F501" s="5"/>
      <c r="G501" s="5"/>
      <c r="H501" s="306"/>
      <c r="I501" s="5"/>
      <c r="J501" s="5"/>
      <c r="K501" s="5"/>
      <c r="L501" s="5"/>
      <c r="M501" s="5"/>
      <c r="N501" s="5"/>
      <c r="O501" s="5"/>
      <c r="P501" s="5"/>
      <c r="Q501" s="57"/>
      <c r="R501" s="5"/>
      <c r="S501" s="5"/>
      <c r="T501" s="5"/>
      <c r="U501" s="5"/>
      <c r="V501" s="5"/>
      <c r="W501" s="5"/>
      <c r="X501" s="5"/>
      <c r="Y501" s="5"/>
      <c r="Z501" s="5"/>
    </row>
    <row r="502" spans="1:26" ht="12.75" customHeight="1">
      <c r="A502" s="5"/>
      <c r="B502" s="5"/>
      <c r="C502" s="5"/>
      <c r="D502" s="5"/>
      <c r="E502" s="5"/>
      <c r="F502" s="5"/>
      <c r="G502" s="5"/>
      <c r="H502" s="306"/>
      <c r="I502" s="5"/>
      <c r="J502" s="5"/>
      <c r="K502" s="5"/>
      <c r="L502" s="5"/>
      <c r="M502" s="5"/>
      <c r="N502" s="5"/>
      <c r="O502" s="5"/>
      <c r="P502" s="5"/>
      <c r="Q502" s="57"/>
      <c r="R502" s="5"/>
      <c r="S502" s="5"/>
      <c r="T502" s="5"/>
      <c r="U502" s="5"/>
      <c r="V502" s="5"/>
      <c r="W502" s="5"/>
      <c r="X502" s="5"/>
      <c r="Y502" s="5"/>
      <c r="Z502" s="5"/>
    </row>
    <row r="503" spans="1:26" ht="12.75" customHeight="1">
      <c r="A503" s="5"/>
      <c r="B503" s="5"/>
      <c r="C503" s="5"/>
      <c r="D503" s="5"/>
      <c r="E503" s="5"/>
      <c r="F503" s="5"/>
      <c r="G503" s="5"/>
      <c r="H503" s="306"/>
      <c r="I503" s="5"/>
      <c r="J503" s="5"/>
      <c r="K503" s="5"/>
      <c r="L503" s="5"/>
      <c r="M503" s="5"/>
      <c r="N503" s="5"/>
      <c r="O503" s="5"/>
      <c r="P503" s="5"/>
      <c r="Q503" s="57"/>
      <c r="R503" s="5"/>
      <c r="S503" s="5"/>
      <c r="T503" s="5"/>
      <c r="U503" s="5"/>
      <c r="V503" s="5"/>
      <c r="W503" s="5"/>
      <c r="X503" s="5"/>
      <c r="Y503" s="5"/>
      <c r="Z503" s="5"/>
    </row>
    <row r="504" spans="1:26" ht="12.75" customHeight="1">
      <c r="A504" s="5"/>
      <c r="B504" s="5"/>
      <c r="C504" s="5"/>
      <c r="D504" s="5"/>
      <c r="E504" s="5"/>
      <c r="F504" s="5"/>
      <c r="G504" s="5"/>
      <c r="H504" s="306"/>
      <c r="I504" s="5"/>
      <c r="J504" s="5"/>
      <c r="K504" s="5"/>
      <c r="L504" s="5"/>
      <c r="M504" s="5"/>
      <c r="N504" s="5"/>
      <c r="O504" s="5"/>
      <c r="P504" s="5"/>
      <c r="Q504" s="57"/>
      <c r="R504" s="5"/>
      <c r="S504" s="5"/>
      <c r="T504" s="5"/>
      <c r="U504" s="5"/>
      <c r="V504" s="5"/>
      <c r="W504" s="5"/>
      <c r="X504" s="5"/>
      <c r="Y504" s="5"/>
      <c r="Z504" s="5"/>
    </row>
    <row r="505" spans="1:26" ht="12.75" customHeight="1">
      <c r="A505" s="5"/>
      <c r="B505" s="5"/>
      <c r="C505" s="5"/>
      <c r="D505" s="5"/>
      <c r="E505" s="5"/>
      <c r="F505" s="5"/>
      <c r="G505" s="5"/>
      <c r="H505" s="306"/>
      <c r="I505" s="5"/>
      <c r="J505" s="5"/>
      <c r="K505" s="5"/>
      <c r="L505" s="5"/>
      <c r="M505" s="5"/>
      <c r="N505" s="5"/>
      <c r="O505" s="5"/>
      <c r="P505" s="5"/>
      <c r="Q505" s="57"/>
      <c r="R505" s="5"/>
      <c r="S505" s="5"/>
      <c r="T505" s="5"/>
      <c r="U505" s="5"/>
      <c r="V505" s="5"/>
      <c r="W505" s="5"/>
      <c r="X505" s="5"/>
      <c r="Y505" s="5"/>
      <c r="Z505" s="5"/>
    </row>
    <row r="506" spans="1:26" ht="12.75" customHeight="1">
      <c r="A506" s="5"/>
      <c r="B506" s="5"/>
      <c r="C506" s="5"/>
      <c r="D506" s="5"/>
      <c r="E506" s="5"/>
      <c r="F506" s="5"/>
      <c r="G506" s="5"/>
      <c r="H506" s="306"/>
      <c r="I506" s="5"/>
      <c r="J506" s="5"/>
      <c r="K506" s="5"/>
      <c r="L506" s="5"/>
      <c r="M506" s="5"/>
      <c r="N506" s="5"/>
      <c r="O506" s="5"/>
      <c r="P506" s="5"/>
      <c r="Q506" s="57"/>
      <c r="R506" s="5"/>
      <c r="S506" s="5"/>
      <c r="T506" s="5"/>
      <c r="U506" s="5"/>
      <c r="V506" s="5"/>
      <c r="W506" s="5"/>
      <c r="X506" s="5"/>
      <c r="Y506" s="5"/>
      <c r="Z506" s="5"/>
    </row>
    <row r="507" spans="1:26" ht="12.75" customHeight="1">
      <c r="A507" s="5"/>
      <c r="B507" s="5"/>
      <c r="C507" s="5"/>
      <c r="D507" s="5"/>
      <c r="E507" s="5"/>
      <c r="F507" s="5"/>
      <c r="G507" s="5"/>
      <c r="H507" s="306"/>
      <c r="I507" s="5"/>
      <c r="J507" s="5"/>
      <c r="K507" s="5"/>
      <c r="L507" s="5"/>
      <c r="M507" s="5"/>
      <c r="N507" s="5"/>
      <c r="O507" s="5"/>
      <c r="P507" s="5"/>
      <c r="Q507" s="57"/>
      <c r="R507" s="5"/>
      <c r="S507" s="5"/>
      <c r="T507" s="5"/>
      <c r="U507" s="5"/>
      <c r="V507" s="5"/>
      <c r="W507" s="5"/>
      <c r="X507" s="5"/>
      <c r="Y507" s="5"/>
      <c r="Z507" s="5"/>
    </row>
    <row r="508" spans="1:26" ht="12.75" customHeight="1">
      <c r="A508" s="5"/>
      <c r="B508" s="5"/>
      <c r="C508" s="5"/>
      <c r="D508" s="5"/>
      <c r="E508" s="5"/>
      <c r="F508" s="5"/>
      <c r="G508" s="5"/>
      <c r="H508" s="306"/>
      <c r="I508" s="5"/>
      <c r="J508" s="5"/>
      <c r="K508" s="5"/>
      <c r="L508" s="5"/>
      <c r="M508" s="5"/>
      <c r="N508" s="5"/>
      <c r="O508" s="5"/>
      <c r="P508" s="5"/>
      <c r="Q508" s="57"/>
      <c r="R508" s="5"/>
      <c r="S508" s="5"/>
      <c r="T508" s="5"/>
      <c r="U508" s="5"/>
      <c r="V508" s="5"/>
      <c r="W508" s="5"/>
      <c r="X508" s="5"/>
      <c r="Y508" s="5"/>
      <c r="Z508" s="5"/>
    </row>
    <row r="509" spans="1:26" ht="12.75" customHeight="1">
      <c r="A509" s="5"/>
      <c r="B509" s="5"/>
      <c r="C509" s="5"/>
      <c r="D509" s="5"/>
      <c r="E509" s="5"/>
      <c r="F509" s="5"/>
      <c r="G509" s="5"/>
      <c r="H509" s="306"/>
      <c r="I509" s="5"/>
      <c r="J509" s="5"/>
      <c r="K509" s="5"/>
      <c r="L509" s="5"/>
      <c r="M509" s="5"/>
      <c r="N509" s="5"/>
      <c r="O509" s="5"/>
      <c r="P509" s="5"/>
      <c r="Q509" s="57"/>
      <c r="R509" s="5"/>
      <c r="S509" s="5"/>
      <c r="T509" s="5"/>
      <c r="U509" s="5"/>
      <c r="V509" s="5"/>
      <c r="W509" s="5"/>
      <c r="X509" s="5"/>
      <c r="Y509" s="5"/>
      <c r="Z509" s="5"/>
    </row>
    <row r="510" spans="1:26" ht="12.75" customHeight="1">
      <c r="A510" s="5"/>
      <c r="B510" s="5"/>
      <c r="C510" s="5"/>
      <c r="D510" s="5"/>
      <c r="E510" s="5"/>
      <c r="F510" s="5"/>
      <c r="G510" s="5"/>
      <c r="H510" s="306"/>
      <c r="I510" s="5"/>
      <c r="J510" s="5"/>
      <c r="K510" s="5"/>
      <c r="L510" s="5"/>
      <c r="M510" s="5"/>
      <c r="N510" s="5"/>
      <c r="O510" s="5"/>
      <c r="P510" s="5"/>
      <c r="Q510" s="57"/>
      <c r="R510" s="5"/>
      <c r="S510" s="5"/>
      <c r="T510" s="5"/>
      <c r="U510" s="5"/>
      <c r="V510" s="5"/>
      <c r="W510" s="5"/>
      <c r="X510" s="5"/>
      <c r="Y510" s="5"/>
      <c r="Z510" s="5"/>
    </row>
    <row r="511" spans="1:26" ht="12.75" customHeight="1">
      <c r="A511" s="5"/>
      <c r="B511" s="5"/>
      <c r="C511" s="5"/>
      <c r="D511" s="5"/>
      <c r="E511" s="5"/>
      <c r="F511" s="5"/>
      <c r="G511" s="5"/>
      <c r="H511" s="306"/>
      <c r="I511" s="5"/>
      <c r="J511" s="5"/>
      <c r="K511" s="5"/>
      <c r="L511" s="5"/>
      <c r="M511" s="5"/>
      <c r="N511" s="5"/>
      <c r="O511" s="5"/>
      <c r="P511" s="5"/>
      <c r="Q511" s="57"/>
      <c r="R511" s="5"/>
      <c r="S511" s="5"/>
      <c r="T511" s="5"/>
      <c r="U511" s="5"/>
      <c r="V511" s="5"/>
      <c r="W511" s="5"/>
      <c r="X511" s="5"/>
      <c r="Y511" s="5"/>
      <c r="Z511" s="5"/>
    </row>
    <row r="512" spans="1:26" ht="12.75" customHeight="1">
      <c r="A512" s="5"/>
      <c r="B512" s="5"/>
      <c r="C512" s="5"/>
      <c r="D512" s="5"/>
      <c r="E512" s="5"/>
      <c r="F512" s="5"/>
      <c r="G512" s="5"/>
      <c r="H512" s="306"/>
      <c r="I512" s="5"/>
      <c r="J512" s="5"/>
      <c r="K512" s="5"/>
      <c r="L512" s="5"/>
      <c r="M512" s="5"/>
      <c r="N512" s="5"/>
      <c r="O512" s="5"/>
      <c r="P512" s="5"/>
      <c r="Q512" s="57"/>
      <c r="R512" s="5"/>
      <c r="S512" s="5"/>
      <c r="T512" s="5"/>
      <c r="U512" s="5"/>
      <c r="V512" s="5"/>
      <c r="W512" s="5"/>
      <c r="X512" s="5"/>
      <c r="Y512" s="5"/>
      <c r="Z512" s="5"/>
    </row>
    <row r="513" spans="1:26" ht="12.75" customHeight="1">
      <c r="A513" s="5"/>
      <c r="B513" s="5"/>
      <c r="C513" s="5"/>
      <c r="D513" s="5"/>
      <c r="E513" s="5"/>
      <c r="F513" s="5"/>
      <c r="G513" s="5"/>
      <c r="H513" s="306"/>
      <c r="I513" s="5"/>
      <c r="J513" s="5"/>
      <c r="K513" s="5"/>
      <c r="L513" s="5"/>
      <c r="M513" s="5"/>
      <c r="N513" s="5"/>
      <c r="O513" s="5"/>
      <c r="P513" s="5"/>
      <c r="Q513" s="57"/>
      <c r="R513" s="5"/>
      <c r="S513" s="5"/>
      <c r="T513" s="5"/>
      <c r="U513" s="5"/>
      <c r="V513" s="5"/>
      <c r="W513" s="5"/>
      <c r="X513" s="5"/>
      <c r="Y513" s="5"/>
      <c r="Z513" s="5"/>
    </row>
    <row r="514" spans="1:26" ht="12.75" customHeight="1">
      <c r="A514" s="5"/>
      <c r="B514" s="5"/>
      <c r="C514" s="5"/>
      <c r="D514" s="5"/>
      <c r="E514" s="5"/>
      <c r="F514" s="5"/>
      <c r="G514" s="5"/>
      <c r="H514" s="306"/>
      <c r="I514" s="5"/>
      <c r="J514" s="5"/>
      <c r="K514" s="5"/>
      <c r="L514" s="5"/>
      <c r="M514" s="5"/>
      <c r="N514" s="5"/>
      <c r="O514" s="5"/>
      <c r="P514" s="5"/>
      <c r="Q514" s="57"/>
      <c r="R514" s="5"/>
      <c r="S514" s="5"/>
      <c r="T514" s="5"/>
      <c r="U514" s="5"/>
      <c r="V514" s="5"/>
      <c r="W514" s="5"/>
      <c r="X514" s="5"/>
      <c r="Y514" s="5"/>
      <c r="Z514" s="5"/>
    </row>
    <row r="515" spans="1:26" ht="12.75" customHeight="1">
      <c r="A515" s="5"/>
      <c r="B515" s="5"/>
      <c r="C515" s="5"/>
      <c r="D515" s="5"/>
      <c r="E515" s="5"/>
      <c r="F515" s="5"/>
      <c r="G515" s="5"/>
      <c r="H515" s="306"/>
      <c r="I515" s="5"/>
      <c r="J515" s="5"/>
      <c r="K515" s="5"/>
      <c r="L515" s="5"/>
      <c r="M515" s="5"/>
      <c r="N515" s="5"/>
      <c r="O515" s="5"/>
      <c r="P515" s="5"/>
      <c r="Q515" s="57"/>
      <c r="R515" s="5"/>
      <c r="S515" s="5"/>
      <c r="T515" s="5"/>
      <c r="U515" s="5"/>
      <c r="V515" s="5"/>
      <c r="W515" s="5"/>
      <c r="X515" s="5"/>
      <c r="Y515" s="5"/>
      <c r="Z515" s="5"/>
    </row>
    <row r="516" spans="1:26" ht="12.75" customHeight="1">
      <c r="A516" s="5"/>
      <c r="B516" s="5"/>
      <c r="C516" s="5"/>
      <c r="D516" s="5"/>
      <c r="E516" s="5"/>
      <c r="F516" s="5"/>
      <c r="G516" s="5"/>
      <c r="H516" s="306"/>
      <c r="I516" s="5"/>
      <c r="J516" s="5"/>
      <c r="K516" s="5"/>
      <c r="L516" s="5"/>
      <c r="M516" s="5"/>
      <c r="N516" s="5"/>
      <c r="O516" s="5"/>
      <c r="P516" s="5"/>
      <c r="Q516" s="57"/>
      <c r="R516" s="5"/>
      <c r="S516" s="5"/>
      <c r="T516" s="5"/>
      <c r="U516" s="5"/>
      <c r="V516" s="5"/>
      <c r="W516" s="5"/>
      <c r="X516" s="5"/>
      <c r="Y516" s="5"/>
      <c r="Z516" s="5"/>
    </row>
    <row r="517" spans="1:26" ht="12.75" customHeight="1">
      <c r="A517" s="5"/>
      <c r="B517" s="5"/>
      <c r="C517" s="5"/>
      <c r="D517" s="5"/>
      <c r="E517" s="5"/>
      <c r="F517" s="5"/>
      <c r="G517" s="5"/>
      <c r="H517" s="306"/>
      <c r="I517" s="5"/>
      <c r="J517" s="5"/>
      <c r="K517" s="5"/>
      <c r="L517" s="5"/>
      <c r="M517" s="5"/>
      <c r="N517" s="5"/>
      <c r="O517" s="5"/>
      <c r="P517" s="5"/>
      <c r="Q517" s="57"/>
      <c r="R517" s="5"/>
      <c r="S517" s="5"/>
      <c r="T517" s="5"/>
      <c r="U517" s="5"/>
      <c r="V517" s="5"/>
      <c r="W517" s="5"/>
      <c r="X517" s="5"/>
      <c r="Y517" s="5"/>
      <c r="Z517" s="5"/>
    </row>
    <row r="518" spans="1:26" ht="12.75" customHeight="1">
      <c r="A518" s="5"/>
      <c r="B518" s="5"/>
      <c r="C518" s="5"/>
      <c r="D518" s="5"/>
      <c r="E518" s="5"/>
      <c r="F518" s="5"/>
      <c r="G518" s="5"/>
      <c r="H518" s="306"/>
      <c r="I518" s="5"/>
      <c r="J518" s="5"/>
      <c r="K518" s="5"/>
      <c r="L518" s="5"/>
      <c r="M518" s="5"/>
      <c r="N518" s="5"/>
      <c r="O518" s="5"/>
      <c r="P518" s="5"/>
      <c r="Q518" s="57"/>
      <c r="R518" s="5"/>
      <c r="S518" s="5"/>
      <c r="T518" s="5"/>
      <c r="U518" s="5"/>
      <c r="V518" s="5"/>
      <c r="W518" s="5"/>
      <c r="X518" s="5"/>
      <c r="Y518" s="5"/>
      <c r="Z518" s="5"/>
    </row>
    <row r="519" spans="1:26" ht="12.75" customHeight="1">
      <c r="A519" s="5"/>
      <c r="B519" s="5"/>
      <c r="C519" s="5"/>
      <c r="D519" s="5"/>
      <c r="E519" s="5"/>
      <c r="F519" s="5"/>
      <c r="G519" s="5"/>
      <c r="H519" s="306"/>
      <c r="I519" s="5"/>
      <c r="J519" s="5"/>
      <c r="K519" s="5"/>
      <c r="L519" s="5"/>
      <c r="M519" s="5"/>
      <c r="N519" s="5"/>
      <c r="O519" s="5"/>
      <c r="P519" s="5"/>
      <c r="Q519" s="57"/>
      <c r="R519" s="5"/>
      <c r="S519" s="5"/>
      <c r="T519" s="5"/>
      <c r="U519" s="5"/>
      <c r="V519" s="5"/>
      <c r="W519" s="5"/>
      <c r="X519" s="5"/>
      <c r="Y519" s="5"/>
      <c r="Z519" s="5"/>
    </row>
    <row r="520" spans="1:26" ht="12.75" customHeight="1">
      <c r="A520" s="5"/>
      <c r="B520" s="5"/>
      <c r="C520" s="5"/>
      <c r="D520" s="5"/>
      <c r="E520" s="5"/>
      <c r="F520" s="5"/>
      <c r="G520" s="5"/>
      <c r="H520" s="306"/>
      <c r="I520" s="5"/>
      <c r="J520" s="5"/>
      <c r="K520" s="5"/>
      <c r="L520" s="5"/>
      <c r="M520" s="5"/>
      <c r="N520" s="5"/>
      <c r="O520" s="5"/>
      <c r="P520" s="5"/>
      <c r="Q520" s="57"/>
      <c r="R520" s="5"/>
      <c r="S520" s="5"/>
      <c r="T520" s="5"/>
      <c r="U520" s="5"/>
      <c r="V520" s="5"/>
      <c r="W520" s="5"/>
      <c r="X520" s="5"/>
      <c r="Y520" s="5"/>
      <c r="Z520" s="5"/>
    </row>
    <row r="521" spans="1:26" ht="12.75" customHeight="1">
      <c r="A521" s="5"/>
      <c r="B521" s="5"/>
      <c r="C521" s="5"/>
      <c r="D521" s="5"/>
      <c r="E521" s="5"/>
      <c r="F521" s="5"/>
      <c r="G521" s="5"/>
      <c r="H521" s="306"/>
      <c r="I521" s="5"/>
      <c r="J521" s="5"/>
      <c r="K521" s="5"/>
      <c r="L521" s="5"/>
      <c r="M521" s="5"/>
      <c r="N521" s="5"/>
      <c r="O521" s="5"/>
      <c r="P521" s="5"/>
      <c r="Q521" s="57"/>
      <c r="R521" s="5"/>
      <c r="S521" s="5"/>
      <c r="T521" s="5"/>
      <c r="U521" s="5"/>
      <c r="V521" s="5"/>
      <c r="W521" s="5"/>
      <c r="X521" s="5"/>
      <c r="Y521" s="5"/>
      <c r="Z521" s="5"/>
    </row>
    <row r="522" spans="1:26" ht="12.75" customHeight="1">
      <c r="A522" s="5"/>
      <c r="B522" s="5"/>
      <c r="C522" s="5"/>
      <c r="D522" s="5"/>
      <c r="E522" s="5"/>
      <c r="F522" s="5"/>
      <c r="G522" s="5"/>
      <c r="H522" s="306"/>
      <c r="I522" s="5"/>
      <c r="J522" s="5"/>
      <c r="K522" s="5"/>
      <c r="L522" s="5"/>
      <c r="M522" s="5"/>
      <c r="N522" s="5"/>
      <c r="O522" s="5"/>
      <c r="P522" s="5"/>
      <c r="Q522" s="57"/>
      <c r="R522" s="5"/>
      <c r="S522" s="5"/>
      <c r="T522" s="5"/>
      <c r="U522" s="5"/>
      <c r="V522" s="5"/>
      <c r="W522" s="5"/>
      <c r="X522" s="5"/>
      <c r="Y522" s="5"/>
      <c r="Z522" s="5"/>
    </row>
    <row r="523" spans="1:26" ht="12.75" customHeight="1">
      <c r="A523" s="5"/>
      <c r="B523" s="5"/>
      <c r="C523" s="5"/>
      <c r="D523" s="5"/>
      <c r="E523" s="5"/>
      <c r="F523" s="5"/>
      <c r="G523" s="5"/>
      <c r="H523" s="306"/>
      <c r="I523" s="5"/>
      <c r="J523" s="5"/>
      <c r="K523" s="5"/>
      <c r="L523" s="5"/>
      <c r="M523" s="5"/>
      <c r="N523" s="5"/>
      <c r="O523" s="5"/>
      <c r="P523" s="5"/>
      <c r="Q523" s="57"/>
      <c r="R523" s="5"/>
      <c r="S523" s="5"/>
      <c r="T523" s="5"/>
      <c r="U523" s="5"/>
      <c r="V523" s="5"/>
      <c r="W523" s="5"/>
      <c r="X523" s="5"/>
      <c r="Y523" s="5"/>
      <c r="Z523" s="5"/>
    </row>
    <row r="524" spans="1:26" ht="12.75" customHeight="1">
      <c r="A524" s="5"/>
      <c r="B524" s="5"/>
      <c r="C524" s="5"/>
      <c r="D524" s="5"/>
      <c r="E524" s="5"/>
      <c r="F524" s="5"/>
      <c r="G524" s="5"/>
      <c r="H524" s="306"/>
      <c r="I524" s="5"/>
      <c r="J524" s="5"/>
      <c r="K524" s="5"/>
      <c r="L524" s="5"/>
      <c r="M524" s="5"/>
      <c r="N524" s="5"/>
      <c r="O524" s="5"/>
      <c r="P524" s="5"/>
      <c r="Q524" s="57"/>
      <c r="R524" s="5"/>
      <c r="S524" s="5"/>
      <c r="T524" s="5"/>
      <c r="U524" s="5"/>
      <c r="V524" s="5"/>
      <c r="W524" s="5"/>
      <c r="X524" s="5"/>
      <c r="Y524" s="5"/>
      <c r="Z524" s="5"/>
    </row>
    <row r="525" spans="1:26" ht="12.75" customHeight="1">
      <c r="A525" s="5"/>
      <c r="B525" s="5"/>
      <c r="C525" s="5"/>
      <c r="D525" s="5"/>
      <c r="E525" s="5"/>
      <c r="F525" s="5"/>
      <c r="G525" s="5"/>
      <c r="H525" s="306"/>
      <c r="I525" s="5"/>
      <c r="J525" s="5"/>
      <c r="K525" s="5"/>
      <c r="L525" s="5"/>
      <c r="M525" s="5"/>
      <c r="N525" s="5"/>
      <c r="O525" s="5"/>
      <c r="P525" s="5"/>
      <c r="Q525" s="57"/>
      <c r="R525" s="5"/>
      <c r="S525" s="5"/>
      <c r="T525" s="5"/>
      <c r="U525" s="5"/>
      <c r="V525" s="5"/>
      <c r="W525" s="5"/>
      <c r="X525" s="5"/>
      <c r="Y525" s="5"/>
      <c r="Z525" s="5"/>
    </row>
    <row r="526" spans="1:26" ht="12.75" customHeight="1">
      <c r="A526" s="5"/>
      <c r="B526" s="5"/>
      <c r="C526" s="5"/>
      <c r="D526" s="5"/>
      <c r="E526" s="5"/>
      <c r="F526" s="5"/>
      <c r="G526" s="5"/>
      <c r="H526" s="306"/>
      <c r="I526" s="5"/>
      <c r="J526" s="5"/>
      <c r="K526" s="5"/>
      <c r="L526" s="5"/>
      <c r="M526" s="5"/>
      <c r="N526" s="5"/>
      <c r="O526" s="5"/>
      <c r="P526" s="5"/>
      <c r="Q526" s="57"/>
      <c r="R526" s="5"/>
      <c r="S526" s="5"/>
      <c r="T526" s="5"/>
      <c r="U526" s="5"/>
      <c r="V526" s="5"/>
      <c r="W526" s="5"/>
      <c r="X526" s="5"/>
      <c r="Y526" s="5"/>
      <c r="Z526" s="5"/>
    </row>
    <row r="527" spans="1:26" ht="12.75" customHeight="1">
      <c r="A527" s="5"/>
      <c r="B527" s="5"/>
      <c r="C527" s="5"/>
      <c r="D527" s="5"/>
      <c r="E527" s="5"/>
      <c r="F527" s="5"/>
      <c r="G527" s="5"/>
      <c r="H527" s="306"/>
      <c r="I527" s="5"/>
      <c r="J527" s="5"/>
      <c r="K527" s="5"/>
      <c r="L527" s="5"/>
      <c r="M527" s="5"/>
      <c r="N527" s="5"/>
      <c r="O527" s="5"/>
      <c r="P527" s="5"/>
      <c r="Q527" s="57"/>
      <c r="R527" s="5"/>
      <c r="S527" s="5"/>
      <c r="T527" s="5"/>
      <c r="U527" s="5"/>
      <c r="V527" s="5"/>
      <c r="W527" s="5"/>
      <c r="X527" s="5"/>
      <c r="Y527" s="5"/>
      <c r="Z527" s="5"/>
    </row>
    <row r="528" spans="1:26" ht="12.75" customHeight="1">
      <c r="A528" s="5"/>
      <c r="B528" s="5"/>
      <c r="C528" s="5"/>
      <c r="D528" s="5"/>
      <c r="E528" s="5"/>
      <c r="F528" s="5"/>
      <c r="G528" s="5"/>
      <c r="H528" s="306"/>
      <c r="I528" s="5"/>
      <c r="J528" s="5"/>
      <c r="K528" s="5"/>
      <c r="L528" s="5"/>
      <c r="M528" s="5"/>
      <c r="N528" s="5"/>
      <c r="O528" s="5"/>
      <c r="P528" s="5"/>
      <c r="Q528" s="57"/>
      <c r="R528" s="5"/>
      <c r="S528" s="5"/>
      <c r="T528" s="5"/>
      <c r="U528" s="5"/>
      <c r="V528" s="5"/>
      <c r="W528" s="5"/>
      <c r="X528" s="5"/>
      <c r="Y528" s="5"/>
      <c r="Z528" s="5"/>
    </row>
    <row r="529" spans="1:26" ht="12.75" customHeight="1">
      <c r="A529" s="5"/>
      <c r="B529" s="5"/>
      <c r="C529" s="5"/>
      <c r="D529" s="5"/>
      <c r="E529" s="5"/>
      <c r="F529" s="5"/>
      <c r="G529" s="5"/>
      <c r="H529" s="306"/>
      <c r="I529" s="5"/>
      <c r="J529" s="5"/>
      <c r="K529" s="5"/>
      <c r="L529" s="5"/>
      <c r="M529" s="5"/>
      <c r="N529" s="5"/>
      <c r="O529" s="5"/>
      <c r="P529" s="5"/>
      <c r="Q529" s="57"/>
      <c r="R529" s="5"/>
      <c r="S529" s="5"/>
      <c r="T529" s="5"/>
      <c r="U529" s="5"/>
      <c r="V529" s="5"/>
      <c r="W529" s="5"/>
      <c r="X529" s="5"/>
      <c r="Y529" s="5"/>
      <c r="Z529" s="5"/>
    </row>
    <row r="530" spans="1:26" ht="12.75" customHeight="1">
      <c r="A530" s="5"/>
      <c r="B530" s="5"/>
      <c r="C530" s="5"/>
      <c r="D530" s="5"/>
      <c r="E530" s="5"/>
      <c r="F530" s="5"/>
      <c r="G530" s="5"/>
      <c r="H530" s="306"/>
      <c r="I530" s="5"/>
      <c r="J530" s="5"/>
      <c r="K530" s="5"/>
      <c r="L530" s="5"/>
      <c r="M530" s="5"/>
      <c r="N530" s="5"/>
      <c r="O530" s="5"/>
      <c r="P530" s="5"/>
      <c r="Q530" s="57"/>
      <c r="R530" s="5"/>
      <c r="S530" s="5"/>
      <c r="T530" s="5"/>
      <c r="U530" s="5"/>
      <c r="V530" s="5"/>
      <c r="W530" s="5"/>
      <c r="X530" s="5"/>
      <c r="Y530" s="5"/>
      <c r="Z530" s="5"/>
    </row>
    <row r="531" spans="1:26" ht="12.75" customHeight="1">
      <c r="A531" s="5"/>
      <c r="B531" s="5"/>
      <c r="C531" s="5"/>
      <c r="D531" s="5"/>
      <c r="E531" s="5"/>
      <c r="F531" s="5"/>
      <c r="G531" s="5"/>
      <c r="H531" s="306"/>
      <c r="I531" s="5"/>
      <c r="J531" s="5"/>
      <c r="K531" s="5"/>
      <c r="L531" s="5"/>
      <c r="M531" s="5"/>
      <c r="N531" s="5"/>
      <c r="O531" s="5"/>
      <c r="P531" s="5"/>
      <c r="Q531" s="57"/>
      <c r="R531" s="5"/>
      <c r="S531" s="5"/>
      <c r="T531" s="5"/>
      <c r="U531" s="5"/>
      <c r="V531" s="5"/>
      <c r="W531" s="5"/>
      <c r="X531" s="5"/>
      <c r="Y531" s="5"/>
      <c r="Z531" s="5"/>
    </row>
    <row r="532" spans="1:26" ht="12.75" customHeight="1">
      <c r="A532" s="5"/>
      <c r="B532" s="5"/>
      <c r="C532" s="5"/>
      <c r="D532" s="5"/>
      <c r="E532" s="5"/>
      <c r="F532" s="5"/>
      <c r="G532" s="5"/>
      <c r="H532" s="306"/>
      <c r="I532" s="5"/>
      <c r="J532" s="5"/>
      <c r="K532" s="5"/>
      <c r="L532" s="5"/>
      <c r="M532" s="5"/>
      <c r="N532" s="5"/>
      <c r="O532" s="5"/>
      <c r="P532" s="5"/>
      <c r="Q532" s="57"/>
      <c r="R532" s="5"/>
      <c r="S532" s="5"/>
      <c r="T532" s="5"/>
      <c r="U532" s="5"/>
      <c r="V532" s="5"/>
      <c r="W532" s="5"/>
      <c r="X532" s="5"/>
      <c r="Y532" s="5"/>
      <c r="Z532" s="5"/>
    </row>
    <row r="533" spans="1:26" ht="12.75" customHeight="1">
      <c r="A533" s="5"/>
      <c r="B533" s="5"/>
      <c r="C533" s="5"/>
      <c r="D533" s="5"/>
      <c r="E533" s="5"/>
      <c r="F533" s="5"/>
      <c r="G533" s="5"/>
      <c r="H533" s="306"/>
      <c r="I533" s="5"/>
      <c r="J533" s="5"/>
      <c r="K533" s="5"/>
      <c r="L533" s="5"/>
      <c r="M533" s="5"/>
      <c r="N533" s="5"/>
      <c r="O533" s="5"/>
      <c r="P533" s="5"/>
      <c r="Q533" s="57"/>
      <c r="R533" s="5"/>
      <c r="S533" s="5"/>
      <c r="T533" s="5"/>
      <c r="U533" s="5"/>
      <c r="V533" s="5"/>
      <c r="W533" s="5"/>
      <c r="X533" s="5"/>
      <c r="Y533" s="5"/>
      <c r="Z533" s="5"/>
    </row>
    <row r="534" spans="1:26" ht="12.75" customHeight="1">
      <c r="A534" s="5"/>
      <c r="B534" s="5"/>
      <c r="C534" s="5"/>
      <c r="D534" s="5"/>
      <c r="E534" s="5"/>
      <c r="F534" s="5"/>
      <c r="G534" s="5"/>
      <c r="H534" s="306"/>
      <c r="I534" s="5"/>
      <c r="J534" s="5"/>
      <c r="K534" s="5"/>
      <c r="L534" s="5"/>
      <c r="M534" s="5"/>
      <c r="N534" s="5"/>
      <c r="O534" s="5"/>
      <c r="P534" s="5"/>
      <c r="Q534" s="57"/>
      <c r="R534" s="5"/>
      <c r="S534" s="5"/>
      <c r="T534" s="5"/>
      <c r="U534" s="5"/>
      <c r="V534" s="5"/>
      <c r="W534" s="5"/>
      <c r="X534" s="5"/>
      <c r="Y534" s="5"/>
      <c r="Z534" s="5"/>
    </row>
    <row r="535" spans="1:26" ht="12.75" customHeight="1">
      <c r="A535" s="5"/>
      <c r="B535" s="5"/>
      <c r="C535" s="5"/>
      <c r="D535" s="5"/>
      <c r="E535" s="5"/>
      <c r="F535" s="5"/>
      <c r="G535" s="5"/>
      <c r="H535" s="306"/>
      <c r="I535" s="5"/>
      <c r="J535" s="5"/>
      <c r="K535" s="5"/>
      <c r="L535" s="5"/>
      <c r="M535" s="5"/>
      <c r="N535" s="5"/>
      <c r="O535" s="5"/>
      <c r="P535" s="5"/>
      <c r="Q535" s="57"/>
      <c r="R535" s="5"/>
      <c r="S535" s="5"/>
      <c r="T535" s="5"/>
      <c r="U535" s="5"/>
      <c r="V535" s="5"/>
      <c r="W535" s="5"/>
      <c r="X535" s="5"/>
      <c r="Y535" s="5"/>
      <c r="Z535" s="5"/>
    </row>
    <row r="536" spans="1:26" ht="12.75" customHeight="1">
      <c r="A536" s="5"/>
      <c r="B536" s="5"/>
      <c r="C536" s="5"/>
      <c r="D536" s="5"/>
      <c r="E536" s="5"/>
      <c r="F536" s="5"/>
      <c r="G536" s="5"/>
      <c r="H536" s="306"/>
      <c r="I536" s="5"/>
      <c r="J536" s="5"/>
      <c r="K536" s="5"/>
      <c r="L536" s="5"/>
      <c r="M536" s="5"/>
      <c r="N536" s="5"/>
      <c r="O536" s="5"/>
      <c r="P536" s="5"/>
      <c r="Q536" s="57"/>
      <c r="R536" s="5"/>
      <c r="S536" s="5"/>
      <c r="T536" s="5"/>
      <c r="U536" s="5"/>
      <c r="V536" s="5"/>
      <c r="W536" s="5"/>
      <c r="X536" s="5"/>
      <c r="Y536" s="5"/>
      <c r="Z536" s="5"/>
    </row>
    <row r="537" spans="1:26" ht="12.75" customHeight="1">
      <c r="A537" s="5"/>
      <c r="B537" s="5"/>
      <c r="C537" s="5"/>
      <c r="D537" s="5"/>
      <c r="E537" s="5"/>
      <c r="F537" s="5"/>
      <c r="G537" s="5"/>
      <c r="H537" s="306"/>
      <c r="I537" s="5"/>
      <c r="J537" s="5"/>
      <c r="K537" s="5"/>
      <c r="L537" s="5"/>
      <c r="M537" s="5"/>
      <c r="N537" s="5"/>
      <c r="O537" s="5"/>
      <c r="P537" s="5"/>
      <c r="Q537" s="57"/>
      <c r="R537" s="5"/>
      <c r="S537" s="5"/>
      <c r="T537" s="5"/>
      <c r="U537" s="5"/>
      <c r="V537" s="5"/>
      <c r="W537" s="5"/>
      <c r="X537" s="5"/>
      <c r="Y537" s="5"/>
      <c r="Z537" s="5"/>
    </row>
    <row r="538" spans="1:26" ht="12.75" customHeight="1">
      <c r="A538" s="5"/>
      <c r="B538" s="5"/>
      <c r="C538" s="5"/>
      <c r="D538" s="5"/>
      <c r="E538" s="5"/>
      <c r="F538" s="5"/>
      <c r="G538" s="5"/>
      <c r="H538" s="306"/>
      <c r="I538" s="5"/>
      <c r="J538" s="5"/>
      <c r="K538" s="5"/>
      <c r="L538" s="5"/>
      <c r="M538" s="5"/>
      <c r="N538" s="5"/>
      <c r="O538" s="5"/>
      <c r="P538" s="5"/>
      <c r="Q538" s="57"/>
      <c r="R538" s="5"/>
      <c r="S538" s="5"/>
      <c r="T538" s="5"/>
      <c r="U538" s="5"/>
      <c r="V538" s="5"/>
      <c r="W538" s="5"/>
      <c r="X538" s="5"/>
      <c r="Y538" s="5"/>
      <c r="Z538" s="5"/>
    </row>
    <row r="539" spans="1:26" ht="12.75" customHeight="1">
      <c r="A539" s="5"/>
      <c r="B539" s="5"/>
      <c r="C539" s="5"/>
      <c r="D539" s="5"/>
      <c r="E539" s="5"/>
      <c r="F539" s="5"/>
      <c r="G539" s="5"/>
      <c r="H539" s="306"/>
      <c r="I539" s="5"/>
      <c r="J539" s="5"/>
      <c r="K539" s="5"/>
      <c r="L539" s="5"/>
      <c r="M539" s="5"/>
      <c r="N539" s="5"/>
      <c r="O539" s="5"/>
      <c r="P539" s="5"/>
      <c r="Q539" s="57"/>
      <c r="R539" s="5"/>
      <c r="S539" s="5"/>
      <c r="T539" s="5"/>
      <c r="U539" s="5"/>
      <c r="V539" s="5"/>
      <c r="W539" s="5"/>
      <c r="X539" s="5"/>
      <c r="Y539" s="5"/>
      <c r="Z539" s="5"/>
    </row>
    <row r="540" spans="1:26" ht="12.75" customHeight="1">
      <c r="A540" s="5"/>
      <c r="B540" s="5"/>
      <c r="C540" s="5"/>
      <c r="D540" s="5"/>
      <c r="E540" s="5"/>
      <c r="F540" s="5"/>
      <c r="G540" s="5"/>
      <c r="H540" s="306"/>
      <c r="I540" s="5"/>
      <c r="J540" s="5"/>
      <c r="K540" s="5"/>
      <c r="L540" s="5"/>
      <c r="M540" s="5"/>
      <c r="N540" s="5"/>
      <c r="O540" s="5"/>
      <c r="P540" s="5"/>
      <c r="Q540" s="57"/>
      <c r="R540" s="5"/>
      <c r="S540" s="5"/>
      <c r="T540" s="5"/>
      <c r="U540" s="5"/>
      <c r="V540" s="5"/>
      <c r="W540" s="5"/>
      <c r="X540" s="5"/>
      <c r="Y540" s="5"/>
      <c r="Z540" s="5"/>
    </row>
    <row r="541" spans="1:26" ht="12.75" customHeight="1">
      <c r="A541" s="5"/>
      <c r="B541" s="5"/>
      <c r="C541" s="5"/>
      <c r="D541" s="5"/>
      <c r="E541" s="5"/>
      <c r="F541" s="5"/>
      <c r="G541" s="5"/>
      <c r="H541" s="306"/>
      <c r="I541" s="5"/>
      <c r="J541" s="5"/>
      <c r="K541" s="5"/>
      <c r="L541" s="5"/>
      <c r="M541" s="5"/>
      <c r="N541" s="5"/>
      <c r="O541" s="5"/>
      <c r="P541" s="5"/>
      <c r="Q541" s="57"/>
      <c r="R541" s="5"/>
      <c r="S541" s="5"/>
      <c r="T541" s="5"/>
      <c r="U541" s="5"/>
      <c r="V541" s="5"/>
      <c r="W541" s="5"/>
      <c r="X541" s="5"/>
      <c r="Y541" s="5"/>
      <c r="Z541" s="5"/>
    </row>
    <row r="542" spans="1:26" ht="12.75" customHeight="1">
      <c r="A542" s="5"/>
      <c r="B542" s="5"/>
      <c r="C542" s="5"/>
      <c r="D542" s="5"/>
      <c r="E542" s="5"/>
      <c r="F542" s="5"/>
      <c r="G542" s="5"/>
      <c r="H542" s="306"/>
      <c r="I542" s="5"/>
      <c r="J542" s="5"/>
      <c r="K542" s="5"/>
      <c r="L542" s="5"/>
      <c r="M542" s="5"/>
      <c r="N542" s="5"/>
      <c r="O542" s="5"/>
      <c r="P542" s="5"/>
      <c r="Q542" s="57"/>
      <c r="R542" s="5"/>
      <c r="S542" s="5"/>
      <c r="T542" s="5"/>
      <c r="U542" s="5"/>
      <c r="V542" s="5"/>
      <c r="W542" s="5"/>
      <c r="X542" s="5"/>
      <c r="Y542" s="5"/>
      <c r="Z542" s="5"/>
    </row>
    <row r="543" spans="1:26" ht="12.75" customHeight="1">
      <c r="A543" s="5"/>
      <c r="B543" s="5"/>
      <c r="C543" s="5"/>
      <c r="D543" s="5"/>
      <c r="E543" s="5"/>
      <c r="F543" s="5"/>
      <c r="G543" s="5"/>
      <c r="H543" s="306"/>
      <c r="I543" s="5"/>
      <c r="J543" s="5"/>
      <c r="K543" s="5"/>
      <c r="L543" s="5"/>
      <c r="M543" s="5"/>
      <c r="N543" s="5"/>
      <c r="O543" s="5"/>
      <c r="P543" s="5"/>
      <c r="Q543" s="57"/>
      <c r="R543" s="5"/>
      <c r="S543" s="5"/>
      <c r="T543" s="5"/>
      <c r="U543" s="5"/>
      <c r="V543" s="5"/>
      <c r="W543" s="5"/>
      <c r="X543" s="5"/>
      <c r="Y543" s="5"/>
      <c r="Z543" s="5"/>
    </row>
    <row r="544" spans="1:26" ht="12.75" customHeight="1">
      <c r="A544" s="5"/>
      <c r="B544" s="5"/>
      <c r="C544" s="5"/>
      <c r="D544" s="5"/>
      <c r="E544" s="5"/>
      <c r="F544" s="5"/>
      <c r="G544" s="5"/>
      <c r="H544" s="306"/>
      <c r="I544" s="5"/>
      <c r="J544" s="5"/>
      <c r="K544" s="5"/>
      <c r="L544" s="5"/>
      <c r="M544" s="5"/>
      <c r="N544" s="5"/>
      <c r="O544" s="5"/>
      <c r="P544" s="5"/>
      <c r="Q544" s="57"/>
      <c r="R544" s="5"/>
      <c r="S544" s="5"/>
      <c r="T544" s="5"/>
      <c r="U544" s="5"/>
      <c r="V544" s="5"/>
      <c r="W544" s="5"/>
      <c r="X544" s="5"/>
      <c r="Y544" s="5"/>
      <c r="Z544" s="5"/>
    </row>
    <row r="545" spans="1:26" ht="12.75" customHeight="1">
      <c r="A545" s="5"/>
      <c r="B545" s="5"/>
      <c r="C545" s="5"/>
      <c r="D545" s="5"/>
      <c r="E545" s="5"/>
      <c r="F545" s="5"/>
      <c r="G545" s="5"/>
      <c r="H545" s="306"/>
      <c r="I545" s="5"/>
      <c r="J545" s="5"/>
      <c r="K545" s="5"/>
      <c r="L545" s="5"/>
      <c r="M545" s="5"/>
      <c r="N545" s="5"/>
      <c r="O545" s="5"/>
      <c r="P545" s="5"/>
      <c r="Q545" s="57"/>
      <c r="R545" s="5"/>
      <c r="S545" s="5"/>
      <c r="T545" s="5"/>
      <c r="U545" s="5"/>
      <c r="V545" s="5"/>
      <c r="W545" s="5"/>
      <c r="X545" s="5"/>
      <c r="Y545" s="5"/>
      <c r="Z545" s="5"/>
    </row>
    <row r="546" spans="1:26" ht="12.75" customHeight="1">
      <c r="A546" s="5"/>
      <c r="B546" s="5"/>
      <c r="C546" s="5"/>
      <c r="D546" s="5"/>
      <c r="E546" s="5"/>
      <c r="F546" s="5"/>
      <c r="G546" s="5"/>
      <c r="H546" s="306"/>
      <c r="I546" s="5"/>
      <c r="J546" s="5"/>
      <c r="K546" s="5"/>
      <c r="L546" s="5"/>
      <c r="M546" s="5"/>
      <c r="N546" s="5"/>
      <c r="O546" s="5"/>
      <c r="P546" s="5"/>
      <c r="Q546" s="57"/>
      <c r="R546" s="5"/>
      <c r="S546" s="5"/>
      <c r="T546" s="5"/>
      <c r="U546" s="5"/>
      <c r="V546" s="5"/>
      <c r="W546" s="5"/>
      <c r="X546" s="5"/>
      <c r="Y546" s="5"/>
      <c r="Z546" s="5"/>
    </row>
    <row r="547" spans="1:26" ht="12.75" customHeight="1">
      <c r="A547" s="5"/>
      <c r="B547" s="5"/>
      <c r="C547" s="5"/>
      <c r="D547" s="5"/>
      <c r="E547" s="5"/>
      <c r="F547" s="5"/>
      <c r="G547" s="5"/>
      <c r="H547" s="306"/>
      <c r="I547" s="5"/>
      <c r="J547" s="5"/>
      <c r="K547" s="5"/>
      <c r="L547" s="5"/>
      <c r="M547" s="5"/>
      <c r="N547" s="5"/>
      <c r="O547" s="5"/>
      <c r="P547" s="5"/>
      <c r="Q547" s="57"/>
      <c r="R547" s="5"/>
      <c r="S547" s="5"/>
      <c r="T547" s="5"/>
      <c r="U547" s="5"/>
      <c r="V547" s="5"/>
      <c r="W547" s="5"/>
      <c r="X547" s="5"/>
      <c r="Y547" s="5"/>
      <c r="Z547" s="5"/>
    </row>
    <row r="548" spans="1:26" ht="12.75" customHeight="1">
      <c r="A548" s="5"/>
      <c r="B548" s="5"/>
      <c r="C548" s="5"/>
      <c r="D548" s="5"/>
      <c r="E548" s="5"/>
      <c r="F548" s="5"/>
      <c r="G548" s="5"/>
      <c r="H548" s="306"/>
      <c r="I548" s="5"/>
      <c r="J548" s="5"/>
      <c r="K548" s="5"/>
      <c r="L548" s="5"/>
      <c r="M548" s="5"/>
      <c r="N548" s="5"/>
      <c r="O548" s="5"/>
      <c r="P548" s="5"/>
      <c r="Q548" s="57"/>
      <c r="R548" s="5"/>
      <c r="S548" s="5"/>
      <c r="T548" s="5"/>
      <c r="U548" s="5"/>
      <c r="V548" s="5"/>
      <c r="W548" s="5"/>
      <c r="X548" s="5"/>
      <c r="Y548" s="5"/>
      <c r="Z548" s="5"/>
    </row>
    <row r="549" spans="1:26" ht="12.75" customHeight="1">
      <c r="A549" s="5"/>
      <c r="B549" s="5"/>
      <c r="C549" s="5"/>
      <c r="D549" s="5"/>
      <c r="E549" s="5"/>
      <c r="F549" s="5"/>
      <c r="G549" s="5"/>
      <c r="H549" s="306"/>
      <c r="I549" s="5"/>
      <c r="J549" s="5"/>
      <c r="K549" s="5"/>
      <c r="L549" s="5"/>
      <c r="M549" s="5"/>
      <c r="N549" s="5"/>
      <c r="O549" s="5"/>
      <c r="P549" s="5"/>
      <c r="Q549" s="57"/>
      <c r="R549" s="5"/>
      <c r="S549" s="5"/>
      <c r="T549" s="5"/>
      <c r="U549" s="5"/>
      <c r="V549" s="5"/>
      <c r="W549" s="5"/>
      <c r="X549" s="5"/>
      <c r="Y549" s="5"/>
      <c r="Z549" s="5"/>
    </row>
    <row r="550" spans="1:26" ht="12.75" customHeight="1">
      <c r="A550" s="5"/>
      <c r="B550" s="5"/>
      <c r="C550" s="5"/>
      <c r="D550" s="5"/>
      <c r="E550" s="5"/>
      <c r="F550" s="5"/>
      <c r="G550" s="5"/>
      <c r="H550" s="306"/>
      <c r="I550" s="5"/>
      <c r="J550" s="5"/>
      <c r="K550" s="5"/>
      <c r="L550" s="5"/>
      <c r="M550" s="5"/>
      <c r="N550" s="5"/>
      <c r="O550" s="5"/>
      <c r="P550" s="5"/>
      <c r="Q550" s="57"/>
      <c r="R550" s="5"/>
      <c r="S550" s="5"/>
      <c r="T550" s="5"/>
      <c r="U550" s="5"/>
      <c r="V550" s="5"/>
      <c r="W550" s="5"/>
      <c r="X550" s="5"/>
      <c r="Y550" s="5"/>
      <c r="Z550" s="5"/>
    </row>
    <row r="551" spans="1:26" ht="12.75" customHeight="1">
      <c r="A551" s="5"/>
      <c r="B551" s="5"/>
      <c r="C551" s="5"/>
      <c r="D551" s="5"/>
      <c r="E551" s="5"/>
      <c r="F551" s="5"/>
      <c r="G551" s="5"/>
      <c r="H551" s="306"/>
      <c r="I551" s="5"/>
      <c r="J551" s="5"/>
      <c r="K551" s="5"/>
      <c r="L551" s="5"/>
      <c r="M551" s="5"/>
      <c r="N551" s="5"/>
      <c r="O551" s="5"/>
      <c r="P551" s="5"/>
      <c r="Q551" s="57"/>
      <c r="R551" s="5"/>
      <c r="S551" s="5"/>
      <c r="T551" s="5"/>
      <c r="U551" s="5"/>
      <c r="V551" s="5"/>
      <c r="W551" s="5"/>
      <c r="X551" s="5"/>
      <c r="Y551" s="5"/>
      <c r="Z551" s="5"/>
    </row>
    <row r="552" spans="1:26" ht="12.75" customHeight="1">
      <c r="A552" s="5"/>
      <c r="B552" s="5"/>
      <c r="C552" s="5"/>
      <c r="D552" s="5"/>
      <c r="E552" s="5"/>
      <c r="F552" s="5"/>
      <c r="G552" s="5"/>
      <c r="H552" s="306"/>
      <c r="I552" s="5"/>
      <c r="J552" s="5"/>
      <c r="K552" s="5"/>
      <c r="L552" s="5"/>
      <c r="M552" s="5"/>
      <c r="N552" s="5"/>
      <c r="O552" s="5"/>
      <c r="P552" s="5"/>
      <c r="Q552" s="57"/>
      <c r="R552" s="5"/>
      <c r="S552" s="5"/>
      <c r="T552" s="5"/>
      <c r="U552" s="5"/>
      <c r="V552" s="5"/>
      <c r="W552" s="5"/>
      <c r="X552" s="5"/>
      <c r="Y552" s="5"/>
      <c r="Z552" s="5"/>
    </row>
    <row r="553" spans="1:26" ht="12.75" customHeight="1">
      <c r="A553" s="5"/>
      <c r="B553" s="5"/>
      <c r="C553" s="5"/>
      <c r="D553" s="5"/>
      <c r="E553" s="5"/>
      <c r="F553" s="5"/>
      <c r="G553" s="5"/>
      <c r="H553" s="306"/>
      <c r="I553" s="5"/>
      <c r="J553" s="5"/>
      <c r="K553" s="5"/>
      <c r="L553" s="5"/>
      <c r="M553" s="5"/>
      <c r="N553" s="5"/>
      <c r="O553" s="5"/>
      <c r="P553" s="5"/>
      <c r="Q553" s="57"/>
      <c r="R553" s="5"/>
      <c r="S553" s="5"/>
      <c r="T553" s="5"/>
      <c r="U553" s="5"/>
      <c r="V553" s="5"/>
      <c r="W553" s="5"/>
      <c r="X553" s="5"/>
      <c r="Y553" s="5"/>
      <c r="Z553" s="5"/>
    </row>
    <row r="554" spans="1:26" ht="12.75" customHeight="1">
      <c r="A554" s="5"/>
      <c r="B554" s="5"/>
      <c r="C554" s="5"/>
      <c r="D554" s="5"/>
      <c r="E554" s="5"/>
      <c r="F554" s="5"/>
      <c r="G554" s="5"/>
      <c r="H554" s="306"/>
      <c r="I554" s="5"/>
      <c r="J554" s="5"/>
      <c r="K554" s="5"/>
      <c r="L554" s="5"/>
      <c r="M554" s="5"/>
      <c r="N554" s="5"/>
      <c r="O554" s="5"/>
      <c r="P554" s="5"/>
      <c r="Q554" s="57"/>
      <c r="R554" s="5"/>
      <c r="S554" s="5"/>
      <c r="T554" s="5"/>
      <c r="U554" s="5"/>
      <c r="V554" s="5"/>
      <c r="W554" s="5"/>
      <c r="X554" s="5"/>
      <c r="Y554" s="5"/>
      <c r="Z554" s="5"/>
    </row>
    <row r="555" spans="1:26" ht="12.75" customHeight="1">
      <c r="A555" s="5"/>
      <c r="B555" s="5"/>
      <c r="C555" s="5"/>
      <c r="D555" s="5"/>
      <c r="E555" s="5"/>
      <c r="F555" s="5"/>
      <c r="G555" s="5"/>
      <c r="H555" s="306"/>
      <c r="I555" s="5"/>
      <c r="J555" s="5"/>
      <c r="K555" s="5"/>
      <c r="L555" s="5"/>
      <c r="M555" s="5"/>
      <c r="N555" s="5"/>
      <c r="O555" s="5"/>
      <c r="P555" s="5"/>
      <c r="Q555" s="57"/>
      <c r="R555" s="5"/>
      <c r="S555" s="5"/>
      <c r="T555" s="5"/>
      <c r="U555" s="5"/>
      <c r="V555" s="5"/>
      <c r="W555" s="5"/>
      <c r="X555" s="5"/>
      <c r="Y555" s="5"/>
      <c r="Z555" s="5"/>
    </row>
    <row r="556" spans="1:26" ht="12.75" customHeight="1">
      <c r="A556" s="5"/>
      <c r="B556" s="5"/>
      <c r="C556" s="5"/>
      <c r="D556" s="5"/>
      <c r="E556" s="5"/>
      <c r="F556" s="5"/>
      <c r="G556" s="5"/>
      <c r="H556" s="306"/>
      <c r="I556" s="5"/>
      <c r="J556" s="5"/>
      <c r="K556" s="5"/>
      <c r="L556" s="5"/>
      <c r="M556" s="5"/>
      <c r="N556" s="5"/>
      <c r="O556" s="5"/>
      <c r="P556" s="5"/>
      <c r="Q556" s="57"/>
      <c r="R556" s="5"/>
      <c r="S556" s="5"/>
      <c r="T556" s="5"/>
      <c r="U556" s="5"/>
      <c r="V556" s="5"/>
      <c r="W556" s="5"/>
      <c r="X556" s="5"/>
      <c r="Y556" s="5"/>
      <c r="Z556" s="5"/>
    </row>
    <row r="557" spans="1:26" ht="12.75" customHeight="1">
      <c r="A557" s="5"/>
      <c r="B557" s="5"/>
      <c r="C557" s="5"/>
      <c r="D557" s="5"/>
      <c r="E557" s="5"/>
      <c r="F557" s="5"/>
      <c r="G557" s="5"/>
      <c r="H557" s="306"/>
      <c r="I557" s="5"/>
      <c r="J557" s="5"/>
      <c r="K557" s="5"/>
      <c r="L557" s="5"/>
      <c r="M557" s="5"/>
      <c r="N557" s="5"/>
      <c r="O557" s="5"/>
      <c r="P557" s="5"/>
      <c r="Q557" s="57"/>
      <c r="R557" s="5"/>
      <c r="S557" s="5"/>
      <c r="T557" s="5"/>
      <c r="U557" s="5"/>
      <c r="V557" s="5"/>
      <c r="W557" s="5"/>
      <c r="X557" s="5"/>
      <c r="Y557" s="5"/>
      <c r="Z557" s="5"/>
    </row>
    <row r="558" spans="1:26" ht="12.75" customHeight="1">
      <c r="A558" s="5"/>
      <c r="B558" s="5"/>
      <c r="C558" s="5"/>
      <c r="D558" s="5"/>
      <c r="E558" s="5"/>
      <c r="F558" s="5"/>
      <c r="G558" s="5"/>
      <c r="H558" s="306"/>
      <c r="I558" s="5"/>
      <c r="J558" s="5"/>
      <c r="K558" s="5"/>
      <c r="L558" s="5"/>
      <c r="M558" s="5"/>
      <c r="N558" s="5"/>
      <c r="O558" s="5"/>
      <c r="P558" s="5"/>
      <c r="Q558" s="57"/>
      <c r="R558" s="5"/>
      <c r="S558" s="5"/>
      <c r="T558" s="5"/>
      <c r="U558" s="5"/>
      <c r="V558" s="5"/>
      <c r="W558" s="5"/>
      <c r="X558" s="5"/>
      <c r="Y558" s="5"/>
      <c r="Z558" s="5"/>
    </row>
    <row r="559" spans="1:26" ht="12.75" customHeight="1">
      <c r="A559" s="5"/>
      <c r="B559" s="5"/>
      <c r="C559" s="5"/>
      <c r="D559" s="5"/>
      <c r="E559" s="5"/>
      <c r="F559" s="5"/>
      <c r="G559" s="5"/>
      <c r="H559" s="306"/>
      <c r="I559" s="5"/>
      <c r="J559" s="5"/>
      <c r="K559" s="5"/>
      <c r="L559" s="5"/>
      <c r="M559" s="5"/>
      <c r="N559" s="5"/>
      <c r="O559" s="5"/>
      <c r="P559" s="5"/>
      <c r="Q559" s="57"/>
      <c r="R559" s="5"/>
      <c r="S559" s="5"/>
      <c r="T559" s="5"/>
      <c r="U559" s="5"/>
      <c r="V559" s="5"/>
      <c r="W559" s="5"/>
      <c r="X559" s="5"/>
      <c r="Y559" s="5"/>
      <c r="Z559" s="5"/>
    </row>
    <row r="560" spans="1:26" ht="12.75" customHeight="1">
      <c r="A560" s="5"/>
      <c r="B560" s="5"/>
      <c r="C560" s="5"/>
      <c r="D560" s="5"/>
      <c r="E560" s="5"/>
      <c r="F560" s="5"/>
      <c r="G560" s="5"/>
      <c r="H560" s="306"/>
      <c r="I560" s="5"/>
      <c r="J560" s="5"/>
      <c r="K560" s="5"/>
      <c r="L560" s="5"/>
      <c r="M560" s="5"/>
      <c r="N560" s="5"/>
      <c r="O560" s="5"/>
      <c r="P560" s="5"/>
      <c r="Q560" s="57"/>
      <c r="R560" s="5"/>
      <c r="S560" s="5"/>
      <c r="T560" s="5"/>
      <c r="U560" s="5"/>
      <c r="V560" s="5"/>
      <c r="W560" s="5"/>
      <c r="X560" s="5"/>
      <c r="Y560" s="5"/>
      <c r="Z560" s="5"/>
    </row>
    <row r="561" spans="1:26" ht="12.75" customHeight="1">
      <c r="A561" s="5"/>
      <c r="B561" s="5"/>
      <c r="C561" s="5"/>
      <c r="D561" s="5"/>
      <c r="E561" s="5"/>
      <c r="F561" s="5"/>
      <c r="G561" s="5"/>
      <c r="H561" s="306"/>
      <c r="I561" s="5"/>
      <c r="J561" s="5"/>
      <c r="K561" s="5"/>
      <c r="L561" s="5"/>
      <c r="M561" s="5"/>
      <c r="N561" s="5"/>
      <c r="O561" s="5"/>
      <c r="P561" s="5"/>
      <c r="Q561" s="57"/>
      <c r="R561" s="5"/>
      <c r="S561" s="5"/>
      <c r="T561" s="5"/>
      <c r="U561" s="5"/>
      <c r="V561" s="5"/>
      <c r="W561" s="5"/>
      <c r="X561" s="5"/>
      <c r="Y561" s="5"/>
      <c r="Z561" s="5"/>
    </row>
    <row r="562" spans="1:26" ht="12.75" customHeight="1">
      <c r="A562" s="5"/>
      <c r="B562" s="5"/>
      <c r="C562" s="5"/>
      <c r="D562" s="5"/>
      <c r="E562" s="5"/>
      <c r="F562" s="5"/>
      <c r="G562" s="5"/>
      <c r="H562" s="306"/>
      <c r="I562" s="5"/>
      <c r="J562" s="5"/>
      <c r="K562" s="5"/>
      <c r="L562" s="5"/>
      <c r="M562" s="5"/>
      <c r="N562" s="5"/>
      <c r="O562" s="5"/>
      <c r="P562" s="5"/>
      <c r="Q562" s="57"/>
      <c r="R562" s="5"/>
      <c r="S562" s="5"/>
      <c r="T562" s="5"/>
      <c r="U562" s="5"/>
      <c r="V562" s="5"/>
      <c r="W562" s="5"/>
      <c r="X562" s="5"/>
      <c r="Y562" s="5"/>
      <c r="Z562" s="5"/>
    </row>
    <row r="563" spans="1:26" ht="12.75" customHeight="1">
      <c r="A563" s="5"/>
      <c r="B563" s="5"/>
      <c r="C563" s="5"/>
      <c r="D563" s="5"/>
      <c r="E563" s="5"/>
      <c r="F563" s="5"/>
      <c r="G563" s="5"/>
      <c r="H563" s="306"/>
      <c r="I563" s="5"/>
      <c r="J563" s="5"/>
      <c r="K563" s="5"/>
      <c r="L563" s="5"/>
      <c r="M563" s="5"/>
      <c r="N563" s="5"/>
      <c r="O563" s="5"/>
      <c r="P563" s="5"/>
      <c r="Q563" s="57"/>
      <c r="R563" s="5"/>
      <c r="S563" s="5"/>
      <c r="T563" s="5"/>
      <c r="U563" s="5"/>
      <c r="V563" s="5"/>
      <c r="W563" s="5"/>
      <c r="X563" s="5"/>
      <c r="Y563" s="5"/>
      <c r="Z563" s="5"/>
    </row>
    <row r="564" spans="1:26" ht="12.75" customHeight="1">
      <c r="A564" s="5"/>
      <c r="B564" s="5"/>
      <c r="C564" s="5"/>
      <c r="D564" s="5"/>
      <c r="E564" s="5"/>
      <c r="F564" s="5"/>
      <c r="G564" s="5"/>
      <c r="H564" s="306"/>
      <c r="I564" s="5"/>
      <c r="J564" s="5"/>
      <c r="K564" s="5"/>
      <c r="L564" s="5"/>
      <c r="M564" s="5"/>
      <c r="N564" s="5"/>
      <c r="O564" s="5"/>
      <c r="P564" s="5"/>
      <c r="Q564" s="57"/>
      <c r="R564" s="5"/>
      <c r="S564" s="5"/>
      <c r="T564" s="5"/>
      <c r="U564" s="5"/>
      <c r="V564" s="5"/>
      <c r="W564" s="5"/>
      <c r="X564" s="5"/>
      <c r="Y564" s="5"/>
      <c r="Z564" s="5"/>
    </row>
    <row r="565" spans="1:26" ht="12.75" customHeight="1">
      <c r="A565" s="5"/>
      <c r="B565" s="5"/>
      <c r="C565" s="5"/>
      <c r="D565" s="5"/>
      <c r="E565" s="5"/>
      <c r="F565" s="5"/>
      <c r="G565" s="5"/>
      <c r="H565" s="306"/>
      <c r="I565" s="5"/>
      <c r="J565" s="5"/>
      <c r="K565" s="5"/>
      <c r="L565" s="5"/>
      <c r="M565" s="5"/>
      <c r="N565" s="5"/>
      <c r="O565" s="5"/>
      <c r="P565" s="5"/>
      <c r="Q565" s="57"/>
      <c r="R565" s="5"/>
      <c r="S565" s="5"/>
      <c r="T565" s="5"/>
      <c r="U565" s="5"/>
      <c r="V565" s="5"/>
      <c r="W565" s="5"/>
      <c r="X565" s="5"/>
      <c r="Y565" s="5"/>
      <c r="Z565" s="5"/>
    </row>
    <row r="566" spans="1:26" ht="12.75" customHeight="1">
      <c r="A566" s="5"/>
      <c r="B566" s="5"/>
      <c r="C566" s="5"/>
      <c r="D566" s="5"/>
      <c r="E566" s="5"/>
      <c r="F566" s="5"/>
      <c r="G566" s="5"/>
      <c r="H566" s="306"/>
      <c r="I566" s="5"/>
      <c r="J566" s="5"/>
      <c r="K566" s="5"/>
      <c r="L566" s="5"/>
      <c r="M566" s="5"/>
      <c r="N566" s="5"/>
      <c r="O566" s="5"/>
      <c r="P566" s="5"/>
      <c r="Q566" s="57"/>
      <c r="R566" s="5"/>
      <c r="S566" s="5"/>
      <c r="T566" s="5"/>
      <c r="U566" s="5"/>
      <c r="V566" s="5"/>
      <c r="W566" s="5"/>
      <c r="X566" s="5"/>
      <c r="Y566" s="5"/>
      <c r="Z566" s="5"/>
    </row>
    <row r="567" spans="1:26" ht="12.75" customHeight="1">
      <c r="A567" s="5"/>
      <c r="B567" s="5"/>
      <c r="C567" s="5"/>
      <c r="D567" s="5"/>
      <c r="E567" s="5"/>
      <c r="F567" s="5"/>
      <c r="G567" s="5"/>
      <c r="H567" s="306"/>
      <c r="I567" s="5"/>
      <c r="J567" s="5"/>
      <c r="K567" s="5"/>
      <c r="L567" s="5"/>
      <c r="M567" s="5"/>
      <c r="N567" s="5"/>
      <c r="O567" s="5"/>
      <c r="P567" s="5"/>
      <c r="Q567" s="57"/>
      <c r="R567" s="5"/>
      <c r="S567" s="5"/>
      <c r="T567" s="5"/>
      <c r="U567" s="5"/>
      <c r="V567" s="5"/>
      <c r="W567" s="5"/>
      <c r="X567" s="5"/>
      <c r="Y567" s="5"/>
      <c r="Z567" s="5"/>
    </row>
    <row r="568" spans="1:26" ht="12.75" customHeight="1">
      <c r="A568" s="5"/>
      <c r="B568" s="5"/>
      <c r="C568" s="5"/>
      <c r="D568" s="5"/>
      <c r="E568" s="5"/>
      <c r="F568" s="5"/>
      <c r="G568" s="5"/>
      <c r="H568" s="306"/>
      <c r="I568" s="5"/>
      <c r="J568" s="5"/>
      <c r="K568" s="5"/>
      <c r="L568" s="5"/>
      <c r="M568" s="5"/>
      <c r="N568" s="5"/>
      <c r="O568" s="5"/>
      <c r="P568" s="5"/>
      <c r="Q568" s="57"/>
      <c r="R568" s="5"/>
      <c r="S568" s="5"/>
      <c r="T568" s="5"/>
      <c r="U568" s="5"/>
      <c r="V568" s="5"/>
      <c r="W568" s="5"/>
      <c r="X568" s="5"/>
      <c r="Y568" s="5"/>
      <c r="Z568" s="5"/>
    </row>
    <row r="569" spans="1:26" ht="12.75" customHeight="1">
      <c r="A569" s="5"/>
      <c r="B569" s="5"/>
      <c r="C569" s="5"/>
      <c r="D569" s="5"/>
      <c r="E569" s="5"/>
      <c r="F569" s="5"/>
      <c r="G569" s="5"/>
      <c r="H569" s="306"/>
      <c r="I569" s="5"/>
      <c r="J569" s="5"/>
      <c r="K569" s="5"/>
      <c r="L569" s="5"/>
      <c r="M569" s="5"/>
      <c r="N569" s="5"/>
      <c r="O569" s="5"/>
      <c r="P569" s="5"/>
      <c r="Q569" s="57"/>
      <c r="R569" s="5"/>
      <c r="S569" s="5"/>
      <c r="T569" s="5"/>
      <c r="U569" s="5"/>
      <c r="V569" s="5"/>
      <c r="W569" s="5"/>
      <c r="X569" s="5"/>
      <c r="Y569" s="5"/>
      <c r="Z569" s="5"/>
    </row>
    <row r="570" spans="1:26" ht="12.75" customHeight="1">
      <c r="A570" s="5"/>
      <c r="B570" s="5"/>
      <c r="C570" s="5"/>
      <c r="D570" s="5"/>
      <c r="E570" s="5"/>
      <c r="F570" s="5"/>
      <c r="G570" s="5"/>
      <c r="H570" s="306"/>
      <c r="I570" s="5"/>
      <c r="J570" s="5"/>
      <c r="K570" s="5"/>
      <c r="L570" s="5"/>
      <c r="M570" s="5"/>
      <c r="N570" s="5"/>
      <c r="O570" s="5"/>
      <c r="P570" s="5"/>
      <c r="Q570" s="57"/>
      <c r="R570" s="5"/>
      <c r="S570" s="5"/>
      <c r="T570" s="5"/>
      <c r="U570" s="5"/>
      <c r="V570" s="5"/>
      <c r="W570" s="5"/>
      <c r="X570" s="5"/>
      <c r="Y570" s="5"/>
      <c r="Z570" s="5"/>
    </row>
    <row r="571" spans="1:26" ht="12.75" customHeight="1">
      <c r="A571" s="5"/>
      <c r="B571" s="5"/>
      <c r="C571" s="5"/>
      <c r="D571" s="5"/>
      <c r="E571" s="5"/>
      <c r="F571" s="5"/>
      <c r="G571" s="5"/>
      <c r="H571" s="306"/>
      <c r="I571" s="5"/>
      <c r="J571" s="5"/>
      <c r="K571" s="5"/>
      <c r="L571" s="5"/>
      <c r="M571" s="5"/>
      <c r="N571" s="5"/>
      <c r="O571" s="5"/>
      <c r="P571" s="5"/>
      <c r="Q571" s="57"/>
      <c r="R571" s="5"/>
      <c r="S571" s="5"/>
      <c r="T571" s="5"/>
      <c r="U571" s="5"/>
      <c r="V571" s="5"/>
      <c r="W571" s="5"/>
      <c r="X571" s="5"/>
      <c r="Y571" s="5"/>
      <c r="Z571" s="5"/>
    </row>
    <row r="572" spans="1:26" ht="12.75" customHeight="1">
      <c r="A572" s="5"/>
      <c r="B572" s="5"/>
      <c r="C572" s="5"/>
      <c r="D572" s="5"/>
      <c r="E572" s="5"/>
      <c r="F572" s="5"/>
      <c r="G572" s="5"/>
      <c r="H572" s="306"/>
      <c r="I572" s="5"/>
      <c r="J572" s="5"/>
      <c r="K572" s="5"/>
      <c r="L572" s="5"/>
      <c r="M572" s="5"/>
      <c r="N572" s="5"/>
      <c r="O572" s="5"/>
      <c r="P572" s="5"/>
      <c r="Q572" s="57"/>
      <c r="R572" s="5"/>
      <c r="S572" s="5"/>
      <c r="T572" s="5"/>
      <c r="U572" s="5"/>
      <c r="V572" s="5"/>
      <c r="W572" s="5"/>
      <c r="X572" s="5"/>
      <c r="Y572" s="5"/>
      <c r="Z572" s="5"/>
    </row>
    <row r="573" spans="1:26" ht="12.75" customHeight="1">
      <c r="A573" s="5"/>
      <c r="B573" s="5"/>
      <c r="C573" s="5"/>
      <c r="D573" s="5"/>
      <c r="E573" s="5"/>
      <c r="F573" s="5"/>
      <c r="G573" s="5"/>
      <c r="H573" s="306"/>
      <c r="I573" s="5"/>
      <c r="J573" s="5"/>
      <c r="K573" s="5"/>
      <c r="L573" s="5"/>
      <c r="M573" s="5"/>
      <c r="N573" s="5"/>
      <c r="O573" s="5"/>
      <c r="P573" s="5"/>
      <c r="Q573" s="57"/>
      <c r="R573" s="5"/>
      <c r="S573" s="5"/>
      <c r="T573" s="5"/>
      <c r="U573" s="5"/>
      <c r="V573" s="5"/>
      <c r="W573" s="5"/>
      <c r="X573" s="5"/>
      <c r="Y573" s="5"/>
      <c r="Z573" s="5"/>
    </row>
    <row r="574" spans="1:26" ht="12.75" customHeight="1">
      <c r="A574" s="5"/>
      <c r="B574" s="5"/>
      <c r="C574" s="5"/>
      <c r="D574" s="5"/>
      <c r="E574" s="5"/>
      <c r="F574" s="5"/>
      <c r="G574" s="5"/>
      <c r="H574" s="306"/>
      <c r="I574" s="5"/>
      <c r="J574" s="5"/>
      <c r="K574" s="5"/>
      <c r="L574" s="5"/>
      <c r="M574" s="5"/>
      <c r="N574" s="5"/>
      <c r="O574" s="5"/>
      <c r="P574" s="5"/>
      <c r="Q574" s="57"/>
      <c r="R574" s="5"/>
      <c r="S574" s="5"/>
      <c r="T574" s="5"/>
      <c r="U574" s="5"/>
      <c r="V574" s="5"/>
      <c r="W574" s="5"/>
      <c r="X574" s="5"/>
      <c r="Y574" s="5"/>
      <c r="Z574" s="5"/>
    </row>
    <row r="575" spans="1:26" ht="12.75" customHeight="1">
      <c r="A575" s="5"/>
      <c r="B575" s="5"/>
      <c r="C575" s="5"/>
      <c r="D575" s="5"/>
      <c r="E575" s="5"/>
      <c r="F575" s="5"/>
      <c r="G575" s="5"/>
      <c r="H575" s="306"/>
      <c r="I575" s="5"/>
      <c r="J575" s="5"/>
      <c r="K575" s="5"/>
      <c r="L575" s="5"/>
      <c r="M575" s="5"/>
      <c r="N575" s="5"/>
      <c r="O575" s="5"/>
      <c r="P575" s="5"/>
      <c r="Q575" s="57"/>
      <c r="R575" s="5"/>
      <c r="S575" s="5"/>
      <c r="T575" s="5"/>
      <c r="U575" s="5"/>
      <c r="V575" s="5"/>
      <c r="W575" s="5"/>
      <c r="X575" s="5"/>
      <c r="Y575" s="5"/>
      <c r="Z575" s="5"/>
    </row>
    <row r="576" spans="1:26" ht="12.75" customHeight="1">
      <c r="A576" s="5"/>
      <c r="B576" s="5"/>
      <c r="C576" s="5"/>
      <c r="D576" s="5"/>
      <c r="E576" s="5"/>
      <c r="F576" s="5"/>
      <c r="G576" s="5"/>
      <c r="H576" s="306"/>
      <c r="I576" s="5"/>
      <c r="J576" s="5"/>
      <c r="K576" s="5"/>
      <c r="L576" s="5"/>
      <c r="M576" s="5"/>
      <c r="N576" s="5"/>
      <c r="O576" s="5"/>
      <c r="P576" s="5"/>
      <c r="Q576" s="57"/>
      <c r="R576" s="5"/>
      <c r="S576" s="5"/>
      <c r="T576" s="5"/>
      <c r="U576" s="5"/>
      <c r="V576" s="5"/>
      <c r="W576" s="5"/>
      <c r="X576" s="5"/>
      <c r="Y576" s="5"/>
      <c r="Z576" s="5"/>
    </row>
    <row r="577" spans="1:26" ht="12.75" customHeight="1">
      <c r="A577" s="5"/>
      <c r="B577" s="5"/>
      <c r="C577" s="5"/>
      <c r="D577" s="5"/>
      <c r="E577" s="5"/>
      <c r="F577" s="5"/>
      <c r="G577" s="5"/>
      <c r="H577" s="306"/>
      <c r="I577" s="5"/>
      <c r="J577" s="5"/>
      <c r="K577" s="5"/>
      <c r="L577" s="5"/>
      <c r="M577" s="5"/>
      <c r="N577" s="5"/>
      <c r="O577" s="5"/>
      <c r="P577" s="5"/>
      <c r="Q577" s="57"/>
      <c r="R577" s="5"/>
      <c r="S577" s="5"/>
      <c r="T577" s="5"/>
      <c r="U577" s="5"/>
      <c r="V577" s="5"/>
      <c r="W577" s="5"/>
      <c r="X577" s="5"/>
      <c r="Y577" s="5"/>
      <c r="Z577" s="5"/>
    </row>
    <row r="578" spans="1:26" ht="12.75" customHeight="1">
      <c r="A578" s="5"/>
      <c r="B578" s="5"/>
      <c r="C578" s="5"/>
      <c r="D578" s="5"/>
      <c r="E578" s="5"/>
      <c r="F578" s="5"/>
      <c r="G578" s="5"/>
      <c r="H578" s="306"/>
      <c r="I578" s="5"/>
      <c r="J578" s="5"/>
      <c r="K578" s="5"/>
      <c r="L578" s="5"/>
      <c r="M578" s="5"/>
      <c r="N578" s="5"/>
      <c r="O578" s="5"/>
      <c r="P578" s="5"/>
      <c r="Q578" s="57"/>
      <c r="R578" s="5"/>
      <c r="S578" s="5"/>
      <c r="T578" s="5"/>
      <c r="U578" s="5"/>
      <c r="V578" s="5"/>
      <c r="W578" s="5"/>
      <c r="X578" s="5"/>
      <c r="Y578" s="5"/>
      <c r="Z578" s="5"/>
    </row>
    <row r="579" spans="1:26" ht="12.75" customHeight="1">
      <c r="A579" s="5"/>
      <c r="B579" s="5"/>
      <c r="C579" s="5"/>
      <c r="D579" s="5"/>
      <c r="E579" s="5"/>
      <c r="F579" s="5"/>
      <c r="G579" s="5"/>
      <c r="H579" s="306"/>
      <c r="I579" s="5"/>
      <c r="J579" s="5"/>
      <c r="K579" s="5"/>
      <c r="L579" s="5"/>
      <c r="M579" s="5"/>
      <c r="N579" s="5"/>
      <c r="O579" s="5"/>
      <c r="P579" s="5"/>
      <c r="Q579" s="57"/>
      <c r="R579" s="5"/>
      <c r="S579" s="5"/>
      <c r="T579" s="5"/>
      <c r="U579" s="5"/>
      <c r="V579" s="5"/>
      <c r="W579" s="5"/>
      <c r="X579" s="5"/>
      <c r="Y579" s="5"/>
      <c r="Z579" s="5"/>
    </row>
    <row r="580" spans="1:26" ht="12.75" customHeight="1">
      <c r="A580" s="5"/>
      <c r="B580" s="5"/>
      <c r="C580" s="5"/>
      <c r="D580" s="5"/>
      <c r="E580" s="5"/>
      <c r="F580" s="5"/>
      <c r="G580" s="5"/>
      <c r="H580" s="306"/>
      <c r="I580" s="5"/>
      <c r="J580" s="5"/>
      <c r="K580" s="5"/>
      <c r="L580" s="5"/>
      <c r="M580" s="5"/>
      <c r="N580" s="5"/>
      <c r="O580" s="5"/>
      <c r="P580" s="5"/>
      <c r="Q580" s="57"/>
      <c r="R580" s="5"/>
      <c r="S580" s="5"/>
      <c r="T580" s="5"/>
      <c r="U580" s="5"/>
      <c r="V580" s="5"/>
      <c r="W580" s="5"/>
      <c r="X580" s="5"/>
      <c r="Y580" s="5"/>
      <c r="Z580" s="5"/>
    </row>
    <row r="581" spans="1:26" ht="12.75" customHeight="1">
      <c r="A581" s="5"/>
      <c r="B581" s="5"/>
      <c r="C581" s="5"/>
      <c r="D581" s="5"/>
      <c r="E581" s="5"/>
      <c r="F581" s="5"/>
      <c r="G581" s="5"/>
      <c r="H581" s="306"/>
      <c r="I581" s="5"/>
      <c r="J581" s="5"/>
      <c r="K581" s="5"/>
      <c r="L581" s="5"/>
      <c r="M581" s="5"/>
      <c r="N581" s="5"/>
      <c r="O581" s="5"/>
      <c r="P581" s="5"/>
      <c r="Q581" s="57"/>
      <c r="R581" s="5"/>
      <c r="S581" s="5"/>
      <c r="T581" s="5"/>
      <c r="U581" s="5"/>
      <c r="V581" s="5"/>
      <c r="W581" s="5"/>
      <c r="X581" s="5"/>
      <c r="Y581" s="5"/>
      <c r="Z581" s="5"/>
    </row>
    <row r="582" spans="1:26" ht="12.75" customHeight="1">
      <c r="A582" s="5"/>
      <c r="B582" s="5"/>
      <c r="C582" s="5"/>
      <c r="D582" s="5"/>
      <c r="E582" s="5"/>
      <c r="F582" s="5"/>
      <c r="G582" s="5"/>
      <c r="H582" s="306"/>
      <c r="I582" s="5"/>
      <c r="J582" s="5"/>
      <c r="K582" s="5"/>
      <c r="L582" s="5"/>
      <c r="M582" s="5"/>
      <c r="N582" s="5"/>
      <c r="O582" s="5"/>
      <c r="P582" s="5"/>
      <c r="Q582" s="57"/>
      <c r="R582" s="5"/>
      <c r="S582" s="5"/>
      <c r="T582" s="5"/>
      <c r="U582" s="5"/>
      <c r="V582" s="5"/>
      <c r="W582" s="5"/>
      <c r="X582" s="5"/>
      <c r="Y582" s="5"/>
      <c r="Z582" s="5"/>
    </row>
    <row r="583" spans="1:26" ht="12.75" customHeight="1">
      <c r="A583" s="5"/>
      <c r="B583" s="5"/>
      <c r="C583" s="5"/>
      <c r="D583" s="5"/>
      <c r="E583" s="5"/>
      <c r="F583" s="5"/>
      <c r="G583" s="5"/>
      <c r="H583" s="306"/>
      <c r="I583" s="5"/>
      <c r="J583" s="5"/>
      <c r="K583" s="5"/>
      <c r="L583" s="5"/>
      <c r="M583" s="5"/>
      <c r="N583" s="5"/>
      <c r="O583" s="5"/>
      <c r="P583" s="5"/>
      <c r="Q583" s="57"/>
      <c r="R583" s="5"/>
      <c r="S583" s="5"/>
      <c r="T583" s="5"/>
      <c r="U583" s="5"/>
      <c r="V583" s="5"/>
      <c r="W583" s="5"/>
      <c r="X583" s="5"/>
      <c r="Y583" s="5"/>
      <c r="Z583" s="5"/>
    </row>
    <row r="584" spans="1:26" ht="12.75" customHeight="1">
      <c r="A584" s="5"/>
      <c r="B584" s="5"/>
      <c r="C584" s="5"/>
      <c r="D584" s="5"/>
      <c r="E584" s="5"/>
      <c r="F584" s="5"/>
      <c r="G584" s="5"/>
      <c r="H584" s="306"/>
      <c r="I584" s="5"/>
      <c r="J584" s="5"/>
      <c r="K584" s="5"/>
      <c r="L584" s="5"/>
      <c r="M584" s="5"/>
      <c r="N584" s="5"/>
      <c r="O584" s="5"/>
      <c r="P584" s="5"/>
      <c r="Q584" s="57"/>
      <c r="R584" s="5"/>
      <c r="S584" s="5"/>
      <c r="T584" s="5"/>
      <c r="U584" s="5"/>
      <c r="V584" s="5"/>
      <c r="W584" s="5"/>
      <c r="X584" s="5"/>
      <c r="Y584" s="5"/>
      <c r="Z584" s="5"/>
    </row>
    <row r="585" spans="1:26" ht="12.75" customHeight="1">
      <c r="A585" s="5"/>
      <c r="B585" s="5"/>
      <c r="C585" s="5"/>
      <c r="D585" s="5"/>
      <c r="E585" s="5"/>
      <c r="F585" s="5"/>
      <c r="G585" s="5"/>
      <c r="H585" s="306"/>
      <c r="I585" s="5"/>
      <c r="J585" s="5"/>
      <c r="K585" s="5"/>
      <c r="L585" s="5"/>
      <c r="M585" s="5"/>
      <c r="N585" s="5"/>
      <c r="O585" s="5"/>
      <c r="P585" s="5"/>
      <c r="Q585" s="57"/>
      <c r="R585" s="5"/>
      <c r="S585" s="5"/>
      <c r="T585" s="5"/>
      <c r="U585" s="5"/>
      <c r="V585" s="5"/>
      <c r="W585" s="5"/>
      <c r="X585" s="5"/>
      <c r="Y585" s="5"/>
      <c r="Z585" s="5"/>
    </row>
    <row r="586" spans="1:26" ht="12.75" customHeight="1">
      <c r="A586" s="5"/>
      <c r="B586" s="5"/>
      <c r="C586" s="5"/>
      <c r="D586" s="5"/>
      <c r="E586" s="5"/>
      <c r="F586" s="5"/>
      <c r="G586" s="5"/>
      <c r="H586" s="306"/>
      <c r="I586" s="5"/>
      <c r="J586" s="5"/>
      <c r="K586" s="5"/>
      <c r="L586" s="5"/>
      <c r="M586" s="5"/>
      <c r="N586" s="5"/>
      <c r="O586" s="5"/>
      <c r="P586" s="5"/>
      <c r="Q586" s="57"/>
      <c r="R586" s="5"/>
      <c r="S586" s="5"/>
      <c r="T586" s="5"/>
      <c r="U586" s="5"/>
      <c r="V586" s="5"/>
      <c r="W586" s="5"/>
      <c r="X586" s="5"/>
      <c r="Y586" s="5"/>
      <c r="Z586" s="5"/>
    </row>
    <row r="587" spans="1:26" ht="12.75" customHeight="1">
      <c r="A587" s="5"/>
      <c r="B587" s="5"/>
      <c r="C587" s="5"/>
      <c r="D587" s="5"/>
      <c r="E587" s="5"/>
      <c r="F587" s="5"/>
      <c r="G587" s="5"/>
      <c r="H587" s="306"/>
      <c r="I587" s="5"/>
      <c r="J587" s="5"/>
      <c r="K587" s="5"/>
      <c r="L587" s="5"/>
      <c r="M587" s="5"/>
      <c r="N587" s="5"/>
      <c r="O587" s="5"/>
      <c r="P587" s="5"/>
      <c r="Q587" s="57"/>
      <c r="R587" s="5"/>
      <c r="S587" s="5"/>
      <c r="T587" s="5"/>
      <c r="U587" s="5"/>
      <c r="V587" s="5"/>
      <c r="W587" s="5"/>
      <c r="X587" s="5"/>
      <c r="Y587" s="5"/>
      <c r="Z587" s="5"/>
    </row>
    <row r="588" spans="1:26" ht="12.75" customHeight="1">
      <c r="A588" s="5"/>
      <c r="B588" s="5"/>
      <c r="C588" s="5"/>
      <c r="D588" s="5"/>
      <c r="E588" s="5"/>
      <c r="F588" s="5"/>
      <c r="G588" s="5"/>
      <c r="H588" s="306"/>
      <c r="I588" s="5"/>
      <c r="J588" s="5"/>
      <c r="K588" s="5"/>
      <c r="L588" s="5"/>
      <c r="M588" s="5"/>
      <c r="N588" s="5"/>
      <c r="O588" s="5"/>
      <c r="P588" s="5"/>
      <c r="Q588" s="57"/>
      <c r="R588" s="5"/>
      <c r="S588" s="5"/>
      <c r="T588" s="5"/>
      <c r="U588" s="5"/>
      <c r="V588" s="5"/>
      <c r="W588" s="5"/>
      <c r="X588" s="5"/>
      <c r="Y588" s="5"/>
      <c r="Z588" s="5"/>
    </row>
    <row r="589" spans="1:26" ht="12.75" customHeight="1">
      <c r="A589" s="5"/>
      <c r="B589" s="5"/>
      <c r="C589" s="5"/>
      <c r="D589" s="5"/>
      <c r="E589" s="5"/>
      <c r="F589" s="5"/>
      <c r="G589" s="5"/>
      <c r="H589" s="306"/>
      <c r="I589" s="5"/>
      <c r="J589" s="5"/>
      <c r="K589" s="5"/>
      <c r="L589" s="5"/>
      <c r="M589" s="5"/>
      <c r="N589" s="5"/>
      <c r="O589" s="5"/>
      <c r="P589" s="5"/>
      <c r="Q589" s="57"/>
      <c r="R589" s="5"/>
      <c r="S589" s="5"/>
      <c r="T589" s="5"/>
      <c r="U589" s="5"/>
      <c r="V589" s="5"/>
      <c r="W589" s="5"/>
      <c r="X589" s="5"/>
      <c r="Y589" s="5"/>
      <c r="Z589" s="5"/>
    </row>
    <row r="590" spans="1:26" ht="12.75" customHeight="1">
      <c r="A590" s="5"/>
      <c r="B590" s="5"/>
      <c r="C590" s="5"/>
      <c r="D590" s="5"/>
      <c r="E590" s="5"/>
      <c r="F590" s="5"/>
      <c r="G590" s="5"/>
      <c r="H590" s="306"/>
      <c r="I590" s="5"/>
      <c r="J590" s="5"/>
      <c r="K590" s="5"/>
      <c r="L590" s="5"/>
      <c r="M590" s="5"/>
      <c r="N590" s="5"/>
      <c r="O590" s="5"/>
      <c r="P590" s="5"/>
      <c r="Q590" s="57"/>
      <c r="R590" s="5"/>
      <c r="S590" s="5"/>
      <c r="T590" s="5"/>
      <c r="U590" s="5"/>
      <c r="V590" s="5"/>
      <c r="W590" s="5"/>
      <c r="X590" s="5"/>
      <c r="Y590" s="5"/>
      <c r="Z590" s="5"/>
    </row>
    <row r="591" spans="1:26" ht="12.75" customHeight="1">
      <c r="A591" s="5"/>
      <c r="B591" s="5"/>
      <c r="C591" s="5"/>
      <c r="D591" s="5"/>
      <c r="E591" s="5"/>
      <c r="F591" s="5"/>
      <c r="G591" s="5"/>
      <c r="H591" s="306"/>
      <c r="I591" s="5"/>
      <c r="J591" s="5"/>
      <c r="K591" s="5"/>
      <c r="L591" s="5"/>
      <c r="M591" s="5"/>
      <c r="N591" s="5"/>
      <c r="O591" s="5"/>
      <c r="P591" s="5"/>
      <c r="Q591" s="57"/>
      <c r="R591" s="5"/>
      <c r="S591" s="5"/>
      <c r="T591" s="5"/>
      <c r="U591" s="5"/>
      <c r="V591" s="5"/>
      <c r="W591" s="5"/>
      <c r="X591" s="5"/>
      <c r="Y591" s="5"/>
      <c r="Z591" s="5"/>
    </row>
    <row r="592" spans="1:26" ht="12.75" customHeight="1">
      <c r="A592" s="5"/>
      <c r="B592" s="5"/>
      <c r="C592" s="5"/>
      <c r="D592" s="5"/>
      <c r="E592" s="5"/>
      <c r="F592" s="5"/>
      <c r="G592" s="5"/>
      <c r="H592" s="306"/>
      <c r="I592" s="5"/>
      <c r="J592" s="5"/>
      <c r="K592" s="5"/>
      <c r="L592" s="5"/>
      <c r="M592" s="5"/>
      <c r="N592" s="5"/>
      <c r="O592" s="5"/>
      <c r="P592" s="5"/>
      <c r="Q592" s="57"/>
      <c r="R592" s="5"/>
      <c r="S592" s="5"/>
      <c r="T592" s="5"/>
      <c r="U592" s="5"/>
      <c r="V592" s="5"/>
      <c r="W592" s="5"/>
      <c r="X592" s="5"/>
      <c r="Y592" s="5"/>
      <c r="Z592" s="5"/>
    </row>
    <row r="593" spans="1:26" ht="12.75" customHeight="1">
      <c r="A593" s="5"/>
      <c r="B593" s="5"/>
      <c r="C593" s="5"/>
      <c r="D593" s="5"/>
      <c r="E593" s="5"/>
      <c r="F593" s="5"/>
      <c r="G593" s="5"/>
      <c r="H593" s="306"/>
      <c r="I593" s="5"/>
      <c r="J593" s="5"/>
      <c r="K593" s="5"/>
      <c r="L593" s="5"/>
      <c r="M593" s="5"/>
      <c r="N593" s="5"/>
      <c r="O593" s="5"/>
      <c r="P593" s="5"/>
      <c r="Q593" s="57"/>
      <c r="R593" s="5"/>
      <c r="S593" s="5"/>
      <c r="T593" s="5"/>
      <c r="U593" s="5"/>
      <c r="V593" s="5"/>
      <c r="W593" s="5"/>
      <c r="X593" s="5"/>
      <c r="Y593" s="5"/>
      <c r="Z593" s="5"/>
    </row>
    <row r="594" spans="1:26" ht="12.75" customHeight="1">
      <c r="A594" s="5"/>
      <c r="B594" s="5"/>
      <c r="C594" s="5"/>
      <c r="D594" s="5"/>
      <c r="E594" s="5"/>
      <c r="F594" s="5"/>
      <c r="G594" s="5"/>
      <c r="H594" s="306"/>
      <c r="I594" s="5"/>
      <c r="J594" s="5"/>
      <c r="K594" s="5"/>
      <c r="L594" s="5"/>
      <c r="M594" s="5"/>
      <c r="N594" s="5"/>
      <c r="O594" s="5"/>
      <c r="P594" s="5"/>
      <c r="Q594" s="57"/>
      <c r="R594" s="5"/>
      <c r="S594" s="5"/>
      <c r="T594" s="5"/>
      <c r="U594" s="5"/>
      <c r="V594" s="5"/>
      <c r="W594" s="5"/>
      <c r="X594" s="5"/>
      <c r="Y594" s="5"/>
      <c r="Z594" s="5"/>
    </row>
    <row r="595" spans="1:26" ht="12.75" customHeight="1">
      <c r="A595" s="5"/>
      <c r="B595" s="5"/>
      <c r="C595" s="5"/>
      <c r="D595" s="5"/>
      <c r="E595" s="5"/>
      <c r="F595" s="5"/>
      <c r="G595" s="5"/>
      <c r="H595" s="306"/>
      <c r="I595" s="5"/>
      <c r="J595" s="5"/>
      <c r="K595" s="5"/>
      <c r="L595" s="5"/>
      <c r="M595" s="5"/>
      <c r="N595" s="5"/>
      <c r="O595" s="5"/>
      <c r="P595" s="5"/>
      <c r="Q595" s="57"/>
      <c r="R595" s="5"/>
      <c r="S595" s="5"/>
      <c r="T595" s="5"/>
      <c r="U595" s="5"/>
      <c r="V595" s="5"/>
      <c r="W595" s="5"/>
      <c r="X595" s="5"/>
      <c r="Y595" s="5"/>
      <c r="Z595" s="5"/>
    </row>
    <row r="596" spans="1:26" ht="12.75" customHeight="1">
      <c r="A596" s="5"/>
      <c r="B596" s="5"/>
      <c r="C596" s="5"/>
      <c r="D596" s="5"/>
      <c r="E596" s="5"/>
      <c r="F596" s="5"/>
      <c r="G596" s="5"/>
      <c r="H596" s="306"/>
      <c r="I596" s="5"/>
      <c r="J596" s="5"/>
      <c r="K596" s="5"/>
      <c r="L596" s="5"/>
      <c r="M596" s="5"/>
      <c r="N596" s="5"/>
      <c r="O596" s="5"/>
      <c r="P596" s="5"/>
      <c r="Q596" s="57"/>
      <c r="R596" s="5"/>
      <c r="S596" s="5"/>
      <c r="T596" s="5"/>
      <c r="U596" s="5"/>
      <c r="V596" s="5"/>
      <c r="W596" s="5"/>
      <c r="X596" s="5"/>
      <c r="Y596" s="5"/>
      <c r="Z596" s="5"/>
    </row>
    <row r="597" spans="1:26" ht="12.75" customHeight="1">
      <c r="A597" s="5"/>
      <c r="B597" s="5"/>
      <c r="C597" s="5"/>
      <c r="D597" s="5"/>
      <c r="E597" s="5"/>
      <c r="F597" s="5"/>
      <c r="G597" s="5"/>
      <c r="H597" s="306"/>
      <c r="I597" s="5"/>
      <c r="J597" s="5"/>
      <c r="K597" s="5"/>
      <c r="L597" s="5"/>
      <c r="M597" s="5"/>
      <c r="N597" s="5"/>
      <c r="O597" s="5"/>
      <c r="P597" s="5"/>
      <c r="Q597" s="57"/>
      <c r="R597" s="5"/>
      <c r="S597" s="5"/>
      <c r="T597" s="5"/>
      <c r="U597" s="5"/>
      <c r="V597" s="5"/>
      <c r="W597" s="5"/>
      <c r="X597" s="5"/>
      <c r="Y597" s="5"/>
      <c r="Z597" s="5"/>
    </row>
    <row r="598" spans="1:26" ht="12.75" customHeight="1">
      <c r="A598" s="5"/>
      <c r="B598" s="5"/>
      <c r="C598" s="5"/>
      <c r="D598" s="5"/>
      <c r="E598" s="5"/>
      <c r="F598" s="5"/>
      <c r="G598" s="5"/>
      <c r="H598" s="306"/>
      <c r="I598" s="5"/>
      <c r="J598" s="5"/>
      <c r="K598" s="5"/>
      <c r="L598" s="5"/>
      <c r="M598" s="5"/>
      <c r="N598" s="5"/>
      <c r="O598" s="5"/>
      <c r="P598" s="5"/>
      <c r="Q598" s="57"/>
      <c r="R598" s="5"/>
      <c r="S598" s="5"/>
      <c r="T598" s="5"/>
      <c r="U598" s="5"/>
      <c r="V598" s="5"/>
      <c r="W598" s="5"/>
      <c r="X598" s="5"/>
      <c r="Y598" s="5"/>
      <c r="Z598" s="5"/>
    </row>
    <row r="599" spans="1:26" ht="12.75" customHeight="1">
      <c r="A599" s="5"/>
      <c r="B599" s="5"/>
      <c r="C599" s="5"/>
      <c r="D599" s="5"/>
      <c r="E599" s="5"/>
      <c r="F599" s="5"/>
      <c r="G599" s="5"/>
      <c r="H599" s="306"/>
      <c r="I599" s="5"/>
      <c r="J599" s="5"/>
      <c r="K599" s="5"/>
      <c r="L599" s="5"/>
      <c r="M599" s="5"/>
      <c r="N599" s="5"/>
      <c r="O599" s="5"/>
      <c r="P599" s="5"/>
      <c r="Q599" s="57"/>
      <c r="R599" s="5"/>
      <c r="S599" s="5"/>
      <c r="T599" s="5"/>
      <c r="U599" s="5"/>
      <c r="V599" s="5"/>
      <c r="W599" s="5"/>
      <c r="X599" s="5"/>
      <c r="Y599" s="5"/>
      <c r="Z599" s="5"/>
    </row>
    <row r="600" spans="1:26" ht="12.75" customHeight="1">
      <c r="A600" s="5"/>
      <c r="B600" s="5"/>
      <c r="C600" s="5"/>
      <c r="D600" s="5"/>
      <c r="E600" s="5"/>
      <c r="F600" s="5"/>
      <c r="G600" s="5"/>
      <c r="H600" s="306"/>
      <c r="I600" s="5"/>
      <c r="J600" s="5"/>
      <c r="K600" s="5"/>
      <c r="L600" s="5"/>
      <c r="M600" s="5"/>
      <c r="N600" s="5"/>
      <c r="O600" s="5"/>
      <c r="P600" s="5"/>
      <c r="Q600" s="57"/>
      <c r="R600" s="5"/>
      <c r="S600" s="5"/>
      <c r="T600" s="5"/>
      <c r="U600" s="5"/>
      <c r="V600" s="5"/>
      <c r="W600" s="5"/>
      <c r="X600" s="5"/>
      <c r="Y600" s="5"/>
      <c r="Z600" s="5"/>
    </row>
    <row r="601" spans="1:26" ht="12.75" customHeight="1">
      <c r="A601" s="5"/>
      <c r="B601" s="5"/>
      <c r="C601" s="5"/>
      <c r="D601" s="5"/>
      <c r="E601" s="5"/>
      <c r="F601" s="5"/>
      <c r="G601" s="5"/>
      <c r="H601" s="306"/>
      <c r="I601" s="5"/>
      <c r="J601" s="5"/>
      <c r="K601" s="5"/>
      <c r="L601" s="5"/>
      <c r="M601" s="5"/>
      <c r="N601" s="5"/>
      <c r="O601" s="5"/>
      <c r="P601" s="5"/>
      <c r="Q601" s="57"/>
      <c r="R601" s="5"/>
      <c r="S601" s="5"/>
      <c r="T601" s="5"/>
      <c r="U601" s="5"/>
      <c r="V601" s="5"/>
      <c r="W601" s="5"/>
      <c r="X601" s="5"/>
      <c r="Y601" s="5"/>
      <c r="Z601" s="5"/>
    </row>
    <row r="602" spans="1:26" ht="12.75" customHeight="1">
      <c r="A602" s="5"/>
      <c r="B602" s="5"/>
      <c r="C602" s="5"/>
      <c r="D602" s="5"/>
      <c r="E602" s="5"/>
      <c r="F602" s="5"/>
      <c r="G602" s="5"/>
      <c r="H602" s="306"/>
      <c r="I602" s="5"/>
      <c r="J602" s="5"/>
      <c r="K602" s="5"/>
      <c r="L602" s="5"/>
      <c r="M602" s="5"/>
      <c r="N602" s="5"/>
      <c r="O602" s="5"/>
      <c r="P602" s="5"/>
      <c r="Q602" s="57"/>
      <c r="R602" s="5"/>
      <c r="S602" s="5"/>
      <c r="T602" s="5"/>
      <c r="U602" s="5"/>
      <c r="V602" s="5"/>
      <c r="W602" s="5"/>
      <c r="X602" s="5"/>
      <c r="Y602" s="5"/>
      <c r="Z602" s="5"/>
    </row>
    <row r="603" spans="1:26" ht="12.75" customHeight="1">
      <c r="A603" s="5"/>
      <c r="B603" s="5"/>
      <c r="C603" s="5"/>
      <c r="D603" s="5"/>
      <c r="E603" s="5"/>
      <c r="F603" s="5"/>
      <c r="G603" s="5"/>
      <c r="H603" s="306"/>
      <c r="I603" s="5"/>
      <c r="J603" s="5"/>
      <c r="K603" s="5"/>
      <c r="L603" s="5"/>
      <c r="M603" s="5"/>
      <c r="N603" s="5"/>
      <c r="O603" s="5"/>
      <c r="P603" s="5"/>
      <c r="Q603" s="57"/>
      <c r="R603" s="5"/>
      <c r="S603" s="5"/>
      <c r="T603" s="5"/>
      <c r="U603" s="5"/>
      <c r="V603" s="5"/>
      <c r="W603" s="5"/>
      <c r="X603" s="5"/>
      <c r="Y603" s="5"/>
      <c r="Z603" s="5"/>
    </row>
    <row r="604" spans="1:26" ht="12.75" customHeight="1">
      <c r="A604" s="5"/>
      <c r="B604" s="5"/>
      <c r="C604" s="5"/>
      <c r="D604" s="5"/>
      <c r="E604" s="5"/>
      <c r="F604" s="5"/>
      <c r="G604" s="5"/>
      <c r="H604" s="306"/>
      <c r="I604" s="5"/>
      <c r="J604" s="5"/>
      <c r="K604" s="5"/>
      <c r="L604" s="5"/>
      <c r="M604" s="5"/>
      <c r="N604" s="5"/>
      <c r="O604" s="5"/>
      <c r="P604" s="5"/>
      <c r="Q604" s="57"/>
      <c r="R604" s="5"/>
      <c r="S604" s="5"/>
      <c r="T604" s="5"/>
      <c r="U604" s="5"/>
      <c r="V604" s="5"/>
      <c r="W604" s="5"/>
      <c r="X604" s="5"/>
      <c r="Y604" s="5"/>
      <c r="Z604" s="5"/>
    </row>
    <row r="605" spans="1:26" ht="12.75" customHeight="1">
      <c r="A605" s="5"/>
      <c r="B605" s="5"/>
      <c r="C605" s="5"/>
      <c r="D605" s="5"/>
      <c r="E605" s="5"/>
      <c r="F605" s="5"/>
      <c r="G605" s="5"/>
      <c r="H605" s="306"/>
      <c r="I605" s="5"/>
      <c r="J605" s="5"/>
      <c r="K605" s="5"/>
      <c r="L605" s="5"/>
      <c r="M605" s="5"/>
      <c r="N605" s="5"/>
      <c r="O605" s="5"/>
      <c r="P605" s="5"/>
      <c r="Q605" s="57"/>
      <c r="R605" s="5"/>
      <c r="S605" s="5"/>
      <c r="T605" s="5"/>
      <c r="U605" s="5"/>
      <c r="V605" s="5"/>
      <c r="W605" s="5"/>
      <c r="X605" s="5"/>
      <c r="Y605" s="5"/>
      <c r="Z605" s="5"/>
    </row>
    <row r="606" spans="1:26" ht="12.75" customHeight="1">
      <c r="A606" s="5"/>
      <c r="B606" s="5"/>
      <c r="C606" s="5"/>
      <c r="D606" s="5"/>
      <c r="E606" s="5"/>
      <c r="F606" s="5"/>
      <c r="G606" s="5"/>
      <c r="H606" s="306"/>
      <c r="I606" s="5"/>
      <c r="J606" s="5"/>
      <c r="K606" s="5"/>
      <c r="L606" s="5"/>
      <c r="M606" s="5"/>
      <c r="N606" s="5"/>
      <c r="O606" s="5"/>
      <c r="P606" s="5"/>
      <c r="Q606" s="57"/>
      <c r="R606" s="5"/>
      <c r="S606" s="5"/>
      <c r="T606" s="5"/>
      <c r="U606" s="5"/>
      <c r="V606" s="5"/>
      <c r="W606" s="5"/>
      <c r="X606" s="5"/>
      <c r="Y606" s="5"/>
      <c r="Z606" s="5"/>
    </row>
    <row r="607" spans="1:26" ht="12.75" customHeight="1">
      <c r="A607" s="5"/>
      <c r="B607" s="5"/>
      <c r="C607" s="5"/>
      <c r="D607" s="5"/>
      <c r="E607" s="5"/>
      <c r="F607" s="5"/>
      <c r="G607" s="5"/>
      <c r="H607" s="306"/>
      <c r="I607" s="5"/>
      <c r="J607" s="5"/>
      <c r="K607" s="5"/>
      <c r="L607" s="5"/>
      <c r="M607" s="5"/>
      <c r="N607" s="5"/>
      <c r="O607" s="5"/>
      <c r="P607" s="5"/>
      <c r="Q607" s="57"/>
      <c r="R607" s="5"/>
      <c r="S607" s="5"/>
      <c r="T607" s="5"/>
      <c r="U607" s="5"/>
      <c r="V607" s="5"/>
      <c r="W607" s="5"/>
      <c r="X607" s="5"/>
      <c r="Y607" s="5"/>
      <c r="Z607" s="5"/>
    </row>
    <row r="608" spans="1:26" ht="12.75" customHeight="1">
      <c r="A608" s="5"/>
      <c r="B608" s="5"/>
      <c r="C608" s="5"/>
      <c r="D608" s="5"/>
      <c r="E608" s="5"/>
      <c r="F608" s="5"/>
      <c r="G608" s="5"/>
      <c r="H608" s="306"/>
      <c r="I608" s="5"/>
      <c r="J608" s="5"/>
      <c r="K608" s="5"/>
      <c r="L608" s="5"/>
      <c r="M608" s="5"/>
      <c r="N608" s="5"/>
      <c r="O608" s="5"/>
      <c r="P608" s="5"/>
      <c r="Q608" s="57"/>
      <c r="R608" s="5"/>
      <c r="S608" s="5"/>
      <c r="T608" s="5"/>
      <c r="U608" s="5"/>
      <c r="V608" s="5"/>
      <c r="W608" s="5"/>
      <c r="X608" s="5"/>
      <c r="Y608" s="5"/>
      <c r="Z608" s="5"/>
    </row>
    <row r="609" spans="1:26" ht="12.75" customHeight="1">
      <c r="A609" s="5"/>
      <c r="B609" s="5"/>
      <c r="C609" s="5"/>
      <c r="D609" s="5"/>
      <c r="E609" s="5"/>
      <c r="F609" s="5"/>
      <c r="G609" s="5"/>
      <c r="H609" s="306"/>
      <c r="I609" s="5"/>
      <c r="J609" s="5"/>
      <c r="K609" s="5"/>
      <c r="L609" s="5"/>
      <c r="M609" s="5"/>
      <c r="N609" s="5"/>
      <c r="O609" s="5"/>
      <c r="P609" s="5"/>
      <c r="Q609" s="57"/>
      <c r="R609" s="5"/>
      <c r="S609" s="5"/>
      <c r="T609" s="5"/>
      <c r="U609" s="5"/>
      <c r="V609" s="5"/>
      <c r="W609" s="5"/>
      <c r="X609" s="5"/>
      <c r="Y609" s="5"/>
      <c r="Z609" s="5"/>
    </row>
    <row r="610" spans="1:26" ht="12.75" customHeight="1">
      <c r="A610" s="5"/>
      <c r="B610" s="5"/>
      <c r="C610" s="5"/>
      <c r="D610" s="5"/>
      <c r="E610" s="5"/>
      <c r="F610" s="5"/>
      <c r="G610" s="5"/>
      <c r="H610" s="306"/>
      <c r="I610" s="5"/>
      <c r="J610" s="5"/>
      <c r="K610" s="5"/>
      <c r="L610" s="5"/>
      <c r="M610" s="5"/>
      <c r="N610" s="5"/>
      <c r="O610" s="5"/>
      <c r="P610" s="5"/>
      <c r="Q610" s="57"/>
      <c r="R610" s="5"/>
      <c r="S610" s="5"/>
      <c r="T610" s="5"/>
      <c r="U610" s="5"/>
      <c r="V610" s="5"/>
      <c r="W610" s="5"/>
      <c r="X610" s="5"/>
      <c r="Y610" s="5"/>
      <c r="Z610" s="5"/>
    </row>
    <row r="611" spans="1:26" ht="12.75" customHeight="1">
      <c r="A611" s="5"/>
      <c r="B611" s="5"/>
      <c r="C611" s="5"/>
      <c r="D611" s="5"/>
      <c r="E611" s="5"/>
      <c r="F611" s="5"/>
      <c r="G611" s="5"/>
      <c r="H611" s="306"/>
      <c r="I611" s="5"/>
      <c r="J611" s="5"/>
      <c r="K611" s="5"/>
      <c r="L611" s="5"/>
      <c r="M611" s="5"/>
      <c r="N611" s="5"/>
      <c r="O611" s="5"/>
      <c r="P611" s="5"/>
      <c r="Q611" s="57"/>
      <c r="R611" s="5"/>
      <c r="S611" s="5"/>
      <c r="T611" s="5"/>
      <c r="U611" s="5"/>
      <c r="V611" s="5"/>
      <c r="W611" s="5"/>
      <c r="X611" s="5"/>
      <c r="Y611" s="5"/>
      <c r="Z611" s="5"/>
    </row>
    <row r="612" spans="1:26" ht="12.75" customHeight="1">
      <c r="A612" s="5"/>
      <c r="B612" s="5"/>
      <c r="C612" s="5"/>
      <c r="D612" s="5"/>
      <c r="E612" s="5"/>
      <c r="F612" s="5"/>
      <c r="G612" s="5"/>
      <c r="H612" s="306"/>
      <c r="I612" s="5"/>
      <c r="J612" s="5"/>
      <c r="K612" s="5"/>
      <c r="L612" s="5"/>
      <c r="M612" s="5"/>
      <c r="N612" s="5"/>
      <c r="O612" s="5"/>
      <c r="P612" s="5"/>
      <c r="Q612" s="57"/>
      <c r="R612" s="5"/>
      <c r="S612" s="5"/>
      <c r="T612" s="5"/>
      <c r="U612" s="5"/>
      <c r="V612" s="5"/>
      <c r="W612" s="5"/>
      <c r="X612" s="5"/>
      <c r="Y612" s="5"/>
      <c r="Z612" s="5"/>
    </row>
    <row r="613" spans="1:26" ht="12.75" customHeight="1">
      <c r="A613" s="5"/>
      <c r="B613" s="5"/>
      <c r="C613" s="5"/>
      <c r="D613" s="5"/>
      <c r="E613" s="5"/>
      <c r="F613" s="5"/>
      <c r="G613" s="5"/>
      <c r="H613" s="306"/>
      <c r="I613" s="5"/>
      <c r="J613" s="5"/>
      <c r="K613" s="5"/>
      <c r="L613" s="5"/>
      <c r="M613" s="5"/>
      <c r="N613" s="5"/>
      <c r="O613" s="5"/>
      <c r="P613" s="5"/>
      <c r="Q613" s="57"/>
      <c r="R613" s="5"/>
      <c r="S613" s="5"/>
      <c r="T613" s="5"/>
      <c r="U613" s="5"/>
      <c r="V613" s="5"/>
      <c r="W613" s="5"/>
      <c r="X613" s="5"/>
      <c r="Y613" s="5"/>
      <c r="Z613" s="5"/>
    </row>
    <row r="614" spans="1:26" ht="12.75" customHeight="1">
      <c r="A614" s="5"/>
      <c r="B614" s="5"/>
      <c r="C614" s="5"/>
      <c r="D614" s="5"/>
      <c r="E614" s="5"/>
      <c r="F614" s="5"/>
      <c r="G614" s="5"/>
      <c r="H614" s="306"/>
      <c r="I614" s="5"/>
      <c r="J614" s="5"/>
      <c r="K614" s="5"/>
      <c r="L614" s="5"/>
      <c r="M614" s="5"/>
      <c r="N614" s="5"/>
      <c r="O614" s="5"/>
      <c r="P614" s="5"/>
      <c r="Q614" s="57"/>
      <c r="R614" s="5"/>
      <c r="S614" s="5"/>
      <c r="T614" s="5"/>
      <c r="U614" s="5"/>
      <c r="V614" s="5"/>
      <c r="W614" s="5"/>
      <c r="X614" s="5"/>
      <c r="Y614" s="5"/>
      <c r="Z614" s="5"/>
    </row>
    <row r="615" spans="1:26" ht="12.75" customHeight="1">
      <c r="A615" s="5"/>
      <c r="B615" s="5"/>
      <c r="C615" s="5"/>
      <c r="D615" s="5"/>
      <c r="E615" s="5"/>
      <c r="F615" s="5"/>
      <c r="G615" s="5"/>
      <c r="H615" s="306"/>
      <c r="I615" s="5"/>
      <c r="J615" s="5"/>
      <c r="K615" s="5"/>
      <c r="L615" s="5"/>
      <c r="M615" s="5"/>
      <c r="N615" s="5"/>
      <c r="O615" s="5"/>
      <c r="P615" s="5"/>
      <c r="Q615" s="57"/>
      <c r="R615" s="5"/>
      <c r="S615" s="5"/>
      <c r="T615" s="5"/>
      <c r="U615" s="5"/>
      <c r="V615" s="5"/>
      <c r="W615" s="5"/>
      <c r="X615" s="5"/>
      <c r="Y615" s="5"/>
      <c r="Z615" s="5"/>
    </row>
    <row r="616" spans="1:26" ht="12.75" customHeight="1">
      <c r="A616" s="5"/>
      <c r="B616" s="5"/>
      <c r="C616" s="5"/>
      <c r="D616" s="5"/>
      <c r="E616" s="5"/>
      <c r="F616" s="5"/>
      <c r="G616" s="5"/>
      <c r="H616" s="306"/>
      <c r="I616" s="5"/>
      <c r="J616" s="5"/>
      <c r="K616" s="5"/>
      <c r="L616" s="5"/>
      <c r="M616" s="5"/>
      <c r="N616" s="5"/>
      <c r="O616" s="5"/>
      <c r="P616" s="5"/>
      <c r="Q616" s="57"/>
      <c r="R616" s="5"/>
      <c r="S616" s="5"/>
      <c r="T616" s="5"/>
      <c r="U616" s="5"/>
      <c r="V616" s="5"/>
      <c r="W616" s="5"/>
      <c r="X616" s="5"/>
      <c r="Y616" s="5"/>
      <c r="Z616" s="5"/>
    </row>
    <row r="617" spans="1:26" ht="12.75" customHeight="1">
      <c r="A617" s="5"/>
      <c r="B617" s="5"/>
      <c r="C617" s="5"/>
      <c r="D617" s="5"/>
      <c r="E617" s="5"/>
      <c r="F617" s="5"/>
      <c r="G617" s="5"/>
      <c r="H617" s="306"/>
      <c r="I617" s="5"/>
      <c r="J617" s="5"/>
      <c r="K617" s="5"/>
      <c r="L617" s="5"/>
      <c r="M617" s="5"/>
      <c r="N617" s="5"/>
      <c r="O617" s="5"/>
      <c r="P617" s="5"/>
      <c r="Q617" s="57"/>
      <c r="R617" s="5"/>
      <c r="S617" s="5"/>
      <c r="T617" s="5"/>
      <c r="U617" s="5"/>
      <c r="V617" s="5"/>
      <c r="W617" s="5"/>
      <c r="X617" s="5"/>
      <c r="Y617" s="5"/>
      <c r="Z617" s="5"/>
    </row>
    <row r="618" spans="1:26" ht="12.75" customHeight="1">
      <c r="A618" s="5"/>
      <c r="B618" s="5"/>
      <c r="C618" s="5"/>
      <c r="D618" s="5"/>
      <c r="E618" s="5"/>
      <c r="F618" s="5"/>
      <c r="G618" s="5"/>
      <c r="H618" s="306"/>
      <c r="I618" s="5"/>
      <c r="J618" s="5"/>
      <c r="K618" s="5"/>
      <c r="L618" s="5"/>
      <c r="M618" s="5"/>
      <c r="N618" s="5"/>
      <c r="O618" s="5"/>
      <c r="P618" s="5"/>
      <c r="Q618" s="57"/>
      <c r="R618" s="5"/>
      <c r="S618" s="5"/>
      <c r="T618" s="5"/>
      <c r="U618" s="5"/>
      <c r="V618" s="5"/>
      <c r="W618" s="5"/>
      <c r="X618" s="5"/>
      <c r="Y618" s="5"/>
      <c r="Z618" s="5"/>
    </row>
    <row r="619" spans="1:26" ht="12.75" customHeight="1">
      <c r="A619" s="5"/>
      <c r="B619" s="5"/>
      <c r="C619" s="5"/>
      <c r="D619" s="5"/>
      <c r="E619" s="5"/>
      <c r="F619" s="5"/>
      <c r="G619" s="5"/>
      <c r="H619" s="306"/>
      <c r="I619" s="5"/>
      <c r="J619" s="5"/>
      <c r="K619" s="5"/>
      <c r="L619" s="5"/>
      <c r="M619" s="5"/>
      <c r="N619" s="5"/>
      <c r="O619" s="5"/>
      <c r="P619" s="5"/>
      <c r="Q619" s="57"/>
      <c r="R619" s="5"/>
      <c r="S619" s="5"/>
      <c r="T619" s="5"/>
      <c r="U619" s="5"/>
      <c r="V619" s="5"/>
      <c r="W619" s="5"/>
      <c r="X619" s="5"/>
      <c r="Y619" s="5"/>
      <c r="Z619" s="5"/>
    </row>
    <row r="620" spans="1:26" ht="12.75" customHeight="1">
      <c r="A620" s="5"/>
      <c r="B620" s="5"/>
      <c r="C620" s="5"/>
      <c r="D620" s="5"/>
      <c r="E620" s="5"/>
      <c r="F620" s="5"/>
      <c r="G620" s="5"/>
      <c r="H620" s="306"/>
      <c r="I620" s="5"/>
      <c r="J620" s="5"/>
      <c r="K620" s="5"/>
      <c r="L620" s="5"/>
      <c r="M620" s="5"/>
      <c r="N620" s="5"/>
      <c r="O620" s="5"/>
      <c r="P620" s="5"/>
      <c r="Q620" s="57"/>
      <c r="R620" s="5"/>
      <c r="S620" s="5"/>
      <c r="T620" s="5"/>
      <c r="U620" s="5"/>
      <c r="V620" s="5"/>
      <c r="W620" s="5"/>
      <c r="X620" s="5"/>
      <c r="Y620" s="5"/>
      <c r="Z620" s="5"/>
    </row>
    <row r="621" spans="1:26" ht="12.75" customHeight="1">
      <c r="A621" s="5"/>
      <c r="B621" s="5"/>
      <c r="C621" s="5"/>
      <c r="D621" s="5"/>
      <c r="E621" s="5"/>
      <c r="F621" s="5"/>
      <c r="G621" s="5"/>
      <c r="H621" s="306"/>
      <c r="I621" s="5"/>
      <c r="J621" s="5"/>
      <c r="K621" s="5"/>
      <c r="L621" s="5"/>
      <c r="M621" s="5"/>
      <c r="N621" s="5"/>
      <c r="O621" s="5"/>
      <c r="P621" s="5"/>
      <c r="Q621" s="57"/>
      <c r="R621" s="5"/>
      <c r="S621" s="5"/>
      <c r="T621" s="5"/>
      <c r="U621" s="5"/>
      <c r="V621" s="5"/>
      <c r="W621" s="5"/>
      <c r="X621" s="5"/>
      <c r="Y621" s="5"/>
      <c r="Z621" s="5"/>
    </row>
    <row r="622" spans="1:26" ht="12.75" customHeight="1">
      <c r="A622" s="5"/>
      <c r="B622" s="5"/>
      <c r="C622" s="5"/>
      <c r="D622" s="5"/>
      <c r="E622" s="5"/>
      <c r="F622" s="5"/>
      <c r="G622" s="5"/>
      <c r="H622" s="306"/>
      <c r="I622" s="5"/>
      <c r="J622" s="5"/>
      <c r="K622" s="5"/>
      <c r="L622" s="5"/>
      <c r="M622" s="5"/>
      <c r="N622" s="5"/>
      <c r="O622" s="5"/>
      <c r="P622" s="5"/>
      <c r="Q622" s="57"/>
      <c r="R622" s="5"/>
      <c r="S622" s="5"/>
      <c r="T622" s="5"/>
      <c r="U622" s="5"/>
      <c r="V622" s="5"/>
      <c r="W622" s="5"/>
      <c r="X622" s="5"/>
      <c r="Y622" s="5"/>
      <c r="Z622" s="5"/>
    </row>
    <row r="623" spans="1:26" ht="12.75" customHeight="1">
      <c r="A623" s="5"/>
      <c r="B623" s="5"/>
      <c r="C623" s="5"/>
      <c r="D623" s="5"/>
      <c r="E623" s="5"/>
      <c r="F623" s="5"/>
      <c r="G623" s="5"/>
      <c r="H623" s="306"/>
      <c r="I623" s="5"/>
      <c r="J623" s="5"/>
      <c r="K623" s="5"/>
      <c r="L623" s="5"/>
      <c r="M623" s="5"/>
      <c r="N623" s="5"/>
      <c r="O623" s="5"/>
      <c r="P623" s="5"/>
      <c r="Q623" s="57"/>
      <c r="R623" s="5"/>
      <c r="S623" s="5"/>
      <c r="T623" s="5"/>
      <c r="U623" s="5"/>
      <c r="V623" s="5"/>
      <c r="W623" s="5"/>
      <c r="X623" s="5"/>
      <c r="Y623" s="5"/>
      <c r="Z623" s="5"/>
    </row>
    <row r="624" spans="1:26" ht="12.75" customHeight="1">
      <c r="A624" s="5"/>
      <c r="B624" s="5"/>
      <c r="C624" s="5"/>
      <c r="D624" s="5"/>
      <c r="E624" s="5"/>
      <c r="F624" s="5"/>
      <c r="G624" s="5"/>
      <c r="H624" s="306"/>
      <c r="I624" s="5"/>
      <c r="J624" s="5"/>
      <c r="K624" s="5"/>
      <c r="L624" s="5"/>
      <c r="M624" s="5"/>
      <c r="N624" s="5"/>
      <c r="O624" s="5"/>
      <c r="P624" s="5"/>
      <c r="Q624" s="57"/>
      <c r="R624" s="5"/>
      <c r="S624" s="5"/>
      <c r="T624" s="5"/>
      <c r="U624" s="5"/>
      <c r="V624" s="5"/>
      <c r="W624" s="5"/>
      <c r="X624" s="5"/>
      <c r="Y624" s="5"/>
      <c r="Z624" s="5"/>
    </row>
    <row r="625" spans="1:26" ht="12.75" customHeight="1">
      <c r="A625" s="5"/>
      <c r="B625" s="5"/>
      <c r="C625" s="5"/>
      <c r="D625" s="5"/>
      <c r="E625" s="5"/>
      <c r="F625" s="5"/>
      <c r="G625" s="5"/>
      <c r="H625" s="306"/>
      <c r="I625" s="5"/>
      <c r="J625" s="5"/>
      <c r="K625" s="5"/>
      <c r="L625" s="5"/>
      <c r="M625" s="5"/>
      <c r="N625" s="5"/>
      <c r="O625" s="5"/>
      <c r="P625" s="5"/>
      <c r="Q625" s="57"/>
      <c r="R625" s="5"/>
      <c r="S625" s="5"/>
      <c r="T625" s="5"/>
      <c r="U625" s="5"/>
      <c r="V625" s="5"/>
      <c r="W625" s="5"/>
      <c r="X625" s="5"/>
      <c r="Y625" s="5"/>
      <c r="Z625" s="5"/>
    </row>
    <row r="626" spans="1:26" ht="12.75" customHeight="1">
      <c r="A626" s="5"/>
      <c r="B626" s="5"/>
      <c r="C626" s="5"/>
      <c r="D626" s="5"/>
      <c r="E626" s="5"/>
      <c r="F626" s="5"/>
      <c r="G626" s="5"/>
      <c r="H626" s="306"/>
      <c r="I626" s="5"/>
      <c r="J626" s="5"/>
      <c r="K626" s="5"/>
      <c r="L626" s="5"/>
      <c r="M626" s="5"/>
      <c r="N626" s="5"/>
      <c r="O626" s="5"/>
      <c r="P626" s="5"/>
      <c r="Q626" s="57"/>
      <c r="R626" s="5"/>
      <c r="S626" s="5"/>
      <c r="T626" s="5"/>
      <c r="U626" s="5"/>
      <c r="V626" s="5"/>
      <c r="W626" s="5"/>
      <c r="X626" s="5"/>
      <c r="Y626" s="5"/>
      <c r="Z626" s="5"/>
    </row>
    <row r="627" spans="1:26" ht="12.75" customHeight="1">
      <c r="A627" s="5"/>
      <c r="B627" s="5"/>
      <c r="C627" s="5"/>
      <c r="D627" s="5"/>
      <c r="E627" s="5"/>
      <c r="F627" s="5"/>
      <c r="G627" s="5"/>
      <c r="H627" s="306"/>
      <c r="I627" s="5"/>
      <c r="J627" s="5"/>
      <c r="K627" s="5"/>
      <c r="L627" s="5"/>
      <c r="M627" s="5"/>
      <c r="N627" s="5"/>
      <c r="O627" s="5"/>
      <c r="P627" s="5"/>
      <c r="Q627" s="57"/>
      <c r="R627" s="5"/>
      <c r="S627" s="5"/>
      <c r="T627" s="5"/>
      <c r="U627" s="5"/>
      <c r="V627" s="5"/>
      <c r="W627" s="5"/>
      <c r="X627" s="5"/>
      <c r="Y627" s="5"/>
      <c r="Z627" s="5"/>
    </row>
    <row r="628" spans="1:26" ht="12.75" customHeight="1">
      <c r="A628" s="5"/>
      <c r="B628" s="5"/>
      <c r="C628" s="5"/>
      <c r="D628" s="5"/>
      <c r="E628" s="5"/>
      <c r="F628" s="5"/>
      <c r="G628" s="5"/>
      <c r="H628" s="306"/>
      <c r="I628" s="5"/>
      <c r="J628" s="5"/>
      <c r="K628" s="5"/>
      <c r="L628" s="5"/>
      <c r="M628" s="5"/>
      <c r="N628" s="5"/>
      <c r="O628" s="5"/>
      <c r="P628" s="5"/>
      <c r="Q628" s="57"/>
      <c r="R628" s="5"/>
      <c r="S628" s="5"/>
      <c r="T628" s="5"/>
      <c r="U628" s="5"/>
      <c r="V628" s="5"/>
      <c r="W628" s="5"/>
      <c r="X628" s="5"/>
      <c r="Y628" s="5"/>
      <c r="Z628" s="5"/>
    </row>
    <row r="629" spans="1:26" ht="12.75" customHeight="1">
      <c r="A629" s="5"/>
      <c r="B629" s="5"/>
      <c r="C629" s="5"/>
      <c r="D629" s="5"/>
      <c r="E629" s="5"/>
      <c r="F629" s="5"/>
      <c r="G629" s="5"/>
      <c r="H629" s="306"/>
      <c r="I629" s="5"/>
      <c r="J629" s="5"/>
      <c r="K629" s="5"/>
      <c r="L629" s="5"/>
      <c r="M629" s="5"/>
      <c r="N629" s="5"/>
      <c r="O629" s="5"/>
      <c r="P629" s="5"/>
      <c r="Q629" s="57"/>
      <c r="R629" s="5"/>
      <c r="S629" s="5"/>
      <c r="T629" s="5"/>
      <c r="U629" s="5"/>
      <c r="V629" s="5"/>
      <c r="W629" s="5"/>
      <c r="X629" s="5"/>
      <c r="Y629" s="5"/>
      <c r="Z629" s="5"/>
    </row>
    <row r="630" spans="1:26" ht="12.75" customHeight="1">
      <c r="A630" s="5"/>
      <c r="B630" s="5"/>
      <c r="C630" s="5"/>
      <c r="D630" s="5"/>
      <c r="E630" s="5"/>
      <c r="F630" s="5"/>
      <c r="G630" s="5"/>
      <c r="H630" s="306"/>
      <c r="I630" s="5"/>
      <c r="J630" s="5"/>
      <c r="K630" s="5"/>
      <c r="L630" s="5"/>
      <c r="M630" s="5"/>
      <c r="N630" s="5"/>
      <c r="O630" s="5"/>
      <c r="P630" s="5"/>
      <c r="Q630" s="57"/>
      <c r="R630" s="5"/>
      <c r="S630" s="5"/>
      <c r="T630" s="5"/>
      <c r="U630" s="5"/>
      <c r="V630" s="5"/>
      <c r="W630" s="5"/>
      <c r="X630" s="5"/>
      <c r="Y630" s="5"/>
      <c r="Z630" s="5"/>
    </row>
    <row r="631" spans="1:26" ht="12.75" customHeight="1">
      <c r="A631" s="5"/>
      <c r="B631" s="5"/>
      <c r="C631" s="5"/>
      <c r="D631" s="5"/>
      <c r="E631" s="5"/>
      <c r="F631" s="5"/>
      <c r="G631" s="5"/>
      <c r="H631" s="306"/>
      <c r="I631" s="5"/>
      <c r="J631" s="5"/>
      <c r="K631" s="5"/>
      <c r="L631" s="5"/>
      <c r="M631" s="5"/>
      <c r="N631" s="5"/>
      <c r="O631" s="5"/>
      <c r="P631" s="5"/>
      <c r="Q631" s="57"/>
      <c r="R631" s="5"/>
      <c r="S631" s="5"/>
      <c r="T631" s="5"/>
      <c r="U631" s="5"/>
      <c r="V631" s="5"/>
      <c r="W631" s="5"/>
      <c r="X631" s="5"/>
      <c r="Y631" s="5"/>
      <c r="Z631" s="5"/>
    </row>
    <row r="632" spans="1:26" ht="12.75" customHeight="1">
      <c r="A632" s="5"/>
      <c r="B632" s="5"/>
      <c r="C632" s="5"/>
      <c r="D632" s="5"/>
      <c r="E632" s="5"/>
      <c r="F632" s="5"/>
      <c r="G632" s="5"/>
      <c r="H632" s="306"/>
      <c r="I632" s="5"/>
      <c r="J632" s="5"/>
      <c r="K632" s="5"/>
      <c r="L632" s="5"/>
      <c r="M632" s="5"/>
      <c r="N632" s="5"/>
      <c r="O632" s="5"/>
      <c r="P632" s="5"/>
      <c r="Q632" s="57"/>
      <c r="R632" s="5"/>
      <c r="S632" s="5"/>
      <c r="T632" s="5"/>
      <c r="U632" s="5"/>
      <c r="V632" s="5"/>
      <c r="W632" s="5"/>
      <c r="X632" s="5"/>
      <c r="Y632" s="5"/>
      <c r="Z632" s="5"/>
    </row>
    <row r="633" spans="1:26" ht="12.75" customHeight="1">
      <c r="A633" s="5"/>
      <c r="B633" s="5"/>
      <c r="C633" s="5"/>
      <c r="D633" s="5"/>
      <c r="E633" s="5"/>
      <c r="F633" s="5"/>
      <c r="G633" s="5"/>
      <c r="H633" s="306"/>
      <c r="I633" s="5"/>
      <c r="J633" s="5"/>
      <c r="K633" s="5"/>
      <c r="L633" s="5"/>
      <c r="M633" s="5"/>
      <c r="N633" s="5"/>
      <c r="O633" s="5"/>
      <c r="P633" s="5"/>
      <c r="Q633" s="57"/>
      <c r="R633" s="5"/>
      <c r="S633" s="5"/>
      <c r="T633" s="5"/>
      <c r="U633" s="5"/>
      <c r="V633" s="5"/>
      <c r="W633" s="5"/>
      <c r="X633" s="5"/>
      <c r="Y633" s="5"/>
      <c r="Z633" s="5"/>
    </row>
    <row r="634" spans="1:26" ht="12.75" customHeight="1">
      <c r="A634" s="5"/>
      <c r="B634" s="5"/>
      <c r="C634" s="5"/>
      <c r="D634" s="5"/>
      <c r="E634" s="5"/>
      <c r="F634" s="5"/>
      <c r="G634" s="5"/>
      <c r="H634" s="306"/>
      <c r="I634" s="5"/>
      <c r="J634" s="5"/>
      <c r="K634" s="5"/>
      <c r="L634" s="5"/>
      <c r="M634" s="5"/>
      <c r="N634" s="5"/>
      <c r="O634" s="5"/>
      <c r="P634" s="5"/>
      <c r="Q634" s="57"/>
      <c r="R634" s="5"/>
      <c r="S634" s="5"/>
      <c r="T634" s="5"/>
      <c r="U634" s="5"/>
      <c r="V634" s="5"/>
      <c r="W634" s="5"/>
      <c r="X634" s="5"/>
      <c r="Y634" s="5"/>
      <c r="Z634" s="5"/>
    </row>
    <row r="635" spans="1:26" ht="12.75" customHeight="1">
      <c r="A635" s="5"/>
      <c r="B635" s="5"/>
      <c r="C635" s="5"/>
      <c r="D635" s="5"/>
      <c r="E635" s="5"/>
      <c r="F635" s="5"/>
      <c r="G635" s="5"/>
      <c r="H635" s="306"/>
      <c r="I635" s="5"/>
      <c r="J635" s="5"/>
      <c r="K635" s="5"/>
      <c r="L635" s="5"/>
      <c r="M635" s="5"/>
      <c r="N635" s="5"/>
      <c r="O635" s="5"/>
      <c r="P635" s="5"/>
      <c r="Q635" s="57"/>
      <c r="R635" s="5"/>
      <c r="S635" s="5"/>
      <c r="T635" s="5"/>
      <c r="U635" s="5"/>
      <c r="V635" s="5"/>
      <c r="W635" s="5"/>
      <c r="X635" s="5"/>
      <c r="Y635" s="5"/>
      <c r="Z635" s="5"/>
    </row>
    <row r="636" spans="1:26" ht="12.75" customHeight="1">
      <c r="A636" s="5"/>
      <c r="B636" s="5"/>
      <c r="C636" s="5"/>
      <c r="D636" s="5"/>
      <c r="E636" s="5"/>
      <c r="F636" s="5"/>
      <c r="G636" s="5"/>
      <c r="H636" s="306"/>
      <c r="I636" s="5"/>
      <c r="J636" s="5"/>
      <c r="K636" s="5"/>
      <c r="L636" s="5"/>
      <c r="M636" s="5"/>
      <c r="N636" s="5"/>
      <c r="O636" s="5"/>
      <c r="P636" s="5"/>
      <c r="Q636" s="57"/>
      <c r="R636" s="5"/>
      <c r="S636" s="5"/>
      <c r="T636" s="5"/>
      <c r="U636" s="5"/>
      <c r="V636" s="5"/>
      <c r="W636" s="5"/>
      <c r="X636" s="5"/>
      <c r="Y636" s="5"/>
      <c r="Z636" s="5"/>
    </row>
    <row r="637" spans="1:26" ht="12.75" customHeight="1">
      <c r="A637" s="5"/>
      <c r="B637" s="5"/>
      <c r="C637" s="5"/>
      <c r="D637" s="5"/>
      <c r="E637" s="5"/>
      <c r="F637" s="5"/>
      <c r="G637" s="5"/>
      <c r="H637" s="306"/>
      <c r="I637" s="5"/>
      <c r="J637" s="5"/>
      <c r="K637" s="5"/>
      <c r="L637" s="5"/>
      <c r="M637" s="5"/>
      <c r="N637" s="5"/>
      <c r="O637" s="5"/>
      <c r="P637" s="5"/>
      <c r="Q637" s="57"/>
      <c r="R637" s="5"/>
      <c r="S637" s="5"/>
      <c r="T637" s="5"/>
      <c r="U637" s="5"/>
      <c r="V637" s="5"/>
      <c r="W637" s="5"/>
      <c r="X637" s="5"/>
      <c r="Y637" s="5"/>
      <c r="Z637" s="5"/>
    </row>
    <row r="638" spans="1:26" ht="12.75" customHeight="1">
      <c r="A638" s="5"/>
      <c r="B638" s="5"/>
      <c r="C638" s="5"/>
      <c r="D638" s="5"/>
      <c r="E638" s="5"/>
      <c r="F638" s="5"/>
      <c r="G638" s="5"/>
      <c r="H638" s="306"/>
      <c r="I638" s="5"/>
      <c r="J638" s="5"/>
      <c r="K638" s="5"/>
      <c r="L638" s="5"/>
      <c r="M638" s="5"/>
      <c r="N638" s="5"/>
      <c r="O638" s="5"/>
      <c r="P638" s="5"/>
      <c r="Q638" s="57"/>
      <c r="R638" s="5"/>
      <c r="S638" s="5"/>
      <c r="T638" s="5"/>
      <c r="U638" s="5"/>
      <c r="V638" s="5"/>
      <c r="W638" s="5"/>
      <c r="X638" s="5"/>
      <c r="Y638" s="5"/>
      <c r="Z638" s="5"/>
    </row>
    <row r="639" spans="1:26" ht="12.75" customHeight="1">
      <c r="A639" s="5"/>
      <c r="B639" s="5"/>
      <c r="C639" s="5"/>
      <c r="D639" s="5"/>
      <c r="E639" s="5"/>
      <c r="F639" s="5"/>
      <c r="G639" s="5"/>
      <c r="H639" s="306"/>
      <c r="I639" s="5"/>
      <c r="J639" s="5"/>
      <c r="K639" s="5"/>
      <c r="L639" s="5"/>
      <c r="M639" s="5"/>
      <c r="N639" s="5"/>
      <c r="O639" s="5"/>
      <c r="P639" s="5"/>
      <c r="Q639" s="57"/>
      <c r="R639" s="5"/>
      <c r="S639" s="5"/>
      <c r="T639" s="5"/>
      <c r="U639" s="5"/>
      <c r="V639" s="5"/>
      <c r="W639" s="5"/>
      <c r="X639" s="5"/>
      <c r="Y639" s="5"/>
      <c r="Z639" s="5"/>
    </row>
    <row r="640" spans="1:26" ht="12.75" customHeight="1">
      <c r="A640" s="5"/>
      <c r="B640" s="5"/>
      <c r="C640" s="5"/>
      <c r="D640" s="5"/>
      <c r="E640" s="5"/>
      <c r="F640" s="5"/>
      <c r="G640" s="5"/>
      <c r="H640" s="306"/>
      <c r="I640" s="5"/>
      <c r="J640" s="5"/>
      <c r="K640" s="5"/>
      <c r="L640" s="5"/>
      <c r="M640" s="5"/>
      <c r="N640" s="5"/>
      <c r="O640" s="5"/>
      <c r="P640" s="5"/>
      <c r="Q640" s="57"/>
      <c r="R640" s="5"/>
      <c r="S640" s="5"/>
      <c r="T640" s="5"/>
      <c r="U640" s="5"/>
      <c r="V640" s="5"/>
      <c r="W640" s="5"/>
      <c r="X640" s="5"/>
      <c r="Y640" s="5"/>
      <c r="Z640" s="5"/>
    </row>
    <row r="641" spans="1:26" ht="12.75" customHeight="1">
      <c r="A641" s="5"/>
      <c r="B641" s="5"/>
      <c r="C641" s="5"/>
      <c r="D641" s="5"/>
      <c r="E641" s="5"/>
      <c r="F641" s="5"/>
      <c r="G641" s="5"/>
      <c r="H641" s="306"/>
      <c r="I641" s="5"/>
      <c r="J641" s="5"/>
      <c r="K641" s="5"/>
      <c r="L641" s="5"/>
      <c r="M641" s="5"/>
      <c r="N641" s="5"/>
      <c r="O641" s="5"/>
      <c r="P641" s="5"/>
      <c r="Q641" s="57"/>
      <c r="R641" s="5"/>
      <c r="S641" s="5"/>
      <c r="T641" s="5"/>
      <c r="U641" s="5"/>
      <c r="V641" s="5"/>
      <c r="W641" s="5"/>
      <c r="X641" s="5"/>
      <c r="Y641" s="5"/>
      <c r="Z641" s="5"/>
    </row>
    <row r="642" spans="1:26" ht="12.75" customHeight="1">
      <c r="A642" s="5"/>
      <c r="B642" s="5"/>
      <c r="C642" s="5"/>
      <c r="D642" s="5"/>
      <c r="E642" s="5"/>
      <c r="F642" s="5"/>
      <c r="G642" s="5"/>
      <c r="H642" s="306"/>
      <c r="I642" s="5"/>
      <c r="J642" s="5"/>
      <c r="K642" s="5"/>
      <c r="L642" s="5"/>
      <c r="M642" s="5"/>
      <c r="N642" s="5"/>
      <c r="O642" s="5"/>
      <c r="P642" s="5"/>
      <c r="Q642" s="57"/>
      <c r="R642" s="5"/>
      <c r="S642" s="5"/>
      <c r="T642" s="5"/>
      <c r="U642" s="5"/>
      <c r="V642" s="5"/>
      <c r="W642" s="5"/>
      <c r="X642" s="5"/>
      <c r="Y642" s="5"/>
      <c r="Z642" s="5"/>
    </row>
    <row r="643" spans="1:26" ht="12.75" customHeight="1">
      <c r="A643" s="5"/>
      <c r="B643" s="5"/>
      <c r="C643" s="5"/>
      <c r="D643" s="5"/>
      <c r="E643" s="5"/>
      <c r="F643" s="5"/>
      <c r="G643" s="5"/>
      <c r="H643" s="306"/>
      <c r="I643" s="5"/>
      <c r="J643" s="5"/>
      <c r="K643" s="5"/>
      <c r="L643" s="5"/>
      <c r="M643" s="5"/>
      <c r="N643" s="5"/>
      <c r="O643" s="5"/>
      <c r="P643" s="5"/>
      <c r="Q643" s="57"/>
      <c r="R643" s="5"/>
      <c r="S643" s="5"/>
      <c r="T643" s="5"/>
      <c r="U643" s="5"/>
      <c r="V643" s="5"/>
      <c r="W643" s="5"/>
      <c r="X643" s="5"/>
      <c r="Y643" s="5"/>
      <c r="Z643" s="5"/>
    </row>
    <row r="644" spans="1:26" ht="12.75" customHeight="1">
      <c r="A644" s="5"/>
      <c r="B644" s="5"/>
      <c r="C644" s="5"/>
      <c r="D644" s="5"/>
      <c r="E644" s="5"/>
      <c r="F644" s="5"/>
      <c r="G644" s="5"/>
      <c r="H644" s="306"/>
      <c r="I644" s="5"/>
      <c r="J644" s="5"/>
      <c r="K644" s="5"/>
      <c r="L644" s="5"/>
      <c r="M644" s="5"/>
      <c r="N644" s="5"/>
      <c r="O644" s="5"/>
      <c r="P644" s="5"/>
      <c r="Q644" s="57"/>
      <c r="R644" s="5"/>
      <c r="S644" s="5"/>
      <c r="T644" s="5"/>
      <c r="U644" s="5"/>
      <c r="V644" s="5"/>
      <c r="W644" s="5"/>
      <c r="X644" s="5"/>
      <c r="Y644" s="5"/>
      <c r="Z644" s="5"/>
    </row>
    <row r="645" spans="1:26" ht="12.75" customHeight="1">
      <c r="A645" s="5"/>
      <c r="B645" s="5"/>
      <c r="C645" s="5"/>
      <c r="D645" s="5"/>
      <c r="E645" s="5"/>
      <c r="F645" s="5"/>
      <c r="G645" s="5"/>
      <c r="H645" s="306"/>
      <c r="I645" s="5"/>
      <c r="J645" s="5"/>
      <c r="K645" s="5"/>
      <c r="L645" s="5"/>
      <c r="M645" s="5"/>
      <c r="N645" s="5"/>
      <c r="O645" s="5"/>
      <c r="P645" s="5"/>
      <c r="Q645" s="57"/>
      <c r="R645" s="5"/>
      <c r="S645" s="5"/>
      <c r="T645" s="5"/>
      <c r="U645" s="5"/>
      <c r="V645" s="5"/>
      <c r="W645" s="5"/>
      <c r="X645" s="5"/>
      <c r="Y645" s="5"/>
      <c r="Z645" s="5"/>
    </row>
    <row r="646" spans="1:26" ht="12.75" customHeight="1">
      <c r="A646" s="5"/>
      <c r="B646" s="5"/>
      <c r="C646" s="5"/>
      <c r="D646" s="5"/>
      <c r="E646" s="5"/>
      <c r="F646" s="5"/>
      <c r="G646" s="5"/>
      <c r="H646" s="306"/>
      <c r="I646" s="5"/>
      <c r="J646" s="5"/>
      <c r="K646" s="5"/>
      <c r="L646" s="5"/>
      <c r="M646" s="5"/>
      <c r="N646" s="5"/>
      <c r="O646" s="5"/>
      <c r="P646" s="5"/>
      <c r="Q646" s="57"/>
      <c r="R646" s="5"/>
      <c r="S646" s="5"/>
      <c r="T646" s="5"/>
      <c r="U646" s="5"/>
      <c r="V646" s="5"/>
      <c r="W646" s="5"/>
      <c r="X646" s="5"/>
      <c r="Y646" s="5"/>
      <c r="Z646" s="5"/>
    </row>
    <row r="647" spans="1:26" ht="12.75" customHeight="1">
      <c r="A647" s="5"/>
      <c r="B647" s="5"/>
      <c r="C647" s="5"/>
      <c r="D647" s="5"/>
      <c r="E647" s="5"/>
      <c r="F647" s="5"/>
      <c r="G647" s="5"/>
      <c r="H647" s="306"/>
      <c r="I647" s="5"/>
      <c r="J647" s="5"/>
      <c r="K647" s="5"/>
      <c r="L647" s="5"/>
      <c r="M647" s="5"/>
      <c r="N647" s="5"/>
      <c r="O647" s="5"/>
      <c r="P647" s="5"/>
      <c r="Q647" s="57"/>
      <c r="R647" s="5"/>
      <c r="S647" s="5"/>
      <c r="T647" s="5"/>
      <c r="U647" s="5"/>
      <c r="V647" s="5"/>
      <c r="W647" s="5"/>
      <c r="X647" s="5"/>
      <c r="Y647" s="5"/>
      <c r="Z647" s="5"/>
    </row>
    <row r="648" spans="1:26" ht="12.75" customHeight="1">
      <c r="A648" s="5"/>
      <c r="B648" s="5"/>
      <c r="C648" s="5"/>
      <c r="D648" s="5"/>
      <c r="E648" s="5"/>
      <c r="F648" s="5"/>
      <c r="G648" s="5"/>
      <c r="H648" s="306"/>
      <c r="I648" s="5"/>
      <c r="J648" s="5"/>
      <c r="K648" s="5"/>
      <c r="L648" s="5"/>
      <c r="M648" s="5"/>
      <c r="N648" s="5"/>
      <c r="O648" s="5"/>
      <c r="P648" s="5"/>
      <c r="Q648" s="57"/>
      <c r="R648" s="5"/>
      <c r="S648" s="5"/>
      <c r="T648" s="5"/>
      <c r="U648" s="5"/>
      <c r="V648" s="5"/>
      <c r="W648" s="5"/>
      <c r="X648" s="5"/>
      <c r="Y648" s="5"/>
      <c r="Z648" s="5"/>
    </row>
    <row r="649" spans="1:26" ht="12.75" customHeight="1">
      <c r="A649" s="5"/>
      <c r="B649" s="5"/>
      <c r="C649" s="5"/>
      <c r="D649" s="5"/>
      <c r="E649" s="5"/>
      <c r="F649" s="5"/>
      <c r="G649" s="5"/>
      <c r="H649" s="306"/>
      <c r="I649" s="5"/>
      <c r="J649" s="5"/>
      <c r="K649" s="5"/>
      <c r="L649" s="5"/>
      <c r="M649" s="5"/>
      <c r="N649" s="5"/>
      <c r="O649" s="5"/>
      <c r="P649" s="5"/>
      <c r="Q649" s="57"/>
      <c r="R649" s="5"/>
      <c r="S649" s="5"/>
      <c r="T649" s="5"/>
      <c r="U649" s="5"/>
      <c r="V649" s="5"/>
      <c r="W649" s="5"/>
      <c r="X649" s="5"/>
      <c r="Y649" s="5"/>
      <c r="Z649" s="5"/>
    </row>
    <row r="650" spans="1:26" ht="12.75" customHeight="1">
      <c r="A650" s="5"/>
      <c r="B650" s="5"/>
      <c r="C650" s="5"/>
      <c r="D650" s="5"/>
      <c r="E650" s="5"/>
      <c r="F650" s="5"/>
      <c r="G650" s="5"/>
      <c r="H650" s="306"/>
      <c r="I650" s="5"/>
      <c r="J650" s="5"/>
      <c r="K650" s="5"/>
      <c r="L650" s="5"/>
      <c r="M650" s="5"/>
      <c r="N650" s="5"/>
      <c r="O650" s="5"/>
      <c r="P650" s="5"/>
      <c r="Q650" s="57"/>
      <c r="R650" s="5"/>
      <c r="S650" s="5"/>
      <c r="T650" s="5"/>
      <c r="U650" s="5"/>
      <c r="V650" s="5"/>
      <c r="W650" s="5"/>
      <c r="X650" s="5"/>
      <c r="Y650" s="5"/>
      <c r="Z650" s="5"/>
    </row>
    <row r="651" spans="1:26" ht="12.75" customHeight="1">
      <c r="A651" s="5"/>
      <c r="B651" s="5"/>
      <c r="C651" s="5"/>
      <c r="D651" s="5"/>
      <c r="E651" s="5"/>
      <c r="F651" s="5"/>
      <c r="G651" s="5"/>
      <c r="H651" s="306"/>
      <c r="I651" s="5"/>
      <c r="J651" s="5"/>
      <c r="K651" s="5"/>
      <c r="L651" s="5"/>
      <c r="M651" s="5"/>
      <c r="N651" s="5"/>
      <c r="O651" s="5"/>
      <c r="P651" s="5"/>
      <c r="Q651" s="57"/>
      <c r="R651" s="5"/>
      <c r="S651" s="5"/>
      <c r="T651" s="5"/>
      <c r="U651" s="5"/>
      <c r="V651" s="5"/>
      <c r="W651" s="5"/>
      <c r="X651" s="5"/>
      <c r="Y651" s="5"/>
      <c r="Z651" s="5"/>
    </row>
    <row r="652" spans="1:26" ht="12.75" customHeight="1">
      <c r="A652" s="5"/>
      <c r="B652" s="5"/>
      <c r="C652" s="5"/>
      <c r="D652" s="5"/>
      <c r="E652" s="5"/>
      <c r="F652" s="5"/>
      <c r="G652" s="5"/>
      <c r="H652" s="306"/>
      <c r="I652" s="5"/>
      <c r="J652" s="5"/>
      <c r="K652" s="5"/>
      <c r="L652" s="5"/>
      <c r="M652" s="5"/>
      <c r="N652" s="5"/>
      <c r="O652" s="5"/>
      <c r="P652" s="5"/>
      <c r="Q652" s="57"/>
      <c r="R652" s="5"/>
      <c r="S652" s="5"/>
      <c r="T652" s="5"/>
      <c r="U652" s="5"/>
      <c r="V652" s="5"/>
      <c r="W652" s="5"/>
      <c r="X652" s="5"/>
      <c r="Y652" s="5"/>
      <c r="Z652" s="5"/>
    </row>
    <row r="653" spans="1:26" ht="12.75" customHeight="1">
      <c r="A653" s="5"/>
      <c r="B653" s="5"/>
      <c r="C653" s="5"/>
      <c r="D653" s="5"/>
      <c r="E653" s="5"/>
      <c r="F653" s="5"/>
      <c r="G653" s="5"/>
      <c r="H653" s="306"/>
      <c r="I653" s="5"/>
      <c r="J653" s="5"/>
      <c r="K653" s="5"/>
      <c r="L653" s="5"/>
      <c r="M653" s="5"/>
      <c r="N653" s="5"/>
      <c r="O653" s="5"/>
      <c r="P653" s="5"/>
      <c r="Q653" s="57"/>
      <c r="R653" s="5"/>
      <c r="S653" s="5"/>
      <c r="T653" s="5"/>
      <c r="U653" s="5"/>
      <c r="V653" s="5"/>
      <c r="W653" s="5"/>
      <c r="X653" s="5"/>
      <c r="Y653" s="5"/>
      <c r="Z653" s="5"/>
    </row>
    <row r="654" spans="1:26" ht="12.75" customHeight="1">
      <c r="A654" s="5"/>
      <c r="B654" s="5"/>
      <c r="C654" s="5"/>
      <c r="D654" s="5"/>
      <c r="E654" s="5"/>
      <c r="F654" s="5"/>
      <c r="G654" s="5"/>
      <c r="H654" s="306"/>
      <c r="I654" s="5"/>
      <c r="J654" s="5"/>
      <c r="K654" s="5"/>
      <c r="L654" s="5"/>
      <c r="M654" s="5"/>
      <c r="N654" s="5"/>
      <c r="O654" s="5"/>
      <c r="P654" s="5"/>
      <c r="Q654" s="57"/>
      <c r="R654" s="5"/>
      <c r="S654" s="5"/>
      <c r="T654" s="5"/>
      <c r="U654" s="5"/>
      <c r="V654" s="5"/>
      <c r="W654" s="5"/>
      <c r="X654" s="5"/>
      <c r="Y654" s="5"/>
      <c r="Z654" s="5"/>
    </row>
    <row r="655" spans="1:26" ht="12.75" customHeight="1">
      <c r="A655" s="5"/>
      <c r="B655" s="5"/>
      <c r="C655" s="5"/>
      <c r="D655" s="5"/>
      <c r="E655" s="5"/>
      <c r="F655" s="5"/>
      <c r="G655" s="5"/>
      <c r="H655" s="306"/>
      <c r="I655" s="5"/>
      <c r="J655" s="5"/>
      <c r="K655" s="5"/>
      <c r="L655" s="5"/>
      <c r="M655" s="5"/>
      <c r="N655" s="5"/>
      <c r="O655" s="5"/>
      <c r="P655" s="5"/>
      <c r="Q655" s="57"/>
      <c r="R655" s="5"/>
      <c r="S655" s="5"/>
      <c r="T655" s="5"/>
      <c r="U655" s="5"/>
      <c r="V655" s="5"/>
      <c r="W655" s="5"/>
      <c r="X655" s="5"/>
      <c r="Y655" s="5"/>
      <c r="Z655" s="5"/>
    </row>
    <row r="656" spans="1:26" ht="12.75" customHeight="1">
      <c r="A656" s="5"/>
      <c r="B656" s="5"/>
      <c r="C656" s="5"/>
      <c r="D656" s="5"/>
      <c r="E656" s="5"/>
      <c r="F656" s="5"/>
      <c r="G656" s="5"/>
      <c r="H656" s="306"/>
      <c r="I656" s="5"/>
      <c r="J656" s="5"/>
      <c r="K656" s="5"/>
      <c r="L656" s="5"/>
      <c r="M656" s="5"/>
      <c r="N656" s="5"/>
      <c r="O656" s="5"/>
      <c r="P656" s="5"/>
      <c r="Q656" s="57"/>
      <c r="R656" s="5"/>
      <c r="S656" s="5"/>
      <c r="T656" s="5"/>
      <c r="U656" s="5"/>
      <c r="V656" s="5"/>
      <c r="W656" s="5"/>
      <c r="X656" s="5"/>
      <c r="Y656" s="5"/>
      <c r="Z656" s="5"/>
    </row>
    <row r="657" spans="1:26" ht="12.75" customHeight="1">
      <c r="A657" s="5"/>
      <c r="B657" s="5"/>
      <c r="C657" s="5"/>
      <c r="D657" s="5"/>
      <c r="E657" s="5"/>
      <c r="F657" s="5"/>
      <c r="G657" s="5"/>
      <c r="H657" s="306"/>
      <c r="I657" s="5"/>
      <c r="J657" s="5"/>
      <c r="K657" s="5"/>
      <c r="L657" s="5"/>
      <c r="M657" s="5"/>
      <c r="N657" s="5"/>
      <c r="O657" s="5"/>
      <c r="P657" s="5"/>
      <c r="Q657" s="57"/>
      <c r="R657" s="5"/>
      <c r="S657" s="5"/>
      <c r="T657" s="5"/>
      <c r="U657" s="5"/>
      <c r="V657" s="5"/>
      <c r="W657" s="5"/>
      <c r="X657" s="5"/>
      <c r="Y657" s="5"/>
      <c r="Z657" s="5"/>
    </row>
    <row r="658" spans="1:26" ht="12.75" customHeight="1">
      <c r="A658" s="5"/>
      <c r="B658" s="5"/>
      <c r="C658" s="5"/>
      <c r="D658" s="5"/>
      <c r="E658" s="5"/>
      <c r="F658" s="5"/>
      <c r="G658" s="5"/>
      <c r="H658" s="306"/>
      <c r="I658" s="5"/>
      <c r="J658" s="5"/>
      <c r="K658" s="5"/>
      <c r="L658" s="5"/>
      <c r="M658" s="5"/>
      <c r="N658" s="5"/>
      <c r="O658" s="5"/>
      <c r="P658" s="5"/>
      <c r="Q658" s="57"/>
      <c r="R658" s="5"/>
      <c r="S658" s="5"/>
      <c r="T658" s="5"/>
      <c r="U658" s="5"/>
      <c r="V658" s="5"/>
      <c r="W658" s="5"/>
      <c r="X658" s="5"/>
      <c r="Y658" s="5"/>
      <c r="Z658" s="5"/>
    </row>
    <row r="659" spans="1:26" ht="12.75" customHeight="1">
      <c r="A659" s="5"/>
      <c r="B659" s="5"/>
      <c r="C659" s="5"/>
      <c r="D659" s="5"/>
      <c r="E659" s="5"/>
      <c r="F659" s="5"/>
      <c r="G659" s="5"/>
      <c r="H659" s="306"/>
      <c r="I659" s="5"/>
      <c r="J659" s="5"/>
      <c r="K659" s="5"/>
      <c r="L659" s="5"/>
      <c r="M659" s="5"/>
      <c r="N659" s="5"/>
      <c r="O659" s="5"/>
      <c r="P659" s="5"/>
      <c r="Q659" s="57"/>
      <c r="R659" s="5"/>
      <c r="S659" s="5"/>
      <c r="T659" s="5"/>
      <c r="U659" s="5"/>
      <c r="V659" s="5"/>
      <c r="W659" s="5"/>
      <c r="X659" s="5"/>
      <c r="Y659" s="5"/>
      <c r="Z659" s="5"/>
    </row>
    <row r="660" spans="1:26" ht="12.75" customHeight="1">
      <c r="A660" s="5"/>
      <c r="B660" s="5"/>
      <c r="C660" s="5"/>
      <c r="D660" s="5"/>
      <c r="E660" s="5"/>
      <c r="F660" s="5"/>
      <c r="G660" s="5"/>
      <c r="H660" s="306"/>
      <c r="I660" s="5"/>
      <c r="J660" s="5"/>
      <c r="K660" s="5"/>
      <c r="L660" s="5"/>
      <c r="M660" s="5"/>
      <c r="N660" s="5"/>
      <c r="O660" s="5"/>
      <c r="P660" s="5"/>
      <c r="Q660" s="57"/>
      <c r="R660" s="5"/>
      <c r="S660" s="5"/>
      <c r="T660" s="5"/>
      <c r="U660" s="5"/>
      <c r="V660" s="5"/>
      <c r="W660" s="5"/>
      <c r="X660" s="5"/>
      <c r="Y660" s="5"/>
      <c r="Z660" s="5"/>
    </row>
    <row r="661" spans="1:26" ht="12.75" customHeight="1">
      <c r="A661" s="5"/>
      <c r="B661" s="5"/>
      <c r="C661" s="5"/>
      <c r="D661" s="5"/>
      <c r="E661" s="5"/>
      <c r="F661" s="5"/>
      <c r="G661" s="5"/>
      <c r="H661" s="306"/>
      <c r="I661" s="5"/>
      <c r="J661" s="5"/>
      <c r="K661" s="5"/>
      <c r="L661" s="5"/>
      <c r="M661" s="5"/>
      <c r="N661" s="5"/>
      <c r="O661" s="5"/>
      <c r="P661" s="5"/>
      <c r="Q661" s="57"/>
      <c r="R661" s="5"/>
      <c r="S661" s="5"/>
      <c r="T661" s="5"/>
      <c r="U661" s="5"/>
      <c r="V661" s="5"/>
      <c r="W661" s="5"/>
      <c r="X661" s="5"/>
      <c r="Y661" s="5"/>
      <c r="Z661" s="5"/>
    </row>
    <row r="662" spans="1:26" ht="12.75" customHeight="1">
      <c r="A662" s="5"/>
      <c r="B662" s="5"/>
      <c r="C662" s="5"/>
      <c r="D662" s="5"/>
      <c r="E662" s="5"/>
      <c r="F662" s="5"/>
      <c r="G662" s="5"/>
      <c r="H662" s="306"/>
      <c r="I662" s="5"/>
      <c r="J662" s="5"/>
      <c r="K662" s="5"/>
      <c r="L662" s="5"/>
      <c r="M662" s="5"/>
      <c r="N662" s="5"/>
      <c r="O662" s="5"/>
      <c r="P662" s="5"/>
      <c r="Q662" s="57"/>
      <c r="R662" s="5"/>
      <c r="S662" s="5"/>
      <c r="T662" s="5"/>
      <c r="U662" s="5"/>
      <c r="V662" s="5"/>
      <c r="W662" s="5"/>
      <c r="X662" s="5"/>
      <c r="Y662" s="5"/>
      <c r="Z662" s="5"/>
    </row>
    <row r="663" spans="1:26" ht="12.75" customHeight="1">
      <c r="A663" s="5"/>
      <c r="B663" s="5"/>
      <c r="C663" s="5"/>
      <c r="D663" s="5"/>
      <c r="E663" s="5"/>
      <c r="F663" s="5"/>
      <c r="G663" s="5"/>
      <c r="H663" s="306"/>
      <c r="I663" s="5"/>
      <c r="J663" s="5"/>
      <c r="K663" s="5"/>
      <c r="L663" s="5"/>
      <c r="M663" s="5"/>
      <c r="N663" s="5"/>
      <c r="O663" s="5"/>
      <c r="P663" s="5"/>
      <c r="Q663" s="57"/>
      <c r="R663" s="5"/>
      <c r="S663" s="5"/>
      <c r="T663" s="5"/>
      <c r="U663" s="5"/>
      <c r="V663" s="5"/>
      <c r="W663" s="5"/>
      <c r="X663" s="5"/>
      <c r="Y663" s="5"/>
      <c r="Z663" s="5"/>
    </row>
    <row r="664" spans="1:26" ht="12.75" customHeight="1">
      <c r="A664" s="5"/>
      <c r="B664" s="5"/>
      <c r="C664" s="5"/>
      <c r="D664" s="5"/>
      <c r="E664" s="5"/>
      <c r="F664" s="5"/>
      <c r="G664" s="5"/>
      <c r="H664" s="306"/>
      <c r="I664" s="5"/>
      <c r="J664" s="5"/>
      <c r="K664" s="5"/>
      <c r="L664" s="5"/>
      <c r="M664" s="5"/>
      <c r="N664" s="5"/>
      <c r="O664" s="5"/>
      <c r="P664" s="5"/>
      <c r="Q664" s="57"/>
      <c r="R664" s="5"/>
      <c r="S664" s="5"/>
      <c r="T664" s="5"/>
      <c r="U664" s="5"/>
      <c r="V664" s="5"/>
      <c r="W664" s="5"/>
      <c r="X664" s="5"/>
      <c r="Y664" s="5"/>
      <c r="Z664" s="5"/>
    </row>
    <row r="665" spans="1:26" ht="12.75" customHeight="1">
      <c r="A665" s="5"/>
      <c r="B665" s="5"/>
      <c r="C665" s="5"/>
      <c r="D665" s="5"/>
      <c r="E665" s="5"/>
      <c r="F665" s="5"/>
      <c r="G665" s="5"/>
      <c r="H665" s="306"/>
      <c r="I665" s="5"/>
      <c r="J665" s="5"/>
      <c r="K665" s="5"/>
      <c r="L665" s="5"/>
      <c r="M665" s="5"/>
      <c r="N665" s="5"/>
      <c r="O665" s="5"/>
      <c r="P665" s="5"/>
      <c r="Q665" s="57"/>
      <c r="R665" s="5"/>
      <c r="S665" s="5"/>
      <c r="T665" s="5"/>
      <c r="U665" s="5"/>
      <c r="V665" s="5"/>
      <c r="W665" s="5"/>
      <c r="X665" s="5"/>
      <c r="Y665" s="5"/>
      <c r="Z665" s="5"/>
    </row>
    <row r="666" spans="1:26" ht="12.75" customHeight="1">
      <c r="A666" s="5"/>
      <c r="B666" s="5"/>
      <c r="C666" s="5"/>
      <c r="D666" s="5"/>
      <c r="E666" s="5"/>
      <c r="F666" s="5"/>
      <c r="G666" s="5"/>
      <c r="H666" s="306"/>
      <c r="I666" s="5"/>
      <c r="J666" s="5"/>
      <c r="K666" s="5"/>
      <c r="L666" s="5"/>
      <c r="M666" s="5"/>
      <c r="N666" s="5"/>
      <c r="O666" s="5"/>
      <c r="P666" s="5"/>
      <c r="Q666" s="57"/>
      <c r="R666" s="5"/>
      <c r="S666" s="5"/>
      <c r="T666" s="5"/>
      <c r="U666" s="5"/>
      <c r="V666" s="5"/>
      <c r="W666" s="5"/>
      <c r="X666" s="5"/>
      <c r="Y666" s="5"/>
      <c r="Z666" s="5"/>
    </row>
    <row r="667" spans="1:26" ht="12.75" customHeight="1">
      <c r="A667" s="5"/>
      <c r="B667" s="5"/>
      <c r="C667" s="5"/>
      <c r="D667" s="5"/>
      <c r="E667" s="5"/>
      <c r="F667" s="5"/>
      <c r="G667" s="5"/>
      <c r="H667" s="306"/>
      <c r="I667" s="5"/>
      <c r="J667" s="5"/>
      <c r="K667" s="5"/>
      <c r="L667" s="5"/>
      <c r="M667" s="5"/>
      <c r="N667" s="5"/>
      <c r="O667" s="5"/>
      <c r="P667" s="5"/>
      <c r="Q667" s="57"/>
      <c r="R667" s="5"/>
      <c r="S667" s="5"/>
      <c r="T667" s="5"/>
      <c r="U667" s="5"/>
      <c r="V667" s="5"/>
      <c r="W667" s="5"/>
      <c r="X667" s="5"/>
      <c r="Y667" s="5"/>
      <c r="Z667" s="5"/>
    </row>
    <row r="668" spans="1:26" ht="12.75" customHeight="1">
      <c r="A668" s="5"/>
      <c r="B668" s="5"/>
      <c r="C668" s="5"/>
      <c r="D668" s="5"/>
      <c r="E668" s="5"/>
      <c r="F668" s="5"/>
      <c r="G668" s="5"/>
      <c r="H668" s="306"/>
      <c r="I668" s="5"/>
      <c r="J668" s="5"/>
      <c r="K668" s="5"/>
      <c r="L668" s="5"/>
      <c r="M668" s="5"/>
      <c r="N668" s="5"/>
      <c r="O668" s="5"/>
      <c r="P668" s="5"/>
      <c r="Q668" s="57"/>
      <c r="R668" s="5"/>
      <c r="S668" s="5"/>
      <c r="T668" s="5"/>
      <c r="U668" s="5"/>
      <c r="V668" s="5"/>
      <c r="W668" s="5"/>
      <c r="X668" s="5"/>
      <c r="Y668" s="5"/>
      <c r="Z668" s="5"/>
    </row>
    <row r="669" spans="1:26" ht="12.75" customHeight="1">
      <c r="A669" s="5"/>
      <c r="B669" s="5"/>
      <c r="C669" s="5"/>
      <c r="D669" s="5"/>
      <c r="E669" s="5"/>
      <c r="F669" s="5"/>
      <c r="G669" s="5"/>
      <c r="H669" s="306"/>
      <c r="I669" s="5"/>
      <c r="J669" s="5"/>
      <c r="K669" s="5"/>
      <c r="L669" s="5"/>
      <c r="M669" s="5"/>
      <c r="N669" s="5"/>
      <c r="O669" s="5"/>
      <c r="P669" s="5"/>
      <c r="Q669" s="57"/>
      <c r="R669" s="5"/>
      <c r="S669" s="5"/>
      <c r="T669" s="5"/>
      <c r="U669" s="5"/>
      <c r="V669" s="5"/>
      <c r="W669" s="5"/>
      <c r="X669" s="5"/>
      <c r="Y669" s="5"/>
      <c r="Z669" s="5"/>
    </row>
    <row r="670" spans="1:26" ht="12.75" customHeight="1">
      <c r="A670" s="5"/>
      <c r="B670" s="5"/>
      <c r="C670" s="5"/>
      <c r="D670" s="5"/>
      <c r="E670" s="5"/>
      <c r="F670" s="5"/>
      <c r="G670" s="5"/>
      <c r="H670" s="306"/>
      <c r="I670" s="5"/>
      <c r="J670" s="5"/>
      <c r="K670" s="5"/>
      <c r="L670" s="5"/>
      <c r="M670" s="5"/>
      <c r="N670" s="5"/>
      <c r="O670" s="5"/>
      <c r="P670" s="5"/>
      <c r="Q670" s="57"/>
      <c r="R670" s="5"/>
      <c r="S670" s="5"/>
      <c r="T670" s="5"/>
      <c r="U670" s="5"/>
      <c r="V670" s="5"/>
      <c r="W670" s="5"/>
      <c r="X670" s="5"/>
      <c r="Y670" s="5"/>
      <c r="Z670" s="5"/>
    </row>
    <row r="671" spans="1:26" ht="12.75" customHeight="1">
      <c r="A671" s="5"/>
      <c r="B671" s="5"/>
      <c r="C671" s="5"/>
      <c r="D671" s="5"/>
      <c r="E671" s="5"/>
      <c r="F671" s="5"/>
      <c r="G671" s="5"/>
      <c r="H671" s="306"/>
      <c r="I671" s="5"/>
      <c r="J671" s="5"/>
      <c r="K671" s="5"/>
      <c r="L671" s="5"/>
      <c r="M671" s="5"/>
      <c r="N671" s="5"/>
      <c r="O671" s="5"/>
      <c r="P671" s="5"/>
      <c r="Q671" s="57"/>
      <c r="R671" s="5"/>
      <c r="S671" s="5"/>
      <c r="T671" s="5"/>
      <c r="U671" s="5"/>
      <c r="V671" s="5"/>
      <c r="W671" s="5"/>
      <c r="X671" s="5"/>
      <c r="Y671" s="5"/>
      <c r="Z671" s="5"/>
    </row>
    <row r="672" spans="1:26" ht="12.75" customHeight="1">
      <c r="A672" s="5"/>
      <c r="B672" s="5"/>
      <c r="C672" s="5"/>
      <c r="D672" s="5"/>
      <c r="E672" s="5"/>
      <c r="F672" s="5"/>
      <c r="G672" s="5"/>
      <c r="H672" s="306"/>
      <c r="I672" s="5"/>
      <c r="J672" s="5"/>
      <c r="K672" s="5"/>
      <c r="L672" s="5"/>
      <c r="M672" s="5"/>
      <c r="N672" s="5"/>
      <c r="O672" s="5"/>
      <c r="P672" s="5"/>
      <c r="Q672" s="57"/>
      <c r="R672" s="5"/>
      <c r="S672" s="5"/>
      <c r="T672" s="5"/>
      <c r="U672" s="5"/>
      <c r="V672" s="5"/>
      <c r="W672" s="5"/>
      <c r="X672" s="5"/>
      <c r="Y672" s="5"/>
      <c r="Z672" s="5"/>
    </row>
    <row r="673" spans="1:26" ht="12.75" customHeight="1">
      <c r="A673" s="5"/>
      <c r="B673" s="5"/>
      <c r="C673" s="5"/>
      <c r="D673" s="5"/>
      <c r="E673" s="5"/>
      <c r="F673" s="5"/>
      <c r="G673" s="5"/>
      <c r="H673" s="306"/>
      <c r="I673" s="5"/>
      <c r="J673" s="5"/>
      <c r="K673" s="5"/>
      <c r="L673" s="5"/>
      <c r="M673" s="5"/>
      <c r="N673" s="5"/>
      <c r="O673" s="5"/>
      <c r="P673" s="5"/>
      <c r="Q673" s="57"/>
      <c r="R673" s="5"/>
      <c r="S673" s="5"/>
      <c r="T673" s="5"/>
      <c r="U673" s="5"/>
      <c r="V673" s="5"/>
      <c r="W673" s="5"/>
      <c r="X673" s="5"/>
      <c r="Y673" s="5"/>
      <c r="Z673" s="5"/>
    </row>
    <row r="674" spans="1:26" ht="12.75" customHeight="1">
      <c r="A674" s="5"/>
      <c r="B674" s="5"/>
      <c r="C674" s="5"/>
      <c r="D674" s="5"/>
      <c r="E674" s="5"/>
      <c r="F674" s="5"/>
      <c r="G674" s="5"/>
      <c r="H674" s="306"/>
      <c r="I674" s="5"/>
      <c r="J674" s="5"/>
      <c r="K674" s="5"/>
      <c r="L674" s="5"/>
      <c r="M674" s="5"/>
      <c r="N674" s="5"/>
      <c r="O674" s="5"/>
      <c r="P674" s="5"/>
      <c r="Q674" s="57"/>
      <c r="R674" s="5"/>
      <c r="S674" s="5"/>
      <c r="T674" s="5"/>
      <c r="U674" s="5"/>
      <c r="V674" s="5"/>
      <c r="W674" s="5"/>
      <c r="X674" s="5"/>
      <c r="Y674" s="5"/>
      <c r="Z674" s="5"/>
    </row>
    <row r="675" spans="1:26" ht="12.75" customHeight="1">
      <c r="A675" s="5"/>
      <c r="B675" s="5"/>
      <c r="C675" s="5"/>
      <c r="D675" s="5"/>
      <c r="E675" s="5"/>
      <c r="F675" s="5"/>
      <c r="G675" s="5"/>
      <c r="H675" s="306"/>
      <c r="I675" s="5"/>
      <c r="J675" s="5"/>
      <c r="K675" s="5"/>
      <c r="L675" s="5"/>
      <c r="M675" s="5"/>
      <c r="N675" s="5"/>
      <c r="O675" s="5"/>
      <c r="P675" s="5"/>
      <c r="Q675" s="57"/>
      <c r="R675" s="5"/>
      <c r="S675" s="5"/>
      <c r="T675" s="5"/>
      <c r="U675" s="5"/>
      <c r="V675" s="5"/>
      <c r="W675" s="5"/>
      <c r="X675" s="5"/>
      <c r="Y675" s="5"/>
      <c r="Z675" s="5"/>
    </row>
    <row r="676" spans="1:26" ht="12.75" customHeight="1">
      <c r="A676" s="5"/>
      <c r="B676" s="5"/>
      <c r="C676" s="5"/>
      <c r="D676" s="5"/>
      <c r="E676" s="5"/>
      <c r="F676" s="5"/>
      <c r="G676" s="5"/>
      <c r="H676" s="306"/>
      <c r="I676" s="5"/>
      <c r="J676" s="5"/>
      <c r="K676" s="5"/>
      <c r="L676" s="5"/>
      <c r="M676" s="5"/>
      <c r="N676" s="5"/>
      <c r="O676" s="5"/>
      <c r="P676" s="5"/>
      <c r="Q676" s="57"/>
      <c r="R676" s="5"/>
      <c r="S676" s="5"/>
      <c r="T676" s="5"/>
      <c r="U676" s="5"/>
      <c r="V676" s="5"/>
      <c r="W676" s="5"/>
      <c r="X676" s="5"/>
      <c r="Y676" s="5"/>
      <c r="Z676" s="5"/>
    </row>
    <row r="677" spans="1:26" ht="12.75" customHeight="1">
      <c r="A677" s="5"/>
      <c r="B677" s="5"/>
      <c r="C677" s="5"/>
      <c r="D677" s="5"/>
      <c r="E677" s="5"/>
      <c r="F677" s="5"/>
      <c r="G677" s="5"/>
      <c r="H677" s="306"/>
      <c r="I677" s="5"/>
      <c r="J677" s="5"/>
      <c r="K677" s="5"/>
      <c r="L677" s="5"/>
      <c r="M677" s="5"/>
      <c r="N677" s="5"/>
      <c r="O677" s="5"/>
      <c r="P677" s="5"/>
      <c r="Q677" s="57"/>
      <c r="R677" s="5"/>
      <c r="S677" s="5"/>
      <c r="T677" s="5"/>
      <c r="U677" s="5"/>
      <c r="V677" s="5"/>
      <c r="W677" s="5"/>
      <c r="X677" s="5"/>
      <c r="Y677" s="5"/>
      <c r="Z677" s="5"/>
    </row>
    <row r="678" spans="1:26" ht="12.75" customHeight="1">
      <c r="A678" s="5"/>
      <c r="B678" s="5"/>
      <c r="C678" s="5"/>
      <c r="D678" s="5"/>
      <c r="E678" s="5"/>
      <c r="F678" s="5"/>
      <c r="G678" s="5"/>
      <c r="H678" s="306"/>
      <c r="I678" s="5"/>
      <c r="J678" s="5"/>
      <c r="K678" s="5"/>
      <c r="L678" s="5"/>
      <c r="M678" s="5"/>
      <c r="N678" s="5"/>
      <c r="O678" s="5"/>
      <c r="P678" s="5"/>
      <c r="Q678" s="57"/>
      <c r="R678" s="5"/>
      <c r="S678" s="5"/>
      <c r="T678" s="5"/>
      <c r="U678" s="5"/>
      <c r="V678" s="5"/>
      <c r="W678" s="5"/>
      <c r="X678" s="5"/>
      <c r="Y678" s="5"/>
      <c r="Z678" s="5"/>
    </row>
    <row r="679" spans="1:26" ht="12.75" customHeight="1">
      <c r="A679" s="5"/>
      <c r="B679" s="5"/>
      <c r="C679" s="5"/>
      <c r="D679" s="5"/>
      <c r="E679" s="5"/>
      <c r="F679" s="5"/>
      <c r="G679" s="5"/>
      <c r="H679" s="306"/>
      <c r="I679" s="5"/>
      <c r="J679" s="5"/>
      <c r="K679" s="5"/>
      <c r="L679" s="5"/>
      <c r="M679" s="5"/>
      <c r="N679" s="5"/>
      <c r="O679" s="5"/>
      <c r="P679" s="5"/>
      <c r="Q679" s="57"/>
      <c r="R679" s="5"/>
      <c r="S679" s="5"/>
      <c r="T679" s="5"/>
      <c r="U679" s="5"/>
      <c r="V679" s="5"/>
      <c r="W679" s="5"/>
      <c r="X679" s="5"/>
      <c r="Y679" s="5"/>
      <c r="Z679" s="5"/>
    </row>
    <row r="680" spans="1:26" ht="12.75" customHeight="1">
      <c r="A680" s="5"/>
      <c r="B680" s="5"/>
      <c r="C680" s="5"/>
      <c r="D680" s="5"/>
      <c r="E680" s="5"/>
      <c r="F680" s="5"/>
      <c r="G680" s="5"/>
      <c r="H680" s="306"/>
      <c r="I680" s="5"/>
      <c r="J680" s="5"/>
      <c r="K680" s="5"/>
      <c r="L680" s="5"/>
      <c r="M680" s="5"/>
      <c r="N680" s="5"/>
      <c r="O680" s="5"/>
      <c r="P680" s="5"/>
      <c r="Q680" s="57"/>
      <c r="R680" s="5"/>
      <c r="S680" s="5"/>
      <c r="T680" s="5"/>
      <c r="U680" s="5"/>
      <c r="V680" s="5"/>
      <c r="W680" s="5"/>
      <c r="X680" s="5"/>
      <c r="Y680" s="5"/>
      <c r="Z680" s="5"/>
    </row>
    <row r="681" spans="1:26" ht="12.75" customHeight="1">
      <c r="A681" s="5"/>
      <c r="B681" s="5"/>
      <c r="C681" s="5"/>
      <c r="D681" s="5"/>
      <c r="E681" s="5"/>
      <c r="F681" s="5"/>
      <c r="G681" s="5"/>
      <c r="H681" s="306"/>
      <c r="I681" s="5"/>
      <c r="J681" s="5"/>
      <c r="K681" s="5"/>
      <c r="L681" s="5"/>
      <c r="M681" s="5"/>
      <c r="N681" s="5"/>
      <c r="O681" s="5"/>
      <c r="P681" s="5"/>
      <c r="Q681" s="57"/>
      <c r="R681" s="5"/>
      <c r="S681" s="5"/>
      <c r="T681" s="5"/>
      <c r="U681" s="5"/>
      <c r="V681" s="5"/>
      <c r="W681" s="5"/>
      <c r="X681" s="5"/>
      <c r="Y681" s="5"/>
      <c r="Z681" s="5"/>
    </row>
    <row r="682" spans="1:26" ht="12.75" customHeight="1">
      <c r="A682" s="5"/>
      <c r="B682" s="5"/>
      <c r="C682" s="5"/>
      <c r="D682" s="5"/>
      <c r="E682" s="5"/>
      <c r="F682" s="5"/>
      <c r="G682" s="5"/>
      <c r="H682" s="306"/>
      <c r="I682" s="5"/>
      <c r="J682" s="5"/>
      <c r="K682" s="5"/>
      <c r="L682" s="5"/>
      <c r="M682" s="5"/>
      <c r="N682" s="5"/>
      <c r="O682" s="5"/>
      <c r="P682" s="5"/>
      <c r="Q682" s="57"/>
      <c r="R682" s="5"/>
      <c r="S682" s="5"/>
      <c r="T682" s="5"/>
      <c r="U682" s="5"/>
      <c r="V682" s="5"/>
      <c r="W682" s="5"/>
      <c r="X682" s="5"/>
      <c r="Y682" s="5"/>
      <c r="Z682" s="5"/>
    </row>
    <row r="683" spans="1:26" ht="12.75" customHeight="1">
      <c r="A683" s="5"/>
      <c r="B683" s="5"/>
      <c r="C683" s="5"/>
      <c r="D683" s="5"/>
      <c r="E683" s="5"/>
      <c r="F683" s="5"/>
      <c r="G683" s="5"/>
      <c r="H683" s="306"/>
      <c r="I683" s="5"/>
      <c r="J683" s="5"/>
      <c r="K683" s="5"/>
      <c r="L683" s="5"/>
      <c r="M683" s="5"/>
      <c r="N683" s="5"/>
      <c r="O683" s="5"/>
      <c r="P683" s="5"/>
      <c r="Q683" s="57"/>
      <c r="R683" s="5"/>
      <c r="S683" s="5"/>
      <c r="T683" s="5"/>
      <c r="U683" s="5"/>
      <c r="V683" s="5"/>
      <c r="W683" s="5"/>
      <c r="X683" s="5"/>
      <c r="Y683" s="5"/>
      <c r="Z683" s="5"/>
    </row>
    <row r="684" spans="1:26" ht="12.75" customHeight="1">
      <c r="A684" s="5"/>
      <c r="B684" s="5"/>
      <c r="C684" s="5"/>
      <c r="D684" s="5"/>
      <c r="E684" s="5"/>
      <c r="F684" s="5"/>
      <c r="G684" s="5"/>
      <c r="H684" s="306"/>
      <c r="I684" s="5"/>
      <c r="J684" s="5"/>
      <c r="K684" s="5"/>
      <c r="L684" s="5"/>
      <c r="M684" s="5"/>
      <c r="N684" s="5"/>
      <c r="O684" s="5"/>
      <c r="P684" s="5"/>
      <c r="Q684" s="57"/>
      <c r="R684" s="5"/>
      <c r="S684" s="5"/>
      <c r="T684" s="5"/>
      <c r="U684" s="5"/>
      <c r="V684" s="5"/>
      <c r="W684" s="5"/>
      <c r="X684" s="5"/>
      <c r="Y684" s="5"/>
      <c r="Z684" s="5"/>
    </row>
    <row r="685" spans="1:26" ht="12.75" customHeight="1">
      <c r="A685" s="5"/>
      <c r="B685" s="5"/>
      <c r="C685" s="5"/>
      <c r="D685" s="5"/>
      <c r="E685" s="5"/>
      <c r="F685" s="5"/>
      <c r="G685" s="5"/>
      <c r="H685" s="306"/>
      <c r="I685" s="5"/>
      <c r="J685" s="5"/>
      <c r="K685" s="5"/>
      <c r="L685" s="5"/>
      <c r="M685" s="5"/>
      <c r="N685" s="5"/>
      <c r="O685" s="5"/>
      <c r="P685" s="5"/>
      <c r="Q685" s="57"/>
      <c r="R685" s="5"/>
      <c r="S685" s="5"/>
      <c r="T685" s="5"/>
      <c r="U685" s="5"/>
      <c r="V685" s="5"/>
      <c r="W685" s="5"/>
      <c r="X685" s="5"/>
      <c r="Y685" s="5"/>
      <c r="Z685" s="5"/>
    </row>
    <row r="686" spans="1:26" ht="12.75" customHeight="1">
      <c r="A686" s="5"/>
      <c r="B686" s="5"/>
      <c r="C686" s="5"/>
      <c r="D686" s="5"/>
      <c r="E686" s="5"/>
      <c r="F686" s="5"/>
      <c r="G686" s="5"/>
      <c r="H686" s="306"/>
      <c r="I686" s="5"/>
      <c r="J686" s="5"/>
      <c r="K686" s="5"/>
      <c r="L686" s="5"/>
      <c r="M686" s="5"/>
      <c r="N686" s="5"/>
      <c r="O686" s="5"/>
      <c r="P686" s="5"/>
      <c r="Q686" s="57"/>
      <c r="R686" s="5"/>
      <c r="S686" s="5"/>
      <c r="T686" s="5"/>
      <c r="U686" s="5"/>
      <c r="V686" s="5"/>
      <c r="W686" s="5"/>
      <c r="X686" s="5"/>
      <c r="Y686" s="5"/>
      <c r="Z686" s="5"/>
    </row>
    <row r="687" spans="1:26" ht="12.75" customHeight="1">
      <c r="A687" s="5"/>
      <c r="B687" s="5"/>
      <c r="C687" s="5"/>
      <c r="D687" s="5"/>
      <c r="E687" s="5"/>
      <c r="F687" s="5"/>
      <c r="G687" s="5"/>
      <c r="H687" s="306"/>
      <c r="I687" s="5"/>
      <c r="J687" s="5"/>
      <c r="K687" s="5"/>
      <c r="L687" s="5"/>
      <c r="M687" s="5"/>
      <c r="N687" s="5"/>
      <c r="O687" s="5"/>
      <c r="P687" s="5"/>
      <c r="Q687" s="57"/>
      <c r="R687" s="5"/>
      <c r="S687" s="5"/>
      <c r="T687" s="5"/>
      <c r="U687" s="5"/>
      <c r="V687" s="5"/>
      <c r="W687" s="5"/>
      <c r="X687" s="5"/>
      <c r="Y687" s="5"/>
      <c r="Z687" s="5"/>
    </row>
    <row r="688" spans="1:26" ht="12.75" customHeight="1">
      <c r="A688" s="5"/>
      <c r="B688" s="5"/>
      <c r="C688" s="5"/>
      <c r="D688" s="5"/>
      <c r="E688" s="5"/>
      <c r="F688" s="5"/>
      <c r="G688" s="5"/>
      <c r="H688" s="306"/>
      <c r="I688" s="5"/>
      <c r="J688" s="5"/>
      <c r="K688" s="5"/>
      <c r="L688" s="5"/>
      <c r="M688" s="5"/>
      <c r="N688" s="5"/>
      <c r="O688" s="5"/>
      <c r="P688" s="5"/>
      <c r="Q688" s="57"/>
      <c r="R688" s="5"/>
      <c r="S688" s="5"/>
      <c r="T688" s="5"/>
      <c r="U688" s="5"/>
      <c r="V688" s="5"/>
      <c r="W688" s="5"/>
      <c r="X688" s="5"/>
      <c r="Y688" s="5"/>
      <c r="Z688" s="5"/>
    </row>
    <row r="689" spans="1:26" ht="12.75" customHeight="1">
      <c r="A689" s="5"/>
      <c r="B689" s="5"/>
      <c r="C689" s="5"/>
      <c r="D689" s="5"/>
      <c r="E689" s="5"/>
      <c r="F689" s="5"/>
      <c r="G689" s="5"/>
      <c r="H689" s="306"/>
      <c r="I689" s="5"/>
      <c r="J689" s="5"/>
      <c r="K689" s="5"/>
      <c r="L689" s="5"/>
      <c r="M689" s="5"/>
      <c r="N689" s="5"/>
      <c r="O689" s="5"/>
      <c r="P689" s="5"/>
      <c r="Q689" s="57"/>
      <c r="R689" s="5"/>
      <c r="S689" s="5"/>
      <c r="T689" s="5"/>
      <c r="U689" s="5"/>
      <c r="V689" s="5"/>
      <c r="W689" s="5"/>
      <c r="X689" s="5"/>
      <c r="Y689" s="5"/>
      <c r="Z689" s="5"/>
    </row>
    <row r="690" spans="1:26" ht="12.75" customHeight="1">
      <c r="A690" s="5"/>
      <c r="B690" s="5"/>
      <c r="C690" s="5"/>
      <c r="D690" s="5"/>
      <c r="E690" s="5"/>
      <c r="F690" s="5"/>
      <c r="G690" s="5"/>
      <c r="H690" s="306"/>
      <c r="I690" s="5"/>
      <c r="J690" s="5"/>
      <c r="K690" s="5"/>
      <c r="L690" s="5"/>
      <c r="M690" s="5"/>
      <c r="N690" s="5"/>
      <c r="O690" s="5"/>
      <c r="P690" s="5"/>
      <c r="Q690" s="57"/>
      <c r="R690" s="5"/>
      <c r="S690" s="5"/>
      <c r="T690" s="5"/>
      <c r="U690" s="5"/>
      <c r="V690" s="5"/>
      <c r="W690" s="5"/>
      <c r="X690" s="5"/>
      <c r="Y690" s="5"/>
      <c r="Z690" s="5"/>
    </row>
    <row r="691" spans="1:26" ht="12.75" customHeight="1">
      <c r="A691" s="5"/>
      <c r="B691" s="5"/>
      <c r="C691" s="5"/>
      <c r="D691" s="5"/>
      <c r="E691" s="5"/>
      <c r="F691" s="5"/>
      <c r="G691" s="5"/>
      <c r="H691" s="306"/>
      <c r="I691" s="5"/>
      <c r="J691" s="5"/>
      <c r="K691" s="5"/>
      <c r="L691" s="5"/>
      <c r="M691" s="5"/>
      <c r="N691" s="5"/>
      <c r="O691" s="5"/>
      <c r="P691" s="5"/>
      <c r="Q691" s="57"/>
      <c r="R691" s="5"/>
      <c r="S691" s="5"/>
      <c r="T691" s="5"/>
      <c r="U691" s="5"/>
      <c r="V691" s="5"/>
      <c r="W691" s="5"/>
      <c r="X691" s="5"/>
      <c r="Y691" s="5"/>
      <c r="Z691" s="5"/>
    </row>
    <row r="692" spans="1:26" ht="12.75" customHeight="1">
      <c r="A692" s="5"/>
      <c r="B692" s="5"/>
      <c r="C692" s="5"/>
      <c r="D692" s="5"/>
      <c r="E692" s="5"/>
      <c r="F692" s="5"/>
      <c r="G692" s="5"/>
      <c r="H692" s="306"/>
      <c r="I692" s="5"/>
      <c r="J692" s="5"/>
      <c r="K692" s="5"/>
      <c r="L692" s="5"/>
      <c r="M692" s="5"/>
      <c r="N692" s="5"/>
      <c r="O692" s="5"/>
      <c r="P692" s="5"/>
      <c r="Q692" s="57"/>
      <c r="R692" s="5"/>
      <c r="S692" s="5"/>
      <c r="T692" s="5"/>
      <c r="U692" s="5"/>
      <c r="V692" s="5"/>
      <c r="W692" s="5"/>
      <c r="X692" s="5"/>
      <c r="Y692" s="5"/>
      <c r="Z692" s="5"/>
    </row>
    <row r="693" spans="1:26" ht="12.75" customHeight="1">
      <c r="A693" s="5"/>
      <c r="B693" s="5"/>
      <c r="C693" s="5"/>
      <c r="D693" s="5"/>
      <c r="E693" s="5"/>
      <c r="F693" s="5"/>
      <c r="G693" s="5"/>
      <c r="H693" s="306"/>
      <c r="I693" s="5"/>
      <c r="J693" s="5"/>
      <c r="K693" s="5"/>
      <c r="L693" s="5"/>
      <c r="M693" s="5"/>
      <c r="N693" s="5"/>
      <c r="O693" s="5"/>
      <c r="P693" s="5"/>
      <c r="Q693" s="57"/>
      <c r="R693" s="5"/>
      <c r="S693" s="5"/>
      <c r="T693" s="5"/>
      <c r="U693" s="5"/>
      <c r="V693" s="5"/>
      <c r="W693" s="5"/>
      <c r="X693" s="5"/>
      <c r="Y693" s="5"/>
      <c r="Z693" s="5"/>
    </row>
    <row r="694" spans="1:26" ht="12.75" customHeight="1">
      <c r="A694" s="5"/>
      <c r="B694" s="5"/>
      <c r="C694" s="5"/>
      <c r="D694" s="5"/>
      <c r="E694" s="5"/>
      <c r="F694" s="5"/>
      <c r="G694" s="5"/>
      <c r="H694" s="306"/>
      <c r="I694" s="5"/>
      <c r="J694" s="5"/>
      <c r="K694" s="5"/>
      <c r="L694" s="5"/>
      <c r="M694" s="5"/>
      <c r="N694" s="5"/>
      <c r="O694" s="5"/>
      <c r="P694" s="5"/>
      <c r="Q694" s="57"/>
      <c r="R694" s="5"/>
      <c r="S694" s="5"/>
      <c r="T694" s="5"/>
      <c r="U694" s="5"/>
      <c r="V694" s="5"/>
      <c r="W694" s="5"/>
      <c r="X694" s="5"/>
      <c r="Y694" s="5"/>
      <c r="Z694" s="5"/>
    </row>
    <row r="695" spans="1:26" ht="12.75" customHeight="1">
      <c r="A695" s="5"/>
      <c r="B695" s="5"/>
      <c r="C695" s="5"/>
      <c r="D695" s="5"/>
      <c r="E695" s="5"/>
      <c r="F695" s="5"/>
      <c r="G695" s="5"/>
      <c r="H695" s="306"/>
      <c r="I695" s="5"/>
      <c r="J695" s="5"/>
      <c r="K695" s="5"/>
      <c r="L695" s="5"/>
      <c r="M695" s="5"/>
      <c r="N695" s="5"/>
      <c r="O695" s="5"/>
      <c r="P695" s="5"/>
      <c r="Q695" s="57"/>
      <c r="R695" s="5"/>
      <c r="S695" s="5"/>
      <c r="T695" s="5"/>
      <c r="U695" s="5"/>
      <c r="V695" s="5"/>
      <c r="W695" s="5"/>
      <c r="X695" s="5"/>
      <c r="Y695" s="5"/>
      <c r="Z695" s="5"/>
    </row>
    <row r="696" spans="1:26" ht="12.75" customHeight="1">
      <c r="A696" s="5"/>
      <c r="B696" s="5"/>
      <c r="C696" s="5"/>
      <c r="D696" s="5"/>
      <c r="E696" s="5"/>
      <c r="F696" s="5"/>
      <c r="G696" s="5"/>
      <c r="H696" s="306"/>
      <c r="I696" s="5"/>
      <c r="J696" s="5"/>
      <c r="K696" s="5"/>
      <c r="L696" s="5"/>
      <c r="M696" s="5"/>
      <c r="N696" s="5"/>
      <c r="O696" s="5"/>
      <c r="P696" s="5"/>
      <c r="Q696" s="57"/>
      <c r="R696" s="5"/>
      <c r="S696" s="5"/>
      <c r="T696" s="5"/>
      <c r="U696" s="5"/>
      <c r="V696" s="5"/>
      <c r="W696" s="5"/>
      <c r="X696" s="5"/>
      <c r="Y696" s="5"/>
      <c r="Z696" s="5"/>
    </row>
    <row r="697" spans="1:26" ht="12.75" customHeight="1">
      <c r="A697" s="5"/>
      <c r="B697" s="5"/>
      <c r="C697" s="5"/>
      <c r="D697" s="5"/>
      <c r="E697" s="5"/>
      <c r="F697" s="5"/>
      <c r="G697" s="5"/>
      <c r="H697" s="306"/>
      <c r="I697" s="5"/>
      <c r="J697" s="5"/>
      <c r="K697" s="5"/>
      <c r="L697" s="5"/>
      <c r="M697" s="5"/>
      <c r="N697" s="5"/>
      <c r="O697" s="5"/>
      <c r="P697" s="5"/>
      <c r="Q697" s="57"/>
      <c r="R697" s="5"/>
      <c r="S697" s="5"/>
      <c r="T697" s="5"/>
      <c r="U697" s="5"/>
      <c r="V697" s="5"/>
      <c r="W697" s="5"/>
      <c r="X697" s="5"/>
      <c r="Y697" s="5"/>
      <c r="Z697" s="5"/>
    </row>
    <row r="698" spans="1:26" ht="12.75" customHeight="1">
      <c r="A698" s="5"/>
      <c r="B698" s="5"/>
      <c r="C698" s="5"/>
      <c r="D698" s="5"/>
      <c r="E698" s="5"/>
      <c r="F698" s="5"/>
      <c r="G698" s="5"/>
      <c r="H698" s="306"/>
      <c r="I698" s="5"/>
      <c r="J698" s="5"/>
      <c r="K698" s="5"/>
      <c r="L698" s="5"/>
      <c r="M698" s="5"/>
      <c r="N698" s="5"/>
      <c r="O698" s="5"/>
      <c r="P698" s="5"/>
      <c r="Q698" s="57"/>
      <c r="R698" s="5"/>
      <c r="S698" s="5"/>
      <c r="T698" s="5"/>
      <c r="U698" s="5"/>
      <c r="V698" s="5"/>
      <c r="W698" s="5"/>
      <c r="X698" s="5"/>
      <c r="Y698" s="5"/>
      <c r="Z698" s="5"/>
    </row>
    <row r="699" spans="1:26" ht="12.75" customHeight="1">
      <c r="A699" s="5"/>
      <c r="B699" s="5"/>
      <c r="C699" s="5"/>
      <c r="D699" s="5"/>
      <c r="E699" s="5"/>
      <c r="F699" s="5"/>
      <c r="G699" s="5"/>
      <c r="H699" s="306"/>
      <c r="I699" s="5"/>
      <c r="J699" s="5"/>
      <c r="K699" s="5"/>
      <c r="L699" s="5"/>
      <c r="M699" s="5"/>
      <c r="N699" s="5"/>
      <c r="O699" s="5"/>
      <c r="P699" s="5"/>
      <c r="Q699" s="57"/>
      <c r="R699" s="5"/>
      <c r="S699" s="5"/>
      <c r="T699" s="5"/>
      <c r="U699" s="5"/>
      <c r="V699" s="5"/>
      <c r="W699" s="5"/>
      <c r="X699" s="5"/>
      <c r="Y699" s="5"/>
      <c r="Z699" s="5"/>
    </row>
    <row r="700" spans="1:26" ht="12.75" customHeight="1">
      <c r="A700" s="5"/>
      <c r="B700" s="5"/>
      <c r="C700" s="5"/>
      <c r="D700" s="5"/>
      <c r="E700" s="5"/>
      <c r="F700" s="5"/>
      <c r="G700" s="5"/>
      <c r="H700" s="306"/>
      <c r="I700" s="5"/>
      <c r="J700" s="5"/>
      <c r="K700" s="5"/>
      <c r="L700" s="5"/>
      <c r="M700" s="5"/>
      <c r="N700" s="5"/>
      <c r="O700" s="5"/>
      <c r="P700" s="5"/>
      <c r="Q700" s="57"/>
      <c r="R700" s="5"/>
      <c r="S700" s="5"/>
      <c r="T700" s="5"/>
      <c r="U700" s="5"/>
      <c r="V700" s="5"/>
      <c r="W700" s="5"/>
      <c r="X700" s="5"/>
      <c r="Y700" s="5"/>
      <c r="Z700" s="5"/>
    </row>
    <row r="701" spans="1:26" ht="12.75" customHeight="1">
      <c r="A701" s="5"/>
      <c r="B701" s="5"/>
      <c r="C701" s="5"/>
      <c r="D701" s="5"/>
      <c r="E701" s="5"/>
      <c r="F701" s="5"/>
      <c r="G701" s="5"/>
      <c r="H701" s="306"/>
      <c r="I701" s="5"/>
      <c r="J701" s="5"/>
      <c r="K701" s="5"/>
      <c r="L701" s="5"/>
      <c r="M701" s="5"/>
      <c r="N701" s="5"/>
      <c r="O701" s="5"/>
      <c r="P701" s="5"/>
      <c r="Q701" s="57"/>
      <c r="R701" s="5"/>
      <c r="S701" s="5"/>
      <c r="T701" s="5"/>
      <c r="U701" s="5"/>
      <c r="V701" s="5"/>
      <c r="W701" s="5"/>
      <c r="X701" s="5"/>
      <c r="Y701" s="5"/>
      <c r="Z701" s="5"/>
    </row>
    <row r="702" spans="1:26" ht="12.75" customHeight="1">
      <c r="A702" s="5"/>
      <c r="B702" s="5"/>
      <c r="C702" s="5"/>
      <c r="D702" s="5"/>
      <c r="E702" s="5"/>
      <c r="F702" s="5"/>
      <c r="G702" s="5"/>
      <c r="H702" s="306"/>
      <c r="I702" s="5"/>
      <c r="J702" s="5"/>
      <c r="K702" s="5"/>
      <c r="L702" s="5"/>
      <c r="M702" s="5"/>
      <c r="N702" s="5"/>
      <c r="O702" s="5"/>
      <c r="P702" s="5"/>
      <c r="Q702" s="57"/>
      <c r="R702" s="5"/>
      <c r="S702" s="5"/>
      <c r="T702" s="5"/>
      <c r="U702" s="5"/>
      <c r="V702" s="5"/>
      <c r="W702" s="5"/>
      <c r="X702" s="5"/>
      <c r="Y702" s="5"/>
      <c r="Z702" s="5"/>
    </row>
    <row r="703" spans="1:26" ht="12.75" customHeight="1">
      <c r="A703" s="5"/>
      <c r="B703" s="5"/>
      <c r="C703" s="5"/>
      <c r="D703" s="5"/>
      <c r="E703" s="5"/>
      <c r="F703" s="5"/>
      <c r="G703" s="5"/>
      <c r="H703" s="306"/>
      <c r="I703" s="5"/>
      <c r="J703" s="5"/>
      <c r="K703" s="5"/>
      <c r="L703" s="5"/>
      <c r="M703" s="5"/>
      <c r="N703" s="5"/>
      <c r="O703" s="5"/>
      <c r="P703" s="5"/>
      <c r="Q703" s="57"/>
      <c r="R703" s="5"/>
      <c r="S703" s="5"/>
      <c r="T703" s="5"/>
      <c r="U703" s="5"/>
      <c r="V703" s="5"/>
      <c r="W703" s="5"/>
      <c r="X703" s="5"/>
      <c r="Y703" s="5"/>
      <c r="Z703" s="5"/>
    </row>
    <row r="704" spans="1:26" ht="12.75" customHeight="1">
      <c r="A704" s="5"/>
      <c r="B704" s="5"/>
      <c r="C704" s="5"/>
      <c r="D704" s="5"/>
      <c r="E704" s="5"/>
      <c r="F704" s="5"/>
      <c r="G704" s="5"/>
      <c r="H704" s="306"/>
      <c r="I704" s="5"/>
      <c r="J704" s="5"/>
      <c r="K704" s="5"/>
      <c r="L704" s="5"/>
      <c r="M704" s="5"/>
      <c r="N704" s="5"/>
      <c r="O704" s="5"/>
      <c r="P704" s="5"/>
      <c r="Q704" s="57"/>
      <c r="R704" s="5"/>
      <c r="S704" s="5"/>
      <c r="T704" s="5"/>
      <c r="U704" s="5"/>
      <c r="V704" s="5"/>
      <c r="W704" s="5"/>
      <c r="X704" s="5"/>
      <c r="Y704" s="5"/>
      <c r="Z704" s="5"/>
    </row>
    <row r="705" spans="1:26" ht="12.75" customHeight="1">
      <c r="A705" s="5"/>
      <c r="B705" s="5"/>
      <c r="C705" s="5"/>
      <c r="D705" s="5"/>
      <c r="E705" s="5"/>
      <c r="F705" s="5"/>
      <c r="G705" s="5"/>
      <c r="H705" s="306"/>
      <c r="I705" s="5"/>
      <c r="J705" s="5"/>
      <c r="K705" s="5"/>
      <c r="L705" s="5"/>
      <c r="M705" s="5"/>
      <c r="N705" s="5"/>
      <c r="O705" s="5"/>
      <c r="P705" s="5"/>
      <c r="Q705" s="57"/>
      <c r="R705" s="5"/>
      <c r="S705" s="5"/>
      <c r="T705" s="5"/>
      <c r="U705" s="5"/>
      <c r="V705" s="5"/>
      <c r="W705" s="5"/>
      <c r="X705" s="5"/>
      <c r="Y705" s="5"/>
      <c r="Z705" s="5"/>
    </row>
    <row r="706" spans="1:26" ht="12.75" customHeight="1">
      <c r="A706" s="5"/>
      <c r="B706" s="5"/>
      <c r="C706" s="5"/>
      <c r="D706" s="5"/>
      <c r="E706" s="5"/>
      <c r="F706" s="5"/>
      <c r="G706" s="5"/>
      <c r="H706" s="306"/>
      <c r="I706" s="5"/>
      <c r="J706" s="5"/>
      <c r="K706" s="5"/>
      <c r="L706" s="5"/>
      <c r="M706" s="5"/>
      <c r="N706" s="5"/>
      <c r="O706" s="5"/>
      <c r="P706" s="5"/>
      <c r="Q706" s="57"/>
      <c r="R706" s="5"/>
      <c r="S706" s="5"/>
      <c r="T706" s="5"/>
      <c r="U706" s="5"/>
      <c r="V706" s="5"/>
      <c r="W706" s="5"/>
      <c r="X706" s="5"/>
      <c r="Y706" s="5"/>
      <c r="Z706" s="5"/>
    </row>
    <row r="707" spans="1:26" ht="12.75" customHeight="1">
      <c r="A707" s="5"/>
      <c r="B707" s="5"/>
      <c r="C707" s="5"/>
      <c r="D707" s="5"/>
      <c r="E707" s="5"/>
      <c r="F707" s="5"/>
      <c r="G707" s="5"/>
      <c r="H707" s="306"/>
      <c r="I707" s="5"/>
      <c r="J707" s="5"/>
      <c r="K707" s="5"/>
      <c r="L707" s="5"/>
      <c r="M707" s="5"/>
      <c r="N707" s="5"/>
      <c r="O707" s="5"/>
      <c r="P707" s="5"/>
      <c r="Q707" s="57"/>
      <c r="R707" s="5"/>
      <c r="S707" s="5"/>
      <c r="T707" s="5"/>
      <c r="U707" s="5"/>
      <c r="V707" s="5"/>
      <c r="W707" s="5"/>
      <c r="X707" s="5"/>
      <c r="Y707" s="5"/>
      <c r="Z707" s="5"/>
    </row>
    <row r="708" spans="1:26" ht="12.75" customHeight="1">
      <c r="A708" s="5"/>
      <c r="B708" s="5"/>
      <c r="C708" s="5"/>
      <c r="D708" s="5"/>
      <c r="E708" s="5"/>
      <c r="F708" s="5"/>
      <c r="G708" s="5"/>
      <c r="H708" s="306"/>
      <c r="I708" s="5"/>
      <c r="J708" s="5"/>
      <c r="K708" s="5"/>
      <c r="L708" s="5"/>
      <c r="M708" s="5"/>
      <c r="N708" s="5"/>
      <c r="O708" s="5"/>
      <c r="P708" s="5"/>
      <c r="Q708" s="57"/>
      <c r="R708" s="5"/>
      <c r="S708" s="5"/>
      <c r="T708" s="5"/>
      <c r="U708" s="5"/>
      <c r="V708" s="5"/>
      <c r="W708" s="5"/>
      <c r="X708" s="5"/>
      <c r="Y708" s="5"/>
      <c r="Z708" s="5"/>
    </row>
    <row r="709" spans="1:26" ht="12.75" customHeight="1">
      <c r="A709" s="5"/>
      <c r="B709" s="5"/>
      <c r="C709" s="5"/>
      <c r="D709" s="5"/>
      <c r="E709" s="5"/>
      <c r="F709" s="5"/>
      <c r="G709" s="5"/>
      <c r="H709" s="306"/>
      <c r="I709" s="5"/>
      <c r="J709" s="5"/>
      <c r="K709" s="5"/>
      <c r="L709" s="5"/>
      <c r="M709" s="5"/>
      <c r="N709" s="5"/>
      <c r="O709" s="5"/>
      <c r="P709" s="5"/>
      <c r="Q709" s="57"/>
      <c r="R709" s="5"/>
      <c r="S709" s="5"/>
      <c r="T709" s="5"/>
      <c r="U709" s="5"/>
      <c r="V709" s="5"/>
      <c r="W709" s="5"/>
      <c r="X709" s="5"/>
      <c r="Y709" s="5"/>
      <c r="Z709" s="5"/>
    </row>
    <row r="710" spans="1:26" ht="12.75" customHeight="1">
      <c r="A710" s="5"/>
      <c r="B710" s="5"/>
      <c r="C710" s="5"/>
      <c r="D710" s="5"/>
      <c r="E710" s="5"/>
      <c r="F710" s="5"/>
      <c r="G710" s="5"/>
      <c r="H710" s="306"/>
      <c r="I710" s="5"/>
      <c r="J710" s="5"/>
      <c r="K710" s="5"/>
      <c r="L710" s="5"/>
      <c r="M710" s="5"/>
      <c r="N710" s="5"/>
      <c r="O710" s="5"/>
      <c r="P710" s="5"/>
      <c r="Q710" s="57"/>
      <c r="R710" s="5"/>
      <c r="S710" s="5"/>
      <c r="T710" s="5"/>
      <c r="U710" s="5"/>
      <c r="V710" s="5"/>
      <c r="W710" s="5"/>
      <c r="X710" s="5"/>
      <c r="Y710" s="5"/>
      <c r="Z710" s="5"/>
    </row>
    <row r="711" spans="1:26" ht="12.75" customHeight="1">
      <c r="A711" s="5"/>
      <c r="B711" s="5"/>
      <c r="C711" s="5"/>
      <c r="D711" s="5"/>
      <c r="E711" s="5"/>
      <c r="F711" s="5"/>
      <c r="G711" s="5"/>
      <c r="H711" s="306"/>
      <c r="I711" s="5"/>
      <c r="J711" s="5"/>
      <c r="K711" s="5"/>
      <c r="L711" s="5"/>
      <c r="M711" s="5"/>
      <c r="N711" s="5"/>
      <c r="O711" s="5"/>
      <c r="P711" s="5"/>
      <c r="Q711" s="57"/>
      <c r="R711" s="5"/>
      <c r="S711" s="5"/>
      <c r="T711" s="5"/>
      <c r="U711" s="5"/>
      <c r="V711" s="5"/>
      <c r="W711" s="5"/>
      <c r="X711" s="5"/>
      <c r="Y711" s="5"/>
      <c r="Z711" s="5"/>
    </row>
    <row r="712" spans="1:26" ht="12.75" customHeight="1">
      <c r="A712" s="5"/>
      <c r="B712" s="5"/>
      <c r="C712" s="5"/>
      <c r="D712" s="5"/>
      <c r="E712" s="5"/>
      <c r="F712" s="5"/>
      <c r="G712" s="5"/>
      <c r="H712" s="306"/>
      <c r="I712" s="5"/>
      <c r="J712" s="5"/>
      <c r="K712" s="5"/>
      <c r="L712" s="5"/>
      <c r="M712" s="5"/>
      <c r="N712" s="5"/>
      <c r="O712" s="5"/>
      <c r="P712" s="5"/>
      <c r="Q712" s="57"/>
      <c r="R712" s="5"/>
      <c r="S712" s="5"/>
      <c r="T712" s="5"/>
      <c r="U712" s="5"/>
      <c r="V712" s="5"/>
      <c r="W712" s="5"/>
      <c r="X712" s="5"/>
      <c r="Y712" s="5"/>
      <c r="Z712" s="5"/>
    </row>
    <row r="713" spans="1:26" ht="12.75" customHeight="1">
      <c r="A713" s="5"/>
      <c r="B713" s="5"/>
      <c r="C713" s="5"/>
      <c r="D713" s="5"/>
      <c r="E713" s="5"/>
      <c r="F713" s="5"/>
      <c r="G713" s="5"/>
      <c r="H713" s="306"/>
      <c r="I713" s="5"/>
      <c r="J713" s="5"/>
      <c r="K713" s="5"/>
      <c r="L713" s="5"/>
      <c r="M713" s="5"/>
      <c r="N713" s="5"/>
      <c r="O713" s="5"/>
      <c r="P713" s="5"/>
      <c r="Q713" s="57"/>
      <c r="R713" s="5"/>
      <c r="S713" s="5"/>
      <c r="T713" s="5"/>
      <c r="U713" s="5"/>
      <c r="V713" s="5"/>
      <c r="W713" s="5"/>
      <c r="X713" s="5"/>
      <c r="Y713" s="5"/>
      <c r="Z713" s="5"/>
    </row>
    <row r="714" spans="1:26" ht="12.75" customHeight="1">
      <c r="A714" s="5"/>
      <c r="B714" s="5"/>
      <c r="C714" s="5"/>
      <c r="D714" s="5"/>
      <c r="E714" s="5"/>
      <c r="F714" s="5"/>
      <c r="G714" s="5"/>
      <c r="H714" s="306"/>
      <c r="I714" s="5"/>
      <c r="J714" s="5"/>
      <c r="K714" s="5"/>
      <c r="L714" s="5"/>
      <c r="M714" s="5"/>
      <c r="N714" s="5"/>
      <c r="O714" s="5"/>
      <c r="P714" s="5"/>
      <c r="Q714" s="57"/>
      <c r="R714" s="5"/>
      <c r="S714" s="5"/>
      <c r="T714" s="5"/>
      <c r="U714" s="5"/>
      <c r="V714" s="5"/>
      <c r="W714" s="5"/>
      <c r="X714" s="5"/>
      <c r="Y714" s="5"/>
      <c r="Z714" s="5"/>
    </row>
    <row r="715" spans="1:26" ht="12.75" customHeight="1">
      <c r="A715" s="5"/>
      <c r="B715" s="5"/>
      <c r="C715" s="5"/>
      <c r="D715" s="5"/>
      <c r="E715" s="5"/>
      <c r="F715" s="5"/>
      <c r="G715" s="5"/>
      <c r="H715" s="306"/>
      <c r="I715" s="5"/>
      <c r="J715" s="5"/>
      <c r="K715" s="5"/>
      <c r="L715" s="5"/>
      <c r="M715" s="5"/>
      <c r="N715" s="5"/>
      <c r="O715" s="5"/>
      <c r="P715" s="5"/>
      <c r="Q715" s="57"/>
      <c r="R715" s="5"/>
      <c r="S715" s="5"/>
      <c r="T715" s="5"/>
      <c r="U715" s="5"/>
      <c r="V715" s="5"/>
      <c r="W715" s="5"/>
      <c r="X715" s="5"/>
      <c r="Y715" s="5"/>
      <c r="Z715" s="5"/>
    </row>
    <row r="716" spans="1:26" ht="12.75" customHeight="1">
      <c r="A716" s="5"/>
      <c r="B716" s="5"/>
      <c r="C716" s="5"/>
      <c r="D716" s="5"/>
      <c r="E716" s="5"/>
      <c r="F716" s="5"/>
      <c r="G716" s="5"/>
      <c r="H716" s="306"/>
      <c r="I716" s="5"/>
      <c r="J716" s="5"/>
      <c r="K716" s="5"/>
      <c r="L716" s="5"/>
      <c r="M716" s="5"/>
      <c r="N716" s="5"/>
      <c r="O716" s="5"/>
      <c r="P716" s="5"/>
      <c r="Q716" s="57"/>
      <c r="R716" s="5"/>
      <c r="S716" s="5"/>
      <c r="T716" s="5"/>
      <c r="U716" s="5"/>
      <c r="V716" s="5"/>
      <c r="W716" s="5"/>
      <c r="X716" s="5"/>
      <c r="Y716" s="5"/>
      <c r="Z716" s="5"/>
    </row>
    <row r="717" spans="1:26" ht="12.75" customHeight="1">
      <c r="A717" s="5"/>
      <c r="B717" s="5"/>
      <c r="C717" s="5"/>
      <c r="D717" s="5"/>
      <c r="E717" s="5"/>
      <c r="F717" s="5"/>
      <c r="G717" s="5"/>
      <c r="H717" s="306"/>
      <c r="I717" s="5"/>
      <c r="J717" s="5"/>
      <c r="K717" s="5"/>
      <c r="L717" s="5"/>
      <c r="M717" s="5"/>
      <c r="N717" s="5"/>
      <c r="O717" s="5"/>
      <c r="P717" s="5"/>
      <c r="Q717" s="57"/>
      <c r="R717" s="5"/>
      <c r="S717" s="5"/>
      <c r="T717" s="5"/>
      <c r="U717" s="5"/>
      <c r="V717" s="5"/>
      <c r="W717" s="5"/>
      <c r="X717" s="5"/>
      <c r="Y717" s="5"/>
      <c r="Z717" s="5"/>
    </row>
    <row r="718" spans="1:26" ht="12.75" customHeight="1">
      <c r="A718" s="5"/>
      <c r="B718" s="5"/>
      <c r="C718" s="5"/>
      <c r="D718" s="5"/>
      <c r="E718" s="5"/>
      <c r="F718" s="5"/>
      <c r="G718" s="5"/>
      <c r="H718" s="306"/>
      <c r="I718" s="5"/>
      <c r="J718" s="5"/>
      <c r="K718" s="5"/>
      <c r="L718" s="5"/>
      <c r="M718" s="5"/>
      <c r="N718" s="5"/>
      <c r="O718" s="5"/>
      <c r="P718" s="5"/>
      <c r="Q718" s="57"/>
      <c r="R718" s="5"/>
      <c r="S718" s="5"/>
      <c r="T718" s="5"/>
      <c r="U718" s="5"/>
      <c r="V718" s="5"/>
      <c r="W718" s="5"/>
      <c r="X718" s="5"/>
      <c r="Y718" s="5"/>
      <c r="Z718" s="5"/>
    </row>
    <row r="719" spans="1:26" ht="12.75" customHeight="1">
      <c r="A719" s="5"/>
      <c r="B719" s="5"/>
      <c r="C719" s="5"/>
      <c r="D719" s="5"/>
      <c r="E719" s="5"/>
      <c r="F719" s="5"/>
      <c r="G719" s="5"/>
      <c r="H719" s="306"/>
      <c r="I719" s="5"/>
      <c r="J719" s="5"/>
      <c r="K719" s="5"/>
      <c r="L719" s="5"/>
      <c r="M719" s="5"/>
      <c r="N719" s="5"/>
      <c r="O719" s="5"/>
      <c r="P719" s="5"/>
      <c r="Q719" s="57"/>
      <c r="R719" s="5"/>
      <c r="S719" s="5"/>
      <c r="T719" s="5"/>
      <c r="U719" s="5"/>
      <c r="V719" s="5"/>
      <c r="W719" s="5"/>
      <c r="X719" s="5"/>
      <c r="Y719" s="5"/>
      <c r="Z719" s="5"/>
    </row>
    <row r="720" spans="1:26" ht="12.75" customHeight="1">
      <c r="A720" s="5"/>
      <c r="B720" s="5"/>
      <c r="C720" s="5"/>
      <c r="D720" s="5"/>
      <c r="E720" s="5"/>
      <c r="F720" s="5"/>
      <c r="G720" s="5"/>
      <c r="H720" s="306"/>
      <c r="I720" s="5"/>
      <c r="J720" s="5"/>
      <c r="K720" s="5"/>
      <c r="L720" s="5"/>
      <c r="M720" s="5"/>
      <c r="N720" s="5"/>
      <c r="O720" s="5"/>
      <c r="P720" s="5"/>
      <c r="Q720" s="57"/>
      <c r="R720" s="5"/>
      <c r="S720" s="5"/>
      <c r="T720" s="5"/>
      <c r="U720" s="5"/>
      <c r="V720" s="5"/>
      <c r="W720" s="5"/>
      <c r="X720" s="5"/>
      <c r="Y720" s="5"/>
      <c r="Z720" s="5"/>
    </row>
    <row r="721" spans="1:26" ht="12.75" customHeight="1">
      <c r="A721" s="5"/>
      <c r="B721" s="5"/>
      <c r="C721" s="5"/>
      <c r="D721" s="5"/>
      <c r="E721" s="5"/>
      <c r="F721" s="5"/>
      <c r="G721" s="5"/>
      <c r="H721" s="306"/>
      <c r="I721" s="5"/>
      <c r="J721" s="5"/>
      <c r="K721" s="5"/>
      <c r="L721" s="5"/>
      <c r="M721" s="5"/>
      <c r="N721" s="5"/>
      <c r="O721" s="5"/>
      <c r="P721" s="5"/>
      <c r="Q721" s="57"/>
      <c r="R721" s="5"/>
      <c r="S721" s="5"/>
      <c r="T721" s="5"/>
      <c r="U721" s="5"/>
      <c r="V721" s="5"/>
      <c r="W721" s="5"/>
      <c r="X721" s="5"/>
      <c r="Y721" s="5"/>
      <c r="Z721" s="5"/>
    </row>
    <row r="722" spans="1:26" ht="12.75" customHeight="1">
      <c r="A722" s="5"/>
      <c r="B722" s="5"/>
      <c r="C722" s="5"/>
      <c r="D722" s="5"/>
      <c r="E722" s="5"/>
      <c r="F722" s="5"/>
      <c r="G722" s="5"/>
      <c r="H722" s="306"/>
      <c r="I722" s="5"/>
      <c r="J722" s="5"/>
      <c r="K722" s="5"/>
      <c r="L722" s="5"/>
      <c r="M722" s="5"/>
      <c r="N722" s="5"/>
      <c r="O722" s="5"/>
      <c r="P722" s="5"/>
      <c r="Q722" s="57"/>
      <c r="R722" s="5"/>
      <c r="S722" s="5"/>
      <c r="T722" s="5"/>
      <c r="U722" s="5"/>
      <c r="V722" s="5"/>
      <c r="W722" s="5"/>
      <c r="X722" s="5"/>
      <c r="Y722" s="5"/>
      <c r="Z722" s="5"/>
    </row>
    <row r="723" spans="1:26" ht="12.75" customHeight="1">
      <c r="A723" s="5"/>
      <c r="B723" s="5"/>
      <c r="C723" s="5"/>
      <c r="D723" s="5"/>
      <c r="E723" s="5"/>
      <c r="F723" s="5"/>
      <c r="G723" s="5"/>
      <c r="H723" s="306"/>
      <c r="I723" s="5"/>
      <c r="J723" s="5"/>
      <c r="K723" s="5"/>
      <c r="L723" s="5"/>
      <c r="M723" s="5"/>
      <c r="N723" s="5"/>
      <c r="O723" s="5"/>
      <c r="P723" s="5"/>
      <c r="Q723" s="57"/>
      <c r="R723" s="5"/>
      <c r="S723" s="5"/>
      <c r="T723" s="5"/>
      <c r="U723" s="5"/>
      <c r="V723" s="5"/>
      <c r="W723" s="5"/>
      <c r="X723" s="5"/>
      <c r="Y723" s="5"/>
      <c r="Z723" s="5"/>
    </row>
    <row r="724" spans="1:26" ht="12.75" customHeight="1">
      <c r="A724" s="5"/>
      <c r="B724" s="5"/>
      <c r="C724" s="5"/>
      <c r="D724" s="5"/>
      <c r="E724" s="5"/>
      <c r="F724" s="5"/>
      <c r="G724" s="5"/>
      <c r="H724" s="306"/>
      <c r="I724" s="5"/>
      <c r="J724" s="5"/>
      <c r="K724" s="5"/>
      <c r="L724" s="5"/>
      <c r="M724" s="5"/>
      <c r="N724" s="5"/>
      <c r="O724" s="5"/>
      <c r="P724" s="5"/>
      <c r="Q724" s="57"/>
      <c r="R724" s="5"/>
      <c r="S724" s="5"/>
      <c r="T724" s="5"/>
      <c r="U724" s="5"/>
      <c r="V724" s="5"/>
      <c r="W724" s="5"/>
      <c r="X724" s="5"/>
      <c r="Y724" s="5"/>
      <c r="Z724" s="5"/>
    </row>
    <row r="725" spans="1:26" ht="12.75" customHeight="1">
      <c r="A725" s="5"/>
      <c r="B725" s="5"/>
      <c r="C725" s="5"/>
      <c r="D725" s="5"/>
      <c r="E725" s="5"/>
      <c r="F725" s="5"/>
      <c r="G725" s="5"/>
      <c r="H725" s="306"/>
      <c r="I725" s="5"/>
      <c r="J725" s="5"/>
      <c r="K725" s="5"/>
      <c r="L725" s="5"/>
      <c r="M725" s="5"/>
      <c r="N725" s="5"/>
      <c r="O725" s="5"/>
      <c r="P725" s="5"/>
      <c r="Q725" s="57"/>
      <c r="R725" s="5"/>
      <c r="S725" s="5"/>
      <c r="T725" s="5"/>
      <c r="U725" s="5"/>
      <c r="V725" s="5"/>
      <c r="W725" s="5"/>
      <c r="X725" s="5"/>
      <c r="Y725" s="5"/>
      <c r="Z725" s="5"/>
    </row>
    <row r="726" spans="1:26" ht="12.75" customHeight="1">
      <c r="A726" s="5"/>
      <c r="B726" s="5"/>
      <c r="C726" s="5"/>
      <c r="D726" s="5"/>
      <c r="E726" s="5"/>
      <c r="F726" s="5"/>
      <c r="G726" s="5"/>
      <c r="H726" s="306"/>
      <c r="I726" s="5"/>
      <c r="J726" s="5"/>
      <c r="K726" s="5"/>
      <c r="L726" s="5"/>
      <c r="M726" s="5"/>
      <c r="N726" s="5"/>
      <c r="O726" s="5"/>
      <c r="P726" s="5"/>
      <c r="Q726" s="57"/>
      <c r="R726" s="5"/>
      <c r="S726" s="5"/>
      <c r="T726" s="5"/>
      <c r="U726" s="5"/>
      <c r="V726" s="5"/>
      <c r="W726" s="5"/>
      <c r="X726" s="5"/>
      <c r="Y726" s="5"/>
      <c r="Z726" s="5"/>
    </row>
    <row r="727" spans="1:26" ht="12.75" customHeight="1">
      <c r="A727" s="5"/>
      <c r="B727" s="5"/>
      <c r="C727" s="5"/>
      <c r="D727" s="5"/>
      <c r="E727" s="5"/>
      <c r="F727" s="5"/>
      <c r="G727" s="5"/>
      <c r="H727" s="306"/>
      <c r="I727" s="5"/>
      <c r="J727" s="5"/>
      <c r="K727" s="5"/>
      <c r="L727" s="5"/>
      <c r="M727" s="5"/>
      <c r="N727" s="5"/>
      <c r="O727" s="5"/>
      <c r="P727" s="5"/>
      <c r="Q727" s="57"/>
      <c r="R727" s="5"/>
      <c r="S727" s="5"/>
      <c r="T727" s="5"/>
      <c r="U727" s="5"/>
      <c r="V727" s="5"/>
      <c r="W727" s="5"/>
      <c r="X727" s="5"/>
      <c r="Y727" s="5"/>
      <c r="Z727" s="5"/>
    </row>
    <row r="728" spans="1:26" ht="12.75" customHeight="1">
      <c r="A728" s="5"/>
      <c r="B728" s="5"/>
      <c r="C728" s="5"/>
      <c r="D728" s="5"/>
      <c r="E728" s="5"/>
      <c r="F728" s="5"/>
      <c r="G728" s="5"/>
      <c r="H728" s="306"/>
      <c r="I728" s="5"/>
      <c r="J728" s="5"/>
      <c r="K728" s="5"/>
      <c r="L728" s="5"/>
      <c r="M728" s="5"/>
      <c r="N728" s="5"/>
      <c r="O728" s="5"/>
      <c r="P728" s="5"/>
      <c r="Q728" s="57"/>
      <c r="R728" s="5"/>
      <c r="S728" s="5"/>
      <c r="T728" s="5"/>
      <c r="U728" s="5"/>
      <c r="V728" s="5"/>
      <c r="W728" s="5"/>
      <c r="X728" s="5"/>
      <c r="Y728" s="5"/>
      <c r="Z728" s="5"/>
    </row>
    <row r="729" spans="1:26" ht="12.75" customHeight="1">
      <c r="A729" s="5"/>
      <c r="B729" s="5"/>
      <c r="C729" s="5"/>
      <c r="D729" s="5"/>
      <c r="E729" s="5"/>
      <c r="F729" s="5"/>
      <c r="G729" s="5"/>
      <c r="H729" s="306"/>
      <c r="I729" s="5"/>
      <c r="J729" s="5"/>
      <c r="K729" s="5"/>
      <c r="L729" s="5"/>
      <c r="M729" s="5"/>
      <c r="N729" s="5"/>
      <c r="O729" s="5"/>
      <c r="P729" s="5"/>
      <c r="Q729" s="57"/>
      <c r="R729" s="5"/>
      <c r="S729" s="5"/>
      <c r="T729" s="5"/>
      <c r="U729" s="5"/>
      <c r="V729" s="5"/>
      <c r="W729" s="5"/>
      <c r="X729" s="5"/>
      <c r="Y729" s="5"/>
      <c r="Z729" s="5"/>
    </row>
    <row r="730" spans="1:26" ht="12.75" customHeight="1">
      <c r="A730" s="5"/>
      <c r="B730" s="5"/>
      <c r="C730" s="5"/>
      <c r="D730" s="5"/>
      <c r="E730" s="5"/>
      <c r="F730" s="5"/>
      <c r="G730" s="5"/>
      <c r="H730" s="306"/>
      <c r="I730" s="5"/>
      <c r="J730" s="5"/>
      <c r="K730" s="5"/>
      <c r="L730" s="5"/>
      <c r="M730" s="5"/>
      <c r="N730" s="5"/>
      <c r="O730" s="5"/>
      <c r="P730" s="5"/>
      <c r="Q730" s="57"/>
      <c r="R730" s="5"/>
      <c r="S730" s="5"/>
      <c r="T730" s="5"/>
      <c r="U730" s="5"/>
      <c r="V730" s="5"/>
      <c r="W730" s="5"/>
      <c r="X730" s="5"/>
      <c r="Y730" s="5"/>
      <c r="Z730" s="5"/>
    </row>
    <row r="731" spans="1:26" ht="12.75" customHeight="1">
      <c r="A731" s="5"/>
      <c r="B731" s="5"/>
      <c r="C731" s="5"/>
      <c r="D731" s="5"/>
      <c r="E731" s="5"/>
      <c r="F731" s="5"/>
      <c r="G731" s="5"/>
      <c r="H731" s="306"/>
      <c r="I731" s="5"/>
      <c r="J731" s="5"/>
      <c r="K731" s="5"/>
      <c r="L731" s="5"/>
      <c r="M731" s="5"/>
      <c r="N731" s="5"/>
      <c r="O731" s="5"/>
      <c r="P731" s="5"/>
      <c r="Q731" s="57"/>
      <c r="R731" s="5"/>
      <c r="S731" s="5"/>
      <c r="T731" s="5"/>
      <c r="U731" s="5"/>
      <c r="V731" s="5"/>
      <c r="W731" s="5"/>
      <c r="X731" s="5"/>
      <c r="Y731" s="5"/>
      <c r="Z731" s="5"/>
    </row>
    <row r="732" spans="1:26" ht="12.75" customHeight="1">
      <c r="A732" s="5"/>
      <c r="B732" s="5"/>
      <c r="C732" s="5"/>
      <c r="D732" s="5"/>
      <c r="E732" s="5"/>
      <c r="F732" s="5"/>
      <c r="G732" s="5"/>
      <c r="H732" s="306"/>
      <c r="I732" s="5"/>
      <c r="J732" s="5"/>
      <c r="K732" s="5"/>
      <c r="L732" s="5"/>
      <c r="M732" s="5"/>
      <c r="N732" s="5"/>
      <c r="O732" s="5"/>
      <c r="P732" s="5"/>
      <c r="Q732" s="57"/>
      <c r="R732" s="5"/>
      <c r="S732" s="5"/>
      <c r="T732" s="5"/>
      <c r="U732" s="5"/>
      <c r="V732" s="5"/>
      <c r="W732" s="5"/>
      <c r="X732" s="5"/>
      <c r="Y732" s="5"/>
      <c r="Z732" s="5"/>
    </row>
    <row r="733" spans="1:26" ht="12.75" customHeight="1">
      <c r="A733" s="5"/>
      <c r="B733" s="5"/>
      <c r="C733" s="5"/>
      <c r="D733" s="5"/>
      <c r="E733" s="5"/>
      <c r="F733" s="5"/>
      <c r="G733" s="5"/>
      <c r="H733" s="306"/>
      <c r="I733" s="5"/>
      <c r="J733" s="5"/>
      <c r="K733" s="5"/>
      <c r="L733" s="5"/>
      <c r="M733" s="5"/>
      <c r="N733" s="5"/>
      <c r="O733" s="5"/>
      <c r="P733" s="5"/>
      <c r="Q733" s="57"/>
      <c r="R733" s="5"/>
      <c r="S733" s="5"/>
      <c r="T733" s="5"/>
      <c r="U733" s="5"/>
      <c r="V733" s="5"/>
      <c r="W733" s="5"/>
      <c r="X733" s="5"/>
      <c r="Y733" s="5"/>
      <c r="Z733" s="5"/>
    </row>
    <row r="734" spans="1:26" ht="12.75" customHeight="1">
      <c r="A734" s="5"/>
      <c r="B734" s="5"/>
      <c r="C734" s="5"/>
      <c r="D734" s="5"/>
      <c r="E734" s="5"/>
      <c r="F734" s="5"/>
      <c r="G734" s="5"/>
      <c r="H734" s="306"/>
      <c r="I734" s="5"/>
      <c r="J734" s="5"/>
      <c r="K734" s="5"/>
      <c r="L734" s="5"/>
      <c r="M734" s="5"/>
      <c r="N734" s="5"/>
      <c r="O734" s="5"/>
      <c r="P734" s="5"/>
      <c r="Q734" s="57"/>
      <c r="R734" s="5"/>
      <c r="S734" s="5"/>
      <c r="T734" s="5"/>
      <c r="U734" s="5"/>
      <c r="V734" s="5"/>
      <c r="W734" s="5"/>
      <c r="X734" s="5"/>
      <c r="Y734" s="5"/>
      <c r="Z734" s="5"/>
    </row>
    <row r="735" spans="1:26" ht="12.75" customHeight="1">
      <c r="A735" s="5"/>
      <c r="B735" s="5"/>
      <c r="C735" s="5"/>
      <c r="D735" s="5"/>
      <c r="E735" s="5"/>
      <c r="F735" s="5"/>
      <c r="G735" s="5"/>
      <c r="H735" s="306"/>
      <c r="I735" s="5"/>
      <c r="J735" s="5"/>
      <c r="K735" s="5"/>
      <c r="L735" s="5"/>
      <c r="M735" s="5"/>
      <c r="N735" s="5"/>
      <c r="O735" s="5"/>
      <c r="P735" s="5"/>
      <c r="Q735" s="57"/>
      <c r="R735" s="5"/>
      <c r="S735" s="5"/>
      <c r="T735" s="5"/>
      <c r="U735" s="5"/>
      <c r="V735" s="5"/>
      <c r="W735" s="5"/>
      <c r="X735" s="5"/>
      <c r="Y735" s="5"/>
      <c r="Z735" s="5"/>
    </row>
    <row r="736" spans="1:26" ht="12.75" customHeight="1">
      <c r="A736" s="5"/>
      <c r="B736" s="5"/>
      <c r="C736" s="5"/>
      <c r="D736" s="5"/>
      <c r="E736" s="5"/>
      <c r="F736" s="5"/>
      <c r="G736" s="5"/>
      <c r="H736" s="306"/>
      <c r="I736" s="5"/>
      <c r="J736" s="5"/>
      <c r="K736" s="5"/>
      <c r="L736" s="5"/>
      <c r="M736" s="5"/>
      <c r="N736" s="5"/>
      <c r="O736" s="5"/>
      <c r="P736" s="5"/>
      <c r="Q736" s="57"/>
      <c r="R736" s="5"/>
      <c r="S736" s="5"/>
      <c r="T736" s="5"/>
      <c r="U736" s="5"/>
      <c r="V736" s="5"/>
      <c r="W736" s="5"/>
      <c r="X736" s="5"/>
      <c r="Y736" s="5"/>
      <c r="Z736" s="5"/>
    </row>
    <row r="737" spans="1:26" ht="12.75" customHeight="1">
      <c r="A737" s="5"/>
      <c r="B737" s="5"/>
      <c r="C737" s="5"/>
      <c r="D737" s="5"/>
      <c r="E737" s="5"/>
      <c r="F737" s="5"/>
      <c r="G737" s="5"/>
      <c r="H737" s="306"/>
      <c r="I737" s="5"/>
      <c r="J737" s="5"/>
      <c r="K737" s="5"/>
      <c r="L737" s="5"/>
      <c r="M737" s="5"/>
      <c r="N737" s="5"/>
      <c r="O737" s="5"/>
      <c r="P737" s="5"/>
      <c r="Q737" s="57"/>
      <c r="R737" s="5"/>
      <c r="S737" s="5"/>
      <c r="T737" s="5"/>
      <c r="U737" s="5"/>
      <c r="V737" s="5"/>
      <c r="W737" s="5"/>
      <c r="X737" s="5"/>
      <c r="Y737" s="5"/>
      <c r="Z737" s="5"/>
    </row>
    <row r="738" spans="1:26" ht="12.75" customHeight="1">
      <c r="A738" s="5"/>
      <c r="B738" s="5"/>
      <c r="C738" s="5"/>
      <c r="D738" s="5"/>
      <c r="E738" s="5"/>
      <c r="F738" s="5"/>
      <c r="G738" s="5"/>
      <c r="H738" s="306"/>
      <c r="I738" s="5"/>
      <c r="J738" s="5"/>
      <c r="K738" s="5"/>
      <c r="L738" s="5"/>
      <c r="M738" s="5"/>
      <c r="N738" s="5"/>
      <c r="O738" s="5"/>
      <c r="P738" s="5"/>
      <c r="Q738" s="57"/>
      <c r="R738" s="5"/>
      <c r="S738" s="5"/>
      <c r="T738" s="5"/>
      <c r="U738" s="5"/>
      <c r="V738" s="5"/>
      <c r="W738" s="5"/>
      <c r="X738" s="5"/>
      <c r="Y738" s="5"/>
      <c r="Z738" s="5"/>
    </row>
    <row r="739" spans="1:26" ht="12.75" customHeight="1">
      <c r="A739" s="5"/>
      <c r="B739" s="5"/>
      <c r="C739" s="5"/>
      <c r="D739" s="5"/>
      <c r="E739" s="5"/>
      <c r="F739" s="5"/>
      <c r="G739" s="5"/>
      <c r="H739" s="306"/>
      <c r="I739" s="5"/>
      <c r="J739" s="5"/>
      <c r="K739" s="5"/>
      <c r="L739" s="5"/>
      <c r="M739" s="5"/>
      <c r="N739" s="5"/>
      <c r="O739" s="5"/>
      <c r="P739" s="5"/>
      <c r="Q739" s="57"/>
      <c r="R739" s="5"/>
      <c r="S739" s="5"/>
      <c r="T739" s="5"/>
      <c r="U739" s="5"/>
      <c r="V739" s="5"/>
      <c r="W739" s="5"/>
      <c r="X739" s="5"/>
      <c r="Y739" s="5"/>
      <c r="Z739" s="5"/>
    </row>
    <row r="740" spans="1:26" ht="12.75" customHeight="1">
      <c r="A740" s="5"/>
      <c r="B740" s="5"/>
      <c r="C740" s="5"/>
      <c r="D740" s="5"/>
      <c r="E740" s="5"/>
      <c r="F740" s="5"/>
      <c r="G740" s="5"/>
      <c r="H740" s="306"/>
      <c r="I740" s="5"/>
      <c r="J740" s="5"/>
      <c r="K740" s="5"/>
      <c r="L740" s="5"/>
      <c r="M740" s="5"/>
      <c r="N740" s="5"/>
      <c r="O740" s="5"/>
      <c r="P740" s="5"/>
      <c r="Q740" s="57"/>
      <c r="R740" s="5"/>
      <c r="S740" s="5"/>
      <c r="T740" s="5"/>
      <c r="U740" s="5"/>
      <c r="V740" s="5"/>
      <c r="W740" s="5"/>
      <c r="X740" s="5"/>
      <c r="Y740" s="5"/>
      <c r="Z740" s="5"/>
    </row>
    <row r="741" spans="1:26" ht="12.75" customHeight="1">
      <c r="A741" s="5"/>
      <c r="B741" s="5"/>
      <c r="C741" s="5"/>
      <c r="D741" s="5"/>
      <c r="E741" s="5"/>
      <c r="F741" s="5"/>
      <c r="G741" s="5"/>
      <c r="H741" s="306"/>
      <c r="I741" s="5"/>
      <c r="J741" s="5"/>
      <c r="K741" s="5"/>
      <c r="L741" s="5"/>
      <c r="M741" s="5"/>
      <c r="N741" s="5"/>
      <c r="O741" s="5"/>
      <c r="P741" s="5"/>
      <c r="Q741" s="57"/>
      <c r="R741" s="5"/>
      <c r="S741" s="5"/>
      <c r="T741" s="5"/>
      <c r="U741" s="5"/>
      <c r="V741" s="5"/>
      <c r="W741" s="5"/>
      <c r="X741" s="5"/>
      <c r="Y741" s="5"/>
      <c r="Z741" s="5"/>
    </row>
    <row r="742" spans="1:26" ht="12.75" customHeight="1">
      <c r="A742" s="5"/>
      <c r="B742" s="5"/>
      <c r="C742" s="5"/>
      <c r="D742" s="5"/>
      <c r="E742" s="5"/>
      <c r="F742" s="5"/>
      <c r="G742" s="5"/>
      <c r="H742" s="306"/>
      <c r="I742" s="5"/>
      <c r="J742" s="5"/>
      <c r="K742" s="5"/>
      <c r="L742" s="5"/>
      <c r="M742" s="5"/>
      <c r="N742" s="5"/>
      <c r="O742" s="5"/>
      <c r="P742" s="5"/>
      <c r="Q742" s="57"/>
      <c r="R742" s="5"/>
      <c r="S742" s="5"/>
      <c r="T742" s="5"/>
      <c r="U742" s="5"/>
      <c r="V742" s="5"/>
      <c r="W742" s="5"/>
      <c r="X742" s="5"/>
      <c r="Y742" s="5"/>
      <c r="Z742" s="5"/>
    </row>
    <row r="743" spans="1:26" ht="12.75" customHeight="1">
      <c r="A743" s="5"/>
      <c r="B743" s="5"/>
      <c r="C743" s="5"/>
      <c r="D743" s="5"/>
      <c r="E743" s="5"/>
      <c r="F743" s="5"/>
      <c r="G743" s="5"/>
      <c r="H743" s="306"/>
      <c r="I743" s="5"/>
      <c r="J743" s="5"/>
      <c r="K743" s="5"/>
      <c r="L743" s="5"/>
      <c r="M743" s="5"/>
      <c r="N743" s="5"/>
      <c r="O743" s="5"/>
      <c r="P743" s="5"/>
      <c r="Q743" s="57"/>
      <c r="R743" s="5"/>
      <c r="S743" s="5"/>
      <c r="T743" s="5"/>
      <c r="U743" s="5"/>
      <c r="V743" s="5"/>
      <c r="W743" s="5"/>
      <c r="X743" s="5"/>
      <c r="Y743" s="5"/>
      <c r="Z743" s="5"/>
    </row>
    <row r="744" spans="1:26" ht="12.75" customHeight="1">
      <c r="A744" s="5"/>
      <c r="B744" s="5"/>
      <c r="C744" s="5"/>
      <c r="D744" s="5"/>
      <c r="E744" s="5"/>
      <c r="F744" s="5"/>
      <c r="G744" s="5"/>
      <c r="H744" s="306"/>
      <c r="I744" s="5"/>
      <c r="J744" s="5"/>
      <c r="K744" s="5"/>
      <c r="L744" s="5"/>
      <c r="M744" s="5"/>
      <c r="N744" s="5"/>
      <c r="O744" s="5"/>
      <c r="P744" s="5"/>
      <c r="Q744" s="57"/>
      <c r="R744" s="5"/>
      <c r="S744" s="5"/>
      <c r="T744" s="5"/>
      <c r="U744" s="5"/>
      <c r="V744" s="5"/>
      <c r="W744" s="5"/>
      <c r="X744" s="5"/>
      <c r="Y744" s="5"/>
      <c r="Z744" s="5"/>
    </row>
    <row r="745" spans="1:26" ht="12.75" customHeight="1">
      <c r="A745" s="5"/>
      <c r="B745" s="5"/>
      <c r="C745" s="5"/>
      <c r="D745" s="5"/>
      <c r="E745" s="5"/>
      <c r="F745" s="5"/>
      <c r="G745" s="5"/>
      <c r="H745" s="306"/>
      <c r="I745" s="5"/>
      <c r="J745" s="5"/>
      <c r="K745" s="5"/>
      <c r="L745" s="5"/>
      <c r="M745" s="5"/>
      <c r="N745" s="5"/>
      <c r="O745" s="5"/>
      <c r="P745" s="5"/>
      <c r="Q745" s="57"/>
      <c r="R745" s="5"/>
      <c r="S745" s="5"/>
      <c r="T745" s="5"/>
      <c r="U745" s="5"/>
      <c r="V745" s="5"/>
      <c r="W745" s="5"/>
      <c r="X745" s="5"/>
      <c r="Y745" s="5"/>
      <c r="Z745" s="5"/>
    </row>
    <row r="746" spans="1:26" ht="12.75" customHeight="1">
      <c r="A746" s="5"/>
      <c r="B746" s="5"/>
      <c r="C746" s="5"/>
      <c r="D746" s="5"/>
      <c r="E746" s="5"/>
      <c r="F746" s="5"/>
      <c r="G746" s="5"/>
      <c r="H746" s="306"/>
      <c r="I746" s="5"/>
      <c r="J746" s="5"/>
      <c r="K746" s="5"/>
      <c r="L746" s="5"/>
      <c r="M746" s="5"/>
      <c r="N746" s="5"/>
      <c r="O746" s="5"/>
      <c r="P746" s="5"/>
      <c r="Q746" s="57"/>
      <c r="R746" s="5"/>
      <c r="S746" s="5"/>
      <c r="T746" s="5"/>
      <c r="U746" s="5"/>
      <c r="V746" s="5"/>
      <c r="W746" s="5"/>
      <c r="X746" s="5"/>
      <c r="Y746" s="5"/>
      <c r="Z746" s="5"/>
    </row>
    <row r="747" spans="1:26" ht="12.75" customHeight="1">
      <c r="A747" s="5"/>
      <c r="B747" s="5"/>
      <c r="C747" s="5"/>
      <c r="D747" s="5"/>
      <c r="E747" s="5"/>
      <c r="F747" s="5"/>
      <c r="G747" s="5"/>
      <c r="H747" s="306"/>
      <c r="I747" s="5"/>
      <c r="J747" s="5"/>
      <c r="K747" s="5"/>
      <c r="L747" s="5"/>
      <c r="M747" s="5"/>
      <c r="N747" s="5"/>
      <c r="O747" s="5"/>
      <c r="P747" s="5"/>
      <c r="Q747" s="57"/>
      <c r="R747" s="5"/>
      <c r="S747" s="5"/>
      <c r="T747" s="5"/>
      <c r="U747" s="5"/>
      <c r="V747" s="5"/>
      <c r="W747" s="5"/>
      <c r="X747" s="5"/>
      <c r="Y747" s="5"/>
      <c r="Z747" s="5"/>
    </row>
    <row r="748" spans="1:26" ht="12.75" customHeight="1">
      <c r="A748" s="5"/>
      <c r="B748" s="5"/>
      <c r="C748" s="5"/>
      <c r="D748" s="5"/>
      <c r="E748" s="5"/>
      <c r="F748" s="5"/>
      <c r="G748" s="5"/>
      <c r="H748" s="306"/>
      <c r="I748" s="5"/>
      <c r="J748" s="5"/>
      <c r="K748" s="5"/>
      <c r="L748" s="5"/>
      <c r="M748" s="5"/>
      <c r="N748" s="5"/>
      <c r="O748" s="5"/>
      <c r="P748" s="5"/>
      <c r="Q748" s="57"/>
      <c r="R748" s="5"/>
      <c r="S748" s="5"/>
      <c r="T748" s="5"/>
      <c r="U748" s="5"/>
      <c r="V748" s="5"/>
      <c r="W748" s="5"/>
      <c r="X748" s="5"/>
      <c r="Y748" s="5"/>
      <c r="Z748" s="5"/>
    </row>
    <row r="749" spans="1:26" ht="12.75" customHeight="1">
      <c r="A749" s="5"/>
      <c r="B749" s="5"/>
      <c r="C749" s="5"/>
      <c r="D749" s="5"/>
      <c r="E749" s="5"/>
      <c r="F749" s="5"/>
      <c r="G749" s="5"/>
      <c r="H749" s="306"/>
      <c r="I749" s="5"/>
      <c r="J749" s="5"/>
      <c r="K749" s="5"/>
      <c r="L749" s="5"/>
      <c r="M749" s="5"/>
      <c r="N749" s="5"/>
      <c r="O749" s="5"/>
      <c r="P749" s="5"/>
      <c r="Q749" s="57"/>
      <c r="R749" s="5"/>
      <c r="S749" s="5"/>
      <c r="T749" s="5"/>
      <c r="U749" s="5"/>
      <c r="V749" s="5"/>
      <c r="W749" s="5"/>
      <c r="X749" s="5"/>
      <c r="Y749" s="5"/>
      <c r="Z749" s="5"/>
    </row>
    <row r="750" spans="1:26" ht="12.75" customHeight="1">
      <c r="A750" s="5"/>
      <c r="B750" s="5"/>
      <c r="C750" s="5"/>
      <c r="D750" s="5"/>
      <c r="E750" s="5"/>
      <c r="F750" s="5"/>
      <c r="G750" s="5"/>
      <c r="H750" s="306"/>
      <c r="I750" s="5"/>
      <c r="J750" s="5"/>
      <c r="K750" s="5"/>
      <c r="L750" s="5"/>
      <c r="M750" s="5"/>
      <c r="N750" s="5"/>
      <c r="O750" s="5"/>
      <c r="P750" s="5"/>
      <c r="Q750" s="57"/>
      <c r="R750" s="5"/>
      <c r="S750" s="5"/>
      <c r="T750" s="5"/>
      <c r="U750" s="5"/>
      <c r="V750" s="5"/>
      <c r="W750" s="5"/>
      <c r="X750" s="5"/>
      <c r="Y750" s="5"/>
      <c r="Z750" s="5"/>
    </row>
    <row r="751" spans="1:26" ht="12.75" customHeight="1">
      <c r="A751" s="5"/>
      <c r="B751" s="5"/>
      <c r="C751" s="5"/>
      <c r="D751" s="5"/>
      <c r="E751" s="5"/>
      <c r="F751" s="5"/>
      <c r="G751" s="5"/>
      <c r="H751" s="306"/>
      <c r="I751" s="5"/>
      <c r="J751" s="5"/>
      <c r="K751" s="5"/>
      <c r="L751" s="5"/>
      <c r="M751" s="5"/>
      <c r="N751" s="5"/>
      <c r="O751" s="5"/>
      <c r="P751" s="5"/>
      <c r="Q751" s="57"/>
      <c r="R751" s="5"/>
      <c r="S751" s="5"/>
      <c r="T751" s="5"/>
      <c r="U751" s="5"/>
      <c r="V751" s="5"/>
      <c r="W751" s="5"/>
      <c r="X751" s="5"/>
      <c r="Y751" s="5"/>
      <c r="Z751" s="5"/>
    </row>
    <row r="752" spans="1:26" ht="12.75" customHeight="1">
      <c r="A752" s="5"/>
      <c r="B752" s="5"/>
      <c r="C752" s="5"/>
      <c r="D752" s="5"/>
      <c r="E752" s="5"/>
      <c r="F752" s="5"/>
      <c r="G752" s="5"/>
      <c r="H752" s="306"/>
      <c r="I752" s="5"/>
      <c r="J752" s="5"/>
      <c r="K752" s="5"/>
      <c r="L752" s="5"/>
      <c r="M752" s="5"/>
      <c r="N752" s="5"/>
      <c r="O752" s="5"/>
      <c r="P752" s="5"/>
      <c r="Q752" s="57"/>
      <c r="R752" s="5"/>
      <c r="S752" s="5"/>
      <c r="T752" s="5"/>
      <c r="U752" s="5"/>
      <c r="V752" s="5"/>
      <c r="W752" s="5"/>
      <c r="X752" s="5"/>
      <c r="Y752" s="5"/>
      <c r="Z752" s="5"/>
    </row>
    <row r="753" spans="1:26" ht="12.75" customHeight="1">
      <c r="A753" s="5"/>
      <c r="B753" s="5"/>
      <c r="C753" s="5"/>
      <c r="D753" s="5"/>
      <c r="E753" s="5"/>
      <c r="F753" s="5"/>
      <c r="G753" s="5"/>
      <c r="H753" s="306"/>
      <c r="I753" s="5"/>
      <c r="J753" s="5"/>
      <c r="K753" s="5"/>
      <c r="L753" s="5"/>
      <c r="M753" s="5"/>
      <c r="N753" s="5"/>
      <c r="O753" s="5"/>
      <c r="P753" s="5"/>
      <c r="Q753" s="57"/>
      <c r="R753" s="5"/>
      <c r="S753" s="5"/>
      <c r="T753" s="5"/>
      <c r="U753" s="5"/>
      <c r="V753" s="5"/>
      <c r="W753" s="5"/>
      <c r="X753" s="5"/>
      <c r="Y753" s="5"/>
      <c r="Z753" s="5"/>
    </row>
    <row r="754" spans="1:26" ht="12.75" customHeight="1">
      <c r="A754" s="5"/>
      <c r="B754" s="5"/>
      <c r="C754" s="5"/>
      <c r="D754" s="5"/>
      <c r="E754" s="5"/>
      <c r="F754" s="5"/>
      <c r="G754" s="5"/>
      <c r="H754" s="306"/>
      <c r="I754" s="5"/>
      <c r="J754" s="5"/>
      <c r="K754" s="5"/>
      <c r="L754" s="5"/>
      <c r="M754" s="5"/>
      <c r="N754" s="5"/>
      <c r="O754" s="5"/>
      <c r="P754" s="5"/>
      <c r="Q754" s="57"/>
      <c r="R754" s="5"/>
      <c r="S754" s="5"/>
      <c r="T754" s="5"/>
      <c r="U754" s="5"/>
      <c r="V754" s="5"/>
      <c r="W754" s="5"/>
      <c r="X754" s="5"/>
      <c r="Y754" s="5"/>
      <c r="Z754" s="5"/>
    </row>
    <row r="755" spans="1:26" ht="12.75" customHeight="1">
      <c r="A755" s="5"/>
      <c r="B755" s="5"/>
      <c r="C755" s="5"/>
      <c r="D755" s="5"/>
      <c r="E755" s="5"/>
      <c r="F755" s="5"/>
      <c r="G755" s="5"/>
      <c r="H755" s="306"/>
      <c r="I755" s="5"/>
      <c r="J755" s="5"/>
      <c r="K755" s="5"/>
      <c r="L755" s="5"/>
      <c r="M755" s="5"/>
      <c r="N755" s="5"/>
      <c r="O755" s="5"/>
      <c r="P755" s="5"/>
      <c r="Q755" s="57"/>
      <c r="R755" s="5"/>
      <c r="S755" s="5"/>
      <c r="T755" s="5"/>
      <c r="U755" s="5"/>
      <c r="V755" s="5"/>
      <c r="W755" s="5"/>
      <c r="X755" s="5"/>
      <c r="Y755" s="5"/>
      <c r="Z755" s="5"/>
    </row>
    <row r="756" spans="1:26" ht="12.75" customHeight="1">
      <c r="A756" s="5"/>
      <c r="B756" s="5"/>
      <c r="C756" s="5"/>
      <c r="D756" s="5"/>
      <c r="E756" s="5"/>
      <c r="F756" s="5"/>
      <c r="G756" s="5"/>
      <c r="H756" s="306"/>
      <c r="I756" s="5"/>
      <c r="J756" s="5"/>
      <c r="K756" s="5"/>
      <c r="L756" s="5"/>
      <c r="M756" s="5"/>
      <c r="N756" s="5"/>
      <c r="O756" s="5"/>
      <c r="P756" s="5"/>
      <c r="Q756" s="57"/>
      <c r="R756" s="5"/>
      <c r="S756" s="5"/>
      <c r="T756" s="5"/>
      <c r="U756" s="5"/>
      <c r="V756" s="5"/>
      <c r="W756" s="5"/>
      <c r="X756" s="5"/>
      <c r="Y756" s="5"/>
      <c r="Z756" s="5"/>
    </row>
    <row r="757" spans="1:26" ht="12.75" customHeight="1">
      <c r="A757" s="5"/>
      <c r="B757" s="5"/>
      <c r="C757" s="5"/>
      <c r="D757" s="5"/>
      <c r="E757" s="5"/>
      <c r="F757" s="5"/>
      <c r="G757" s="5"/>
      <c r="H757" s="306"/>
      <c r="I757" s="5"/>
      <c r="J757" s="5"/>
      <c r="K757" s="5"/>
      <c r="L757" s="5"/>
      <c r="M757" s="5"/>
      <c r="N757" s="5"/>
      <c r="O757" s="5"/>
      <c r="P757" s="5"/>
      <c r="Q757" s="57"/>
      <c r="R757" s="5"/>
      <c r="S757" s="5"/>
      <c r="T757" s="5"/>
      <c r="U757" s="5"/>
      <c r="V757" s="5"/>
      <c r="W757" s="5"/>
      <c r="X757" s="5"/>
      <c r="Y757" s="5"/>
      <c r="Z757" s="5"/>
    </row>
    <row r="758" spans="1:26" ht="12.75" customHeight="1">
      <c r="A758" s="5"/>
      <c r="B758" s="5"/>
      <c r="C758" s="5"/>
      <c r="D758" s="5"/>
      <c r="E758" s="5"/>
      <c r="F758" s="5"/>
      <c r="G758" s="5"/>
      <c r="H758" s="306"/>
      <c r="I758" s="5"/>
      <c r="J758" s="5"/>
      <c r="K758" s="5"/>
      <c r="L758" s="5"/>
      <c r="M758" s="5"/>
      <c r="N758" s="5"/>
      <c r="O758" s="5"/>
      <c r="P758" s="5"/>
      <c r="Q758" s="57"/>
      <c r="R758" s="5"/>
      <c r="S758" s="5"/>
      <c r="T758" s="5"/>
      <c r="U758" s="5"/>
      <c r="V758" s="5"/>
      <c r="W758" s="5"/>
      <c r="X758" s="5"/>
      <c r="Y758" s="5"/>
      <c r="Z758" s="5"/>
    </row>
    <row r="759" spans="1:26" ht="12.75" customHeight="1">
      <c r="A759" s="5"/>
      <c r="B759" s="5"/>
      <c r="C759" s="5"/>
      <c r="D759" s="5"/>
      <c r="E759" s="5"/>
      <c r="F759" s="5"/>
      <c r="G759" s="5"/>
      <c r="H759" s="306"/>
      <c r="I759" s="5"/>
      <c r="J759" s="5"/>
      <c r="K759" s="5"/>
      <c r="L759" s="5"/>
      <c r="M759" s="5"/>
      <c r="N759" s="5"/>
      <c r="O759" s="5"/>
      <c r="P759" s="5"/>
      <c r="Q759" s="57"/>
      <c r="R759" s="5"/>
      <c r="S759" s="5"/>
      <c r="T759" s="5"/>
      <c r="U759" s="5"/>
      <c r="V759" s="5"/>
      <c r="W759" s="5"/>
      <c r="X759" s="5"/>
      <c r="Y759" s="5"/>
      <c r="Z759" s="5"/>
    </row>
    <row r="760" spans="1:26" ht="12.75" customHeight="1">
      <c r="A760" s="5"/>
      <c r="B760" s="5"/>
      <c r="C760" s="5"/>
      <c r="D760" s="5"/>
      <c r="E760" s="5"/>
      <c r="F760" s="5"/>
      <c r="G760" s="5"/>
      <c r="H760" s="306"/>
      <c r="I760" s="5"/>
      <c r="J760" s="5"/>
      <c r="K760" s="5"/>
      <c r="L760" s="5"/>
      <c r="M760" s="5"/>
      <c r="N760" s="5"/>
      <c r="O760" s="5"/>
      <c r="P760" s="5"/>
      <c r="Q760" s="57"/>
      <c r="R760" s="5"/>
      <c r="S760" s="5"/>
      <c r="T760" s="5"/>
      <c r="U760" s="5"/>
      <c r="V760" s="5"/>
      <c r="W760" s="5"/>
      <c r="X760" s="5"/>
      <c r="Y760" s="5"/>
      <c r="Z760" s="5"/>
    </row>
    <row r="761" spans="1:26" ht="12.75" customHeight="1">
      <c r="A761" s="5"/>
      <c r="B761" s="5"/>
      <c r="C761" s="5"/>
      <c r="D761" s="5"/>
      <c r="E761" s="5"/>
      <c r="F761" s="5"/>
      <c r="G761" s="5"/>
      <c r="H761" s="306"/>
      <c r="I761" s="5"/>
      <c r="J761" s="5"/>
      <c r="K761" s="5"/>
      <c r="L761" s="5"/>
      <c r="M761" s="5"/>
      <c r="N761" s="5"/>
      <c r="O761" s="5"/>
      <c r="P761" s="5"/>
      <c r="Q761" s="57"/>
      <c r="R761" s="5"/>
      <c r="S761" s="5"/>
      <c r="T761" s="5"/>
      <c r="U761" s="5"/>
      <c r="V761" s="5"/>
      <c r="W761" s="5"/>
      <c r="X761" s="5"/>
      <c r="Y761" s="5"/>
      <c r="Z761" s="5"/>
    </row>
    <row r="762" spans="1:26" ht="12.75" customHeight="1">
      <c r="A762" s="5"/>
      <c r="B762" s="5"/>
      <c r="C762" s="5"/>
      <c r="D762" s="5"/>
      <c r="E762" s="5"/>
      <c r="F762" s="5"/>
      <c r="G762" s="5"/>
      <c r="H762" s="306"/>
      <c r="I762" s="5"/>
      <c r="J762" s="5"/>
      <c r="K762" s="5"/>
      <c r="L762" s="5"/>
      <c r="M762" s="5"/>
      <c r="N762" s="5"/>
      <c r="O762" s="5"/>
      <c r="P762" s="5"/>
      <c r="Q762" s="57"/>
      <c r="R762" s="5"/>
      <c r="S762" s="5"/>
      <c r="T762" s="5"/>
      <c r="U762" s="5"/>
      <c r="V762" s="5"/>
      <c r="W762" s="5"/>
      <c r="X762" s="5"/>
      <c r="Y762" s="5"/>
      <c r="Z762" s="5"/>
    </row>
    <row r="763" spans="1:26" ht="12.75" customHeight="1">
      <c r="A763" s="5"/>
      <c r="B763" s="5"/>
      <c r="C763" s="5"/>
      <c r="D763" s="5"/>
      <c r="E763" s="5"/>
      <c r="F763" s="5"/>
      <c r="G763" s="5"/>
      <c r="H763" s="306"/>
      <c r="I763" s="5"/>
      <c r="J763" s="5"/>
      <c r="K763" s="5"/>
      <c r="L763" s="5"/>
      <c r="M763" s="5"/>
      <c r="N763" s="5"/>
      <c r="O763" s="5"/>
      <c r="P763" s="5"/>
      <c r="Q763" s="57"/>
      <c r="R763" s="5"/>
      <c r="S763" s="5"/>
      <c r="T763" s="5"/>
      <c r="U763" s="5"/>
      <c r="V763" s="5"/>
      <c r="W763" s="5"/>
      <c r="X763" s="5"/>
      <c r="Y763" s="5"/>
      <c r="Z763" s="5"/>
    </row>
    <row r="764" spans="1:26" ht="12.75" customHeight="1">
      <c r="A764" s="5"/>
      <c r="B764" s="5"/>
      <c r="C764" s="5"/>
      <c r="D764" s="5"/>
      <c r="E764" s="5"/>
      <c r="F764" s="5"/>
      <c r="G764" s="5"/>
      <c r="H764" s="306"/>
      <c r="I764" s="5"/>
      <c r="J764" s="5"/>
      <c r="K764" s="5"/>
      <c r="L764" s="5"/>
      <c r="M764" s="5"/>
      <c r="N764" s="5"/>
      <c r="O764" s="5"/>
      <c r="P764" s="5"/>
      <c r="Q764" s="57"/>
      <c r="R764" s="5"/>
      <c r="S764" s="5"/>
      <c r="T764" s="5"/>
      <c r="U764" s="5"/>
      <c r="V764" s="5"/>
      <c r="W764" s="5"/>
      <c r="X764" s="5"/>
      <c r="Y764" s="5"/>
      <c r="Z764" s="5"/>
    </row>
    <row r="765" spans="1:26" ht="12.75" customHeight="1">
      <c r="A765" s="5"/>
      <c r="B765" s="5"/>
      <c r="C765" s="5"/>
      <c r="D765" s="5"/>
      <c r="E765" s="5"/>
      <c r="F765" s="5"/>
      <c r="G765" s="5"/>
      <c r="H765" s="306"/>
      <c r="I765" s="5"/>
      <c r="J765" s="5"/>
      <c r="K765" s="5"/>
      <c r="L765" s="5"/>
      <c r="M765" s="5"/>
      <c r="N765" s="5"/>
      <c r="O765" s="5"/>
      <c r="P765" s="5"/>
      <c r="Q765" s="57"/>
      <c r="R765" s="5"/>
      <c r="S765" s="5"/>
      <c r="T765" s="5"/>
      <c r="U765" s="5"/>
      <c r="V765" s="5"/>
      <c r="W765" s="5"/>
      <c r="X765" s="5"/>
      <c r="Y765" s="5"/>
      <c r="Z765" s="5"/>
    </row>
    <row r="766" spans="1:26" ht="12.75" customHeight="1">
      <c r="A766" s="5"/>
      <c r="B766" s="5"/>
      <c r="C766" s="5"/>
      <c r="D766" s="5"/>
      <c r="E766" s="5"/>
      <c r="F766" s="5"/>
      <c r="G766" s="5"/>
      <c r="H766" s="306"/>
      <c r="I766" s="5"/>
      <c r="J766" s="5"/>
      <c r="K766" s="5"/>
      <c r="L766" s="5"/>
      <c r="M766" s="5"/>
      <c r="N766" s="5"/>
      <c r="O766" s="5"/>
      <c r="P766" s="5"/>
      <c r="Q766" s="57"/>
      <c r="R766" s="5"/>
      <c r="S766" s="5"/>
      <c r="T766" s="5"/>
      <c r="U766" s="5"/>
      <c r="V766" s="5"/>
      <c r="W766" s="5"/>
      <c r="X766" s="5"/>
      <c r="Y766" s="5"/>
      <c r="Z766" s="5"/>
    </row>
    <row r="767" spans="1:26" ht="12.75" customHeight="1">
      <c r="A767" s="5"/>
      <c r="B767" s="5"/>
      <c r="C767" s="5"/>
      <c r="D767" s="5"/>
      <c r="E767" s="5"/>
      <c r="F767" s="5"/>
      <c r="G767" s="5"/>
      <c r="H767" s="306"/>
      <c r="I767" s="5"/>
      <c r="J767" s="5"/>
      <c r="K767" s="5"/>
      <c r="L767" s="5"/>
      <c r="M767" s="5"/>
      <c r="N767" s="5"/>
      <c r="O767" s="5"/>
      <c r="P767" s="5"/>
      <c r="Q767" s="57"/>
      <c r="R767" s="5"/>
      <c r="S767" s="5"/>
      <c r="T767" s="5"/>
      <c r="U767" s="5"/>
      <c r="V767" s="5"/>
      <c r="W767" s="5"/>
      <c r="X767" s="5"/>
      <c r="Y767" s="5"/>
      <c r="Z767" s="5"/>
    </row>
    <row r="768" spans="1:26" ht="12.75" customHeight="1">
      <c r="A768" s="5"/>
      <c r="B768" s="5"/>
      <c r="C768" s="5"/>
      <c r="D768" s="5"/>
      <c r="E768" s="5"/>
      <c r="F768" s="5"/>
      <c r="G768" s="5"/>
      <c r="H768" s="306"/>
      <c r="I768" s="5"/>
      <c r="J768" s="5"/>
      <c r="K768" s="5"/>
      <c r="L768" s="5"/>
      <c r="M768" s="5"/>
      <c r="N768" s="5"/>
      <c r="O768" s="5"/>
      <c r="P768" s="5"/>
      <c r="Q768" s="57"/>
      <c r="R768" s="5"/>
      <c r="S768" s="5"/>
      <c r="T768" s="5"/>
      <c r="U768" s="5"/>
      <c r="V768" s="5"/>
      <c r="W768" s="5"/>
      <c r="X768" s="5"/>
      <c r="Y768" s="5"/>
      <c r="Z768" s="5"/>
    </row>
    <row r="769" spans="1:26" ht="12.75" customHeight="1">
      <c r="A769" s="5"/>
      <c r="B769" s="5"/>
      <c r="C769" s="5"/>
      <c r="D769" s="5"/>
      <c r="E769" s="5"/>
      <c r="F769" s="5"/>
      <c r="G769" s="5"/>
      <c r="H769" s="306"/>
      <c r="I769" s="5"/>
      <c r="J769" s="5"/>
      <c r="K769" s="5"/>
      <c r="L769" s="5"/>
      <c r="M769" s="5"/>
      <c r="N769" s="5"/>
      <c r="O769" s="5"/>
      <c r="P769" s="5"/>
      <c r="Q769" s="57"/>
      <c r="R769" s="5"/>
      <c r="S769" s="5"/>
      <c r="T769" s="5"/>
      <c r="U769" s="5"/>
      <c r="V769" s="5"/>
      <c r="W769" s="5"/>
      <c r="X769" s="5"/>
      <c r="Y769" s="5"/>
      <c r="Z769" s="5"/>
    </row>
    <row r="770" spans="1:26" ht="12.75" customHeight="1">
      <c r="A770" s="5"/>
      <c r="B770" s="5"/>
      <c r="C770" s="5"/>
      <c r="D770" s="5"/>
      <c r="E770" s="5"/>
      <c r="F770" s="5"/>
      <c r="G770" s="5"/>
      <c r="H770" s="306"/>
      <c r="I770" s="5"/>
      <c r="J770" s="5"/>
      <c r="K770" s="5"/>
      <c r="L770" s="5"/>
      <c r="M770" s="5"/>
      <c r="N770" s="5"/>
      <c r="O770" s="5"/>
      <c r="P770" s="5"/>
      <c r="Q770" s="57"/>
      <c r="R770" s="5"/>
      <c r="S770" s="5"/>
      <c r="T770" s="5"/>
      <c r="U770" s="5"/>
      <c r="V770" s="5"/>
      <c r="W770" s="5"/>
      <c r="X770" s="5"/>
      <c r="Y770" s="5"/>
      <c r="Z770" s="5"/>
    </row>
    <row r="771" spans="1:26" ht="12.75" customHeight="1">
      <c r="A771" s="5"/>
      <c r="B771" s="5"/>
      <c r="C771" s="5"/>
      <c r="D771" s="5"/>
      <c r="E771" s="5"/>
      <c r="F771" s="5"/>
      <c r="G771" s="5"/>
      <c r="H771" s="306"/>
      <c r="I771" s="5"/>
      <c r="J771" s="5"/>
      <c r="K771" s="5"/>
      <c r="L771" s="5"/>
      <c r="M771" s="5"/>
      <c r="N771" s="5"/>
      <c r="O771" s="5"/>
      <c r="P771" s="5"/>
      <c r="Q771" s="57"/>
      <c r="R771" s="5"/>
      <c r="S771" s="5"/>
      <c r="T771" s="5"/>
      <c r="U771" s="5"/>
      <c r="V771" s="5"/>
      <c r="W771" s="5"/>
      <c r="X771" s="5"/>
      <c r="Y771" s="5"/>
      <c r="Z771" s="5"/>
    </row>
    <row r="772" spans="1:26" ht="12.75" customHeight="1">
      <c r="A772" s="5"/>
      <c r="B772" s="5"/>
      <c r="C772" s="5"/>
      <c r="D772" s="5"/>
      <c r="E772" s="5"/>
      <c r="F772" s="5"/>
      <c r="G772" s="5"/>
      <c r="H772" s="306"/>
      <c r="I772" s="5"/>
      <c r="J772" s="5"/>
      <c r="K772" s="5"/>
      <c r="L772" s="5"/>
      <c r="M772" s="5"/>
      <c r="N772" s="5"/>
      <c r="O772" s="5"/>
      <c r="P772" s="5"/>
      <c r="Q772" s="57"/>
      <c r="R772" s="5"/>
      <c r="S772" s="5"/>
      <c r="T772" s="5"/>
      <c r="U772" s="5"/>
      <c r="V772" s="5"/>
      <c r="W772" s="5"/>
      <c r="X772" s="5"/>
      <c r="Y772" s="5"/>
      <c r="Z772" s="5"/>
    </row>
    <row r="773" spans="1:26" ht="12.75" customHeight="1">
      <c r="A773" s="5"/>
      <c r="B773" s="5"/>
      <c r="C773" s="5"/>
      <c r="D773" s="5"/>
      <c r="E773" s="5"/>
      <c r="F773" s="5"/>
      <c r="G773" s="5"/>
      <c r="H773" s="306"/>
      <c r="I773" s="5"/>
      <c r="J773" s="5"/>
      <c r="K773" s="5"/>
      <c r="L773" s="5"/>
      <c r="M773" s="5"/>
      <c r="N773" s="5"/>
      <c r="O773" s="5"/>
      <c r="P773" s="5"/>
      <c r="Q773" s="57"/>
      <c r="R773" s="5"/>
      <c r="S773" s="5"/>
      <c r="T773" s="5"/>
      <c r="U773" s="5"/>
      <c r="V773" s="5"/>
      <c r="W773" s="5"/>
      <c r="X773" s="5"/>
      <c r="Y773" s="5"/>
      <c r="Z773" s="5"/>
    </row>
    <row r="774" spans="1:26" ht="12.75" customHeight="1">
      <c r="A774" s="5"/>
      <c r="B774" s="5"/>
      <c r="C774" s="5"/>
      <c r="D774" s="5"/>
      <c r="E774" s="5"/>
      <c r="F774" s="5"/>
      <c r="G774" s="5"/>
      <c r="H774" s="306"/>
      <c r="I774" s="5"/>
      <c r="J774" s="5"/>
      <c r="K774" s="5"/>
      <c r="L774" s="5"/>
      <c r="M774" s="5"/>
      <c r="N774" s="5"/>
      <c r="O774" s="5"/>
      <c r="P774" s="5"/>
      <c r="Q774" s="57"/>
      <c r="R774" s="5"/>
      <c r="S774" s="5"/>
      <c r="T774" s="5"/>
      <c r="U774" s="5"/>
      <c r="V774" s="5"/>
      <c r="W774" s="5"/>
      <c r="X774" s="5"/>
      <c r="Y774" s="5"/>
      <c r="Z774" s="5"/>
    </row>
    <row r="775" spans="1:26" ht="12.75" customHeight="1">
      <c r="A775" s="5"/>
      <c r="B775" s="5"/>
      <c r="C775" s="5"/>
      <c r="D775" s="5"/>
      <c r="E775" s="5"/>
      <c r="F775" s="5"/>
      <c r="G775" s="5"/>
      <c r="H775" s="306"/>
      <c r="I775" s="5"/>
      <c r="J775" s="5"/>
      <c r="K775" s="5"/>
      <c r="L775" s="5"/>
      <c r="M775" s="5"/>
      <c r="N775" s="5"/>
      <c r="O775" s="5"/>
      <c r="P775" s="5"/>
      <c r="Q775" s="57"/>
      <c r="R775" s="5"/>
      <c r="S775" s="5"/>
      <c r="T775" s="5"/>
      <c r="U775" s="5"/>
      <c r="V775" s="5"/>
      <c r="W775" s="5"/>
      <c r="X775" s="5"/>
      <c r="Y775" s="5"/>
      <c r="Z775" s="5"/>
    </row>
    <row r="776" spans="1:26" ht="12.75" customHeight="1">
      <c r="A776" s="5"/>
      <c r="B776" s="5"/>
      <c r="C776" s="5"/>
      <c r="D776" s="5"/>
      <c r="E776" s="5"/>
      <c r="F776" s="5"/>
      <c r="G776" s="5"/>
      <c r="H776" s="306"/>
      <c r="I776" s="5"/>
      <c r="J776" s="5"/>
      <c r="K776" s="5"/>
      <c r="L776" s="5"/>
      <c r="M776" s="5"/>
      <c r="N776" s="5"/>
      <c r="O776" s="5"/>
      <c r="P776" s="5"/>
      <c r="Q776" s="57"/>
      <c r="R776" s="5"/>
      <c r="S776" s="5"/>
      <c r="T776" s="5"/>
      <c r="U776" s="5"/>
      <c r="V776" s="5"/>
      <c r="W776" s="5"/>
      <c r="X776" s="5"/>
      <c r="Y776" s="5"/>
      <c r="Z776" s="5"/>
    </row>
    <row r="777" spans="1:26" ht="12.75" customHeight="1">
      <c r="A777" s="5"/>
      <c r="B777" s="5"/>
      <c r="C777" s="5"/>
      <c r="D777" s="5"/>
      <c r="E777" s="5"/>
      <c r="F777" s="5"/>
      <c r="G777" s="5"/>
      <c r="H777" s="306"/>
      <c r="I777" s="5"/>
      <c r="J777" s="5"/>
      <c r="K777" s="5"/>
      <c r="L777" s="5"/>
      <c r="M777" s="5"/>
      <c r="N777" s="5"/>
      <c r="O777" s="5"/>
      <c r="P777" s="5"/>
      <c r="Q777" s="57"/>
      <c r="R777" s="5"/>
      <c r="S777" s="5"/>
      <c r="T777" s="5"/>
      <c r="U777" s="5"/>
      <c r="V777" s="5"/>
      <c r="W777" s="5"/>
      <c r="X777" s="5"/>
      <c r="Y777" s="5"/>
      <c r="Z777" s="5"/>
    </row>
    <row r="778" spans="1:26" ht="12.75" customHeight="1">
      <c r="A778" s="5"/>
      <c r="B778" s="5"/>
      <c r="C778" s="5"/>
      <c r="D778" s="5"/>
      <c r="E778" s="5"/>
      <c r="F778" s="5"/>
      <c r="G778" s="5"/>
      <c r="H778" s="306"/>
      <c r="I778" s="5"/>
      <c r="J778" s="5"/>
      <c r="K778" s="5"/>
      <c r="L778" s="5"/>
      <c r="M778" s="5"/>
      <c r="N778" s="5"/>
      <c r="O778" s="5"/>
      <c r="P778" s="5"/>
      <c r="Q778" s="57"/>
      <c r="R778" s="5"/>
      <c r="S778" s="5"/>
      <c r="T778" s="5"/>
      <c r="U778" s="5"/>
      <c r="V778" s="5"/>
      <c r="W778" s="5"/>
      <c r="X778" s="5"/>
      <c r="Y778" s="5"/>
      <c r="Z778" s="5"/>
    </row>
    <row r="779" spans="1:26" ht="12.75" customHeight="1">
      <c r="A779" s="5"/>
      <c r="B779" s="5"/>
      <c r="C779" s="5"/>
      <c r="D779" s="5"/>
      <c r="E779" s="5"/>
      <c r="F779" s="5"/>
      <c r="G779" s="5"/>
      <c r="H779" s="306"/>
      <c r="I779" s="5"/>
      <c r="J779" s="5"/>
      <c r="K779" s="5"/>
      <c r="L779" s="5"/>
      <c r="M779" s="5"/>
      <c r="N779" s="5"/>
      <c r="O779" s="5"/>
      <c r="P779" s="5"/>
      <c r="Q779" s="57"/>
      <c r="R779" s="5"/>
      <c r="S779" s="5"/>
      <c r="T779" s="5"/>
      <c r="U779" s="5"/>
      <c r="V779" s="5"/>
      <c r="W779" s="5"/>
      <c r="X779" s="5"/>
      <c r="Y779" s="5"/>
      <c r="Z779" s="5"/>
    </row>
    <row r="780" spans="1:26" ht="12.75" customHeight="1">
      <c r="A780" s="5"/>
      <c r="B780" s="5"/>
      <c r="C780" s="5"/>
      <c r="D780" s="5"/>
      <c r="E780" s="5"/>
      <c r="F780" s="5"/>
      <c r="G780" s="5"/>
      <c r="H780" s="306"/>
      <c r="I780" s="5"/>
      <c r="J780" s="5"/>
      <c r="K780" s="5"/>
      <c r="L780" s="5"/>
      <c r="M780" s="5"/>
      <c r="N780" s="5"/>
      <c r="O780" s="5"/>
      <c r="P780" s="5"/>
      <c r="Q780" s="57"/>
      <c r="R780" s="5"/>
      <c r="S780" s="5"/>
      <c r="T780" s="5"/>
      <c r="U780" s="5"/>
      <c r="V780" s="5"/>
      <c r="W780" s="5"/>
      <c r="X780" s="5"/>
      <c r="Y780" s="5"/>
      <c r="Z780" s="5"/>
    </row>
    <row r="781" spans="1:26" ht="12.75" customHeight="1">
      <c r="A781" s="5"/>
      <c r="B781" s="5"/>
      <c r="C781" s="5"/>
      <c r="D781" s="5"/>
      <c r="E781" s="5"/>
      <c r="F781" s="5"/>
      <c r="G781" s="5"/>
      <c r="H781" s="306"/>
      <c r="I781" s="5"/>
      <c r="J781" s="5"/>
      <c r="K781" s="5"/>
      <c r="L781" s="5"/>
      <c r="M781" s="5"/>
      <c r="N781" s="5"/>
      <c r="O781" s="5"/>
      <c r="P781" s="5"/>
      <c r="Q781" s="57"/>
      <c r="R781" s="5"/>
      <c r="S781" s="5"/>
      <c r="T781" s="5"/>
      <c r="U781" s="5"/>
      <c r="V781" s="5"/>
      <c r="W781" s="5"/>
      <c r="X781" s="5"/>
      <c r="Y781" s="5"/>
      <c r="Z781" s="5"/>
    </row>
    <row r="782" spans="1:26" ht="12.75" customHeight="1">
      <c r="A782" s="5"/>
      <c r="B782" s="5"/>
      <c r="C782" s="5"/>
      <c r="D782" s="5"/>
      <c r="E782" s="5"/>
      <c r="F782" s="5"/>
      <c r="G782" s="5"/>
      <c r="H782" s="306"/>
      <c r="I782" s="5"/>
      <c r="J782" s="5"/>
      <c r="K782" s="5"/>
      <c r="L782" s="5"/>
      <c r="M782" s="5"/>
      <c r="N782" s="5"/>
      <c r="O782" s="5"/>
      <c r="P782" s="5"/>
      <c r="Q782" s="57"/>
      <c r="R782" s="5"/>
      <c r="S782" s="5"/>
      <c r="T782" s="5"/>
      <c r="U782" s="5"/>
      <c r="V782" s="5"/>
      <c r="W782" s="5"/>
      <c r="X782" s="5"/>
      <c r="Y782" s="5"/>
      <c r="Z782" s="5"/>
    </row>
    <row r="783" spans="1:26" ht="12.75" customHeight="1">
      <c r="A783" s="5"/>
      <c r="B783" s="5"/>
      <c r="C783" s="5"/>
      <c r="D783" s="5"/>
      <c r="E783" s="5"/>
      <c r="F783" s="5"/>
      <c r="G783" s="5"/>
      <c r="H783" s="306"/>
      <c r="I783" s="5"/>
      <c r="J783" s="5"/>
      <c r="K783" s="5"/>
      <c r="L783" s="5"/>
      <c r="M783" s="5"/>
      <c r="N783" s="5"/>
      <c r="O783" s="5"/>
      <c r="P783" s="5"/>
      <c r="Q783" s="57"/>
      <c r="R783" s="5"/>
      <c r="S783" s="5"/>
      <c r="T783" s="5"/>
      <c r="U783" s="5"/>
      <c r="V783" s="5"/>
      <c r="W783" s="5"/>
      <c r="X783" s="5"/>
      <c r="Y783" s="5"/>
      <c r="Z783" s="5"/>
    </row>
    <row r="784" spans="1:26" ht="12.75" customHeight="1">
      <c r="A784" s="5"/>
      <c r="B784" s="5"/>
      <c r="C784" s="5"/>
      <c r="D784" s="5"/>
      <c r="E784" s="5"/>
      <c r="F784" s="5"/>
      <c r="G784" s="5"/>
      <c r="H784" s="306"/>
      <c r="I784" s="5"/>
      <c r="J784" s="5"/>
      <c r="K784" s="5"/>
      <c r="L784" s="5"/>
      <c r="M784" s="5"/>
      <c r="N784" s="5"/>
      <c r="O784" s="5"/>
      <c r="P784" s="5"/>
      <c r="Q784" s="57"/>
      <c r="R784" s="5"/>
      <c r="S784" s="5"/>
      <c r="T784" s="5"/>
      <c r="U784" s="5"/>
      <c r="V784" s="5"/>
      <c r="W784" s="5"/>
      <c r="X784" s="5"/>
      <c r="Y784" s="5"/>
      <c r="Z784" s="5"/>
    </row>
    <row r="785" spans="1:26" ht="12.75" customHeight="1">
      <c r="A785" s="5"/>
      <c r="B785" s="5"/>
      <c r="C785" s="5"/>
      <c r="D785" s="5"/>
      <c r="E785" s="5"/>
      <c r="F785" s="5"/>
      <c r="G785" s="5"/>
      <c r="H785" s="306"/>
      <c r="I785" s="5"/>
      <c r="J785" s="5"/>
      <c r="K785" s="5"/>
      <c r="L785" s="5"/>
      <c r="M785" s="5"/>
      <c r="N785" s="5"/>
      <c r="O785" s="5"/>
      <c r="P785" s="5"/>
      <c r="Q785" s="57"/>
      <c r="R785" s="5"/>
      <c r="S785" s="5"/>
      <c r="T785" s="5"/>
      <c r="U785" s="5"/>
      <c r="V785" s="5"/>
      <c r="W785" s="5"/>
      <c r="X785" s="5"/>
      <c r="Y785" s="5"/>
      <c r="Z785" s="5"/>
    </row>
    <row r="786" spans="1:26" ht="12.75" customHeight="1">
      <c r="A786" s="5"/>
      <c r="B786" s="5"/>
      <c r="C786" s="5"/>
      <c r="D786" s="5"/>
      <c r="E786" s="5"/>
      <c r="F786" s="5"/>
      <c r="G786" s="5"/>
      <c r="H786" s="306"/>
      <c r="I786" s="5"/>
      <c r="J786" s="5"/>
      <c r="K786" s="5"/>
      <c r="L786" s="5"/>
      <c r="M786" s="5"/>
      <c r="N786" s="5"/>
      <c r="O786" s="5"/>
      <c r="P786" s="5"/>
      <c r="Q786" s="57"/>
      <c r="R786" s="5"/>
      <c r="S786" s="5"/>
      <c r="T786" s="5"/>
      <c r="U786" s="5"/>
      <c r="V786" s="5"/>
      <c r="W786" s="5"/>
      <c r="X786" s="5"/>
      <c r="Y786" s="5"/>
      <c r="Z786" s="5"/>
    </row>
    <row r="787" spans="1:26" ht="12.75" customHeight="1">
      <c r="A787" s="5"/>
      <c r="B787" s="5"/>
      <c r="C787" s="5"/>
      <c r="D787" s="5"/>
      <c r="E787" s="5"/>
      <c r="F787" s="5"/>
      <c r="G787" s="5"/>
      <c r="H787" s="306"/>
      <c r="I787" s="5"/>
      <c r="J787" s="5"/>
      <c r="K787" s="5"/>
      <c r="L787" s="5"/>
      <c r="M787" s="5"/>
      <c r="N787" s="5"/>
      <c r="O787" s="5"/>
      <c r="P787" s="5"/>
      <c r="Q787" s="57"/>
      <c r="R787" s="5"/>
      <c r="S787" s="5"/>
      <c r="T787" s="5"/>
      <c r="U787" s="5"/>
      <c r="V787" s="5"/>
      <c r="W787" s="5"/>
      <c r="X787" s="5"/>
      <c r="Y787" s="5"/>
      <c r="Z787" s="5"/>
    </row>
    <row r="788" spans="1:26" ht="12.75" customHeight="1">
      <c r="A788" s="5"/>
      <c r="B788" s="5"/>
      <c r="C788" s="5"/>
      <c r="D788" s="5"/>
      <c r="E788" s="5"/>
      <c r="F788" s="5"/>
      <c r="G788" s="5"/>
      <c r="H788" s="306"/>
      <c r="I788" s="5"/>
      <c r="J788" s="5"/>
      <c r="K788" s="5"/>
      <c r="L788" s="5"/>
      <c r="M788" s="5"/>
      <c r="N788" s="5"/>
      <c r="O788" s="5"/>
      <c r="P788" s="5"/>
      <c r="Q788" s="57"/>
      <c r="R788" s="5"/>
      <c r="S788" s="5"/>
      <c r="T788" s="5"/>
      <c r="U788" s="5"/>
      <c r="V788" s="5"/>
      <c r="W788" s="5"/>
      <c r="X788" s="5"/>
      <c r="Y788" s="5"/>
      <c r="Z788" s="5"/>
    </row>
    <row r="789" spans="1:26" ht="12.75" customHeight="1">
      <c r="A789" s="5"/>
      <c r="B789" s="5"/>
      <c r="C789" s="5"/>
      <c r="D789" s="5"/>
      <c r="E789" s="5"/>
      <c r="F789" s="5"/>
      <c r="G789" s="5"/>
      <c r="H789" s="306"/>
      <c r="I789" s="5"/>
      <c r="J789" s="5"/>
      <c r="K789" s="5"/>
      <c r="L789" s="5"/>
      <c r="M789" s="5"/>
      <c r="N789" s="5"/>
      <c r="O789" s="5"/>
      <c r="P789" s="5"/>
      <c r="Q789" s="57"/>
      <c r="R789" s="5"/>
      <c r="S789" s="5"/>
      <c r="T789" s="5"/>
      <c r="U789" s="5"/>
      <c r="V789" s="5"/>
      <c r="W789" s="5"/>
      <c r="X789" s="5"/>
      <c r="Y789" s="5"/>
      <c r="Z789" s="5"/>
    </row>
    <row r="790" spans="1:26" ht="12.75" customHeight="1">
      <c r="A790" s="5"/>
      <c r="B790" s="5"/>
      <c r="C790" s="5"/>
      <c r="D790" s="5"/>
      <c r="E790" s="5"/>
      <c r="F790" s="5"/>
      <c r="G790" s="5"/>
      <c r="H790" s="306"/>
      <c r="I790" s="5"/>
      <c r="J790" s="5"/>
      <c r="K790" s="5"/>
      <c r="L790" s="5"/>
      <c r="M790" s="5"/>
      <c r="N790" s="5"/>
      <c r="O790" s="5"/>
      <c r="P790" s="5"/>
      <c r="Q790" s="57"/>
      <c r="R790" s="5"/>
      <c r="S790" s="5"/>
      <c r="T790" s="5"/>
      <c r="U790" s="5"/>
      <c r="V790" s="5"/>
      <c r="W790" s="5"/>
      <c r="X790" s="5"/>
      <c r="Y790" s="5"/>
      <c r="Z790" s="5"/>
    </row>
    <row r="791" spans="1:26" ht="12.75" customHeight="1">
      <c r="A791" s="5"/>
      <c r="B791" s="5"/>
      <c r="C791" s="5"/>
      <c r="D791" s="5"/>
      <c r="E791" s="5"/>
      <c r="F791" s="5"/>
      <c r="G791" s="5"/>
      <c r="H791" s="306"/>
      <c r="I791" s="5"/>
      <c r="J791" s="5"/>
      <c r="K791" s="5"/>
      <c r="L791" s="5"/>
      <c r="M791" s="5"/>
      <c r="N791" s="5"/>
      <c r="O791" s="5"/>
      <c r="P791" s="5"/>
      <c r="Q791" s="57"/>
      <c r="R791" s="5"/>
      <c r="S791" s="5"/>
      <c r="T791" s="5"/>
      <c r="U791" s="5"/>
      <c r="V791" s="5"/>
      <c r="W791" s="5"/>
      <c r="X791" s="5"/>
      <c r="Y791" s="5"/>
      <c r="Z791" s="5"/>
    </row>
    <row r="792" spans="1:26" ht="12.75" customHeight="1">
      <c r="A792" s="5"/>
      <c r="B792" s="5"/>
      <c r="C792" s="5"/>
      <c r="D792" s="5"/>
      <c r="E792" s="5"/>
      <c r="F792" s="5"/>
      <c r="G792" s="5"/>
      <c r="H792" s="306"/>
      <c r="I792" s="5"/>
      <c r="J792" s="5"/>
      <c r="K792" s="5"/>
      <c r="L792" s="5"/>
      <c r="M792" s="5"/>
      <c r="N792" s="5"/>
      <c r="O792" s="5"/>
      <c r="P792" s="5"/>
      <c r="Q792" s="57"/>
      <c r="R792" s="5"/>
      <c r="S792" s="5"/>
      <c r="T792" s="5"/>
      <c r="U792" s="5"/>
      <c r="V792" s="5"/>
      <c r="W792" s="5"/>
      <c r="X792" s="5"/>
      <c r="Y792" s="5"/>
      <c r="Z792" s="5"/>
    </row>
    <row r="793" spans="1:26" ht="12.75" customHeight="1">
      <c r="A793" s="5"/>
      <c r="B793" s="5"/>
      <c r="C793" s="5"/>
      <c r="D793" s="5"/>
      <c r="E793" s="5"/>
      <c r="F793" s="5"/>
      <c r="G793" s="5"/>
      <c r="H793" s="306"/>
      <c r="I793" s="5"/>
      <c r="J793" s="5"/>
      <c r="K793" s="5"/>
      <c r="L793" s="5"/>
      <c r="M793" s="5"/>
      <c r="N793" s="5"/>
      <c r="O793" s="5"/>
      <c r="P793" s="5"/>
      <c r="Q793" s="57"/>
      <c r="R793" s="5"/>
      <c r="S793" s="5"/>
      <c r="T793" s="5"/>
      <c r="U793" s="5"/>
      <c r="V793" s="5"/>
      <c r="W793" s="5"/>
      <c r="X793" s="5"/>
      <c r="Y793" s="5"/>
      <c r="Z793" s="5"/>
    </row>
    <row r="794" spans="1:26" ht="12.75" customHeight="1">
      <c r="A794" s="5"/>
      <c r="B794" s="5"/>
      <c r="C794" s="5"/>
      <c r="D794" s="5"/>
      <c r="E794" s="5"/>
      <c r="F794" s="5"/>
      <c r="G794" s="5"/>
      <c r="H794" s="306"/>
      <c r="I794" s="5"/>
      <c r="J794" s="5"/>
      <c r="K794" s="5"/>
      <c r="L794" s="5"/>
      <c r="M794" s="5"/>
      <c r="N794" s="5"/>
      <c r="O794" s="5"/>
      <c r="P794" s="5"/>
      <c r="Q794" s="57"/>
      <c r="R794" s="5"/>
      <c r="S794" s="5"/>
      <c r="T794" s="5"/>
      <c r="U794" s="5"/>
      <c r="V794" s="5"/>
      <c r="W794" s="5"/>
      <c r="X794" s="5"/>
      <c r="Y794" s="5"/>
      <c r="Z794" s="5"/>
    </row>
    <row r="795" spans="1:26" ht="12.75" customHeight="1">
      <c r="A795" s="5"/>
      <c r="B795" s="5"/>
      <c r="C795" s="5"/>
      <c r="D795" s="5"/>
      <c r="E795" s="5"/>
      <c r="F795" s="5"/>
      <c r="G795" s="5"/>
      <c r="H795" s="306"/>
      <c r="I795" s="5"/>
      <c r="J795" s="5"/>
      <c r="K795" s="5"/>
      <c r="L795" s="5"/>
      <c r="M795" s="5"/>
      <c r="N795" s="5"/>
      <c r="O795" s="5"/>
      <c r="P795" s="5"/>
      <c r="Q795" s="57"/>
      <c r="R795" s="5"/>
      <c r="S795" s="5"/>
      <c r="T795" s="5"/>
      <c r="U795" s="5"/>
      <c r="V795" s="5"/>
      <c r="W795" s="5"/>
      <c r="X795" s="5"/>
      <c r="Y795" s="5"/>
      <c r="Z795" s="5"/>
    </row>
    <row r="796" spans="1:26" ht="12.75" customHeight="1">
      <c r="A796" s="5"/>
      <c r="B796" s="5"/>
      <c r="C796" s="5"/>
      <c r="D796" s="5"/>
      <c r="E796" s="5"/>
      <c r="F796" s="5"/>
      <c r="G796" s="5"/>
      <c r="H796" s="306"/>
      <c r="I796" s="5"/>
      <c r="J796" s="5"/>
      <c r="K796" s="5"/>
      <c r="L796" s="5"/>
      <c r="M796" s="5"/>
      <c r="N796" s="5"/>
      <c r="O796" s="5"/>
      <c r="P796" s="5"/>
      <c r="Q796" s="57"/>
      <c r="R796" s="5"/>
      <c r="S796" s="5"/>
      <c r="T796" s="5"/>
      <c r="U796" s="5"/>
      <c r="V796" s="5"/>
      <c r="W796" s="5"/>
      <c r="X796" s="5"/>
      <c r="Y796" s="5"/>
      <c r="Z796" s="5"/>
    </row>
    <row r="797" spans="1:26" ht="12.75" customHeight="1">
      <c r="A797" s="5"/>
      <c r="B797" s="5"/>
      <c r="C797" s="5"/>
      <c r="D797" s="5"/>
      <c r="E797" s="5"/>
      <c r="F797" s="5"/>
      <c r="G797" s="5"/>
      <c r="H797" s="306"/>
      <c r="I797" s="5"/>
      <c r="J797" s="5"/>
      <c r="K797" s="5"/>
      <c r="L797" s="5"/>
      <c r="M797" s="5"/>
      <c r="N797" s="5"/>
      <c r="O797" s="5"/>
      <c r="P797" s="5"/>
      <c r="Q797" s="57"/>
      <c r="R797" s="5"/>
      <c r="S797" s="5"/>
      <c r="T797" s="5"/>
      <c r="U797" s="5"/>
      <c r="V797" s="5"/>
      <c r="W797" s="5"/>
      <c r="X797" s="5"/>
      <c r="Y797" s="5"/>
      <c r="Z797" s="5"/>
    </row>
    <row r="798" spans="1:26" ht="12.75" customHeight="1">
      <c r="A798" s="5"/>
      <c r="B798" s="5"/>
      <c r="C798" s="5"/>
      <c r="D798" s="5"/>
      <c r="E798" s="5"/>
      <c r="F798" s="5"/>
      <c r="G798" s="5"/>
      <c r="H798" s="306"/>
      <c r="I798" s="5"/>
      <c r="J798" s="5"/>
      <c r="K798" s="5"/>
      <c r="L798" s="5"/>
      <c r="M798" s="5"/>
      <c r="N798" s="5"/>
      <c r="O798" s="5"/>
      <c r="P798" s="5"/>
      <c r="Q798" s="57"/>
      <c r="R798" s="5"/>
      <c r="S798" s="5"/>
      <c r="T798" s="5"/>
      <c r="U798" s="5"/>
      <c r="V798" s="5"/>
      <c r="W798" s="5"/>
      <c r="X798" s="5"/>
      <c r="Y798" s="5"/>
      <c r="Z798" s="5"/>
    </row>
    <row r="799" spans="1:26" ht="12.75" customHeight="1">
      <c r="A799" s="5"/>
      <c r="B799" s="5"/>
      <c r="C799" s="5"/>
      <c r="D799" s="5"/>
      <c r="E799" s="5"/>
      <c r="F799" s="5"/>
      <c r="G799" s="5"/>
      <c r="H799" s="306"/>
      <c r="I799" s="5"/>
      <c r="J799" s="5"/>
      <c r="K799" s="5"/>
      <c r="L799" s="5"/>
      <c r="M799" s="5"/>
      <c r="N799" s="5"/>
      <c r="O799" s="5"/>
      <c r="P799" s="5"/>
      <c r="Q799" s="57"/>
      <c r="R799" s="5"/>
      <c r="S799" s="5"/>
      <c r="T799" s="5"/>
      <c r="U799" s="5"/>
      <c r="V799" s="5"/>
      <c r="W799" s="5"/>
      <c r="X799" s="5"/>
      <c r="Y799" s="5"/>
      <c r="Z799" s="5"/>
    </row>
    <row r="800" spans="1:26" ht="12.75" customHeight="1">
      <c r="A800" s="5"/>
      <c r="B800" s="5"/>
      <c r="C800" s="5"/>
      <c r="D800" s="5"/>
      <c r="E800" s="5"/>
      <c r="F800" s="5"/>
      <c r="G800" s="5"/>
      <c r="H800" s="306"/>
      <c r="I800" s="5"/>
      <c r="J800" s="5"/>
      <c r="K800" s="5"/>
      <c r="L800" s="5"/>
      <c r="M800" s="5"/>
      <c r="N800" s="5"/>
      <c r="O800" s="5"/>
      <c r="P800" s="5"/>
      <c r="Q800" s="57"/>
      <c r="R800" s="5"/>
      <c r="S800" s="5"/>
      <c r="T800" s="5"/>
      <c r="U800" s="5"/>
      <c r="V800" s="5"/>
      <c r="W800" s="5"/>
      <c r="X800" s="5"/>
      <c r="Y800" s="5"/>
      <c r="Z800" s="5"/>
    </row>
    <row r="801" spans="1:26" ht="12.75" customHeight="1">
      <c r="A801" s="5"/>
      <c r="B801" s="5"/>
      <c r="C801" s="5"/>
      <c r="D801" s="5"/>
      <c r="E801" s="5"/>
      <c r="F801" s="5"/>
      <c r="G801" s="5"/>
      <c r="H801" s="306"/>
      <c r="I801" s="5"/>
      <c r="J801" s="5"/>
      <c r="K801" s="5"/>
      <c r="L801" s="5"/>
      <c r="M801" s="5"/>
      <c r="N801" s="5"/>
      <c r="O801" s="5"/>
      <c r="P801" s="5"/>
      <c r="Q801" s="57"/>
      <c r="R801" s="5"/>
      <c r="S801" s="5"/>
      <c r="T801" s="5"/>
      <c r="U801" s="5"/>
      <c r="V801" s="5"/>
      <c r="W801" s="5"/>
      <c r="X801" s="5"/>
      <c r="Y801" s="5"/>
      <c r="Z801" s="5"/>
    </row>
    <row r="802" spans="1:26" ht="12.75" customHeight="1">
      <c r="A802" s="5"/>
      <c r="B802" s="5"/>
      <c r="C802" s="5"/>
      <c r="D802" s="5"/>
      <c r="E802" s="5"/>
      <c r="F802" s="5"/>
      <c r="G802" s="5"/>
      <c r="H802" s="306"/>
      <c r="I802" s="5"/>
      <c r="J802" s="5"/>
      <c r="K802" s="5"/>
      <c r="L802" s="5"/>
      <c r="M802" s="5"/>
      <c r="N802" s="5"/>
      <c r="O802" s="5"/>
      <c r="P802" s="5"/>
      <c r="Q802" s="57"/>
      <c r="R802" s="5"/>
      <c r="S802" s="5"/>
      <c r="T802" s="5"/>
      <c r="U802" s="5"/>
      <c r="V802" s="5"/>
      <c r="W802" s="5"/>
      <c r="X802" s="5"/>
      <c r="Y802" s="5"/>
      <c r="Z802" s="5"/>
    </row>
    <row r="803" spans="1:26" ht="12.75" customHeight="1">
      <c r="A803" s="5"/>
      <c r="B803" s="5"/>
      <c r="C803" s="5"/>
      <c r="D803" s="5"/>
      <c r="E803" s="5"/>
      <c r="F803" s="5"/>
      <c r="G803" s="5"/>
      <c r="H803" s="306"/>
      <c r="I803" s="5"/>
      <c r="J803" s="5"/>
      <c r="K803" s="5"/>
      <c r="L803" s="5"/>
      <c r="M803" s="5"/>
      <c r="N803" s="5"/>
      <c r="O803" s="5"/>
      <c r="P803" s="5"/>
      <c r="Q803" s="57"/>
      <c r="R803" s="5"/>
      <c r="S803" s="5"/>
      <c r="T803" s="5"/>
      <c r="U803" s="5"/>
      <c r="V803" s="5"/>
      <c r="W803" s="5"/>
      <c r="X803" s="5"/>
      <c r="Y803" s="5"/>
      <c r="Z803" s="5"/>
    </row>
    <row r="804" spans="1:26" ht="12.75" customHeight="1">
      <c r="A804" s="5"/>
      <c r="B804" s="5"/>
      <c r="C804" s="5"/>
      <c r="D804" s="5"/>
      <c r="E804" s="5"/>
      <c r="F804" s="5"/>
      <c r="G804" s="5"/>
      <c r="H804" s="306"/>
      <c r="I804" s="5"/>
      <c r="J804" s="5"/>
      <c r="K804" s="5"/>
      <c r="L804" s="5"/>
      <c r="M804" s="5"/>
      <c r="N804" s="5"/>
      <c r="O804" s="5"/>
      <c r="P804" s="5"/>
      <c r="Q804" s="57"/>
      <c r="R804" s="5"/>
      <c r="S804" s="5"/>
      <c r="T804" s="5"/>
      <c r="U804" s="5"/>
      <c r="V804" s="5"/>
      <c r="W804" s="5"/>
      <c r="X804" s="5"/>
      <c r="Y804" s="5"/>
      <c r="Z804" s="5"/>
    </row>
    <row r="805" spans="1:26" ht="12.75" customHeight="1">
      <c r="A805" s="5"/>
      <c r="B805" s="5"/>
      <c r="C805" s="5"/>
      <c r="D805" s="5"/>
      <c r="E805" s="5"/>
      <c r="F805" s="5"/>
      <c r="G805" s="5"/>
      <c r="H805" s="306"/>
      <c r="I805" s="5"/>
      <c r="J805" s="5"/>
      <c r="K805" s="5"/>
      <c r="L805" s="5"/>
      <c r="M805" s="5"/>
      <c r="N805" s="5"/>
      <c r="O805" s="5"/>
      <c r="P805" s="5"/>
      <c r="Q805" s="57"/>
      <c r="R805" s="5"/>
      <c r="S805" s="5"/>
      <c r="T805" s="5"/>
      <c r="U805" s="5"/>
      <c r="V805" s="5"/>
      <c r="W805" s="5"/>
      <c r="X805" s="5"/>
      <c r="Y805" s="5"/>
      <c r="Z805" s="5"/>
    </row>
    <row r="806" spans="1:26" ht="12.75" customHeight="1">
      <c r="A806" s="5"/>
      <c r="B806" s="5"/>
      <c r="C806" s="5"/>
      <c r="D806" s="5"/>
      <c r="E806" s="5"/>
      <c r="F806" s="5"/>
      <c r="G806" s="5"/>
      <c r="H806" s="306"/>
      <c r="I806" s="5"/>
      <c r="J806" s="5"/>
      <c r="K806" s="5"/>
      <c r="L806" s="5"/>
      <c r="M806" s="5"/>
      <c r="N806" s="5"/>
      <c r="O806" s="5"/>
      <c r="P806" s="5"/>
      <c r="Q806" s="57"/>
      <c r="R806" s="5"/>
      <c r="S806" s="5"/>
      <c r="T806" s="5"/>
      <c r="U806" s="5"/>
      <c r="V806" s="5"/>
      <c r="W806" s="5"/>
      <c r="X806" s="5"/>
      <c r="Y806" s="5"/>
      <c r="Z806" s="5"/>
    </row>
    <row r="807" spans="1:26" ht="12.75" customHeight="1">
      <c r="A807" s="5"/>
      <c r="B807" s="5"/>
      <c r="C807" s="5"/>
      <c r="D807" s="5"/>
      <c r="E807" s="5"/>
      <c r="F807" s="5"/>
      <c r="G807" s="5"/>
      <c r="H807" s="306"/>
      <c r="I807" s="5"/>
      <c r="J807" s="5"/>
      <c r="K807" s="5"/>
      <c r="L807" s="5"/>
      <c r="M807" s="5"/>
      <c r="N807" s="5"/>
      <c r="O807" s="5"/>
      <c r="P807" s="5"/>
      <c r="Q807" s="57"/>
      <c r="R807" s="5"/>
      <c r="S807" s="5"/>
      <c r="T807" s="5"/>
      <c r="U807" s="5"/>
      <c r="V807" s="5"/>
      <c r="W807" s="5"/>
      <c r="X807" s="5"/>
      <c r="Y807" s="5"/>
      <c r="Z807" s="5"/>
    </row>
    <row r="808" spans="1:26" ht="12.75" customHeight="1">
      <c r="A808" s="5"/>
      <c r="B808" s="5"/>
      <c r="C808" s="5"/>
      <c r="D808" s="5"/>
      <c r="E808" s="5"/>
      <c r="F808" s="5"/>
      <c r="G808" s="5"/>
      <c r="H808" s="306"/>
      <c r="I808" s="5"/>
      <c r="J808" s="5"/>
      <c r="K808" s="5"/>
      <c r="L808" s="5"/>
      <c r="M808" s="5"/>
      <c r="N808" s="5"/>
      <c r="O808" s="5"/>
      <c r="P808" s="5"/>
      <c r="Q808" s="57"/>
      <c r="R808" s="5"/>
      <c r="S808" s="5"/>
      <c r="T808" s="5"/>
      <c r="U808" s="5"/>
      <c r="V808" s="5"/>
      <c r="W808" s="5"/>
      <c r="X808" s="5"/>
      <c r="Y808" s="5"/>
      <c r="Z808" s="5"/>
    </row>
    <row r="809" spans="1:26" ht="12.75" customHeight="1">
      <c r="A809" s="5"/>
      <c r="B809" s="5"/>
      <c r="C809" s="5"/>
      <c r="D809" s="5"/>
      <c r="E809" s="5"/>
      <c r="F809" s="5"/>
      <c r="G809" s="5"/>
      <c r="H809" s="306"/>
      <c r="I809" s="5"/>
      <c r="J809" s="5"/>
      <c r="K809" s="5"/>
      <c r="L809" s="5"/>
      <c r="M809" s="5"/>
      <c r="N809" s="5"/>
      <c r="O809" s="5"/>
      <c r="P809" s="5"/>
      <c r="Q809" s="57"/>
      <c r="R809" s="5"/>
      <c r="S809" s="5"/>
      <c r="T809" s="5"/>
      <c r="U809" s="5"/>
      <c r="V809" s="5"/>
      <c r="W809" s="5"/>
      <c r="X809" s="5"/>
      <c r="Y809" s="5"/>
      <c r="Z809" s="5"/>
    </row>
    <row r="810" spans="1:26" ht="12.75" customHeight="1">
      <c r="A810" s="5"/>
      <c r="B810" s="5"/>
      <c r="C810" s="5"/>
      <c r="D810" s="5"/>
      <c r="E810" s="5"/>
      <c r="F810" s="5"/>
      <c r="G810" s="5"/>
      <c r="H810" s="306"/>
      <c r="I810" s="5"/>
      <c r="J810" s="5"/>
      <c r="K810" s="5"/>
      <c r="L810" s="5"/>
      <c r="M810" s="5"/>
      <c r="N810" s="5"/>
      <c r="O810" s="5"/>
      <c r="P810" s="5"/>
      <c r="Q810" s="57"/>
      <c r="R810" s="5"/>
      <c r="S810" s="5"/>
      <c r="T810" s="5"/>
      <c r="U810" s="5"/>
      <c r="V810" s="5"/>
      <c r="W810" s="5"/>
      <c r="X810" s="5"/>
      <c r="Y810" s="5"/>
      <c r="Z810" s="5"/>
    </row>
    <row r="811" spans="1:26" ht="12.75" customHeight="1">
      <c r="A811" s="5"/>
      <c r="B811" s="5"/>
      <c r="C811" s="5"/>
      <c r="D811" s="5"/>
      <c r="E811" s="5"/>
      <c r="F811" s="5"/>
      <c r="G811" s="5"/>
      <c r="H811" s="306"/>
      <c r="I811" s="5"/>
      <c r="J811" s="5"/>
      <c r="K811" s="5"/>
      <c r="L811" s="5"/>
      <c r="M811" s="5"/>
      <c r="N811" s="5"/>
      <c r="O811" s="5"/>
      <c r="P811" s="5"/>
      <c r="Q811" s="57"/>
      <c r="R811" s="5"/>
      <c r="S811" s="5"/>
      <c r="T811" s="5"/>
      <c r="U811" s="5"/>
      <c r="V811" s="5"/>
      <c r="W811" s="5"/>
      <c r="X811" s="5"/>
      <c r="Y811" s="5"/>
      <c r="Z811" s="5"/>
    </row>
    <row r="812" spans="1:26" ht="12.75" customHeight="1">
      <c r="A812" s="5"/>
      <c r="B812" s="5"/>
      <c r="C812" s="5"/>
      <c r="D812" s="5"/>
      <c r="E812" s="5"/>
      <c r="F812" s="5"/>
      <c r="G812" s="5"/>
      <c r="H812" s="306"/>
      <c r="I812" s="5"/>
      <c r="J812" s="5"/>
      <c r="K812" s="5"/>
      <c r="L812" s="5"/>
      <c r="M812" s="5"/>
      <c r="N812" s="5"/>
      <c r="O812" s="5"/>
      <c r="P812" s="5"/>
      <c r="Q812" s="57"/>
      <c r="R812" s="5"/>
      <c r="S812" s="5"/>
      <c r="T812" s="5"/>
      <c r="U812" s="5"/>
      <c r="V812" s="5"/>
      <c r="W812" s="5"/>
      <c r="X812" s="5"/>
      <c r="Y812" s="5"/>
      <c r="Z812" s="5"/>
    </row>
    <row r="813" spans="1:26" ht="12.75" customHeight="1">
      <c r="A813" s="5"/>
      <c r="B813" s="5"/>
      <c r="C813" s="5"/>
      <c r="D813" s="5"/>
      <c r="E813" s="5"/>
      <c r="F813" s="5"/>
      <c r="G813" s="5"/>
      <c r="H813" s="306"/>
      <c r="I813" s="5"/>
      <c r="J813" s="5"/>
      <c r="K813" s="5"/>
      <c r="L813" s="5"/>
      <c r="M813" s="5"/>
      <c r="N813" s="5"/>
      <c r="O813" s="5"/>
      <c r="P813" s="5"/>
      <c r="Q813" s="57"/>
      <c r="R813" s="5"/>
      <c r="S813" s="5"/>
      <c r="T813" s="5"/>
      <c r="U813" s="5"/>
      <c r="V813" s="5"/>
      <c r="W813" s="5"/>
      <c r="X813" s="5"/>
      <c r="Y813" s="5"/>
      <c r="Z813" s="5"/>
    </row>
    <row r="814" spans="1:26" ht="12.75" customHeight="1">
      <c r="A814" s="5"/>
      <c r="B814" s="5"/>
      <c r="C814" s="5"/>
      <c r="D814" s="5"/>
      <c r="E814" s="5"/>
      <c r="F814" s="5"/>
      <c r="G814" s="5"/>
      <c r="H814" s="306"/>
      <c r="I814" s="5"/>
      <c r="J814" s="5"/>
      <c r="K814" s="5"/>
      <c r="L814" s="5"/>
      <c r="M814" s="5"/>
      <c r="N814" s="5"/>
      <c r="O814" s="5"/>
      <c r="P814" s="5"/>
      <c r="Q814" s="57"/>
      <c r="R814" s="5"/>
      <c r="S814" s="5"/>
      <c r="T814" s="5"/>
      <c r="U814" s="5"/>
      <c r="V814" s="5"/>
      <c r="W814" s="5"/>
      <c r="X814" s="5"/>
      <c r="Y814" s="5"/>
      <c r="Z814" s="5"/>
    </row>
    <row r="815" spans="1:26" ht="12.75" customHeight="1">
      <c r="A815" s="5"/>
      <c r="B815" s="5"/>
      <c r="C815" s="5"/>
      <c r="D815" s="5"/>
      <c r="E815" s="5"/>
      <c r="F815" s="5"/>
      <c r="G815" s="5"/>
      <c r="H815" s="306"/>
      <c r="I815" s="5"/>
      <c r="J815" s="5"/>
      <c r="K815" s="5"/>
      <c r="L815" s="5"/>
      <c r="M815" s="5"/>
      <c r="N815" s="5"/>
      <c r="O815" s="5"/>
      <c r="P815" s="5"/>
      <c r="Q815" s="57"/>
      <c r="R815" s="5"/>
      <c r="S815" s="5"/>
      <c r="T815" s="5"/>
      <c r="U815" s="5"/>
      <c r="V815" s="5"/>
      <c r="W815" s="5"/>
      <c r="X815" s="5"/>
      <c r="Y815" s="5"/>
      <c r="Z815" s="5"/>
    </row>
    <row r="816" spans="1:26" ht="12.75" customHeight="1">
      <c r="A816" s="5"/>
      <c r="B816" s="5"/>
      <c r="C816" s="5"/>
      <c r="D816" s="5"/>
      <c r="E816" s="5"/>
      <c r="F816" s="5"/>
      <c r="G816" s="5"/>
      <c r="H816" s="306"/>
      <c r="I816" s="5"/>
      <c r="J816" s="5"/>
      <c r="K816" s="5"/>
      <c r="L816" s="5"/>
      <c r="M816" s="5"/>
      <c r="N816" s="5"/>
      <c r="O816" s="5"/>
      <c r="P816" s="5"/>
      <c r="Q816" s="57"/>
      <c r="R816" s="5"/>
      <c r="S816" s="5"/>
      <c r="T816" s="5"/>
      <c r="U816" s="5"/>
      <c r="V816" s="5"/>
      <c r="W816" s="5"/>
      <c r="X816" s="5"/>
      <c r="Y816" s="5"/>
      <c r="Z816" s="5"/>
    </row>
    <row r="817" spans="1:26" ht="12.75" customHeight="1">
      <c r="A817" s="5"/>
      <c r="B817" s="5"/>
      <c r="C817" s="5"/>
      <c r="D817" s="5"/>
      <c r="E817" s="5"/>
      <c r="F817" s="5"/>
      <c r="G817" s="5"/>
      <c r="H817" s="306"/>
      <c r="I817" s="5"/>
      <c r="J817" s="5"/>
      <c r="K817" s="5"/>
      <c r="L817" s="5"/>
      <c r="M817" s="5"/>
      <c r="N817" s="5"/>
      <c r="O817" s="5"/>
      <c r="P817" s="5"/>
      <c r="Q817" s="57"/>
      <c r="R817" s="5"/>
      <c r="S817" s="5"/>
      <c r="T817" s="5"/>
      <c r="U817" s="5"/>
      <c r="V817" s="5"/>
      <c r="W817" s="5"/>
      <c r="X817" s="5"/>
      <c r="Y817" s="5"/>
      <c r="Z817" s="5"/>
    </row>
    <row r="818" spans="1:26" ht="12.75" customHeight="1">
      <c r="A818" s="5"/>
      <c r="B818" s="5"/>
      <c r="C818" s="5"/>
      <c r="D818" s="5"/>
      <c r="E818" s="5"/>
      <c r="F818" s="5"/>
      <c r="G818" s="5"/>
      <c r="H818" s="306"/>
      <c r="I818" s="5"/>
      <c r="J818" s="5"/>
      <c r="K818" s="5"/>
      <c r="L818" s="5"/>
      <c r="M818" s="5"/>
      <c r="N818" s="5"/>
      <c r="O818" s="5"/>
      <c r="P818" s="5"/>
      <c r="Q818" s="57"/>
      <c r="R818" s="5"/>
      <c r="S818" s="5"/>
      <c r="T818" s="5"/>
      <c r="U818" s="5"/>
      <c r="V818" s="5"/>
      <c r="W818" s="5"/>
      <c r="X818" s="5"/>
      <c r="Y818" s="5"/>
      <c r="Z818" s="5"/>
    </row>
    <row r="819" spans="1:26" ht="12.75" customHeight="1">
      <c r="A819" s="5"/>
      <c r="B819" s="5"/>
      <c r="C819" s="5"/>
      <c r="D819" s="5"/>
      <c r="E819" s="5"/>
      <c r="F819" s="5"/>
      <c r="G819" s="5"/>
      <c r="H819" s="306"/>
      <c r="I819" s="5"/>
      <c r="J819" s="5"/>
      <c r="K819" s="5"/>
      <c r="L819" s="5"/>
      <c r="M819" s="5"/>
      <c r="N819" s="5"/>
      <c r="O819" s="5"/>
      <c r="P819" s="5"/>
      <c r="Q819" s="57"/>
      <c r="R819" s="5"/>
      <c r="S819" s="5"/>
      <c r="T819" s="5"/>
      <c r="U819" s="5"/>
      <c r="V819" s="5"/>
      <c r="W819" s="5"/>
      <c r="X819" s="5"/>
      <c r="Y819" s="5"/>
      <c r="Z819" s="5"/>
    </row>
    <row r="820" spans="1:26" ht="12.75" customHeight="1">
      <c r="A820" s="5"/>
      <c r="B820" s="5"/>
      <c r="C820" s="5"/>
      <c r="D820" s="5"/>
      <c r="E820" s="5"/>
      <c r="F820" s="5"/>
      <c r="G820" s="5"/>
      <c r="H820" s="306"/>
      <c r="I820" s="5"/>
      <c r="J820" s="5"/>
      <c r="K820" s="5"/>
      <c r="L820" s="5"/>
      <c r="M820" s="5"/>
      <c r="N820" s="5"/>
      <c r="O820" s="5"/>
      <c r="P820" s="5"/>
      <c r="Q820" s="57"/>
      <c r="R820" s="5"/>
      <c r="S820" s="5"/>
      <c r="T820" s="5"/>
      <c r="U820" s="5"/>
      <c r="V820" s="5"/>
      <c r="W820" s="5"/>
      <c r="X820" s="5"/>
      <c r="Y820" s="5"/>
      <c r="Z820" s="5"/>
    </row>
    <row r="821" spans="1:26" ht="12.75" customHeight="1">
      <c r="A821" s="5"/>
      <c r="B821" s="5"/>
      <c r="C821" s="5"/>
      <c r="D821" s="5"/>
      <c r="E821" s="5"/>
      <c r="F821" s="5"/>
      <c r="G821" s="5"/>
      <c r="H821" s="306"/>
      <c r="I821" s="5"/>
      <c r="J821" s="5"/>
      <c r="K821" s="5"/>
      <c r="L821" s="5"/>
      <c r="M821" s="5"/>
      <c r="N821" s="5"/>
      <c r="O821" s="5"/>
      <c r="P821" s="5"/>
      <c r="Q821" s="57"/>
      <c r="R821" s="5"/>
      <c r="S821" s="5"/>
      <c r="T821" s="5"/>
      <c r="U821" s="5"/>
      <c r="V821" s="5"/>
      <c r="W821" s="5"/>
      <c r="X821" s="5"/>
      <c r="Y821" s="5"/>
      <c r="Z821" s="5"/>
    </row>
    <row r="822" spans="1:26" ht="12.75" customHeight="1">
      <c r="A822" s="5"/>
      <c r="B822" s="5"/>
      <c r="C822" s="5"/>
      <c r="D822" s="5"/>
      <c r="E822" s="5"/>
      <c r="F822" s="5"/>
      <c r="G822" s="5"/>
      <c r="H822" s="306"/>
      <c r="I822" s="5"/>
      <c r="J822" s="5"/>
      <c r="K822" s="5"/>
      <c r="L822" s="5"/>
      <c r="M822" s="5"/>
      <c r="N822" s="5"/>
      <c r="O822" s="5"/>
      <c r="P822" s="5"/>
      <c r="Q822" s="57"/>
      <c r="R822" s="5"/>
      <c r="S822" s="5"/>
      <c r="T822" s="5"/>
      <c r="U822" s="5"/>
      <c r="V822" s="5"/>
      <c r="W822" s="5"/>
      <c r="X822" s="5"/>
      <c r="Y822" s="5"/>
      <c r="Z822" s="5"/>
    </row>
    <row r="823" spans="1:26" ht="12.75" customHeight="1">
      <c r="A823" s="5"/>
      <c r="B823" s="5"/>
      <c r="C823" s="5"/>
      <c r="D823" s="5"/>
      <c r="E823" s="5"/>
      <c r="F823" s="5"/>
      <c r="G823" s="5"/>
      <c r="H823" s="306"/>
      <c r="I823" s="5"/>
      <c r="J823" s="5"/>
      <c r="K823" s="5"/>
      <c r="L823" s="5"/>
      <c r="M823" s="5"/>
      <c r="N823" s="5"/>
      <c r="O823" s="5"/>
      <c r="P823" s="5"/>
      <c r="Q823" s="57"/>
      <c r="R823" s="5"/>
      <c r="S823" s="5"/>
      <c r="T823" s="5"/>
      <c r="U823" s="5"/>
      <c r="V823" s="5"/>
      <c r="W823" s="5"/>
      <c r="X823" s="5"/>
      <c r="Y823" s="5"/>
      <c r="Z823" s="5"/>
    </row>
    <row r="824" spans="1:26" ht="12.75" customHeight="1">
      <c r="A824" s="5"/>
      <c r="B824" s="5"/>
      <c r="C824" s="5"/>
      <c r="D824" s="5"/>
      <c r="E824" s="5"/>
      <c r="F824" s="5"/>
      <c r="G824" s="5"/>
      <c r="H824" s="306"/>
      <c r="I824" s="5"/>
      <c r="J824" s="5"/>
      <c r="K824" s="5"/>
      <c r="L824" s="5"/>
      <c r="M824" s="5"/>
      <c r="N824" s="5"/>
      <c r="O824" s="5"/>
      <c r="P824" s="5"/>
      <c r="Q824" s="57"/>
      <c r="R824" s="5"/>
      <c r="S824" s="5"/>
      <c r="T824" s="5"/>
      <c r="U824" s="5"/>
      <c r="V824" s="5"/>
      <c r="W824" s="5"/>
      <c r="X824" s="5"/>
      <c r="Y824" s="5"/>
      <c r="Z824" s="5"/>
    </row>
    <row r="825" spans="1:26" ht="12.75" customHeight="1">
      <c r="A825" s="5"/>
      <c r="B825" s="5"/>
      <c r="C825" s="5"/>
      <c r="D825" s="5"/>
      <c r="E825" s="5"/>
      <c r="F825" s="5"/>
      <c r="G825" s="5"/>
      <c r="H825" s="306"/>
      <c r="I825" s="5"/>
      <c r="J825" s="5"/>
      <c r="K825" s="5"/>
      <c r="L825" s="5"/>
      <c r="M825" s="5"/>
      <c r="N825" s="5"/>
      <c r="O825" s="5"/>
      <c r="P825" s="5"/>
      <c r="Q825" s="57"/>
      <c r="R825" s="5"/>
      <c r="S825" s="5"/>
      <c r="T825" s="5"/>
      <c r="U825" s="5"/>
      <c r="V825" s="5"/>
      <c r="W825" s="5"/>
      <c r="X825" s="5"/>
      <c r="Y825" s="5"/>
      <c r="Z825" s="5"/>
    </row>
    <row r="826" spans="1:26" ht="12.75" customHeight="1">
      <c r="A826" s="5"/>
      <c r="B826" s="5"/>
      <c r="C826" s="5"/>
      <c r="D826" s="5"/>
      <c r="E826" s="5"/>
      <c r="F826" s="5"/>
      <c r="G826" s="5"/>
      <c r="H826" s="306"/>
      <c r="I826" s="5"/>
      <c r="J826" s="5"/>
      <c r="K826" s="5"/>
      <c r="L826" s="5"/>
      <c r="M826" s="5"/>
      <c r="N826" s="5"/>
      <c r="O826" s="5"/>
      <c r="P826" s="5"/>
      <c r="Q826" s="57"/>
      <c r="R826" s="5"/>
      <c r="S826" s="5"/>
      <c r="T826" s="5"/>
      <c r="U826" s="5"/>
      <c r="V826" s="5"/>
      <c r="W826" s="5"/>
      <c r="X826" s="5"/>
      <c r="Y826" s="5"/>
      <c r="Z826" s="5"/>
    </row>
    <row r="827" spans="1:26" ht="12.75" customHeight="1">
      <c r="A827" s="5"/>
      <c r="B827" s="5"/>
      <c r="C827" s="5"/>
      <c r="D827" s="5"/>
      <c r="E827" s="5"/>
      <c r="F827" s="5"/>
      <c r="G827" s="5"/>
      <c r="H827" s="306"/>
      <c r="I827" s="5"/>
      <c r="J827" s="5"/>
      <c r="K827" s="5"/>
      <c r="L827" s="5"/>
      <c r="M827" s="5"/>
      <c r="N827" s="5"/>
      <c r="O827" s="5"/>
      <c r="P827" s="5"/>
      <c r="Q827" s="57"/>
      <c r="R827" s="5"/>
      <c r="S827" s="5"/>
      <c r="T827" s="5"/>
      <c r="U827" s="5"/>
      <c r="V827" s="5"/>
      <c r="W827" s="5"/>
      <c r="X827" s="5"/>
      <c r="Y827" s="5"/>
      <c r="Z827" s="5"/>
    </row>
    <row r="828" spans="1:26" ht="12.75" customHeight="1">
      <c r="A828" s="5"/>
      <c r="B828" s="5"/>
      <c r="C828" s="5"/>
      <c r="D828" s="5"/>
      <c r="E828" s="5"/>
      <c r="F828" s="5"/>
      <c r="G828" s="5"/>
      <c r="H828" s="306"/>
      <c r="I828" s="5"/>
      <c r="J828" s="5"/>
      <c r="K828" s="5"/>
      <c r="L828" s="5"/>
      <c r="M828" s="5"/>
      <c r="N828" s="5"/>
      <c r="O828" s="5"/>
      <c r="P828" s="5"/>
      <c r="Q828" s="57"/>
      <c r="R828" s="5"/>
      <c r="S828" s="5"/>
      <c r="T828" s="5"/>
      <c r="U828" s="5"/>
      <c r="V828" s="5"/>
      <c r="W828" s="5"/>
      <c r="X828" s="5"/>
      <c r="Y828" s="5"/>
      <c r="Z828" s="5"/>
    </row>
    <row r="829" spans="1:26" ht="12.75" customHeight="1">
      <c r="A829" s="5"/>
      <c r="B829" s="5"/>
      <c r="C829" s="5"/>
      <c r="D829" s="5"/>
      <c r="E829" s="5"/>
      <c r="F829" s="5"/>
      <c r="G829" s="5"/>
      <c r="H829" s="306"/>
      <c r="I829" s="5"/>
      <c r="J829" s="5"/>
      <c r="K829" s="5"/>
      <c r="L829" s="5"/>
      <c r="M829" s="5"/>
      <c r="N829" s="5"/>
      <c r="O829" s="5"/>
      <c r="P829" s="5"/>
      <c r="Q829" s="57"/>
      <c r="R829" s="5"/>
      <c r="S829" s="5"/>
      <c r="T829" s="5"/>
      <c r="U829" s="5"/>
      <c r="V829" s="5"/>
      <c r="W829" s="5"/>
      <c r="X829" s="5"/>
      <c r="Y829" s="5"/>
      <c r="Z829" s="5"/>
    </row>
    <row r="830" spans="1:26" ht="12.75" customHeight="1">
      <c r="A830" s="5"/>
      <c r="B830" s="5"/>
      <c r="C830" s="5"/>
      <c r="D830" s="5"/>
      <c r="E830" s="5"/>
      <c r="F830" s="5"/>
      <c r="G830" s="5"/>
      <c r="H830" s="306"/>
      <c r="I830" s="5"/>
      <c r="J830" s="5"/>
      <c r="K830" s="5"/>
      <c r="L830" s="5"/>
      <c r="M830" s="5"/>
      <c r="N830" s="5"/>
      <c r="O830" s="5"/>
      <c r="P830" s="5"/>
      <c r="Q830" s="57"/>
      <c r="R830" s="5"/>
      <c r="S830" s="5"/>
      <c r="T830" s="5"/>
      <c r="U830" s="5"/>
      <c r="V830" s="5"/>
      <c r="W830" s="5"/>
      <c r="X830" s="5"/>
      <c r="Y830" s="5"/>
      <c r="Z830" s="5"/>
    </row>
    <row r="831" spans="1:26" ht="12.75" customHeight="1">
      <c r="A831" s="5"/>
      <c r="B831" s="5"/>
      <c r="C831" s="5"/>
      <c r="D831" s="5"/>
      <c r="E831" s="5"/>
      <c r="F831" s="5"/>
      <c r="G831" s="5"/>
      <c r="H831" s="306"/>
      <c r="I831" s="5"/>
      <c r="J831" s="5"/>
      <c r="K831" s="5"/>
      <c r="L831" s="5"/>
      <c r="M831" s="5"/>
      <c r="N831" s="5"/>
      <c r="O831" s="5"/>
      <c r="P831" s="5"/>
      <c r="Q831" s="57"/>
      <c r="R831" s="5"/>
      <c r="S831" s="5"/>
      <c r="T831" s="5"/>
      <c r="U831" s="5"/>
      <c r="V831" s="5"/>
      <c r="W831" s="5"/>
      <c r="X831" s="5"/>
      <c r="Y831" s="5"/>
      <c r="Z831" s="5"/>
    </row>
    <row r="832" spans="1:26" ht="12.75" customHeight="1">
      <c r="A832" s="5"/>
      <c r="B832" s="5"/>
      <c r="C832" s="5"/>
      <c r="D832" s="5"/>
      <c r="E832" s="5"/>
      <c r="F832" s="5"/>
      <c r="G832" s="5"/>
      <c r="H832" s="306"/>
      <c r="I832" s="5"/>
      <c r="J832" s="5"/>
      <c r="K832" s="5"/>
      <c r="L832" s="5"/>
      <c r="M832" s="5"/>
      <c r="N832" s="5"/>
      <c r="O832" s="5"/>
      <c r="P832" s="5"/>
      <c r="Q832" s="57"/>
      <c r="R832" s="5"/>
      <c r="S832" s="5"/>
      <c r="T832" s="5"/>
      <c r="U832" s="5"/>
      <c r="V832" s="5"/>
      <c r="W832" s="5"/>
      <c r="X832" s="5"/>
      <c r="Y832" s="5"/>
      <c r="Z832" s="5"/>
    </row>
    <row r="833" spans="1:26" ht="12.75" customHeight="1">
      <c r="A833" s="5"/>
      <c r="B833" s="5"/>
      <c r="C833" s="5"/>
      <c r="D833" s="5"/>
      <c r="E833" s="5"/>
      <c r="F833" s="5"/>
      <c r="G833" s="5"/>
      <c r="H833" s="306"/>
      <c r="I833" s="5"/>
      <c r="J833" s="5"/>
      <c r="K833" s="5"/>
      <c r="L833" s="5"/>
      <c r="M833" s="5"/>
      <c r="N833" s="5"/>
      <c r="O833" s="5"/>
      <c r="P833" s="5"/>
      <c r="Q833" s="57"/>
      <c r="R833" s="5"/>
      <c r="S833" s="5"/>
      <c r="T833" s="5"/>
      <c r="U833" s="5"/>
      <c r="V833" s="5"/>
      <c r="W833" s="5"/>
      <c r="X833" s="5"/>
      <c r="Y833" s="5"/>
      <c r="Z833" s="5"/>
    </row>
    <row r="834" spans="1:26" ht="12.75" customHeight="1">
      <c r="A834" s="5"/>
      <c r="B834" s="5"/>
      <c r="C834" s="5"/>
      <c r="D834" s="5"/>
      <c r="E834" s="5"/>
      <c r="F834" s="5"/>
      <c r="G834" s="5"/>
      <c r="H834" s="306"/>
      <c r="I834" s="5"/>
      <c r="J834" s="5"/>
      <c r="K834" s="5"/>
      <c r="L834" s="5"/>
      <c r="M834" s="5"/>
      <c r="N834" s="5"/>
      <c r="O834" s="5"/>
      <c r="P834" s="5"/>
      <c r="Q834" s="57"/>
      <c r="R834" s="5"/>
      <c r="S834" s="5"/>
      <c r="T834" s="5"/>
      <c r="U834" s="5"/>
      <c r="V834" s="5"/>
      <c r="W834" s="5"/>
      <c r="X834" s="5"/>
      <c r="Y834" s="5"/>
      <c r="Z834" s="5"/>
    </row>
    <row r="835" spans="1:26" ht="12.75" customHeight="1">
      <c r="A835" s="5"/>
      <c r="B835" s="5"/>
      <c r="C835" s="5"/>
      <c r="D835" s="5"/>
      <c r="E835" s="5"/>
      <c r="F835" s="5"/>
      <c r="G835" s="5"/>
      <c r="H835" s="306"/>
      <c r="I835" s="5"/>
      <c r="J835" s="5"/>
      <c r="K835" s="5"/>
      <c r="L835" s="5"/>
      <c r="M835" s="5"/>
      <c r="N835" s="5"/>
      <c r="O835" s="5"/>
      <c r="P835" s="5"/>
      <c r="Q835" s="57"/>
      <c r="R835" s="5"/>
      <c r="S835" s="5"/>
      <c r="T835" s="5"/>
      <c r="U835" s="5"/>
      <c r="V835" s="5"/>
      <c r="W835" s="5"/>
      <c r="X835" s="5"/>
      <c r="Y835" s="5"/>
      <c r="Z835" s="5"/>
    </row>
    <row r="836" spans="1:26" ht="12.75" customHeight="1">
      <c r="A836" s="5"/>
      <c r="B836" s="5"/>
      <c r="C836" s="5"/>
      <c r="D836" s="5"/>
      <c r="E836" s="5"/>
      <c r="F836" s="5"/>
      <c r="G836" s="5"/>
      <c r="H836" s="306"/>
      <c r="I836" s="5"/>
      <c r="J836" s="5"/>
      <c r="K836" s="5"/>
      <c r="L836" s="5"/>
      <c r="M836" s="5"/>
      <c r="N836" s="5"/>
      <c r="O836" s="5"/>
      <c r="P836" s="5"/>
      <c r="Q836" s="57"/>
      <c r="R836" s="5"/>
      <c r="S836" s="5"/>
      <c r="T836" s="5"/>
      <c r="U836" s="5"/>
      <c r="V836" s="5"/>
      <c r="W836" s="5"/>
      <c r="X836" s="5"/>
      <c r="Y836" s="5"/>
      <c r="Z836" s="5"/>
    </row>
    <row r="837" spans="1:26" ht="12.75" customHeight="1">
      <c r="A837" s="5"/>
      <c r="B837" s="5"/>
      <c r="C837" s="5"/>
      <c r="D837" s="5"/>
      <c r="E837" s="5"/>
      <c r="F837" s="5"/>
      <c r="G837" s="5"/>
      <c r="H837" s="306"/>
      <c r="I837" s="5"/>
      <c r="J837" s="5"/>
      <c r="K837" s="5"/>
      <c r="L837" s="5"/>
      <c r="M837" s="5"/>
      <c r="N837" s="5"/>
      <c r="O837" s="5"/>
      <c r="P837" s="5"/>
      <c r="Q837" s="57"/>
      <c r="R837" s="5"/>
      <c r="S837" s="5"/>
      <c r="T837" s="5"/>
      <c r="U837" s="5"/>
      <c r="V837" s="5"/>
      <c r="W837" s="5"/>
      <c r="X837" s="5"/>
      <c r="Y837" s="5"/>
      <c r="Z837" s="5"/>
    </row>
    <row r="838" spans="1:26" ht="12.75" customHeight="1">
      <c r="A838" s="5"/>
      <c r="B838" s="5"/>
      <c r="C838" s="5"/>
      <c r="D838" s="5"/>
      <c r="E838" s="5"/>
      <c r="F838" s="5"/>
      <c r="G838" s="5"/>
      <c r="H838" s="306"/>
      <c r="I838" s="5"/>
      <c r="J838" s="5"/>
      <c r="K838" s="5"/>
      <c r="L838" s="5"/>
      <c r="M838" s="5"/>
      <c r="N838" s="5"/>
      <c r="O838" s="5"/>
      <c r="P838" s="5"/>
      <c r="Q838" s="57"/>
      <c r="R838" s="5"/>
      <c r="S838" s="5"/>
      <c r="T838" s="5"/>
      <c r="U838" s="5"/>
      <c r="V838" s="5"/>
      <c r="W838" s="5"/>
      <c r="X838" s="5"/>
      <c r="Y838" s="5"/>
      <c r="Z838" s="5"/>
    </row>
    <row r="839" spans="1:26" ht="12.75" customHeight="1">
      <c r="A839" s="5"/>
      <c r="B839" s="5"/>
      <c r="C839" s="5"/>
      <c r="D839" s="5"/>
      <c r="E839" s="5"/>
      <c r="F839" s="5"/>
      <c r="G839" s="5"/>
      <c r="H839" s="306"/>
      <c r="I839" s="5"/>
      <c r="J839" s="5"/>
      <c r="K839" s="5"/>
      <c r="L839" s="5"/>
      <c r="M839" s="5"/>
      <c r="N839" s="5"/>
      <c r="O839" s="5"/>
      <c r="P839" s="5"/>
      <c r="Q839" s="57"/>
      <c r="R839" s="5"/>
      <c r="S839" s="5"/>
      <c r="T839" s="5"/>
      <c r="U839" s="5"/>
      <c r="V839" s="5"/>
      <c r="W839" s="5"/>
      <c r="X839" s="5"/>
      <c r="Y839" s="5"/>
      <c r="Z839" s="5"/>
    </row>
    <row r="840" spans="1:26" ht="12.75" customHeight="1">
      <c r="A840" s="5"/>
      <c r="B840" s="5"/>
      <c r="C840" s="5"/>
      <c r="D840" s="5"/>
      <c r="E840" s="5"/>
      <c r="F840" s="5"/>
      <c r="G840" s="5"/>
      <c r="H840" s="306"/>
      <c r="I840" s="5"/>
      <c r="J840" s="5"/>
      <c r="K840" s="5"/>
      <c r="L840" s="5"/>
      <c r="M840" s="5"/>
      <c r="N840" s="5"/>
      <c r="O840" s="5"/>
      <c r="P840" s="5"/>
      <c r="Q840" s="57"/>
      <c r="R840" s="5"/>
      <c r="S840" s="5"/>
      <c r="T840" s="5"/>
      <c r="U840" s="5"/>
      <c r="V840" s="5"/>
      <c r="W840" s="5"/>
      <c r="X840" s="5"/>
      <c r="Y840" s="5"/>
      <c r="Z840" s="5"/>
    </row>
    <row r="841" spans="1:26" ht="12.75" customHeight="1">
      <c r="A841" s="5"/>
      <c r="B841" s="5"/>
      <c r="C841" s="5"/>
      <c r="D841" s="5"/>
      <c r="E841" s="5"/>
      <c r="F841" s="5"/>
      <c r="G841" s="5"/>
      <c r="H841" s="306"/>
      <c r="I841" s="5"/>
      <c r="J841" s="5"/>
      <c r="K841" s="5"/>
      <c r="L841" s="5"/>
      <c r="M841" s="5"/>
      <c r="N841" s="5"/>
      <c r="O841" s="5"/>
      <c r="P841" s="5"/>
      <c r="Q841" s="57"/>
      <c r="R841" s="5"/>
      <c r="S841" s="5"/>
      <c r="T841" s="5"/>
      <c r="U841" s="5"/>
      <c r="V841" s="5"/>
      <c r="W841" s="5"/>
      <c r="X841" s="5"/>
      <c r="Y841" s="5"/>
      <c r="Z841" s="5"/>
    </row>
    <row r="842" spans="1:26" ht="12.75" customHeight="1">
      <c r="A842" s="5"/>
      <c r="B842" s="5"/>
      <c r="C842" s="5"/>
      <c r="D842" s="5"/>
      <c r="E842" s="5"/>
      <c r="F842" s="5"/>
      <c r="G842" s="5"/>
      <c r="H842" s="306"/>
      <c r="I842" s="5"/>
      <c r="J842" s="5"/>
      <c r="K842" s="5"/>
      <c r="L842" s="5"/>
      <c r="M842" s="5"/>
      <c r="N842" s="5"/>
      <c r="O842" s="5"/>
      <c r="P842" s="5"/>
      <c r="Q842" s="57"/>
      <c r="R842" s="5"/>
      <c r="S842" s="5"/>
      <c r="T842" s="5"/>
      <c r="U842" s="5"/>
      <c r="V842" s="5"/>
      <c r="W842" s="5"/>
      <c r="X842" s="5"/>
      <c r="Y842" s="5"/>
      <c r="Z842" s="5"/>
    </row>
    <row r="843" spans="1:26" ht="12.75" customHeight="1">
      <c r="A843" s="5"/>
      <c r="B843" s="5"/>
      <c r="C843" s="5"/>
      <c r="D843" s="5"/>
      <c r="E843" s="5"/>
      <c r="F843" s="5"/>
      <c r="G843" s="5"/>
      <c r="H843" s="306"/>
      <c r="I843" s="5"/>
      <c r="J843" s="5"/>
      <c r="K843" s="5"/>
      <c r="L843" s="5"/>
      <c r="M843" s="5"/>
      <c r="N843" s="5"/>
      <c r="O843" s="5"/>
      <c r="P843" s="5"/>
      <c r="Q843" s="57"/>
      <c r="R843" s="5"/>
      <c r="S843" s="5"/>
      <c r="T843" s="5"/>
      <c r="U843" s="5"/>
      <c r="V843" s="5"/>
      <c r="W843" s="5"/>
      <c r="X843" s="5"/>
      <c r="Y843" s="5"/>
      <c r="Z843" s="5"/>
    </row>
    <row r="844" spans="1:26" ht="12.75" customHeight="1">
      <c r="A844" s="5"/>
      <c r="B844" s="5"/>
      <c r="C844" s="5"/>
      <c r="D844" s="5"/>
      <c r="E844" s="5"/>
      <c r="F844" s="5"/>
      <c r="G844" s="5"/>
      <c r="H844" s="306"/>
      <c r="I844" s="5"/>
      <c r="J844" s="5"/>
      <c r="K844" s="5"/>
      <c r="L844" s="5"/>
      <c r="M844" s="5"/>
      <c r="N844" s="5"/>
      <c r="O844" s="5"/>
      <c r="P844" s="5"/>
      <c r="Q844" s="57"/>
      <c r="R844" s="5"/>
      <c r="S844" s="5"/>
      <c r="T844" s="5"/>
      <c r="U844" s="5"/>
      <c r="V844" s="5"/>
      <c r="W844" s="5"/>
      <c r="X844" s="5"/>
      <c r="Y844" s="5"/>
      <c r="Z844" s="5"/>
    </row>
    <row r="845" spans="1:26" ht="12.75" customHeight="1">
      <c r="A845" s="5"/>
      <c r="B845" s="5"/>
      <c r="C845" s="5"/>
      <c r="D845" s="5"/>
      <c r="E845" s="5"/>
      <c r="F845" s="5"/>
      <c r="G845" s="5"/>
      <c r="H845" s="306"/>
      <c r="I845" s="5"/>
      <c r="J845" s="5"/>
      <c r="K845" s="5"/>
      <c r="L845" s="5"/>
      <c r="M845" s="5"/>
      <c r="N845" s="5"/>
      <c r="O845" s="5"/>
      <c r="P845" s="5"/>
      <c r="Q845" s="57"/>
      <c r="R845" s="5"/>
      <c r="S845" s="5"/>
      <c r="T845" s="5"/>
      <c r="U845" s="5"/>
      <c r="V845" s="5"/>
      <c r="W845" s="5"/>
      <c r="X845" s="5"/>
      <c r="Y845" s="5"/>
      <c r="Z845" s="5"/>
    </row>
    <row r="846" spans="1:26" ht="12.75" customHeight="1">
      <c r="A846" s="5"/>
      <c r="B846" s="5"/>
      <c r="C846" s="5"/>
      <c r="D846" s="5"/>
      <c r="E846" s="5"/>
      <c r="F846" s="5"/>
      <c r="G846" s="5"/>
      <c r="H846" s="306"/>
      <c r="I846" s="5"/>
      <c r="J846" s="5"/>
      <c r="K846" s="5"/>
      <c r="L846" s="5"/>
      <c r="M846" s="5"/>
      <c r="N846" s="5"/>
      <c r="O846" s="5"/>
      <c r="P846" s="5"/>
      <c r="Q846" s="57"/>
      <c r="R846" s="5"/>
      <c r="S846" s="5"/>
      <c r="T846" s="5"/>
      <c r="U846" s="5"/>
      <c r="V846" s="5"/>
      <c r="W846" s="5"/>
      <c r="X846" s="5"/>
      <c r="Y846" s="5"/>
      <c r="Z846" s="5"/>
    </row>
    <row r="847" spans="1:26" ht="12.75" customHeight="1">
      <c r="A847" s="5"/>
      <c r="B847" s="5"/>
      <c r="C847" s="5"/>
      <c r="D847" s="5"/>
      <c r="E847" s="5"/>
      <c r="F847" s="5"/>
      <c r="G847" s="5"/>
      <c r="H847" s="306"/>
      <c r="I847" s="5"/>
      <c r="J847" s="5"/>
      <c r="K847" s="5"/>
      <c r="L847" s="5"/>
      <c r="M847" s="5"/>
      <c r="N847" s="5"/>
      <c r="O847" s="5"/>
      <c r="P847" s="5"/>
      <c r="Q847" s="57"/>
      <c r="R847" s="5"/>
      <c r="S847" s="5"/>
      <c r="T847" s="5"/>
      <c r="U847" s="5"/>
      <c r="V847" s="5"/>
      <c r="W847" s="5"/>
      <c r="X847" s="5"/>
      <c r="Y847" s="5"/>
      <c r="Z847" s="5"/>
    </row>
    <row r="848" spans="1:26" ht="12.75" customHeight="1">
      <c r="A848" s="5"/>
      <c r="B848" s="5"/>
      <c r="C848" s="5"/>
      <c r="D848" s="5"/>
      <c r="E848" s="5"/>
      <c r="F848" s="5"/>
      <c r="G848" s="5"/>
      <c r="H848" s="306"/>
      <c r="I848" s="5"/>
      <c r="J848" s="5"/>
      <c r="K848" s="5"/>
      <c r="L848" s="5"/>
      <c r="M848" s="5"/>
      <c r="N848" s="5"/>
      <c r="O848" s="5"/>
      <c r="P848" s="5"/>
      <c r="Q848" s="57"/>
      <c r="R848" s="5"/>
      <c r="S848" s="5"/>
      <c r="T848" s="5"/>
      <c r="U848" s="5"/>
      <c r="V848" s="5"/>
      <c r="W848" s="5"/>
      <c r="X848" s="5"/>
      <c r="Y848" s="5"/>
      <c r="Z848" s="5"/>
    </row>
    <row r="849" spans="1:26" ht="12.75" customHeight="1">
      <c r="A849" s="5"/>
      <c r="B849" s="5"/>
      <c r="C849" s="5"/>
      <c r="D849" s="5"/>
      <c r="E849" s="5"/>
      <c r="F849" s="5"/>
      <c r="G849" s="5"/>
      <c r="H849" s="306"/>
      <c r="I849" s="5"/>
      <c r="J849" s="5"/>
      <c r="K849" s="5"/>
      <c r="L849" s="5"/>
      <c r="M849" s="5"/>
      <c r="N849" s="5"/>
      <c r="O849" s="5"/>
      <c r="P849" s="5"/>
      <c r="Q849" s="57"/>
      <c r="R849" s="5"/>
      <c r="S849" s="5"/>
      <c r="T849" s="5"/>
      <c r="U849" s="5"/>
      <c r="V849" s="5"/>
      <c r="W849" s="5"/>
      <c r="X849" s="5"/>
      <c r="Y849" s="5"/>
      <c r="Z849" s="5"/>
    </row>
    <row r="850" spans="1:26" ht="12.75" customHeight="1">
      <c r="A850" s="5"/>
      <c r="B850" s="5"/>
      <c r="C850" s="5"/>
      <c r="D850" s="5"/>
      <c r="E850" s="5"/>
      <c r="F850" s="5"/>
      <c r="G850" s="5"/>
      <c r="H850" s="306"/>
      <c r="I850" s="5"/>
      <c r="J850" s="5"/>
      <c r="K850" s="5"/>
      <c r="L850" s="5"/>
      <c r="M850" s="5"/>
      <c r="N850" s="5"/>
      <c r="O850" s="5"/>
      <c r="P850" s="5"/>
      <c r="Q850" s="57"/>
      <c r="R850" s="5"/>
      <c r="S850" s="5"/>
      <c r="T850" s="5"/>
      <c r="U850" s="5"/>
      <c r="V850" s="5"/>
      <c r="W850" s="5"/>
      <c r="X850" s="5"/>
      <c r="Y850" s="5"/>
      <c r="Z850" s="5"/>
    </row>
    <row r="851" spans="1:26" ht="12.75" customHeight="1">
      <c r="A851" s="5"/>
      <c r="B851" s="5"/>
      <c r="C851" s="5"/>
      <c r="D851" s="5"/>
      <c r="E851" s="5"/>
      <c r="F851" s="5"/>
      <c r="G851" s="5"/>
      <c r="H851" s="306"/>
      <c r="I851" s="5"/>
      <c r="J851" s="5"/>
      <c r="K851" s="5"/>
      <c r="L851" s="5"/>
      <c r="M851" s="5"/>
      <c r="N851" s="5"/>
      <c r="O851" s="5"/>
      <c r="P851" s="5"/>
      <c r="Q851" s="57"/>
      <c r="R851" s="5"/>
      <c r="S851" s="5"/>
      <c r="T851" s="5"/>
      <c r="U851" s="5"/>
      <c r="V851" s="5"/>
      <c r="W851" s="5"/>
      <c r="X851" s="5"/>
      <c r="Y851" s="5"/>
      <c r="Z851" s="5"/>
    </row>
    <row r="852" spans="1:26" ht="12.75" customHeight="1">
      <c r="A852" s="5"/>
      <c r="B852" s="5"/>
      <c r="C852" s="5"/>
      <c r="D852" s="5"/>
      <c r="E852" s="5"/>
      <c r="F852" s="5"/>
      <c r="G852" s="5"/>
      <c r="H852" s="306"/>
      <c r="I852" s="5"/>
      <c r="J852" s="5"/>
      <c r="K852" s="5"/>
      <c r="L852" s="5"/>
      <c r="M852" s="5"/>
      <c r="N852" s="5"/>
      <c r="O852" s="5"/>
      <c r="P852" s="5"/>
      <c r="Q852" s="57"/>
      <c r="R852" s="5"/>
      <c r="S852" s="5"/>
      <c r="T852" s="5"/>
      <c r="U852" s="5"/>
      <c r="V852" s="5"/>
      <c r="W852" s="5"/>
      <c r="X852" s="5"/>
      <c r="Y852" s="5"/>
      <c r="Z852" s="5"/>
    </row>
    <row r="853" spans="1:26" ht="12.75" customHeight="1">
      <c r="A853" s="5"/>
      <c r="B853" s="5"/>
      <c r="C853" s="5"/>
      <c r="D853" s="5"/>
      <c r="E853" s="5"/>
      <c r="F853" s="5"/>
      <c r="G853" s="5"/>
      <c r="H853" s="306"/>
      <c r="I853" s="5"/>
      <c r="J853" s="5"/>
      <c r="K853" s="5"/>
      <c r="L853" s="5"/>
      <c r="M853" s="5"/>
      <c r="N853" s="5"/>
      <c r="O853" s="5"/>
      <c r="P853" s="5"/>
      <c r="Q853" s="57"/>
      <c r="R853" s="5"/>
      <c r="S853" s="5"/>
      <c r="T853" s="5"/>
      <c r="U853" s="5"/>
      <c r="V853" s="5"/>
      <c r="W853" s="5"/>
      <c r="X853" s="5"/>
      <c r="Y853" s="5"/>
      <c r="Z853" s="5"/>
    </row>
    <row r="854" spans="1:26" ht="12.75" customHeight="1">
      <c r="A854" s="5"/>
      <c r="B854" s="5"/>
      <c r="C854" s="5"/>
      <c r="D854" s="5"/>
      <c r="E854" s="5"/>
      <c r="F854" s="5"/>
      <c r="G854" s="5"/>
      <c r="H854" s="306"/>
      <c r="I854" s="5"/>
      <c r="J854" s="5"/>
      <c r="K854" s="5"/>
      <c r="L854" s="5"/>
      <c r="M854" s="5"/>
      <c r="N854" s="5"/>
      <c r="O854" s="5"/>
      <c r="P854" s="5"/>
      <c r="Q854" s="57"/>
      <c r="R854" s="5"/>
      <c r="S854" s="5"/>
      <c r="T854" s="5"/>
      <c r="U854" s="5"/>
      <c r="V854" s="5"/>
      <c r="W854" s="5"/>
      <c r="X854" s="5"/>
      <c r="Y854" s="5"/>
      <c r="Z854" s="5"/>
    </row>
    <row r="855" spans="1:26" ht="12.75" customHeight="1">
      <c r="A855" s="5"/>
      <c r="B855" s="5"/>
      <c r="C855" s="5"/>
      <c r="D855" s="5"/>
      <c r="E855" s="5"/>
      <c r="F855" s="5"/>
      <c r="G855" s="5"/>
      <c r="H855" s="306"/>
      <c r="I855" s="5"/>
      <c r="J855" s="5"/>
      <c r="K855" s="5"/>
      <c r="L855" s="5"/>
      <c r="M855" s="5"/>
      <c r="N855" s="5"/>
      <c r="O855" s="5"/>
      <c r="P855" s="5"/>
      <c r="Q855" s="57"/>
      <c r="R855" s="5"/>
      <c r="S855" s="5"/>
      <c r="T855" s="5"/>
      <c r="U855" s="5"/>
      <c r="V855" s="5"/>
      <c r="W855" s="5"/>
      <c r="X855" s="5"/>
      <c r="Y855" s="5"/>
      <c r="Z855" s="5"/>
    </row>
    <row r="856" spans="1:26" ht="12.75" customHeight="1">
      <c r="A856" s="5"/>
      <c r="B856" s="5"/>
      <c r="C856" s="5"/>
      <c r="D856" s="5"/>
      <c r="E856" s="5"/>
      <c r="F856" s="5"/>
      <c r="G856" s="5"/>
      <c r="H856" s="306"/>
      <c r="I856" s="5"/>
      <c r="J856" s="5"/>
      <c r="K856" s="5"/>
      <c r="L856" s="5"/>
      <c r="M856" s="5"/>
      <c r="N856" s="5"/>
      <c r="O856" s="5"/>
      <c r="P856" s="5"/>
      <c r="Q856" s="57"/>
      <c r="R856" s="5"/>
      <c r="S856" s="5"/>
      <c r="T856" s="5"/>
      <c r="U856" s="5"/>
      <c r="V856" s="5"/>
      <c r="W856" s="5"/>
      <c r="X856" s="5"/>
      <c r="Y856" s="5"/>
      <c r="Z856" s="5"/>
    </row>
    <row r="857" spans="1:26" ht="12.75" customHeight="1">
      <c r="A857" s="5"/>
      <c r="B857" s="5"/>
      <c r="C857" s="5"/>
      <c r="D857" s="5"/>
      <c r="E857" s="5"/>
      <c r="F857" s="5"/>
      <c r="G857" s="5"/>
      <c r="H857" s="306"/>
      <c r="I857" s="5"/>
      <c r="J857" s="5"/>
      <c r="K857" s="5"/>
      <c r="L857" s="5"/>
      <c r="M857" s="5"/>
      <c r="N857" s="5"/>
      <c r="O857" s="5"/>
      <c r="P857" s="5"/>
      <c r="Q857" s="57"/>
      <c r="R857" s="5"/>
      <c r="S857" s="5"/>
      <c r="T857" s="5"/>
      <c r="U857" s="5"/>
      <c r="V857" s="5"/>
      <c r="W857" s="5"/>
      <c r="X857" s="5"/>
      <c r="Y857" s="5"/>
      <c r="Z857" s="5"/>
    </row>
    <row r="858" spans="1:26" ht="12.75" customHeight="1">
      <c r="A858" s="5"/>
      <c r="B858" s="5"/>
      <c r="C858" s="5"/>
      <c r="D858" s="5"/>
      <c r="E858" s="5"/>
      <c r="F858" s="5"/>
      <c r="G858" s="5"/>
      <c r="H858" s="306"/>
      <c r="I858" s="5"/>
      <c r="J858" s="5"/>
      <c r="K858" s="5"/>
      <c r="L858" s="5"/>
      <c r="M858" s="5"/>
      <c r="N858" s="5"/>
      <c r="O858" s="5"/>
      <c r="P858" s="5"/>
      <c r="Q858" s="57"/>
      <c r="R858" s="5"/>
      <c r="S858" s="5"/>
      <c r="T858" s="5"/>
      <c r="U858" s="5"/>
      <c r="V858" s="5"/>
      <c r="W858" s="5"/>
      <c r="X858" s="5"/>
      <c r="Y858" s="5"/>
      <c r="Z858" s="5"/>
    </row>
    <row r="859" spans="1:26" ht="12.75" customHeight="1">
      <c r="A859" s="5"/>
      <c r="B859" s="5"/>
      <c r="C859" s="5"/>
      <c r="D859" s="5"/>
      <c r="E859" s="5"/>
      <c r="F859" s="5"/>
      <c r="G859" s="5"/>
      <c r="H859" s="306"/>
      <c r="I859" s="5"/>
      <c r="J859" s="5"/>
      <c r="K859" s="5"/>
      <c r="L859" s="5"/>
      <c r="M859" s="5"/>
      <c r="N859" s="5"/>
      <c r="O859" s="5"/>
      <c r="P859" s="5"/>
      <c r="Q859" s="57"/>
      <c r="R859" s="5"/>
      <c r="S859" s="5"/>
      <c r="T859" s="5"/>
      <c r="U859" s="5"/>
      <c r="V859" s="5"/>
      <c r="W859" s="5"/>
      <c r="X859" s="5"/>
      <c r="Y859" s="5"/>
      <c r="Z859" s="5"/>
    </row>
    <row r="860" spans="1:26" ht="12.75" customHeight="1">
      <c r="A860" s="5"/>
      <c r="B860" s="5"/>
      <c r="C860" s="5"/>
      <c r="D860" s="5"/>
      <c r="E860" s="5"/>
      <c r="F860" s="5"/>
      <c r="G860" s="5"/>
      <c r="H860" s="306"/>
      <c r="I860" s="5"/>
      <c r="J860" s="5"/>
      <c r="K860" s="5"/>
      <c r="L860" s="5"/>
      <c r="M860" s="5"/>
      <c r="N860" s="5"/>
      <c r="O860" s="5"/>
      <c r="P860" s="5"/>
      <c r="Q860" s="57"/>
      <c r="R860" s="5"/>
      <c r="S860" s="5"/>
      <c r="T860" s="5"/>
      <c r="U860" s="5"/>
      <c r="V860" s="5"/>
      <c r="W860" s="5"/>
      <c r="X860" s="5"/>
      <c r="Y860" s="5"/>
      <c r="Z860" s="5"/>
    </row>
    <row r="861" spans="1:26" ht="12.75" customHeight="1">
      <c r="A861" s="5"/>
      <c r="B861" s="5"/>
      <c r="C861" s="5"/>
      <c r="D861" s="5"/>
      <c r="E861" s="5"/>
      <c r="F861" s="5"/>
      <c r="G861" s="5"/>
      <c r="H861" s="306"/>
      <c r="I861" s="5"/>
      <c r="J861" s="5"/>
      <c r="K861" s="5"/>
      <c r="L861" s="5"/>
      <c r="M861" s="5"/>
      <c r="N861" s="5"/>
      <c r="O861" s="5"/>
      <c r="P861" s="5"/>
      <c r="Q861" s="57"/>
      <c r="R861" s="5"/>
      <c r="S861" s="5"/>
      <c r="T861" s="5"/>
      <c r="U861" s="5"/>
      <c r="V861" s="5"/>
      <c r="W861" s="5"/>
      <c r="X861" s="5"/>
      <c r="Y861" s="5"/>
      <c r="Z861" s="5"/>
    </row>
    <row r="862" spans="1:26" ht="12.75" customHeight="1">
      <c r="A862" s="5"/>
      <c r="B862" s="5"/>
      <c r="C862" s="5"/>
      <c r="D862" s="5"/>
      <c r="E862" s="5"/>
      <c r="F862" s="5"/>
      <c r="G862" s="5"/>
      <c r="H862" s="306"/>
      <c r="I862" s="5"/>
      <c r="J862" s="5"/>
      <c r="K862" s="5"/>
      <c r="L862" s="5"/>
      <c r="M862" s="5"/>
      <c r="N862" s="5"/>
      <c r="O862" s="5"/>
      <c r="P862" s="5"/>
      <c r="Q862" s="57"/>
      <c r="R862" s="5"/>
      <c r="S862" s="5"/>
      <c r="T862" s="5"/>
      <c r="U862" s="5"/>
      <c r="V862" s="5"/>
      <c r="W862" s="5"/>
      <c r="X862" s="5"/>
      <c r="Y862" s="5"/>
      <c r="Z862" s="5"/>
    </row>
    <row r="863" spans="1:26" ht="12.75" customHeight="1">
      <c r="A863" s="5"/>
      <c r="B863" s="5"/>
      <c r="C863" s="5"/>
      <c r="D863" s="5"/>
      <c r="E863" s="5"/>
      <c r="F863" s="5"/>
      <c r="G863" s="5"/>
      <c r="H863" s="306"/>
      <c r="I863" s="5"/>
      <c r="J863" s="5"/>
      <c r="K863" s="5"/>
      <c r="L863" s="5"/>
      <c r="M863" s="5"/>
      <c r="N863" s="5"/>
      <c r="O863" s="5"/>
      <c r="P863" s="5"/>
      <c r="Q863" s="57"/>
      <c r="R863" s="5"/>
      <c r="S863" s="5"/>
      <c r="T863" s="5"/>
      <c r="U863" s="5"/>
      <c r="V863" s="5"/>
      <c r="W863" s="5"/>
      <c r="X863" s="5"/>
      <c r="Y863" s="5"/>
      <c r="Z863" s="5"/>
    </row>
    <row r="864" spans="1:26" ht="12.75" customHeight="1">
      <c r="A864" s="5"/>
      <c r="B864" s="5"/>
      <c r="C864" s="5"/>
      <c r="D864" s="5"/>
      <c r="E864" s="5"/>
      <c r="F864" s="5"/>
      <c r="G864" s="5"/>
      <c r="H864" s="306"/>
      <c r="I864" s="5"/>
      <c r="J864" s="5"/>
      <c r="K864" s="5"/>
      <c r="L864" s="5"/>
      <c r="M864" s="5"/>
      <c r="N864" s="5"/>
      <c r="O864" s="5"/>
      <c r="P864" s="5"/>
      <c r="Q864" s="57"/>
      <c r="R864" s="5"/>
      <c r="S864" s="5"/>
      <c r="T864" s="5"/>
      <c r="U864" s="5"/>
      <c r="V864" s="5"/>
      <c r="W864" s="5"/>
      <c r="X864" s="5"/>
      <c r="Y864" s="5"/>
      <c r="Z864" s="5"/>
    </row>
    <row r="865" spans="1:26" ht="12.75" customHeight="1">
      <c r="A865" s="5"/>
      <c r="B865" s="5"/>
      <c r="C865" s="5"/>
      <c r="D865" s="5"/>
      <c r="E865" s="5"/>
      <c r="F865" s="5"/>
      <c r="G865" s="5"/>
      <c r="H865" s="306"/>
      <c r="I865" s="5"/>
      <c r="J865" s="5"/>
      <c r="K865" s="5"/>
      <c r="L865" s="5"/>
      <c r="M865" s="5"/>
      <c r="N865" s="5"/>
      <c r="O865" s="5"/>
      <c r="P865" s="5"/>
      <c r="Q865" s="57"/>
      <c r="R865" s="5"/>
      <c r="S865" s="5"/>
      <c r="T865" s="5"/>
      <c r="U865" s="5"/>
      <c r="V865" s="5"/>
      <c r="W865" s="5"/>
      <c r="X865" s="5"/>
      <c r="Y865" s="5"/>
      <c r="Z865" s="5"/>
    </row>
    <row r="866" spans="1:26" ht="12.75" customHeight="1">
      <c r="A866" s="5"/>
      <c r="B866" s="5"/>
      <c r="C866" s="5"/>
      <c r="D866" s="5"/>
      <c r="E866" s="5"/>
      <c r="F866" s="5"/>
      <c r="G866" s="5"/>
      <c r="H866" s="306"/>
      <c r="I866" s="5"/>
      <c r="J866" s="5"/>
      <c r="K866" s="5"/>
      <c r="L866" s="5"/>
      <c r="M866" s="5"/>
      <c r="N866" s="5"/>
      <c r="O866" s="5"/>
      <c r="P866" s="5"/>
      <c r="Q866" s="57"/>
      <c r="R866" s="5"/>
      <c r="S866" s="5"/>
      <c r="T866" s="5"/>
      <c r="U866" s="5"/>
      <c r="V866" s="5"/>
      <c r="W866" s="5"/>
      <c r="X866" s="5"/>
      <c r="Y866" s="5"/>
      <c r="Z866" s="5"/>
    </row>
    <row r="867" spans="1:26" ht="12.75" customHeight="1">
      <c r="A867" s="5"/>
      <c r="B867" s="5"/>
      <c r="C867" s="5"/>
      <c r="D867" s="5"/>
      <c r="E867" s="5"/>
      <c r="F867" s="5"/>
      <c r="G867" s="5"/>
      <c r="H867" s="306"/>
      <c r="I867" s="5"/>
      <c r="J867" s="5"/>
      <c r="K867" s="5"/>
      <c r="L867" s="5"/>
      <c r="M867" s="5"/>
      <c r="N867" s="5"/>
      <c r="O867" s="5"/>
      <c r="P867" s="5"/>
      <c r="Q867" s="57"/>
      <c r="R867" s="5"/>
      <c r="S867" s="5"/>
      <c r="T867" s="5"/>
      <c r="U867" s="5"/>
      <c r="V867" s="5"/>
      <c r="W867" s="5"/>
      <c r="X867" s="5"/>
      <c r="Y867" s="5"/>
      <c r="Z867" s="5"/>
    </row>
    <row r="868" spans="1:26" ht="12.75" customHeight="1">
      <c r="A868" s="5"/>
      <c r="B868" s="5"/>
      <c r="C868" s="5"/>
      <c r="D868" s="5"/>
      <c r="E868" s="5"/>
      <c r="F868" s="5"/>
      <c r="G868" s="5"/>
      <c r="H868" s="306"/>
      <c r="I868" s="5"/>
      <c r="J868" s="5"/>
      <c r="K868" s="5"/>
      <c r="L868" s="5"/>
      <c r="M868" s="5"/>
      <c r="N868" s="5"/>
      <c r="O868" s="5"/>
      <c r="P868" s="5"/>
      <c r="Q868" s="57"/>
      <c r="R868" s="5"/>
      <c r="S868" s="5"/>
      <c r="T868" s="5"/>
      <c r="U868" s="5"/>
      <c r="V868" s="5"/>
      <c r="W868" s="5"/>
      <c r="X868" s="5"/>
      <c r="Y868" s="5"/>
      <c r="Z868" s="5"/>
    </row>
    <row r="869" spans="1:26" ht="12.75" customHeight="1">
      <c r="A869" s="5"/>
      <c r="B869" s="5"/>
      <c r="C869" s="5"/>
      <c r="D869" s="5"/>
      <c r="E869" s="5"/>
      <c r="F869" s="5"/>
      <c r="G869" s="5"/>
      <c r="H869" s="306"/>
      <c r="I869" s="5"/>
      <c r="J869" s="5"/>
      <c r="K869" s="5"/>
      <c r="L869" s="5"/>
      <c r="M869" s="5"/>
      <c r="N869" s="5"/>
      <c r="O869" s="5"/>
      <c r="P869" s="5"/>
      <c r="Q869" s="57"/>
      <c r="R869" s="5"/>
      <c r="S869" s="5"/>
      <c r="T869" s="5"/>
      <c r="U869" s="5"/>
      <c r="V869" s="5"/>
      <c r="W869" s="5"/>
      <c r="X869" s="5"/>
      <c r="Y869" s="5"/>
      <c r="Z869" s="5"/>
    </row>
    <row r="870" spans="1:26" ht="12.75" customHeight="1">
      <c r="A870" s="5"/>
      <c r="B870" s="5"/>
      <c r="C870" s="5"/>
      <c r="D870" s="5"/>
      <c r="E870" s="5"/>
      <c r="F870" s="5"/>
      <c r="G870" s="5"/>
      <c r="H870" s="306"/>
      <c r="I870" s="5"/>
      <c r="J870" s="5"/>
      <c r="K870" s="5"/>
      <c r="L870" s="5"/>
      <c r="M870" s="5"/>
      <c r="N870" s="5"/>
      <c r="O870" s="5"/>
      <c r="P870" s="5"/>
      <c r="Q870" s="57"/>
      <c r="R870" s="5"/>
      <c r="S870" s="5"/>
      <c r="T870" s="5"/>
      <c r="U870" s="5"/>
      <c r="V870" s="5"/>
      <c r="W870" s="5"/>
      <c r="X870" s="5"/>
      <c r="Y870" s="5"/>
      <c r="Z870" s="5"/>
    </row>
    <row r="871" spans="1:26" ht="12.75" customHeight="1">
      <c r="A871" s="5"/>
      <c r="B871" s="5"/>
      <c r="C871" s="5"/>
      <c r="D871" s="5"/>
      <c r="E871" s="5"/>
      <c r="F871" s="5"/>
      <c r="G871" s="5"/>
      <c r="H871" s="306"/>
      <c r="I871" s="5"/>
      <c r="J871" s="5"/>
      <c r="K871" s="5"/>
      <c r="L871" s="5"/>
      <c r="M871" s="5"/>
      <c r="N871" s="5"/>
      <c r="O871" s="5"/>
      <c r="P871" s="5"/>
      <c r="Q871" s="57"/>
      <c r="R871" s="5"/>
      <c r="S871" s="5"/>
      <c r="T871" s="5"/>
      <c r="U871" s="5"/>
      <c r="V871" s="5"/>
      <c r="W871" s="5"/>
      <c r="X871" s="5"/>
      <c r="Y871" s="5"/>
      <c r="Z871" s="5"/>
    </row>
    <row r="872" spans="1:26" ht="12.75" customHeight="1">
      <c r="A872" s="5"/>
      <c r="B872" s="5"/>
      <c r="C872" s="5"/>
      <c r="D872" s="5"/>
      <c r="E872" s="5"/>
      <c r="F872" s="5"/>
      <c r="G872" s="5"/>
      <c r="H872" s="306"/>
      <c r="I872" s="5"/>
      <c r="J872" s="5"/>
      <c r="K872" s="5"/>
      <c r="L872" s="5"/>
      <c r="M872" s="5"/>
      <c r="N872" s="5"/>
      <c r="O872" s="5"/>
      <c r="P872" s="5"/>
      <c r="Q872" s="57"/>
      <c r="R872" s="5"/>
      <c r="S872" s="5"/>
      <c r="T872" s="5"/>
      <c r="U872" s="5"/>
      <c r="V872" s="5"/>
      <c r="W872" s="5"/>
      <c r="X872" s="5"/>
      <c r="Y872" s="5"/>
      <c r="Z872" s="5"/>
    </row>
    <row r="873" spans="1:26" ht="12.75" customHeight="1">
      <c r="A873" s="5"/>
      <c r="B873" s="5"/>
      <c r="C873" s="5"/>
      <c r="D873" s="5"/>
      <c r="E873" s="5"/>
      <c r="F873" s="5"/>
      <c r="G873" s="5"/>
      <c r="H873" s="306"/>
      <c r="I873" s="5"/>
      <c r="J873" s="5"/>
      <c r="K873" s="5"/>
      <c r="L873" s="5"/>
      <c r="M873" s="5"/>
      <c r="N873" s="5"/>
      <c r="O873" s="5"/>
      <c r="P873" s="5"/>
      <c r="Q873" s="57"/>
      <c r="R873" s="5"/>
      <c r="S873" s="5"/>
      <c r="T873" s="5"/>
      <c r="U873" s="5"/>
      <c r="V873" s="5"/>
      <c r="W873" s="5"/>
      <c r="X873" s="5"/>
      <c r="Y873" s="5"/>
      <c r="Z873" s="5"/>
    </row>
    <row r="874" spans="1:26" ht="12.75" customHeight="1">
      <c r="A874" s="5"/>
      <c r="B874" s="5"/>
      <c r="C874" s="5"/>
      <c r="D874" s="5"/>
      <c r="E874" s="5"/>
      <c r="F874" s="5"/>
      <c r="G874" s="5"/>
      <c r="H874" s="306"/>
      <c r="I874" s="5"/>
      <c r="J874" s="5"/>
      <c r="K874" s="5"/>
      <c r="L874" s="5"/>
      <c r="M874" s="5"/>
      <c r="N874" s="5"/>
      <c r="O874" s="5"/>
      <c r="P874" s="5"/>
      <c r="Q874" s="57"/>
      <c r="R874" s="5"/>
      <c r="S874" s="5"/>
      <c r="T874" s="5"/>
      <c r="U874" s="5"/>
      <c r="V874" s="5"/>
      <c r="W874" s="5"/>
      <c r="X874" s="5"/>
      <c r="Y874" s="5"/>
      <c r="Z874" s="5"/>
    </row>
    <row r="875" spans="1:26" ht="12.75" customHeight="1">
      <c r="A875" s="5"/>
      <c r="B875" s="5"/>
      <c r="C875" s="5"/>
      <c r="D875" s="5"/>
      <c r="E875" s="5"/>
      <c r="F875" s="5"/>
      <c r="G875" s="5"/>
      <c r="H875" s="306"/>
      <c r="I875" s="5"/>
      <c r="J875" s="5"/>
      <c r="K875" s="5"/>
      <c r="L875" s="5"/>
      <c r="M875" s="5"/>
      <c r="N875" s="5"/>
      <c r="O875" s="5"/>
      <c r="P875" s="5"/>
      <c r="Q875" s="57"/>
      <c r="R875" s="5"/>
      <c r="S875" s="5"/>
      <c r="T875" s="5"/>
      <c r="U875" s="5"/>
      <c r="V875" s="5"/>
      <c r="W875" s="5"/>
      <c r="X875" s="5"/>
      <c r="Y875" s="5"/>
      <c r="Z875" s="5"/>
    </row>
    <row r="876" spans="1:26" ht="12.75" customHeight="1">
      <c r="A876" s="5"/>
      <c r="B876" s="5"/>
      <c r="C876" s="5"/>
      <c r="D876" s="5"/>
      <c r="E876" s="5"/>
      <c r="F876" s="5"/>
      <c r="G876" s="5"/>
      <c r="H876" s="306"/>
      <c r="I876" s="5"/>
      <c r="J876" s="5"/>
      <c r="K876" s="5"/>
      <c r="L876" s="5"/>
      <c r="M876" s="5"/>
      <c r="N876" s="5"/>
      <c r="O876" s="5"/>
      <c r="P876" s="5"/>
      <c r="Q876" s="57"/>
      <c r="R876" s="5"/>
      <c r="S876" s="5"/>
      <c r="T876" s="5"/>
      <c r="U876" s="5"/>
      <c r="V876" s="5"/>
      <c r="W876" s="5"/>
      <c r="X876" s="5"/>
      <c r="Y876" s="5"/>
      <c r="Z876" s="5"/>
    </row>
    <row r="877" spans="1:26" ht="12.75" customHeight="1">
      <c r="A877" s="5"/>
      <c r="B877" s="5"/>
      <c r="C877" s="5"/>
      <c r="D877" s="5"/>
      <c r="E877" s="5"/>
      <c r="F877" s="5"/>
      <c r="G877" s="5"/>
      <c r="H877" s="306"/>
      <c r="I877" s="5"/>
      <c r="J877" s="5"/>
      <c r="K877" s="5"/>
      <c r="L877" s="5"/>
      <c r="M877" s="5"/>
      <c r="N877" s="5"/>
      <c r="O877" s="5"/>
      <c r="P877" s="5"/>
      <c r="Q877" s="57"/>
      <c r="R877" s="5"/>
      <c r="S877" s="5"/>
      <c r="T877" s="5"/>
      <c r="U877" s="5"/>
      <c r="V877" s="5"/>
      <c r="W877" s="5"/>
      <c r="X877" s="5"/>
      <c r="Y877" s="5"/>
      <c r="Z877" s="5"/>
    </row>
    <row r="878" spans="1:26" ht="12.75" customHeight="1">
      <c r="A878" s="5"/>
      <c r="B878" s="5"/>
      <c r="C878" s="5"/>
      <c r="D878" s="5"/>
      <c r="E878" s="5"/>
      <c r="F878" s="5"/>
      <c r="G878" s="5"/>
      <c r="H878" s="306"/>
      <c r="I878" s="5"/>
      <c r="J878" s="5"/>
      <c r="K878" s="5"/>
      <c r="L878" s="5"/>
      <c r="M878" s="5"/>
      <c r="N878" s="5"/>
      <c r="O878" s="5"/>
      <c r="P878" s="5"/>
      <c r="Q878" s="57"/>
      <c r="R878" s="5"/>
      <c r="S878" s="5"/>
      <c r="T878" s="5"/>
      <c r="U878" s="5"/>
      <c r="V878" s="5"/>
      <c r="W878" s="5"/>
      <c r="X878" s="5"/>
      <c r="Y878" s="5"/>
      <c r="Z878" s="5"/>
    </row>
    <row r="879" spans="1:26" ht="12.75" customHeight="1">
      <c r="A879" s="5"/>
      <c r="B879" s="5"/>
      <c r="C879" s="5"/>
      <c r="D879" s="5"/>
      <c r="E879" s="5"/>
      <c r="F879" s="5"/>
      <c r="G879" s="5"/>
      <c r="H879" s="306"/>
      <c r="I879" s="5"/>
      <c r="J879" s="5"/>
      <c r="K879" s="5"/>
      <c r="L879" s="5"/>
      <c r="M879" s="5"/>
      <c r="N879" s="5"/>
      <c r="O879" s="5"/>
      <c r="P879" s="5"/>
      <c r="Q879" s="57"/>
      <c r="R879" s="5"/>
      <c r="S879" s="5"/>
      <c r="T879" s="5"/>
      <c r="U879" s="5"/>
      <c r="V879" s="5"/>
      <c r="W879" s="5"/>
      <c r="X879" s="5"/>
      <c r="Y879" s="5"/>
      <c r="Z879" s="5"/>
    </row>
    <row r="880" spans="1:26" ht="12.75" customHeight="1">
      <c r="A880" s="5"/>
      <c r="B880" s="5"/>
      <c r="C880" s="5"/>
      <c r="D880" s="5"/>
      <c r="E880" s="5"/>
      <c r="F880" s="5"/>
      <c r="G880" s="5"/>
      <c r="H880" s="306"/>
      <c r="I880" s="5"/>
      <c r="J880" s="5"/>
      <c r="K880" s="5"/>
      <c r="L880" s="5"/>
      <c r="M880" s="5"/>
      <c r="N880" s="5"/>
      <c r="O880" s="5"/>
      <c r="P880" s="5"/>
      <c r="Q880" s="57"/>
      <c r="R880" s="5"/>
      <c r="S880" s="5"/>
      <c r="T880" s="5"/>
      <c r="U880" s="5"/>
      <c r="V880" s="5"/>
      <c r="W880" s="5"/>
      <c r="X880" s="5"/>
      <c r="Y880" s="5"/>
      <c r="Z880" s="5"/>
    </row>
    <row r="881" spans="1:26" ht="12.75" customHeight="1">
      <c r="A881" s="5"/>
      <c r="B881" s="5"/>
      <c r="C881" s="5"/>
      <c r="D881" s="5"/>
      <c r="E881" s="5"/>
      <c r="F881" s="5"/>
      <c r="G881" s="5"/>
      <c r="H881" s="306"/>
      <c r="I881" s="5"/>
      <c r="J881" s="5"/>
      <c r="K881" s="5"/>
      <c r="L881" s="5"/>
      <c r="M881" s="5"/>
      <c r="N881" s="5"/>
      <c r="O881" s="5"/>
      <c r="P881" s="5"/>
      <c r="Q881" s="57"/>
      <c r="R881" s="5"/>
      <c r="S881" s="5"/>
      <c r="T881" s="5"/>
      <c r="U881" s="5"/>
      <c r="V881" s="5"/>
      <c r="W881" s="5"/>
      <c r="X881" s="5"/>
      <c r="Y881" s="5"/>
      <c r="Z881" s="5"/>
    </row>
    <row r="882" spans="1:26" ht="12.75" customHeight="1">
      <c r="A882" s="5"/>
      <c r="B882" s="5"/>
      <c r="C882" s="5"/>
      <c r="D882" s="5"/>
      <c r="E882" s="5"/>
      <c r="F882" s="5"/>
      <c r="G882" s="5"/>
      <c r="H882" s="306"/>
      <c r="I882" s="5"/>
      <c r="J882" s="5"/>
      <c r="K882" s="5"/>
      <c r="L882" s="5"/>
      <c r="M882" s="5"/>
      <c r="N882" s="5"/>
      <c r="O882" s="5"/>
      <c r="P882" s="5"/>
      <c r="Q882" s="57"/>
      <c r="R882" s="5"/>
      <c r="S882" s="5"/>
      <c r="T882" s="5"/>
      <c r="U882" s="5"/>
      <c r="V882" s="5"/>
      <c r="W882" s="5"/>
      <c r="X882" s="5"/>
      <c r="Y882" s="5"/>
      <c r="Z882" s="5"/>
    </row>
    <row r="883" spans="1:26" ht="12.75" customHeight="1">
      <c r="A883" s="5"/>
      <c r="B883" s="5"/>
      <c r="C883" s="5"/>
      <c r="D883" s="5"/>
      <c r="E883" s="5"/>
      <c r="F883" s="5"/>
      <c r="G883" s="5"/>
      <c r="H883" s="306"/>
      <c r="I883" s="5"/>
      <c r="J883" s="5"/>
      <c r="K883" s="5"/>
      <c r="L883" s="5"/>
      <c r="M883" s="5"/>
      <c r="N883" s="5"/>
      <c r="O883" s="5"/>
      <c r="P883" s="5"/>
      <c r="Q883" s="57"/>
      <c r="R883" s="5"/>
      <c r="S883" s="5"/>
      <c r="T883" s="5"/>
      <c r="U883" s="5"/>
      <c r="V883" s="5"/>
      <c r="W883" s="5"/>
      <c r="X883" s="5"/>
      <c r="Y883" s="5"/>
      <c r="Z883" s="5"/>
    </row>
    <row r="884" spans="1:26" ht="12.75" customHeight="1">
      <c r="A884" s="5"/>
      <c r="B884" s="5"/>
      <c r="C884" s="5"/>
      <c r="D884" s="5"/>
      <c r="E884" s="5"/>
      <c r="F884" s="5"/>
      <c r="G884" s="5"/>
      <c r="H884" s="306"/>
      <c r="I884" s="5"/>
      <c r="J884" s="5"/>
      <c r="K884" s="5"/>
      <c r="L884" s="5"/>
      <c r="M884" s="5"/>
      <c r="N884" s="5"/>
      <c r="O884" s="5"/>
      <c r="P884" s="5"/>
      <c r="Q884" s="57"/>
      <c r="R884" s="5"/>
      <c r="S884" s="5"/>
      <c r="T884" s="5"/>
      <c r="U884" s="5"/>
      <c r="V884" s="5"/>
      <c r="W884" s="5"/>
      <c r="X884" s="5"/>
      <c r="Y884" s="5"/>
      <c r="Z884" s="5"/>
    </row>
    <row r="885" spans="1:26" ht="12.75" customHeight="1">
      <c r="A885" s="5"/>
      <c r="B885" s="5"/>
      <c r="C885" s="5"/>
      <c r="D885" s="5"/>
      <c r="E885" s="5"/>
      <c r="F885" s="5"/>
      <c r="G885" s="5"/>
      <c r="H885" s="306"/>
      <c r="I885" s="5"/>
      <c r="J885" s="5"/>
      <c r="K885" s="5"/>
      <c r="L885" s="5"/>
      <c r="M885" s="5"/>
      <c r="N885" s="5"/>
      <c r="O885" s="5"/>
      <c r="P885" s="5"/>
      <c r="Q885" s="57"/>
      <c r="R885" s="5"/>
      <c r="S885" s="5"/>
      <c r="T885" s="5"/>
      <c r="U885" s="5"/>
      <c r="V885" s="5"/>
      <c r="W885" s="5"/>
      <c r="X885" s="5"/>
      <c r="Y885" s="5"/>
      <c r="Z885" s="5"/>
    </row>
    <row r="886" spans="1:26" ht="12.75" customHeight="1">
      <c r="A886" s="5"/>
      <c r="B886" s="5"/>
      <c r="C886" s="5"/>
      <c r="D886" s="5"/>
      <c r="E886" s="5"/>
      <c r="F886" s="5"/>
      <c r="G886" s="5"/>
      <c r="H886" s="306"/>
      <c r="I886" s="5"/>
      <c r="J886" s="5"/>
      <c r="K886" s="5"/>
      <c r="L886" s="5"/>
      <c r="M886" s="5"/>
      <c r="N886" s="5"/>
      <c r="O886" s="5"/>
      <c r="P886" s="5"/>
      <c r="Q886" s="57"/>
      <c r="R886" s="5"/>
      <c r="S886" s="5"/>
      <c r="T886" s="5"/>
      <c r="U886" s="5"/>
      <c r="V886" s="5"/>
      <c r="W886" s="5"/>
      <c r="X886" s="5"/>
      <c r="Y886" s="5"/>
      <c r="Z886" s="5"/>
    </row>
    <row r="887" spans="1:26" ht="12.75" customHeight="1">
      <c r="A887" s="5"/>
      <c r="B887" s="5"/>
      <c r="C887" s="5"/>
      <c r="D887" s="5"/>
      <c r="E887" s="5"/>
      <c r="F887" s="5"/>
      <c r="G887" s="5"/>
      <c r="H887" s="306"/>
      <c r="I887" s="5"/>
      <c r="J887" s="5"/>
      <c r="K887" s="5"/>
      <c r="L887" s="5"/>
      <c r="M887" s="5"/>
      <c r="N887" s="5"/>
      <c r="O887" s="5"/>
      <c r="P887" s="5"/>
      <c r="Q887" s="57"/>
      <c r="R887" s="5"/>
      <c r="S887" s="5"/>
      <c r="T887" s="5"/>
      <c r="U887" s="5"/>
      <c r="V887" s="5"/>
      <c r="W887" s="5"/>
      <c r="X887" s="5"/>
      <c r="Y887" s="5"/>
      <c r="Z887" s="5"/>
    </row>
    <row r="888" spans="1:26" ht="12.75" customHeight="1">
      <c r="A888" s="5"/>
      <c r="B888" s="5"/>
      <c r="C888" s="5"/>
      <c r="D888" s="5"/>
      <c r="E888" s="5"/>
      <c r="F888" s="5"/>
      <c r="G888" s="5"/>
      <c r="H888" s="306"/>
      <c r="I888" s="5"/>
      <c r="J888" s="5"/>
      <c r="K888" s="5"/>
      <c r="L888" s="5"/>
      <c r="M888" s="5"/>
      <c r="N888" s="5"/>
      <c r="O888" s="5"/>
      <c r="P888" s="5"/>
      <c r="Q888" s="57"/>
      <c r="R888" s="5"/>
      <c r="S888" s="5"/>
      <c r="T888" s="5"/>
      <c r="U888" s="5"/>
      <c r="V888" s="5"/>
      <c r="W888" s="5"/>
      <c r="X888" s="5"/>
      <c r="Y888" s="5"/>
      <c r="Z888" s="5"/>
    </row>
    <row r="889" spans="1:26" ht="12.75" customHeight="1">
      <c r="A889" s="5"/>
      <c r="B889" s="5"/>
      <c r="C889" s="5"/>
      <c r="D889" s="5"/>
      <c r="E889" s="5"/>
      <c r="F889" s="5"/>
      <c r="G889" s="5"/>
      <c r="H889" s="306"/>
      <c r="I889" s="5"/>
      <c r="J889" s="5"/>
      <c r="K889" s="5"/>
      <c r="L889" s="5"/>
      <c r="M889" s="5"/>
      <c r="N889" s="5"/>
      <c r="O889" s="5"/>
      <c r="P889" s="5"/>
      <c r="Q889" s="57"/>
      <c r="R889" s="5"/>
      <c r="S889" s="5"/>
      <c r="T889" s="5"/>
      <c r="U889" s="5"/>
      <c r="V889" s="5"/>
      <c r="W889" s="5"/>
      <c r="X889" s="5"/>
      <c r="Y889" s="5"/>
      <c r="Z889" s="5"/>
    </row>
    <row r="890" spans="1:26" ht="12.75" customHeight="1">
      <c r="A890" s="5"/>
      <c r="B890" s="5"/>
      <c r="C890" s="5"/>
      <c r="D890" s="5"/>
      <c r="E890" s="5"/>
      <c r="F890" s="5"/>
      <c r="G890" s="5"/>
      <c r="H890" s="306"/>
      <c r="I890" s="5"/>
      <c r="J890" s="5"/>
      <c r="K890" s="5"/>
      <c r="L890" s="5"/>
      <c r="M890" s="5"/>
      <c r="N890" s="5"/>
      <c r="O890" s="5"/>
      <c r="P890" s="5"/>
      <c r="Q890" s="57"/>
      <c r="R890" s="5"/>
      <c r="S890" s="5"/>
      <c r="T890" s="5"/>
      <c r="U890" s="5"/>
      <c r="V890" s="5"/>
      <c r="W890" s="5"/>
      <c r="X890" s="5"/>
      <c r="Y890" s="5"/>
      <c r="Z890" s="5"/>
    </row>
    <row r="891" spans="1:26" ht="12.75" customHeight="1">
      <c r="A891" s="5"/>
      <c r="B891" s="5"/>
      <c r="C891" s="5"/>
      <c r="D891" s="5"/>
      <c r="E891" s="5"/>
      <c r="F891" s="5"/>
      <c r="G891" s="5"/>
      <c r="H891" s="306"/>
      <c r="I891" s="5"/>
      <c r="J891" s="5"/>
      <c r="K891" s="5"/>
      <c r="L891" s="5"/>
      <c r="M891" s="5"/>
      <c r="N891" s="5"/>
      <c r="O891" s="5"/>
      <c r="P891" s="5"/>
      <c r="Q891" s="57"/>
      <c r="R891" s="5"/>
      <c r="S891" s="5"/>
      <c r="T891" s="5"/>
      <c r="U891" s="5"/>
      <c r="V891" s="5"/>
      <c r="W891" s="5"/>
      <c r="X891" s="5"/>
      <c r="Y891" s="5"/>
      <c r="Z891" s="5"/>
    </row>
    <row r="892" spans="1:26" ht="12.75" customHeight="1">
      <c r="A892" s="5"/>
      <c r="B892" s="5"/>
      <c r="C892" s="5"/>
      <c r="D892" s="5"/>
      <c r="E892" s="5"/>
      <c r="F892" s="5"/>
      <c r="G892" s="5"/>
      <c r="H892" s="306"/>
      <c r="I892" s="5"/>
      <c r="J892" s="5"/>
      <c r="K892" s="5"/>
      <c r="L892" s="5"/>
      <c r="M892" s="5"/>
      <c r="N892" s="5"/>
      <c r="O892" s="5"/>
      <c r="P892" s="5"/>
      <c r="Q892" s="57"/>
      <c r="R892" s="5"/>
      <c r="S892" s="5"/>
      <c r="T892" s="5"/>
      <c r="U892" s="5"/>
      <c r="V892" s="5"/>
      <c r="W892" s="5"/>
      <c r="X892" s="5"/>
      <c r="Y892" s="5"/>
      <c r="Z892" s="5"/>
    </row>
    <row r="893" spans="1:26" ht="12.75" customHeight="1">
      <c r="A893" s="5"/>
      <c r="B893" s="5"/>
      <c r="C893" s="5"/>
      <c r="D893" s="5"/>
      <c r="E893" s="5"/>
      <c r="F893" s="5"/>
      <c r="G893" s="5"/>
      <c r="H893" s="306"/>
      <c r="I893" s="5"/>
      <c r="J893" s="5"/>
      <c r="K893" s="5"/>
      <c r="L893" s="5"/>
      <c r="M893" s="5"/>
      <c r="N893" s="5"/>
      <c r="O893" s="5"/>
      <c r="P893" s="5"/>
      <c r="Q893" s="57"/>
      <c r="R893" s="5"/>
      <c r="S893" s="5"/>
      <c r="T893" s="5"/>
      <c r="U893" s="5"/>
      <c r="V893" s="5"/>
      <c r="W893" s="5"/>
      <c r="X893" s="5"/>
      <c r="Y893" s="5"/>
      <c r="Z893" s="5"/>
    </row>
    <row r="894" spans="1:26" ht="12.75" customHeight="1">
      <c r="A894" s="5"/>
      <c r="B894" s="5"/>
      <c r="C894" s="5"/>
      <c r="D894" s="5"/>
      <c r="E894" s="5"/>
      <c r="F894" s="5"/>
      <c r="G894" s="5"/>
      <c r="H894" s="306"/>
      <c r="I894" s="5"/>
      <c r="J894" s="5"/>
      <c r="K894" s="5"/>
      <c r="L894" s="5"/>
      <c r="M894" s="5"/>
      <c r="N894" s="5"/>
      <c r="O894" s="5"/>
      <c r="P894" s="5"/>
      <c r="Q894" s="57"/>
      <c r="R894" s="5"/>
      <c r="S894" s="5"/>
      <c r="T894" s="5"/>
      <c r="U894" s="5"/>
      <c r="V894" s="5"/>
      <c r="W894" s="5"/>
      <c r="X894" s="5"/>
      <c r="Y894" s="5"/>
      <c r="Z894" s="5"/>
    </row>
    <row r="895" spans="1:26" ht="12.75" customHeight="1">
      <c r="A895" s="5"/>
      <c r="B895" s="5"/>
      <c r="C895" s="5"/>
      <c r="D895" s="5"/>
      <c r="E895" s="5"/>
      <c r="F895" s="5"/>
      <c r="G895" s="5"/>
      <c r="H895" s="306"/>
      <c r="I895" s="5"/>
      <c r="J895" s="5"/>
      <c r="K895" s="5"/>
      <c r="L895" s="5"/>
      <c r="M895" s="5"/>
      <c r="N895" s="5"/>
      <c r="O895" s="5"/>
      <c r="P895" s="5"/>
      <c r="Q895" s="57"/>
      <c r="R895" s="5"/>
      <c r="S895" s="5"/>
      <c r="T895" s="5"/>
      <c r="U895" s="5"/>
      <c r="V895" s="5"/>
      <c r="W895" s="5"/>
      <c r="X895" s="5"/>
      <c r="Y895" s="5"/>
      <c r="Z895" s="5"/>
    </row>
    <row r="896" spans="1:26" ht="12.75" customHeight="1">
      <c r="A896" s="5"/>
      <c r="B896" s="5"/>
      <c r="C896" s="5"/>
      <c r="D896" s="5"/>
      <c r="E896" s="5"/>
      <c r="F896" s="5"/>
      <c r="G896" s="5"/>
      <c r="H896" s="306"/>
      <c r="I896" s="5"/>
      <c r="J896" s="5"/>
      <c r="K896" s="5"/>
      <c r="L896" s="5"/>
      <c r="M896" s="5"/>
      <c r="N896" s="5"/>
      <c r="O896" s="5"/>
      <c r="P896" s="5"/>
      <c r="Q896" s="57"/>
      <c r="R896" s="5"/>
      <c r="S896" s="5"/>
      <c r="T896" s="5"/>
      <c r="U896" s="5"/>
      <c r="V896" s="5"/>
      <c r="W896" s="5"/>
      <c r="X896" s="5"/>
      <c r="Y896" s="5"/>
      <c r="Z896" s="5"/>
    </row>
    <row r="897" spans="1:26" ht="12.75" customHeight="1">
      <c r="A897" s="5"/>
      <c r="B897" s="5"/>
      <c r="C897" s="5"/>
      <c r="D897" s="5"/>
      <c r="E897" s="5"/>
      <c r="F897" s="5"/>
      <c r="G897" s="5"/>
      <c r="H897" s="306"/>
      <c r="I897" s="5"/>
      <c r="J897" s="5"/>
      <c r="K897" s="5"/>
      <c r="L897" s="5"/>
      <c r="M897" s="5"/>
      <c r="N897" s="5"/>
      <c r="O897" s="5"/>
      <c r="P897" s="5"/>
      <c r="Q897" s="57"/>
      <c r="R897" s="5"/>
      <c r="S897" s="5"/>
      <c r="T897" s="5"/>
      <c r="U897" s="5"/>
      <c r="V897" s="5"/>
      <c r="W897" s="5"/>
      <c r="X897" s="5"/>
      <c r="Y897" s="5"/>
      <c r="Z897" s="5"/>
    </row>
    <row r="898" spans="1:26" ht="12.75" customHeight="1">
      <c r="A898" s="5"/>
      <c r="B898" s="5"/>
      <c r="C898" s="5"/>
      <c r="D898" s="5"/>
      <c r="E898" s="5"/>
      <c r="F898" s="5"/>
      <c r="G898" s="5"/>
      <c r="H898" s="306"/>
      <c r="I898" s="5"/>
      <c r="J898" s="5"/>
      <c r="K898" s="5"/>
      <c r="L898" s="5"/>
      <c r="M898" s="5"/>
      <c r="N898" s="5"/>
      <c r="O898" s="5"/>
      <c r="P898" s="5"/>
      <c r="Q898" s="57"/>
      <c r="R898" s="5"/>
      <c r="S898" s="5"/>
      <c r="T898" s="5"/>
      <c r="U898" s="5"/>
      <c r="V898" s="5"/>
      <c r="W898" s="5"/>
      <c r="X898" s="5"/>
      <c r="Y898" s="5"/>
      <c r="Z898" s="5"/>
    </row>
    <row r="899" spans="1:26" ht="12.75" customHeight="1">
      <c r="A899" s="5"/>
      <c r="B899" s="5"/>
      <c r="C899" s="5"/>
      <c r="D899" s="5"/>
      <c r="E899" s="5"/>
      <c r="F899" s="5"/>
      <c r="G899" s="5"/>
      <c r="H899" s="306"/>
      <c r="I899" s="5"/>
      <c r="J899" s="5"/>
      <c r="K899" s="5"/>
      <c r="L899" s="5"/>
      <c r="M899" s="5"/>
      <c r="N899" s="5"/>
      <c r="O899" s="5"/>
      <c r="P899" s="5"/>
      <c r="Q899" s="57"/>
      <c r="R899" s="5"/>
      <c r="S899" s="5"/>
      <c r="T899" s="5"/>
      <c r="U899" s="5"/>
      <c r="V899" s="5"/>
      <c r="W899" s="5"/>
      <c r="X899" s="5"/>
      <c r="Y899" s="5"/>
      <c r="Z899" s="5"/>
    </row>
    <row r="900" spans="1:26" ht="12.75" customHeight="1">
      <c r="A900" s="5"/>
      <c r="B900" s="5"/>
      <c r="C900" s="5"/>
      <c r="D900" s="5"/>
      <c r="E900" s="5"/>
      <c r="F900" s="5"/>
      <c r="G900" s="5"/>
      <c r="H900" s="306"/>
      <c r="I900" s="5"/>
      <c r="J900" s="5"/>
      <c r="K900" s="5"/>
      <c r="L900" s="5"/>
      <c r="M900" s="5"/>
      <c r="N900" s="5"/>
      <c r="O900" s="5"/>
      <c r="P900" s="5"/>
      <c r="Q900" s="57"/>
      <c r="R900" s="5"/>
      <c r="S900" s="5"/>
      <c r="T900" s="5"/>
      <c r="U900" s="5"/>
      <c r="V900" s="5"/>
      <c r="W900" s="5"/>
      <c r="X900" s="5"/>
      <c r="Y900" s="5"/>
      <c r="Z900" s="5"/>
    </row>
    <row r="901" spans="1:26" ht="12.75" customHeight="1">
      <c r="A901" s="5"/>
      <c r="B901" s="5"/>
      <c r="C901" s="5"/>
      <c r="D901" s="5"/>
      <c r="E901" s="5"/>
      <c r="F901" s="5"/>
      <c r="G901" s="5"/>
      <c r="H901" s="306"/>
      <c r="I901" s="5"/>
      <c r="J901" s="5"/>
      <c r="K901" s="5"/>
      <c r="L901" s="5"/>
      <c r="M901" s="5"/>
      <c r="N901" s="5"/>
      <c r="O901" s="5"/>
      <c r="P901" s="5"/>
      <c r="Q901" s="57"/>
      <c r="R901" s="5"/>
      <c r="S901" s="5"/>
      <c r="T901" s="5"/>
      <c r="U901" s="5"/>
      <c r="V901" s="5"/>
      <c r="W901" s="5"/>
      <c r="X901" s="5"/>
      <c r="Y901" s="5"/>
      <c r="Z901" s="5"/>
    </row>
    <row r="902" spans="1:26" ht="12.75" customHeight="1">
      <c r="A902" s="5"/>
      <c r="B902" s="5"/>
      <c r="C902" s="5"/>
      <c r="D902" s="5"/>
      <c r="E902" s="5"/>
      <c r="F902" s="5"/>
      <c r="G902" s="5"/>
      <c r="H902" s="306"/>
      <c r="I902" s="5"/>
      <c r="J902" s="5"/>
      <c r="K902" s="5"/>
      <c r="L902" s="5"/>
      <c r="M902" s="5"/>
      <c r="N902" s="5"/>
      <c r="O902" s="5"/>
      <c r="P902" s="5"/>
      <c r="Q902" s="57"/>
      <c r="R902" s="5"/>
      <c r="S902" s="5"/>
      <c r="T902" s="5"/>
      <c r="U902" s="5"/>
      <c r="V902" s="5"/>
      <c r="W902" s="5"/>
      <c r="X902" s="5"/>
      <c r="Y902" s="5"/>
      <c r="Z902" s="5"/>
    </row>
    <row r="903" spans="1:26" ht="12.75" customHeight="1">
      <c r="A903" s="5"/>
      <c r="B903" s="5"/>
      <c r="C903" s="5"/>
      <c r="D903" s="5"/>
      <c r="E903" s="5"/>
      <c r="F903" s="5"/>
      <c r="G903" s="5"/>
      <c r="H903" s="306"/>
      <c r="I903" s="5"/>
      <c r="J903" s="5"/>
      <c r="K903" s="5"/>
      <c r="L903" s="5"/>
      <c r="M903" s="5"/>
      <c r="N903" s="5"/>
      <c r="O903" s="5"/>
      <c r="P903" s="5"/>
      <c r="Q903" s="57"/>
      <c r="R903" s="5"/>
      <c r="S903" s="5"/>
      <c r="T903" s="5"/>
      <c r="U903" s="5"/>
      <c r="V903" s="5"/>
      <c r="W903" s="5"/>
      <c r="X903" s="5"/>
      <c r="Y903" s="5"/>
      <c r="Z903" s="5"/>
    </row>
    <row r="904" spans="1:26" ht="12.75" customHeight="1">
      <c r="A904" s="5"/>
      <c r="B904" s="5"/>
      <c r="C904" s="5"/>
      <c r="D904" s="5"/>
      <c r="E904" s="5"/>
      <c r="F904" s="5"/>
      <c r="G904" s="5"/>
      <c r="H904" s="306"/>
      <c r="I904" s="5"/>
      <c r="J904" s="5"/>
      <c r="K904" s="5"/>
      <c r="L904" s="5"/>
      <c r="M904" s="5"/>
      <c r="N904" s="5"/>
      <c r="O904" s="5"/>
      <c r="P904" s="5"/>
      <c r="Q904" s="57"/>
      <c r="R904" s="5"/>
      <c r="S904" s="5"/>
      <c r="T904" s="5"/>
      <c r="U904" s="5"/>
      <c r="V904" s="5"/>
      <c r="W904" s="5"/>
      <c r="X904" s="5"/>
      <c r="Y904" s="5"/>
      <c r="Z904" s="5"/>
    </row>
    <row r="905" spans="1:26" ht="12.75" customHeight="1">
      <c r="A905" s="5"/>
      <c r="B905" s="5"/>
      <c r="C905" s="5"/>
      <c r="D905" s="5"/>
      <c r="E905" s="5"/>
      <c r="F905" s="5"/>
      <c r="G905" s="5"/>
      <c r="H905" s="306"/>
      <c r="I905" s="5"/>
      <c r="J905" s="5"/>
      <c r="K905" s="5"/>
      <c r="L905" s="5"/>
      <c r="M905" s="5"/>
      <c r="N905" s="5"/>
      <c r="O905" s="5"/>
      <c r="P905" s="5"/>
      <c r="Q905" s="57"/>
      <c r="R905" s="5"/>
      <c r="S905" s="5"/>
      <c r="T905" s="5"/>
      <c r="U905" s="5"/>
      <c r="V905" s="5"/>
      <c r="W905" s="5"/>
      <c r="X905" s="5"/>
      <c r="Y905" s="5"/>
      <c r="Z905" s="5"/>
    </row>
    <row r="906" spans="1:26" ht="12.75" customHeight="1">
      <c r="A906" s="5"/>
      <c r="B906" s="5"/>
      <c r="C906" s="5"/>
      <c r="D906" s="5"/>
      <c r="E906" s="5"/>
      <c r="F906" s="5"/>
      <c r="G906" s="5"/>
      <c r="H906" s="306"/>
      <c r="I906" s="5"/>
      <c r="J906" s="5"/>
      <c r="K906" s="5"/>
      <c r="L906" s="5"/>
      <c r="M906" s="5"/>
      <c r="N906" s="5"/>
      <c r="O906" s="5"/>
      <c r="P906" s="5"/>
      <c r="Q906" s="57"/>
      <c r="R906" s="5"/>
      <c r="S906" s="5"/>
      <c r="T906" s="5"/>
      <c r="U906" s="5"/>
      <c r="V906" s="5"/>
      <c r="W906" s="5"/>
      <c r="X906" s="5"/>
      <c r="Y906" s="5"/>
      <c r="Z906" s="5"/>
    </row>
    <row r="907" spans="1:26" ht="12.75" customHeight="1">
      <c r="A907" s="5"/>
      <c r="B907" s="5"/>
      <c r="C907" s="5"/>
      <c r="D907" s="5"/>
      <c r="E907" s="5"/>
      <c r="F907" s="5"/>
      <c r="G907" s="5"/>
      <c r="H907" s="306"/>
      <c r="I907" s="5"/>
      <c r="J907" s="5"/>
      <c r="K907" s="5"/>
      <c r="L907" s="5"/>
      <c r="M907" s="5"/>
      <c r="N907" s="5"/>
      <c r="O907" s="5"/>
      <c r="P907" s="5"/>
      <c r="Q907" s="57"/>
      <c r="R907" s="5"/>
      <c r="S907" s="5"/>
      <c r="T907" s="5"/>
      <c r="U907" s="5"/>
      <c r="V907" s="5"/>
      <c r="W907" s="5"/>
      <c r="X907" s="5"/>
      <c r="Y907" s="5"/>
      <c r="Z907" s="5"/>
    </row>
    <row r="908" spans="1:26" ht="12.75" customHeight="1">
      <c r="A908" s="5"/>
      <c r="B908" s="5"/>
      <c r="C908" s="5"/>
      <c r="D908" s="5"/>
      <c r="E908" s="5"/>
      <c r="F908" s="5"/>
      <c r="G908" s="5"/>
      <c r="H908" s="306"/>
      <c r="I908" s="5"/>
      <c r="J908" s="5"/>
      <c r="K908" s="5"/>
      <c r="L908" s="5"/>
      <c r="M908" s="5"/>
      <c r="N908" s="5"/>
      <c r="O908" s="5"/>
      <c r="P908" s="5"/>
      <c r="Q908" s="57"/>
      <c r="R908" s="5"/>
      <c r="S908" s="5"/>
      <c r="T908" s="5"/>
      <c r="U908" s="5"/>
      <c r="V908" s="5"/>
      <c r="W908" s="5"/>
      <c r="X908" s="5"/>
      <c r="Y908" s="5"/>
      <c r="Z908" s="5"/>
    </row>
    <row r="909" spans="1:26" ht="12.75" customHeight="1">
      <c r="A909" s="5"/>
      <c r="B909" s="5"/>
      <c r="C909" s="5"/>
      <c r="D909" s="5"/>
      <c r="E909" s="5"/>
      <c r="F909" s="5"/>
      <c r="G909" s="5"/>
      <c r="H909" s="306"/>
      <c r="I909" s="5"/>
      <c r="J909" s="5"/>
      <c r="K909" s="5"/>
      <c r="L909" s="5"/>
      <c r="M909" s="5"/>
      <c r="N909" s="5"/>
      <c r="O909" s="5"/>
      <c r="P909" s="5"/>
      <c r="Q909" s="57"/>
      <c r="R909" s="5"/>
      <c r="S909" s="5"/>
      <c r="T909" s="5"/>
      <c r="U909" s="5"/>
      <c r="V909" s="5"/>
      <c r="W909" s="5"/>
      <c r="X909" s="5"/>
      <c r="Y909" s="5"/>
      <c r="Z909" s="5"/>
    </row>
    <row r="910" spans="1:26" ht="12.75" customHeight="1">
      <c r="A910" s="5"/>
      <c r="B910" s="5"/>
      <c r="C910" s="5"/>
      <c r="D910" s="5"/>
      <c r="E910" s="5"/>
      <c r="F910" s="5"/>
      <c r="G910" s="5"/>
      <c r="H910" s="306"/>
      <c r="I910" s="5"/>
      <c r="J910" s="5"/>
      <c r="K910" s="5"/>
      <c r="L910" s="5"/>
      <c r="M910" s="5"/>
      <c r="N910" s="5"/>
      <c r="O910" s="5"/>
      <c r="P910" s="5"/>
      <c r="Q910" s="57"/>
      <c r="R910" s="5"/>
      <c r="S910" s="5"/>
      <c r="T910" s="5"/>
      <c r="U910" s="5"/>
      <c r="V910" s="5"/>
      <c r="W910" s="5"/>
      <c r="X910" s="5"/>
      <c r="Y910" s="5"/>
      <c r="Z910" s="5"/>
    </row>
    <row r="911" spans="1:26" ht="12.75" customHeight="1">
      <c r="A911" s="5"/>
      <c r="B911" s="5"/>
      <c r="C911" s="5"/>
      <c r="D911" s="5"/>
      <c r="E911" s="5"/>
      <c r="F911" s="5"/>
      <c r="G911" s="5"/>
      <c r="H911" s="306"/>
      <c r="I911" s="5"/>
      <c r="J911" s="5"/>
      <c r="K911" s="5"/>
      <c r="L911" s="5"/>
      <c r="M911" s="5"/>
      <c r="N911" s="5"/>
      <c r="O911" s="5"/>
      <c r="P911" s="5"/>
      <c r="Q911" s="57"/>
      <c r="R911" s="5"/>
      <c r="S911" s="5"/>
      <c r="T911" s="5"/>
      <c r="U911" s="5"/>
      <c r="V911" s="5"/>
      <c r="W911" s="5"/>
      <c r="X911" s="5"/>
      <c r="Y911" s="5"/>
      <c r="Z911" s="5"/>
    </row>
    <row r="912" spans="1:26" ht="12.75" customHeight="1">
      <c r="A912" s="5"/>
      <c r="B912" s="5"/>
      <c r="C912" s="5"/>
      <c r="D912" s="5"/>
      <c r="E912" s="5"/>
      <c r="F912" s="5"/>
      <c r="G912" s="5"/>
      <c r="H912" s="306"/>
      <c r="I912" s="5"/>
      <c r="J912" s="5"/>
      <c r="K912" s="5"/>
      <c r="L912" s="5"/>
      <c r="M912" s="5"/>
      <c r="N912" s="5"/>
      <c r="O912" s="5"/>
      <c r="P912" s="5"/>
      <c r="Q912" s="57"/>
      <c r="R912" s="5"/>
      <c r="S912" s="5"/>
      <c r="T912" s="5"/>
      <c r="U912" s="5"/>
      <c r="V912" s="5"/>
      <c r="W912" s="5"/>
      <c r="X912" s="5"/>
      <c r="Y912" s="5"/>
      <c r="Z912" s="5"/>
    </row>
    <row r="913" spans="1:26" ht="12.75" customHeight="1">
      <c r="A913" s="5"/>
      <c r="B913" s="5"/>
      <c r="C913" s="5"/>
      <c r="D913" s="5"/>
      <c r="E913" s="5"/>
      <c r="F913" s="5"/>
      <c r="G913" s="5"/>
      <c r="H913" s="306"/>
      <c r="I913" s="5"/>
      <c r="J913" s="5"/>
      <c r="K913" s="5"/>
      <c r="L913" s="5"/>
      <c r="M913" s="5"/>
      <c r="N913" s="5"/>
      <c r="O913" s="5"/>
      <c r="P913" s="5"/>
      <c r="Q913" s="57"/>
      <c r="R913" s="5"/>
      <c r="S913" s="5"/>
      <c r="T913" s="5"/>
      <c r="U913" s="5"/>
      <c r="V913" s="5"/>
      <c r="W913" s="5"/>
      <c r="X913" s="5"/>
      <c r="Y913" s="5"/>
      <c r="Z913" s="5"/>
    </row>
    <row r="914" spans="1:26" ht="12.75" customHeight="1">
      <c r="A914" s="5"/>
      <c r="B914" s="5"/>
      <c r="C914" s="5"/>
      <c r="D914" s="5"/>
      <c r="E914" s="5"/>
      <c r="F914" s="5"/>
      <c r="G914" s="5"/>
      <c r="H914" s="306"/>
      <c r="I914" s="5"/>
      <c r="J914" s="5"/>
      <c r="K914" s="5"/>
      <c r="L914" s="5"/>
      <c r="M914" s="5"/>
      <c r="N914" s="5"/>
      <c r="O914" s="5"/>
      <c r="P914" s="5"/>
      <c r="Q914" s="57"/>
      <c r="R914" s="5"/>
      <c r="S914" s="5"/>
      <c r="T914" s="5"/>
      <c r="U914" s="5"/>
      <c r="V914" s="5"/>
      <c r="W914" s="5"/>
      <c r="X914" s="5"/>
      <c r="Y914" s="5"/>
      <c r="Z914" s="5"/>
    </row>
    <row r="915" spans="1:26" ht="12.75" customHeight="1">
      <c r="A915" s="5"/>
      <c r="B915" s="5"/>
      <c r="C915" s="5"/>
      <c r="D915" s="5"/>
      <c r="E915" s="5"/>
      <c r="F915" s="5"/>
      <c r="G915" s="5"/>
      <c r="H915" s="306"/>
      <c r="I915" s="5"/>
      <c r="J915" s="5"/>
      <c r="K915" s="5"/>
      <c r="L915" s="5"/>
      <c r="M915" s="5"/>
      <c r="N915" s="5"/>
      <c r="O915" s="5"/>
      <c r="P915" s="5"/>
      <c r="Q915" s="57"/>
      <c r="R915" s="5"/>
      <c r="S915" s="5"/>
      <c r="T915" s="5"/>
      <c r="U915" s="5"/>
      <c r="V915" s="5"/>
      <c r="W915" s="5"/>
      <c r="X915" s="5"/>
      <c r="Y915" s="5"/>
      <c r="Z915" s="5"/>
    </row>
    <row r="916" spans="1:26" ht="12.75" customHeight="1">
      <c r="A916" s="5"/>
      <c r="B916" s="5"/>
      <c r="C916" s="5"/>
      <c r="D916" s="5"/>
      <c r="E916" s="5"/>
      <c r="F916" s="5"/>
      <c r="G916" s="5"/>
      <c r="H916" s="306"/>
      <c r="I916" s="5"/>
      <c r="J916" s="5"/>
      <c r="K916" s="5"/>
      <c r="L916" s="5"/>
      <c r="M916" s="5"/>
      <c r="N916" s="5"/>
      <c r="O916" s="5"/>
      <c r="P916" s="5"/>
      <c r="Q916" s="57"/>
      <c r="R916" s="5"/>
      <c r="S916" s="5"/>
      <c r="T916" s="5"/>
      <c r="U916" s="5"/>
      <c r="V916" s="5"/>
      <c r="W916" s="5"/>
      <c r="X916" s="5"/>
      <c r="Y916" s="5"/>
      <c r="Z916" s="5"/>
    </row>
    <row r="917" spans="1:26" ht="12.75" customHeight="1">
      <c r="A917" s="5"/>
      <c r="B917" s="5"/>
      <c r="C917" s="5"/>
      <c r="D917" s="5"/>
      <c r="E917" s="5"/>
      <c r="F917" s="5"/>
      <c r="G917" s="5"/>
      <c r="H917" s="306"/>
      <c r="I917" s="5"/>
      <c r="J917" s="5"/>
      <c r="K917" s="5"/>
      <c r="L917" s="5"/>
      <c r="M917" s="5"/>
      <c r="N917" s="5"/>
      <c r="O917" s="5"/>
      <c r="P917" s="5"/>
      <c r="Q917" s="57"/>
      <c r="R917" s="5"/>
      <c r="S917" s="5"/>
      <c r="T917" s="5"/>
      <c r="U917" s="5"/>
      <c r="V917" s="5"/>
      <c r="W917" s="5"/>
      <c r="X917" s="5"/>
      <c r="Y917" s="5"/>
      <c r="Z917" s="5"/>
    </row>
    <row r="918" spans="1:26" ht="12.75" customHeight="1">
      <c r="A918" s="5"/>
      <c r="B918" s="5"/>
      <c r="C918" s="5"/>
      <c r="D918" s="5"/>
      <c r="E918" s="5"/>
      <c r="F918" s="5"/>
      <c r="G918" s="5"/>
      <c r="H918" s="306"/>
      <c r="I918" s="5"/>
      <c r="J918" s="5"/>
      <c r="K918" s="5"/>
      <c r="L918" s="5"/>
      <c r="M918" s="5"/>
      <c r="N918" s="5"/>
      <c r="O918" s="5"/>
      <c r="P918" s="5"/>
      <c r="Q918" s="57"/>
      <c r="R918" s="5"/>
      <c r="S918" s="5"/>
      <c r="T918" s="5"/>
      <c r="U918" s="5"/>
      <c r="V918" s="5"/>
      <c r="W918" s="5"/>
      <c r="X918" s="5"/>
      <c r="Y918" s="5"/>
      <c r="Z918" s="5"/>
    </row>
    <row r="919" spans="1:26" ht="12.75" customHeight="1">
      <c r="A919" s="5"/>
      <c r="B919" s="5"/>
      <c r="C919" s="5"/>
      <c r="D919" s="5"/>
      <c r="E919" s="5"/>
      <c r="F919" s="5"/>
      <c r="G919" s="5"/>
      <c r="H919" s="306"/>
      <c r="I919" s="5"/>
      <c r="J919" s="5"/>
      <c r="K919" s="5"/>
      <c r="L919" s="5"/>
      <c r="M919" s="5"/>
      <c r="N919" s="5"/>
      <c r="O919" s="5"/>
      <c r="P919" s="5"/>
      <c r="Q919" s="57"/>
      <c r="R919" s="5"/>
      <c r="S919" s="5"/>
      <c r="T919" s="5"/>
      <c r="U919" s="5"/>
      <c r="V919" s="5"/>
      <c r="W919" s="5"/>
      <c r="X919" s="5"/>
      <c r="Y919" s="5"/>
      <c r="Z919" s="5"/>
    </row>
    <row r="920" spans="1:26" ht="12.75" customHeight="1">
      <c r="A920" s="5"/>
      <c r="B920" s="5"/>
      <c r="C920" s="5"/>
      <c r="D920" s="5"/>
      <c r="E920" s="5"/>
      <c r="F920" s="5"/>
      <c r="G920" s="5"/>
      <c r="H920" s="306"/>
      <c r="I920" s="5"/>
      <c r="J920" s="5"/>
      <c r="K920" s="5"/>
      <c r="L920" s="5"/>
      <c r="M920" s="5"/>
      <c r="N920" s="5"/>
      <c r="O920" s="5"/>
      <c r="P920" s="5"/>
      <c r="Q920" s="57"/>
      <c r="R920" s="5"/>
      <c r="S920" s="5"/>
      <c r="T920" s="5"/>
      <c r="U920" s="5"/>
      <c r="V920" s="5"/>
      <c r="W920" s="5"/>
      <c r="X920" s="5"/>
      <c r="Y920" s="5"/>
      <c r="Z920" s="5"/>
    </row>
    <row r="921" spans="1:26" ht="12.75" customHeight="1">
      <c r="A921" s="5"/>
      <c r="B921" s="5"/>
      <c r="C921" s="5"/>
      <c r="D921" s="5"/>
      <c r="E921" s="5"/>
      <c r="F921" s="5"/>
      <c r="G921" s="5"/>
      <c r="H921" s="306"/>
      <c r="I921" s="5"/>
      <c r="J921" s="5"/>
      <c r="K921" s="5"/>
      <c r="L921" s="5"/>
      <c r="M921" s="5"/>
      <c r="N921" s="5"/>
      <c r="O921" s="5"/>
      <c r="P921" s="5"/>
      <c r="Q921" s="57"/>
      <c r="R921" s="5"/>
      <c r="S921" s="5"/>
      <c r="T921" s="5"/>
      <c r="U921" s="5"/>
      <c r="V921" s="5"/>
      <c r="W921" s="5"/>
      <c r="X921" s="5"/>
      <c r="Y921" s="5"/>
      <c r="Z921" s="5"/>
    </row>
    <row r="922" spans="1:26" ht="12.75" customHeight="1">
      <c r="A922" s="5"/>
      <c r="B922" s="5"/>
      <c r="C922" s="5"/>
      <c r="D922" s="5"/>
      <c r="E922" s="5"/>
      <c r="F922" s="5"/>
      <c r="G922" s="5"/>
      <c r="H922" s="306"/>
      <c r="I922" s="5"/>
      <c r="J922" s="5"/>
      <c r="K922" s="5"/>
      <c r="L922" s="5"/>
      <c r="M922" s="5"/>
      <c r="N922" s="5"/>
      <c r="O922" s="5"/>
      <c r="P922" s="5"/>
      <c r="Q922" s="57"/>
      <c r="R922" s="5"/>
      <c r="S922" s="5"/>
      <c r="T922" s="5"/>
      <c r="U922" s="5"/>
      <c r="V922" s="5"/>
      <c r="W922" s="5"/>
      <c r="X922" s="5"/>
      <c r="Y922" s="5"/>
      <c r="Z922" s="5"/>
    </row>
    <row r="923" spans="1:26" ht="12.75" customHeight="1">
      <c r="A923" s="5"/>
      <c r="B923" s="5"/>
      <c r="C923" s="5"/>
      <c r="D923" s="5"/>
      <c r="E923" s="5"/>
      <c r="F923" s="5"/>
      <c r="G923" s="5"/>
      <c r="H923" s="306"/>
      <c r="I923" s="5"/>
      <c r="J923" s="5"/>
      <c r="K923" s="5"/>
      <c r="L923" s="5"/>
      <c r="M923" s="5"/>
      <c r="N923" s="5"/>
      <c r="O923" s="5"/>
      <c r="P923" s="5"/>
      <c r="Q923" s="57"/>
      <c r="R923" s="5"/>
      <c r="S923" s="5"/>
      <c r="T923" s="5"/>
      <c r="U923" s="5"/>
      <c r="V923" s="5"/>
      <c r="W923" s="5"/>
      <c r="X923" s="5"/>
      <c r="Y923" s="5"/>
      <c r="Z923" s="5"/>
    </row>
    <row r="924" spans="1:26" ht="12.75" customHeight="1">
      <c r="A924" s="5"/>
      <c r="B924" s="5"/>
      <c r="C924" s="5"/>
      <c r="D924" s="5"/>
      <c r="E924" s="5"/>
      <c r="F924" s="5"/>
      <c r="G924" s="5"/>
      <c r="H924" s="306"/>
      <c r="I924" s="5"/>
      <c r="J924" s="5"/>
      <c r="K924" s="5"/>
      <c r="L924" s="5"/>
      <c r="M924" s="5"/>
      <c r="N924" s="5"/>
      <c r="O924" s="5"/>
      <c r="P924" s="5"/>
      <c r="Q924" s="57"/>
      <c r="R924" s="5"/>
      <c r="S924" s="5"/>
      <c r="T924" s="5"/>
      <c r="U924" s="5"/>
      <c r="V924" s="5"/>
      <c r="W924" s="5"/>
      <c r="X924" s="5"/>
      <c r="Y924" s="5"/>
      <c r="Z924" s="5"/>
    </row>
    <row r="925" spans="1:26" ht="12.75" customHeight="1">
      <c r="A925" s="5"/>
      <c r="B925" s="5"/>
      <c r="C925" s="5"/>
      <c r="D925" s="5"/>
      <c r="E925" s="5"/>
      <c r="F925" s="5"/>
      <c r="G925" s="5"/>
      <c r="H925" s="306"/>
      <c r="I925" s="5"/>
      <c r="J925" s="5"/>
      <c r="K925" s="5"/>
      <c r="L925" s="5"/>
      <c r="M925" s="5"/>
      <c r="N925" s="5"/>
      <c r="O925" s="5"/>
      <c r="P925" s="5"/>
      <c r="Q925" s="57"/>
      <c r="R925" s="5"/>
      <c r="S925" s="5"/>
      <c r="T925" s="5"/>
      <c r="U925" s="5"/>
      <c r="V925" s="5"/>
      <c r="W925" s="5"/>
      <c r="X925" s="5"/>
      <c r="Y925" s="5"/>
      <c r="Z925" s="5"/>
    </row>
    <row r="926" spans="1:26" ht="12.75" customHeight="1">
      <c r="A926" s="5"/>
      <c r="B926" s="5"/>
      <c r="C926" s="5"/>
      <c r="D926" s="5"/>
      <c r="E926" s="5"/>
      <c r="F926" s="5"/>
      <c r="G926" s="5"/>
      <c r="H926" s="306"/>
      <c r="I926" s="5"/>
      <c r="J926" s="5"/>
      <c r="K926" s="5"/>
      <c r="L926" s="5"/>
      <c r="M926" s="5"/>
      <c r="N926" s="5"/>
      <c r="O926" s="5"/>
      <c r="P926" s="5"/>
      <c r="Q926" s="57"/>
      <c r="R926" s="5"/>
      <c r="S926" s="5"/>
      <c r="T926" s="5"/>
      <c r="U926" s="5"/>
      <c r="V926" s="5"/>
      <c r="W926" s="5"/>
      <c r="X926" s="5"/>
      <c r="Y926" s="5"/>
      <c r="Z926" s="5"/>
    </row>
    <row r="927" spans="1:26" ht="12.75" customHeight="1">
      <c r="A927" s="5"/>
      <c r="B927" s="5"/>
      <c r="C927" s="5"/>
      <c r="D927" s="5"/>
      <c r="E927" s="5"/>
      <c r="F927" s="5"/>
      <c r="G927" s="5"/>
      <c r="H927" s="306"/>
      <c r="I927" s="5"/>
      <c r="J927" s="5"/>
      <c r="K927" s="5"/>
      <c r="L927" s="5"/>
      <c r="M927" s="5"/>
      <c r="N927" s="5"/>
      <c r="O927" s="5"/>
      <c r="P927" s="5"/>
      <c r="Q927" s="57"/>
      <c r="R927" s="5"/>
      <c r="S927" s="5"/>
      <c r="T927" s="5"/>
      <c r="U927" s="5"/>
      <c r="V927" s="5"/>
      <c r="W927" s="5"/>
      <c r="X927" s="5"/>
      <c r="Y927" s="5"/>
      <c r="Z927" s="5"/>
    </row>
    <row r="928" spans="1:26" ht="12.75" customHeight="1">
      <c r="A928" s="5"/>
      <c r="B928" s="5"/>
      <c r="C928" s="5"/>
      <c r="D928" s="5"/>
      <c r="E928" s="5"/>
      <c r="F928" s="5"/>
      <c r="G928" s="5"/>
      <c r="H928" s="306"/>
      <c r="I928" s="5"/>
      <c r="J928" s="5"/>
      <c r="K928" s="5"/>
      <c r="L928" s="5"/>
      <c r="M928" s="5"/>
      <c r="N928" s="5"/>
      <c r="O928" s="5"/>
      <c r="P928" s="5"/>
      <c r="Q928" s="57"/>
      <c r="R928" s="5"/>
      <c r="S928" s="5"/>
      <c r="T928" s="5"/>
      <c r="U928" s="5"/>
      <c r="V928" s="5"/>
      <c r="W928" s="5"/>
      <c r="X928" s="5"/>
      <c r="Y928" s="5"/>
      <c r="Z928" s="5"/>
    </row>
    <row r="929" spans="1:26" ht="12.75" customHeight="1">
      <c r="A929" s="5"/>
      <c r="B929" s="5"/>
      <c r="C929" s="5"/>
      <c r="D929" s="5"/>
      <c r="E929" s="5"/>
      <c r="F929" s="5"/>
      <c r="G929" s="5"/>
      <c r="H929" s="306"/>
      <c r="I929" s="5"/>
      <c r="J929" s="5"/>
      <c r="K929" s="5"/>
      <c r="L929" s="5"/>
      <c r="M929" s="5"/>
      <c r="N929" s="5"/>
      <c r="O929" s="5"/>
      <c r="P929" s="5"/>
      <c r="Q929" s="57"/>
      <c r="R929" s="5"/>
      <c r="S929" s="5"/>
      <c r="T929" s="5"/>
      <c r="U929" s="5"/>
      <c r="V929" s="5"/>
      <c r="W929" s="5"/>
      <c r="X929" s="5"/>
      <c r="Y929" s="5"/>
      <c r="Z929" s="5"/>
    </row>
    <row r="930" spans="1:26" ht="12.75" customHeight="1">
      <c r="A930" s="5"/>
      <c r="B930" s="5"/>
      <c r="C930" s="5"/>
      <c r="D930" s="5"/>
      <c r="E930" s="5"/>
      <c r="F930" s="5"/>
      <c r="G930" s="5"/>
      <c r="H930" s="306"/>
      <c r="I930" s="5"/>
      <c r="J930" s="5"/>
      <c r="K930" s="5"/>
      <c r="L930" s="5"/>
      <c r="M930" s="5"/>
      <c r="N930" s="5"/>
      <c r="O930" s="5"/>
      <c r="P930" s="5"/>
      <c r="Q930" s="57"/>
      <c r="R930" s="5"/>
      <c r="S930" s="5"/>
      <c r="T930" s="5"/>
      <c r="U930" s="5"/>
      <c r="V930" s="5"/>
      <c r="W930" s="5"/>
      <c r="X930" s="5"/>
      <c r="Y930" s="5"/>
      <c r="Z930" s="5"/>
    </row>
    <row r="931" spans="1:26" ht="12.75" customHeight="1">
      <c r="A931" s="5"/>
      <c r="B931" s="5"/>
      <c r="C931" s="5"/>
      <c r="D931" s="5"/>
      <c r="E931" s="5"/>
      <c r="F931" s="5"/>
      <c r="G931" s="5"/>
      <c r="H931" s="306"/>
      <c r="I931" s="5"/>
      <c r="J931" s="5"/>
      <c r="K931" s="5"/>
      <c r="L931" s="5"/>
      <c r="M931" s="5"/>
      <c r="N931" s="5"/>
      <c r="O931" s="5"/>
      <c r="P931" s="5"/>
      <c r="Q931" s="57"/>
      <c r="R931" s="5"/>
      <c r="S931" s="5"/>
      <c r="T931" s="5"/>
      <c r="U931" s="5"/>
      <c r="V931" s="5"/>
      <c r="W931" s="5"/>
      <c r="X931" s="5"/>
      <c r="Y931" s="5"/>
      <c r="Z931" s="5"/>
    </row>
    <row r="932" spans="1:26" ht="12.75" customHeight="1">
      <c r="A932" s="5"/>
      <c r="B932" s="5"/>
      <c r="C932" s="5"/>
      <c r="D932" s="5"/>
      <c r="E932" s="5"/>
      <c r="F932" s="5"/>
      <c r="G932" s="5"/>
      <c r="H932" s="306"/>
      <c r="I932" s="5"/>
      <c r="J932" s="5"/>
      <c r="K932" s="5"/>
      <c r="L932" s="5"/>
      <c r="M932" s="5"/>
      <c r="N932" s="5"/>
      <c r="O932" s="5"/>
      <c r="P932" s="5"/>
      <c r="Q932" s="57"/>
      <c r="R932" s="5"/>
      <c r="S932" s="5"/>
      <c r="T932" s="5"/>
      <c r="U932" s="5"/>
      <c r="V932" s="5"/>
      <c r="W932" s="5"/>
      <c r="X932" s="5"/>
      <c r="Y932" s="5"/>
      <c r="Z932" s="5"/>
    </row>
    <row r="933" spans="1:26" ht="12.75" customHeight="1">
      <c r="A933" s="5"/>
      <c r="B933" s="5"/>
      <c r="C933" s="5"/>
      <c r="D933" s="5"/>
      <c r="E933" s="5"/>
      <c r="F933" s="5"/>
      <c r="G933" s="5"/>
      <c r="H933" s="306"/>
      <c r="I933" s="5"/>
      <c r="J933" s="5"/>
      <c r="K933" s="5"/>
      <c r="L933" s="5"/>
      <c r="M933" s="5"/>
      <c r="N933" s="5"/>
      <c r="O933" s="5"/>
      <c r="P933" s="5"/>
      <c r="Q933" s="57"/>
      <c r="R933" s="5"/>
      <c r="S933" s="5"/>
      <c r="T933" s="5"/>
      <c r="U933" s="5"/>
      <c r="V933" s="5"/>
      <c r="W933" s="5"/>
      <c r="X933" s="5"/>
      <c r="Y933" s="5"/>
      <c r="Z933" s="5"/>
    </row>
    <row r="934" spans="1:26" ht="12.75" customHeight="1">
      <c r="A934" s="5"/>
      <c r="B934" s="5"/>
      <c r="C934" s="5"/>
      <c r="D934" s="5"/>
      <c r="E934" s="5"/>
      <c r="F934" s="5"/>
      <c r="G934" s="5"/>
      <c r="H934" s="306"/>
      <c r="I934" s="5"/>
      <c r="J934" s="5"/>
      <c r="K934" s="5"/>
      <c r="L934" s="5"/>
      <c r="M934" s="5"/>
      <c r="N934" s="5"/>
      <c r="O934" s="5"/>
      <c r="P934" s="5"/>
      <c r="Q934" s="57"/>
      <c r="R934" s="5"/>
      <c r="S934" s="5"/>
      <c r="T934" s="5"/>
      <c r="U934" s="5"/>
      <c r="V934" s="5"/>
      <c r="W934" s="5"/>
      <c r="X934" s="5"/>
      <c r="Y934" s="5"/>
      <c r="Z934" s="5"/>
    </row>
    <row r="935" spans="1:26" ht="12.75" customHeight="1">
      <c r="A935" s="5"/>
      <c r="B935" s="5"/>
      <c r="C935" s="5"/>
      <c r="D935" s="5"/>
      <c r="E935" s="5"/>
      <c r="F935" s="5"/>
      <c r="G935" s="5"/>
      <c r="H935" s="306"/>
      <c r="I935" s="5"/>
      <c r="J935" s="5"/>
      <c r="K935" s="5"/>
      <c r="L935" s="5"/>
      <c r="M935" s="5"/>
      <c r="N935" s="5"/>
      <c r="O935" s="5"/>
      <c r="P935" s="5"/>
      <c r="Q935" s="57"/>
      <c r="R935" s="5"/>
      <c r="S935" s="5"/>
      <c r="T935" s="5"/>
      <c r="U935" s="5"/>
      <c r="V935" s="5"/>
      <c r="W935" s="5"/>
      <c r="X935" s="5"/>
      <c r="Y935" s="5"/>
      <c r="Z935" s="5"/>
    </row>
    <row r="936" spans="1:26" ht="12.75" customHeight="1">
      <c r="A936" s="5"/>
      <c r="B936" s="5"/>
      <c r="C936" s="5"/>
      <c r="D936" s="5"/>
      <c r="E936" s="5"/>
      <c r="F936" s="5"/>
      <c r="G936" s="5"/>
      <c r="H936" s="306"/>
      <c r="I936" s="5"/>
      <c r="J936" s="5"/>
      <c r="K936" s="5"/>
      <c r="L936" s="5"/>
      <c r="M936" s="5"/>
      <c r="N936" s="5"/>
      <c r="O936" s="5"/>
      <c r="P936" s="5"/>
      <c r="Q936" s="57"/>
      <c r="R936" s="5"/>
      <c r="S936" s="5"/>
      <c r="T936" s="5"/>
      <c r="U936" s="5"/>
      <c r="V936" s="5"/>
      <c r="W936" s="5"/>
      <c r="X936" s="5"/>
      <c r="Y936" s="5"/>
      <c r="Z936" s="5"/>
    </row>
    <row r="937" spans="1:26" ht="12.75" customHeight="1">
      <c r="A937" s="5"/>
      <c r="B937" s="5"/>
      <c r="C937" s="5"/>
      <c r="D937" s="5"/>
      <c r="E937" s="5"/>
      <c r="F937" s="5"/>
      <c r="G937" s="5"/>
      <c r="H937" s="306"/>
      <c r="I937" s="5"/>
      <c r="J937" s="5"/>
      <c r="K937" s="5"/>
      <c r="L937" s="5"/>
      <c r="M937" s="5"/>
      <c r="N937" s="5"/>
      <c r="O937" s="5"/>
      <c r="P937" s="5"/>
      <c r="Q937" s="57"/>
      <c r="R937" s="5"/>
      <c r="S937" s="5"/>
      <c r="T937" s="5"/>
      <c r="U937" s="5"/>
      <c r="V937" s="5"/>
      <c r="W937" s="5"/>
      <c r="X937" s="5"/>
      <c r="Y937" s="5"/>
      <c r="Z937" s="5"/>
    </row>
    <row r="938" spans="1:26" ht="12.75" customHeight="1">
      <c r="A938" s="5"/>
      <c r="B938" s="5"/>
      <c r="C938" s="5"/>
      <c r="D938" s="5"/>
      <c r="E938" s="5"/>
      <c r="F938" s="5"/>
      <c r="G938" s="5"/>
      <c r="H938" s="306"/>
      <c r="I938" s="5"/>
      <c r="J938" s="5"/>
      <c r="K938" s="5"/>
      <c r="L938" s="5"/>
      <c r="M938" s="5"/>
      <c r="N938" s="5"/>
      <c r="O938" s="5"/>
      <c r="P938" s="5"/>
      <c r="Q938" s="57"/>
      <c r="R938" s="5"/>
      <c r="S938" s="5"/>
      <c r="T938" s="5"/>
      <c r="U938" s="5"/>
      <c r="V938" s="5"/>
      <c r="W938" s="5"/>
      <c r="X938" s="5"/>
      <c r="Y938" s="5"/>
      <c r="Z938" s="5"/>
    </row>
    <row r="939" spans="1:26" ht="12.75" customHeight="1">
      <c r="A939" s="5"/>
      <c r="B939" s="5"/>
      <c r="C939" s="5"/>
      <c r="D939" s="5"/>
      <c r="E939" s="5"/>
      <c r="F939" s="5"/>
      <c r="G939" s="5"/>
      <c r="H939" s="306"/>
      <c r="I939" s="5"/>
      <c r="J939" s="5"/>
      <c r="K939" s="5"/>
      <c r="L939" s="5"/>
      <c r="M939" s="5"/>
      <c r="N939" s="5"/>
      <c r="O939" s="5"/>
      <c r="P939" s="5"/>
      <c r="Q939" s="57"/>
      <c r="R939" s="5"/>
      <c r="S939" s="5"/>
      <c r="T939" s="5"/>
      <c r="U939" s="5"/>
      <c r="V939" s="5"/>
      <c r="W939" s="5"/>
      <c r="X939" s="5"/>
      <c r="Y939" s="5"/>
      <c r="Z939" s="5"/>
    </row>
    <row r="940" spans="1:26" ht="12.75" customHeight="1">
      <c r="A940" s="5"/>
      <c r="B940" s="5"/>
      <c r="C940" s="5"/>
      <c r="D940" s="5"/>
      <c r="E940" s="5"/>
      <c r="F940" s="5"/>
      <c r="G940" s="5"/>
      <c r="H940" s="306"/>
      <c r="I940" s="5"/>
      <c r="J940" s="5"/>
      <c r="K940" s="5"/>
      <c r="L940" s="5"/>
      <c r="M940" s="5"/>
      <c r="N940" s="5"/>
      <c r="O940" s="5"/>
      <c r="P940" s="5"/>
      <c r="Q940" s="57"/>
      <c r="R940" s="5"/>
      <c r="S940" s="5"/>
      <c r="T940" s="5"/>
      <c r="U940" s="5"/>
      <c r="V940" s="5"/>
      <c r="W940" s="5"/>
      <c r="X940" s="5"/>
      <c r="Y940" s="5"/>
      <c r="Z940" s="5"/>
    </row>
    <row r="941" spans="1:26" ht="12.75" customHeight="1">
      <c r="A941" s="5"/>
      <c r="B941" s="5"/>
      <c r="C941" s="5"/>
      <c r="D941" s="5"/>
      <c r="E941" s="5"/>
      <c r="F941" s="5"/>
      <c r="G941" s="5"/>
      <c r="H941" s="306"/>
      <c r="I941" s="5"/>
      <c r="J941" s="5"/>
      <c r="K941" s="5"/>
      <c r="L941" s="5"/>
      <c r="M941" s="5"/>
      <c r="N941" s="5"/>
      <c r="O941" s="5"/>
      <c r="P941" s="5"/>
      <c r="Q941" s="57"/>
      <c r="R941" s="5"/>
      <c r="S941" s="5"/>
      <c r="T941" s="5"/>
      <c r="U941" s="5"/>
      <c r="V941" s="5"/>
      <c r="W941" s="5"/>
      <c r="X941" s="5"/>
      <c r="Y941" s="5"/>
      <c r="Z941" s="5"/>
    </row>
    <row r="942" spans="1:26" ht="12.75" customHeight="1">
      <c r="A942" s="5"/>
      <c r="B942" s="5"/>
      <c r="C942" s="5"/>
      <c r="D942" s="5"/>
      <c r="E942" s="5"/>
      <c r="F942" s="5"/>
      <c r="G942" s="5"/>
      <c r="H942" s="306"/>
      <c r="I942" s="5"/>
      <c r="J942" s="5"/>
      <c r="K942" s="5"/>
      <c r="L942" s="5"/>
      <c r="M942" s="5"/>
      <c r="N942" s="5"/>
      <c r="O942" s="5"/>
      <c r="P942" s="5"/>
      <c r="Q942" s="57"/>
      <c r="R942" s="5"/>
      <c r="S942" s="5"/>
      <c r="T942" s="5"/>
      <c r="U942" s="5"/>
      <c r="V942" s="5"/>
      <c r="W942" s="5"/>
      <c r="X942" s="5"/>
      <c r="Y942" s="5"/>
      <c r="Z942" s="5"/>
    </row>
    <row r="943" spans="1:26" ht="12.75" customHeight="1">
      <c r="A943" s="5"/>
      <c r="B943" s="5"/>
      <c r="C943" s="5"/>
      <c r="D943" s="5"/>
      <c r="E943" s="5"/>
      <c r="F943" s="5"/>
      <c r="G943" s="5"/>
      <c r="H943" s="306"/>
      <c r="I943" s="5"/>
      <c r="J943" s="5"/>
      <c r="K943" s="5"/>
      <c r="L943" s="5"/>
      <c r="M943" s="5"/>
      <c r="N943" s="5"/>
      <c r="O943" s="5"/>
      <c r="P943" s="5"/>
      <c r="Q943" s="57"/>
      <c r="R943" s="5"/>
      <c r="S943" s="5"/>
      <c r="T943" s="5"/>
      <c r="U943" s="5"/>
      <c r="V943" s="5"/>
      <c r="W943" s="5"/>
      <c r="X943" s="5"/>
      <c r="Y943" s="5"/>
      <c r="Z943" s="5"/>
    </row>
    <row r="944" spans="1:26" ht="12.75" customHeight="1">
      <c r="A944" s="5"/>
      <c r="B944" s="5"/>
      <c r="C944" s="5"/>
      <c r="D944" s="5"/>
      <c r="E944" s="5"/>
      <c r="F944" s="5"/>
      <c r="G944" s="5"/>
      <c r="H944" s="306"/>
      <c r="I944" s="5"/>
      <c r="J944" s="5"/>
      <c r="K944" s="5"/>
      <c r="L944" s="5"/>
      <c r="M944" s="5"/>
      <c r="N944" s="5"/>
      <c r="O944" s="5"/>
      <c r="P944" s="5"/>
      <c r="Q944" s="57"/>
      <c r="R944" s="5"/>
      <c r="S944" s="5"/>
      <c r="T944" s="5"/>
      <c r="U944" s="5"/>
      <c r="V944" s="5"/>
      <c r="W944" s="5"/>
      <c r="X944" s="5"/>
      <c r="Y944" s="5"/>
      <c r="Z944" s="5"/>
    </row>
    <row r="945" spans="1:26" ht="12.75" customHeight="1">
      <c r="A945" s="5"/>
      <c r="B945" s="5"/>
      <c r="C945" s="5"/>
      <c r="D945" s="5"/>
      <c r="E945" s="5"/>
      <c r="F945" s="5"/>
      <c r="G945" s="5"/>
      <c r="H945" s="306"/>
      <c r="I945" s="5"/>
      <c r="J945" s="5"/>
      <c r="K945" s="5"/>
      <c r="L945" s="5"/>
      <c r="M945" s="5"/>
      <c r="N945" s="5"/>
      <c r="O945" s="5"/>
      <c r="P945" s="5"/>
      <c r="Q945" s="57"/>
      <c r="R945" s="5"/>
      <c r="S945" s="5"/>
      <c r="T945" s="5"/>
      <c r="U945" s="5"/>
      <c r="V945" s="5"/>
      <c r="W945" s="5"/>
      <c r="X945" s="5"/>
      <c r="Y945" s="5"/>
      <c r="Z945" s="5"/>
    </row>
    <row r="946" spans="1:26" ht="12.75" customHeight="1">
      <c r="A946" s="5"/>
      <c r="B946" s="5"/>
      <c r="C946" s="5"/>
      <c r="D946" s="5"/>
      <c r="E946" s="5"/>
      <c r="F946" s="5"/>
      <c r="G946" s="5"/>
      <c r="H946" s="306"/>
      <c r="I946" s="5"/>
      <c r="J946" s="5"/>
      <c r="K946" s="5"/>
      <c r="L946" s="5"/>
      <c r="M946" s="5"/>
      <c r="N946" s="5"/>
      <c r="O946" s="5"/>
      <c r="P946" s="5"/>
      <c r="Q946" s="57"/>
      <c r="R946" s="5"/>
      <c r="S946" s="5"/>
      <c r="T946" s="5"/>
      <c r="U946" s="5"/>
      <c r="V946" s="5"/>
      <c r="W946" s="5"/>
      <c r="X946" s="5"/>
      <c r="Y946" s="5"/>
      <c r="Z946" s="5"/>
    </row>
    <row r="947" spans="1:26" ht="12.75" customHeight="1">
      <c r="A947" s="5"/>
      <c r="B947" s="5"/>
      <c r="C947" s="5"/>
      <c r="D947" s="5"/>
      <c r="E947" s="5"/>
      <c r="F947" s="5"/>
      <c r="G947" s="5"/>
      <c r="H947" s="306"/>
      <c r="I947" s="5"/>
      <c r="J947" s="5"/>
      <c r="K947" s="5"/>
      <c r="L947" s="5"/>
      <c r="M947" s="5"/>
      <c r="N947" s="5"/>
      <c r="O947" s="5"/>
      <c r="P947" s="5"/>
      <c r="Q947" s="57"/>
      <c r="R947" s="5"/>
      <c r="S947" s="5"/>
      <c r="T947" s="5"/>
      <c r="U947" s="5"/>
      <c r="V947" s="5"/>
      <c r="W947" s="5"/>
      <c r="X947" s="5"/>
      <c r="Y947" s="5"/>
      <c r="Z947" s="5"/>
    </row>
    <row r="948" spans="1:26" ht="12.75" customHeight="1">
      <c r="A948" s="5"/>
      <c r="B948" s="5"/>
      <c r="C948" s="5"/>
      <c r="D948" s="5"/>
      <c r="E948" s="5"/>
      <c r="F948" s="5"/>
      <c r="G948" s="5"/>
      <c r="H948" s="306"/>
      <c r="I948" s="5"/>
      <c r="J948" s="5"/>
      <c r="K948" s="5"/>
      <c r="L948" s="5"/>
      <c r="M948" s="5"/>
      <c r="N948" s="5"/>
      <c r="O948" s="5"/>
      <c r="P948" s="5"/>
      <c r="Q948" s="57"/>
      <c r="R948" s="5"/>
      <c r="S948" s="5"/>
      <c r="T948" s="5"/>
      <c r="U948" s="5"/>
      <c r="V948" s="5"/>
      <c r="W948" s="5"/>
      <c r="X948" s="5"/>
      <c r="Y948" s="5"/>
      <c r="Z948" s="5"/>
    </row>
    <row r="949" spans="1:26" ht="12.75" customHeight="1">
      <c r="A949" s="5"/>
      <c r="B949" s="5"/>
      <c r="C949" s="5"/>
      <c r="D949" s="5"/>
      <c r="E949" s="5"/>
      <c r="F949" s="5"/>
      <c r="G949" s="5"/>
      <c r="H949" s="306"/>
      <c r="I949" s="5"/>
      <c r="J949" s="5"/>
      <c r="K949" s="5"/>
      <c r="L949" s="5"/>
      <c r="M949" s="5"/>
      <c r="N949" s="5"/>
      <c r="O949" s="5"/>
      <c r="P949" s="5"/>
      <c r="Q949" s="57"/>
      <c r="R949" s="5"/>
      <c r="S949" s="5"/>
      <c r="T949" s="5"/>
      <c r="U949" s="5"/>
      <c r="V949" s="5"/>
      <c r="W949" s="5"/>
      <c r="X949" s="5"/>
      <c r="Y949" s="5"/>
      <c r="Z949" s="5"/>
    </row>
    <row r="950" spans="1:26" ht="12.75" customHeight="1">
      <c r="A950" s="5"/>
      <c r="B950" s="5"/>
      <c r="C950" s="5"/>
      <c r="D950" s="5"/>
      <c r="E950" s="5"/>
      <c r="F950" s="5"/>
      <c r="G950" s="5"/>
      <c r="H950" s="306"/>
      <c r="I950" s="5"/>
      <c r="J950" s="5"/>
      <c r="K950" s="5"/>
      <c r="L950" s="5"/>
      <c r="M950" s="5"/>
      <c r="N950" s="5"/>
      <c r="O950" s="5"/>
      <c r="P950" s="5"/>
      <c r="Q950" s="57"/>
      <c r="R950" s="5"/>
      <c r="S950" s="5"/>
      <c r="T950" s="5"/>
      <c r="U950" s="5"/>
      <c r="V950" s="5"/>
      <c r="W950" s="5"/>
      <c r="X950" s="5"/>
      <c r="Y950" s="5"/>
      <c r="Z950" s="5"/>
    </row>
    <row r="951" spans="1:26" ht="12.75" customHeight="1">
      <c r="A951" s="5"/>
      <c r="B951" s="5"/>
      <c r="C951" s="5"/>
      <c r="D951" s="5"/>
      <c r="E951" s="5"/>
      <c r="F951" s="5"/>
      <c r="G951" s="5"/>
      <c r="H951" s="306"/>
      <c r="I951" s="5"/>
      <c r="J951" s="5"/>
      <c r="K951" s="5"/>
      <c r="L951" s="5"/>
      <c r="M951" s="5"/>
      <c r="N951" s="5"/>
      <c r="O951" s="5"/>
      <c r="P951" s="5"/>
      <c r="Q951" s="57"/>
      <c r="R951" s="5"/>
      <c r="S951" s="5"/>
      <c r="T951" s="5"/>
      <c r="U951" s="5"/>
      <c r="V951" s="5"/>
      <c r="W951" s="5"/>
      <c r="X951" s="5"/>
      <c r="Y951" s="5"/>
      <c r="Z951" s="5"/>
    </row>
    <row r="952" spans="1:26" ht="12.75" customHeight="1">
      <c r="A952" s="5"/>
      <c r="B952" s="5"/>
      <c r="C952" s="5"/>
      <c r="D952" s="5"/>
      <c r="E952" s="5"/>
      <c r="F952" s="5"/>
      <c r="G952" s="5"/>
      <c r="H952" s="306"/>
      <c r="I952" s="5"/>
      <c r="J952" s="5"/>
      <c r="K952" s="5"/>
      <c r="L952" s="5"/>
      <c r="M952" s="5"/>
      <c r="N952" s="5"/>
      <c r="O952" s="5"/>
      <c r="P952" s="5"/>
      <c r="Q952" s="57"/>
      <c r="R952" s="5"/>
      <c r="S952" s="5"/>
      <c r="T952" s="5"/>
      <c r="U952" s="5"/>
      <c r="V952" s="5"/>
      <c r="W952" s="5"/>
      <c r="X952" s="5"/>
      <c r="Y952" s="5"/>
      <c r="Z952" s="5"/>
    </row>
    <row r="953" spans="1:26" ht="12.75" customHeight="1">
      <c r="A953" s="5"/>
      <c r="B953" s="5"/>
      <c r="C953" s="5"/>
      <c r="D953" s="5"/>
      <c r="E953" s="5"/>
      <c r="F953" s="5"/>
      <c r="G953" s="5"/>
      <c r="H953" s="306"/>
      <c r="I953" s="5"/>
      <c r="J953" s="5"/>
      <c r="K953" s="5"/>
      <c r="L953" s="5"/>
      <c r="M953" s="5"/>
      <c r="N953" s="5"/>
      <c r="O953" s="5"/>
      <c r="P953" s="5"/>
      <c r="Q953" s="57"/>
      <c r="R953" s="5"/>
      <c r="S953" s="5"/>
      <c r="T953" s="5"/>
      <c r="U953" s="5"/>
      <c r="V953" s="5"/>
      <c r="W953" s="5"/>
      <c r="X953" s="5"/>
      <c r="Y953" s="5"/>
      <c r="Z953" s="5"/>
    </row>
    <row r="954" spans="1:26" ht="12.75" customHeight="1">
      <c r="A954" s="5"/>
      <c r="B954" s="5"/>
      <c r="C954" s="5"/>
      <c r="D954" s="5"/>
      <c r="E954" s="5"/>
      <c r="F954" s="5"/>
      <c r="G954" s="5"/>
      <c r="H954" s="306"/>
      <c r="I954" s="5"/>
      <c r="J954" s="5"/>
      <c r="K954" s="5"/>
      <c r="L954" s="5"/>
      <c r="M954" s="5"/>
      <c r="N954" s="5"/>
      <c r="O954" s="5"/>
      <c r="P954" s="5"/>
      <c r="Q954" s="57"/>
      <c r="R954" s="5"/>
      <c r="S954" s="5"/>
      <c r="T954" s="5"/>
      <c r="U954" s="5"/>
      <c r="V954" s="5"/>
      <c r="W954" s="5"/>
      <c r="X954" s="5"/>
      <c r="Y954" s="5"/>
      <c r="Z954" s="5"/>
    </row>
    <row r="955" spans="1:26" ht="12.75" customHeight="1">
      <c r="A955" s="5"/>
      <c r="B955" s="5"/>
      <c r="C955" s="5"/>
      <c r="D955" s="5"/>
      <c r="E955" s="5"/>
      <c r="F955" s="5"/>
      <c r="G955" s="5"/>
      <c r="H955" s="306"/>
      <c r="I955" s="5"/>
      <c r="J955" s="5"/>
      <c r="K955" s="5"/>
      <c r="L955" s="5"/>
      <c r="M955" s="5"/>
      <c r="N955" s="5"/>
      <c r="O955" s="5"/>
      <c r="P955" s="5"/>
      <c r="Q955" s="57"/>
      <c r="R955" s="5"/>
      <c r="S955" s="5"/>
      <c r="T955" s="5"/>
      <c r="U955" s="5"/>
      <c r="V955" s="5"/>
      <c r="W955" s="5"/>
      <c r="X955" s="5"/>
      <c r="Y955" s="5"/>
      <c r="Z955" s="5"/>
    </row>
    <row r="956" spans="1:26" ht="12.75" customHeight="1">
      <c r="A956" s="5"/>
      <c r="B956" s="5"/>
      <c r="C956" s="5"/>
      <c r="D956" s="5"/>
      <c r="E956" s="5"/>
      <c r="F956" s="5"/>
      <c r="G956" s="5"/>
      <c r="H956" s="306"/>
      <c r="I956" s="5"/>
      <c r="J956" s="5"/>
      <c r="K956" s="5"/>
      <c r="L956" s="5"/>
      <c r="M956" s="5"/>
      <c r="N956" s="5"/>
      <c r="O956" s="5"/>
      <c r="P956" s="5"/>
      <c r="Q956" s="57"/>
      <c r="R956" s="5"/>
      <c r="S956" s="5"/>
      <c r="T956" s="5"/>
      <c r="U956" s="5"/>
      <c r="V956" s="5"/>
      <c r="W956" s="5"/>
      <c r="X956" s="5"/>
      <c r="Y956" s="5"/>
      <c r="Z956" s="5"/>
    </row>
    <row r="957" spans="1:26" ht="12.75" customHeight="1">
      <c r="A957" s="5"/>
      <c r="B957" s="5"/>
      <c r="C957" s="5"/>
      <c r="D957" s="5"/>
      <c r="E957" s="5"/>
      <c r="F957" s="5"/>
      <c r="G957" s="5"/>
      <c r="H957" s="306"/>
      <c r="I957" s="5"/>
      <c r="J957" s="5"/>
      <c r="K957" s="5"/>
      <c r="L957" s="5"/>
      <c r="M957" s="5"/>
      <c r="N957" s="5"/>
      <c r="O957" s="5"/>
      <c r="P957" s="5"/>
      <c r="Q957" s="57"/>
      <c r="R957" s="5"/>
      <c r="S957" s="5"/>
      <c r="T957" s="5"/>
      <c r="U957" s="5"/>
      <c r="V957" s="5"/>
      <c r="W957" s="5"/>
      <c r="X957" s="5"/>
      <c r="Y957" s="5"/>
      <c r="Z957" s="5"/>
    </row>
    <row r="958" spans="1:26" ht="12.75" customHeight="1">
      <c r="A958" s="5"/>
      <c r="B958" s="5"/>
      <c r="C958" s="5"/>
      <c r="D958" s="5"/>
      <c r="E958" s="5"/>
      <c r="F958" s="5"/>
      <c r="G958" s="5"/>
      <c r="H958" s="306"/>
      <c r="I958" s="5"/>
      <c r="J958" s="5"/>
      <c r="K958" s="5"/>
      <c r="L958" s="5"/>
      <c r="M958" s="5"/>
      <c r="N958" s="5"/>
      <c r="O958" s="5"/>
      <c r="P958" s="5"/>
      <c r="Q958" s="57"/>
      <c r="R958" s="5"/>
      <c r="S958" s="5"/>
      <c r="T958" s="5"/>
      <c r="U958" s="5"/>
      <c r="V958" s="5"/>
      <c r="W958" s="5"/>
      <c r="X958" s="5"/>
      <c r="Y958" s="5"/>
      <c r="Z958" s="5"/>
    </row>
    <row r="959" spans="1:26" ht="12.75" customHeight="1">
      <c r="A959" s="5"/>
      <c r="B959" s="5"/>
      <c r="C959" s="5"/>
      <c r="D959" s="5"/>
      <c r="E959" s="5"/>
      <c r="F959" s="5"/>
      <c r="G959" s="5"/>
      <c r="H959" s="306"/>
      <c r="I959" s="5"/>
      <c r="J959" s="5"/>
      <c r="K959" s="5"/>
      <c r="L959" s="5"/>
      <c r="M959" s="5"/>
      <c r="N959" s="5"/>
      <c r="O959" s="5"/>
      <c r="P959" s="5"/>
      <c r="Q959" s="57"/>
      <c r="R959" s="5"/>
      <c r="S959" s="5"/>
      <c r="T959" s="5"/>
      <c r="U959" s="5"/>
      <c r="V959" s="5"/>
      <c r="W959" s="5"/>
      <c r="X959" s="5"/>
      <c r="Y959" s="5"/>
      <c r="Z959" s="5"/>
    </row>
    <row r="960" spans="1:26" ht="12.75" customHeight="1">
      <c r="A960" s="5"/>
      <c r="B960" s="5"/>
      <c r="C960" s="5"/>
      <c r="D960" s="5"/>
      <c r="E960" s="5"/>
      <c r="F960" s="5"/>
      <c r="G960" s="5"/>
      <c r="H960" s="306"/>
      <c r="I960" s="5"/>
      <c r="J960" s="5"/>
      <c r="K960" s="5"/>
      <c r="L960" s="5"/>
      <c r="M960" s="5"/>
      <c r="N960" s="5"/>
      <c r="O960" s="5"/>
      <c r="P960" s="5"/>
      <c r="Q960" s="57"/>
      <c r="R960" s="5"/>
      <c r="S960" s="5"/>
      <c r="T960" s="5"/>
      <c r="U960" s="5"/>
      <c r="V960" s="5"/>
      <c r="W960" s="5"/>
      <c r="X960" s="5"/>
      <c r="Y960" s="5"/>
      <c r="Z960" s="5"/>
    </row>
    <row r="961" spans="1:26" ht="12.75" customHeight="1">
      <c r="A961" s="5"/>
      <c r="B961" s="5"/>
      <c r="C961" s="5"/>
      <c r="D961" s="5"/>
      <c r="E961" s="5"/>
      <c r="F961" s="5"/>
      <c r="G961" s="5"/>
      <c r="H961" s="306"/>
      <c r="I961" s="5"/>
      <c r="J961" s="5"/>
      <c r="K961" s="5"/>
      <c r="L961" s="5"/>
      <c r="M961" s="5"/>
      <c r="N961" s="5"/>
      <c r="O961" s="5"/>
      <c r="P961" s="5"/>
      <c r="Q961" s="57"/>
      <c r="R961" s="5"/>
      <c r="S961" s="5"/>
      <c r="T961" s="5"/>
      <c r="U961" s="5"/>
      <c r="V961" s="5"/>
      <c r="W961" s="5"/>
      <c r="X961" s="5"/>
      <c r="Y961" s="5"/>
      <c r="Z961" s="5"/>
    </row>
    <row r="962" spans="1:26" ht="12.75" customHeight="1">
      <c r="A962" s="5"/>
      <c r="B962" s="5"/>
      <c r="C962" s="5"/>
      <c r="D962" s="5"/>
      <c r="E962" s="5"/>
      <c r="F962" s="5"/>
      <c r="G962" s="5"/>
      <c r="H962" s="306"/>
      <c r="I962" s="5"/>
      <c r="J962" s="5"/>
      <c r="K962" s="5"/>
      <c r="L962" s="5"/>
      <c r="M962" s="5"/>
      <c r="N962" s="5"/>
      <c r="O962" s="5"/>
      <c r="P962" s="5"/>
      <c r="Q962" s="57"/>
      <c r="R962" s="5"/>
      <c r="S962" s="5"/>
      <c r="T962" s="5"/>
      <c r="U962" s="5"/>
      <c r="V962" s="5"/>
      <c r="W962" s="5"/>
      <c r="X962" s="5"/>
      <c r="Y962" s="5"/>
      <c r="Z962" s="5"/>
    </row>
    <row r="963" spans="1:26" ht="12.75" customHeight="1">
      <c r="A963" s="5"/>
      <c r="B963" s="5"/>
      <c r="C963" s="5"/>
      <c r="D963" s="5"/>
      <c r="E963" s="5"/>
      <c r="F963" s="5"/>
      <c r="G963" s="5"/>
      <c r="H963" s="306"/>
      <c r="I963" s="5"/>
      <c r="J963" s="5"/>
      <c r="K963" s="5"/>
      <c r="L963" s="5"/>
      <c r="M963" s="5"/>
      <c r="N963" s="5"/>
      <c r="O963" s="5"/>
      <c r="P963" s="5"/>
      <c r="Q963" s="57"/>
      <c r="R963" s="5"/>
      <c r="S963" s="5"/>
      <c r="T963" s="5"/>
      <c r="U963" s="5"/>
      <c r="V963" s="5"/>
      <c r="W963" s="5"/>
      <c r="X963" s="5"/>
      <c r="Y963" s="5"/>
      <c r="Z963" s="5"/>
    </row>
    <row r="964" spans="1:26" ht="12.75" customHeight="1">
      <c r="A964" s="5"/>
      <c r="B964" s="5"/>
      <c r="C964" s="5"/>
      <c r="D964" s="5"/>
      <c r="E964" s="5"/>
      <c r="F964" s="5"/>
      <c r="G964" s="5"/>
      <c r="H964" s="306"/>
      <c r="I964" s="5"/>
      <c r="J964" s="5"/>
      <c r="K964" s="5"/>
      <c r="L964" s="5"/>
      <c r="M964" s="5"/>
      <c r="N964" s="5"/>
      <c r="O964" s="5"/>
      <c r="P964" s="5"/>
      <c r="Q964" s="57"/>
      <c r="R964" s="5"/>
      <c r="S964" s="5"/>
      <c r="T964" s="5"/>
      <c r="U964" s="5"/>
      <c r="V964" s="5"/>
      <c r="W964" s="5"/>
      <c r="X964" s="5"/>
      <c r="Y964" s="5"/>
      <c r="Z964" s="5"/>
    </row>
    <row r="965" spans="1:26" ht="12.75" customHeight="1">
      <c r="A965" s="5"/>
      <c r="B965" s="5"/>
      <c r="C965" s="5"/>
      <c r="D965" s="5"/>
      <c r="E965" s="5"/>
      <c r="F965" s="5"/>
      <c r="G965" s="5"/>
      <c r="H965" s="306"/>
      <c r="I965" s="5"/>
      <c r="J965" s="5"/>
      <c r="K965" s="5"/>
      <c r="L965" s="5"/>
      <c r="M965" s="5"/>
      <c r="N965" s="5"/>
      <c r="O965" s="5"/>
      <c r="P965" s="5"/>
      <c r="Q965" s="57"/>
      <c r="R965" s="5"/>
      <c r="S965" s="5"/>
      <c r="T965" s="5"/>
      <c r="U965" s="5"/>
      <c r="V965" s="5"/>
      <c r="W965" s="5"/>
      <c r="X965" s="5"/>
      <c r="Y965" s="5"/>
      <c r="Z965" s="5"/>
    </row>
    <row r="966" spans="1:26" ht="12.75" customHeight="1">
      <c r="A966" s="5"/>
      <c r="B966" s="5"/>
      <c r="C966" s="5"/>
      <c r="D966" s="5"/>
      <c r="E966" s="5"/>
      <c r="F966" s="5"/>
      <c r="G966" s="5"/>
      <c r="H966" s="306"/>
      <c r="I966" s="5"/>
      <c r="J966" s="5"/>
      <c r="K966" s="5"/>
      <c r="L966" s="5"/>
      <c r="M966" s="5"/>
      <c r="N966" s="5"/>
      <c r="O966" s="5"/>
      <c r="P966" s="5"/>
      <c r="Q966" s="57"/>
      <c r="R966" s="5"/>
      <c r="S966" s="5"/>
      <c r="T966" s="5"/>
      <c r="U966" s="5"/>
      <c r="V966" s="5"/>
      <c r="W966" s="5"/>
      <c r="X966" s="5"/>
      <c r="Y966" s="5"/>
      <c r="Z966" s="5"/>
    </row>
    <row r="967" spans="1:26" ht="12.75" customHeight="1">
      <c r="A967" s="5"/>
      <c r="B967" s="5"/>
      <c r="C967" s="5"/>
      <c r="D967" s="5"/>
      <c r="E967" s="5"/>
      <c r="F967" s="5"/>
      <c r="G967" s="5"/>
      <c r="H967" s="306"/>
      <c r="I967" s="5"/>
      <c r="J967" s="5"/>
      <c r="K967" s="5"/>
      <c r="L967" s="5"/>
      <c r="M967" s="5"/>
      <c r="N967" s="5"/>
      <c r="O967" s="5"/>
      <c r="P967" s="5"/>
      <c r="Q967" s="57"/>
      <c r="R967" s="5"/>
      <c r="S967" s="5"/>
      <c r="T967" s="5"/>
      <c r="U967" s="5"/>
      <c r="V967" s="5"/>
      <c r="W967" s="5"/>
      <c r="X967" s="5"/>
      <c r="Y967" s="5"/>
      <c r="Z967" s="5"/>
    </row>
    <row r="968" spans="1:26" ht="12.75" customHeight="1">
      <c r="A968" s="5"/>
      <c r="B968" s="5"/>
      <c r="C968" s="5"/>
      <c r="D968" s="5"/>
      <c r="E968" s="5"/>
      <c r="F968" s="5"/>
      <c r="G968" s="5"/>
      <c r="H968" s="306"/>
      <c r="I968" s="5"/>
      <c r="J968" s="5"/>
      <c r="K968" s="5"/>
      <c r="L968" s="5"/>
      <c r="M968" s="5"/>
      <c r="N968" s="5"/>
      <c r="O968" s="5"/>
      <c r="P968" s="5"/>
      <c r="Q968" s="57"/>
      <c r="R968" s="5"/>
      <c r="S968" s="5"/>
      <c r="T968" s="5"/>
      <c r="U968" s="5"/>
      <c r="V968" s="5"/>
      <c r="W968" s="5"/>
      <c r="X968" s="5"/>
      <c r="Y968" s="5"/>
      <c r="Z968" s="5"/>
    </row>
    <row r="969" spans="1:26" ht="12.75" customHeight="1">
      <c r="A969" s="5"/>
      <c r="B969" s="5"/>
      <c r="C969" s="5"/>
      <c r="D969" s="5"/>
      <c r="E969" s="5"/>
      <c r="F969" s="5"/>
      <c r="G969" s="5"/>
      <c r="H969" s="306"/>
      <c r="I969" s="5"/>
      <c r="J969" s="5"/>
      <c r="K969" s="5"/>
      <c r="L969" s="5"/>
      <c r="M969" s="5"/>
      <c r="N969" s="5"/>
      <c r="O969" s="5"/>
      <c r="P969" s="5"/>
      <c r="Q969" s="57"/>
      <c r="R969" s="5"/>
      <c r="S969" s="5"/>
      <c r="T969" s="5"/>
      <c r="U969" s="5"/>
      <c r="V969" s="5"/>
      <c r="W969" s="5"/>
      <c r="X969" s="5"/>
      <c r="Y969" s="5"/>
      <c r="Z969" s="5"/>
    </row>
    <row r="970" spans="1:26" ht="12.75" customHeight="1">
      <c r="A970" s="5"/>
      <c r="B970" s="5"/>
      <c r="C970" s="5"/>
      <c r="D970" s="5"/>
      <c r="E970" s="5"/>
      <c r="F970" s="5"/>
      <c r="G970" s="5"/>
      <c r="H970" s="306"/>
      <c r="I970" s="5"/>
      <c r="J970" s="5"/>
      <c r="K970" s="5"/>
      <c r="L970" s="5"/>
      <c r="M970" s="5"/>
      <c r="N970" s="5"/>
      <c r="O970" s="5"/>
      <c r="P970" s="5"/>
      <c r="Q970" s="57"/>
      <c r="R970" s="5"/>
      <c r="S970" s="5"/>
      <c r="T970" s="5"/>
      <c r="U970" s="5"/>
      <c r="V970" s="5"/>
      <c r="W970" s="5"/>
      <c r="X970" s="5"/>
      <c r="Y970" s="5"/>
      <c r="Z970" s="5"/>
    </row>
    <row r="971" spans="1:26" ht="12.75" customHeight="1">
      <c r="A971" s="5"/>
      <c r="B971" s="5"/>
      <c r="C971" s="5"/>
      <c r="D971" s="5"/>
      <c r="E971" s="5"/>
      <c r="F971" s="5"/>
      <c r="G971" s="5"/>
      <c r="H971" s="306"/>
      <c r="I971" s="5"/>
      <c r="J971" s="5"/>
      <c r="K971" s="5"/>
      <c r="L971" s="5"/>
      <c r="M971" s="5"/>
      <c r="N971" s="5"/>
      <c r="O971" s="5"/>
      <c r="P971" s="5"/>
      <c r="Q971" s="57"/>
      <c r="R971" s="5"/>
      <c r="S971" s="5"/>
      <c r="T971" s="5"/>
      <c r="U971" s="5"/>
      <c r="V971" s="5"/>
      <c r="W971" s="5"/>
      <c r="X971" s="5"/>
      <c r="Y971" s="5"/>
      <c r="Z971" s="5"/>
    </row>
    <row r="972" spans="1:26" ht="12.75" customHeight="1">
      <c r="A972" s="5"/>
      <c r="B972" s="5"/>
      <c r="C972" s="5"/>
      <c r="D972" s="5"/>
      <c r="E972" s="5"/>
      <c r="F972" s="5"/>
      <c r="G972" s="5"/>
      <c r="H972" s="306"/>
      <c r="I972" s="5"/>
      <c r="J972" s="5"/>
      <c r="K972" s="5"/>
      <c r="L972" s="5"/>
      <c r="M972" s="5"/>
      <c r="N972" s="5"/>
      <c r="O972" s="5"/>
      <c r="P972" s="5"/>
      <c r="Q972" s="57"/>
      <c r="R972" s="5"/>
      <c r="S972" s="5"/>
      <c r="T972" s="5"/>
      <c r="U972" s="5"/>
      <c r="V972" s="5"/>
      <c r="W972" s="5"/>
      <c r="X972" s="5"/>
      <c r="Y972" s="5"/>
      <c r="Z972" s="5"/>
    </row>
    <row r="973" spans="1:26" ht="12.75" customHeight="1">
      <c r="A973" s="5"/>
      <c r="B973" s="5"/>
      <c r="C973" s="5"/>
      <c r="D973" s="5"/>
      <c r="E973" s="5"/>
      <c r="F973" s="5"/>
      <c r="G973" s="5"/>
      <c r="H973" s="306"/>
      <c r="I973" s="5"/>
      <c r="J973" s="5"/>
      <c r="K973" s="5"/>
      <c r="L973" s="5"/>
      <c r="M973" s="5"/>
      <c r="N973" s="5"/>
      <c r="O973" s="5"/>
      <c r="P973" s="5"/>
      <c r="Q973" s="57"/>
      <c r="R973" s="5"/>
      <c r="S973" s="5"/>
      <c r="T973" s="5"/>
      <c r="U973" s="5"/>
      <c r="V973" s="5"/>
      <c r="W973" s="5"/>
      <c r="X973" s="5"/>
      <c r="Y973" s="5"/>
      <c r="Z973" s="5"/>
    </row>
    <row r="974" spans="1:26" ht="12.75" customHeight="1">
      <c r="A974" s="5"/>
      <c r="B974" s="5"/>
      <c r="C974" s="5"/>
      <c r="D974" s="5"/>
      <c r="E974" s="5"/>
      <c r="F974" s="5"/>
      <c r="G974" s="5"/>
      <c r="H974" s="306"/>
      <c r="I974" s="5"/>
      <c r="J974" s="5"/>
      <c r="K974" s="5"/>
      <c r="L974" s="5"/>
      <c r="M974" s="5"/>
      <c r="N974" s="5"/>
      <c r="O974" s="5"/>
      <c r="P974" s="5"/>
      <c r="Q974" s="57"/>
      <c r="R974" s="5"/>
      <c r="S974" s="5"/>
      <c r="T974" s="5"/>
      <c r="U974" s="5"/>
      <c r="V974" s="5"/>
      <c r="W974" s="5"/>
      <c r="X974" s="5"/>
      <c r="Y974" s="5"/>
      <c r="Z974" s="5"/>
    </row>
    <row r="975" spans="1:26" ht="12.75" customHeight="1">
      <c r="A975" s="5"/>
      <c r="B975" s="5"/>
      <c r="C975" s="5"/>
      <c r="D975" s="5"/>
      <c r="E975" s="5"/>
      <c r="F975" s="5"/>
      <c r="G975" s="5"/>
      <c r="H975" s="306"/>
      <c r="I975" s="5"/>
      <c r="J975" s="5"/>
      <c r="K975" s="5"/>
      <c r="L975" s="5"/>
      <c r="M975" s="5"/>
      <c r="N975" s="5"/>
      <c r="O975" s="5"/>
      <c r="P975" s="5"/>
      <c r="Q975" s="57"/>
      <c r="R975" s="5"/>
      <c r="S975" s="5"/>
      <c r="T975" s="5"/>
      <c r="U975" s="5"/>
      <c r="V975" s="5"/>
      <c r="W975" s="5"/>
      <c r="X975" s="5"/>
      <c r="Y975" s="5"/>
      <c r="Z975" s="5"/>
    </row>
    <row r="976" spans="1:26" ht="12.75" customHeight="1">
      <c r="A976" s="5"/>
      <c r="B976" s="5"/>
      <c r="C976" s="5"/>
      <c r="D976" s="5"/>
      <c r="E976" s="5"/>
      <c r="F976" s="5"/>
      <c r="G976" s="5"/>
      <c r="H976" s="306"/>
      <c r="I976" s="5"/>
      <c r="J976" s="5"/>
      <c r="K976" s="5"/>
      <c r="L976" s="5"/>
      <c r="M976" s="5"/>
      <c r="N976" s="5"/>
      <c r="O976" s="5"/>
      <c r="P976" s="5"/>
      <c r="Q976" s="57"/>
      <c r="R976" s="5"/>
      <c r="S976" s="5"/>
      <c r="T976" s="5"/>
      <c r="U976" s="5"/>
      <c r="V976" s="5"/>
      <c r="W976" s="5"/>
      <c r="X976" s="5"/>
      <c r="Y976" s="5"/>
      <c r="Z976" s="5"/>
    </row>
    <row r="977" spans="1:26" ht="12.75" customHeight="1">
      <c r="A977" s="5"/>
      <c r="B977" s="5"/>
      <c r="C977" s="5"/>
      <c r="D977" s="5"/>
      <c r="E977" s="5"/>
      <c r="F977" s="5"/>
      <c r="G977" s="5"/>
      <c r="H977" s="306"/>
      <c r="I977" s="5"/>
      <c r="J977" s="5"/>
      <c r="K977" s="5"/>
      <c r="L977" s="5"/>
      <c r="M977" s="5"/>
      <c r="N977" s="5"/>
      <c r="O977" s="5"/>
      <c r="P977" s="5"/>
      <c r="Q977" s="57"/>
      <c r="R977" s="5"/>
      <c r="S977" s="5"/>
      <c r="T977" s="5"/>
      <c r="U977" s="5"/>
      <c r="V977" s="5"/>
      <c r="W977" s="5"/>
      <c r="X977" s="5"/>
      <c r="Y977" s="5"/>
      <c r="Z977" s="5"/>
    </row>
    <row r="978" spans="1:26" ht="12.75" customHeight="1">
      <c r="A978" s="5"/>
      <c r="B978" s="5"/>
      <c r="C978" s="5"/>
      <c r="D978" s="5"/>
      <c r="E978" s="5"/>
      <c r="F978" s="5"/>
      <c r="G978" s="5"/>
      <c r="H978" s="306"/>
      <c r="I978" s="5"/>
      <c r="J978" s="5"/>
      <c r="K978" s="5"/>
      <c r="L978" s="5"/>
      <c r="M978" s="5"/>
      <c r="N978" s="5"/>
      <c r="O978" s="5"/>
      <c r="P978" s="5"/>
      <c r="Q978" s="57"/>
      <c r="R978" s="5"/>
      <c r="S978" s="5"/>
      <c r="T978" s="5"/>
      <c r="U978" s="5"/>
      <c r="V978" s="5"/>
      <c r="W978" s="5"/>
      <c r="X978" s="5"/>
      <c r="Y978" s="5"/>
      <c r="Z978" s="5"/>
    </row>
    <row r="979" spans="1:26" ht="12.75" customHeight="1">
      <c r="A979" s="5"/>
      <c r="B979" s="5"/>
      <c r="C979" s="5"/>
      <c r="D979" s="5"/>
      <c r="E979" s="5"/>
      <c r="F979" s="5"/>
      <c r="G979" s="5"/>
      <c r="H979" s="306"/>
      <c r="I979" s="5"/>
      <c r="J979" s="5"/>
      <c r="K979" s="5"/>
      <c r="L979" s="5"/>
      <c r="M979" s="5"/>
      <c r="N979" s="5"/>
      <c r="O979" s="5"/>
      <c r="P979" s="5"/>
      <c r="Q979" s="57"/>
      <c r="R979" s="5"/>
      <c r="S979" s="5"/>
      <c r="T979" s="5"/>
      <c r="U979" s="5"/>
      <c r="V979" s="5"/>
      <c r="W979" s="5"/>
      <c r="X979" s="5"/>
      <c r="Y979" s="5"/>
      <c r="Z979" s="5"/>
    </row>
    <row r="980" spans="1:26" ht="12.75" customHeight="1">
      <c r="A980" s="5"/>
      <c r="B980" s="5"/>
      <c r="C980" s="5"/>
      <c r="D980" s="5"/>
      <c r="E980" s="5"/>
      <c r="F980" s="5"/>
      <c r="G980" s="5"/>
      <c r="H980" s="306"/>
      <c r="I980" s="5"/>
      <c r="J980" s="5"/>
      <c r="K980" s="5"/>
      <c r="L980" s="5"/>
      <c r="M980" s="5"/>
      <c r="N980" s="5"/>
      <c r="O980" s="5"/>
      <c r="P980" s="5"/>
      <c r="Q980" s="57"/>
      <c r="R980" s="5"/>
      <c r="S980" s="5"/>
      <c r="T980" s="5"/>
      <c r="U980" s="5"/>
      <c r="V980" s="5"/>
      <c r="W980" s="5"/>
      <c r="X980" s="5"/>
      <c r="Y980" s="5"/>
      <c r="Z980" s="5"/>
    </row>
    <row r="981" spans="1:26" ht="12.75" customHeight="1">
      <c r="A981" s="5"/>
      <c r="B981" s="5"/>
      <c r="C981" s="5"/>
      <c r="D981" s="5"/>
      <c r="E981" s="5"/>
      <c r="F981" s="5"/>
      <c r="G981" s="5"/>
      <c r="H981" s="306"/>
      <c r="I981" s="5"/>
      <c r="J981" s="5"/>
      <c r="K981" s="5"/>
      <c r="L981" s="5"/>
      <c r="M981" s="5"/>
      <c r="N981" s="5"/>
      <c r="O981" s="5"/>
      <c r="P981" s="5"/>
      <c r="Q981" s="57"/>
      <c r="R981" s="5"/>
      <c r="S981" s="5"/>
      <c r="T981" s="5"/>
      <c r="U981" s="5"/>
      <c r="V981" s="5"/>
      <c r="W981" s="5"/>
      <c r="X981" s="5"/>
      <c r="Y981" s="5"/>
      <c r="Z981" s="5"/>
    </row>
    <row r="982" spans="1:26" ht="12.75" customHeight="1">
      <c r="A982" s="5"/>
      <c r="B982" s="5"/>
      <c r="C982" s="5"/>
      <c r="D982" s="5"/>
      <c r="E982" s="5"/>
      <c r="F982" s="5"/>
      <c r="G982" s="5"/>
      <c r="H982" s="306"/>
      <c r="I982" s="5"/>
      <c r="J982" s="5"/>
      <c r="K982" s="5"/>
      <c r="L982" s="5"/>
      <c r="M982" s="5"/>
      <c r="N982" s="5"/>
      <c r="O982" s="5"/>
      <c r="P982" s="5"/>
      <c r="Q982" s="57"/>
      <c r="R982" s="5"/>
      <c r="S982" s="5"/>
      <c r="T982" s="5"/>
      <c r="U982" s="5"/>
      <c r="V982" s="5"/>
      <c r="W982" s="5"/>
      <c r="X982" s="5"/>
      <c r="Y982" s="5"/>
      <c r="Z982" s="5"/>
    </row>
    <row r="983" spans="1:26" ht="12.75" customHeight="1">
      <c r="A983" s="5"/>
      <c r="B983" s="5"/>
      <c r="C983" s="5"/>
      <c r="D983" s="5"/>
      <c r="E983" s="5"/>
      <c r="F983" s="5"/>
      <c r="G983" s="5"/>
      <c r="H983" s="306"/>
      <c r="I983" s="5"/>
      <c r="J983" s="5"/>
      <c r="K983" s="5"/>
      <c r="L983" s="5"/>
      <c r="M983" s="5"/>
      <c r="N983" s="5"/>
      <c r="O983" s="5"/>
      <c r="P983" s="5"/>
      <c r="Q983" s="57"/>
      <c r="R983" s="5"/>
      <c r="S983" s="5"/>
      <c r="T983" s="5"/>
      <c r="U983" s="5"/>
      <c r="V983" s="5"/>
      <c r="W983" s="5"/>
      <c r="X983" s="5"/>
      <c r="Y983" s="5"/>
      <c r="Z983" s="5"/>
    </row>
    <row r="984" spans="1:26" ht="12.75" customHeight="1">
      <c r="A984" s="5"/>
      <c r="B984" s="5"/>
      <c r="C984" s="5"/>
      <c r="D984" s="5"/>
      <c r="E984" s="5"/>
      <c r="F984" s="5"/>
      <c r="G984" s="5"/>
      <c r="H984" s="306"/>
      <c r="I984" s="5"/>
      <c r="J984" s="5"/>
      <c r="K984" s="5"/>
      <c r="L984" s="5"/>
      <c r="M984" s="5"/>
      <c r="N984" s="5"/>
      <c r="O984" s="5"/>
      <c r="P984" s="5"/>
      <c r="Q984" s="57"/>
      <c r="R984" s="5"/>
      <c r="S984" s="5"/>
      <c r="T984" s="5"/>
      <c r="U984" s="5"/>
      <c r="V984" s="5"/>
      <c r="W984" s="5"/>
      <c r="X984" s="5"/>
      <c r="Y984" s="5"/>
      <c r="Z984" s="5"/>
    </row>
    <row r="985" spans="1:26" ht="12.75" customHeight="1">
      <c r="A985" s="5"/>
      <c r="B985" s="5"/>
      <c r="C985" s="5"/>
      <c r="D985" s="5"/>
      <c r="E985" s="5"/>
      <c r="F985" s="5"/>
      <c r="G985" s="5"/>
      <c r="H985" s="306"/>
      <c r="I985" s="5"/>
      <c r="J985" s="5"/>
      <c r="K985" s="5"/>
      <c r="L985" s="5"/>
      <c r="M985" s="5"/>
      <c r="N985" s="5"/>
      <c r="O985" s="5"/>
      <c r="P985" s="5"/>
      <c r="Q985" s="57"/>
      <c r="R985" s="5"/>
      <c r="S985" s="5"/>
      <c r="T985" s="5"/>
      <c r="U985" s="5"/>
      <c r="V985" s="5"/>
      <c r="W985" s="5"/>
      <c r="X985" s="5"/>
      <c r="Y985" s="5"/>
      <c r="Z985" s="5"/>
    </row>
    <row r="986" spans="1:26" ht="12.75" customHeight="1">
      <c r="A986" s="5"/>
      <c r="B986" s="5"/>
      <c r="C986" s="5"/>
      <c r="D986" s="5"/>
      <c r="E986" s="5"/>
      <c r="F986" s="5"/>
      <c r="G986" s="5"/>
      <c r="H986" s="306"/>
      <c r="I986" s="5"/>
      <c r="J986" s="5"/>
      <c r="K986" s="5"/>
      <c r="L986" s="5"/>
      <c r="M986" s="5"/>
      <c r="N986" s="5"/>
      <c r="O986" s="5"/>
      <c r="P986" s="5"/>
      <c r="Q986" s="57"/>
      <c r="R986" s="5"/>
      <c r="S986" s="5"/>
      <c r="T986" s="5"/>
      <c r="U986" s="5"/>
      <c r="V986" s="5"/>
      <c r="W986" s="5"/>
      <c r="X986" s="5"/>
      <c r="Y986" s="5"/>
      <c r="Z986" s="5"/>
    </row>
    <row r="987" spans="1:26" ht="12.75" customHeight="1">
      <c r="A987" s="5"/>
      <c r="B987" s="5"/>
      <c r="C987" s="5"/>
      <c r="D987" s="5"/>
      <c r="E987" s="5"/>
      <c r="F987" s="5"/>
      <c r="G987" s="5"/>
      <c r="H987" s="306"/>
      <c r="I987" s="5"/>
      <c r="J987" s="5"/>
      <c r="K987" s="5"/>
      <c r="L987" s="5"/>
      <c r="M987" s="5"/>
      <c r="N987" s="5"/>
      <c r="O987" s="5"/>
      <c r="P987" s="5"/>
      <c r="Q987" s="57"/>
      <c r="R987" s="5"/>
      <c r="S987" s="5"/>
      <c r="T987" s="5"/>
      <c r="U987" s="5"/>
      <c r="V987" s="5"/>
      <c r="W987" s="5"/>
      <c r="X987" s="5"/>
      <c r="Y987" s="5"/>
      <c r="Z987" s="5"/>
    </row>
    <row r="988" spans="1:26" ht="12.75" customHeight="1">
      <c r="A988" s="5"/>
      <c r="B988" s="5"/>
      <c r="C988" s="5"/>
      <c r="D988" s="5"/>
      <c r="E988" s="5"/>
      <c r="F988" s="5"/>
      <c r="G988" s="5"/>
      <c r="H988" s="306"/>
      <c r="I988" s="5"/>
      <c r="J988" s="5"/>
      <c r="K988" s="5"/>
      <c r="L988" s="5"/>
      <c r="M988" s="5"/>
      <c r="N988" s="5"/>
      <c r="O988" s="5"/>
      <c r="P988" s="5"/>
      <c r="Q988" s="57"/>
      <c r="R988" s="5"/>
      <c r="S988" s="5"/>
      <c r="T988" s="5"/>
      <c r="U988" s="5"/>
      <c r="V988" s="5"/>
      <c r="W988" s="5"/>
      <c r="X988" s="5"/>
      <c r="Y988" s="5"/>
      <c r="Z988" s="5"/>
    </row>
    <row r="989" spans="1:26" ht="12.75" customHeight="1">
      <c r="A989" s="5"/>
      <c r="B989" s="5"/>
      <c r="C989" s="5"/>
      <c r="D989" s="5"/>
      <c r="E989" s="5"/>
      <c r="F989" s="5"/>
      <c r="G989" s="5"/>
      <c r="H989" s="306"/>
      <c r="I989" s="5"/>
      <c r="J989" s="5"/>
      <c r="K989" s="5"/>
      <c r="L989" s="5"/>
      <c r="M989" s="5"/>
      <c r="N989" s="5"/>
      <c r="O989" s="5"/>
      <c r="P989" s="5"/>
      <c r="Q989" s="57"/>
      <c r="R989" s="5"/>
      <c r="S989" s="5"/>
      <c r="T989" s="5"/>
      <c r="U989" s="5"/>
      <c r="V989" s="5"/>
      <c r="W989" s="5"/>
      <c r="X989" s="5"/>
      <c r="Y989" s="5"/>
      <c r="Z989" s="5"/>
    </row>
    <row r="990" spans="1:26" ht="12.75" customHeight="1">
      <c r="A990" s="5"/>
      <c r="B990" s="5"/>
      <c r="C990" s="5"/>
      <c r="D990" s="5"/>
      <c r="E990" s="5"/>
      <c r="F990" s="5"/>
      <c r="G990" s="5"/>
      <c r="H990" s="306"/>
      <c r="I990" s="5"/>
      <c r="J990" s="5"/>
      <c r="K990" s="5"/>
      <c r="L990" s="5"/>
      <c r="M990" s="5"/>
      <c r="N990" s="5"/>
      <c r="O990" s="5"/>
      <c r="P990" s="5"/>
      <c r="Q990" s="57"/>
      <c r="R990" s="5"/>
      <c r="S990" s="5"/>
      <c r="T990" s="5"/>
      <c r="U990" s="5"/>
      <c r="V990" s="5"/>
      <c r="W990" s="5"/>
      <c r="X990" s="5"/>
      <c r="Y990" s="5"/>
      <c r="Z990" s="5"/>
    </row>
    <row r="991" spans="1:26" ht="12.75" customHeight="1">
      <c r="A991" s="5"/>
      <c r="B991" s="5"/>
      <c r="C991" s="5"/>
      <c r="D991" s="5"/>
      <c r="E991" s="5"/>
      <c r="F991" s="5"/>
      <c r="G991" s="5"/>
      <c r="H991" s="306"/>
      <c r="I991" s="5"/>
      <c r="J991" s="5"/>
      <c r="K991" s="5"/>
      <c r="L991" s="5"/>
      <c r="M991" s="5"/>
      <c r="N991" s="5"/>
      <c r="O991" s="5"/>
      <c r="P991" s="5"/>
      <c r="Q991" s="57"/>
      <c r="R991" s="5"/>
      <c r="S991" s="5"/>
      <c r="T991" s="5"/>
      <c r="U991" s="5"/>
      <c r="V991" s="5"/>
      <c r="W991" s="5"/>
      <c r="X991" s="5"/>
      <c r="Y991" s="5"/>
      <c r="Z991" s="5"/>
    </row>
    <row r="992" spans="1:26" ht="12.75" customHeight="1">
      <c r="A992" s="5"/>
      <c r="B992" s="5"/>
      <c r="C992" s="5"/>
      <c r="D992" s="5"/>
      <c r="E992" s="5"/>
      <c r="F992" s="5"/>
      <c r="G992" s="5"/>
      <c r="H992" s="306"/>
      <c r="I992" s="5"/>
      <c r="J992" s="5"/>
      <c r="K992" s="5"/>
      <c r="L992" s="5"/>
      <c r="M992" s="5"/>
      <c r="N992" s="5"/>
      <c r="O992" s="5"/>
      <c r="P992" s="5"/>
      <c r="Q992" s="57"/>
      <c r="R992" s="5"/>
      <c r="S992" s="5"/>
      <c r="T992" s="5"/>
      <c r="U992" s="5"/>
      <c r="V992" s="5"/>
      <c r="W992" s="5"/>
      <c r="X992" s="5"/>
      <c r="Y992" s="5"/>
      <c r="Z992" s="5"/>
    </row>
    <row r="993" spans="1:26" ht="12.75" customHeight="1">
      <c r="A993" s="5"/>
      <c r="B993" s="5"/>
      <c r="C993" s="5"/>
      <c r="D993" s="5"/>
      <c r="E993" s="5"/>
      <c r="F993" s="5"/>
      <c r="G993" s="5"/>
      <c r="H993" s="306"/>
      <c r="I993" s="5"/>
      <c r="J993" s="5"/>
      <c r="K993" s="5"/>
      <c r="L993" s="5"/>
      <c r="M993" s="5"/>
      <c r="N993" s="5"/>
      <c r="O993" s="5"/>
      <c r="P993" s="5"/>
      <c r="Q993" s="57"/>
      <c r="R993" s="5"/>
      <c r="S993" s="5"/>
      <c r="T993" s="5"/>
      <c r="U993" s="5"/>
      <c r="V993" s="5"/>
      <c r="W993" s="5"/>
      <c r="X993" s="5"/>
      <c r="Y993" s="5"/>
      <c r="Z993" s="5"/>
    </row>
    <row r="994" spans="1:26" ht="12.75" customHeight="1">
      <c r="A994" s="5"/>
      <c r="B994" s="5"/>
      <c r="C994" s="5"/>
      <c r="D994" s="5"/>
      <c r="E994" s="5"/>
      <c r="F994" s="5"/>
      <c r="G994" s="5"/>
      <c r="H994" s="306"/>
      <c r="I994" s="5"/>
      <c r="J994" s="5"/>
      <c r="K994" s="5"/>
      <c r="L994" s="5"/>
      <c r="M994" s="5"/>
      <c r="N994" s="5"/>
      <c r="O994" s="5"/>
      <c r="P994" s="5"/>
      <c r="Q994" s="57"/>
      <c r="R994" s="5"/>
      <c r="S994" s="5"/>
      <c r="T994" s="5"/>
      <c r="U994" s="5"/>
      <c r="V994" s="5"/>
      <c r="W994" s="5"/>
      <c r="X994" s="5"/>
      <c r="Y994" s="5"/>
      <c r="Z994" s="5"/>
    </row>
    <row r="995" spans="1:26" ht="12.75" customHeight="1">
      <c r="A995" s="5"/>
      <c r="B995" s="5"/>
      <c r="C995" s="5"/>
      <c r="D995" s="5"/>
      <c r="E995" s="5"/>
      <c r="F995" s="5"/>
      <c r="G995" s="5"/>
      <c r="H995" s="306"/>
      <c r="I995" s="5"/>
      <c r="J995" s="5"/>
      <c r="K995" s="5"/>
      <c r="L995" s="5"/>
      <c r="M995" s="5"/>
      <c r="N995" s="5"/>
      <c r="O995" s="5"/>
      <c r="P995" s="5"/>
      <c r="Q995" s="57"/>
      <c r="R995" s="5"/>
      <c r="S995" s="5"/>
      <c r="T995" s="5"/>
      <c r="U995" s="5"/>
      <c r="V995" s="5"/>
      <c r="W995" s="5"/>
      <c r="X995" s="5"/>
      <c r="Y995" s="5"/>
      <c r="Z995" s="5"/>
    </row>
    <row r="996" spans="1:26" ht="12.75" customHeight="1">
      <c r="A996" s="5"/>
      <c r="B996" s="5"/>
      <c r="C996" s="5"/>
      <c r="D996" s="5"/>
      <c r="E996" s="5"/>
      <c r="F996" s="5"/>
      <c r="G996" s="5"/>
      <c r="H996" s="306"/>
      <c r="I996" s="5"/>
      <c r="J996" s="5"/>
      <c r="K996" s="5"/>
      <c r="L996" s="5"/>
      <c r="M996" s="5"/>
      <c r="N996" s="5"/>
      <c r="O996" s="5"/>
      <c r="P996" s="5"/>
      <c r="Q996" s="57"/>
      <c r="R996" s="5"/>
      <c r="S996" s="5"/>
      <c r="T996" s="5"/>
      <c r="U996" s="5"/>
      <c r="V996" s="5"/>
      <c r="W996" s="5"/>
      <c r="X996" s="5"/>
      <c r="Y996" s="5"/>
      <c r="Z996" s="5"/>
    </row>
    <row r="997" spans="1:26" ht="12.75" customHeight="1">
      <c r="A997" s="5"/>
      <c r="B997" s="5"/>
      <c r="C997" s="5"/>
      <c r="D997" s="5"/>
      <c r="E997" s="5"/>
      <c r="F997" s="5"/>
      <c r="G997" s="5"/>
      <c r="H997" s="306"/>
      <c r="I997" s="5"/>
      <c r="J997" s="5"/>
      <c r="K997" s="5"/>
      <c r="L997" s="5"/>
      <c r="M997" s="5"/>
      <c r="N997" s="5"/>
      <c r="O997" s="5"/>
      <c r="P997" s="5"/>
      <c r="Q997" s="57"/>
      <c r="R997" s="5"/>
      <c r="S997" s="5"/>
      <c r="T997" s="5"/>
      <c r="U997" s="5"/>
      <c r="V997" s="5"/>
      <c r="W997" s="5"/>
      <c r="X997" s="5"/>
      <c r="Y997" s="5"/>
      <c r="Z997" s="5"/>
    </row>
    <row r="998" spans="1:26" ht="12.75" customHeight="1">
      <c r="A998" s="5"/>
      <c r="B998" s="5"/>
      <c r="C998" s="5"/>
      <c r="D998" s="5"/>
      <c r="E998" s="5"/>
      <c r="F998" s="5"/>
      <c r="G998" s="5"/>
      <c r="H998" s="306"/>
      <c r="I998" s="5"/>
      <c r="J998" s="5"/>
      <c r="K998" s="5"/>
      <c r="L998" s="5"/>
      <c r="M998" s="5"/>
      <c r="N998" s="5"/>
      <c r="O998" s="5"/>
      <c r="P998" s="5"/>
      <c r="Q998" s="57"/>
      <c r="R998" s="5"/>
      <c r="S998" s="5"/>
      <c r="T998" s="5"/>
      <c r="U998" s="5"/>
      <c r="V998" s="5"/>
      <c r="W998" s="5"/>
      <c r="X998" s="5"/>
      <c r="Y998" s="5"/>
      <c r="Z998" s="5"/>
    </row>
    <row r="999" spans="1:26" ht="12.75" customHeight="1">
      <c r="A999" s="5"/>
      <c r="B999" s="5"/>
      <c r="C999" s="5"/>
      <c r="D999" s="5"/>
      <c r="E999" s="5"/>
      <c r="F999" s="5"/>
      <c r="G999" s="5"/>
      <c r="H999" s="306"/>
      <c r="I999" s="5"/>
      <c r="J999" s="5"/>
      <c r="K999" s="5"/>
      <c r="L999" s="5"/>
      <c r="M999" s="5"/>
      <c r="N999" s="5"/>
      <c r="O999" s="5"/>
      <c r="P999" s="5"/>
      <c r="Q999" s="57"/>
      <c r="R999" s="5"/>
      <c r="S999" s="5"/>
      <c r="T999" s="5"/>
      <c r="U999" s="5"/>
      <c r="V999" s="5"/>
      <c r="W999" s="5"/>
      <c r="X999" s="5"/>
      <c r="Y999" s="5"/>
      <c r="Z999" s="5"/>
    </row>
    <row r="1000" spans="1:26" ht="12.75" customHeight="1">
      <c r="A1000" s="5"/>
      <c r="B1000" s="5"/>
      <c r="C1000" s="5"/>
      <c r="D1000" s="5"/>
      <c r="E1000" s="5"/>
      <c r="F1000" s="5"/>
      <c r="G1000" s="5"/>
      <c r="H1000" s="306"/>
      <c r="I1000" s="5"/>
      <c r="J1000" s="5"/>
      <c r="K1000" s="5"/>
      <c r="L1000" s="5"/>
      <c r="M1000" s="5"/>
      <c r="N1000" s="5"/>
      <c r="O1000" s="5"/>
      <c r="P1000" s="5"/>
      <c r="Q1000" s="57"/>
      <c r="R1000" s="5"/>
      <c r="S1000" s="5"/>
      <c r="T1000" s="5"/>
      <c r="U1000" s="5"/>
      <c r="V1000" s="5"/>
      <c r="W1000" s="5"/>
      <c r="X1000" s="5"/>
      <c r="Y1000" s="5"/>
      <c r="Z1000" s="5"/>
    </row>
  </sheetData>
  <mergeCells count="8">
    <mergeCell ref="I70:J70"/>
    <mergeCell ref="B1:O1"/>
    <mergeCell ref="B2:O2"/>
    <mergeCell ref="B3:O3"/>
    <mergeCell ref="D5:L5"/>
    <mergeCell ref="N5:O5"/>
    <mergeCell ref="D6:G6"/>
    <mergeCell ref="I6:L6"/>
  </mergeCells>
  <conditionalFormatting sqref="N9:N53 N59:N62">
    <cfRule type="cellIs" dxfId="428" priority="3" stopIfTrue="1" operator="greaterThanOrEqual">
      <formula>0</formula>
    </cfRule>
    <cfRule type="cellIs" dxfId="427" priority="4" stopIfTrue="1" operator="lessThan">
      <formula>0</formula>
    </cfRule>
  </conditionalFormatting>
  <conditionalFormatting sqref="O9:O10">
    <cfRule type="cellIs" dxfId="426" priority="34" stopIfTrue="1" operator="greaterThan">
      <formula>$N$70</formula>
    </cfRule>
    <cfRule type="cellIs" dxfId="425" priority="35" stopIfTrue="1" operator="lessThanOrEqual">
      <formula>$N$70</formula>
    </cfRule>
  </conditionalFormatting>
  <conditionalFormatting sqref="O10:O38">
    <cfRule type="cellIs" dxfId="424" priority="38" stopIfTrue="1" operator="greaterThan">
      <formula>$N$70</formula>
    </cfRule>
    <cfRule type="cellIs" dxfId="423" priority="39" stopIfTrue="1" operator="lessThanOrEqual">
      <formula>$N$70</formula>
    </cfRule>
  </conditionalFormatting>
  <conditionalFormatting sqref="O11">
    <cfRule type="cellIs" dxfId="422" priority="7" stopIfTrue="1" operator="lessThanOrEqual">
      <formula>$N$72</formula>
    </cfRule>
    <cfRule type="cellIs" dxfId="421" priority="5" operator="greaterThanOrEqual">
      <formula>0</formula>
    </cfRule>
    <cfRule type="cellIs" dxfId="420" priority="6" stopIfTrue="1" operator="greaterThan">
      <formula>$N$72</formula>
    </cfRule>
    <cfRule type="cellIs" dxfId="419" priority="45" stopIfTrue="1" operator="lessThanOrEqual">
      <formula>$N$70</formula>
    </cfRule>
    <cfRule type="cellIs" dxfId="418" priority="44" stopIfTrue="1" operator="greaterThan">
      <formula>$N$70</formula>
    </cfRule>
    <cfRule type="cellIs" dxfId="417" priority="46" stopIfTrue="1" operator="greaterThan">
      <formula>$N$70</formula>
    </cfRule>
    <cfRule type="cellIs" dxfId="416" priority="47" stopIfTrue="1" operator="lessThanOrEqual">
      <formula>$N$70</formula>
    </cfRule>
  </conditionalFormatting>
  <conditionalFormatting sqref="O16:O17">
    <cfRule type="cellIs" dxfId="415" priority="126" operator="greaterThanOrEqual">
      <formula>0</formula>
    </cfRule>
  </conditionalFormatting>
  <conditionalFormatting sqref="O17:O20">
    <cfRule type="cellIs" dxfId="414" priority="50" stopIfTrue="1" operator="greaterThan">
      <formula>$N$70</formula>
    </cfRule>
    <cfRule type="cellIs" dxfId="413" priority="51" stopIfTrue="1" operator="lessThanOrEqual">
      <formula>$N$70</formula>
    </cfRule>
  </conditionalFormatting>
  <conditionalFormatting sqref="O21:O23">
    <cfRule type="cellIs" dxfId="412" priority="59" stopIfTrue="1" operator="greaterThan">
      <formula>$N$70</formula>
    </cfRule>
    <cfRule type="cellIs" dxfId="411" priority="60" stopIfTrue="1" operator="lessThanOrEqual">
      <formula>$N$70</formula>
    </cfRule>
  </conditionalFormatting>
  <conditionalFormatting sqref="O22">
    <cfRule type="cellIs" dxfId="410" priority="58" operator="greaterThanOrEqual">
      <formula>0</formula>
    </cfRule>
  </conditionalFormatting>
  <conditionalFormatting sqref="O25:O29">
    <cfRule type="cellIs" dxfId="409" priority="63" stopIfTrue="1" operator="greaterThan">
      <formula>$N$70</formula>
    </cfRule>
    <cfRule type="cellIs" dxfId="408" priority="64" stopIfTrue="1" operator="lessThanOrEqual">
      <formula>$N$70</formula>
    </cfRule>
  </conditionalFormatting>
  <conditionalFormatting sqref="O29:O30">
    <cfRule type="cellIs" dxfId="407" priority="74" stopIfTrue="1" operator="lessThanOrEqual">
      <formula>$N$70</formula>
    </cfRule>
    <cfRule type="cellIs" dxfId="406" priority="73" stopIfTrue="1" operator="greaterThan">
      <formula>$N$70</formula>
    </cfRule>
  </conditionalFormatting>
  <conditionalFormatting sqref="O31">
    <cfRule type="cellIs" dxfId="405" priority="78" stopIfTrue="1" operator="lessThanOrEqual">
      <formula>$N$72</formula>
    </cfRule>
    <cfRule type="cellIs" dxfId="404" priority="77" stopIfTrue="1" operator="greaterThan">
      <formula>$N$72</formula>
    </cfRule>
  </conditionalFormatting>
  <conditionalFormatting sqref="O31:O35">
    <cfRule type="cellIs" dxfId="403" priority="79" stopIfTrue="1" operator="greaterThan">
      <formula>$N$70</formula>
    </cfRule>
    <cfRule type="cellIs" dxfId="402" priority="80" stopIfTrue="1" operator="lessThanOrEqual">
      <formula>$N$70</formula>
    </cfRule>
  </conditionalFormatting>
  <conditionalFormatting sqref="O31:O38">
    <cfRule type="cellIs" dxfId="401" priority="127" operator="greaterThanOrEqual">
      <formula>0</formula>
    </cfRule>
  </conditionalFormatting>
  <conditionalFormatting sqref="O36">
    <cfRule type="cellIs" dxfId="400" priority="112" stopIfTrue="1" operator="greaterThan">
      <formula>$N$79</formula>
    </cfRule>
    <cfRule type="cellIs" dxfId="399" priority="113" stopIfTrue="1" operator="lessThanOrEqual">
      <formula>$N$79</formula>
    </cfRule>
  </conditionalFormatting>
  <conditionalFormatting sqref="O37">
    <cfRule type="cellIs" dxfId="398" priority="116" stopIfTrue="1" operator="greaterThan">
      <formula>$N$79</formula>
    </cfRule>
    <cfRule type="cellIs" dxfId="397" priority="117" stopIfTrue="1" operator="lessThanOrEqual">
      <formula>$N$79</formula>
    </cfRule>
  </conditionalFormatting>
  <conditionalFormatting sqref="O37:O38">
    <cfRule type="cellIs" dxfId="396" priority="114" stopIfTrue="1" operator="greaterThan">
      <formula>$N$72</formula>
    </cfRule>
    <cfRule type="cellIs" dxfId="395" priority="115" stopIfTrue="1" operator="lessThanOrEqual">
      <formula>$N$72</formula>
    </cfRule>
  </conditionalFormatting>
  <conditionalFormatting sqref="O38">
    <cfRule type="cellIs" dxfId="394" priority="120" stopIfTrue="1" operator="greaterThan">
      <formula>$N$72</formula>
    </cfRule>
    <cfRule type="cellIs" dxfId="393" priority="121" stopIfTrue="1" operator="lessThanOrEqual">
      <formula>$N$72</formula>
    </cfRule>
    <cfRule type="cellIs" dxfId="392" priority="122" stopIfTrue="1" operator="greaterThan">
      <formula>$N$79</formula>
    </cfRule>
    <cfRule type="cellIs" dxfId="391" priority="123" stopIfTrue="1" operator="lessThanOrEqual">
      <formula>$N$79</formula>
    </cfRule>
  </conditionalFormatting>
  <conditionalFormatting sqref="O42:O43">
    <cfRule type="cellIs" dxfId="390" priority="91" stopIfTrue="1" operator="greaterThan">
      <formula>$N$70</formula>
    </cfRule>
    <cfRule type="cellIs" dxfId="389" priority="92" stopIfTrue="1" operator="lessThanOrEqual">
      <formula>$N$70</formula>
    </cfRule>
  </conditionalFormatting>
  <conditionalFormatting sqref="O43:O45">
    <cfRule type="cellIs" dxfId="388" priority="95" stopIfTrue="1" operator="greaterThan">
      <formula>$N$70</formula>
    </cfRule>
    <cfRule type="cellIs" dxfId="387" priority="96" stopIfTrue="1" operator="lessThanOrEqual">
      <formula>$N$70</formula>
    </cfRule>
  </conditionalFormatting>
  <conditionalFormatting sqref="O43:O52">
    <cfRule type="cellIs" dxfId="386" priority="107" operator="greaterThanOrEqual">
      <formula>0</formula>
    </cfRule>
  </conditionalFormatting>
  <conditionalFormatting sqref="O49:O51">
    <cfRule type="cellIs" dxfId="385" priority="101" stopIfTrue="1" operator="greaterThan">
      <formula>$N$70</formula>
    </cfRule>
    <cfRule type="cellIs" dxfId="384" priority="102" stopIfTrue="1" operator="lessThanOrEqual">
      <formula>$N$70</formula>
    </cfRule>
  </conditionalFormatting>
  <conditionalFormatting sqref="O52">
    <cfRule type="cellIs" dxfId="383" priority="108" stopIfTrue="1" operator="greaterThan">
      <formula>$N$72</formula>
    </cfRule>
    <cfRule type="cellIs" dxfId="382" priority="109" stopIfTrue="1" operator="lessThanOrEqual">
      <formula>$N$72</formula>
    </cfRule>
    <cfRule type="cellIs" dxfId="381" priority="110" stopIfTrue="1" operator="greaterThan">
      <formula>$N$70</formula>
    </cfRule>
    <cfRule type="cellIs" dxfId="380" priority="111" stopIfTrue="1" operator="lessThanOrEqual">
      <formula>$N$70</formula>
    </cfRule>
  </conditionalFormatting>
  <conditionalFormatting sqref="P9:P25 O13:O14 O16:O21 N22:O25 N26:P53 N54:O58 O59:P61 N62:P62 N63:O64 P73:P77">
    <cfRule type="cellIs" dxfId="379" priority="2" stopIfTrue="1" operator="lessThanOrEqual">
      <formula>$N$72</formula>
    </cfRule>
    <cfRule type="cellIs" dxfId="378" priority="1" stopIfTrue="1" operator="greaterThan">
      <formula>$N$72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J43" sqref="J43"/>
    </sheetView>
  </sheetViews>
  <sheetFormatPr defaultColWidth="14.28515625" defaultRowHeight="15" customHeight="1"/>
  <cols>
    <col min="1" max="1" width="3.28515625" customWidth="1"/>
    <col min="2" max="2" width="30.7109375" customWidth="1"/>
    <col min="3" max="3" width="6.7109375" customWidth="1"/>
    <col min="4" max="4" width="8" customWidth="1"/>
    <col min="5" max="5" width="10.28515625" customWidth="1"/>
    <col min="6" max="6" width="13.28515625" customWidth="1"/>
    <col min="7" max="7" width="12.28515625" customWidth="1"/>
    <col min="8" max="8" width="14" customWidth="1"/>
    <col min="9" max="10" width="10" customWidth="1"/>
    <col min="11" max="11" width="13.7109375" customWidth="1"/>
    <col min="12" max="12" width="12.28515625" customWidth="1"/>
    <col min="13" max="13" width="8.28515625" customWidth="1"/>
    <col min="14" max="14" width="8" customWidth="1"/>
    <col min="15" max="16" width="13.28515625" customWidth="1"/>
    <col min="17" max="17" width="12.28515625" customWidth="1"/>
    <col min="18" max="18" width="10" customWidth="1"/>
    <col min="19" max="26" width="9.28515625" customWidth="1"/>
  </cols>
  <sheetData>
    <row r="1" spans="1:26" ht="12.75" customHeight="1">
      <c r="A1" s="309"/>
      <c r="B1" s="1984" t="s">
        <v>0</v>
      </c>
      <c r="C1" s="1985"/>
      <c r="D1" s="1985"/>
      <c r="E1" s="1985"/>
      <c r="F1" s="1985"/>
      <c r="G1" s="1985"/>
      <c r="H1" s="1985"/>
      <c r="I1" s="1985"/>
      <c r="J1" s="1985"/>
      <c r="K1" s="1985"/>
      <c r="L1" s="1985"/>
      <c r="M1" s="1985"/>
      <c r="N1" s="1985"/>
      <c r="O1" s="1162"/>
      <c r="P1" s="989"/>
      <c r="Q1" s="990"/>
      <c r="R1" s="990"/>
      <c r="S1" s="990"/>
      <c r="T1" s="1021"/>
      <c r="U1" s="5"/>
      <c r="V1" s="5"/>
      <c r="W1" s="5"/>
      <c r="X1" s="5"/>
      <c r="Y1" s="5"/>
      <c r="Z1" s="5"/>
    </row>
    <row r="2" spans="1:26" ht="12.75" customHeight="1">
      <c r="A2" s="309"/>
      <c r="B2" s="1986" t="s">
        <v>446</v>
      </c>
      <c r="C2" s="1985"/>
      <c r="D2" s="1985"/>
      <c r="E2" s="1985"/>
      <c r="F2" s="1985"/>
      <c r="G2" s="1985"/>
      <c r="H2" s="1985"/>
      <c r="I2" s="1985"/>
      <c r="J2" s="1985"/>
      <c r="K2" s="1985"/>
      <c r="L2" s="1985"/>
      <c r="M2" s="1985"/>
      <c r="N2" s="1985"/>
      <c r="O2" s="325"/>
      <c r="P2" s="991"/>
      <c r="Q2" s="345"/>
      <c r="R2" s="345"/>
      <c r="S2" s="345"/>
      <c r="T2" s="1022"/>
      <c r="U2" s="5"/>
      <c r="V2" s="5"/>
      <c r="W2" s="5"/>
      <c r="X2" s="5"/>
      <c r="Y2" s="5"/>
      <c r="Z2" s="5"/>
    </row>
    <row r="3" spans="1:26" ht="12.75" customHeight="1">
      <c r="A3" s="309"/>
      <c r="B3" s="2001"/>
      <c r="C3" s="1985"/>
      <c r="D3" s="1985"/>
      <c r="E3" s="1985"/>
      <c r="F3" s="1985"/>
      <c r="G3" s="1985"/>
      <c r="H3" s="1985"/>
      <c r="I3" s="1985"/>
      <c r="J3" s="1985"/>
      <c r="K3" s="1985"/>
      <c r="L3" s="1985"/>
      <c r="M3" s="1985"/>
      <c r="N3" s="1985"/>
      <c r="O3" s="325"/>
      <c r="P3" s="991"/>
      <c r="Q3" s="992"/>
      <c r="R3" s="992"/>
      <c r="S3" s="992"/>
      <c r="T3" s="1022"/>
      <c r="U3" s="5"/>
      <c r="V3" s="5"/>
      <c r="W3" s="5"/>
      <c r="X3" s="5"/>
      <c r="Y3" s="5"/>
      <c r="Z3" s="5"/>
    </row>
    <row r="4" spans="1:26" ht="12.75" customHeight="1">
      <c r="A4" s="309"/>
      <c r="B4" s="894"/>
      <c r="C4" s="894"/>
      <c r="D4" s="894"/>
      <c r="E4" s="894"/>
      <c r="F4" s="894"/>
      <c r="G4" s="894"/>
      <c r="H4" s="894"/>
      <c r="I4" s="894"/>
      <c r="J4" s="894"/>
      <c r="K4" s="894"/>
      <c r="L4" s="894"/>
      <c r="M4" s="894"/>
      <c r="N4" s="894"/>
      <c r="O4" s="1163"/>
      <c r="P4" s="994"/>
      <c r="Q4" s="933"/>
      <c r="R4" s="933"/>
      <c r="S4" s="933"/>
      <c r="T4" s="609"/>
      <c r="U4" s="5"/>
      <c r="V4" s="5"/>
      <c r="W4" s="5"/>
      <c r="X4" s="5"/>
      <c r="Y4" s="5"/>
      <c r="Z4" s="5"/>
    </row>
    <row r="5" spans="1:26" ht="12.75" customHeight="1">
      <c r="A5" s="897"/>
      <c r="B5" s="897"/>
      <c r="C5" s="1175"/>
      <c r="D5" s="1988" t="s">
        <v>3</v>
      </c>
      <c r="E5" s="1989"/>
      <c r="F5" s="1989"/>
      <c r="G5" s="1989"/>
      <c r="H5" s="1989"/>
      <c r="I5" s="1989"/>
      <c r="J5" s="1989"/>
      <c r="K5" s="1989"/>
      <c r="L5" s="1990"/>
      <c r="M5" s="1991"/>
      <c r="N5" s="1992"/>
      <c r="O5" s="1164"/>
      <c r="P5" s="995"/>
      <c r="Q5" s="309"/>
      <c r="R5" s="309"/>
      <c r="S5" s="309"/>
      <c r="T5" s="328"/>
      <c r="U5" s="5"/>
      <c r="V5" s="5"/>
      <c r="W5" s="5"/>
      <c r="X5" s="5"/>
      <c r="Y5" s="5"/>
      <c r="Z5" s="5"/>
    </row>
    <row r="6" spans="1:26" ht="12.75" customHeight="1">
      <c r="A6" s="1053"/>
      <c r="B6" s="900"/>
      <c r="C6" s="901"/>
      <c r="D6" s="2008">
        <v>42004</v>
      </c>
      <c r="E6" s="1981"/>
      <c r="F6" s="1981"/>
      <c r="G6" s="1981"/>
      <c r="H6" s="1195"/>
      <c r="I6" s="2003">
        <v>42369</v>
      </c>
      <c r="J6" s="1981"/>
      <c r="K6" s="1981"/>
      <c r="L6" s="1983"/>
      <c r="M6" s="544" t="s">
        <v>5</v>
      </c>
      <c r="N6" s="41" t="s">
        <v>6</v>
      </c>
      <c r="O6" s="1116"/>
      <c r="P6" s="1116"/>
      <c r="Q6" s="1116"/>
      <c r="R6" s="1116"/>
      <c r="S6" s="323"/>
      <c r="T6" s="327"/>
      <c r="U6" s="5"/>
      <c r="V6" s="5"/>
      <c r="W6" s="5"/>
      <c r="X6" s="5"/>
      <c r="Y6" s="5"/>
      <c r="Z6" s="5"/>
    </row>
    <row r="7" spans="1:26" ht="12.75" customHeight="1">
      <c r="A7" s="42"/>
      <c r="B7" s="905" t="s">
        <v>7</v>
      </c>
      <c r="C7" s="1176" t="s">
        <v>8</v>
      </c>
      <c r="D7" s="893" t="s">
        <v>9</v>
      </c>
      <c r="E7" s="113" t="s">
        <v>10</v>
      </c>
      <c r="F7" s="113" t="s">
        <v>11</v>
      </c>
      <c r="G7" s="113" t="s">
        <v>12</v>
      </c>
      <c r="H7" s="113"/>
      <c r="I7" s="113" t="s">
        <v>9</v>
      </c>
      <c r="J7" s="113" t="s">
        <v>10</v>
      </c>
      <c r="K7" s="114" t="s">
        <v>11</v>
      </c>
      <c r="L7" s="115" t="s">
        <v>12</v>
      </c>
      <c r="M7" s="113" t="s">
        <v>15</v>
      </c>
      <c r="N7" s="115" t="s">
        <v>15</v>
      </c>
      <c r="O7" s="544"/>
      <c r="P7" s="544"/>
      <c r="Q7" s="1116"/>
      <c r="R7" s="1116"/>
      <c r="S7" s="323"/>
      <c r="T7" s="327"/>
      <c r="U7" s="5"/>
      <c r="V7" s="5"/>
      <c r="W7" s="5"/>
      <c r="X7" s="5"/>
      <c r="Y7" s="5"/>
      <c r="Z7" s="5"/>
    </row>
    <row r="8" spans="1:26" ht="12.75" customHeight="1">
      <c r="A8" s="1177"/>
      <c r="B8" s="900" t="s">
        <v>360</v>
      </c>
      <c r="C8" s="1178"/>
      <c r="D8" s="544"/>
      <c r="E8" s="544"/>
      <c r="F8" s="544"/>
      <c r="G8" s="544"/>
      <c r="H8" s="544"/>
      <c r="I8" s="544"/>
      <c r="J8" s="544"/>
      <c r="K8" s="1179"/>
      <c r="L8" s="855"/>
      <c r="M8" s="62"/>
      <c r="N8" s="1180"/>
      <c r="O8" s="882"/>
      <c r="P8" s="892"/>
      <c r="Q8" s="323"/>
      <c r="R8" s="323"/>
      <c r="S8" s="323"/>
      <c r="T8" s="327"/>
      <c r="U8" s="5"/>
      <c r="V8" s="5"/>
      <c r="W8" s="5"/>
      <c r="X8" s="5"/>
      <c r="Y8" s="5"/>
      <c r="Z8" s="5"/>
    </row>
    <row r="9" spans="1:26" ht="12.75" customHeight="1">
      <c r="A9" s="322">
        <v>1</v>
      </c>
      <c r="B9" s="334" t="s">
        <v>230</v>
      </c>
      <c r="C9" s="335" t="s">
        <v>231</v>
      </c>
      <c r="D9" s="547">
        <v>25</v>
      </c>
      <c r="E9" s="1055">
        <v>164.32</v>
      </c>
      <c r="F9" s="327">
        <f t="shared" ref="F9:F14" si="0">D9*E9</f>
        <v>4108</v>
      </c>
      <c r="G9" s="331">
        <f t="shared" ref="G9:G14" si="1">F9/$F$78</f>
        <v>2.8492889817135016E-2</v>
      </c>
      <c r="H9" s="544"/>
      <c r="I9" s="547">
        <v>25</v>
      </c>
      <c r="J9" s="1055">
        <v>150.63999999999999</v>
      </c>
      <c r="K9" s="1147">
        <f t="shared" ref="K9:K45" si="2">I9*J9</f>
        <v>3765.9999999999995</v>
      </c>
      <c r="L9" s="1118">
        <f t="shared" ref="L9:L46" si="3">K9/$K$78</f>
        <v>2.4752185665316534E-2</v>
      </c>
      <c r="M9" s="495">
        <f t="shared" ref="M9:M14" si="4">(K9-F9)/F9</f>
        <v>-8.3252190847127663E-2</v>
      </c>
      <c r="N9" s="329">
        <f>(J9-Transactions!C1395)/Transactions!C1395</f>
        <v>0.92339121552604697</v>
      </c>
      <c r="O9" s="336"/>
      <c r="P9" s="331"/>
      <c r="Q9" s="327"/>
      <c r="R9" s="327"/>
      <c r="S9" s="323"/>
      <c r="T9" s="327"/>
      <c r="U9" s="5"/>
      <c r="V9" s="5"/>
      <c r="W9" s="5"/>
      <c r="X9" s="5"/>
      <c r="Y9" s="5"/>
      <c r="Z9" s="5"/>
    </row>
    <row r="10" spans="1:26" ht="12.75" customHeight="1">
      <c r="A10" s="322">
        <v>2</v>
      </c>
      <c r="B10" s="334" t="s">
        <v>395</v>
      </c>
      <c r="C10" s="335" t="s">
        <v>396</v>
      </c>
      <c r="D10" s="547">
        <v>40</v>
      </c>
      <c r="E10" s="1055">
        <v>89.31</v>
      </c>
      <c r="F10" s="327">
        <f t="shared" si="0"/>
        <v>3572.4</v>
      </c>
      <c r="G10" s="331">
        <f t="shared" si="1"/>
        <v>2.4777994056166781E-2</v>
      </c>
      <c r="H10" s="545"/>
      <c r="I10" s="547">
        <v>40</v>
      </c>
      <c r="J10" s="1055">
        <v>104.5</v>
      </c>
      <c r="K10" s="1147">
        <f t="shared" si="2"/>
        <v>4180</v>
      </c>
      <c r="L10" s="1118">
        <f t="shared" si="3"/>
        <v>2.7473217228099606E-2</v>
      </c>
      <c r="M10" s="495">
        <f t="shared" si="4"/>
        <v>0.17008173776732727</v>
      </c>
      <c r="N10" s="1201">
        <f>(J10-Transactions!C937)/Transactions!C937</f>
        <v>0.30968793081839818</v>
      </c>
      <c r="O10" s="336"/>
      <c r="P10" s="331"/>
      <c r="Q10" s="327"/>
      <c r="R10" s="327"/>
      <c r="S10" s="323"/>
      <c r="T10" s="327"/>
      <c r="U10" s="5"/>
      <c r="V10" s="5"/>
      <c r="W10" s="5"/>
      <c r="X10" s="5"/>
      <c r="Y10" s="5"/>
      <c r="Z10" s="5"/>
    </row>
    <row r="11" spans="1:26" ht="12.75" customHeight="1">
      <c r="A11" s="322">
        <v>3</v>
      </c>
      <c r="B11" s="334" t="s">
        <v>341</v>
      </c>
      <c r="C11" s="335" t="s">
        <v>342</v>
      </c>
      <c r="D11" s="547">
        <v>10</v>
      </c>
      <c r="E11" s="1055">
        <v>144.22999999999999</v>
      </c>
      <c r="F11" s="327">
        <f t="shared" si="0"/>
        <v>1442.3</v>
      </c>
      <c r="G11" s="331">
        <f t="shared" si="1"/>
        <v>1.0003723218903075E-2</v>
      </c>
      <c r="H11" s="544"/>
      <c r="I11" s="547">
        <v>10</v>
      </c>
      <c r="J11" s="1055">
        <v>130.11000000000001</v>
      </c>
      <c r="K11" s="1147">
        <f t="shared" si="2"/>
        <v>1301.1000000000001</v>
      </c>
      <c r="L11" s="1118">
        <f t="shared" si="3"/>
        <v>8.5515318027465075E-3</v>
      </c>
      <c r="M11" s="495">
        <f t="shared" si="4"/>
        <v>-9.7899188795673456E-2</v>
      </c>
      <c r="N11" s="329">
        <f>(J11-Transactions!C1086)/Transactions!C1086</f>
        <v>0.58922682301209239</v>
      </c>
      <c r="O11" s="327"/>
      <c r="P11" s="331"/>
      <c r="Q11" s="327"/>
      <c r="R11" s="327"/>
      <c r="S11" s="323"/>
      <c r="T11" s="327"/>
      <c r="U11" s="5"/>
      <c r="V11" s="5"/>
      <c r="W11" s="5"/>
      <c r="X11" s="5"/>
      <c r="Y11" s="5"/>
      <c r="Z11" s="5"/>
    </row>
    <row r="12" spans="1:26" ht="12.75" customHeight="1">
      <c r="A12" s="322">
        <v>4</v>
      </c>
      <c r="B12" s="334" t="s">
        <v>398</v>
      </c>
      <c r="C12" s="335" t="s">
        <v>399</v>
      </c>
      <c r="D12" s="547">
        <v>20</v>
      </c>
      <c r="E12" s="1055">
        <v>98.85</v>
      </c>
      <c r="F12" s="327">
        <f t="shared" si="0"/>
        <v>1977</v>
      </c>
      <c r="G12" s="331">
        <f t="shared" si="1"/>
        <v>1.3712376623290149E-2</v>
      </c>
      <c r="H12" s="546"/>
      <c r="I12" s="547">
        <v>20</v>
      </c>
      <c r="J12" s="1055">
        <v>96.95</v>
      </c>
      <c r="K12" s="1147">
        <f t="shared" si="2"/>
        <v>1939</v>
      </c>
      <c r="L12" s="1118">
        <f t="shared" si="3"/>
        <v>1.2744155073034722E-2</v>
      </c>
      <c r="M12" s="495">
        <f t="shared" si="4"/>
        <v>-1.9221041982802226E-2</v>
      </c>
      <c r="N12" s="329">
        <f>(J12-Transactions!C884)/Transactions!C884</f>
        <v>-5.4423095679313353E-2</v>
      </c>
      <c r="O12" s="327"/>
      <c r="P12" s="331"/>
      <c r="Q12" s="327"/>
      <c r="R12" s="327"/>
      <c r="S12" s="323"/>
      <c r="T12" s="327"/>
      <c r="U12" s="5"/>
      <c r="V12" s="5"/>
      <c r="W12" s="5"/>
      <c r="X12" s="5"/>
      <c r="Y12" s="5"/>
      <c r="Z12" s="5"/>
    </row>
    <row r="13" spans="1:26" ht="12.75" customHeight="1">
      <c r="A13" s="322">
        <v>5</v>
      </c>
      <c r="B13" s="334" t="s">
        <v>401</v>
      </c>
      <c r="C13" s="335" t="s">
        <v>402</v>
      </c>
      <c r="D13" s="547">
        <v>15</v>
      </c>
      <c r="E13" s="1055">
        <v>159.29</v>
      </c>
      <c r="F13" s="327">
        <f t="shared" si="0"/>
        <v>2389.35</v>
      </c>
      <c r="G13" s="331">
        <f t="shared" si="1"/>
        <v>1.6572416330226766E-2</v>
      </c>
      <c r="H13" s="546"/>
      <c r="I13" s="547">
        <v>21</v>
      </c>
      <c r="J13" s="1055">
        <v>162.33000000000001</v>
      </c>
      <c r="K13" s="1147">
        <f t="shared" si="2"/>
        <v>3408.9300000000003</v>
      </c>
      <c r="L13" s="1118">
        <f t="shared" si="3"/>
        <v>2.2405328805116174E-2</v>
      </c>
      <c r="M13" s="495">
        <f t="shared" si="4"/>
        <v>0.42671856362609095</v>
      </c>
      <c r="N13" s="329">
        <f>(J13-Transactions!C897)/Transactions!C897</f>
        <v>3.6975411351452685E-4</v>
      </c>
      <c r="O13" s="327"/>
      <c r="P13" s="331"/>
      <c r="Q13" s="327"/>
      <c r="R13" s="327"/>
      <c r="S13" s="323"/>
      <c r="T13" s="327"/>
      <c r="U13" s="5"/>
      <c r="V13" s="5"/>
      <c r="W13" s="5"/>
      <c r="X13" s="5"/>
      <c r="Y13" s="5"/>
      <c r="Z13" s="5"/>
    </row>
    <row r="14" spans="1:26" ht="12.75" customHeight="1">
      <c r="A14" s="322">
        <v>6</v>
      </c>
      <c r="B14" s="334" t="s">
        <v>206</v>
      </c>
      <c r="C14" s="335" t="s">
        <v>207</v>
      </c>
      <c r="D14" s="547">
        <v>42</v>
      </c>
      <c r="E14" s="1055">
        <v>110.43</v>
      </c>
      <c r="F14" s="327">
        <f t="shared" si="0"/>
        <v>4638.0600000000004</v>
      </c>
      <c r="G14" s="331">
        <f t="shared" si="1"/>
        <v>3.2169360405370315E-2</v>
      </c>
      <c r="H14" s="546"/>
      <c r="I14" s="547">
        <v>42</v>
      </c>
      <c r="J14" s="1055">
        <v>105.26</v>
      </c>
      <c r="K14" s="1147">
        <f t="shared" si="2"/>
        <v>4420.92</v>
      </c>
      <c r="L14" s="1118">
        <f t="shared" si="3"/>
        <v>2.9056673566519167E-2</v>
      </c>
      <c r="M14" s="495">
        <f t="shared" si="4"/>
        <v>-4.68169881372816E-2</v>
      </c>
      <c r="N14" s="329">
        <f>(J14-Transactions!C1433)/Transactions!C1433</f>
        <v>3.1555467824713781</v>
      </c>
      <c r="O14" s="327"/>
      <c r="P14" s="331"/>
      <c r="Q14" s="327"/>
      <c r="R14" s="327"/>
      <c r="S14" s="309"/>
      <c r="T14" s="328"/>
      <c r="U14" s="5"/>
      <c r="V14" s="5"/>
      <c r="W14" s="5"/>
      <c r="X14" s="5"/>
      <c r="Y14" s="5"/>
      <c r="Z14" s="5"/>
    </row>
    <row r="15" spans="1:26" ht="12.75" customHeight="1">
      <c r="A15" s="322">
        <v>7</v>
      </c>
      <c r="B15" s="334" t="s">
        <v>447</v>
      </c>
      <c r="C15" s="335" t="s">
        <v>448</v>
      </c>
      <c r="D15" s="547"/>
      <c r="E15" s="1055"/>
      <c r="F15" s="327"/>
      <c r="G15" s="331"/>
      <c r="H15" s="546"/>
      <c r="I15" s="547">
        <v>50</v>
      </c>
      <c r="J15" s="1055">
        <v>34.409999999999997</v>
      </c>
      <c r="K15" s="1147">
        <f t="shared" si="2"/>
        <v>1720.4999999999998</v>
      </c>
      <c r="L15" s="1118">
        <f t="shared" si="3"/>
        <v>1.1308055081565878E-2</v>
      </c>
      <c r="M15" s="495"/>
      <c r="N15" s="329">
        <f>(J15-Transactions!C813)/Transactions!C813</f>
        <v>3.4265103697024145E-2</v>
      </c>
      <c r="O15" s="327"/>
      <c r="P15" s="331"/>
      <c r="Q15" s="327"/>
      <c r="R15" s="327"/>
      <c r="S15" s="309"/>
      <c r="T15" s="328"/>
      <c r="U15" s="5"/>
      <c r="V15" s="5"/>
      <c r="W15" s="5"/>
      <c r="X15" s="5"/>
      <c r="Y15" s="5"/>
      <c r="Z15" s="5"/>
    </row>
    <row r="16" spans="1:26" ht="12.75" customHeight="1">
      <c r="A16" s="322">
        <v>8</v>
      </c>
      <c r="B16" s="334" t="s">
        <v>449</v>
      </c>
      <c r="C16" s="335" t="s">
        <v>450</v>
      </c>
      <c r="D16" s="547" t="s">
        <v>86</v>
      </c>
      <c r="E16" s="1055">
        <v>36.53</v>
      </c>
      <c r="F16" s="327" t="e">
        <f>D16*E16</f>
        <v>#VALUE!</v>
      </c>
      <c r="G16" s="331" t="e">
        <f>F16/$F$78</f>
        <v>#VALUE!</v>
      </c>
      <c r="H16" s="547"/>
      <c r="I16" s="547">
        <v>50</v>
      </c>
      <c r="J16" s="1055">
        <v>49.46</v>
      </c>
      <c r="K16" s="1147">
        <f t="shared" si="2"/>
        <v>2473</v>
      </c>
      <c r="L16" s="1118">
        <f t="shared" si="3"/>
        <v>1.6253891436624483E-2</v>
      </c>
      <c r="M16" s="495"/>
      <c r="N16" s="329">
        <f>(J16-Transactions!C857)/Transactions!C857</f>
        <v>0.35396677224285999</v>
      </c>
      <c r="O16" s="327"/>
      <c r="P16" s="331"/>
      <c r="Q16" s="327"/>
      <c r="R16" s="327"/>
      <c r="S16" s="309"/>
      <c r="T16" s="328"/>
      <c r="U16" s="5"/>
      <c r="V16" s="5"/>
      <c r="W16" s="5"/>
      <c r="X16" s="5"/>
      <c r="Y16" s="5"/>
      <c r="Z16" s="5"/>
    </row>
    <row r="17" spans="1:26" ht="12.75" customHeight="1">
      <c r="A17" s="322">
        <v>9</v>
      </c>
      <c r="B17" s="334" t="s">
        <v>451</v>
      </c>
      <c r="C17" s="335" t="s">
        <v>452</v>
      </c>
      <c r="D17" s="547"/>
      <c r="E17" s="1055"/>
      <c r="F17" s="327"/>
      <c r="G17" s="331"/>
      <c r="H17" s="547"/>
      <c r="I17" s="547">
        <v>25</v>
      </c>
      <c r="J17" s="1055">
        <v>72.180000000000007</v>
      </c>
      <c r="K17" s="1147">
        <f t="shared" si="2"/>
        <v>1804.5000000000002</v>
      </c>
      <c r="L17" s="1118">
        <f t="shared" si="3"/>
        <v>1.1860148442130562E-2</v>
      </c>
      <c r="M17" s="495"/>
      <c r="N17" s="329">
        <f>(J17-Transactions!C801)/Transactions!C801</f>
        <v>4.7327394209354589E-3</v>
      </c>
      <c r="O17" s="327"/>
      <c r="P17" s="331"/>
      <c r="Q17" s="327"/>
      <c r="R17" s="327"/>
      <c r="S17" s="309"/>
      <c r="T17" s="328"/>
      <c r="U17" s="5"/>
      <c r="V17" s="5"/>
      <c r="W17" s="5"/>
      <c r="X17" s="5"/>
      <c r="Y17" s="5"/>
      <c r="Z17" s="5"/>
    </row>
    <row r="18" spans="1:26" ht="12.75" customHeight="1">
      <c r="A18" s="322">
        <v>10</v>
      </c>
      <c r="B18" s="334" t="s">
        <v>453</v>
      </c>
      <c r="C18" s="335" t="s">
        <v>454</v>
      </c>
      <c r="D18" s="547">
        <v>55</v>
      </c>
      <c r="E18" s="1055">
        <v>41.7</v>
      </c>
      <c r="F18" s="327">
        <f t="shared" ref="F18:F29" si="5">D18*E18</f>
        <v>2293.5</v>
      </c>
      <c r="G18" s="331">
        <f t="shared" ref="G18:G29" si="6">F18/$F$78</f>
        <v>1.5907605354332804E-2</v>
      </c>
      <c r="H18" s="547"/>
      <c r="I18" s="547">
        <v>55</v>
      </c>
      <c r="J18" s="1055">
        <v>29.24</v>
      </c>
      <c r="K18" s="1147">
        <f t="shared" si="2"/>
        <v>1608.1999999999998</v>
      </c>
      <c r="L18" s="1118">
        <f t="shared" si="3"/>
        <v>1.0569958838810954E-2</v>
      </c>
      <c r="M18" s="495"/>
      <c r="N18" s="329">
        <f>(J18-Transactions!C821)/Transactions!C821</f>
        <v>-0.29877573533820168</v>
      </c>
      <c r="O18" s="327"/>
      <c r="P18" s="331"/>
      <c r="Q18" s="327"/>
      <c r="R18" s="327"/>
      <c r="S18" s="309"/>
      <c r="T18" s="328"/>
      <c r="U18" s="5"/>
      <c r="V18" s="5"/>
      <c r="W18" s="5"/>
      <c r="X18" s="5"/>
      <c r="Y18" s="5"/>
      <c r="Z18" s="5"/>
    </row>
    <row r="19" spans="1:26" ht="12.75" customHeight="1">
      <c r="A19" s="322">
        <v>11</v>
      </c>
      <c r="B19" s="334" t="s">
        <v>404</v>
      </c>
      <c r="C19" s="335" t="s">
        <v>405</v>
      </c>
      <c r="D19" s="547">
        <v>50</v>
      </c>
      <c r="E19" s="1055">
        <v>64.66</v>
      </c>
      <c r="F19" s="327">
        <f t="shared" si="5"/>
        <v>3233</v>
      </c>
      <c r="G19" s="331">
        <f t="shared" si="6"/>
        <v>2.2423932029892287E-2</v>
      </c>
      <c r="H19" s="547"/>
      <c r="I19" s="547">
        <v>50</v>
      </c>
      <c r="J19" s="1055">
        <v>60.17</v>
      </c>
      <c r="K19" s="1147">
        <f t="shared" si="2"/>
        <v>3008.5</v>
      </c>
      <c r="L19" s="1118">
        <f t="shared" si="3"/>
        <v>1.9773486610224322E-2</v>
      </c>
      <c r="M19" s="495">
        <f>(K19-F19)/F19</f>
        <v>-6.9440148468914317E-2</v>
      </c>
      <c r="N19" s="1201">
        <f>(J19-Transactions!C921)/Transactions!C921</f>
        <v>2.9955494693598081E-2</v>
      </c>
      <c r="O19" s="327"/>
      <c r="P19" s="331"/>
      <c r="Q19" s="327"/>
      <c r="R19" s="327"/>
      <c r="S19" s="309"/>
      <c r="T19" s="328"/>
      <c r="U19" s="5"/>
      <c r="V19" s="5"/>
      <c r="W19" s="5"/>
      <c r="X19" s="5"/>
      <c r="Y19" s="5"/>
      <c r="Z19" s="5"/>
    </row>
    <row r="20" spans="1:26" ht="12.75" customHeight="1">
      <c r="A20" s="322">
        <v>12</v>
      </c>
      <c r="B20" s="334" t="s">
        <v>407</v>
      </c>
      <c r="C20" s="335" t="s">
        <v>408</v>
      </c>
      <c r="D20" s="547">
        <v>3</v>
      </c>
      <c r="E20" s="1055">
        <v>684.51</v>
      </c>
      <c r="F20" s="327">
        <f t="shared" si="5"/>
        <v>2053.5299999999997</v>
      </c>
      <c r="G20" s="331">
        <f t="shared" si="6"/>
        <v>1.4243185011241789E-2</v>
      </c>
      <c r="H20" s="547"/>
      <c r="I20" s="547">
        <v>3</v>
      </c>
      <c r="J20" s="1055">
        <v>479.85</v>
      </c>
      <c r="K20" s="1147">
        <f t="shared" si="2"/>
        <v>1439.5500000000002</v>
      </c>
      <c r="L20" s="1118">
        <f t="shared" si="3"/>
        <v>9.4614999666772243E-3</v>
      </c>
      <c r="M20" s="495">
        <f>(K20-F20)/F20</f>
        <v>-0.29898759696717342</v>
      </c>
      <c r="N20" s="329">
        <f>(J20-Transactions!C892)/Transactions!C892</f>
        <v>-0.28385930659791153</v>
      </c>
      <c r="O20" s="327"/>
      <c r="P20" s="331"/>
      <c r="Q20" s="327"/>
      <c r="R20" s="327"/>
      <c r="S20" s="309"/>
      <c r="T20" s="328"/>
      <c r="U20" s="5"/>
      <c r="V20" s="5"/>
      <c r="W20" s="5"/>
      <c r="X20" s="5"/>
      <c r="Y20" s="5"/>
      <c r="Z20" s="5"/>
    </row>
    <row r="21" spans="1:26" ht="12.75" customHeight="1">
      <c r="A21" s="322">
        <v>13</v>
      </c>
      <c r="B21" s="334" t="s">
        <v>281</v>
      </c>
      <c r="C21" s="335" t="s">
        <v>152</v>
      </c>
      <c r="D21" s="547">
        <v>120</v>
      </c>
      <c r="E21" s="1055">
        <v>27.82</v>
      </c>
      <c r="F21" s="327">
        <f t="shared" si="5"/>
        <v>3338.4</v>
      </c>
      <c r="G21" s="331">
        <f t="shared" si="6"/>
        <v>2.3154981345064156E-2</v>
      </c>
      <c r="H21" s="547"/>
      <c r="I21" s="547">
        <v>120</v>
      </c>
      <c r="J21" s="1055">
        <v>27.155000000000001</v>
      </c>
      <c r="K21" s="1147">
        <f t="shared" si="2"/>
        <v>3258.6000000000004</v>
      </c>
      <c r="L21" s="1118">
        <f t="shared" si="3"/>
        <v>2.1417278865905595E-2</v>
      </c>
      <c r="M21" s="495">
        <f>(K21-F21)/F21</f>
        <v>-2.3903666427030831E-2</v>
      </c>
      <c r="N21" s="329">
        <f>(J21-Transactions!C1201)/Transactions!C1201</f>
        <v>0.4482666666666667</v>
      </c>
      <c r="O21" s="327"/>
      <c r="P21" s="331"/>
      <c r="Q21" s="327"/>
      <c r="R21" s="327"/>
      <c r="S21" s="309"/>
      <c r="T21" s="328"/>
      <c r="U21" s="5"/>
      <c r="V21" s="5"/>
      <c r="W21" s="5"/>
      <c r="X21" s="5"/>
      <c r="Y21" s="5"/>
      <c r="Z21" s="5"/>
    </row>
    <row r="22" spans="1:26" ht="12.75" customHeight="1">
      <c r="A22" s="322">
        <v>14</v>
      </c>
      <c r="B22" s="334" t="s">
        <v>153</v>
      </c>
      <c r="C22" s="335" t="s">
        <v>154</v>
      </c>
      <c r="D22" s="547">
        <v>70</v>
      </c>
      <c r="E22" s="1055">
        <v>42.22</v>
      </c>
      <c r="F22" s="327">
        <f t="shared" si="5"/>
        <v>2955.4</v>
      </c>
      <c r="G22" s="331">
        <f t="shared" si="6"/>
        <v>2.0498511822191052E-2</v>
      </c>
      <c r="H22" s="547"/>
      <c r="I22" s="547">
        <v>70</v>
      </c>
      <c r="J22" s="1055">
        <v>42.96</v>
      </c>
      <c r="K22" s="1147">
        <f t="shared" si="2"/>
        <v>3007.2000000000003</v>
      </c>
      <c r="L22" s="1118">
        <f t="shared" si="3"/>
        <v>1.9764942308215586E-2</v>
      </c>
      <c r="M22" s="495">
        <f>(K22-F22)/F22</f>
        <v>1.752723827569878E-2</v>
      </c>
      <c r="N22" s="329">
        <f>(J22-Transactions!C1375)/Transactions!C1375</f>
        <v>0.95985401459854003</v>
      </c>
      <c r="O22" s="327"/>
      <c r="P22" s="331"/>
      <c r="Q22" s="327"/>
      <c r="R22" s="327"/>
      <c r="S22" s="309"/>
      <c r="T22" s="328"/>
      <c r="U22" s="5"/>
      <c r="V22" s="5"/>
      <c r="W22" s="5"/>
      <c r="X22" s="5"/>
      <c r="Y22" s="5"/>
      <c r="Z22" s="5"/>
    </row>
    <row r="23" spans="1:26" ht="12.75" customHeight="1">
      <c r="A23" s="322">
        <v>15</v>
      </c>
      <c r="B23" s="334" t="s">
        <v>455</v>
      </c>
      <c r="C23" s="335" t="s">
        <v>456</v>
      </c>
      <c r="D23" s="547" t="s">
        <v>86</v>
      </c>
      <c r="E23" s="1055">
        <v>101.48</v>
      </c>
      <c r="F23" s="327" t="e">
        <f t="shared" si="5"/>
        <v>#VALUE!</v>
      </c>
      <c r="G23" s="331" t="e">
        <f t="shared" si="6"/>
        <v>#VALUE!</v>
      </c>
      <c r="H23" s="547"/>
      <c r="I23" s="547">
        <v>12</v>
      </c>
      <c r="J23" s="1055">
        <v>97.77</v>
      </c>
      <c r="K23" s="1147">
        <f t="shared" si="2"/>
        <v>1173.24</v>
      </c>
      <c r="L23" s="1118">
        <f t="shared" si="3"/>
        <v>7.7111668374869819E-3</v>
      </c>
      <c r="M23" s="495"/>
      <c r="N23" s="329">
        <f>(J23-Transactions!C826)/Transactions!C826</f>
        <v>-3.6538990262904622E-2</v>
      </c>
      <c r="O23" s="327"/>
      <c r="P23" s="331"/>
      <c r="Q23" s="327"/>
      <c r="R23" s="327"/>
      <c r="S23" s="309"/>
      <c r="T23" s="328"/>
      <c r="U23" s="5"/>
      <c r="V23" s="5"/>
      <c r="W23" s="5"/>
      <c r="X23" s="5"/>
      <c r="Y23" s="5"/>
      <c r="Z23" s="5"/>
    </row>
    <row r="24" spans="1:26" ht="12.75" customHeight="1">
      <c r="A24" s="322">
        <v>16</v>
      </c>
      <c r="B24" s="1059" t="s">
        <v>24</v>
      </c>
      <c r="C24" s="138" t="s">
        <v>25</v>
      </c>
      <c r="D24" s="1181">
        <v>60</v>
      </c>
      <c r="E24" s="1055">
        <v>85.71</v>
      </c>
      <c r="F24" s="327">
        <f t="shared" si="5"/>
        <v>5142.5999999999995</v>
      </c>
      <c r="G24" s="331">
        <f t="shared" si="6"/>
        <v>3.5668825504770817E-2</v>
      </c>
      <c r="H24" s="548"/>
      <c r="I24" s="1181">
        <v>60</v>
      </c>
      <c r="J24" s="1055">
        <v>92.88</v>
      </c>
      <c r="K24" s="1147">
        <f t="shared" si="2"/>
        <v>5572.7999999999993</v>
      </c>
      <c r="L24" s="1118">
        <f t="shared" si="3"/>
        <v>3.6627450949462556E-2</v>
      </c>
      <c r="M24" s="495">
        <f t="shared" ref="M24:M29" si="7">(K24-F24)/F24</f>
        <v>8.3654182709135425E-2</v>
      </c>
      <c r="N24" s="329">
        <f>(J24-Transactions!C1718)/Transactions!C1718</f>
        <v>2.6602955665024628</v>
      </c>
      <c r="O24" s="327"/>
      <c r="P24" s="331"/>
      <c r="Q24" s="327"/>
      <c r="R24" s="327"/>
      <c r="S24" s="309"/>
      <c r="T24" s="328"/>
      <c r="U24" s="5"/>
      <c r="V24" s="5"/>
      <c r="W24" s="5"/>
      <c r="X24" s="5"/>
      <c r="Y24" s="5"/>
      <c r="Z24" s="5"/>
    </row>
    <row r="25" spans="1:26" ht="12.75" customHeight="1">
      <c r="A25" s="322">
        <v>17</v>
      </c>
      <c r="B25" s="334" t="s">
        <v>284</v>
      </c>
      <c r="C25" s="138" t="s">
        <v>285</v>
      </c>
      <c r="D25" s="1181">
        <v>28</v>
      </c>
      <c r="E25" s="1055">
        <v>92.45</v>
      </c>
      <c r="F25" s="327">
        <f t="shared" si="5"/>
        <v>2588.6</v>
      </c>
      <c r="G25" s="331">
        <f t="shared" si="6"/>
        <v>1.7954404717778896E-2</v>
      </c>
      <c r="H25" s="548"/>
      <c r="I25" s="1181">
        <v>28</v>
      </c>
      <c r="J25" s="1055">
        <v>77.95</v>
      </c>
      <c r="K25" s="1147">
        <f t="shared" si="2"/>
        <v>2182.6</v>
      </c>
      <c r="L25" s="1118">
        <f t="shared" si="3"/>
        <v>1.4345225818672296E-2</v>
      </c>
      <c r="M25" s="495">
        <f t="shared" si="7"/>
        <v>-0.15684153596538669</v>
      </c>
      <c r="N25" s="329">
        <f>(J25-Transactions!C1403)/Transactions!C1403</f>
        <v>-7.5326215895610851E-2</v>
      </c>
      <c r="O25" s="327"/>
      <c r="P25" s="331"/>
      <c r="Q25" s="327"/>
      <c r="R25" s="327"/>
      <c r="S25" s="309"/>
      <c r="T25" s="328"/>
      <c r="U25" s="5"/>
      <c r="V25" s="5"/>
      <c r="W25" s="5"/>
      <c r="X25" s="5"/>
      <c r="Y25" s="5"/>
      <c r="Z25" s="5"/>
    </row>
    <row r="26" spans="1:26" ht="12.75" customHeight="1">
      <c r="A26" s="322">
        <v>18</v>
      </c>
      <c r="B26" s="334" t="s">
        <v>319</v>
      </c>
      <c r="C26" s="138" t="s">
        <v>320</v>
      </c>
      <c r="D26" s="1181">
        <v>15</v>
      </c>
      <c r="E26" s="1055">
        <v>173.66</v>
      </c>
      <c r="F26" s="327">
        <f t="shared" si="5"/>
        <v>2604.9</v>
      </c>
      <c r="G26" s="331">
        <f t="shared" si="6"/>
        <v>1.8067460731415533E-2</v>
      </c>
      <c r="H26" s="548"/>
      <c r="I26" s="1181">
        <v>15</v>
      </c>
      <c r="J26" s="1055">
        <v>148.99</v>
      </c>
      <c r="K26" s="1147">
        <f t="shared" si="2"/>
        <v>2234.8500000000004</v>
      </c>
      <c r="L26" s="1118">
        <f t="shared" si="3"/>
        <v>1.4688641034023545E-2</v>
      </c>
      <c r="M26" s="495">
        <f t="shared" si="7"/>
        <v>-0.14205919613036957</v>
      </c>
      <c r="N26" s="329">
        <f>(J26-Transactions!C1094)/Transactions!C1094</f>
        <v>0.7868793475653636</v>
      </c>
      <c r="O26" s="327"/>
      <c r="P26" s="331"/>
      <c r="Q26" s="327"/>
      <c r="R26" s="327"/>
      <c r="S26" s="309"/>
      <c r="T26" s="328"/>
      <c r="U26" s="5"/>
      <c r="V26" s="5"/>
      <c r="W26" s="5"/>
      <c r="X26" s="5"/>
      <c r="Y26" s="5"/>
      <c r="Z26" s="5"/>
    </row>
    <row r="27" spans="1:26" ht="12.75" customHeight="1">
      <c r="A27" s="322">
        <v>19</v>
      </c>
      <c r="B27" s="334" t="s">
        <v>410</v>
      </c>
      <c r="C27" s="138" t="s">
        <v>411</v>
      </c>
      <c r="D27" s="1181">
        <v>40</v>
      </c>
      <c r="E27" s="1055">
        <v>94.26</v>
      </c>
      <c r="F27" s="327">
        <f t="shared" si="5"/>
        <v>3770.4</v>
      </c>
      <c r="G27" s="331">
        <f t="shared" si="6"/>
        <v>2.6151312504022851E-2</v>
      </c>
      <c r="H27" s="548"/>
      <c r="I27" s="1181">
        <v>40</v>
      </c>
      <c r="J27" s="1055">
        <v>101.19</v>
      </c>
      <c r="K27" s="1147">
        <f t="shared" si="2"/>
        <v>4047.6</v>
      </c>
      <c r="L27" s="1118">
        <f t="shared" si="3"/>
        <v>2.6603012931209563E-2</v>
      </c>
      <c r="M27" s="495">
        <f t="shared" si="7"/>
        <v>7.3520050922978947E-2</v>
      </c>
      <c r="N27" s="329">
        <f>(J27-Transactions!C931)/Transactions!C931</f>
        <v>0.3422204536410664</v>
      </c>
      <c r="O27" s="327"/>
      <c r="P27" s="331"/>
      <c r="Q27" s="327"/>
      <c r="R27" s="327"/>
      <c r="S27" s="309"/>
      <c r="T27" s="328"/>
      <c r="U27" s="5"/>
      <c r="V27" s="5"/>
      <c r="W27" s="5"/>
      <c r="X27" s="5"/>
      <c r="Y27" s="5"/>
      <c r="Z27" s="5"/>
    </row>
    <row r="28" spans="1:26" ht="12.75" customHeight="1">
      <c r="A28" s="322">
        <v>20</v>
      </c>
      <c r="B28" s="334" t="s">
        <v>323</v>
      </c>
      <c r="C28" s="138" t="s">
        <v>110</v>
      </c>
      <c r="D28" s="1181">
        <v>140</v>
      </c>
      <c r="E28" s="1055">
        <v>36.299999999999997</v>
      </c>
      <c r="F28" s="327">
        <f t="shared" si="5"/>
        <v>5082</v>
      </c>
      <c r="G28" s="331">
        <f t="shared" si="6"/>
        <v>3.5248506828305784E-2</v>
      </c>
      <c r="H28" s="548"/>
      <c r="I28" s="1181">
        <v>140</v>
      </c>
      <c r="J28" s="1055">
        <v>34.450000000000003</v>
      </c>
      <c r="K28" s="1147">
        <f t="shared" si="2"/>
        <v>4823</v>
      </c>
      <c r="L28" s="1118">
        <f t="shared" si="3"/>
        <v>3.169936045242211E-2</v>
      </c>
      <c r="M28" s="495">
        <f t="shared" si="7"/>
        <v>-5.0964187327823693E-2</v>
      </c>
      <c r="N28" s="329">
        <f>(J28-Transactions!C1170)/Transactions!C1170</f>
        <v>0.61208054319393168</v>
      </c>
      <c r="O28" s="327"/>
      <c r="P28" s="331"/>
      <c r="Q28" s="327"/>
      <c r="R28" s="327"/>
      <c r="S28" s="309"/>
      <c r="T28" s="328"/>
      <c r="U28" s="5"/>
      <c r="V28" s="5"/>
      <c r="W28" s="5"/>
      <c r="X28" s="5"/>
      <c r="Y28" s="5"/>
      <c r="Z28" s="5"/>
    </row>
    <row r="29" spans="1:26" ht="12.75" customHeight="1">
      <c r="A29" s="322">
        <v>21</v>
      </c>
      <c r="B29" s="1182" t="s">
        <v>457</v>
      </c>
      <c r="C29" s="138" t="s">
        <v>458</v>
      </c>
      <c r="D29" s="1181">
        <v>81</v>
      </c>
      <c r="E29" s="1055">
        <v>42.31</v>
      </c>
      <c r="F29" s="327">
        <f t="shared" si="5"/>
        <v>3427.11</v>
      </c>
      <c r="G29" s="331">
        <f t="shared" si="6"/>
        <v>2.3770269625414214E-2</v>
      </c>
      <c r="H29" s="548"/>
      <c r="I29" s="1181">
        <v>81</v>
      </c>
      <c r="J29" s="1055">
        <v>14.92</v>
      </c>
      <c r="K29" s="1147">
        <f t="shared" si="2"/>
        <v>1208.52</v>
      </c>
      <c r="L29" s="1118">
        <f t="shared" si="3"/>
        <v>7.9430460489241482E-3</v>
      </c>
      <c r="M29" s="495">
        <f t="shared" si="7"/>
        <v>-0.64736468919877099</v>
      </c>
      <c r="N29" s="329">
        <f>(K29-Transactions!E942)/Transactions!E942</f>
        <v>-0.593089539022017</v>
      </c>
      <c r="O29" s="327"/>
      <c r="P29" s="331"/>
      <c r="Q29" s="327"/>
      <c r="R29" s="327"/>
      <c r="S29" s="309"/>
      <c r="T29" s="328"/>
      <c r="U29" s="5"/>
      <c r="V29" s="5"/>
      <c r="W29" s="5"/>
      <c r="X29" s="5"/>
      <c r="Y29" s="5"/>
      <c r="Z29" s="5"/>
    </row>
    <row r="30" spans="1:26" ht="12.75" customHeight="1">
      <c r="A30" s="322">
        <v>22</v>
      </c>
      <c r="B30" s="1182" t="s">
        <v>459</v>
      </c>
      <c r="C30" s="138" t="s">
        <v>460</v>
      </c>
      <c r="D30" s="1181"/>
      <c r="E30" s="1055"/>
      <c r="F30" s="327"/>
      <c r="G30" s="331"/>
      <c r="H30" s="548"/>
      <c r="I30" s="1181">
        <v>120</v>
      </c>
      <c r="J30" s="1055">
        <v>40.119999999999997</v>
      </c>
      <c r="K30" s="1147">
        <f t="shared" si="2"/>
        <v>4814.3999999999996</v>
      </c>
      <c r="L30" s="1118">
        <f t="shared" si="3"/>
        <v>3.164283660836429E-2</v>
      </c>
      <c r="M30" s="495"/>
      <c r="N30" s="329">
        <f>(J30-Transactions!C789)/Transactions!C789</f>
        <v>3.8839979285344384E-2</v>
      </c>
      <c r="O30" s="327"/>
      <c r="P30" s="331"/>
      <c r="Q30" s="327"/>
      <c r="R30" s="327"/>
      <c r="S30" s="309"/>
      <c r="T30" s="328"/>
      <c r="U30" s="5"/>
      <c r="V30" s="5"/>
      <c r="W30" s="5"/>
      <c r="X30" s="5"/>
      <c r="Y30" s="5"/>
      <c r="Z30" s="5"/>
    </row>
    <row r="31" spans="1:26" ht="12.75" customHeight="1">
      <c r="A31" s="322">
        <v>23</v>
      </c>
      <c r="B31" s="334" t="s">
        <v>290</v>
      </c>
      <c r="C31" s="335" t="s">
        <v>291</v>
      </c>
      <c r="D31" s="547">
        <v>100</v>
      </c>
      <c r="E31" s="1055">
        <v>68.8</v>
      </c>
      <c r="F31" s="327">
        <f>D31*E31</f>
        <v>6880</v>
      </c>
      <c r="G31" s="331">
        <f>F31/$F$78</f>
        <v>4.7719348087119993E-2</v>
      </c>
      <c r="H31" s="547"/>
      <c r="I31" s="547">
        <v>100</v>
      </c>
      <c r="J31" s="1055">
        <v>76.040000000000006</v>
      </c>
      <c r="K31" s="1147">
        <f t="shared" si="2"/>
        <v>7604.0000000000009</v>
      </c>
      <c r="L31" s="1118">
        <f t="shared" si="3"/>
        <v>4.9977594211117089E-2</v>
      </c>
      <c r="M31" s="495">
        <f>(K31-F31)/F31</f>
        <v>0.10523255813953501</v>
      </c>
      <c r="N31" s="329">
        <f>(J31-Transactions!C1272)/Transactions!C1272</f>
        <v>2.0998777007745617</v>
      </c>
      <c r="O31" s="327"/>
      <c r="P31" s="331"/>
      <c r="Q31" s="327"/>
      <c r="R31" s="327"/>
      <c r="S31" s="309"/>
      <c r="T31" s="328"/>
      <c r="U31" s="5"/>
      <c r="V31" s="5"/>
      <c r="W31" s="5"/>
      <c r="X31" s="5"/>
      <c r="Y31" s="5"/>
      <c r="Z31" s="5"/>
    </row>
    <row r="32" spans="1:26" ht="12.75" customHeight="1">
      <c r="A32" s="322">
        <v>24</v>
      </c>
      <c r="B32" s="334" t="s">
        <v>40</v>
      </c>
      <c r="C32" s="138" t="s">
        <v>41</v>
      </c>
      <c r="D32" s="1181">
        <v>75</v>
      </c>
      <c r="E32" s="1055">
        <v>46.45</v>
      </c>
      <c r="F32" s="327">
        <f>D32*E32</f>
        <v>3483.75</v>
      </c>
      <c r="G32" s="331">
        <f>F32/$F$78</f>
        <v>2.4163121932922131E-2</v>
      </c>
      <c r="H32" s="548"/>
      <c r="I32" s="1181">
        <v>75</v>
      </c>
      <c r="J32" s="1055">
        <v>55.48</v>
      </c>
      <c r="K32" s="1147">
        <f t="shared" si="2"/>
        <v>4161</v>
      </c>
      <c r="L32" s="1118">
        <f t="shared" si="3"/>
        <v>2.7348338967971883E-2</v>
      </c>
      <c r="M32" s="495">
        <f>(K32-F32)/F32</f>
        <v>0.19440258342303551</v>
      </c>
      <c r="N32" s="329">
        <f>(J32-Transactions!C1774)/Transactions!C1774</f>
        <v>1.1791044776119401</v>
      </c>
      <c r="O32" s="327"/>
      <c r="P32" s="331"/>
      <c r="Q32" s="327"/>
      <c r="R32" s="327"/>
      <c r="S32" s="309"/>
      <c r="T32" s="328"/>
      <c r="U32" s="5"/>
      <c r="V32" s="5"/>
      <c r="W32" s="5"/>
      <c r="X32" s="5"/>
      <c r="Y32" s="5"/>
      <c r="Z32" s="5"/>
    </row>
    <row r="33" spans="1:26" ht="12.75" customHeight="1">
      <c r="A33" s="322">
        <v>25</v>
      </c>
      <c r="B33" s="334" t="s">
        <v>292</v>
      </c>
      <c r="C33" s="138" t="s">
        <v>293</v>
      </c>
      <c r="D33" s="1181">
        <v>65</v>
      </c>
      <c r="E33" s="1055">
        <v>92.66</v>
      </c>
      <c r="F33" s="327">
        <f>D33*E33</f>
        <v>6022.9</v>
      </c>
      <c r="G33" s="331">
        <f>F33/$F$78</f>
        <v>4.1774543836324854E-2</v>
      </c>
      <c r="H33" s="548"/>
      <c r="I33" s="1181">
        <v>35</v>
      </c>
      <c r="J33" s="1055">
        <v>86.04</v>
      </c>
      <c r="K33" s="1147">
        <f t="shared" si="2"/>
        <v>3011.4</v>
      </c>
      <c r="L33" s="1118">
        <f t="shared" si="3"/>
        <v>1.979254697624382E-2</v>
      </c>
      <c r="M33" s="495">
        <f>(K33-F33)/F33</f>
        <v>-0.50000830164870735</v>
      </c>
      <c r="N33" s="329">
        <f>(J33-Transactions!C1250)/Transactions!C1250</f>
        <v>0.62831188493565482</v>
      </c>
      <c r="O33" s="327"/>
      <c r="P33" s="331"/>
      <c r="Q33" s="327"/>
      <c r="R33" s="327"/>
      <c r="S33" s="309"/>
      <c r="T33" s="328"/>
      <c r="U33" s="5"/>
      <c r="V33" s="5"/>
      <c r="W33" s="5"/>
      <c r="X33" s="5"/>
      <c r="Y33" s="5"/>
      <c r="Z33" s="5"/>
    </row>
    <row r="34" spans="1:26" ht="12.75" customHeight="1">
      <c r="A34" s="322">
        <v>26</v>
      </c>
      <c r="B34" s="334" t="s">
        <v>416</v>
      </c>
      <c r="C34" s="138" t="s">
        <v>417</v>
      </c>
      <c r="D34" s="1181">
        <v>40</v>
      </c>
      <c r="E34" s="1055">
        <v>76.400000000000006</v>
      </c>
      <c r="F34" s="327">
        <f>D34*E34</f>
        <v>3056</v>
      </c>
      <c r="G34" s="331">
        <f>F34/$F$78</f>
        <v>2.1196268568930043E-2</v>
      </c>
      <c r="H34" s="548"/>
      <c r="I34" s="1181">
        <v>40</v>
      </c>
      <c r="J34" s="1055">
        <v>84.25</v>
      </c>
      <c r="K34" s="1147">
        <f t="shared" si="2"/>
        <v>3370</v>
      </c>
      <c r="L34" s="1118">
        <f t="shared" si="3"/>
        <v>2.2149459822654469E-2</v>
      </c>
      <c r="M34" s="495">
        <f>(K34-F34)/F34</f>
        <v>0.10274869109947644</v>
      </c>
      <c r="N34" s="329">
        <f>(J34-Transactions!C888)/Transactions!C888</f>
        <v>0.10451244133301861</v>
      </c>
      <c r="O34" s="327"/>
      <c r="P34" s="1055"/>
      <c r="Q34" s="327"/>
      <c r="R34" s="327"/>
      <c r="S34" s="309"/>
      <c r="T34" s="328"/>
      <c r="U34" s="5"/>
      <c r="V34" s="5"/>
      <c r="W34" s="5"/>
      <c r="X34" s="5"/>
      <c r="Y34" s="5"/>
      <c r="Z34" s="5"/>
    </row>
    <row r="35" spans="1:26" ht="12.75" customHeight="1">
      <c r="A35" s="322">
        <v>27</v>
      </c>
      <c r="B35" s="334" t="s">
        <v>461</v>
      </c>
      <c r="C35" s="138" t="s">
        <v>462</v>
      </c>
      <c r="D35" s="1181"/>
      <c r="E35" s="1055"/>
      <c r="F35" s="327"/>
      <c r="G35" s="331"/>
      <c r="H35" s="548"/>
      <c r="I35" s="1181">
        <v>60</v>
      </c>
      <c r="J35" s="1055">
        <v>34.979999999999997</v>
      </c>
      <c r="K35" s="1147">
        <f t="shared" si="2"/>
        <v>2098.7999999999997</v>
      </c>
      <c r="L35" s="1118">
        <f t="shared" si="3"/>
        <v>1.3794446966108959E-2</v>
      </c>
      <c r="M35" s="495"/>
      <c r="N35" s="329">
        <f>(J35-Transactions!C797)/Transactions!C797</f>
        <v>-1.6033755274261614E-2</v>
      </c>
      <c r="O35" s="327"/>
      <c r="P35" s="1055"/>
      <c r="Q35" s="327"/>
      <c r="R35" s="327"/>
      <c r="S35" s="309"/>
      <c r="T35" s="328"/>
      <c r="U35" s="5"/>
      <c r="V35" s="5"/>
      <c r="W35" s="5"/>
      <c r="X35" s="5"/>
      <c r="Y35" s="5"/>
      <c r="Z35" s="5"/>
    </row>
    <row r="36" spans="1:26" ht="12.75" customHeight="1">
      <c r="A36" s="322">
        <v>28</v>
      </c>
      <c r="B36" s="334" t="s">
        <v>463</v>
      </c>
      <c r="C36" s="138" t="s">
        <v>464</v>
      </c>
      <c r="D36" s="1181"/>
      <c r="E36" s="1055"/>
      <c r="F36" s="327"/>
      <c r="G36" s="331"/>
      <c r="H36" s="548"/>
      <c r="I36" s="1181">
        <v>1</v>
      </c>
      <c r="J36" s="1055">
        <v>28.29</v>
      </c>
      <c r="K36" s="1147">
        <f t="shared" si="2"/>
        <v>28.29</v>
      </c>
      <c r="L36" s="1118">
        <f t="shared" si="3"/>
        <v>1.8593715679017652E-4</v>
      </c>
      <c r="M36" s="495"/>
      <c r="N36" s="329">
        <f>(J36-Transactions!C805)/Transactions!C805</f>
        <v>0.34714285714285709</v>
      </c>
      <c r="O36" s="327"/>
      <c r="P36" s="1055"/>
      <c r="Q36" s="327"/>
      <c r="R36" s="327"/>
      <c r="S36" s="309"/>
      <c r="T36" s="328"/>
      <c r="U36" s="5"/>
      <c r="V36" s="5"/>
      <c r="W36" s="5"/>
      <c r="X36" s="5"/>
      <c r="Y36" s="5"/>
      <c r="Z36" s="5"/>
    </row>
    <row r="37" spans="1:26" ht="12.75" customHeight="1">
      <c r="A37" s="322">
        <v>29</v>
      </c>
      <c r="B37" s="334" t="s">
        <v>256</v>
      </c>
      <c r="C37" s="138" t="s">
        <v>257</v>
      </c>
      <c r="D37" s="1181">
        <v>20</v>
      </c>
      <c r="E37" s="1055">
        <v>91.09</v>
      </c>
      <c r="F37" s="327">
        <f t="shared" ref="F37:F45" si="8">D37*E37</f>
        <v>1821.8000000000002</v>
      </c>
      <c r="G37" s="331">
        <f t="shared" ref="G37:G46" si="9">F37/$F$78</f>
        <v>1.2635916910627211E-2</v>
      </c>
      <c r="H37" s="548"/>
      <c r="I37" s="1181">
        <v>20</v>
      </c>
      <c r="J37" s="1055">
        <v>79.41</v>
      </c>
      <c r="K37" s="1147">
        <f t="shared" si="2"/>
        <v>1588.1999999999998</v>
      </c>
      <c r="L37" s="1118">
        <f t="shared" si="3"/>
        <v>1.0438508038676506E-2</v>
      </c>
      <c r="M37" s="495">
        <f>(K37-F37)/F37</f>
        <v>-0.1282248325831597</v>
      </c>
      <c r="N37" s="329">
        <f>(J37-Transactions!C1315)/Transactions!C1315</f>
        <v>0.28413276972286278</v>
      </c>
      <c r="O37" s="327"/>
      <c r="P37" s="331"/>
      <c r="Q37" s="327"/>
      <c r="R37" s="327"/>
      <c r="S37" s="309"/>
      <c r="T37" s="328"/>
      <c r="U37" s="5"/>
      <c r="V37" s="5"/>
      <c r="W37" s="5"/>
      <c r="X37" s="5"/>
      <c r="Y37" s="5"/>
      <c r="Z37" s="5"/>
    </row>
    <row r="38" spans="1:26" ht="12.75" customHeight="1">
      <c r="A38" s="322">
        <v>30</v>
      </c>
      <c r="B38" s="334" t="s">
        <v>365</v>
      </c>
      <c r="C38" s="138" t="s">
        <v>80</v>
      </c>
      <c r="D38" s="1181">
        <v>60</v>
      </c>
      <c r="E38" s="1055">
        <v>41.41</v>
      </c>
      <c r="F38" s="327">
        <f t="shared" si="8"/>
        <v>2484.6</v>
      </c>
      <c r="G38" s="331">
        <f t="shared" si="9"/>
        <v>1.7233065735066617E-2</v>
      </c>
      <c r="H38" s="548"/>
      <c r="I38" s="1181">
        <v>60</v>
      </c>
      <c r="J38" s="1055">
        <v>38.69</v>
      </c>
      <c r="K38" s="1147">
        <f t="shared" si="2"/>
        <v>2321.3999999999996</v>
      </c>
      <c r="L38" s="1118">
        <f t="shared" si="3"/>
        <v>1.5257494371605363E-2</v>
      </c>
      <c r="M38" s="495">
        <f>(K38-F38)/F38</f>
        <v>-6.568461724221214E-2</v>
      </c>
      <c r="N38" s="329">
        <f>(J38-Transactions!C953)/Transactions!C953</f>
        <v>0.16606389391199511</v>
      </c>
      <c r="O38" s="327"/>
      <c r="P38" s="331"/>
      <c r="Q38" s="327"/>
      <c r="R38" s="327"/>
      <c r="S38" s="309"/>
      <c r="T38" s="328"/>
      <c r="U38" s="5"/>
      <c r="V38" s="5"/>
      <c r="W38" s="5"/>
      <c r="X38" s="5"/>
      <c r="Y38" s="5"/>
      <c r="Z38" s="5"/>
    </row>
    <row r="39" spans="1:26" ht="12.75" customHeight="1">
      <c r="A39" s="322">
        <v>31</v>
      </c>
      <c r="B39" s="334" t="s">
        <v>465</v>
      </c>
      <c r="C39" s="138" t="s">
        <v>466</v>
      </c>
      <c r="D39" s="1181" t="s">
        <v>86</v>
      </c>
      <c r="E39" s="1055">
        <v>66.92</v>
      </c>
      <c r="F39" s="327" t="e">
        <f t="shared" si="8"/>
        <v>#VALUE!</v>
      </c>
      <c r="G39" s="331" t="e">
        <f t="shared" si="9"/>
        <v>#VALUE!</v>
      </c>
      <c r="H39" s="548"/>
      <c r="I39" s="1181">
        <v>22</v>
      </c>
      <c r="J39" s="1055">
        <v>49.71</v>
      </c>
      <c r="K39" s="1147">
        <f t="shared" si="2"/>
        <v>1093.6200000000001</v>
      </c>
      <c r="L39" s="1118">
        <f t="shared" si="3"/>
        <v>7.1878612021517452E-3</v>
      </c>
      <c r="M39" s="495"/>
      <c r="N39" s="329">
        <f>(J39-Transactions!C817)/Transactions!C817</f>
        <v>-0.27271397220190191</v>
      </c>
      <c r="O39" s="327"/>
      <c r="P39" s="331"/>
      <c r="Q39" s="327"/>
      <c r="R39" s="327"/>
      <c r="S39" s="309"/>
      <c r="T39" s="328"/>
      <c r="U39" s="5"/>
      <c r="V39" s="5"/>
      <c r="W39" s="5"/>
      <c r="X39" s="5"/>
      <c r="Y39" s="5"/>
      <c r="Z39" s="5"/>
    </row>
    <row r="40" spans="1:26" ht="12.75" customHeight="1">
      <c r="A40" s="322">
        <v>32</v>
      </c>
      <c r="B40" s="334" t="s">
        <v>422</v>
      </c>
      <c r="C40" s="138" t="s">
        <v>173</v>
      </c>
      <c r="D40" s="1181">
        <v>60</v>
      </c>
      <c r="E40" s="1055">
        <v>101.09</v>
      </c>
      <c r="F40" s="327">
        <f t="shared" si="8"/>
        <v>6065.4000000000005</v>
      </c>
      <c r="G40" s="331">
        <f t="shared" si="9"/>
        <v>4.2069321785990932E-2</v>
      </c>
      <c r="H40" s="548"/>
      <c r="I40" s="1181">
        <v>60</v>
      </c>
      <c r="J40" s="1055">
        <v>117.64</v>
      </c>
      <c r="K40" s="1147">
        <f t="shared" si="2"/>
        <v>7058.4</v>
      </c>
      <c r="L40" s="1118">
        <f t="shared" si="3"/>
        <v>4.6391616383449345E-2</v>
      </c>
      <c r="M40" s="495">
        <f>(K40-F40)/F40</f>
        <v>0.16371550103867824</v>
      </c>
      <c r="N40" s="329">
        <f>(J40-Transactions!C1058)/Transactions!C1058</f>
        <v>1.0047716428084525</v>
      </c>
      <c r="O40" s="327"/>
      <c r="P40" s="331"/>
      <c r="Q40" s="327"/>
      <c r="R40" s="327"/>
      <c r="S40" s="309"/>
      <c r="T40" s="328"/>
      <c r="U40" s="5"/>
      <c r="V40" s="5"/>
      <c r="W40" s="5"/>
      <c r="X40" s="5"/>
      <c r="Y40" s="5"/>
      <c r="Z40" s="5"/>
    </row>
    <row r="41" spans="1:26" ht="12.75" customHeight="1">
      <c r="A41" s="322">
        <v>33</v>
      </c>
      <c r="B41" s="334" t="s">
        <v>467</v>
      </c>
      <c r="C41" s="138" t="s">
        <v>468</v>
      </c>
      <c r="D41" s="1181">
        <v>40</v>
      </c>
      <c r="E41" s="1055">
        <v>65.400000000000006</v>
      </c>
      <c r="F41" s="327">
        <f t="shared" si="8"/>
        <v>2616</v>
      </c>
      <c r="G41" s="331">
        <f t="shared" si="9"/>
        <v>1.8144449795916555E-2</v>
      </c>
      <c r="H41" s="548"/>
      <c r="I41" s="1181">
        <v>40</v>
      </c>
      <c r="J41" s="1055">
        <v>77.55</v>
      </c>
      <c r="K41" s="1147">
        <f t="shared" si="2"/>
        <v>3102</v>
      </c>
      <c r="L41" s="1118">
        <f t="shared" si="3"/>
        <v>2.0388019100852868E-2</v>
      </c>
      <c r="M41" s="495"/>
      <c r="N41" s="329">
        <f>(J41-Transactions!C853)/Transactions!C853</f>
        <v>0.18126428027418112</v>
      </c>
      <c r="O41" s="327"/>
      <c r="P41" s="331"/>
      <c r="Q41" s="327"/>
      <c r="R41" s="327"/>
      <c r="S41" s="309"/>
      <c r="T41" s="328"/>
      <c r="U41" s="5"/>
      <c r="V41" s="5"/>
      <c r="W41" s="5"/>
      <c r="X41" s="5"/>
      <c r="Y41" s="5"/>
      <c r="Z41" s="5"/>
    </row>
    <row r="42" spans="1:26" ht="12.75" customHeight="1">
      <c r="A42" s="322">
        <v>34</v>
      </c>
      <c r="B42" s="1059" t="s">
        <v>423</v>
      </c>
      <c r="C42" s="138" t="s">
        <v>424</v>
      </c>
      <c r="D42" s="1181">
        <v>25</v>
      </c>
      <c r="E42" s="1055">
        <v>74.900000000000006</v>
      </c>
      <c r="F42" s="327">
        <f t="shared" si="8"/>
        <v>1872.5000000000002</v>
      </c>
      <c r="G42" s="331">
        <f t="shared" si="9"/>
        <v>1.2987569664699447E-2</v>
      </c>
      <c r="H42" s="548"/>
      <c r="I42" s="1181">
        <v>25</v>
      </c>
      <c r="J42" s="1055">
        <v>62.25</v>
      </c>
      <c r="K42" s="1147">
        <f t="shared" si="2"/>
        <v>1556.25</v>
      </c>
      <c r="L42" s="1118">
        <f t="shared" si="3"/>
        <v>1.0228515385461726E-2</v>
      </c>
      <c r="M42" s="495">
        <f>(K42-F42)/F42</f>
        <v>-0.16889185580774377</v>
      </c>
      <c r="N42" s="329">
        <f>(J42-Transactions!C912)/Transactions!C912</f>
        <v>-9.0311266988163177E-2</v>
      </c>
      <c r="O42" s="327"/>
      <c r="P42" s="331"/>
      <c r="Q42" s="327"/>
      <c r="R42" s="327"/>
      <c r="S42" s="309"/>
      <c r="T42" s="328"/>
      <c r="U42" s="5"/>
      <c r="V42" s="5"/>
      <c r="W42" s="5"/>
      <c r="X42" s="5"/>
      <c r="Y42" s="5"/>
      <c r="Z42" s="5"/>
    </row>
    <row r="43" spans="1:26" ht="12.75" customHeight="1">
      <c r="A43" s="322">
        <v>35</v>
      </c>
      <c r="B43" s="334" t="s">
        <v>469</v>
      </c>
      <c r="C43" s="138" t="s">
        <v>470</v>
      </c>
      <c r="D43" s="1181">
        <v>19</v>
      </c>
      <c r="E43" s="1055">
        <v>106.05</v>
      </c>
      <c r="F43" s="327">
        <f t="shared" si="8"/>
        <v>2014.95</v>
      </c>
      <c r="G43" s="331">
        <f t="shared" si="9"/>
        <v>1.3975595992462562E-2</v>
      </c>
      <c r="H43" s="548"/>
      <c r="I43" s="1181">
        <v>19</v>
      </c>
      <c r="J43" s="1055">
        <v>105.08</v>
      </c>
      <c r="K43" s="1147">
        <f t="shared" si="2"/>
        <v>1996.52</v>
      </c>
      <c r="L43" s="1118">
        <f t="shared" si="3"/>
        <v>1.3122207574221395E-2</v>
      </c>
      <c r="M43" s="495"/>
      <c r="N43" s="329">
        <f>(J43-Transactions!C849)/Transactions!C849</f>
        <v>-9.1456946211169992E-3</v>
      </c>
      <c r="O43" s="327"/>
      <c r="P43" s="331"/>
      <c r="Q43" s="327"/>
      <c r="R43" s="327"/>
      <c r="S43" s="309"/>
      <c r="T43" s="328"/>
      <c r="U43" s="5"/>
      <c r="V43" s="5"/>
      <c r="W43" s="5"/>
      <c r="X43" s="5"/>
      <c r="Y43" s="5"/>
      <c r="Z43" s="5"/>
    </row>
    <row r="44" spans="1:26" ht="12.75" customHeight="1">
      <c r="A44" s="322">
        <v>36</v>
      </c>
      <c r="B44" s="334" t="s">
        <v>426</v>
      </c>
      <c r="C44" s="138" t="s">
        <v>310</v>
      </c>
      <c r="D44" s="1181">
        <v>30</v>
      </c>
      <c r="E44" s="1055">
        <v>54.82</v>
      </c>
      <c r="F44" s="327">
        <f t="shared" si="8"/>
        <v>1644.6</v>
      </c>
      <c r="G44" s="331">
        <f t="shared" si="9"/>
        <v>1.1406866259313595E-2</v>
      </c>
      <c r="H44" s="548"/>
      <c r="I44" s="1181">
        <v>30</v>
      </c>
      <c r="J44" s="1055">
        <v>54.36</v>
      </c>
      <c r="K44" s="1147">
        <f t="shared" si="2"/>
        <v>1630.8</v>
      </c>
      <c r="L44" s="1118">
        <f t="shared" si="3"/>
        <v>1.0718498242962881E-2</v>
      </c>
      <c r="M44" s="495">
        <f>(K44-F44)/F44</f>
        <v>-8.3910981393651683E-3</v>
      </c>
      <c r="N44" s="329">
        <f>(J44-Transactions!C938)/Transactions!C938</f>
        <v>0.10712830957230138</v>
      </c>
      <c r="O44" s="327"/>
      <c r="P44" s="331"/>
      <c r="Q44" s="327"/>
      <c r="R44" s="327"/>
      <c r="S44" s="309"/>
      <c r="T44" s="328"/>
      <c r="U44" s="5"/>
      <c r="V44" s="5"/>
      <c r="W44" s="5"/>
      <c r="X44" s="5"/>
      <c r="Y44" s="5"/>
      <c r="Z44" s="5"/>
    </row>
    <row r="45" spans="1:26" ht="12.75" customHeight="1">
      <c r="A45" s="322">
        <v>37</v>
      </c>
      <c r="B45" s="334" t="s">
        <v>471</v>
      </c>
      <c r="C45" s="138" t="s">
        <v>472</v>
      </c>
      <c r="D45" s="1181">
        <v>22</v>
      </c>
      <c r="E45" s="1055">
        <v>45.2</v>
      </c>
      <c r="F45" s="327">
        <f t="shared" si="8"/>
        <v>994.40000000000009</v>
      </c>
      <c r="G45" s="331">
        <f t="shared" si="9"/>
        <v>6.8971104270104831E-3</v>
      </c>
      <c r="H45" s="548"/>
      <c r="I45" s="1181">
        <v>22</v>
      </c>
      <c r="J45" s="1055">
        <v>38.909999999999997</v>
      </c>
      <c r="K45" s="1147">
        <f t="shared" si="2"/>
        <v>856.02</v>
      </c>
      <c r="L45" s="1118">
        <f t="shared" si="3"/>
        <v>5.6262256965545036E-3</v>
      </c>
      <c r="M45" s="495"/>
      <c r="N45" s="329">
        <f>(J45-Transactions!C843)/Transactions!C843</f>
        <v>-0.13915929203539837</v>
      </c>
      <c r="O45" s="327"/>
      <c r="P45" s="1055"/>
      <c r="Q45" s="327"/>
      <c r="R45" s="327"/>
      <c r="S45" s="309"/>
      <c r="T45" s="328"/>
      <c r="U45" s="5"/>
      <c r="V45" s="5"/>
      <c r="W45" s="5"/>
      <c r="X45" s="5"/>
      <c r="Y45" s="5"/>
      <c r="Z45" s="5"/>
    </row>
    <row r="46" spans="1:26" ht="12.75" customHeight="1">
      <c r="A46" s="322"/>
      <c r="B46" s="1183" t="s">
        <v>375</v>
      </c>
      <c r="C46" s="138"/>
      <c r="D46" s="1181"/>
      <c r="E46" s="1055"/>
      <c r="F46" s="1227">
        <v>96580</v>
      </c>
      <c r="G46" s="1228">
        <f t="shared" si="9"/>
        <v>0.66987422067646052</v>
      </c>
      <c r="H46" s="548"/>
      <c r="I46" s="1181"/>
      <c r="J46" s="1055"/>
      <c r="K46" s="1096">
        <f>SUM(K9:K45)</f>
        <v>104869.70999999998</v>
      </c>
      <c r="L46" s="1184">
        <f t="shared" si="3"/>
        <v>0.68926036446837535</v>
      </c>
      <c r="M46" s="495"/>
      <c r="N46" s="329"/>
      <c r="O46" s="882"/>
      <c r="P46" s="326"/>
      <c r="Q46" s="327"/>
      <c r="R46" s="328"/>
      <c r="S46" s="309"/>
      <c r="T46" s="328"/>
      <c r="U46" s="5"/>
      <c r="V46" s="5"/>
      <c r="W46" s="5"/>
      <c r="X46" s="5"/>
      <c r="Y46" s="5"/>
      <c r="Z46" s="5"/>
    </row>
    <row r="47" spans="1:26" ht="12.75" customHeight="1">
      <c r="A47" s="322"/>
      <c r="B47" s="913"/>
      <c r="C47" s="138"/>
      <c r="D47" s="1181"/>
      <c r="E47" s="1055"/>
      <c r="F47" s="327"/>
      <c r="G47" s="331"/>
      <c r="H47" s="548"/>
      <c r="I47" s="1181"/>
      <c r="J47" s="1055"/>
      <c r="K47" s="1147"/>
      <c r="L47" s="1118"/>
      <c r="M47" s="495"/>
      <c r="N47" s="329"/>
      <c r="O47" s="882"/>
      <c r="P47" s="1055"/>
      <c r="Q47" s="327"/>
      <c r="R47" s="328"/>
      <c r="S47" s="309"/>
      <c r="T47" s="328"/>
      <c r="U47" s="5"/>
      <c r="V47" s="5"/>
      <c r="W47" s="5"/>
      <c r="X47" s="5"/>
      <c r="Y47" s="5"/>
      <c r="Z47" s="5"/>
    </row>
    <row r="48" spans="1:26" ht="12.75" customHeight="1">
      <c r="A48" s="322"/>
      <c r="B48" s="1183" t="s">
        <v>366</v>
      </c>
      <c r="C48" s="138"/>
      <c r="D48" s="1181"/>
      <c r="E48" s="1055"/>
      <c r="F48" s="327"/>
      <c r="G48" s="331"/>
      <c r="H48" s="548"/>
      <c r="I48" s="1181"/>
      <c r="J48" s="1055"/>
      <c r="K48" s="1147"/>
      <c r="L48" s="1118"/>
      <c r="M48" s="495"/>
      <c r="N48" s="329"/>
      <c r="O48" s="882"/>
      <c r="P48" s="326"/>
      <c r="Q48" s="327"/>
      <c r="R48" s="328"/>
      <c r="S48" s="309"/>
      <c r="T48" s="328"/>
      <c r="U48" s="5"/>
      <c r="V48" s="5"/>
      <c r="W48" s="5"/>
      <c r="X48" s="5"/>
      <c r="Y48" s="5"/>
      <c r="Z48" s="5"/>
    </row>
    <row r="49" spans="1:26" ht="12.75" customHeight="1">
      <c r="A49" s="322">
        <v>37</v>
      </c>
      <c r="B49" s="334" t="s">
        <v>367</v>
      </c>
      <c r="C49" s="138" t="s">
        <v>368</v>
      </c>
      <c r="D49" s="1181">
        <v>178</v>
      </c>
      <c r="E49" s="1055">
        <v>32.85</v>
      </c>
      <c r="F49" s="327">
        <f>D49*E49</f>
        <v>5847.3</v>
      </c>
      <c r="G49" s="331">
        <f>F49/$F$78</f>
        <v>4.05565907078222E-2</v>
      </c>
      <c r="H49" s="548"/>
      <c r="I49" s="1181">
        <v>178</v>
      </c>
      <c r="J49" s="1055">
        <v>33.340000000000003</v>
      </c>
      <c r="K49" s="1147">
        <f>I49*J49</f>
        <v>5934.52</v>
      </c>
      <c r="L49" s="1118">
        <f>K49/$K$78</f>
        <v>3.9004870120694188E-2</v>
      </c>
      <c r="M49" s="495">
        <f>(K49-F49)/F49</f>
        <v>1.4916286149162905E-2</v>
      </c>
      <c r="N49" s="329">
        <f>(J49-Transactions!C965)/Transactions!C965</f>
        <v>4.6124882334483912E-2</v>
      </c>
      <c r="O49" s="327"/>
      <c r="P49" s="331"/>
      <c r="Q49" s="327"/>
      <c r="R49" s="327"/>
      <c r="S49" s="309"/>
      <c r="T49" s="328"/>
      <c r="U49" s="5"/>
      <c r="V49" s="5"/>
      <c r="W49" s="5"/>
      <c r="X49" s="5"/>
      <c r="Y49" s="5"/>
      <c r="Z49" s="5"/>
    </row>
    <row r="50" spans="1:26" ht="12.75" customHeight="1">
      <c r="A50" s="322">
        <v>39</v>
      </c>
      <c r="B50" s="334" t="s">
        <v>371</v>
      </c>
      <c r="C50" s="138" t="s">
        <v>372</v>
      </c>
      <c r="D50" s="1181">
        <v>81</v>
      </c>
      <c r="E50" s="1055">
        <v>68.75</v>
      </c>
      <c r="F50" s="327">
        <f>D50*E50</f>
        <v>5568.75</v>
      </c>
      <c r="G50" s="331">
        <f>F50/$F$78</f>
        <v>3.8624581345951953E-2</v>
      </c>
      <c r="H50" s="548"/>
      <c r="I50" s="1181">
        <v>81</v>
      </c>
      <c r="J50" s="1055">
        <v>66.75</v>
      </c>
      <c r="K50" s="1147">
        <f>I50*J50</f>
        <v>5406.75</v>
      </c>
      <c r="L50" s="1118">
        <f>K50/$K$78</f>
        <v>3.5536080681346303E-2</v>
      </c>
      <c r="M50" s="495">
        <f>(K50-F50)/F50</f>
        <v>-2.9090909090909091E-2</v>
      </c>
      <c r="N50" s="329">
        <f>(J50-Transactions!C961)/Transactions!C961</f>
        <v>8.3252190847127608E-2</v>
      </c>
      <c r="O50" s="327"/>
      <c r="P50" s="331"/>
      <c r="Q50" s="327"/>
      <c r="R50" s="327"/>
      <c r="S50" s="309"/>
      <c r="T50" s="328"/>
      <c r="U50" s="5"/>
      <c r="V50" s="5"/>
      <c r="W50" s="5"/>
      <c r="X50" s="5"/>
      <c r="Y50" s="5"/>
      <c r="Z50" s="5"/>
    </row>
    <row r="51" spans="1:26" ht="12.75" customHeight="1">
      <c r="A51" s="322">
        <v>40</v>
      </c>
      <c r="B51" s="334" t="s">
        <v>373</v>
      </c>
      <c r="C51" s="138" t="s">
        <v>374</v>
      </c>
      <c r="D51" s="1181">
        <v>38</v>
      </c>
      <c r="E51" s="1055">
        <v>74.16</v>
      </c>
      <c r="F51" s="327">
        <f>D51*E51</f>
        <v>2818.08</v>
      </c>
      <c r="G51" s="331">
        <f>F51/$F$78</f>
        <v>1.9546066926940567E-2</v>
      </c>
      <c r="H51" s="548"/>
      <c r="I51" s="1181">
        <v>38</v>
      </c>
      <c r="J51" s="1055">
        <v>71.14</v>
      </c>
      <c r="K51" s="1147">
        <f>I51*J51</f>
        <v>2703.32</v>
      </c>
      <c r="L51" s="1118">
        <f>K51/$K$78</f>
        <v>1.7767678850972784E-2</v>
      </c>
      <c r="M51" s="495">
        <f>(K51-F51)/F51</f>
        <v>-4.0722761596547918E-2</v>
      </c>
      <c r="N51" s="329">
        <f>(J51-Transactions!C966)/Transactions!C966</f>
        <v>9.0602483519852769E-2</v>
      </c>
      <c r="O51" s="327"/>
      <c r="P51" s="1055"/>
      <c r="Q51" s="327"/>
      <c r="R51" s="327"/>
      <c r="S51" s="309"/>
      <c r="T51" s="328"/>
      <c r="U51" s="5"/>
      <c r="V51" s="5"/>
      <c r="W51" s="5"/>
      <c r="X51" s="5"/>
      <c r="Y51" s="5"/>
      <c r="Z51" s="5"/>
    </row>
    <row r="52" spans="1:26" ht="12.75" customHeight="1">
      <c r="A52" s="322"/>
      <c r="B52" s="1183" t="s">
        <v>375</v>
      </c>
      <c r="C52" s="138"/>
      <c r="D52" s="1181"/>
      <c r="E52" s="1055"/>
      <c r="F52" s="1096">
        <f>SUM(F49:F51)</f>
        <v>14234.13</v>
      </c>
      <c r="G52" s="1228">
        <f>F52/$F$78</f>
        <v>9.8727238980714713E-2</v>
      </c>
      <c r="H52" s="548"/>
      <c r="I52" s="1181"/>
      <c r="J52" s="1055"/>
      <c r="K52" s="1096">
        <f>SUM(K49:K51)</f>
        <v>14044.59</v>
      </c>
      <c r="L52" s="1184">
        <f>K52/$K$78</f>
        <v>9.2308629653013272E-2</v>
      </c>
      <c r="M52" s="495"/>
      <c r="N52" s="329"/>
      <c r="O52" s="327"/>
      <c r="P52" s="1229"/>
      <c r="Q52" s="327"/>
      <c r="R52" s="328"/>
      <c r="S52" s="309"/>
      <c r="T52" s="328"/>
      <c r="U52" s="5"/>
      <c r="V52" s="5"/>
      <c r="W52" s="5"/>
      <c r="X52" s="5"/>
      <c r="Y52" s="5"/>
      <c r="Z52" s="5"/>
    </row>
    <row r="53" spans="1:26" ht="12.75" customHeight="1">
      <c r="A53" s="322"/>
      <c r="B53" s="913"/>
      <c r="C53" s="138"/>
      <c r="D53" s="1181"/>
      <c r="E53" s="1055"/>
      <c r="F53" s="327"/>
      <c r="G53" s="331"/>
      <c r="H53" s="548"/>
      <c r="I53" s="1181"/>
      <c r="J53" s="1055"/>
      <c r="K53" s="1147"/>
      <c r="L53" s="1118"/>
      <c r="M53" s="495"/>
      <c r="N53" s="329"/>
      <c r="O53" s="327"/>
      <c r="P53" s="326"/>
      <c r="Q53" s="327"/>
      <c r="R53" s="328"/>
      <c r="S53" s="309"/>
      <c r="T53" s="328"/>
      <c r="U53" s="5"/>
      <c r="V53" s="5"/>
      <c r="W53" s="5"/>
      <c r="X53" s="5"/>
      <c r="Y53" s="5"/>
      <c r="Z53" s="5"/>
    </row>
    <row r="54" spans="1:26" ht="12.75" customHeight="1">
      <c r="A54" s="322"/>
      <c r="B54" s="1183" t="s">
        <v>376</v>
      </c>
      <c r="C54" s="138"/>
      <c r="D54" s="1181"/>
      <c r="E54" s="1055"/>
      <c r="F54" s="327"/>
      <c r="G54" s="331"/>
      <c r="H54" s="548"/>
      <c r="I54" s="1181"/>
      <c r="J54" s="1055"/>
      <c r="K54" s="1147"/>
      <c r="L54" s="1118"/>
      <c r="M54" s="495"/>
      <c r="N54" s="329"/>
      <c r="O54" s="327"/>
      <c r="P54" s="326"/>
      <c r="Q54" s="327"/>
      <c r="R54" s="328"/>
      <c r="S54" s="309"/>
      <c r="T54" s="328"/>
      <c r="U54" s="5"/>
      <c r="V54" s="5"/>
      <c r="W54" s="5"/>
      <c r="X54" s="5"/>
      <c r="Y54" s="5"/>
      <c r="Z54" s="5"/>
    </row>
    <row r="55" spans="1:26" ht="12.75" customHeight="1">
      <c r="A55" s="322">
        <v>41</v>
      </c>
      <c r="B55" s="69" t="s">
        <v>473</v>
      </c>
      <c r="C55" s="335" t="s">
        <v>474</v>
      </c>
      <c r="D55" s="1181" t="s">
        <v>86</v>
      </c>
      <c r="E55" s="1055">
        <v>10.49</v>
      </c>
      <c r="F55" s="327" t="e">
        <f>D55*E55</f>
        <v>#VALUE!</v>
      </c>
      <c r="G55" s="331" t="e">
        <f>F55/$F$78</f>
        <v>#VALUE!</v>
      </c>
      <c r="H55" s="548"/>
      <c r="I55" s="1181">
        <v>431.56400000000002</v>
      </c>
      <c r="J55" s="1055">
        <v>10.4</v>
      </c>
      <c r="K55" s="1147">
        <f>I55*J55</f>
        <v>4488.2656000000006</v>
      </c>
      <c r="L55" s="1118">
        <f>K55/$K$78</f>
        <v>2.9499305216795894E-2</v>
      </c>
      <c r="M55" s="495"/>
      <c r="N55" s="329">
        <f>(J55-Transactions!C831)/Transactions!C831</f>
        <v>-8.5795996186844477E-3</v>
      </c>
      <c r="O55" s="327"/>
      <c r="P55" s="331"/>
      <c r="Q55" s="327"/>
      <c r="R55" s="327"/>
      <c r="S55" s="309"/>
      <c r="T55" s="328"/>
      <c r="U55" s="5"/>
      <c r="V55" s="5"/>
      <c r="W55" s="5"/>
      <c r="X55" s="5"/>
      <c r="Y55" s="5"/>
      <c r="Z55" s="5"/>
    </row>
    <row r="56" spans="1:26" ht="12.75" customHeight="1">
      <c r="A56" s="322">
        <v>44</v>
      </c>
      <c r="B56" s="334" t="s">
        <v>430</v>
      </c>
      <c r="C56" s="138" t="s">
        <v>431</v>
      </c>
      <c r="D56" s="1181" t="s">
        <v>86</v>
      </c>
      <c r="E56" s="1055">
        <v>125.92</v>
      </c>
      <c r="F56" s="327" t="e">
        <f>D56*E56</f>
        <v>#VALUE!</v>
      </c>
      <c r="G56" s="331" t="e">
        <f>F56/$F$78</f>
        <v>#VALUE!</v>
      </c>
      <c r="H56" s="306"/>
      <c r="I56" s="1181">
        <v>15</v>
      </c>
      <c r="J56" s="1055">
        <v>120.58</v>
      </c>
      <c r="K56" s="1147">
        <f>I56*J56</f>
        <v>1808.7</v>
      </c>
      <c r="L56" s="1118">
        <f>K56/$K$78</f>
        <v>1.1887753110158794E-2</v>
      </c>
      <c r="M56" s="495" t="e">
        <f>(K56-F56)/F56</f>
        <v>#VALUE!</v>
      </c>
      <c r="N56" s="329">
        <f>(J56-Transactions!C869)/Transactions!C869</f>
        <v>-4.3015873015873028E-2</v>
      </c>
      <c r="O56" s="327"/>
      <c r="P56" s="331"/>
      <c r="Q56" s="327"/>
      <c r="R56" s="327"/>
      <c r="S56" s="5"/>
      <c r="T56" s="5"/>
      <c r="U56" s="5"/>
      <c r="V56" s="5"/>
      <c r="W56" s="5"/>
      <c r="X56" s="5"/>
      <c r="Y56" s="5"/>
      <c r="Z56" s="5"/>
    </row>
    <row r="57" spans="1:26" ht="12.75" customHeight="1">
      <c r="A57" s="322">
        <v>45</v>
      </c>
      <c r="B57" s="39" t="s">
        <v>433</v>
      </c>
      <c r="C57" s="335" t="s">
        <v>434</v>
      </c>
      <c r="D57" s="1181" t="s">
        <v>86</v>
      </c>
      <c r="E57" s="1055">
        <v>10.87</v>
      </c>
      <c r="F57" s="327" t="e">
        <f>D57*E57</f>
        <v>#VALUE!</v>
      </c>
      <c r="G57" s="331" t="e">
        <f>F57/$F$78</f>
        <v>#VALUE!</v>
      </c>
      <c r="H57" s="545"/>
      <c r="I57" s="1181">
        <v>281.06700000000001</v>
      </c>
      <c r="J57" s="1055">
        <v>10.64</v>
      </c>
      <c r="K57" s="1147">
        <f>I57*J57</f>
        <v>2990.5528800000002</v>
      </c>
      <c r="L57" s="1118">
        <f>K57/$K$78</f>
        <v>1.9655528446018877E-2</v>
      </c>
      <c r="M57" s="495" t="e">
        <f>(K57-F57)/F57</f>
        <v>#VALUE!</v>
      </c>
      <c r="N57" s="329">
        <f>(J57-Transactions!C870)/Transactions!C870</f>
        <v>-1.9354838709677333E-2</v>
      </c>
      <c r="O57" s="327"/>
      <c r="P57" s="331"/>
      <c r="Q57" s="327"/>
      <c r="R57" s="327"/>
      <c r="S57" s="309"/>
      <c r="T57" s="328"/>
      <c r="U57" s="5"/>
      <c r="V57" s="5"/>
      <c r="W57" s="5"/>
      <c r="X57" s="5"/>
      <c r="Y57" s="5"/>
      <c r="Z57" s="5"/>
    </row>
    <row r="58" spans="1:26" ht="12.75" customHeight="1">
      <c r="A58" s="322"/>
      <c r="B58" s="1183" t="s">
        <v>375</v>
      </c>
      <c r="C58" s="138"/>
      <c r="D58" s="1181"/>
      <c r="E58" s="1055"/>
      <c r="F58" s="1096" t="e">
        <f>SUM(F56:F57)</f>
        <v>#VALUE!</v>
      </c>
      <c r="G58" s="1228" t="e">
        <f>F58/$F$78</f>
        <v>#VALUE!</v>
      </c>
      <c r="H58" s="545"/>
      <c r="I58" s="1181"/>
      <c r="J58" s="1055"/>
      <c r="K58" s="1096">
        <f>SUM(K55:K57)</f>
        <v>9287.5184800000006</v>
      </c>
      <c r="L58" s="1184">
        <f>K58/$K$78</f>
        <v>6.1042586772973563E-2</v>
      </c>
      <c r="M58" s="495"/>
      <c r="N58" s="329"/>
      <c r="O58" s="327"/>
      <c r="P58" s="326"/>
      <c r="Q58" s="327"/>
      <c r="R58" s="328"/>
      <c r="S58" s="309"/>
      <c r="T58" s="328"/>
      <c r="U58" s="5"/>
      <c r="V58" s="5"/>
      <c r="W58" s="5"/>
      <c r="X58" s="5"/>
      <c r="Y58" s="5"/>
      <c r="Z58" s="5"/>
    </row>
    <row r="59" spans="1:26" ht="12.75" customHeight="1">
      <c r="A59" s="322"/>
      <c r="B59" s="323"/>
      <c r="C59" s="323"/>
      <c r="D59" s="946"/>
      <c r="E59" s="964"/>
      <c r="F59" s="948"/>
      <c r="G59" s="949"/>
      <c r="H59" s="545"/>
      <c r="I59" s="950"/>
      <c r="J59" s="1032"/>
      <c r="K59" s="1056"/>
      <c r="L59" s="1031"/>
      <c r="M59" s="895"/>
      <c r="N59" s="329"/>
      <c r="O59" s="325"/>
      <c r="P59" s="326"/>
      <c r="Q59" s="327"/>
      <c r="R59" s="309"/>
      <c r="S59" s="309"/>
      <c r="T59" s="328"/>
      <c r="U59" s="5"/>
      <c r="V59" s="5"/>
      <c r="W59" s="5"/>
      <c r="X59" s="5"/>
      <c r="Y59" s="5"/>
      <c r="Z59" s="5"/>
    </row>
    <row r="60" spans="1:26" ht="12.75" customHeight="1">
      <c r="A60" s="46"/>
      <c r="B60" s="1122" t="s">
        <v>52</v>
      </c>
      <c r="C60" s="1123"/>
      <c r="D60" s="946"/>
      <c r="E60" s="964"/>
      <c r="F60" s="1005"/>
      <c r="G60" s="949"/>
      <c r="H60" s="1206"/>
      <c r="I60" s="950"/>
      <c r="J60" s="1032"/>
      <c r="K60" s="1056"/>
      <c r="L60" s="1031"/>
      <c r="M60" s="895"/>
      <c r="N60" s="329"/>
      <c r="O60" s="325"/>
      <c r="P60" s="326"/>
      <c r="Q60" s="327"/>
      <c r="R60" s="309"/>
      <c r="S60" s="309"/>
      <c r="T60" s="328"/>
      <c r="U60" s="5"/>
      <c r="V60" s="5"/>
      <c r="W60" s="5"/>
      <c r="X60" s="5"/>
      <c r="Y60" s="5"/>
      <c r="Z60" s="5"/>
    </row>
    <row r="61" spans="1:26" ht="12.75" customHeight="1">
      <c r="A61" s="532"/>
      <c r="B61" s="334"/>
      <c r="C61" s="138"/>
      <c r="D61" s="1152" t="s">
        <v>9</v>
      </c>
      <c r="E61" s="1185" t="s">
        <v>436</v>
      </c>
      <c r="F61" s="1058" t="s">
        <v>437</v>
      </c>
      <c r="G61" s="1185" t="s">
        <v>438</v>
      </c>
      <c r="H61" s="1055" t="s">
        <v>439</v>
      </c>
      <c r="I61" s="1207" t="s">
        <v>440</v>
      </c>
      <c r="J61" s="1207" t="s">
        <v>15</v>
      </c>
      <c r="K61" s="1081"/>
      <c r="L61" s="1129"/>
      <c r="M61" s="132"/>
      <c r="N61" s="1086"/>
      <c r="O61" s="325"/>
      <c r="P61" s="326"/>
      <c r="Q61" s="327"/>
      <c r="R61" s="309"/>
      <c r="S61" s="309"/>
      <c r="T61" s="328"/>
      <c r="U61" s="5"/>
      <c r="V61" s="5"/>
      <c r="W61" s="5"/>
      <c r="X61" s="5"/>
      <c r="Y61" s="5"/>
      <c r="Z61" s="5"/>
    </row>
    <row r="62" spans="1:26" ht="12.75" customHeight="1">
      <c r="A62" s="532">
        <v>1</v>
      </c>
      <c r="B62" s="1182" t="s">
        <v>475</v>
      </c>
      <c r="C62" s="335" t="s">
        <v>346</v>
      </c>
      <c r="D62" s="547">
        <v>50</v>
      </c>
      <c r="E62" s="1055">
        <v>44.49</v>
      </c>
      <c r="F62" s="327">
        <v>41.62</v>
      </c>
      <c r="G62" s="1058">
        <f>(E62*D62)-9.99</f>
        <v>2214.5100000000002</v>
      </c>
      <c r="H62" s="1058">
        <f t="shared" ref="H62:H74" si="10">(F62*D62)+9.99</f>
        <v>2090.9899999999998</v>
      </c>
      <c r="I62" s="1058">
        <f t="shared" ref="I62:I74" si="11">G62-H62</f>
        <v>123.52000000000044</v>
      </c>
      <c r="J62" s="1072">
        <f t="shared" ref="J62:J74" si="12">(E62-F62)/F62</f>
        <v>6.8957232099952054E-2</v>
      </c>
      <c r="K62" s="2017" t="s">
        <v>476</v>
      </c>
      <c r="L62" s="2000"/>
      <c r="M62" s="895"/>
      <c r="N62" s="329"/>
      <c r="O62" s="325"/>
      <c r="P62" s="326"/>
      <c r="Q62" s="327"/>
      <c r="R62" s="309"/>
      <c r="S62" s="309"/>
      <c r="T62" s="328"/>
      <c r="U62" s="5"/>
      <c r="V62" s="5"/>
      <c r="W62" s="5"/>
      <c r="X62" s="5"/>
      <c r="Y62" s="5"/>
      <c r="Z62" s="5"/>
    </row>
    <row r="63" spans="1:26" ht="12.75" customHeight="1">
      <c r="A63" s="532">
        <v>2</v>
      </c>
      <c r="B63" s="334" t="s">
        <v>477</v>
      </c>
      <c r="C63" s="138" t="s">
        <v>442</v>
      </c>
      <c r="D63" s="1181">
        <v>20</v>
      </c>
      <c r="E63" s="1058">
        <v>83</v>
      </c>
      <c r="F63" s="1058">
        <v>66.930000000000007</v>
      </c>
      <c r="G63" s="1058">
        <f>(E63*D63)-9.99</f>
        <v>1650.01</v>
      </c>
      <c r="H63" s="1058">
        <f t="shared" si="10"/>
        <v>1348.5900000000001</v>
      </c>
      <c r="I63" s="1058">
        <f t="shared" si="11"/>
        <v>301.41999999999985</v>
      </c>
      <c r="J63" s="1072">
        <f t="shared" si="12"/>
        <v>0.24010159868519335</v>
      </c>
      <c r="K63" s="2016" t="s">
        <v>478</v>
      </c>
      <c r="L63" s="2000"/>
      <c r="M63" s="895"/>
      <c r="N63" s="329"/>
      <c r="O63" s="325"/>
      <c r="P63" s="326"/>
      <c r="Q63" s="327"/>
      <c r="R63" s="309"/>
      <c r="S63" s="309"/>
      <c r="T63" s="328"/>
      <c r="U63" s="5"/>
      <c r="V63" s="5"/>
      <c r="W63" s="5"/>
      <c r="X63" s="5"/>
      <c r="Y63" s="5"/>
      <c r="Z63" s="5"/>
    </row>
    <row r="64" spans="1:26" ht="12.75" customHeight="1">
      <c r="A64" s="532">
        <v>3</v>
      </c>
      <c r="B64" s="334" t="s">
        <v>419</v>
      </c>
      <c r="C64" s="138" t="s">
        <v>420</v>
      </c>
      <c r="D64" s="1181">
        <v>30</v>
      </c>
      <c r="E64" s="1058">
        <v>41.44</v>
      </c>
      <c r="F64" s="1058">
        <v>37.840000000000003</v>
      </c>
      <c r="G64" s="1058">
        <f>(E64*D64)-9.99</f>
        <v>1233.2099999999998</v>
      </c>
      <c r="H64" s="1058">
        <f t="shared" si="10"/>
        <v>1145.19</v>
      </c>
      <c r="I64" s="1058">
        <f t="shared" si="11"/>
        <v>88.019999999999754</v>
      </c>
      <c r="J64" s="1072">
        <f t="shared" si="12"/>
        <v>9.513742071881591E-2</v>
      </c>
      <c r="K64" s="2016" t="s">
        <v>479</v>
      </c>
      <c r="L64" s="2000"/>
      <c r="M64" s="895"/>
      <c r="N64" s="329"/>
      <c r="O64" s="325"/>
      <c r="P64" s="326"/>
      <c r="Q64" s="327"/>
      <c r="R64" s="309"/>
      <c r="S64" s="309"/>
      <c r="T64" s="328"/>
      <c r="U64" s="5"/>
      <c r="V64" s="5"/>
      <c r="W64" s="5"/>
      <c r="X64" s="5"/>
      <c r="Y64" s="5"/>
      <c r="Z64" s="5"/>
    </row>
    <row r="65" spans="1:26" ht="12.75" customHeight="1">
      <c r="A65" s="532">
        <v>4</v>
      </c>
      <c r="B65" s="334" t="s">
        <v>480</v>
      </c>
      <c r="C65" s="138" t="s">
        <v>277</v>
      </c>
      <c r="D65" s="1181" t="s">
        <v>86</v>
      </c>
      <c r="E65" s="1058">
        <v>47.06</v>
      </c>
      <c r="F65" s="1058">
        <v>23.42</v>
      </c>
      <c r="G65" s="1058" t="e">
        <f>(E65*D65)-9.99</f>
        <v>#VALUE!</v>
      </c>
      <c r="H65" s="1058" t="e">
        <f t="shared" si="10"/>
        <v>#VALUE!</v>
      </c>
      <c r="I65" s="1058" t="e">
        <f t="shared" si="11"/>
        <v>#VALUE!</v>
      </c>
      <c r="J65" s="1072">
        <f t="shared" si="12"/>
        <v>1.0093936806148591</v>
      </c>
      <c r="K65" s="2016" t="s">
        <v>481</v>
      </c>
      <c r="L65" s="2000"/>
      <c r="M65" s="495"/>
      <c r="N65" s="329"/>
      <c r="O65" s="327"/>
      <c r="P65" s="331"/>
      <c r="Q65" s="327"/>
      <c r="R65" s="328"/>
      <c r="S65" s="309"/>
      <c r="T65" s="328"/>
      <c r="U65" s="5"/>
      <c r="V65" s="5"/>
      <c r="W65" s="5"/>
      <c r="X65" s="5"/>
      <c r="Y65" s="5"/>
      <c r="Z65" s="5"/>
    </row>
    <row r="66" spans="1:26" ht="12.75" customHeight="1">
      <c r="A66" s="532">
        <v>5</v>
      </c>
      <c r="B66" s="334" t="s">
        <v>252</v>
      </c>
      <c r="C66" s="138" t="s">
        <v>253</v>
      </c>
      <c r="D66" s="1181" t="s">
        <v>86</v>
      </c>
      <c r="E66" s="1058">
        <v>58.43</v>
      </c>
      <c r="F66" s="1058">
        <v>25.01</v>
      </c>
      <c r="G66" s="1058" t="e">
        <f>(E66*D66)-(9.99*2)</f>
        <v>#VALUE!</v>
      </c>
      <c r="H66" s="1058" t="e">
        <f t="shared" si="10"/>
        <v>#VALUE!</v>
      </c>
      <c r="I66" s="1058" t="e">
        <f t="shared" si="11"/>
        <v>#VALUE!</v>
      </c>
      <c r="J66" s="1072">
        <f t="shared" si="12"/>
        <v>1.3362654938024789</v>
      </c>
      <c r="K66" s="2016" t="s">
        <v>482</v>
      </c>
      <c r="L66" s="2000"/>
      <c r="M66" s="495"/>
      <c r="N66" s="329"/>
      <c r="O66" s="327"/>
      <c r="P66" s="331"/>
      <c r="Q66" s="327"/>
      <c r="R66" s="328"/>
      <c r="S66" s="309"/>
      <c r="T66" s="328"/>
      <c r="U66" s="5"/>
      <c r="V66" s="5"/>
      <c r="W66" s="5"/>
      <c r="X66" s="5"/>
      <c r="Y66" s="5"/>
      <c r="Z66" s="5"/>
    </row>
    <row r="67" spans="1:26" ht="12.75" customHeight="1">
      <c r="A67" s="532">
        <v>6</v>
      </c>
      <c r="B67" s="334" t="s">
        <v>483</v>
      </c>
      <c r="C67" s="138" t="s">
        <v>484</v>
      </c>
      <c r="D67" s="547">
        <v>136</v>
      </c>
      <c r="E67" s="1055">
        <v>11.78</v>
      </c>
      <c r="F67" s="327">
        <v>14.59</v>
      </c>
      <c r="G67" s="1058">
        <f t="shared" ref="G67:G74" si="13">(E67*D67)-9.99</f>
        <v>1592.09</v>
      </c>
      <c r="H67" s="1058">
        <f t="shared" si="10"/>
        <v>1994.23</v>
      </c>
      <c r="I67" s="1230">
        <f t="shared" si="11"/>
        <v>-402.1400000000001</v>
      </c>
      <c r="J67" s="1212">
        <f t="shared" si="12"/>
        <v>-0.19259766963673752</v>
      </c>
      <c r="K67" s="2018" t="s">
        <v>485</v>
      </c>
      <c r="L67" s="2000"/>
      <c r="M67" s="495"/>
      <c r="N67" s="329"/>
      <c r="O67" s="327"/>
      <c r="P67" s="1055"/>
      <c r="Q67" s="327"/>
      <c r="R67" s="328"/>
      <c r="S67" s="309"/>
      <c r="T67" s="328"/>
      <c r="U67" s="5"/>
      <c r="V67" s="5"/>
      <c r="W67" s="5"/>
      <c r="X67" s="5"/>
      <c r="Y67" s="5"/>
      <c r="Z67" s="5"/>
    </row>
    <row r="68" spans="1:26" ht="12.75" customHeight="1">
      <c r="A68" s="322">
        <v>7</v>
      </c>
      <c r="B68" s="323" t="s">
        <v>486</v>
      </c>
      <c r="C68" s="138" t="s">
        <v>370</v>
      </c>
      <c r="D68" s="547">
        <v>34</v>
      </c>
      <c r="E68" s="1055">
        <v>75.73</v>
      </c>
      <c r="F68" s="327">
        <v>73.06</v>
      </c>
      <c r="G68" s="1058">
        <f t="shared" si="13"/>
        <v>2564.8300000000004</v>
      </c>
      <c r="H68" s="1058">
        <f t="shared" si="10"/>
        <v>2494.0299999999997</v>
      </c>
      <c r="I68" s="1058">
        <f t="shared" si="11"/>
        <v>70.800000000000637</v>
      </c>
      <c r="J68" s="1072">
        <f t="shared" si="12"/>
        <v>3.6545305228579274E-2</v>
      </c>
      <c r="K68" s="2018" t="s">
        <v>487</v>
      </c>
      <c r="L68" s="2000"/>
      <c r="M68" s="495"/>
      <c r="N68" s="329"/>
      <c r="O68" s="327"/>
      <c r="P68" s="1055"/>
      <c r="Q68" s="327"/>
      <c r="R68" s="328"/>
      <c r="S68" s="309"/>
      <c r="T68" s="328"/>
      <c r="U68" s="5"/>
      <c r="V68" s="5"/>
      <c r="W68" s="5"/>
      <c r="X68" s="5"/>
      <c r="Y68" s="5"/>
      <c r="Z68" s="5"/>
    </row>
    <row r="69" spans="1:26" ht="12.75" customHeight="1">
      <c r="A69" s="322">
        <v>8</v>
      </c>
      <c r="B69" s="323" t="s">
        <v>488</v>
      </c>
      <c r="C69" s="138" t="s">
        <v>489</v>
      </c>
      <c r="D69" s="547">
        <v>15</v>
      </c>
      <c r="E69" s="1055">
        <v>138.37</v>
      </c>
      <c r="F69" s="327">
        <v>164.09</v>
      </c>
      <c r="G69" s="1058">
        <f t="shared" si="13"/>
        <v>2065.5600000000004</v>
      </c>
      <c r="H69" s="1058">
        <f t="shared" si="10"/>
        <v>2471.3399999999997</v>
      </c>
      <c r="I69" s="1230">
        <f t="shared" si="11"/>
        <v>-405.77999999999929</v>
      </c>
      <c r="J69" s="1212">
        <f t="shared" si="12"/>
        <v>-0.15674325065512829</v>
      </c>
      <c r="K69" s="2018" t="s">
        <v>490</v>
      </c>
      <c r="L69" s="2000"/>
      <c r="M69" s="495"/>
      <c r="N69" s="329"/>
      <c r="O69" s="327"/>
      <c r="P69" s="1055"/>
      <c r="Q69" s="327"/>
      <c r="R69" s="328"/>
      <c r="S69" s="309"/>
      <c r="T69" s="328"/>
      <c r="U69" s="5"/>
      <c r="V69" s="5"/>
      <c r="W69" s="5"/>
      <c r="X69" s="5"/>
      <c r="Y69" s="5"/>
      <c r="Z69" s="5"/>
    </row>
    <row r="70" spans="1:26" ht="12.75" customHeight="1">
      <c r="A70" s="532">
        <v>9</v>
      </c>
      <c r="B70" s="1182" t="s">
        <v>491</v>
      </c>
      <c r="C70" s="138" t="s">
        <v>382</v>
      </c>
      <c r="D70" s="547">
        <v>208</v>
      </c>
      <c r="E70" s="1055">
        <v>22.78</v>
      </c>
      <c r="F70" s="327">
        <v>24.81</v>
      </c>
      <c r="G70" s="1058">
        <f t="shared" si="13"/>
        <v>4728.25</v>
      </c>
      <c r="H70" s="1058">
        <f t="shared" si="10"/>
        <v>5170.4699999999993</v>
      </c>
      <c r="I70" s="1230">
        <f t="shared" si="11"/>
        <v>-442.21999999999935</v>
      </c>
      <c r="J70" s="1212">
        <f t="shared" si="12"/>
        <v>-8.1821846029826589E-2</v>
      </c>
      <c r="K70" s="2018" t="s">
        <v>492</v>
      </c>
      <c r="L70" s="2000"/>
      <c r="M70" s="495"/>
      <c r="N70" s="329"/>
      <c r="O70" s="327"/>
      <c r="P70" s="1055"/>
      <c r="Q70" s="327"/>
      <c r="R70" s="328"/>
      <c r="S70" s="309"/>
      <c r="T70" s="328"/>
      <c r="U70" s="5"/>
      <c r="V70" s="5"/>
      <c r="W70" s="5"/>
      <c r="X70" s="5"/>
      <c r="Y70" s="5"/>
      <c r="Z70" s="5"/>
    </row>
    <row r="71" spans="1:26" ht="12.75" customHeight="1">
      <c r="A71" s="322">
        <v>10</v>
      </c>
      <c r="B71" s="323" t="s">
        <v>493</v>
      </c>
      <c r="C71" s="138" t="s">
        <v>428</v>
      </c>
      <c r="D71" s="547">
        <v>55</v>
      </c>
      <c r="E71" s="1055">
        <v>82.33</v>
      </c>
      <c r="F71" s="327">
        <v>92.48</v>
      </c>
      <c r="G71" s="1058">
        <f t="shared" si="13"/>
        <v>4518.16</v>
      </c>
      <c r="H71" s="1058">
        <f t="shared" si="10"/>
        <v>5096.3900000000003</v>
      </c>
      <c r="I71" s="1230">
        <f t="shared" si="11"/>
        <v>-578.23000000000047</v>
      </c>
      <c r="J71" s="1212">
        <f t="shared" si="12"/>
        <v>-0.10975346020761251</v>
      </c>
      <c r="K71" s="2018" t="s">
        <v>492</v>
      </c>
      <c r="L71" s="2000"/>
      <c r="M71" s="495"/>
      <c r="N71" s="329"/>
      <c r="O71" s="327"/>
      <c r="P71" s="1055"/>
      <c r="Q71" s="327"/>
      <c r="R71" s="328"/>
      <c r="S71" s="309"/>
      <c r="T71" s="328"/>
      <c r="U71" s="5"/>
      <c r="V71" s="5"/>
      <c r="W71" s="5"/>
      <c r="X71" s="5"/>
      <c r="Y71" s="5"/>
      <c r="Z71" s="5"/>
    </row>
    <row r="72" spans="1:26" ht="12.75" customHeight="1">
      <c r="A72" s="322">
        <v>11</v>
      </c>
      <c r="B72" s="323" t="s">
        <v>494</v>
      </c>
      <c r="C72" s="138" t="s">
        <v>293</v>
      </c>
      <c r="D72" s="547">
        <v>30</v>
      </c>
      <c r="E72" s="1055">
        <v>85.33</v>
      </c>
      <c r="F72" s="327">
        <v>52.84</v>
      </c>
      <c r="G72" s="1058">
        <f t="shared" si="13"/>
        <v>2549.9100000000003</v>
      </c>
      <c r="H72" s="1058">
        <f t="shared" si="10"/>
        <v>1595.19</v>
      </c>
      <c r="I72" s="1058">
        <f t="shared" si="11"/>
        <v>954.72000000000025</v>
      </c>
      <c r="J72" s="1072">
        <f t="shared" si="12"/>
        <v>0.61487509462528378</v>
      </c>
      <c r="K72" s="2018" t="s">
        <v>495</v>
      </c>
      <c r="L72" s="2000"/>
      <c r="M72" s="495"/>
      <c r="N72" s="329"/>
      <c r="O72" s="327"/>
      <c r="P72" s="1055"/>
      <c r="Q72" s="327"/>
      <c r="R72" s="328"/>
      <c r="S72" s="309"/>
      <c r="T72" s="328"/>
      <c r="U72" s="5"/>
      <c r="V72" s="5"/>
      <c r="W72" s="5"/>
      <c r="X72" s="5"/>
      <c r="Y72" s="5"/>
      <c r="Z72" s="5"/>
    </row>
    <row r="73" spans="1:26" ht="12.75" customHeight="1">
      <c r="A73" s="322">
        <v>12</v>
      </c>
      <c r="B73" s="323" t="s">
        <v>413</v>
      </c>
      <c r="C73" s="138" t="s">
        <v>414</v>
      </c>
      <c r="D73" s="547">
        <v>35</v>
      </c>
      <c r="E73" s="1055">
        <v>39.380000000000003</v>
      </c>
      <c r="F73" s="327">
        <v>54.81</v>
      </c>
      <c r="G73" s="1058">
        <f t="shared" si="13"/>
        <v>1368.3100000000002</v>
      </c>
      <c r="H73" s="1058">
        <f t="shared" si="10"/>
        <v>1928.3400000000001</v>
      </c>
      <c r="I73" s="1230">
        <f t="shared" si="11"/>
        <v>-560.03</v>
      </c>
      <c r="J73" s="1212">
        <f t="shared" si="12"/>
        <v>-0.28151797117314359</v>
      </c>
      <c r="K73" s="2018" t="s">
        <v>495</v>
      </c>
      <c r="L73" s="2000"/>
      <c r="M73" s="495"/>
      <c r="N73" s="329"/>
      <c r="O73" s="327"/>
      <c r="P73" s="1055"/>
      <c r="Q73" s="327"/>
      <c r="R73" s="328"/>
      <c r="S73" s="309"/>
      <c r="T73" s="328"/>
      <c r="U73" s="5"/>
      <c r="V73" s="5"/>
      <c r="W73" s="5"/>
      <c r="X73" s="5"/>
      <c r="Y73" s="5"/>
      <c r="Z73" s="5"/>
    </row>
    <row r="74" spans="1:26" ht="12.75" customHeight="1">
      <c r="A74" s="322">
        <v>13</v>
      </c>
      <c r="B74" s="323" t="s">
        <v>496</v>
      </c>
      <c r="C74" s="138" t="s">
        <v>35</v>
      </c>
      <c r="D74" s="547">
        <v>120</v>
      </c>
      <c r="E74" s="1055">
        <v>30.29</v>
      </c>
      <c r="F74" s="327">
        <v>26.91</v>
      </c>
      <c r="G74" s="1058">
        <f t="shared" si="13"/>
        <v>3624.81</v>
      </c>
      <c r="H74" s="1058">
        <f t="shared" si="10"/>
        <v>3239.1899999999996</v>
      </c>
      <c r="I74" s="1058">
        <f t="shared" si="11"/>
        <v>385.62000000000035</v>
      </c>
      <c r="J74" s="1072">
        <f t="shared" si="12"/>
        <v>0.12560386473429949</v>
      </c>
      <c r="K74" s="2018" t="s">
        <v>495</v>
      </c>
      <c r="L74" s="2000"/>
      <c r="M74" s="495"/>
      <c r="N74" s="329"/>
      <c r="O74" s="327"/>
      <c r="P74" s="1055"/>
      <c r="Q74" s="327"/>
      <c r="R74" s="328"/>
      <c r="S74" s="309"/>
      <c r="T74" s="328"/>
      <c r="U74" s="5"/>
      <c r="V74" s="5"/>
      <c r="W74" s="5"/>
      <c r="X74" s="5"/>
      <c r="Y74" s="5"/>
      <c r="Z74" s="5"/>
    </row>
    <row r="75" spans="1:26" ht="12.75" customHeight="1">
      <c r="A75" s="1169"/>
      <c r="B75" s="1075"/>
      <c r="C75" s="31"/>
      <c r="D75" s="1187"/>
      <c r="E75" s="1156"/>
      <c r="F75" s="1157"/>
      <c r="G75" s="1137"/>
      <c r="H75" s="1214"/>
      <c r="I75" s="141" t="e">
        <f>SUM(I64:I74)</f>
        <v>#VALUE!</v>
      </c>
      <c r="J75" s="916"/>
      <c r="K75" s="1087"/>
      <c r="L75" s="914"/>
      <c r="M75" s="1087"/>
      <c r="N75" s="400"/>
      <c r="O75" s="70"/>
      <c r="P75" s="3"/>
      <c r="Q75" s="327"/>
      <c r="R75" s="5"/>
      <c r="S75" s="5"/>
      <c r="T75" s="5"/>
      <c r="U75" s="5"/>
      <c r="V75" s="5"/>
      <c r="W75" s="5"/>
      <c r="X75" s="5"/>
      <c r="Y75" s="5"/>
      <c r="Z75" s="5"/>
    </row>
    <row r="76" spans="1:26" ht="12.75" customHeight="1">
      <c r="A76" s="344"/>
      <c r="B76" s="345" t="s">
        <v>63</v>
      </c>
      <c r="C76" s="345"/>
      <c r="D76" s="346"/>
      <c r="E76" s="782"/>
      <c r="F76" s="1090">
        <v>131265.12</v>
      </c>
      <c r="G76" s="1091">
        <f>F76/$F$78</f>
        <v>0.91044853967697326</v>
      </c>
      <c r="H76" s="1217"/>
      <c r="I76" s="308"/>
      <c r="J76" s="308"/>
      <c r="K76" s="1096">
        <f>K46+K52+K58</f>
        <v>128201.81847999997</v>
      </c>
      <c r="L76" s="143">
        <f>K76/$K$78</f>
        <v>0.84261158089436217</v>
      </c>
      <c r="M76" s="137"/>
      <c r="N76" s="313"/>
      <c r="O76" s="325"/>
      <c r="P76" s="326"/>
      <c r="Q76" s="327"/>
      <c r="R76" s="309"/>
      <c r="S76" s="309"/>
      <c r="T76" s="328"/>
      <c r="U76" s="5"/>
      <c r="V76" s="5"/>
      <c r="W76" s="5"/>
      <c r="X76" s="5"/>
      <c r="Y76" s="5"/>
      <c r="Z76" s="5"/>
    </row>
    <row r="77" spans="1:26" ht="12.75" customHeight="1">
      <c r="A77" s="49"/>
      <c r="B77" s="924" t="s">
        <v>497</v>
      </c>
      <c r="C77" s="924"/>
      <c r="D77" s="34"/>
      <c r="E77" s="1231"/>
      <c r="F77" s="1103">
        <v>12911.2</v>
      </c>
      <c r="G77" s="1101">
        <f>F77/$F$78</f>
        <v>8.9551460323026688E-2</v>
      </c>
      <c r="H77" s="1219"/>
      <c r="I77" s="925"/>
      <c r="J77" s="1232"/>
      <c r="K77" s="1103">
        <v>23946.36</v>
      </c>
      <c r="L77" s="50">
        <f>K77/$K$78</f>
        <v>0.15738840911537688</v>
      </c>
      <c r="M77" s="1102"/>
      <c r="N77" s="36"/>
      <c r="O77" s="325"/>
      <c r="P77" s="326"/>
      <c r="Q77" s="327"/>
      <c r="R77" s="309"/>
      <c r="S77" s="309"/>
      <c r="T77" s="328"/>
      <c r="U77" s="5"/>
      <c r="V77" s="5"/>
      <c r="W77" s="5"/>
      <c r="X77" s="5"/>
      <c r="Y77" s="5"/>
      <c r="Z77" s="5"/>
    </row>
    <row r="78" spans="1:26" ht="12.75" customHeight="1">
      <c r="A78" s="309"/>
      <c r="B78" s="345" t="s">
        <v>66</v>
      </c>
      <c r="C78" s="345"/>
      <c r="D78" s="1105"/>
      <c r="E78" s="1106"/>
      <c r="F78" s="1107">
        <v>144176.32000000001</v>
      </c>
      <c r="G78" s="1108">
        <f>SUM(G76:G77)</f>
        <v>1</v>
      </c>
      <c r="H78" s="1220"/>
      <c r="I78" s="2019"/>
      <c r="J78" s="2020"/>
      <c r="K78" s="1109">
        <v>152148.18</v>
      </c>
      <c r="L78" s="51">
        <f>SUM(L76:L77)</f>
        <v>0.99999999000973905</v>
      </c>
      <c r="M78" s="58">
        <v>-7.9900000000000006E-3</v>
      </c>
      <c r="N78" s="323"/>
      <c r="O78" s="327"/>
      <c r="P78" s="331"/>
      <c r="Q78" s="327"/>
      <c r="R78" s="309"/>
      <c r="S78" s="309"/>
      <c r="T78" s="328"/>
      <c r="U78" s="5"/>
      <c r="V78" s="5"/>
      <c r="W78" s="5"/>
      <c r="X78" s="5"/>
      <c r="Y78" s="5"/>
      <c r="Z78" s="5"/>
    </row>
    <row r="79" spans="1:26" ht="12.75" customHeight="1">
      <c r="A79" s="309"/>
      <c r="B79" s="345"/>
      <c r="C79" s="345"/>
      <c r="D79" s="782"/>
      <c r="E79" s="782"/>
      <c r="F79" s="1090"/>
      <c r="G79" s="1233"/>
      <c r="H79" s="1234"/>
      <c r="I79" s="781"/>
      <c r="J79" s="781"/>
      <c r="K79" s="1096"/>
      <c r="L79" s="1234"/>
      <c r="M79" s="882"/>
      <c r="N79" s="323"/>
      <c r="O79" s="327"/>
      <c r="P79" s="331"/>
      <c r="Q79" s="327"/>
      <c r="R79" s="309"/>
      <c r="S79" s="309"/>
      <c r="T79" s="328"/>
      <c r="U79" s="5"/>
      <c r="V79" s="5"/>
      <c r="W79" s="5"/>
      <c r="X79" s="5"/>
      <c r="Y79" s="5"/>
      <c r="Z79" s="5"/>
    </row>
    <row r="80" spans="1:26" ht="12.75" customHeight="1">
      <c r="A80" s="309"/>
      <c r="B80" s="309" t="s">
        <v>498</v>
      </c>
      <c r="C80" s="985"/>
      <c r="D80" s="1024"/>
      <c r="E80" s="1024"/>
      <c r="F80" s="1024"/>
      <c r="G80" s="1024"/>
      <c r="H80" s="546"/>
      <c r="I80" s="940"/>
      <c r="J80" s="940"/>
      <c r="K80" s="1147">
        <v>5000</v>
      </c>
      <c r="L80" s="949"/>
      <c r="M80" s="882"/>
      <c r="N80" s="323"/>
      <c r="O80" s="325"/>
      <c r="P80" s="326"/>
      <c r="Q80" s="309"/>
      <c r="R80" s="309"/>
      <c r="S80" s="309"/>
      <c r="T80" s="328"/>
      <c r="U80" s="5"/>
      <c r="V80" s="5"/>
      <c r="W80" s="5"/>
      <c r="X80" s="5"/>
      <c r="Y80" s="5"/>
      <c r="Z80" s="5"/>
    </row>
    <row r="81" spans="1:26" ht="12.75" customHeight="1">
      <c r="A81" s="309"/>
      <c r="B81" s="309" t="s">
        <v>499</v>
      </c>
      <c r="C81" s="985"/>
      <c r="D81" s="1024"/>
      <c r="E81" s="1024"/>
      <c r="F81" s="1024"/>
      <c r="G81" s="1024"/>
      <c r="H81" s="546"/>
      <c r="I81" s="940"/>
      <c r="J81" s="940"/>
      <c r="K81" s="1147">
        <v>14250</v>
      </c>
      <c r="L81" s="949"/>
      <c r="M81" s="882"/>
      <c r="N81" s="323"/>
      <c r="O81" s="325"/>
      <c r="P81" s="326"/>
      <c r="Q81" s="309"/>
      <c r="R81" s="309"/>
      <c r="S81" s="309"/>
      <c r="T81" s="328"/>
      <c r="U81" s="5"/>
      <c r="V81" s="5"/>
      <c r="W81" s="5"/>
      <c r="X81" s="5"/>
      <c r="Y81" s="5"/>
      <c r="Z81" s="5"/>
    </row>
    <row r="82" spans="1:26" ht="12.75" customHeight="1">
      <c r="A82" s="309"/>
      <c r="B82" s="872"/>
      <c r="C82" s="873"/>
      <c r="D82" s="874"/>
      <c r="E82" s="875"/>
      <c r="F82" s="876"/>
      <c r="G82" s="877"/>
      <c r="H82" s="878"/>
      <c r="I82" s="879"/>
      <c r="J82" s="879"/>
      <c r="K82" s="880"/>
      <c r="L82" s="881"/>
      <c r="M82" s="1171"/>
      <c r="N82" s="1113"/>
      <c r="O82" s="1172"/>
      <c r="P82" s="1019"/>
      <c r="Q82" s="309"/>
      <c r="R82" s="309"/>
      <c r="S82" s="309"/>
      <c r="T82" s="328"/>
      <c r="U82" s="5"/>
      <c r="V82" s="5"/>
      <c r="W82" s="5"/>
      <c r="X82" s="5"/>
      <c r="Y82" s="5"/>
      <c r="Z82" s="5"/>
    </row>
    <row r="83" spans="1:26" ht="12.75" customHeight="1">
      <c r="A83" s="309"/>
      <c r="B83" s="345" t="s">
        <v>390</v>
      </c>
      <c r="C83" s="309"/>
      <c r="D83" s="323"/>
      <c r="E83" s="323"/>
      <c r="F83" s="1114"/>
      <c r="G83" s="323"/>
      <c r="H83" s="546"/>
      <c r="I83" s="309"/>
      <c r="J83" s="309"/>
      <c r="K83" s="324"/>
      <c r="L83" s="309"/>
      <c r="M83" s="882"/>
      <c r="N83" s="1042"/>
      <c r="O83" s="325"/>
      <c r="P83" s="326"/>
      <c r="Q83" s="309"/>
      <c r="R83" s="309"/>
      <c r="S83" s="309"/>
      <c r="T83" s="328"/>
      <c r="U83" s="5"/>
      <c r="V83" s="5"/>
      <c r="W83" s="5"/>
      <c r="X83" s="5"/>
      <c r="Y83" s="5"/>
      <c r="Z83" s="5"/>
    </row>
    <row r="84" spans="1:26" ht="12.75" customHeight="1">
      <c r="A84" s="309"/>
      <c r="B84" s="309" t="s">
        <v>272</v>
      </c>
      <c r="C84" s="309"/>
      <c r="D84" s="323"/>
      <c r="E84" s="323"/>
      <c r="F84" s="1188">
        <v>2058.9</v>
      </c>
      <c r="G84" s="323"/>
      <c r="H84" s="546"/>
      <c r="I84" s="309"/>
      <c r="J84" s="5"/>
      <c r="K84" s="1189">
        <v>2043.94</v>
      </c>
      <c r="L84" s="1040"/>
      <c r="M84" s="882">
        <f>(K84-F84)/F84</f>
        <v>-7.2660158336976229E-3</v>
      </c>
      <c r="N84" s="1042"/>
      <c r="O84" s="325"/>
      <c r="P84" s="326"/>
      <c r="Q84" s="309"/>
      <c r="R84" s="309"/>
      <c r="S84" s="309"/>
      <c r="T84" s="328"/>
      <c r="U84" s="5"/>
      <c r="V84" s="5"/>
      <c r="W84" s="5"/>
      <c r="X84" s="5"/>
      <c r="Y84" s="5"/>
      <c r="Z84" s="5"/>
    </row>
    <row r="85" spans="1:26" ht="12.75" customHeight="1">
      <c r="A85" s="309"/>
      <c r="B85" s="309" t="s">
        <v>273</v>
      </c>
      <c r="C85" s="309"/>
      <c r="D85" s="309"/>
      <c r="E85" s="309"/>
      <c r="F85" s="1146"/>
      <c r="G85" s="309"/>
      <c r="H85" s="546"/>
      <c r="I85" s="309"/>
      <c r="J85" s="309"/>
      <c r="K85" s="324"/>
      <c r="L85" s="1040"/>
      <c r="M85" s="1173">
        <v>2.1100000000000001E-2</v>
      </c>
      <c r="N85" s="1042"/>
      <c r="O85" s="325"/>
      <c r="P85" s="326"/>
      <c r="Q85" s="309"/>
      <c r="R85" s="309"/>
      <c r="S85" s="309"/>
      <c r="T85" s="328"/>
      <c r="U85" s="5"/>
      <c r="V85" s="5"/>
      <c r="W85" s="5"/>
      <c r="X85" s="5"/>
      <c r="Y85" s="5"/>
      <c r="Z85" s="5"/>
    </row>
    <row r="86" spans="1:26" ht="12.75" customHeight="1">
      <c r="A86" s="309"/>
      <c r="B86" s="1235" t="s">
        <v>228</v>
      </c>
      <c r="C86" s="309"/>
      <c r="D86" s="309"/>
      <c r="E86" s="309"/>
      <c r="F86" s="1146"/>
      <c r="G86" s="309"/>
      <c r="H86" s="546"/>
      <c r="I86" s="309"/>
      <c r="J86" s="309"/>
      <c r="K86" s="1020"/>
      <c r="L86" s="1040"/>
      <c r="M86" s="882">
        <f>M84+M85</f>
        <v>1.3833984166302379E-2</v>
      </c>
      <c r="N86" s="1042"/>
      <c r="O86" s="325"/>
      <c r="P86" s="326"/>
      <c r="Q86" s="309"/>
      <c r="R86" s="309"/>
      <c r="S86" s="309"/>
      <c r="T86" s="328"/>
      <c r="U86" s="5"/>
      <c r="V86" s="5"/>
      <c r="W86" s="5"/>
      <c r="X86" s="5"/>
      <c r="Y86" s="5"/>
      <c r="Z86" s="5"/>
    </row>
    <row r="87" spans="1:26" ht="12.75" customHeight="1">
      <c r="A87" s="309"/>
      <c r="B87" s="1235"/>
      <c r="C87" s="309"/>
      <c r="D87" s="309"/>
      <c r="E87" s="309"/>
      <c r="F87" s="1146"/>
      <c r="G87" s="309"/>
      <c r="H87" s="546"/>
      <c r="I87" s="309"/>
      <c r="J87" s="309"/>
      <c r="K87" s="1020"/>
      <c r="L87" s="1040"/>
      <c r="M87" s="882"/>
      <c r="N87" s="1042"/>
      <c r="O87" s="325"/>
      <c r="P87" s="326"/>
      <c r="Q87" s="309"/>
      <c r="R87" s="309"/>
      <c r="S87" s="309"/>
      <c r="T87" s="328"/>
      <c r="U87" s="5"/>
      <c r="V87" s="5"/>
      <c r="W87" s="5"/>
      <c r="X87" s="5"/>
      <c r="Y87" s="5"/>
      <c r="Z87" s="5"/>
    </row>
    <row r="88" spans="1:26" ht="14.25" customHeight="1">
      <c r="A88" s="309"/>
      <c r="B88" s="1235" t="s">
        <v>391</v>
      </c>
      <c r="C88" s="309"/>
      <c r="D88" s="309"/>
      <c r="E88" s="309"/>
      <c r="F88" s="309"/>
      <c r="G88" s="309"/>
      <c r="H88" s="546"/>
      <c r="I88" s="309"/>
      <c r="J88" s="309"/>
      <c r="K88" s="1020"/>
      <c r="L88" s="309"/>
      <c r="M88" s="882">
        <v>5.4999999999999997E-3</v>
      </c>
      <c r="N88" s="323"/>
      <c r="O88" s="325"/>
      <c r="P88" s="326"/>
      <c r="Q88" s="309"/>
      <c r="R88" s="309"/>
      <c r="S88" s="309"/>
      <c r="T88" s="328"/>
      <c r="U88" s="5"/>
      <c r="V88" s="5"/>
      <c r="W88" s="5"/>
      <c r="X88" s="5"/>
      <c r="Y88" s="5"/>
      <c r="Z88" s="5"/>
    </row>
    <row r="89" spans="1:26" ht="14.25" customHeight="1">
      <c r="A89" s="309"/>
      <c r="B89" s="1235"/>
      <c r="C89" s="309"/>
      <c r="D89" s="309"/>
      <c r="E89" s="309"/>
      <c r="F89" s="309"/>
      <c r="G89" s="309"/>
      <c r="H89" s="546"/>
      <c r="I89" s="309"/>
      <c r="J89" s="309"/>
      <c r="K89" s="1020"/>
      <c r="L89" s="309"/>
      <c r="M89" s="882"/>
      <c r="N89" s="323"/>
      <c r="O89" s="325"/>
      <c r="P89" s="326"/>
      <c r="Q89" s="309"/>
      <c r="R89" s="309"/>
      <c r="S89" s="309"/>
      <c r="T89" s="328"/>
      <c r="U89" s="5"/>
      <c r="V89" s="5"/>
      <c r="W89" s="5"/>
      <c r="X89" s="5"/>
      <c r="Y89" s="5"/>
      <c r="Z89" s="5"/>
    </row>
    <row r="90" spans="1:26" ht="14.25" customHeight="1">
      <c r="A90" s="309"/>
      <c r="B90" s="309" t="s">
        <v>392</v>
      </c>
      <c r="C90" s="309"/>
      <c r="D90" s="309"/>
      <c r="E90" s="309"/>
      <c r="F90" s="309"/>
      <c r="G90" s="309"/>
      <c r="H90" s="546"/>
      <c r="I90" s="309"/>
      <c r="J90" s="309"/>
      <c r="K90" s="1020"/>
      <c r="L90" s="309"/>
      <c r="M90" s="882">
        <f>0.8*M86+0.2*M88</f>
        <v>1.2167187333041904E-2</v>
      </c>
      <c r="N90" s="323"/>
      <c r="O90" s="325"/>
      <c r="P90" s="326"/>
      <c r="Q90" s="309"/>
      <c r="R90" s="309"/>
      <c r="S90" s="309"/>
      <c r="T90" s="328"/>
      <c r="U90" s="5"/>
      <c r="V90" s="5"/>
      <c r="W90" s="5"/>
      <c r="X90" s="5"/>
      <c r="Y90" s="5"/>
      <c r="Z90" s="5"/>
    </row>
    <row r="91" spans="1:26" ht="12.75" customHeight="1">
      <c r="A91" s="5"/>
      <c r="B91" s="309"/>
      <c r="C91" s="5"/>
      <c r="D91" s="5"/>
      <c r="E91" s="5"/>
      <c r="F91" s="5"/>
      <c r="G91" s="5"/>
      <c r="H91" s="68"/>
      <c r="I91" s="5"/>
      <c r="J91" s="5"/>
      <c r="K91" s="5"/>
      <c r="L91" s="60" t="s">
        <v>393</v>
      </c>
      <c r="M91" s="61">
        <f>M78-M90</f>
        <v>-2.0157187333041907E-2</v>
      </c>
      <c r="N91" s="5"/>
      <c r="O91" s="57"/>
      <c r="P91" s="5"/>
      <c r="Q91" s="5"/>
      <c r="R91" s="5"/>
      <c r="S91" s="5"/>
      <c r="T91" s="5"/>
      <c r="U91" s="5"/>
      <c r="V91" s="5"/>
      <c r="W91" s="5"/>
      <c r="X91" s="5"/>
      <c r="Y91" s="5"/>
      <c r="Z91" s="5"/>
    </row>
    <row r="92" spans="1:26" ht="12.75" customHeight="1">
      <c r="A92" s="5"/>
      <c r="B92" s="309"/>
      <c r="C92" s="5"/>
      <c r="D92" s="5"/>
      <c r="E92" s="5"/>
      <c r="F92" s="5"/>
      <c r="G92" s="5"/>
      <c r="H92" s="68"/>
      <c r="I92" s="5"/>
      <c r="J92" s="5"/>
      <c r="K92" s="5"/>
      <c r="L92" s="60"/>
      <c r="M92" s="61"/>
      <c r="N92" s="5"/>
      <c r="O92" s="57"/>
      <c r="P92" s="5"/>
      <c r="Q92" s="5"/>
      <c r="R92" s="5"/>
      <c r="S92" s="5"/>
      <c r="T92" s="5"/>
      <c r="U92" s="5"/>
      <c r="V92" s="5"/>
      <c r="W92" s="5"/>
      <c r="X92" s="5"/>
      <c r="Y92" s="5"/>
      <c r="Z92" s="5"/>
    </row>
    <row r="93" spans="1:26" ht="12.75" customHeight="1">
      <c r="A93" s="5"/>
      <c r="B93" s="1235" t="s">
        <v>444</v>
      </c>
      <c r="C93" s="5"/>
      <c r="D93" s="5"/>
      <c r="E93" s="5"/>
      <c r="F93" s="5"/>
      <c r="G93" s="5"/>
      <c r="H93" s="68"/>
      <c r="I93" s="5"/>
      <c r="J93" s="5"/>
      <c r="K93" s="5"/>
      <c r="L93" s="60"/>
      <c r="M93" s="61">
        <v>-1.7000000000000001E-2</v>
      </c>
      <c r="N93" s="323"/>
      <c r="O93" s="57"/>
      <c r="P93" s="5"/>
      <c r="Q93" s="5"/>
      <c r="R93" s="5"/>
      <c r="S93" s="5"/>
      <c r="T93" s="5"/>
      <c r="U93" s="5"/>
      <c r="V93" s="5"/>
      <c r="W93" s="5"/>
      <c r="X93" s="5"/>
      <c r="Y93" s="5"/>
      <c r="Z93" s="5"/>
    </row>
    <row r="94" spans="1:26" ht="12.75" customHeight="1">
      <c r="A94" s="5"/>
      <c r="B94" s="309"/>
      <c r="C94" s="5"/>
      <c r="D94" s="5"/>
      <c r="E94" s="5"/>
      <c r="F94" s="5"/>
      <c r="G94" s="5"/>
      <c r="H94" s="68"/>
      <c r="I94" s="5"/>
      <c r="J94" s="5"/>
      <c r="K94" s="5"/>
      <c r="L94" s="60"/>
      <c r="M94" s="61"/>
      <c r="N94" s="5"/>
      <c r="O94" s="57"/>
      <c r="P94" s="5"/>
      <c r="Q94" s="5"/>
      <c r="R94" s="5"/>
      <c r="S94" s="5"/>
      <c r="T94" s="5"/>
      <c r="U94" s="5"/>
      <c r="V94" s="5"/>
      <c r="W94" s="5"/>
      <c r="X94" s="5"/>
      <c r="Y94" s="5"/>
      <c r="Z94" s="5"/>
    </row>
    <row r="95" spans="1:26" ht="12.75" customHeight="1">
      <c r="A95" s="5"/>
      <c r="B95" s="309" t="s">
        <v>445</v>
      </c>
      <c r="C95" s="52"/>
      <c r="D95" s="5"/>
      <c r="E95" s="5"/>
      <c r="F95" s="5"/>
      <c r="G95" s="5"/>
      <c r="H95" s="306"/>
      <c r="I95" s="5"/>
      <c r="J95" s="5"/>
      <c r="K95" s="5"/>
      <c r="L95" s="5"/>
      <c r="M95" s="61">
        <f>(0.6*M93)+(0.4*M88)</f>
        <v>-8.0000000000000002E-3</v>
      </c>
      <c r="N95" s="5"/>
      <c r="O95" s="57"/>
      <c r="P95" s="5"/>
      <c r="Q95" s="5"/>
      <c r="R95" s="5"/>
      <c r="S95" s="5"/>
      <c r="T95" s="5"/>
      <c r="U95" s="5"/>
      <c r="V95" s="5"/>
      <c r="W95" s="5"/>
      <c r="X95" s="5"/>
      <c r="Y95" s="5"/>
      <c r="Z95" s="5"/>
    </row>
    <row r="96" spans="1:26" ht="12.75" customHeight="1">
      <c r="A96" s="5"/>
      <c r="B96" s="309"/>
      <c r="C96" s="52"/>
      <c r="D96" s="5"/>
      <c r="E96" s="5"/>
      <c r="F96" s="5"/>
      <c r="G96" s="5"/>
      <c r="H96" s="306"/>
      <c r="I96" s="5"/>
      <c r="J96" s="5"/>
      <c r="K96" s="5"/>
      <c r="L96" s="60" t="s">
        <v>393</v>
      </c>
      <c r="M96" s="61">
        <f>M78-M95</f>
        <v>9.9999999999995925E-6</v>
      </c>
      <c r="N96" s="5"/>
      <c r="O96" s="57"/>
      <c r="P96" s="5"/>
      <c r="Q96" s="5"/>
      <c r="R96" s="5"/>
      <c r="S96" s="5"/>
      <c r="T96" s="5"/>
      <c r="U96" s="5"/>
      <c r="V96" s="5"/>
      <c r="W96" s="5"/>
      <c r="X96" s="5"/>
      <c r="Y96" s="5"/>
      <c r="Z96" s="5"/>
    </row>
    <row r="97" spans="1:26" ht="12.75" customHeight="1">
      <c r="A97" s="5"/>
      <c r="B97" s="5"/>
      <c r="C97" s="5"/>
      <c r="D97" s="5"/>
      <c r="E97" s="5"/>
      <c r="F97" s="5"/>
      <c r="G97" s="5"/>
      <c r="H97" s="306"/>
      <c r="I97" s="5"/>
      <c r="J97" s="5"/>
      <c r="K97" s="5"/>
      <c r="L97" s="5"/>
      <c r="M97" s="5"/>
      <c r="N97" s="5"/>
      <c r="O97" s="57"/>
      <c r="P97" s="5"/>
      <c r="Q97" s="5"/>
      <c r="R97" s="5"/>
      <c r="S97" s="5"/>
      <c r="T97" s="5"/>
      <c r="U97" s="5"/>
      <c r="V97" s="5"/>
      <c r="W97" s="5"/>
      <c r="X97" s="5"/>
      <c r="Y97" s="5"/>
      <c r="Z97" s="5"/>
    </row>
    <row r="98" spans="1:26" ht="12.75" customHeight="1">
      <c r="A98" s="5"/>
      <c r="B98" s="5"/>
      <c r="C98" s="5"/>
      <c r="D98" s="5"/>
      <c r="E98" s="5"/>
      <c r="F98" s="5"/>
      <c r="G98" s="5"/>
      <c r="H98" s="306"/>
      <c r="I98" s="5"/>
      <c r="J98" s="5"/>
      <c r="K98" s="5"/>
      <c r="L98" s="5"/>
      <c r="M98" s="5"/>
      <c r="N98" s="5"/>
      <c r="O98" s="57"/>
      <c r="P98" s="5"/>
      <c r="Q98" s="5"/>
      <c r="R98" s="5"/>
      <c r="S98" s="5"/>
      <c r="T98" s="5"/>
      <c r="U98" s="5"/>
      <c r="V98" s="5"/>
      <c r="W98" s="5"/>
      <c r="X98" s="5"/>
      <c r="Y98" s="5"/>
      <c r="Z98" s="5"/>
    </row>
    <row r="99" spans="1:26" ht="12.75" customHeight="1">
      <c r="A99" s="5"/>
      <c r="B99" s="5"/>
      <c r="C99" s="5"/>
      <c r="D99" s="5"/>
      <c r="E99" s="5"/>
      <c r="F99" s="5"/>
      <c r="G99" s="5"/>
      <c r="H99" s="306"/>
      <c r="I99" s="5"/>
      <c r="J99" s="5"/>
      <c r="K99" s="5" t="s">
        <v>339</v>
      </c>
      <c r="L99" s="5"/>
      <c r="M99" s="5"/>
      <c r="N99" s="5"/>
      <c r="O99" s="57"/>
      <c r="P99" s="5"/>
      <c r="Q99" s="5"/>
      <c r="R99" s="5"/>
      <c r="S99" s="5"/>
      <c r="T99" s="5"/>
      <c r="U99" s="5"/>
      <c r="V99" s="5"/>
      <c r="W99" s="5"/>
      <c r="X99" s="5"/>
      <c r="Y99" s="5"/>
      <c r="Z99" s="5"/>
    </row>
    <row r="100" spans="1:26" ht="12.75" customHeight="1">
      <c r="A100" s="5"/>
      <c r="B100" s="5"/>
      <c r="C100" s="5"/>
      <c r="D100" s="5"/>
      <c r="E100" s="5"/>
      <c r="F100" s="5"/>
      <c r="G100" s="5"/>
      <c r="H100" s="306"/>
      <c r="I100" s="5"/>
      <c r="J100" s="5"/>
      <c r="K100" s="5"/>
      <c r="L100" s="5"/>
      <c r="M100" s="5"/>
      <c r="N100" s="5"/>
      <c r="O100" s="57"/>
      <c r="P100" s="5"/>
      <c r="Q100" s="5"/>
      <c r="R100" s="5"/>
      <c r="S100" s="5"/>
      <c r="T100" s="5"/>
      <c r="U100" s="5"/>
      <c r="V100" s="5"/>
      <c r="W100" s="5"/>
      <c r="X100" s="5"/>
      <c r="Y100" s="5"/>
      <c r="Z100" s="5"/>
    </row>
    <row r="101" spans="1:26" ht="12.75" customHeight="1">
      <c r="A101" s="5"/>
      <c r="B101" s="5"/>
      <c r="C101" s="5"/>
      <c r="D101" s="5"/>
      <c r="E101" s="5"/>
      <c r="F101" s="5"/>
      <c r="G101" s="5"/>
      <c r="H101" s="306"/>
      <c r="I101" s="5"/>
      <c r="J101" s="5"/>
      <c r="K101" s="5"/>
      <c r="L101" s="5"/>
      <c r="M101" s="5"/>
      <c r="N101" s="5"/>
      <c r="O101" s="57"/>
      <c r="P101" s="5"/>
      <c r="Q101" s="5"/>
      <c r="R101" s="5"/>
      <c r="S101" s="5"/>
      <c r="T101" s="5"/>
      <c r="U101" s="5"/>
      <c r="V101" s="5"/>
      <c r="W101" s="5"/>
      <c r="X101" s="5"/>
      <c r="Y101" s="5"/>
      <c r="Z101" s="5"/>
    </row>
    <row r="102" spans="1:26" ht="12.75" customHeight="1">
      <c r="A102" s="5"/>
      <c r="B102" s="5"/>
      <c r="C102" s="5"/>
      <c r="D102" s="5"/>
      <c r="E102" s="5"/>
      <c r="F102" s="5"/>
      <c r="G102" s="5"/>
      <c r="H102" s="306"/>
      <c r="I102" s="5"/>
      <c r="J102" s="5"/>
      <c r="K102" s="5"/>
      <c r="L102" s="5"/>
      <c r="M102" s="5"/>
      <c r="N102" s="5"/>
      <c r="O102" s="57"/>
      <c r="P102" s="5"/>
      <c r="Q102" s="5"/>
      <c r="R102" s="5"/>
      <c r="S102" s="5"/>
      <c r="T102" s="5"/>
      <c r="U102" s="5"/>
      <c r="V102" s="5"/>
      <c r="W102" s="5"/>
      <c r="X102" s="5"/>
      <c r="Y102" s="5"/>
      <c r="Z102" s="5"/>
    </row>
    <row r="103" spans="1:26" ht="12.75" customHeight="1">
      <c r="A103" s="5"/>
      <c r="B103" s="5"/>
      <c r="C103" s="5"/>
      <c r="D103" s="5"/>
      <c r="E103" s="5"/>
      <c r="F103" s="5"/>
      <c r="G103" s="5"/>
      <c r="H103" s="1226"/>
      <c r="I103" s="5"/>
      <c r="J103" s="5"/>
      <c r="K103" s="5"/>
      <c r="L103" s="5"/>
      <c r="M103" s="5"/>
      <c r="N103" s="5"/>
      <c r="O103" s="57"/>
      <c r="P103" s="5"/>
      <c r="Q103" s="5"/>
      <c r="R103" s="5"/>
      <c r="S103" s="5"/>
      <c r="T103" s="5"/>
      <c r="U103" s="5"/>
      <c r="V103" s="5"/>
      <c r="W103" s="5"/>
      <c r="X103" s="5"/>
      <c r="Y103" s="5"/>
      <c r="Z103" s="5"/>
    </row>
    <row r="104" spans="1:26" ht="12.75" customHeight="1">
      <c r="A104" s="5"/>
      <c r="B104" s="5"/>
      <c r="C104" s="5"/>
      <c r="D104" s="5"/>
      <c r="E104" s="5"/>
      <c r="F104" s="5"/>
      <c r="G104" s="5"/>
      <c r="H104" s="306"/>
      <c r="I104" s="5"/>
      <c r="J104" s="5"/>
      <c r="K104" s="5"/>
      <c r="L104" s="5"/>
      <c r="M104" s="5"/>
      <c r="N104" s="5"/>
      <c r="O104" s="57"/>
      <c r="P104" s="5"/>
      <c r="Q104" s="5"/>
      <c r="R104" s="5"/>
      <c r="S104" s="5"/>
      <c r="T104" s="5"/>
      <c r="U104" s="5"/>
      <c r="V104" s="5"/>
      <c r="W104" s="5"/>
      <c r="X104" s="5"/>
      <c r="Y104" s="5"/>
      <c r="Z104" s="5"/>
    </row>
    <row r="105" spans="1:26" ht="12.75" customHeight="1">
      <c r="A105" s="5"/>
      <c r="B105" s="5"/>
      <c r="C105" s="5"/>
      <c r="D105" s="5"/>
      <c r="E105" s="5"/>
      <c r="F105" s="5"/>
      <c r="G105" s="5"/>
      <c r="H105" s="306"/>
      <c r="I105" s="5"/>
      <c r="J105" s="5"/>
      <c r="K105" s="5"/>
      <c r="L105" s="5"/>
      <c r="M105" s="5"/>
      <c r="N105" s="5"/>
      <c r="O105" s="57"/>
      <c r="P105" s="5"/>
      <c r="Q105" s="5"/>
      <c r="R105" s="5"/>
      <c r="S105" s="5"/>
      <c r="T105" s="5"/>
      <c r="U105" s="5"/>
      <c r="V105" s="5"/>
      <c r="W105" s="5"/>
      <c r="X105" s="5"/>
      <c r="Y105" s="5"/>
      <c r="Z105" s="5"/>
    </row>
    <row r="106" spans="1:26" ht="12.75" customHeight="1">
      <c r="A106" s="5"/>
      <c r="B106" s="5"/>
      <c r="C106" s="5"/>
      <c r="D106" s="5"/>
      <c r="E106" s="5"/>
      <c r="F106" s="5"/>
      <c r="G106" s="5"/>
      <c r="H106" s="306"/>
      <c r="I106" s="5"/>
      <c r="J106" s="5"/>
      <c r="K106" s="5"/>
      <c r="L106" s="5"/>
      <c r="M106" s="5"/>
      <c r="N106" s="5"/>
      <c r="O106" s="57"/>
      <c r="P106" s="5"/>
      <c r="Q106" s="5"/>
      <c r="R106" s="5"/>
      <c r="S106" s="5"/>
      <c r="T106" s="5"/>
      <c r="U106" s="5"/>
      <c r="V106" s="5"/>
      <c r="W106" s="5"/>
      <c r="X106" s="5"/>
      <c r="Y106" s="5"/>
      <c r="Z106" s="5"/>
    </row>
    <row r="107" spans="1:26" ht="12.75" customHeight="1">
      <c r="A107" s="5"/>
      <c r="B107" s="5"/>
      <c r="C107" s="5"/>
      <c r="D107" s="5"/>
      <c r="E107" s="5"/>
      <c r="F107" s="5"/>
      <c r="G107" s="5"/>
      <c r="H107" s="306"/>
      <c r="I107" s="5"/>
      <c r="J107" s="5"/>
      <c r="K107" s="5"/>
      <c r="L107" s="5"/>
      <c r="M107" s="5"/>
      <c r="N107" s="5"/>
      <c r="O107" s="57"/>
      <c r="P107" s="5"/>
      <c r="Q107" s="5"/>
      <c r="R107" s="5"/>
      <c r="S107" s="5"/>
      <c r="T107" s="5"/>
      <c r="U107" s="5"/>
      <c r="V107" s="5"/>
      <c r="W107" s="5"/>
      <c r="X107" s="5"/>
      <c r="Y107" s="5"/>
      <c r="Z107" s="5"/>
    </row>
    <row r="108" spans="1:26" ht="12.75" customHeight="1">
      <c r="A108" s="5"/>
      <c r="B108" s="5"/>
      <c r="C108" s="5"/>
      <c r="D108" s="5"/>
      <c r="E108" s="5"/>
      <c r="F108" s="5"/>
      <c r="G108" s="5"/>
      <c r="H108" s="306"/>
      <c r="I108" s="5"/>
      <c r="J108" s="5"/>
      <c r="K108" s="5"/>
      <c r="L108" s="5"/>
      <c r="M108" s="5"/>
      <c r="N108" s="5"/>
      <c r="O108" s="57"/>
      <c r="P108" s="5"/>
      <c r="Q108" s="5"/>
      <c r="R108" s="5"/>
      <c r="S108" s="5"/>
      <c r="T108" s="5"/>
      <c r="U108" s="5"/>
      <c r="V108" s="5"/>
      <c r="W108" s="5"/>
      <c r="X108" s="5"/>
      <c r="Y108" s="5"/>
      <c r="Z108" s="5"/>
    </row>
    <row r="109" spans="1:26" ht="12.75" customHeight="1">
      <c r="A109" s="5"/>
      <c r="B109" s="5"/>
      <c r="C109" s="5"/>
      <c r="D109" s="5"/>
      <c r="E109" s="5"/>
      <c r="F109" s="5"/>
      <c r="G109" s="5"/>
      <c r="H109" s="306"/>
      <c r="I109" s="5"/>
      <c r="J109" s="5"/>
      <c r="K109" s="5"/>
      <c r="L109" s="5"/>
      <c r="M109" s="5"/>
      <c r="N109" s="5"/>
      <c r="O109" s="57"/>
      <c r="P109" s="5"/>
      <c r="Q109" s="5"/>
      <c r="R109" s="5"/>
      <c r="S109" s="5"/>
      <c r="T109" s="5"/>
      <c r="U109" s="5"/>
      <c r="V109" s="5"/>
      <c r="W109" s="5"/>
      <c r="X109" s="5"/>
      <c r="Y109" s="5"/>
      <c r="Z109" s="5"/>
    </row>
    <row r="110" spans="1:26" ht="12.75" customHeight="1">
      <c r="A110" s="5"/>
      <c r="B110" s="5"/>
      <c r="C110" s="5"/>
      <c r="D110" s="5"/>
      <c r="E110" s="5"/>
      <c r="F110" s="5"/>
      <c r="G110" s="5"/>
      <c r="H110" s="306"/>
      <c r="I110" s="5"/>
      <c r="J110" s="5"/>
      <c r="K110" s="5"/>
      <c r="L110" s="5"/>
      <c r="M110" s="5"/>
      <c r="N110" s="5"/>
      <c r="O110" s="57"/>
      <c r="P110" s="5"/>
      <c r="Q110" s="5"/>
      <c r="R110" s="5"/>
      <c r="S110" s="5"/>
      <c r="T110" s="5"/>
      <c r="U110" s="5"/>
      <c r="V110" s="5"/>
      <c r="W110" s="5"/>
      <c r="X110" s="5"/>
      <c r="Y110" s="5"/>
      <c r="Z110" s="5"/>
    </row>
    <row r="111" spans="1:26" ht="12.75" customHeight="1">
      <c r="A111" s="5"/>
      <c r="B111" s="5"/>
      <c r="C111" s="5"/>
      <c r="D111" s="5"/>
      <c r="E111" s="5"/>
      <c r="F111" s="5"/>
      <c r="G111" s="5"/>
      <c r="H111" s="306"/>
      <c r="I111" s="5"/>
      <c r="J111" s="5"/>
      <c r="K111" s="5"/>
      <c r="L111" s="5"/>
      <c r="M111" s="5"/>
      <c r="N111" s="5"/>
      <c r="O111" s="57"/>
      <c r="P111" s="5"/>
      <c r="Q111" s="5"/>
      <c r="R111" s="5"/>
      <c r="S111" s="5"/>
      <c r="T111" s="5"/>
      <c r="U111" s="5"/>
      <c r="V111" s="5"/>
      <c r="W111" s="5"/>
      <c r="X111" s="5"/>
      <c r="Y111" s="5"/>
      <c r="Z111" s="5"/>
    </row>
    <row r="112" spans="1:26" ht="12.75" customHeight="1">
      <c r="A112" s="5"/>
      <c r="B112" s="5"/>
      <c r="C112" s="5"/>
      <c r="D112" s="5"/>
      <c r="E112" s="5"/>
      <c r="F112" s="5"/>
      <c r="G112" s="5"/>
      <c r="H112" s="306"/>
      <c r="I112" s="5"/>
      <c r="J112" s="5"/>
      <c r="K112" s="5"/>
      <c r="L112" s="5"/>
      <c r="M112" s="5"/>
      <c r="N112" s="5"/>
      <c r="O112" s="57"/>
      <c r="P112" s="5"/>
      <c r="Q112" s="5"/>
      <c r="R112" s="5"/>
      <c r="S112" s="5"/>
      <c r="T112" s="5"/>
      <c r="U112" s="5"/>
      <c r="V112" s="5"/>
      <c r="W112" s="5"/>
      <c r="X112" s="5"/>
      <c r="Y112" s="5"/>
      <c r="Z112" s="5"/>
    </row>
    <row r="113" spans="1:26" ht="12.75" customHeight="1">
      <c r="A113" s="5"/>
      <c r="B113" s="5"/>
      <c r="C113" s="5"/>
      <c r="D113" s="5"/>
      <c r="E113" s="5"/>
      <c r="F113" s="5"/>
      <c r="G113" s="5"/>
      <c r="H113" s="306"/>
      <c r="I113" s="5"/>
      <c r="J113" s="5"/>
      <c r="K113" s="5"/>
      <c r="L113" s="5"/>
      <c r="M113" s="5"/>
      <c r="N113" s="5"/>
      <c r="O113" s="57"/>
      <c r="P113" s="5"/>
      <c r="Q113" s="5"/>
      <c r="R113" s="5"/>
      <c r="S113" s="5"/>
      <c r="T113" s="5"/>
      <c r="U113" s="5"/>
      <c r="V113" s="5"/>
      <c r="W113" s="5"/>
      <c r="X113" s="5"/>
      <c r="Y113" s="5"/>
      <c r="Z113" s="5"/>
    </row>
    <row r="114" spans="1:26" ht="12.75" customHeight="1">
      <c r="A114" s="5"/>
      <c r="B114" s="5"/>
      <c r="C114" s="5"/>
      <c r="D114" s="5"/>
      <c r="E114" s="5"/>
      <c r="F114" s="5"/>
      <c r="G114" s="5"/>
      <c r="H114" s="306"/>
      <c r="I114" s="5"/>
      <c r="J114" s="5"/>
      <c r="K114" s="5"/>
      <c r="L114" s="5"/>
      <c r="M114" s="5"/>
      <c r="N114" s="5"/>
      <c r="O114" s="57"/>
      <c r="P114" s="5"/>
      <c r="Q114" s="5"/>
      <c r="R114" s="5"/>
      <c r="S114" s="5"/>
      <c r="T114" s="5"/>
      <c r="U114" s="5"/>
      <c r="V114" s="5"/>
      <c r="W114" s="5"/>
      <c r="X114" s="5"/>
      <c r="Y114" s="5"/>
      <c r="Z114" s="5"/>
    </row>
    <row r="115" spans="1:26" ht="12.75" customHeight="1">
      <c r="A115" s="5"/>
      <c r="B115" s="5"/>
      <c r="C115" s="5"/>
      <c r="D115" s="5"/>
      <c r="E115" s="5"/>
      <c r="F115" s="5"/>
      <c r="G115" s="5"/>
      <c r="H115" s="306"/>
      <c r="I115" s="5"/>
      <c r="J115" s="5"/>
      <c r="K115" s="5"/>
      <c r="L115" s="5"/>
      <c r="M115" s="5"/>
      <c r="N115" s="5"/>
      <c r="O115" s="57"/>
      <c r="P115" s="5"/>
      <c r="Q115" s="5"/>
      <c r="R115" s="5"/>
      <c r="S115" s="5"/>
      <c r="T115" s="5"/>
      <c r="U115" s="5"/>
      <c r="V115" s="5"/>
      <c r="W115" s="5"/>
      <c r="X115" s="5"/>
      <c r="Y115" s="5"/>
      <c r="Z115" s="5"/>
    </row>
    <row r="116" spans="1:26" ht="12.75" customHeight="1">
      <c r="A116" s="5"/>
      <c r="B116" s="5"/>
      <c r="C116" s="5"/>
      <c r="D116" s="5"/>
      <c r="E116" s="5"/>
      <c r="F116" s="5"/>
      <c r="G116" s="5"/>
      <c r="H116" s="306"/>
      <c r="I116" s="5"/>
      <c r="J116" s="5"/>
      <c r="K116" s="5"/>
      <c r="L116" s="5"/>
      <c r="M116" s="5"/>
      <c r="N116" s="5"/>
      <c r="O116" s="57"/>
      <c r="P116" s="5"/>
      <c r="Q116" s="5"/>
      <c r="R116" s="5"/>
      <c r="S116" s="5"/>
      <c r="T116" s="5"/>
      <c r="U116" s="5"/>
      <c r="V116" s="5"/>
      <c r="W116" s="5"/>
      <c r="X116" s="5"/>
      <c r="Y116" s="5"/>
      <c r="Z116" s="5"/>
    </row>
    <row r="117" spans="1:26" ht="12.75" customHeight="1">
      <c r="A117" s="5"/>
      <c r="B117" s="5"/>
      <c r="C117" s="5"/>
      <c r="D117" s="5"/>
      <c r="E117" s="5"/>
      <c r="F117" s="5"/>
      <c r="G117" s="5"/>
      <c r="H117" s="306"/>
      <c r="I117" s="5"/>
      <c r="J117" s="5"/>
      <c r="K117" s="5"/>
      <c r="L117" s="5"/>
      <c r="M117" s="5"/>
      <c r="N117" s="5"/>
      <c r="O117" s="57"/>
      <c r="P117" s="5"/>
      <c r="Q117" s="5"/>
      <c r="R117" s="5"/>
      <c r="S117" s="5"/>
      <c r="T117" s="5"/>
      <c r="U117" s="5"/>
      <c r="V117" s="5"/>
      <c r="W117" s="5"/>
      <c r="X117" s="5"/>
      <c r="Y117" s="5"/>
      <c r="Z117" s="5"/>
    </row>
    <row r="118" spans="1:26" ht="12.75" customHeight="1">
      <c r="A118" s="5"/>
      <c r="B118" s="5"/>
      <c r="C118" s="5"/>
      <c r="D118" s="5"/>
      <c r="E118" s="5"/>
      <c r="F118" s="5"/>
      <c r="G118" s="5"/>
      <c r="H118" s="306"/>
      <c r="I118" s="5"/>
      <c r="J118" s="5"/>
      <c r="K118" s="5"/>
      <c r="L118" s="5"/>
      <c r="M118" s="5"/>
      <c r="N118" s="5"/>
      <c r="O118" s="57"/>
      <c r="P118" s="5"/>
      <c r="Q118" s="5"/>
      <c r="R118" s="5"/>
      <c r="S118" s="5"/>
      <c r="T118" s="5"/>
      <c r="U118" s="5"/>
      <c r="V118" s="5"/>
      <c r="W118" s="5"/>
      <c r="X118" s="5"/>
      <c r="Y118" s="5"/>
      <c r="Z118" s="5"/>
    </row>
    <row r="119" spans="1:26" ht="12.75" customHeight="1">
      <c r="A119" s="5"/>
      <c r="B119" s="5"/>
      <c r="C119" s="5"/>
      <c r="D119" s="5"/>
      <c r="E119" s="5"/>
      <c r="F119" s="5"/>
      <c r="G119" s="5"/>
      <c r="H119" s="306"/>
      <c r="I119" s="5"/>
      <c r="J119" s="5"/>
      <c r="K119" s="5"/>
      <c r="L119" s="5"/>
      <c r="M119" s="5"/>
      <c r="N119" s="5"/>
      <c r="O119" s="57"/>
      <c r="P119" s="5"/>
      <c r="Q119" s="5"/>
      <c r="R119" s="5"/>
      <c r="S119" s="5"/>
      <c r="T119" s="5"/>
      <c r="U119" s="5"/>
      <c r="V119" s="5"/>
      <c r="W119" s="5"/>
      <c r="X119" s="5"/>
      <c r="Y119" s="5"/>
      <c r="Z119" s="5"/>
    </row>
    <row r="120" spans="1:26" ht="12.75" customHeight="1">
      <c r="A120" s="5"/>
      <c r="B120" s="5"/>
      <c r="C120" s="5"/>
      <c r="D120" s="5"/>
      <c r="E120" s="5"/>
      <c r="F120" s="5"/>
      <c r="G120" s="5"/>
      <c r="H120" s="306"/>
      <c r="I120" s="5"/>
      <c r="J120" s="5"/>
      <c r="K120" s="5"/>
      <c r="L120" s="5"/>
      <c r="M120" s="5"/>
      <c r="N120" s="5"/>
      <c r="O120" s="57"/>
      <c r="P120" s="5"/>
      <c r="Q120" s="5"/>
      <c r="R120" s="5"/>
      <c r="S120" s="5"/>
      <c r="T120" s="5"/>
      <c r="U120" s="5"/>
      <c r="V120" s="5"/>
      <c r="W120" s="5"/>
      <c r="X120" s="5"/>
      <c r="Y120" s="5"/>
      <c r="Z120" s="5"/>
    </row>
    <row r="121" spans="1:26" ht="12.75" customHeight="1">
      <c r="A121" s="5"/>
      <c r="B121" s="5"/>
      <c r="C121" s="5"/>
      <c r="D121" s="5"/>
      <c r="E121" s="5"/>
      <c r="F121" s="5"/>
      <c r="G121" s="5"/>
      <c r="H121" s="306"/>
      <c r="I121" s="5"/>
      <c r="J121" s="5"/>
      <c r="K121" s="5"/>
      <c r="L121" s="5"/>
      <c r="M121" s="5"/>
      <c r="N121" s="5"/>
      <c r="O121" s="57"/>
      <c r="P121" s="5"/>
      <c r="Q121" s="5"/>
      <c r="R121" s="5"/>
      <c r="S121" s="5"/>
      <c r="T121" s="5"/>
      <c r="U121" s="5"/>
      <c r="V121" s="5"/>
      <c r="W121" s="5"/>
      <c r="X121" s="5"/>
      <c r="Y121" s="5"/>
      <c r="Z121" s="5"/>
    </row>
    <row r="122" spans="1:26" ht="12.75" customHeight="1">
      <c r="A122" s="5"/>
      <c r="B122" s="5"/>
      <c r="C122" s="5"/>
      <c r="D122" s="5"/>
      <c r="E122" s="5"/>
      <c r="F122" s="5"/>
      <c r="G122" s="5"/>
      <c r="H122" s="306"/>
      <c r="I122" s="5"/>
      <c r="J122" s="5"/>
      <c r="K122" s="5"/>
      <c r="L122" s="5"/>
      <c r="M122" s="5"/>
      <c r="N122" s="5"/>
      <c r="O122" s="57"/>
      <c r="P122" s="5"/>
      <c r="Q122" s="5"/>
      <c r="R122" s="5"/>
      <c r="S122" s="5"/>
      <c r="T122" s="5"/>
      <c r="U122" s="5"/>
      <c r="V122" s="5"/>
      <c r="W122" s="5"/>
      <c r="X122" s="5"/>
      <c r="Y122" s="5"/>
      <c r="Z122" s="5"/>
    </row>
    <row r="123" spans="1:26" ht="12.75" customHeight="1">
      <c r="A123" s="5"/>
      <c r="B123" s="5"/>
      <c r="C123" s="5"/>
      <c r="D123" s="5"/>
      <c r="E123" s="5"/>
      <c r="F123" s="5"/>
      <c r="G123" s="5"/>
      <c r="H123" s="306"/>
      <c r="I123" s="5"/>
      <c r="J123" s="5"/>
      <c r="K123" s="5"/>
      <c r="L123" s="5"/>
      <c r="M123" s="5"/>
      <c r="N123" s="5"/>
      <c r="O123" s="57"/>
      <c r="P123" s="5"/>
      <c r="Q123" s="5"/>
      <c r="R123" s="5"/>
      <c r="S123" s="5"/>
      <c r="T123" s="5"/>
      <c r="U123" s="5"/>
      <c r="V123" s="5"/>
      <c r="W123" s="5"/>
      <c r="X123" s="5"/>
      <c r="Y123" s="5"/>
      <c r="Z123" s="5"/>
    </row>
    <row r="124" spans="1:26" ht="12.75" customHeight="1">
      <c r="A124" s="5"/>
      <c r="B124" s="5"/>
      <c r="C124" s="5"/>
      <c r="D124" s="5"/>
      <c r="E124" s="5"/>
      <c r="F124" s="5"/>
      <c r="G124" s="5"/>
      <c r="H124" s="306"/>
      <c r="I124" s="5"/>
      <c r="J124" s="5"/>
      <c r="K124" s="5"/>
      <c r="L124" s="5"/>
      <c r="M124" s="5"/>
      <c r="N124" s="5"/>
      <c r="O124" s="57"/>
      <c r="P124" s="5"/>
      <c r="Q124" s="5"/>
      <c r="R124" s="5"/>
      <c r="S124" s="5"/>
      <c r="T124" s="5"/>
      <c r="U124" s="5"/>
      <c r="V124" s="5"/>
      <c r="W124" s="5"/>
      <c r="X124" s="5"/>
      <c r="Y124" s="5"/>
      <c r="Z124" s="5"/>
    </row>
    <row r="125" spans="1:26" ht="12.75" customHeight="1">
      <c r="A125" s="5"/>
      <c r="B125" s="5"/>
      <c r="C125" s="5"/>
      <c r="D125" s="5"/>
      <c r="E125" s="5"/>
      <c r="F125" s="5"/>
      <c r="G125" s="5"/>
      <c r="H125" s="306"/>
      <c r="I125" s="5"/>
      <c r="J125" s="5"/>
      <c r="K125" s="5"/>
      <c r="L125" s="5"/>
      <c r="M125" s="5"/>
      <c r="N125" s="5"/>
      <c r="O125" s="57"/>
      <c r="P125" s="5"/>
      <c r="Q125" s="5"/>
      <c r="R125" s="5"/>
      <c r="S125" s="5"/>
      <c r="T125" s="5"/>
      <c r="U125" s="5"/>
      <c r="V125" s="5"/>
      <c r="W125" s="5"/>
      <c r="X125" s="5"/>
      <c r="Y125" s="5"/>
      <c r="Z125" s="5"/>
    </row>
    <row r="126" spans="1:26" ht="12.75" customHeight="1">
      <c r="A126" s="5"/>
      <c r="B126" s="5"/>
      <c r="C126" s="5"/>
      <c r="D126" s="5"/>
      <c r="E126" s="5"/>
      <c r="F126" s="5"/>
      <c r="G126" s="5"/>
      <c r="H126" s="306"/>
      <c r="I126" s="5"/>
      <c r="J126" s="5"/>
      <c r="K126" s="5"/>
      <c r="L126" s="5"/>
      <c r="M126" s="5"/>
      <c r="N126" s="5"/>
      <c r="O126" s="57"/>
      <c r="P126" s="5"/>
      <c r="Q126" s="5"/>
      <c r="R126" s="5"/>
      <c r="S126" s="5"/>
      <c r="T126" s="5"/>
      <c r="U126" s="5"/>
      <c r="V126" s="5"/>
      <c r="W126" s="5"/>
      <c r="X126" s="5"/>
      <c r="Y126" s="5"/>
      <c r="Z126" s="5"/>
    </row>
    <row r="127" spans="1:26" ht="12.75" customHeight="1">
      <c r="A127" s="5"/>
      <c r="B127" s="5"/>
      <c r="C127" s="5"/>
      <c r="D127" s="5"/>
      <c r="E127" s="5"/>
      <c r="F127" s="5"/>
      <c r="G127" s="5"/>
      <c r="H127" s="306"/>
      <c r="I127" s="5"/>
      <c r="J127" s="5"/>
      <c r="K127" s="5"/>
      <c r="L127" s="5"/>
      <c r="M127" s="5"/>
      <c r="N127" s="5"/>
      <c r="O127" s="57"/>
      <c r="P127" s="5"/>
      <c r="Q127" s="5"/>
      <c r="R127" s="5"/>
      <c r="S127" s="5"/>
      <c r="T127" s="5"/>
      <c r="U127" s="5"/>
      <c r="V127" s="5"/>
      <c r="W127" s="5"/>
      <c r="X127" s="5"/>
      <c r="Y127" s="5"/>
      <c r="Z127" s="5"/>
    </row>
    <row r="128" spans="1:26" ht="12.75" customHeight="1">
      <c r="A128" s="5"/>
      <c r="B128" s="5"/>
      <c r="C128" s="5"/>
      <c r="D128" s="5"/>
      <c r="E128" s="5"/>
      <c r="F128" s="5"/>
      <c r="G128" s="5"/>
      <c r="H128" s="306"/>
      <c r="I128" s="5"/>
      <c r="J128" s="5"/>
      <c r="K128" s="5"/>
      <c r="L128" s="5"/>
      <c r="M128" s="5"/>
      <c r="N128" s="5"/>
      <c r="O128" s="57"/>
      <c r="P128" s="5"/>
      <c r="Q128" s="5"/>
      <c r="R128" s="5"/>
      <c r="S128" s="5"/>
      <c r="T128" s="5"/>
      <c r="U128" s="5"/>
      <c r="V128" s="5"/>
      <c r="W128" s="5"/>
      <c r="X128" s="5"/>
      <c r="Y128" s="5"/>
      <c r="Z128" s="5"/>
    </row>
    <row r="129" spans="1:26" ht="12.75" customHeight="1">
      <c r="A129" s="5"/>
      <c r="B129" s="5"/>
      <c r="C129" s="5"/>
      <c r="D129" s="5"/>
      <c r="E129" s="5"/>
      <c r="F129" s="5"/>
      <c r="G129" s="5"/>
      <c r="H129" s="306"/>
      <c r="I129" s="5"/>
      <c r="J129" s="5"/>
      <c r="K129" s="5"/>
      <c r="L129" s="5"/>
      <c r="M129" s="5"/>
      <c r="N129" s="5"/>
      <c r="O129" s="57"/>
      <c r="P129" s="5"/>
      <c r="Q129" s="5"/>
      <c r="R129" s="5"/>
      <c r="S129" s="5"/>
      <c r="T129" s="5"/>
      <c r="U129" s="5"/>
      <c r="V129" s="5"/>
      <c r="W129" s="5"/>
      <c r="X129" s="5"/>
      <c r="Y129" s="5"/>
      <c r="Z129" s="5"/>
    </row>
    <row r="130" spans="1:26" ht="12.75" customHeight="1">
      <c r="A130" s="5"/>
      <c r="B130" s="5"/>
      <c r="C130" s="5"/>
      <c r="D130" s="5"/>
      <c r="E130" s="5"/>
      <c r="F130" s="5"/>
      <c r="G130" s="5"/>
      <c r="H130" s="306"/>
      <c r="I130" s="5"/>
      <c r="J130" s="5"/>
      <c r="K130" s="5"/>
      <c r="L130" s="5"/>
      <c r="M130" s="5"/>
      <c r="N130" s="5"/>
      <c r="O130" s="57"/>
      <c r="P130" s="5"/>
      <c r="Q130" s="5"/>
      <c r="R130" s="5"/>
      <c r="S130" s="5"/>
      <c r="T130" s="5"/>
      <c r="U130" s="5"/>
      <c r="V130" s="5"/>
      <c r="W130" s="5"/>
      <c r="X130" s="5"/>
      <c r="Y130" s="5"/>
      <c r="Z130" s="5"/>
    </row>
    <row r="131" spans="1:26" ht="12.75" customHeight="1">
      <c r="A131" s="5"/>
      <c r="B131" s="5"/>
      <c r="C131" s="5"/>
      <c r="D131" s="5"/>
      <c r="E131" s="5"/>
      <c r="F131" s="5"/>
      <c r="G131" s="5"/>
      <c r="H131" s="306"/>
      <c r="I131" s="5"/>
      <c r="J131" s="5"/>
      <c r="K131" s="5"/>
      <c r="L131" s="5"/>
      <c r="M131" s="5"/>
      <c r="N131" s="5"/>
      <c r="O131" s="57"/>
      <c r="P131" s="5"/>
      <c r="Q131" s="5"/>
      <c r="R131" s="5"/>
      <c r="S131" s="5"/>
      <c r="T131" s="5"/>
      <c r="U131" s="5"/>
      <c r="V131" s="5"/>
      <c r="W131" s="5"/>
      <c r="X131" s="5"/>
      <c r="Y131" s="5"/>
      <c r="Z131" s="5"/>
    </row>
    <row r="132" spans="1:26" ht="12.75" customHeight="1">
      <c r="A132" s="5"/>
      <c r="B132" s="5"/>
      <c r="C132" s="5"/>
      <c r="D132" s="5"/>
      <c r="E132" s="5"/>
      <c r="F132" s="5"/>
      <c r="G132" s="5"/>
      <c r="H132" s="306"/>
      <c r="I132" s="5"/>
      <c r="J132" s="5"/>
      <c r="K132" s="5"/>
      <c r="L132" s="5"/>
      <c r="M132" s="5"/>
      <c r="N132" s="5"/>
      <c r="O132" s="57"/>
      <c r="P132" s="5"/>
      <c r="Q132" s="5"/>
      <c r="R132" s="5"/>
      <c r="S132" s="5"/>
      <c r="T132" s="5"/>
      <c r="U132" s="5"/>
      <c r="V132" s="5"/>
      <c r="W132" s="5"/>
      <c r="X132" s="5"/>
      <c r="Y132" s="5"/>
      <c r="Z132" s="5"/>
    </row>
    <row r="133" spans="1:26" ht="12.75" customHeight="1">
      <c r="A133" s="5"/>
      <c r="B133" s="5"/>
      <c r="C133" s="5"/>
      <c r="D133" s="5"/>
      <c r="E133" s="5"/>
      <c r="F133" s="5"/>
      <c r="G133" s="5"/>
      <c r="H133" s="306"/>
      <c r="I133" s="5"/>
      <c r="J133" s="5"/>
      <c r="K133" s="5"/>
      <c r="L133" s="5"/>
      <c r="M133" s="5"/>
      <c r="N133" s="5"/>
      <c r="O133" s="57"/>
      <c r="P133" s="5"/>
      <c r="Q133" s="5"/>
      <c r="R133" s="5"/>
      <c r="S133" s="5"/>
      <c r="T133" s="5"/>
      <c r="U133" s="5"/>
      <c r="V133" s="5"/>
      <c r="W133" s="5"/>
      <c r="X133" s="5"/>
      <c r="Y133" s="5"/>
      <c r="Z133" s="5"/>
    </row>
    <row r="134" spans="1:26" ht="12.75" customHeight="1">
      <c r="A134" s="5"/>
      <c r="B134" s="5"/>
      <c r="C134" s="5"/>
      <c r="D134" s="5"/>
      <c r="E134" s="5"/>
      <c r="F134" s="5"/>
      <c r="G134" s="5"/>
      <c r="H134" s="306"/>
      <c r="I134" s="5"/>
      <c r="J134" s="5"/>
      <c r="K134" s="5"/>
      <c r="L134" s="5"/>
      <c r="M134" s="5"/>
      <c r="N134" s="5"/>
      <c r="O134" s="57"/>
      <c r="P134" s="5"/>
      <c r="Q134" s="5"/>
      <c r="R134" s="5"/>
      <c r="S134" s="5"/>
      <c r="T134" s="5"/>
      <c r="U134" s="5"/>
      <c r="V134" s="5"/>
      <c r="W134" s="5"/>
      <c r="X134" s="5"/>
      <c r="Y134" s="5"/>
      <c r="Z134" s="5"/>
    </row>
    <row r="135" spans="1:26" ht="12.75" customHeight="1">
      <c r="A135" s="5"/>
      <c r="B135" s="5"/>
      <c r="C135" s="5"/>
      <c r="D135" s="5"/>
      <c r="E135" s="5"/>
      <c r="F135" s="5"/>
      <c r="G135" s="5"/>
      <c r="H135" s="306"/>
      <c r="I135" s="5"/>
      <c r="J135" s="5"/>
      <c r="K135" s="5"/>
      <c r="L135" s="5"/>
      <c r="M135" s="5"/>
      <c r="N135" s="5"/>
      <c r="O135" s="57"/>
      <c r="P135" s="5"/>
      <c r="Q135" s="5"/>
      <c r="R135" s="5"/>
      <c r="S135" s="5"/>
      <c r="T135" s="5"/>
      <c r="U135" s="5"/>
      <c r="V135" s="5"/>
      <c r="W135" s="5"/>
      <c r="X135" s="5"/>
      <c r="Y135" s="5"/>
      <c r="Z135" s="5"/>
    </row>
    <row r="136" spans="1:26" ht="12.75" customHeight="1">
      <c r="A136" s="5"/>
      <c r="B136" s="5"/>
      <c r="C136" s="5"/>
      <c r="D136" s="5"/>
      <c r="E136" s="5"/>
      <c r="F136" s="5"/>
      <c r="G136" s="5"/>
      <c r="H136" s="306"/>
      <c r="I136" s="5"/>
      <c r="J136" s="5"/>
      <c r="K136" s="5"/>
      <c r="L136" s="5"/>
      <c r="M136" s="5"/>
      <c r="N136" s="5"/>
      <c r="O136" s="57"/>
      <c r="P136" s="5"/>
      <c r="Q136" s="5"/>
      <c r="R136" s="5"/>
      <c r="S136" s="5"/>
      <c r="T136" s="5"/>
      <c r="U136" s="5"/>
      <c r="V136" s="5"/>
      <c r="W136" s="5"/>
      <c r="X136" s="5"/>
      <c r="Y136" s="5"/>
      <c r="Z136" s="5"/>
    </row>
    <row r="137" spans="1:26" ht="12.75" customHeight="1">
      <c r="A137" s="5"/>
      <c r="B137" s="5"/>
      <c r="C137" s="5"/>
      <c r="D137" s="5"/>
      <c r="E137" s="5"/>
      <c r="F137" s="5"/>
      <c r="G137" s="5"/>
      <c r="H137" s="306"/>
      <c r="I137" s="5"/>
      <c r="J137" s="5"/>
      <c r="K137" s="5"/>
      <c r="L137" s="5"/>
      <c r="M137" s="5"/>
      <c r="N137" s="5"/>
      <c r="O137" s="57"/>
      <c r="P137" s="5"/>
      <c r="Q137" s="5"/>
      <c r="R137" s="5"/>
      <c r="S137" s="5"/>
      <c r="T137" s="5"/>
      <c r="U137" s="5"/>
      <c r="V137" s="5"/>
      <c r="W137" s="5"/>
      <c r="X137" s="5"/>
      <c r="Y137" s="5"/>
      <c r="Z137" s="5"/>
    </row>
    <row r="138" spans="1:26" ht="12.75" customHeight="1">
      <c r="A138" s="5"/>
      <c r="B138" s="5"/>
      <c r="C138" s="5"/>
      <c r="D138" s="5"/>
      <c r="E138" s="5"/>
      <c r="F138" s="5"/>
      <c r="G138" s="5"/>
      <c r="H138" s="306"/>
      <c r="I138" s="5"/>
      <c r="J138" s="5"/>
      <c r="K138" s="5"/>
      <c r="L138" s="5"/>
      <c r="M138" s="5"/>
      <c r="N138" s="5"/>
      <c r="O138" s="57"/>
      <c r="P138" s="5"/>
      <c r="Q138" s="5"/>
      <c r="R138" s="5"/>
      <c r="S138" s="5"/>
      <c r="T138" s="5"/>
      <c r="U138" s="5"/>
      <c r="V138" s="5"/>
      <c r="W138" s="5"/>
      <c r="X138" s="5"/>
      <c r="Y138" s="5"/>
      <c r="Z138" s="5"/>
    </row>
    <row r="139" spans="1:26" ht="12.75" customHeight="1">
      <c r="A139" s="5"/>
      <c r="B139" s="5"/>
      <c r="C139" s="5"/>
      <c r="D139" s="5"/>
      <c r="E139" s="5"/>
      <c r="F139" s="5"/>
      <c r="G139" s="5"/>
      <c r="H139" s="306"/>
      <c r="I139" s="5"/>
      <c r="J139" s="5"/>
      <c r="K139" s="5"/>
      <c r="L139" s="5"/>
      <c r="M139" s="5"/>
      <c r="N139" s="5"/>
      <c r="O139" s="57"/>
      <c r="P139" s="5"/>
      <c r="Q139" s="5"/>
      <c r="R139" s="5"/>
      <c r="S139" s="5"/>
      <c r="T139" s="5"/>
      <c r="U139" s="5"/>
      <c r="V139" s="5"/>
      <c r="W139" s="5"/>
      <c r="X139" s="5"/>
      <c r="Y139" s="5"/>
      <c r="Z139" s="5"/>
    </row>
    <row r="140" spans="1:26" ht="12.75" customHeight="1">
      <c r="A140" s="5"/>
      <c r="B140" s="5"/>
      <c r="C140" s="5"/>
      <c r="D140" s="5"/>
      <c r="E140" s="5"/>
      <c r="F140" s="5"/>
      <c r="G140" s="5"/>
      <c r="H140" s="306"/>
      <c r="I140" s="5"/>
      <c r="J140" s="5"/>
      <c r="K140" s="5"/>
      <c r="L140" s="5"/>
      <c r="M140" s="5"/>
      <c r="N140" s="5"/>
      <c r="O140" s="57"/>
      <c r="P140" s="5"/>
      <c r="Q140" s="5"/>
      <c r="R140" s="5"/>
      <c r="S140" s="5"/>
      <c r="T140" s="5"/>
      <c r="U140" s="5"/>
      <c r="V140" s="5"/>
      <c r="W140" s="5"/>
      <c r="X140" s="5"/>
      <c r="Y140" s="5"/>
      <c r="Z140" s="5"/>
    </row>
    <row r="141" spans="1:26" ht="12.75" customHeight="1">
      <c r="A141" s="5"/>
      <c r="B141" s="5"/>
      <c r="C141" s="5"/>
      <c r="D141" s="5"/>
      <c r="E141" s="5"/>
      <c r="F141" s="5"/>
      <c r="G141" s="5"/>
      <c r="H141" s="306"/>
      <c r="I141" s="5"/>
      <c r="J141" s="5"/>
      <c r="K141" s="5"/>
      <c r="L141" s="5"/>
      <c r="M141" s="5"/>
      <c r="N141" s="5"/>
      <c r="O141" s="57"/>
      <c r="P141" s="5"/>
      <c r="Q141" s="5"/>
      <c r="R141" s="5"/>
      <c r="S141" s="5"/>
      <c r="T141" s="5"/>
      <c r="U141" s="5"/>
      <c r="V141" s="5"/>
      <c r="W141" s="5"/>
      <c r="X141" s="5"/>
      <c r="Y141" s="5"/>
      <c r="Z141" s="5"/>
    </row>
    <row r="142" spans="1:26" ht="12.75" customHeight="1">
      <c r="A142" s="5"/>
      <c r="B142" s="5"/>
      <c r="C142" s="5"/>
      <c r="D142" s="5"/>
      <c r="E142" s="5"/>
      <c r="F142" s="5"/>
      <c r="G142" s="5"/>
      <c r="H142" s="306"/>
      <c r="I142" s="5"/>
      <c r="J142" s="5"/>
      <c r="K142" s="5"/>
      <c r="L142" s="5"/>
      <c r="M142" s="5"/>
      <c r="N142" s="5"/>
      <c r="O142" s="57"/>
      <c r="P142" s="5"/>
      <c r="Q142" s="5"/>
      <c r="R142" s="5"/>
      <c r="S142" s="5"/>
      <c r="T142" s="5"/>
      <c r="U142" s="5"/>
      <c r="V142" s="5"/>
      <c r="W142" s="5"/>
      <c r="X142" s="5"/>
      <c r="Y142" s="5"/>
      <c r="Z142" s="5"/>
    </row>
    <row r="143" spans="1:26" ht="12.75" customHeight="1">
      <c r="A143" s="5"/>
      <c r="B143" s="5"/>
      <c r="C143" s="5"/>
      <c r="D143" s="5"/>
      <c r="E143" s="5"/>
      <c r="F143" s="5"/>
      <c r="G143" s="5"/>
      <c r="H143" s="306"/>
      <c r="I143" s="5"/>
      <c r="J143" s="5"/>
      <c r="K143" s="5"/>
      <c r="L143" s="5"/>
      <c r="M143" s="5"/>
      <c r="N143" s="5"/>
      <c r="O143" s="57"/>
      <c r="P143" s="5"/>
      <c r="Q143" s="5"/>
      <c r="R143" s="5"/>
      <c r="S143" s="5"/>
      <c r="T143" s="5"/>
      <c r="U143" s="5"/>
      <c r="V143" s="5"/>
      <c r="W143" s="5"/>
      <c r="X143" s="5"/>
      <c r="Y143" s="5"/>
      <c r="Z143" s="5"/>
    </row>
    <row r="144" spans="1:26" ht="12.75" customHeight="1">
      <c r="A144" s="5"/>
      <c r="B144" s="5"/>
      <c r="C144" s="5"/>
      <c r="D144" s="5"/>
      <c r="E144" s="5"/>
      <c r="F144" s="5"/>
      <c r="G144" s="5"/>
      <c r="H144" s="306"/>
      <c r="I144" s="5"/>
      <c r="J144" s="5"/>
      <c r="K144" s="5"/>
      <c r="L144" s="5"/>
      <c r="M144" s="5"/>
      <c r="N144" s="5"/>
      <c r="O144" s="57"/>
      <c r="P144" s="5"/>
      <c r="Q144" s="5"/>
      <c r="R144" s="5"/>
      <c r="S144" s="5"/>
      <c r="T144" s="5"/>
      <c r="U144" s="5"/>
      <c r="V144" s="5"/>
      <c r="W144" s="5"/>
      <c r="X144" s="5"/>
      <c r="Y144" s="5"/>
      <c r="Z144" s="5"/>
    </row>
    <row r="145" spans="1:26" ht="12.75" customHeight="1">
      <c r="A145" s="5"/>
      <c r="B145" s="5"/>
      <c r="C145" s="5"/>
      <c r="D145" s="5"/>
      <c r="E145" s="5"/>
      <c r="F145" s="5"/>
      <c r="G145" s="5"/>
      <c r="H145" s="306"/>
      <c r="I145" s="5"/>
      <c r="J145" s="5"/>
      <c r="K145" s="5"/>
      <c r="L145" s="5"/>
      <c r="M145" s="5"/>
      <c r="N145" s="5"/>
      <c r="O145" s="57"/>
      <c r="P145" s="5"/>
      <c r="Q145" s="5"/>
      <c r="R145" s="5"/>
      <c r="S145" s="5"/>
      <c r="T145" s="5"/>
      <c r="U145" s="5"/>
      <c r="V145" s="5"/>
      <c r="W145" s="5"/>
      <c r="X145" s="5"/>
      <c r="Y145" s="5"/>
      <c r="Z145" s="5"/>
    </row>
    <row r="146" spans="1:26" ht="12.75" customHeight="1">
      <c r="A146" s="5"/>
      <c r="B146" s="5"/>
      <c r="C146" s="5"/>
      <c r="D146" s="5"/>
      <c r="E146" s="5"/>
      <c r="F146" s="5"/>
      <c r="G146" s="5"/>
      <c r="H146" s="306"/>
      <c r="I146" s="5"/>
      <c r="J146" s="5"/>
      <c r="K146" s="5"/>
      <c r="L146" s="5"/>
      <c r="M146" s="5"/>
      <c r="N146" s="5"/>
      <c r="O146" s="57"/>
      <c r="P146" s="5"/>
      <c r="Q146" s="5"/>
      <c r="R146" s="5"/>
      <c r="S146" s="5"/>
      <c r="T146" s="5"/>
      <c r="U146" s="5"/>
      <c r="V146" s="5"/>
      <c r="W146" s="5"/>
      <c r="X146" s="5"/>
      <c r="Y146" s="5"/>
      <c r="Z146" s="5"/>
    </row>
    <row r="147" spans="1:26" ht="12.75" customHeight="1">
      <c r="A147" s="5"/>
      <c r="B147" s="5"/>
      <c r="C147" s="5"/>
      <c r="D147" s="5"/>
      <c r="E147" s="5"/>
      <c r="F147" s="5"/>
      <c r="G147" s="5"/>
      <c r="H147" s="306"/>
      <c r="I147" s="5"/>
      <c r="J147" s="5"/>
      <c r="K147" s="5"/>
      <c r="L147" s="5"/>
      <c r="M147" s="5"/>
      <c r="N147" s="5"/>
      <c r="O147" s="57"/>
      <c r="P147" s="5"/>
      <c r="Q147" s="5"/>
      <c r="R147" s="5"/>
      <c r="S147" s="5"/>
      <c r="T147" s="5"/>
      <c r="U147" s="5"/>
      <c r="V147" s="5"/>
      <c r="W147" s="5"/>
      <c r="X147" s="5"/>
      <c r="Y147" s="5"/>
      <c r="Z147" s="5"/>
    </row>
    <row r="148" spans="1:26" ht="12.75" customHeight="1">
      <c r="A148" s="5"/>
      <c r="B148" s="5"/>
      <c r="C148" s="5"/>
      <c r="D148" s="5"/>
      <c r="E148" s="5"/>
      <c r="F148" s="5"/>
      <c r="G148" s="5"/>
      <c r="H148" s="306"/>
      <c r="I148" s="5"/>
      <c r="J148" s="5"/>
      <c r="K148" s="5"/>
      <c r="L148" s="5"/>
      <c r="M148" s="5"/>
      <c r="N148" s="5"/>
      <c r="O148" s="57"/>
      <c r="P148" s="5"/>
      <c r="Q148" s="5"/>
      <c r="R148" s="5"/>
      <c r="S148" s="5"/>
      <c r="T148" s="5"/>
      <c r="U148" s="5"/>
      <c r="V148" s="5"/>
      <c r="W148" s="5"/>
      <c r="X148" s="5"/>
      <c r="Y148" s="5"/>
      <c r="Z148" s="5"/>
    </row>
    <row r="149" spans="1:26" ht="12.75" customHeight="1">
      <c r="A149" s="5"/>
      <c r="B149" s="5"/>
      <c r="C149" s="5"/>
      <c r="D149" s="5"/>
      <c r="E149" s="5"/>
      <c r="F149" s="5"/>
      <c r="G149" s="5"/>
      <c r="H149" s="306"/>
      <c r="I149" s="5"/>
      <c r="J149" s="5"/>
      <c r="K149" s="5"/>
      <c r="L149" s="5"/>
      <c r="M149" s="5"/>
      <c r="N149" s="5"/>
      <c r="O149" s="57"/>
      <c r="P149" s="5"/>
      <c r="Q149" s="5"/>
      <c r="R149" s="5"/>
      <c r="S149" s="5"/>
      <c r="T149" s="5"/>
      <c r="U149" s="5"/>
      <c r="V149" s="5"/>
      <c r="W149" s="5"/>
      <c r="X149" s="5"/>
      <c r="Y149" s="5"/>
      <c r="Z149" s="5"/>
    </row>
    <row r="150" spans="1:26" ht="12.75" customHeight="1">
      <c r="A150" s="5"/>
      <c r="B150" s="5"/>
      <c r="C150" s="5"/>
      <c r="D150" s="5"/>
      <c r="E150" s="5"/>
      <c r="F150" s="5"/>
      <c r="G150" s="5"/>
      <c r="H150" s="306"/>
      <c r="I150" s="5"/>
      <c r="J150" s="5"/>
      <c r="K150" s="5"/>
      <c r="L150" s="5"/>
      <c r="M150" s="5"/>
      <c r="N150" s="5"/>
      <c r="O150" s="57"/>
      <c r="P150" s="5"/>
      <c r="Q150" s="5"/>
      <c r="R150" s="5"/>
      <c r="S150" s="5"/>
      <c r="T150" s="5"/>
      <c r="U150" s="5"/>
      <c r="V150" s="5"/>
      <c r="W150" s="5"/>
      <c r="X150" s="5"/>
      <c r="Y150" s="5"/>
      <c r="Z150" s="5"/>
    </row>
    <row r="151" spans="1:26" ht="12.75" customHeight="1">
      <c r="A151" s="5"/>
      <c r="B151" s="5"/>
      <c r="C151" s="5"/>
      <c r="D151" s="5"/>
      <c r="E151" s="5"/>
      <c r="F151" s="5"/>
      <c r="G151" s="5"/>
      <c r="H151" s="306"/>
      <c r="I151" s="5"/>
      <c r="J151" s="5"/>
      <c r="K151" s="5"/>
      <c r="L151" s="5"/>
      <c r="M151" s="5"/>
      <c r="N151" s="5"/>
      <c r="O151" s="57"/>
      <c r="P151" s="5"/>
      <c r="Q151" s="5"/>
      <c r="R151" s="5"/>
      <c r="S151" s="5"/>
      <c r="T151" s="5"/>
      <c r="U151" s="5"/>
      <c r="V151" s="5"/>
      <c r="W151" s="5"/>
      <c r="X151" s="5"/>
      <c r="Y151" s="5"/>
      <c r="Z151" s="5"/>
    </row>
    <row r="152" spans="1:26" ht="12.75" customHeight="1">
      <c r="A152" s="5"/>
      <c r="B152" s="5"/>
      <c r="C152" s="5"/>
      <c r="D152" s="5"/>
      <c r="E152" s="5"/>
      <c r="F152" s="5"/>
      <c r="G152" s="5"/>
      <c r="H152" s="306"/>
      <c r="I152" s="5"/>
      <c r="J152" s="5"/>
      <c r="K152" s="5"/>
      <c r="L152" s="5"/>
      <c r="M152" s="5"/>
      <c r="N152" s="5"/>
      <c r="O152" s="57"/>
      <c r="P152" s="5"/>
      <c r="Q152" s="5"/>
      <c r="R152" s="5"/>
      <c r="S152" s="5"/>
      <c r="T152" s="5"/>
      <c r="U152" s="5"/>
      <c r="V152" s="5"/>
      <c r="W152" s="5"/>
      <c r="X152" s="5"/>
      <c r="Y152" s="5"/>
      <c r="Z152" s="5"/>
    </row>
    <row r="153" spans="1:26" ht="12.75" customHeight="1">
      <c r="A153" s="5"/>
      <c r="B153" s="5"/>
      <c r="C153" s="5"/>
      <c r="D153" s="5"/>
      <c r="E153" s="5"/>
      <c r="F153" s="5"/>
      <c r="G153" s="5"/>
      <c r="H153" s="306"/>
      <c r="I153" s="5"/>
      <c r="J153" s="5"/>
      <c r="K153" s="5"/>
      <c r="L153" s="5"/>
      <c r="M153" s="5"/>
      <c r="N153" s="5"/>
      <c r="O153" s="57"/>
      <c r="P153" s="5"/>
      <c r="Q153" s="5"/>
      <c r="R153" s="5"/>
      <c r="S153" s="5"/>
      <c r="T153" s="5"/>
      <c r="U153" s="5"/>
      <c r="V153" s="5"/>
      <c r="W153" s="5"/>
      <c r="X153" s="5"/>
      <c r="Y153" s="5"/>
      <c r="Z153" s="5"/>
    </row>
    <row r="154" spans="1:26" ht="12.75" customHeight="1">
      <c r="A154" s="5"/>
      <c r="B154" s="5"/>
      <c r="C154" s="5"/>
      <c r="D154" s="5"/>
      <c r="E154" s="5"/>
      <c r="F154" s="5"/>
      <c r="G154" s="5"/>
      <c r="H154" s="306"/>
      <c r="I154" s="5"/>
      <c r="J154" s="5"/>
      <c r="K154" s="5"/>
      <c r="L154" s="5"/>
      <c r="M154" s="5"/>
      <c r="N154" s="5"/>
      <c r="O154" s="57"/>
      <c r="P154" s="5"/>
      <c r="Q154" s="5"/>
      <c r="R154" s="5"/>
      <c r="S154" s="5"/>
      <c r="T154" s="5"/>
      <c r="U154" s="5"/>
      <c r="V154" s="5"/>
      <c r="W154" s="5"/>
      <c r="X154" s="5"/>
      <c r="Y154" s="5"/>
      <c r="Z154" s="5"/>
    </row>
    <row r="155" spans="1:26" ht="12.75" customHeight="1">
      <c r="A155" s="5"/>
      <c r="B155" s="5"/>
      <c r="C155" s="5"/>
      <c r="D155" s="5"/>
      <c r="E155" s="5"/>
      <c r="F155" s="5"/>
      <c r="G155" s="5"/>
      <c r="H155" s="306"/>
      <c r="I155" s="5"/>
      <c r="J155" s="5"/>
      <c r="K155" s="5"/>
      <c r="L155" s="5"/>
      <c r="M155" s="5"/>
      <c r="N155" s="5"/>
      <c r="O155" s="57"/>
      <c r="P155" s="5"/>
      <c r="Q155" s="5"/>
      <c r="R155" s="5"/>
      <c r="S155" s="5"/>
      <c r="T155" s="5"/>
      <c r="U155" s="5"/>
      <c r="V155" s="5"/>
      <c r="W155" s="5"/>
      <c r="X155" s="5"/>
      <c r="Y155" s="5"/>
      <c r="Z155" s="5"/>
    </row>
    <row r="156" spans="1:26" ht="12.75" customHeight="1">
      <c r="A156" s="5"/>
      <c r="B156" s="5"/>
      <c r="C156" s="5"/>
      <c r="D156" s="5"/>
      <c r="E156" s="5"/>
      <c r="F156" s="5"/>
      <c r="G156" s="5"/>
      <c r="H156" s="306"/>
      <c r="I156" s="5"/>
      <c r="J156" s="5"/>
      <c r="K156" s="5"/>
      <c r="L156" s="5"/>
      <c r="M156" s="5"/>
      <c r="N156" s="5"/>
      <c r="O156" s="57"/>
      <c r="P156" s="5"/>
      <c r="Q156" s="5"/>
      <c r="R156" s="5"/>
      <c r="S156" s="5"/>
      <c r="T156" s="5"/>
      <c r="U156" s="5"/>
      <c r="V156" s="5"/>
      <c r="W156" s="5"/>
      <c r="X156" s="5"/>
      <c r="Y156" s="5"/>
      <c r="Z156" s="5"/>
    </row>
    <row r="157" spans="1:26" ht="12.75" customHeight="1">
      <c r="A157" s="5"/>
      <c r="B157" s="5"/>
      <c r="C157" s="5"/>
      <c r="D157" s="5"/>
      <c r="E157" s="5"/>
      <c r="F157" s="5"/>
      <c r="G157" s="5"/>
      <c r="H157" s="306"/>
      <c r="I157" s="5"/>
      <c r="J157" s="5"/>
      <c r="K157" s="5"/>
      <c r="L157" s="5"/>
      <c r="M157" s="5"/>
      <c r="N157" s="5"/>
      <c r="O157" s="57"/>
      <c r="P157" s="5"/>
      <c r="Q157" s="5"/>
      <c r="R157" s="5"/>
      <c r="S157" s="5"/>
      <c r="T157" s="5"/>
      <c r="U157" s="5"/>
      <c r="V157" s="5"/>
      <c r="W157" s="5"/>
      <c r="X157" s="5"/>
      <c r="Y157" s="5"/>
      <c r="Z157" s="5"/>
    </row>
    <row r="158" spans="1:26" ht="12.75" customHeight="1">
      <c r="A158" s="5"/>
      <c r="B158" s="5"/>
      <c r="C158" s="5"/>
      <c r="D158" s="5"/>
      <c r="E158" s="5"/>
      <c r="F158" s="5"/>
      <c r="G158" s="5"/>
      <c r="H158" s="306"/>
      <c r="I158" s="5"/>
      <c r="J158" s="5"/>
      <c r="K158" s="5"/>
      <c r="L158" s="5"/>
      <c r="M158" s="5"/>
      <c r="N158" s="5"/>
      <c r="O158" s="57"/>
      <c r="P158" s="5"/>
      <c r="Q158" s="5"/>
      <c r="R158" s="5"/>
      <c r="S158" s="5"/>
      <c r="T158" s="5"/>
      <c r="U158" s="5"/>
      <c r="V158" s="5"/>
      <c r="W158" s="5"/>
      <c r="X158" s="5"/>
      <c r="Y158" s="5"/>
      <c r="Z158" s="5"/>
    </row>
    <row r="159" spans="1:26" ht="12.75" customHeight="1">
      <c r="A159" s="5"/>
      <c r="B159" s="5"/>
      <c r="C159" s="5"/>
      <c r="D159" s="5"/>
      <c r="E159" s="5"/>
      <c r="F159" s="5"/>
      <c r="G159" s="5"/>
      <c r="H159" s="306"/>
      <c r="I159" s="5"/>
      <c r="J159" s="5"/>
      <c r="K159" s="5"/>
      <c r="L159" s="5"/>
      <c r="M159" s="5"/>
      <c r="N159" s="5"/>
      <c r="O159" s="57"/>
      <c r="P159" s="5"/>
      <c r="Q159" s="5"/>
      <c r="R159" s="5"/>
      <c r="S159" s="5"/>
      <c r="T159" s="5"/>
      <c r="U159" s="5"/>
      <c r="V159" s="5"/>
      <c r="W159" s="5"/>
      <c r="X159" s="5"/>
      <c r="Y159" s="5"/>
      <c r="Z159" s="5"/>
    </row>
    <row r="160" spans="1:26" ht="12.75" customHeight="1">
      <c r="A160" s="5"/>
      <c r="B160" s="5"/>
      <c r="C160" s="5"/>
      <c r="D160" s="5"/>
      <c r="E160" s="5"/>
      <c r="F160" s="5"/>
      <c r="G160" s="5"/>
      <c r="H160" s="306"/>
      <c r="I160" s="5"/>
      <c r="J160" s="5"/>
      <c r="K160" s="5"/>
      <c r="L160" s="5"/>
      <c r="M160" s="5"/>
      <c r="N160" s="5"/>
      <c r="O160" s="57"/>
      <c r="P160" s="5"/>
      <c r="Q160" s="5"/>
      <c r="R160" s="5"/>
      <c r="S160" s="5"/>
      <c r="T160" s="5"/>
      <c r="U160" s="5"/>
      <c r="V160" s="5"/>
      <c r="W160" s="5"/>
      <c r="X160" s="5"/>
      <c r="Y160" s="5"/>
      <c r="Z160" s="5"/>
    </row>
    <row r="161" spans="1:26" ht="12.75" customHeight="1">
      <c r="A161" s="5"/>
      <c r="B161" s="5"/>
      <c r="C161" s="5"/>
      <c r="D161" s="5"/>
      <c r="E161" s="5"/>
      <c r="F161" s="5"/>
      <c r="G161" s="5"/>
      <c r="H161" s="306"/>
      <c r="I161" s="5"/>
      <c r="J161" s="5"/>
      <c r="K161" s="5"/>
      <c r="L161" s="5"/>
      <c r="M161" s="5"/>
      <c r="N161" s="5"/>
      <c r="O161" s="57"/>
      <c r="P161" s="5"/>
      <c r="Q161" s="5"/>
      <c r="R161" s="5"/>
      <c r="S161" s="5"/>
      <c r="T161" s="5"/>
      <c r="U161" s="5"/>
      <c r="V161" s="5"/>
      <c r="W161" s="5"/>
      <c r="X161" s="5"/>
      <c r="Y161" s="5"/>
      <c r="Z161" s="5"/>
    </row>
    <row r="162" spans="1:26" ht="12.75" customHeight="1">
      <c r="A162" s="5"/>
      <c r="B162" s="5"/>
      <c r="C162" s="5"/>
      <c r="D162" s="5"/>
      <c r="E162" s="5"/>
      <c r="F162" s="5"/>
      <c r="G162" s="5"/>
      <c r="H162" s="306"/>
      <c r="I162" s="5"/>
      <c r="J162" s="5"/>
      <c r="K162" s="5"/>
      <c r="L162" s="5"/>
      <c r="M162" s="5"/>
      <c r="N162" s="5"/>
      <c r="O162" s="57"/>
      <c r="P162" s="5"/>
      <c r="Q162" s="5"/>
      <c r="R162" s="5"/>
      <c r="S162" s="5"/>
      <c r="T162" s="5"/>
      <c r="U162" s="5"/>
      <c r="V162" s="5"/>
      <c r="W162" s="5"/>
      <c r="X162" s="5"/>
      <c r="Y162" s="5"/>
      <c r="Z162" s="5"/>
    </row>
    <row r="163" spans="1:26" ht="12.75" customHeight="1">
      <c r="A163" s="5"/>
      <c r="B163" s="5"/>
      <c r="C163" s="5"/>
      <c r="D163" s="5"/>
      <c r="E163" s="5"/>
      <c r="F163" s="5"/>
      <c r="G163" s="5"/>
      <c r="H163" s="306"/>
      <c r="I163" s="5"/>
      <c r="J163" s="5"/>
      <c r="K163" s="5"/>
      <c r="L163" s="5"/>
      <c r="M163" s="5"/>
      <c r="N163" s="5"/>
      <c r="O163" s="57"/>
      <c r="P163" s="5"/>
      <c r="Q163" s="5"/>
      <c r="R163" s="5"/>
      <c r="S163" s="5"/>
      <c r="T163" s="5"/>
      <c r="U163" s="5"/>
      <c r="V163" s="5"/>
      <c r="W163" s="5"/>
      <c r="X163" s="5"/>
      <c r="Y163" s="5"/>
      <c r="Z163" s="5"/>
    </row>
    <row r="164" spans="1:26" ht="12.75" customHeight="1">
      <c r="A164" s="5"/>
      <c r="B164" s="5"/>
      <c r="C164" s="5"/>
      <c r="D164" s="5"/>
      <c r="E164" s="5"/>
      <c r="F164" s="5"/>
      <c r="G164" s="5"/>
      <c r="H164" s="306"/>
      <c r="I164" s="5"/>
      <c r="J164" s="5"/>
      <c r="K164" s="5"/>
      <c r="L164" s="5"/>
      <c r="M164" s="5"/>
      <c r="N164" s="5"/>
      <c r="O164" s="57"/>
      <c r="P164" s="5"/>
      <c r="Q164" s="5"/>
      <c r="R164" s="5"/>
      <c r="S164" s="5"/>
      <c r="T164" s="5"/>
      <c r="U164" s="5"/>
      <c r="V164" s="5"/>
      <c r="W164" s="5"/>
      <c r="X164" s="5"/>
      <c r="Y164" s="5"/>
      <c r="Z164" s="5"/>
    </row>
    <row r="165" spans="1:26" ht="12.75" customHeight="1">
      <c r="A165" s="5"/>
      <c r="B165" s="5"/>
      <c r="C165" s="5"/>
      <c r="D165" s="5"/>
      <c r="E165" s="5"/>
      <c r="F165" s="5"/>
      <c r="G165" s="5"/>
      <c r="H165" s="306"/>
      <c r="I165" s="5"/>
      <c r="J165" s="5"/>
      <c r="K165" s="5"/>
      <c r="L165" s="5"/>
      <c r="M165" s="5"/>
      <c r="N165" s="5"/>
      <c r="O165" s="57"/>
      <c r="P165" s="5"/>
      <c r="Q165" s="5"/>
      <c r="R165" s="5"/>
      <c r="S165" s="5"/>
      <c r="T165" s="5"/>
      <c r="U165" s="5"/>
      <c r="V165" s="5"/>
      <c r="W165" s="5"/>
      <c r="X165" s="5"/>
      <c r="Y165" s="5"/>
      <c r="Z165" s="5"/>
    </row>
    <row r="166" spans="1:26" ht="12.75" customHeight="1">
      <c r="A166" s="5"/>
      <c r="B166" s="5"/>
      <c r="C166" s="5"/>
      <c r="D166" s="5"/>
      <c r="E166" s="5"/>
      <c r="F166" s="5"/>
      <c r="G166" s="5"/>
      <c r="H166" s="306"/>
      <c r="I166" s="5"/>
      <c r="J166" s="5"/>
      <c r="K166" s="5"/>
      <c r="L166" s="5"/>
      <c r="M166" s="5"/>
      <c r="N166" s="5"/>
      <c r="O166" s="57"/>
      <c r="P166" s="5"/>
      <c r="Q166" s="5"/>
      <c r="R166" s="5"/>
      <c r="S166" s="5"/>
      <c r="T166" s="5"/>
      <c r="U166" s="5"/>
      <c r="V166" s="5"/>
      <c r="W166" s="5"/>
      <c r="X166" s="5"/>
      <c r="Y166" s="5"/>
      <c r="Z166" s="5"/>
    </row>
    <row r="167" spans="1:26" ht="12.75" customHeight="1">
      <c r="A167" s="5"/>
      <c r="B167" s="5"/>
      <c r="C167" s="5"/>
      <c r="D167" s="5"/>
      <c r="E167" s="5"/>
      <c r="F167" s="5"/>
      <c r="G167" s="5"/>
      <c r="H167" s="306"/>
      <c r="I167" s="5"/>
      <c r="J167" s="5"/>
      <c r="K167" s="5"/>
      <c r="L167" s="5"/>
      <c r="M167" s="5"/>
      <c r="N167" s="5"/>
      <c r="O167" s="57"/>
      <c r="P167" s="5"/>
      <c r="Q167" s="5"/>
      <c r="R167" s="5"/>
      <c r="S167" s="5"/>
      <c r="T167" s="5"/>
      <c r="U167" s="5"/>
      <c r="V167" s="5"/>
      <c r="W167" s="5"/>
      <c r="X167" s="5"/>
      <c r="Y167" s="5"/>
      <c r="Z167" s="5"/>
    </row>
    <row r="168" spans="1:26" ht="12.75" customHeight="1">
      <c r="A168" s="5"/>
      <c r="B168" s="5"/>
      <c r="C168" s="5"/>
      <c r="D168" s="5"/>
      <c r="E168" s="5"/>
      <c r="F168" s="5"/>
      <c r="G168" s="5"/>
      <c r="H168" s="306"/>
      <c r="I168" s="5"/>
      <c r="J168" s="5"/>
      <c r="K168" s="5"/>
      <c r="L168" s="5"/>
      <c r="M168" s="5"/>
      <c r="N168" s="5"/>
      <c r="O168" s="57"/>
      <c r="P168" s="5"/>
      <c r="Q168" s="5"/>
      <c r="R168" s="5"/>
      <c r="S168" s="5"/>
      <c r="T168" s="5"/>
      <c r="U168" s="5"/>
      <c r="V168" s="5"/>
      <c r="W168" s="5"/>
      <c r="X168" s="5"/>
      <c r="Y168" s="5"/>
      <c r="Z168" s="5"/>
    </row>
    <row r="169" spans="1:26" ht="12.75" customHeight="1">
      <c r="A169" s="5"/>
      <c r="B169" s="5"/>
      <c r="C169" s="5"/>
      <c r="D169" s="5"/>
      <c r="E169" s="5"/>
      <c r="F169" s="5"/>
      <c r="G169" s="5"/>
      <c r="H169" s="306"/>
      <c r="I169" s="5"/>
      <c r="J169" s="5"/>
      <c r="K169" s="5"/>
      <c r="L169" s="5"/>
      <c r="M169" s="5"/>
      <c r="N169" s="5"/>
      <c r="O169" s="57"/>
      <c r="P169" s="5"/>
      <c r="Q169" s="5"/>
      <c r="R169" s="5"/>
      <c r="S169" s="5"/>
      <c r="T169" s="5"/>
      <c r="U169" s="5"/>
      <c r="V169" s="5"/>
      <c r="W169" s="5"/>
      <c r="X169" s="5"/>
      <c r="Y169" s="5"/>
      <c r="Z169" s="5"/>
    </row>
    <row r="170" spans="1:26" ht="12.75" customHeight="1">
      <c r="A170" s="5"/>
      <c r="B170" s="5"/>
      <c r="C170" s="5"/>
      <c r="D170" s="5"/>
      <c r="E170" s="5"/>
      <c r="F170" s="5"/>
      <c r="G170" s="5"/>
      <c r="H170" s="306"/>
      <c r="I170" s="5"/>
      <c r="J170" s="5"/>
      <c r="K170" s="5"/>
      <c r="L170" s="5"/>
      <c r="M170" s="5"/>
      <c r="N170" s="5"/>
      <c r="O170" s="57"/>
      <c r="P170" s="5"/>
      <c r="Q170" s="5"/>
      <c r="R170" s="5"/>
      <c r="S170" s="5"/>
      <c r="T170" s="5"/>
      <c r="U170" s="5"/>
      <c r="V170" s="5"/>
      <c r="W170" s="5"/>
      <c r="X170" s="5"/>
      <c r="Y170" s="5"/>
      <c r="Z170" s="5"/>
    </row>
    <row r="171" spans="1:26" ht="12.75" customHeight="1">
      <c r="A171" s="5"/>
      <c r="B171" s="5"/>
      <c r="C171" s="5"/>
      <c r="D171" s="5"/>
      <c r="E171" s="5"/>
      <c r="F171" s="5"/>
      <c r="G171" s="5"/>
      <c r="H171" s="306"/>
      <c r="I171" s="5"/>
      <c r="J171" s="5"/>
      <c r="K171" s="5"/>
      <c r="L171" s="5"/>
      <c r="M171" s="5"/>
      <c r="N171" s="5"/>
      <c r="O171" s="57"/>
      <c r="P171" s="5"/>
      <c r="Q171" s="5"/>
      <c r="R171" s="5"/>
      <c r="S171" s="5"/>
      <c r="T171" s="5"/>
      <c r="U171" s="5"/>
      <c r="V171" s="5"/>
      <c r="W171" s="5"/>
      <c r="X171" s="5"/>
      <c r="Y171" s="5"/>
      <c r="Z171" s="5"/>
    </row>
    <row r="172" spans="1:26" ht="12.75" customHeight="1">
      <c r="A172" s="5"/>
      <c r="B172" s="5"/>
      <c r="C172" s="5"/>
      <c r="D172" s="5"/>
      <c r="E172" s="5"/>
      <c r="F172" s="5"/>
      <c r="G172" s="5"/>
      <c r="H172" s="306"/>
      <c r="I172" s="5"/>
      <c r="J172" s="5"/>
      <c r="K172" s="5"/>
      <c r="L172" s="5"/>
      <c r="M172" s="5"/>
      <c r="N172" s="5"/>
      <c r="O172" s="57"/>
      <c r="P172" s="5"/>
      <c r="Q172" s="5"/>
      <c r="R172" s="5"/>
      <c r="S172" s="5"/>
      <c r="T172" s="5"/>
      <c r="U172" s="5"/>
      <c r="V172" s="5"/>
      <c r="W172" s="5"/>
      <c r="X172" s="5"/>
      <c r="Y172" s="5"/>
      <c r="Z172" s="5"/>
    </row>
    <row r="173" spans="1:26" ht="12.75" customHeight="1">
      <c r="A173" s="5"/>
      <c r="B173" s="5"/>
      <c r="C173" s="5"/>
      <c r="D173" s="5"/>
      <c r="E173" s="5"/>
      <c r="F173" s="5"/>
      <c r="G173" s="5"/>
      <c r="H173" s="306"/>
      <c r="I173" s="5"/>
      <c r="J173" s="5"/>
      <c r="K173" s="5"/>
      <c r="L173" s="5"/>
      <c r="M173" s="5"/>
      <c r="N173" s="5"/>
      <c r="O173" s="57"/>
      <c r="P173" s="5"/>
      <c r="Q173" s="5"/>
      <c r="R173" s="5"/>
      <c r="S173" s="5"/>
      <c r="T173" s="5"/>
      <c r="U173" s="5"/>
      <c r="V173" s="5"/>
      <c r="W173" s="5"/>
      <c r="X173" s="5"/>
      <c r="Y173" s="5"/>
      <c r="Z173" s="5"/>
    </row>
    <row r="174" spans="1:26" ht="12.75" customHeight="1">
      <c r="A174" s="5"/>
      <c r="B174" s="5"/>
      <c r="C174" s="5"/>
      <c r="D174" s="5"/>
      <c r="E174" s="5"/>
      <c r="F174" s="5"/>
      <c r="G174" s="5"/>
      <c r="H174" s="306"/>
      <c r="I174" s="5"/>
      <c r="J174" s="5"/>
      <c r="K174" s="5"/>
      <c r="L174" s="5"/>
      <c r="M174" s="5"/>
      <c r="N174" s="5"/>
      <c r="O174" s="57"/>
      <c r="P174" s="5"/>
      <c r="Q174" s="5"/>
      <c r="R174" s="5"/>
      <c r="S174" s="5"/>
      <c r="T174" s="5"/>
      <c r="U174" s="5"/>
      <c r="V174" s="5"/>
      <c r="W174" s="5"/>
      <c r="X174" s="5"/>
      <c r="Y174" s="5"/>
      <c r="Z174" s="5"/>
    </row>
    <row r="175" spans="1:26" ht="12.75" customHeight="1">
      <c r="A175" s="5"/>
      <c r="B175" s="5"/>
      <c r="C175" s="5"/>
      <c r="D175" s="5"/>
      <c r="E175" s="5"/>
      <c r="F175" s="5"/>
      <c r="G175" s="5"/>
      <c r="H175" s="306"/>
      <c r="I175" s="5"/>
      <c r="J175" s="5"/>
      <c r="K175" s="5"/>
      <c r="L175" s="5"/>
      <c r="M175" s="5"/>
      <c r="N175" s="5"/>
      <c r="O175" s="57"/>
      <c r="P175" s="5"/>
      <c r="Q175" s="5"/>
      <c r="R175" s="5"/>
      <c r="S175" s="5"/>
      <c r="T175" s="5"/>
      <c r="U175" s="5"/>
      <c r="V175" s="5"/>
      <c r="W175" s="5"/>
      <c r="X175" s="5"/>
      <c r="Y175" s="5"/>
      <c r="Z175" s="5"/>
    </row>
    <row r="176" spans="1:26" ht="12.75" customHeight="1">
      <c r="A176" s="5"/>
      <c r="B176" s="5"/>
      <c r="C176" s="5"/>
      <c r="D176" s="5"/>
      <c r="E176" s="5"/>
      <c r="F176" s="5"/>
      <c r="G176" s="5"/>
      <c r="H176" s="306"/>
      <c r="I176" s="5"/>
      <c r="J176" s="5"/>
      <c r="K176" s="5"/>
      <c r="L176" s="5"/>
      <c r="M176" s="5"/>
      <c r="N176" s="5"/>
      <c r="O176" s="57"/>
      <c r="P176" s="5"/>
      <c r="Q176" s="5"/>
      <c r="R176" s="5"/>
      <c r="S176" s="5"/>
      <c r="T176" s="5"/>
      <c r="U176" s="5"/>
      <c r="V176" s="5"/>
      <c r="W176" s="5"/>
      <c r="X176" s="5"/>
      <c r="Y176" s="5"/>
      <c r="Z176" s="5"/>
    </row>
    <row r="177" spans="1:26" ht="12.75" customHeight="1">
      <c r="A177" s="5"/>
      <c r="B177" s="5"/>
      <c r="C177" s="5"/>
      <c r="D177" s="5"/>
      <c r="E177" s="5"/>
      <c r="F177" s="5"/>
      <c r="G177" s="5"/>
      <c r="H177" s="306"/>
      <c r="I177" s="5"/>
      <c r="J177" s="5"/>
      <c r="K177" s="5"/>
      <c r="L177" s="5"/>
      <c r="M177" s="5"/>
      <c r="N177" s="5"/>
      <c r="O177" s="57"/>
      <c r="P177" s="5"/>
      <c r="Q177" s="5"/>
      <c r="R177" s="5"/>
      <c r="S177" s="5"/>
      <c r="T177" s="5"/>
      <c r="U177" s="5"/>
      <c r="V177" s="5"/>
      <c r="W177" s="5"/>
      <c r="X177" s="5"/>
      <c r="Y177" s="5"/>
      <c r="Z177" s="5"/>
    </row>
    <row r="178" spans="1:26" ht="12.75" customHeight="1">
      <c r="A178" s="5"/>
      <c r="B178" s="5"/>
      <c r="C178" s="5"/>
      <c r="D178" s="5"/>
      <c r="E178" s="5"/>
      <c r="F178" s="5"/>
      <c r="G178" s="5"/>
      <c r="H178" s="306"/>
      <c r="I178" s="5"/>
      <c r="J178" s="5"/>
      <c r="K178" s="5"/>
      <c r="L178" s="5"/>
      <c r="M178" s="5"/>
      <c r="N178" s="5"/>
      <c r="O178" s="57"/>
      <c r="P178" s="5"/>
      <c r="Q178" s="5"/>
      <c r="R178" s="5"/>
      <c r="S178" s="5"/>
      <c r="T178" s="5"/>
      <c r="U178" s="5"/>
      <c r="V178" s="5"/>
      <c r="W178" s="5"/>
      <c r="X178" s="5"/>
      <c r="Y178" s="5"/>
      <c r="Z178" s="5"/>
    </row>
    <row r="179" spans="1:26" ht="12.75" customHeight="1">
      <c r="A179" s="5"/>
      <c r="B179" s="5"/>
      <c r="C179" s="5"/>
      <c r="D179" s="5"/>
      <c r="E179" s="5"/>
      <c r="F179" s="5"/>
      <c r="G179" s="5"/>
      <c r="H179" s="306"/>
      <c r="I179" s="5"/>
      <c r="J179" s="5"/>
      <c r="K179" s="5"/>
      <c r="L179" s="5"/>
      <c r="M179" s="5"/>
      <c r="N179" s="5"/>
      <c r="O179" s="57"/>
      <c r="P179" s="5"/>
      <c r="Q179" s="5"/>
      <c r="R179" s="5"/>
      <c r="S179" s="5"/>
      <c r="T179" s="5"/>
      <c r="U179" s="5"/>
      <c r="V179" s="5"/>
      <c r="W179" s="5"/>
      <c r="X179" s="5"/>
      <c r="Y179" s="5"/>
      <c r="Z179" s="5"/>
    </row>
    <row r="180" spans="1:26" ht="12.75" customHeight="1">
      <c r="A180" s="5"/>
      <c r="B180" s="5"/>
      <c r="C180" s="5"/>
      <c r="D180" s="5"/>
      <c r="E180" s="5"/>
      <c r="F180" s="5"/>
      <c r="G180" s="5"/>
      <c r="H180" s="306"/>
      <c r="I180" s="5"/>
      <c r="J180" s="5"/>
      <c r="K180" s="5"/>
      <c r="L180" s="5"/>
      <c r="M180" s="5"/>
      <c r="N180" s="5"/>
      <c r="O180" s="57"/>
      <c r="P180" s="5"/>
      <c r="Q180" s="5"/>
      <c r="R180" s="5"/>
      <c r="S180" s="5"/>
      <c r="T180" s="5"/>
      <c r="U180" s="5"/>
      <c r="V180" s="5"/>
      <c r="W180" s="5"/>
      <c r="X180" s="5"/>
      <c r="Y180" s="5"/>
      <c r="Z180" s="5"/>
    </row>
    <row r="181" spans="1:26" ht="12.75" customHeight="1">
      <c r="A181" s="5"/>
      <c r="B181" s="5"/>
      <c r="C181" s="5"/>
      <c r="D181" s="5"/>
      <c r="E181" s="5"/>
      <c r="F181" s="5"/>
      <c r="G181" s="5"/>
      <c r="H181" s="306"/>
      <c r="I181" s="5"/>
      <c r="J181" s="5"/>
      <c r="K181" s="5"/>
      <c r="L181" s="5"/>
      <c r="M181" s="5"/>
      <c r="N181" s="5"/>
      <c r="O181" s="57"/>
      <c r="P181" s="5"/>
      <c r="Q181" s="5"/>
      <c r="R181" s="5"/>
      <c r="S181" s="5"/>
      <c r="T181" s="5"/>
      <c r="U181" s="5"/>
      <c r="V181" s="5"/>
      <c r="W181" s="5"/>
      <c r="X181" s="5"/>
      <c r="Y181" s="5"/>
      <c r="Z181" s="5"/>
    </row>
    <row r="182" spans="1:26" ht="12.75" customHeight="1">
      <c r="A182" s="5"/>
      <c r="B182" s="5"/>
      <c r="C182" s="5"/>
      <c r="D182" s="5"/>
      <c r="E182" s="5"/>
      <c r="F182" s="5"/>
      <c r="G182" s="5"/>
      <c r="H182" s="306"/>
      <c r="I182" s="5"/>
      <c r="J182" s="5"/>
      <c r="K182" s="5"/>
      <c r="L182" s="5"/>
      <c r="M182" s="5"/>
      <c r="N182" s="5"/>
      <c r="O182" s="57"/>
      <c r="P182" s="5"/>
      <c r="Q182" s="5"/>
      <c r="R182" s="5"/>
      <c r="S182" s="5"/>
      <c r="T182" s="5"/>
      <c r="U182" s="5"/>
      <c r="V182" s="5"/>
      <c r="W182" s="5"/>
      <c r="X182" s="5"/>
      <c r="Y182" s="5"/>
      <c r="Z182" s="5"/>
    </row>
    <row r="183" spans="1:26" ht="12.75" customHeight="1">
      <c r="A183" s="5"/>
      <c r="B183" s="5"/>
      <c r="C183" s="5"/>
      <c r="D183" s="5"/>
      <c r="E183" s="5"/>
      <c r="F183" s="5"/>
      <c r="G183" s="5"/>
      <c r="H183" s="306"/>
      <c r="I183" s="5"/>
      <c r="J183" s="5"/>
      <c r="K183" s="5"/>
      <c r="L183" s="5"/>
      <c r="M183" s="5"/>
      <c r="N183" s="5"/>
      <c r="O183" s="57"/>
      <c r="P183" s="5"/>
      <c r="Q183" s="5"/>
      <c r="R183" s="5"/>
      <c r="S183" s="5"/>
      <c r="T183" s="5"/>
      <c r="U183" s="5"/>
      <c r="V183" s="5"/>
      <c r="W183" s="5"/>
      <c r="X183" s="5"/>
      <c r="Y183" s="5"/>
      <c r="Z183" s="5"/>
    </row>
    <row r="184" spans="1:26" ht="12.75" customHeight="1">
      <c r="A184" s="5"/>
      <c r="B184" s="5"/>
      <c r="C184" s="5"/>
      <c r="D184" s="5"/>
      <c r="E184" s="5"/>
      <c r="F184" s="5"/>
      <c r="G184" s="5"/>
      <c r="H184" s="306"/>
      <c r="I184" s="5"/>
      <c r="J184" s="5"/>
      <c r="K184" s="5"/>
      <c r="L184" s="5"/>
      <c r="M184" s="5"/>
      <c r="N184" s="5"/>
      <c r="O184" s="57"/>
      <c r="P184" s="5"/>
      <c r="Q184" s="5"/>
      <c r="R184" s="5"/>
      <c r="S184" s="5"/>
      <c r="T184" s="5"/>
      <c r="U184" s="5"/>
      <c r="V184" s="5"/>
      <c r="W184" s="5"/>
      <c r="X184" s="5"/>
      <c r="Y184" s="5"/>
      <c r="Z184" s="5"/>
    </row>
    <row r="185" spans="1:26" ht="12.75" customHeight="1">
      <c r="A185" s="5"/>
      <c r="B185" s="5"/>
      <c r="C185" s="5"/>
      <c r="D185" s="5"/>
      <c r="E185" s="5"/>
      <c r="F185" s="5"/>
      <c r="G185" s="5"/>
      <c r="H185" s="306"/>
      <c r="I185" s="5"/>
      <c r="J185" s="5"/>
      <c r="K185" s="5"/>
      <c r="L185" s="5"/>
      <c r="M185" s="5"/>
      <c r="N185" s="5"/>
      <c r="O185" s="57"/>
      <c r="P185" s="5"/>
      <c r="Q185" s="5"/>
      <c r="R185" s="5"/>
      <c r="S185" s="5"/>
      <c r="T185" s="5"/>
      <c r="U185" s="5"/>
      <c r="V185" s="5"/>
      <c r="W185" s="5"/>
      <c r="X185" s="5"/>
      <c r="Y185" s="5"/>
      <c r="Z185" s="5"/>
    </row>
    <row r="186" spans="1:26" ht="12.75" customHeight="1">
      <c r="A186" s="5"/>
      <c r="B186" s="5"/>
      <c r="C186" s="5"/>
      <c r="D186" s="5"/>
      <c r="E186" s="5"/>
      <c r="F186" s="5"/>
      <c r="G186" s="5"/>
      <c r="H186" s="306"/>
      <c r="I186" s="5"/>
      <c r="J186" s="5"/>
      <c r="K186" s="5"/>
      <c r="L186" s="5"/>
      <c r="M186" s="5"/>
      <c r="N186" s="5"/>
      <c r="O186" s="57"/>
      <c r="P186" s="5"/>
      <c r="Q186" s="5"/>
      <c r="R186" s="5"/>
      <c r="S186" s="5"/>
      <c r="T186" s="5"/>
      <c r="U186" s="5"/>
      <c r="V186" s="5"/>
      <c r="W186" s="5"/>
      <c r="X186" s="5"/>
      <c r="Y186" s="5"/>
      <c r="Z186" s="5"/>
    </row>
    <row r="187" spans="1:26" ht="12.75" customHeight="1">
      <c r="A187" s="5"/>
      <c r="B187" s="5"/>
      <c r="C187" s="5"/>
      <c r="D187" s="5"/>
      <c r="E187" s="5"/>
      <c r="F187" s="5"/>
      <c r="G187" s="5"/>
      <c r="H187" s="306"/>
      <c r="I187" s="5"/>
      <c r="J187" s="5"/>
      <c r="K187" s="5"/>
      <c r="L187" s="5"/>
      <c r="M187" s="5"/>
      <c r="N187" s="5"/>
      <c r="O187" s="57"/>
      <c r="P187" s="5"/>
      <c r="Q187" s="5"/>
      <c r="R187" s="5"/>
      <c r="S187" s="5"/>
      <c r="T187" s="5"/>
      <c r="U187" s="5"/>
      <c r="V187" s="5"/>
      <c r="W187" s="5"/>
      <c r="X187" s="5"/>
      <c r="Y187" s="5"/>
      <c r="Z187" s="5"/>
    </row>
    <row r="188" spans="1:26" ht="12.75" customHeight="1">
      <c r="A188" s="5"/>
      <c r="B188" s="5"/>
      <c r="C188" s="5"/>
      <c r="D188" s="5"/>
      <c r="E188" s="5"/>
      <c r="F188" s="5"/>
      <c r="G188" s="5"/>
      <c r="H188" s="306"/>
      <c r="I188" s="5"/>
      <c r="J188" s="5"/>
      <c r="K188" s="5"/>
      <c r="L188" s="5"/>
      <c r="M188" s="5"/>
      <c r="N188" s="5"/>
      <c r="O188" s="57"/>
      <c r="P188" s="5"/>
      <c r="Q188" s="5"/>
      <c r="R188" s="5"/>
      <c r="S188" s="5"/>
      <c r="T188" s="5"/>
      <c r="U188" s="5"/>
      <c r="V188" s="5"/>
      <c r="W188" s="5"/>
      <c r="X188" s="5"/>
      <c r="Y188" s="5"/>
      <c r="Z188" s="5"/>
    </row>
    <row r="189" spans="1:26" ht="12.75" customHeight="1">
      <c r="A189" s="5"/>
      <c r="B189" s="5"/>
      <c r="C189" s="5"/>
      <c r="D189" s="5"/>
      <c r="E189" s="5"/>
      <c r="F189" s="5"/>
      <c r="G189" s="5"/>
      <c r="H189" s="306"/>
      <c r="I189" s="5"/>
      <c r="J189" s="5"/>
      <c r="K189" s="5"/>
      <c r="L189" s="5"/>
      <c r="M189" s="5"/>
      <c r="N189" s="5"/>
      <c r="O189" s="57"/>
      <c r="P189" s="5"/>
      <c r="Q189" s="5"/>
      <c r="R189" s="5"/>
      <c r="S189" s="5"/>
      <c r="T189" s="5"/>
      <c r="U189" s="5"/>
      <c r="V189" s="5"/>
      <c r="W189" s="5"/>
      <c r="X189" s="5"/>
      <c r="Y189" s="5"/>
      <c r="Z189" s="5"/>
    </row>
    <row r="190" spans="1:26" ht="12.75" customHeight="1">
      <c r="A190" s="5"/>
      <c r="B190" s="5"/>
      <c r="C190" s="5"/>
      <c r="D190" s="5"/>
      <c r="E190" s="5"/>
      <c r="F190" s="5"/>
      <c r="G190" s="5"/>
      <c r="H190" s="306"/>
      <c r="I190" s="5"/>
      <c r="J190" s="5"/>
      <c r="K190" s="5"/>
      <c r="L190" s="5"/>
      <c r="M190" s="5"/>
      <c r="N190" s="5"/>
      <c r="O190" s="57"/>
      <c r="P190" s="5"/>
      <c r="Q190" s="5"/>
      <c r="R190" s="5"/>
      <c r="S190" s="5"/>
      <c r="T190" s="5"/>
      <c r="U190" s="5"/>
      <c r="V190" s="5"/>
      <c r="W190" s="5"/>
      <c r="X190" s="5"/>
      <c r="Y190" s="5"/>
      <c r="Z190" s="5"/>
    </row>
    <row r="191" spans="1:26" ht="12.75" customHeight="1">
      <c r="A191" s="5"/>
      <c r="B191" s="5"/>
      <c r="C191" s="5"/>
      <c r="D191" s="5"/>
      <c r="E191" s="5"/>
      <c r="F191" s="5"/>
      <c r="G191" s="5"/>
      <c r="H191" s="306"/>
      <c r="I191" s="5"/>
      <c r="J191" s="5"/>
      <c r="K191" s="5"/>
      <c r="L191" s="5"/>
      <c r="M191" s="5"/>
      <c r="N191" s="5"/>
      <c r="O191" s="57"/>
      <c r="P191" s="5"/>
      <c r="Q191" s="5"/>
      <c r="R191" s="5"/>
      <c r="S191" s="5"/>
      <c r="T191" s="5"/>
      <c r="U191" s="5"/>
      <c r="V191" s="5"/>
      <c r="W191" s="5"/>
      <c r="X191" s="5"/>
      <c r="Y191" s="5"/>
      <c r="Z191" s="5"/>
    </row>
    <row r="192" spans="1:26" ht="12.75" customHeight="1">
      <c r="A192" s="5"/>
      <c r="B192" s="5"/>
      <c r="C192" s="5"/>
      <c r="D192" s="5"/>
      <c r="E192" s="5"/>
      <c r="F192" s="5"/>
      <c r="G192" s="5"/>
      <c r="H192" s="306"/>
      <c r="I192" s="5"/>
      <c r="J192" s="5"/>
      <c r="K192" s="5"/>
      <c r="L192" s="5"/>
      <c r="M192" s="5"/>
      <c r="N192" s="5"/>
      <c r="O192" s="57"/>
      <c r="P192" s="5"/>
      <c r="Q192" s="5"/>
      <c r="R192" s="5"/>
      <c r="S192" s="5"/>
      <c r="T192" s="5"/>
      <c r="U192" s="5"/>
      <c r="V192" s="5"/>
      <c r="W192" s="5"/>
      <c r="X192" s="5"/>
      <c r="Y192" s="5"/>
      <c r="Z192" s="5"/>
    </row>
    <row r="193" spans="1:26" ht="12.75" customHeight="1">
      <c r="A193" s="5"/>
      <c r="B193" s="5"/>
      <c r="C193" s="5"/>
      <c r="D193" s="5"/>
      <c r="E193" s="5"/>
      <c r="F193" s="5"/>
      <c r="G193" s="5"/>
      <c r="H193" s="306"/>
      <c r="I193" s="5"/>
      <c r="J193" s="5"/>
      <c r="K193" s="5"/>
      <c r="L193" s="5"/>
      <c r="M193" s="5"/>
      <c r="N193" s="5"/>
      <c r="O193" s="57"/>
      <c r="P193" s="5"/>
      <c r="Q193" s="5"/>
      <c r="R193" s="5"/>
      <c r="S193" s="5"/>
      <c r="T193" s="5"/>
      <c r="U193" s="5"/>
      <c r="V193" s="5"/>
      <c r="W193" s="5"/>
      <c r="X193" s="5"/>
      <c r="Y193" s="5"/>
      <c r="Z193" s="5"/>
    </row>
    <row r="194" spans="1:26" ht="12.75" customHeight="1">
      <c r="A194" s="5"/>
      <c r="B194" s="5"/>
      <c r="C194" s="5"/>
      <c r="D194" s="5"/>
      <c r="E194" s="5"/>
      <c r="F194" s="5"/>
      <c r="G194" s="5"/>
      <c r="H194" s="306"/>
      <c r="I194" s="5"/>
      <c r="J194" s="5"/>
      <c r="K194" s="5"/>
      <c r="L194" s="5"/>
      <c r="M194" s="5"/>
      <c r="N194" s="5"/>
      <c r="O194" s="57"/>
      <c r="P194" s="5"/>
      <c r="Q194" s="5"/>
      <c r="R194" s="5"/>
      <c r="S194" s="5"/>
      <c r="T194" s="5"/>
      <c r="U194" s="5"/>
      <c r="V194" s="5"/>
      <c r="W194" s="5"/>
      <c r="X194" s="5"/>
      <c r="Y194" s="5"/>
      <c r="Z194" s="5"/>
    </row>
    <row r="195" spans="1:26" ht="12.75" customHeight="1">
      <c r="A195" s="5"/>
      <c r="B195" s="5"/>
      <c r="C195" s="5"/>
      <c r="D195" s="5"/>
      <c r="E195" s="5"/>
      <c r="F195" s="5"/>
      <c r="G195" s="5"/>
      <c r="H195" s="306"/>
      <c r="I195" s="5"/>
      <c r="J195" s="5"/>
      <c r="K195" s="5"/>
      <c r="L195" s="5"/>
      <c r="M195" s="5"/>
      <c r="N195" s="5"/>
      <c r="O195" s="57"/>
      <c r="P195" s="5"/>
      <c r="Q195" s="5"/>
      <c r="R195" s="5"/>
      <c r="S195" s="5"/>
      <c r="T195" s="5"/>
      <c r="U195" s="5"/>
      <c r="V195" s="5"/>
      <c r="W195" s="5"/>
      <c r="X195" s="5"/>
      <c r="Y195" s="5"/>
      <c r="Z195" s="5"/>
    </row>
    <row r="196" spans="1:26" ht="12.75" customHeight="1">
      <c r="A196" s="5"/>
      <c r="B196" s="5"/>
      <c r="C196" s="5"/>
      <c r="D196" s="5"/>
      <c r="E196" s="5"/>
      <c r="F196" s="5"/>
      <c r="G196" s="5"/>
      <c r="H196" s="306"/>
      <c r="I196" s="5"/>
      <c r="J196" s="5"/>
      <c r="K196" s="5"/>
      <c r="L196" s="5"/>
      <c r="M196" s="5"/>
      <c r="N196" s="5"/>
      <c r="O196" s="57"/>
      <c r="P196" s="5"/>
      <c r="Q196" s="5"/>
      <c r="R196" s="5"/>
      <c r="S196" s="5"/>
      <c r="T196" s="5"/>
      <c r="U196" s="5"/>
      <c r="V196" s="5"/>
      <c r="W196" s="5"/>
      <c r="X196" s="5"/>
      <c r="Y196" s="5"/>
      <c r="Z196" s="5"/>
    </row>
    <row r="197" spans="1:26" ht="12.75" customHeight="1">
      <c r="A197" s="5"/>
      <c r="B197" s="5"/>
      <c r="C197" s="5"/>
      <c r="D197" s="5"/>
      <c r="E197" s="5"/>
      <c r="F197" s="5"/>
      <c r="G197" s="5"/>
      <c r="H197" s="306"/>
      <c r="I197" s="5"/>
      <c r="J197" s="5"/>
      <c r="K197" s="5"/>
      <c r="L197" s="5"/>
      <c r="M197" s="5"/>
      <c r="N197" s="5"/>
      <c r="O197" s="57"/>
      <c r="P197" s="5"/>
      <c r="Q197" s="5"/>
      <c r="R197" s="5"/>
      <c r="S197" s="5"/>
      <c r="T197" s="5"/>
      <c r="U197" s="5"/>
      <c r="V197" s="5"/>
      <c r="W197" s="5"/>
      <c r="X197" s="5"/>
      <c r="Y197" s="5"/>
      <c r="Z197" s="5"/>
    </row>
    <row r="198" spans="1:26" ht="12.75" customHeight="1">
      <c r="A198" s="5"/>
      <c r="B198" s="5"/>
      <c r="C198" s="5"/>
      <c r="D198" s="5"/>
      <c r="E198" s="5"/>
      <c r="F198" s="5"/>
      <c r="G198" s="5"/>
      <c r="H198" s="306"/>
      <c r="I198" s="5"/>
      <c r="J198" s="5"/>
      <c r="K198" s="5"/>
      <c r="L198" s="5"/>
      <c r="M198" s="5"/>
      <c r="N198" s="5"/>
      <c r="O198" s="57"/>
      <c r="P198" s="5"/>
      <c r="Q198" s="5"/>
      <c r="R198" s="5"/>
      <c r="S198" s="5"/>
      <c r="T198" s="5"/>
      <c r="U198" s="5"/>
      <c r="V198" s="5"/>
      <c r="W198" s="5"/>
      <c r="X198" s="5"/>
      <c r="Y198" s="5"/>
      <c r="Z198" s="5"/>
    </row>
    <row r="199" spans="1:26" ht="12.75" customHeight="1">
      <c r="A199" s="5"/>
      <c r="B199" s="5"/>
      <c r="C199" s="5"/>
      <c r="D199" s="5"/>
      <c r="E199" s="5"/>
      <c r="F199" s="5"/>
      <c r="G199" s="5"/>
      <c r="H199" s="306"/>
      <c r="I199" s="5"/>
      <c r="J199" s="5"/>
      <c r="K199" s="5"/>
      <c r="L199" s="5"/>
      <c r="M199" s="5"/>
      <c r="N199" s="5"/>
      <c r="O199" s="57"/>
      <c r="P199" s="5"/>
      <c r="Q199" s="5"/>
      <c r="R199" s="5"/>
      <c r="S199" s="5"/>
      <c r="T199" s="5"/>
      <c r="U199" s="5"/>
      <c r="V199" s="5"/>
      <c r="W199" s="5"/>
      <c r="X199" s="5"/>
      <c r="Y199" s="5"/>
      <c r="Z199" s="5"/>
    </row>
    <row r="200" spans="1:26" ht="12.75" customHeight="1">
      <c r="A200" s="5"/>
      <c r="B200" s="5"/>
      <c r="C200" s="5"/>
      <c r="D200" s="5"/>
      <c r="E200" s="5"/>
      <c r="F200" s="5"/>
      <c r="G200" s="5"/>
      <c r="H200" s="306"/>
      <c r="I200" s="5"/>
      <c r="J200" s="5"/>
      <c r="K200" s="5"/>
      <c r="L200" s="5"/>
      <c r="M200" s="5"/>
      <c r="N200" s="5"/>
      <c r="O200" s="57"/>
      <c r="P200" s="5"/>
      <c r="Q200" s="5"/>
      <c r="R200" s="5"/>
      <c r="S200" s="5"/>
      <c r="T200" s="5"/>
      <c r="U200" s="5"/>
      <c r="V200" s="5"/>
      <c r="W200" s="5"/>
      <c r="X200" s="5"/>
      <c r="Y200" s="5"/>
      <c r="Z200" s="5"/>
    </row>
    <row r="201" spans="1:26" ht="12.75" customHeight="1">
      <c r="A201" s="5"/>
      <c r="B201" s="5"/>
      <c r="C201" s="5"/>
      <c r="D201" s="5"/>
      <c r="E201" s="5"/>
      <c r="F201" s="5"/>
      <c r="G201" s="5"/>
      <c r="H201" s="306"/>
      <c r="I201" s="5"/>
      <c r="J201" s="5"/>
      <c r="K201" s="5"/>
      <c r="L201" s="5"/>
      <c r="M201" s="5"/>
      <c r="N201" s="5"/>
      <c r="O201" s="57"/>
      <c r="P201" s="5"/>
      <c r="Q201" s="5"/>
      <c r="R201" s="5"/>
      <c r="S201" s="5"/>
      <c r="T201" s="5"/>
      <c r="U201" s="5"/>
      <c r="V201" s="5"/>
      <c r="W201" s="5"/>
      <c r="X201" s="5"/>
      <c r="Y201" s="5"/>
      <c r="Z201" s="5"/>
    </row>
    <row r="202" spans="1:26" ht="12.75" customHeight="1">
      <c r="A202" s="5"/>
      <c r="B202" s="5"/>
      <c r="C202" s="5"/>
      <c r="D202" s="5"/>
      <c r="E202" s="5"/>
      <c r="F202" s="5"/>
      <c r="G202" s="5"/>
      <c r="H202" s="306"/>
      <c r="I202" s="5"/>
      <c r="J202" s="5"/>
      <c r="K202" s="5"/>
      <c r="L202" s="5"/>
      <c r="M202" s="5"/>
      <c r="N202" s="5"/>
      <c r="O202" s="57"/>
      <c r="P202" s="5"/>
      <c r="Q202" s="5"/>
      <c r="R202" s="5"/>
      <c r="S202" s="5"/>
      <c r="T202" s="5"/>
      <c r="U202" s="5"/>
      <c r="V202" s="5"/>
      <c r="W202" s="5"/>
      <c r="X202" s="5"/>
      <c r="Y202" s="5"/>
      <c r="Z202" s="5"/>
    </row>
    <row r="203" spans="1:26" ht="12.75" customHeight="1">
      <c r="A203" s="5"/>
      <c r="B203" s="5"/>
      <c r="C203" s="5"/>
      <c r="D203" s="5"/>
      <c r="E203" s="5"/>
      <c r="F203" s="5"/>
      <c r="G203" s="5"/>
      <c r="H203" s="306"/>
      <c r="I203" s="5"/>
      <c r="J203" s="5"/>
      <c r="K203" s="5"/>
      <c r="L203" s="5"/>
      <c r="M203" s="5"/>
      <c r="N203" s="5"/>
      <c r="O203" s="57"/>
      <c r="P203" s="5"/>
      <c r="Q203" s="5"/>
      <c r="R203" s="5"/>
      <c r="S203" s="5"/>
      <c r="T203" s="5"/>
      <c r="U203" s="5"/>
      <c r="V203" s="5"/>
      <c r="W203" s="5"/>
      <c r="X203" s="5"/>
      <c r="Y203" s="5"/>
      <c r="Z203" s="5"/>
    </row>
    <row r="204" spans="1:26" ht="12.75" customHeight="1">
      <c r="A204" s="5"/>
      <c r="B204" s="5"/>
      <c r="C204" s="5"/>
      <c r="D204" s="5"/>
      <c r="E204" s="5"/>
      <c r="F204" s="5"/>
      <c r="G204" s="5"/>
      <c r="H204" s="306"/>
      <c r="I204" s="5"/>
      <c r="J204" s="5"/>
      <c r="K204" s="5"/>
      <c r="L204" s="5"/>
      <c r="M204" s="5"/>
      <c r="N204" s="5"/>
      <c r="O204" s="57"/>
      <c r="P204" s="5"/>
      <c r="Q204" s="5"/>
      <c r="R204" s="5"/>
      <c r="S204" s="5"/>
      <c r="T204" s="5"/>
      <c r="U204" s="5"/>
      <c r="V204" s="5"/>
      <c r="W204" s="5"/>
      <c r="X204" s="5"/>
      <c r="Y204" s="5"/>
      <c r="Z204" s="5"/>
    </row>
    <row r="205" spans="1:26" ht="12.75" customHeight="1">
      <c r="A205" s="5"/>
      <c r="B205" s="5"/>
      <c r="C205" s="5"/>
      <c r="D205" s="5"/>
      <c r="E205" s="5"/>
      <c r="F205" s="5"/>
      <c r="G205" s="5"/>
      <c r="H205" s="306"/>
      <c r="I205" s="5"/>
      <c r="J205" s="5"/>
      <c r="K205" s="5"/>
      <c r="L205" s="5"/>
      <c r="M205" s="5"/>
      <c r="N205" s="5"/>
      <c r="O205" s="57"/>
      <c r="P205" s="5"/>
      <c r="Q205" s="5"/>
      <c r="R205" s="5"/>
      <c r="S205" s="5"/>
      <c r="T205" s="5"/>
      <c r="U205" s="5"/>
      <c r="V205" s="5"/>
      <c r="W205" s="5"/>
      <c r="X205" s="5"/>
      <c r="Y205" s="5"/>
      <c r="Z205" s="5"/>
    </row>
    <row r="206" spans="1:26" ht="12.75" customHeight="1">
      <c r="A206" s="5"/>
      <c r="B206" s="5"/>
      <c r="C206" s="5"/>
      <c r="D206" s="5"/>
      <c r="E206" s="5"/>
      <c r="F206" s="5"/>
      <c r="G206" s="5"/>
      <c r="H206" s="306"/>
      <c r="I206" s="5"/>
      <c r="J206" s="5"/>
      <c r="K206" s="5"/>
      <c r="L206" s="5"/>
      <c r="M206" s="5"/>
      <c r="N206" s="5"/>
      <c r="O206" s="57"/>
      <c r="P206" s="5"/>
      <c r="Q206" s="5"/>
      <c r="R206" s="5"/>
      <c r="S206" s="5"/>
      <c r="T206" s="5"/>
      <c r="U206" s="5"/>
      <c r="V206" s="5"/>
      <c r="W206" s="5"/>
      <c r="X206" s="5"/>
      <c r="Y206" s="5"/>
      <c r="Z206" s="5"/>
    </row>
    <row r="207" spans="1:26" ht="12.75" customHeight="1">
      <c r="A207" s="5"/>
      <c r="B207" s="5"/>
      <c r="C207" s="5"/>
      <c r="D207" s="5"/>
      <c r="E207" s="5"/>
      <c r="F207" s="5"/>
      <c r="G207" s="5"/>
      <c r="H207" s="306"/>
      <c r="I207" s="5"/>
      <c r="J207" s="5"/>
      <c r="K207" s="5"/>
      <c r="L207" s="5"/>
      <c r="M207" s="5"/>
      <c r="N207" s="5"/>
      <c r="O207" s="57"/>
      <c r="P207" s="5"/>
      <c r="Q207" s="5"/>
      <c r="R207" s="5"/>
      <c r="S207" s="5"/>
      <c r="T207" s="5"/>
      <c r="U207" s="5"/>
      <c r="V207" s="5"/>
      <c r="W207" s="5"/>
      <c r="X207" s="5"/>
      <c r="Y207" s="5"/>
      <c r="Z207" s="5"/>
    </row>
    <row r="208" spans="1:26" ht="12.75" customHeight="1">
      <c r="A208" s="5"/>
      <c r="B208" s="5"/>
      <c r="C208" s="5"/>
      <c r="D208" s="5"/>
      <c r="E208" s="5"/>
      <c r="F208" s="5"/>
      <c r="G208" s="5"/>
      <c r="H208" s="306"/>
      <c r="I208" s="5"/>
      <c r="J208" s="5"/>
      <c r="K208" s="5"/>
      <c r="L208" s="5"/>
      <c r="M208" s="5"/>
      <c r="N208" s="5"/>
      <c r="O208" s="57"/>
      <c r="P208" s="5"/>
      <c r="Q208" s="5"/>
      <c r="R208" s="5"/>
      <c r="S208" s="5"/>
      <c r="T208" s="5"/>
      <c r="U208" s="5"/>
      <c r="V208" s="5"/>
      <c r="W208" s="5"/>
      <c r="X208" s="5"/>
      <c r="Y208" s="5"/>
      <c r="Z208" s="5"/>
    </row>
    <row r="209" spans="1:26" ht="12.75" customHeight="1">
      <c r="A209" s="5"/>
      <c r="B209" s="5"/>
      <c r="C209" s="5"/>
      <c r="D209" s="5"/>
      <c r="E209" s="5"/>
      <c r="F209" s="5"/>
      <c r="G209" s="5"/>
      <c r="H209" s="306"/>
      <c r="I209" s="5"/>
      <c r="J209" s="5"/>
      <c r="K209" s="5"/>
      <c r="L209" s="5"/>
      <c r="M209" s="5"/>
      <c r="N209" s="5"/>
      <c r="O209" s="57"/>
      <c r="P209" s="5"/>
      <c r="Q209" s="5"/>
      <c r="R209" s="5"/>
      <c r="S209" s="5"/>
      <c r="T209" s="5"/>
      <c r="U209" s="5"/>
      <c r="V209" s="5"/>
      <c r="W209" s="5"/>
      <c r="X209" s="5"/>
      <c r="Y209" s="5"/>
      <c r="Z209" s="5"/>
    </row>
    <row r="210" spans="1:26" ht="12.75" customHeight="1">
      <c r="A210" s="5"/>
      <c r="B210" s="5"/>
      <c r="C210" s="5"/>
      <c r="D210" s="5"/>
      <c r="E210" s="5"/>
      <c r="F210" s="5"/>
      <c r="G210" s="5"/>
      <c r="H210" s="306"/>
      <c r="I210" s="5"/>
      <c r="J210" s="5"/>
      <c r="K210" s="5"/>
      <c r="L210" s="5"/>
      <c r="M210" s="5"/>
      <c r="N210" s="5"/>
      <c r="O210" s="57"/>
      <c r="P210" s="5"/>
      <c r="Q210" s="5"/>
      <c r="R210" s="5"/>
      <c r="S210" s="5"/>
      <c r="T210" s="5"/>
      <c r="U210" s="5"/>
      <c r="V210" s="5"/>
      <c r="W210" s="5"/>
      <c r="X210" s="5"/>
      <c r="Y210" s="5"/>
      <c r="Z210" s="5"/>
    </row>
    <row r="211" spans="1:26" ht="12.75" customHeight="1">
      <c r="A211" s="5"/>
      <c r="B211" s="5"/>
      <c r="C211" s="5"/>
      <c r="D211" s="5"/>
      <c r="E211" s="5"/>
      <c r="F211" s="5"/>
      <c r="G211" s="5"/>
      <c r="H211" s="306"/>
      <c r="I211" s="5"/>
      <c r="J211" s="5"/>
      <c r="K211" s="5"/>
      <c r="L211" s="5"/>
      <c r="M211" s="5"/>
      <c r="N211" s="5"/>
      <c r="O211" s="57"/>
      <c r="P211" s="5"/>
      <c r="Q211" s="5"/>
      <c r="R211" s="5"/>
      <c r="S211" s="5"/>
      <c r="T211" s="5"/>
      <c r="U211" s="5"/>
      <c r="V211" s="5"/>
      <c r="W211" s="5"/>
      <c r="X211" s="5"/>
      <c r="Y211" s="5"/>
      <c r="Z211" s="5"/>
    </row>
    <row r="212" spans="1:26" ht="12.75" customHeight="1">
      <c r="A212" s="5"/>
      <c r="B212" s="5"/>
      <c r="C212" s="5"/>
      <c r="D212" s="5"/>
      <c r="E212" s="5"/>
      <c r="F212" s="5"/>
      <c r="G212" s="5"/>
      <c r="H212" s="306"/>
      <c r="I212" s="5"/>
      <c r="J212" s="5"/>
      <c r="K212" s="5"/>
      <c r="L212" s="5"/>
      <c r="M212" s="5"/>
      <c r="N212" s="5"/>
      <c r="O212" s="57"/>
      <c r="P212" s="5"/>
      <c r="Q212" s="5"/>
      <c r="R212" s="5"/>
      <c r="S212" s="5"/>
      <c r="T212" s="5"/>
      <c r="U212" s="5"/>
      <c r="V212" s="5"/>
      <c r="W212" s="5"/>
      <c r="X212" s="5"/>
      <c r="Y212" s="5"/>
      <c r="Z212" s="5"/>
    </row>
    <row r="213" spans="1:26" ht="12.75" customHeight="1">
      <c r="A213" s="5"/>
      <c r="B213" s="5"/>
      <c r="C213" s="5"/>
      <c r="D213" s="5"/>
      <c r="E213" s="5"/>
      <c r="F213" s="5"/>
      <c r="G213" s="5"/>
      <c r="H213" s="306"/>
      <c r="I213" s="5"/>
      <c r="J213" s="5"/>
      <c r="K213" s="5"/>
      <c r="L213" s="5"/>
      <c r="M213" s="5"/>
      <c r="N213" s="5"/>
      <c r="O213" s="57"/>
      <c r="P213" s="5"/>
      <c r="Q213" s="5"/>
      <c r="R213" s="5"/>
      <c r="S213" s="5"/>
      <c r="T213" s="5"/>
      <c r="U213" s="5"/>
      <c r="V213" s="5"/>
      <c r="W213" s="5"/>
      <c r="X213" s="5"/>
      <c r="Y213" s="5"/>
      <c r="Z213" s="5"/>
    </row>
    <row r="214" spans="1:26" ht="12.75" customHeight="1">
      <c r="A214" s="5"/>
      <c r="B214" s="5"/>
      <c r="C214" s="5"/>
      <c r="D214" s="5"/>
      <c r="E214" s="5"/>
      <c r="F214" s="5"/>
      <c r="G214" s="5"/>
      <c r="H214" s="306"/>
      <c r="I214" s="5"/>
      <c r="J214" s="5"/>
      <c r="K214" s="5"/>
      <c r="L214" s="5"/>
      <c r="M214" s="5"/>
      <c r="N214" s="5"/>
      <c r="O214" s="57"/>
      <c r="P214" s="5"/>
      <c r="Q214" s="5"/>
      <c r="R214" s="5"/>
      <c r="S214" s="5"/>
      <c r="T214" s="5"/>
      <c r="U214" s="5"/>
      <c r="V214" s="5"/>
      <c r="W214" s="5"/>
      <c r="X214" s="5"/>
      <c r="Y214" s="5"/>
      <c r="Z214" s="5"/>
    </row>
    <row r="215" spans="1:26" ht="12.75" customHeight="1">
      <c r="A215" s="5"/>
      <c r="B215" s="5"/>
      <c r="C215" s="5"/>
      <c r="D215" s="5"/>
      <c r="E215" s="5"/>
      <c r="F215" s="5"/>
      <c r="G215" s="5"/>
      <c r="H215" s="306"/>
      <c r="I215" s="5"/>
      <c r="J215" s="5"/>
      <c r="K215" s="5"/>
      <c r="L215" s="5"/>
      <c r="M215" s="5"/>
      <c r="N215" s="5"/>
      <c r="O215" s="57"/>
      <c r="P215" s="5"/>
      <c r="Q215" s="5"/>
      <c r="R215" s="5"/>
      <c r="S215" s="5"/>
      <c r="T215" s="5"/>
      <c r="U215" s="5"/>
      <c r="V215" s="5"/>
      <c r="W215" s="5"/>
      <c r="X215" s="5"/>
      <c r="Y215" s="5"/>
      <c r="Z215" s="5"/>
    </row>
    <row r="216" spans="1:26" ht="12.75" customHeight="1">
      <c r="A216" s="5"/>
      <c r="B216" s="5"/>
      <c r="C216" s="5"/>
      <c r="D216" s="5"/>
      <c r="E216" s="5"/>
      <c r="F216" s="5"/>
      <c r="G216" s="5"/>
      <c r="H216" s="306"/>
      <c r="I216" s="5"/>
      <c r="J216" s="5"/>
      <c r="K216" s="5"/>
      <c r="L216" s="5"/>
      <c r="M216" s="5"/>
      <c r="N216" s="5"/>
      <c r="O216" s="57"/>
      <c r="P216" s="5"/>
      <c r="Q216" s="5"/>
      <c r="R216" s="5"/>
      <c r="S216" s="5"/>
      <c r="T216" s="5"/>
      <c r="U216" s="5"/>
      <c r="V216" s="5"/>
      <c r="W216" s="5"/>
      <c r="X216" s="5"/>
      <c r="Y216" s="5"/>
      <c r="Z216" s="5"/>
    </row>
    <row r="217" spans="1:26" ht="12.75" customHeight="1">
      <c r="A217" s="5"/>
      <c r="B217" s="5"/>
      <c r="C217" s="5"/>
      <c r="D217" s="5"/>
      <c r="E217" s="5"/>
      <c r="F217" s="5"/>
      <c r="G217" s="5"/>
      <c r="H217" s="306"/>
      <c r="I217" s="5"/>
      <c r="J217" s="5"/>
      <c r="K217" s="5"/>
      <c r="L217" s="5"/>
      <c r="M217" s="5"/>
      <c r="N217" s="5"/>
      <c r="O217" s="57"/>
      <c r="P217" s="5"/>
      <c r="Q217" s="5"/>
      <c r="R217" s="5"/>
      <c r="S217" s="5"/>
      <c r="T217" s="5"/>
      <c r="U217" s="5"/>
      <c r="V217" s="5"/>
      <c r="W217" s="5"/>
      <c r="X217" s="5"/>
      <c r="Y217" s="5"/>
      <c r="Z217" s="5"/>
    </row>
    <row r="218" spans="1:26" ht="12.75" customHeight="1">
      <c r="A218" s="5"/>
      <c r="B218" s="5"/>
      <c r="C218" s="5"/>
      <c r="D218" s="5"/>
      <c r="E218" s="5"/>
      <c r="F218" s="5"/>
      <c r="G218" s="5"/>
      <c r="H218" s="306"/>
      <c r="I218" s="5"/>
      <c r="J218" s="5"/>
      <c r="K218" s="5"/>
      <c r="L218" s="5"/>
      <c r="M218" s="5"/>
      <c r="N218" s="5"/>
      <c r="O218" s="57"/>
      <c r="P218" s="5"/>
      <c r="Q218" s="5"/>
      <c r="R218" s="5"/>
      <c r="S218" s="5"/>
      <c r="T218" s="5"/>
      <c r="U218" s="5"/>
      <c r="V218" s="5"/>
      <c r="W218" s="5"/>
      <c r="X218" s="5"/>
      <c r="Y218" s="5"/>
      <c r="Z218" s="5"/>
    </row>
    <row r="219" spans="1:26" ht="12.75" customHeight="1">
      <c r="A219" s="5"/>
      <c r="B219" s="5"/>
      <c r="C219" s="5"/>
      <c r="D219" s="5"/>
      <c r="E219" s="5"/>
      <c r="F219" s="5"/>
      <c r="G219" s="5"/>
      <c r="H219" s="306"/>
      <c r="I219" s="5"/>
      <c r="J219" s="5"/>
      <c r="K219" s="5"/>
      <c r="L219" s="5"/>
      <c r="M219" s="5"/>
      <c r="N219" s="5"/>
      <c r="O219" s="57"/>
      <c r="P219" s="5"/>
      <c r="Q219" s="5"/>
      <c r="R219" s="5"/>
      <c r="S219" s="5"/>
      <c r="T219" s="5"/>
      <c r="U219" s="5"/>
      <c r="V219" s="5"/>
      <c r="W219" s="5"/>
      <c r="X219" s="5"/>
      <c r="Y219" s="5"/>
      <c r="Z219" s="5"/>
    </row>
    <row r="220" spans="1:26" ht="12.75" customHeight="1">
      <c r="A220" s="5"/>
      <c r="B220" s="5"/>
      <c r="C220" s="5"/>
      <c r="D220" s="5"/>
      <c r="E220" s="5"/>
      <c r="F220" s="5"/>
      <c r="G220" s="5"/>
      <c r="H220" s="306"/>
      <c r="I220" s="5"/>
      <c r="J220" s="5"/>
      <c r="K220" s="5"/>
      <c r="L220" s="5"/>
      <c r="M220" s="5"/>
      <c r="N220" s="5"/>
      <c r="O220" s="57"/>
      <c r="P220" s="5"/>
      <c r="Q220" s="5"/>
      <c r="R220" s="5"/>
      <c r="S220" s="5"/>
      <c r="T220" s="5"/>
      <c r="U220" s="5"/>
      <c r="V220" s="5"/>
      <c r="W220" s="5"/>
      <c r="X220" s="5"/>
      <c r="Y220" s="5"/>
      <c r="Z220" s="5"/>
    </row>
    <row r="221" spans="1:26" ht="12.75" customHeight="1">
      <c r="A221" s="5"/>
      <c r="B221" s="5"/>
      <c r="C221" s="5"/>
      <c r="D221" s="5"/>
      <c r="E221" s="5"/>
      <c r="F221" s="5"/>
      <c r="G221" s="5"/>
      <c r="H221" s="306"/>
      <c r="I221" s="5"/>
      <c r="J221" s="5"/>
      <c r="K221" s="5"/>
      <c r="L221" s="5"/>
      <c r="M221" s="5"/>
      <c r="N221" s="5"/>
      <c r="O221" s="57"/>
      <c r="P221" s="5"/>
      <c r="Q221" s="5"/>
      <c r="R221" s="5"/>
      <c r="S221" s="5"/>
      <c r="T221" s="5"/>
      <c r="U221" s="5"/>
      <c r="V221" s="5"/>
      <c r="W221" s="5"/>
      <c r="X221" s="5"/>
      <c r="Y221" s="5"/>
      <c r="Z221" s="5"/>
    </row>
    <row r="222" spans="1:26" ht="12.75" customHeight="1">
      <c r="A222" s="5"/>
      <c r="B222" s="5"/>
      <c r="C222" s="5"/>
      <c r="D222" s="5"/>
      <c r="E222" s="5"/>
      <c r="F222" s="5"/>
      <c r="G222" s="5"/>
      <c r="H222" s="306"/>
      <c r="I222" s="5"/>
      <c r="J222" s="5"/>
      <c r="K222" s="5"/>
      <c r="L222" s="5"/>
      <c r="M222" s="5"/>
      <c r="N222" s="5"/>
      <c r="O222" s="57"/>
      <c r="P222" s="5"/>
      <c r="Q222" s="5"/>
      <c r="R222" s="5"/>
      <c r="S222" s="5"/>
      <c r="T222" s="5"/>
      <c r="U222" s="5"/>
      <c r="V222" s="5"/>
      <c r="W222" s="5"/>
      <c r="X222" s="5"/>
      <c r="Y222" s="5"/>
      <c r="Z222" s="5"/>
    </row>
    <row r="223" spans="1:26" ht="12.75" customHeight="1">
      <c r="A223" s="5"/>
      <c r="B223" s="5"/>
      <c r="C223" s="5"/>
      <c r="D223" s="5"/>
      <c r="E223" s="5"/>
      <c r="F223" s="5"/>
      <c r="G223" s="5"/>
      <c r="H223" s="306"/>
      <c r="I223" s="5"/>
      <c r="J223" s="5"/>
      <c r="K223" s="5"/>
      <c r="L223" s="5"/>
      <c r="M223" s="5"/>
      <c r="N223" s="5"/>
      <c r="O223" s="57"/>
      <c r="P223" s="5"/>
      <c r="Q223" s="5"/>
      <c r="R223" s="5"/>
      <c r="S223" s="5"/>
      <c r="T223" s="5"/>
      <c r="U223" s="5"/>
      <c r="V223" s="5"/>
      <c r="W223" s="5"/>
      <c r="X223" s="5"/>
      <c r="Y223" s="5"/>
      <c r="Z223" s="5"/>
    </row>
    <row r="224" spans="1:26" ht="12.75" customHeight="1">
      <c r="A224" s="5"/>
      <c r="B224" s="5"/>
      <c r="C224" s="5"/>
      <c r="D224" s="5"/>
      <c r="E224" s="5"/>
      <c r="F224" s="5"/>
      <c r="G224" s="5"/>
      <c r="H224" s="306"/>
      <c r="I224" s="5"/>
      <c r="J224" s="5"/>
      <c r="K224" s="5"/>
      <c r="L224" s="5"/>
      <c r="M224" s="5"/>
      <c r="N224" s="5"/>
      <c r="O224" s="57"/>
      <c r="P224" s="5"/>
      <c r="Q224" s="5"/>
      <c r="R224" s="5"/>
      <c r="S224" s="5"/>
      <c r="T224" s="5"/>
      <c r="U224" s="5"/>
      <c r="V224" s="5"/>
      <c r="W224" s="5"/>
      <c r="X224" s="5"/>
      <c r="Y224" s="5"/>
      <c r="Z224" s="5"/>
    </row>
    <row r="225" spans="1:26" ht="12.75" customHeight="1">
      <c r="A225" s="5"/>
      <c r="B225" s="5"/>
      <c r="C225" s="5"/>
      <c r="D225" s="5"/>
      <c r="E225" s="5"/>
      <c r="F225" s="5"/>
      <c r="G225" s="5"/>
      <c r="H225" s="306"/>
      <c r="I225" s="5"/>
      <c r="J225" s="5"/>
      <c r="K225" s="5"/>
      <c r="L225" s="5"/>
      <c r="M225" s="5"/>
      <c r="N225" s="5"/>
      <c r="O225" s="57"/>
      <c r="P225" s="5"/>
      <c r="Q225" s="5"/>
      <c r="R225" s="5"/>
      <c r="S225" s="5"/>
      <c r="T225" s="5"/>
      <c r="U225" s="5"/>
      <c r="V225" s="5"/>
      <c r="W225" s="5"/>
      <c r="X225" s="5"/>
      <c r="Y225" s="5"/>
      <c r="Z225" s="5"/>
    </row>
    <row r="226" spans="1:26" ht="12.75" customHeight="1">
      <c r="A226" s="5"/>
      <c r="B226" s="5"/>
      <c r="C226" s="5"/>
      <c r="D226" s="5"/>
      <c r="E226" s="5"/>
      <c r="F226" s="5"/>
      <c r="G226" s="5"/>
      <c r="H226" s="306"/>
      <c r="I226" s="5"/>
      <c r="J226" s="5"/>
      <c r="K226" s="5"/>
      <c r="L226" s="5"/>
      <c r="M226" s="5"/>
      <c r="N226" s="5"/>
      <c r="O226" s="57"/>
      <c r="P226" s="5"/>
      <c r="Q226" s="5"/>
      <c r="R226" s="5"/>
      <c r="S226" s="5"/>
      <c r="T226" s="5"/>
      <c r="U226" s="5"/>
      <c r="V226" s="5"/>
      <c r="W226" s="5"/>
      <c r="X226" s="5"/>
      <c r="Y226" s="5"/>
      <c r="Z226" s="5"/>
    </row>
    <row r="227" spans="1:26" ht="12.75" customHeight="1">
      <c r="A227" s="5"/>
      <c r="B227" s="5"/>
      <c r="C227" s="5"/>
      <c r="D227" s="5"/>
      <c r="E227" s="5"/>
      <c r="F227" s="5"/>
      <c r="G227" s="5"/>
      <c r="H227" s="306"/>
      <c r="I227" s="5"/>
      <c r="J227" s="5"/>
      <c r="K227" s="5"/>
      <c r="L227" s="5"/>
      <c r="M227" s="5"/>
      <c r="N227" s="5"/>
      <c r="O227" s="57"/>
      <c r="P227" s="5"/>
      <c r="Q227" s="5"/>
      <c r="R227" s="5"/>
      <c r="S227" s="5"/>
      <c r="T227" s="5"/>
      <c r="U227" s="5"/>
      <c r="V227" s="5"/>
      <c r="W227" s="5"/>
      <c r="X227" s="5"/>
      <c r="Y227" s="5"/>
      <c r="Z227" s="5"/>
    </row>
    <row r="228" spans="1:26" ht="12.75" customHeight="1">
      <c r="A228" s="5"/>
      <c r="B228" s="5"/>
      <c r="C228" s="5"/>
      <c r="D228" s="5"/>
      <c r="E228" s="5"/>
      <c r="F228" s="5"/>
      <c r="G228" s="5"/>
      <c r="H228" s="306"/>
      <c r="I228" s="5"/>
      <c r="J228" s="5"/>
      <c r="K228" s="5"/>
      <c r="L228" s="5"/>
      <c r="M228" s="5"/>
      <c r="N228" s="5"/>
      <c r="O228" s="57"/>
      <c r="P228" s="5"/>
      <c r="Q228" s="5"/>
      <c r="R228" s="5"/>
      <c r="S228" s="5"/>
      <c r="T228" s="5"/>
      <c r="U228" s="5"/>
      <c r="V228" s="5"/>
      <c r="W228" s="5"/>
      <c r="X228" s="5"/>
      <c r="Y228" s="5"/>
      <c r="Z228" s="5"/>
    </row>
    <row r="229" spans="1:26" ht="12.75" customHeight="1">
      <c r="A229" s="5"/>
      <c r="B229" s="5"/>
      <c r="C229" s="5"/>
      <c r="D229" s="5"/>
      <c r="E229" s="5"/>
      <c r="F229" s="5"/>
      <c r="G229" s="5"/>
      <c r="H229" s="306"/>
      <c r="I229" s="5"/>
      <c r="J229" s="5"/>
      <c r="K229" s="5"/>
      <c r="L229" s="5"/>
      <c r="M229" s="5"/>
      <c r="N229" s="5"/>
      <c r="O229" s="57"/>
      <c r="P229" s="5"/>
      <c r="Q229" s="5"/>
      <c r="R229" s="5"/>
      <c r="S229" s="5"/>
      <c r="T229" s="5"/>
      <c r="U229" s="5"/>
      <c r="V229" s="5"/>
      <c r="W229" s="5"/>
      <c r="X229" s="5"/>
      <c r="Y229" s="5"/>
      <c r="Z229" s="5"/>
    </row>
    <row r="230" spans="1:26" ht="12.75" customHeight="1">
      <c r="A230" s="5"/>
      <c r="B230" s="5"/>
      <c r="C230" s="5"/>
      <c r="D230" s="5"/>
      <c r="E230" s="5"/>
      <c r="F230" s="5"/>
      <c r="G230" s="5"/>
      <c r="H230" s="306"/>
      <c r="I230" s="5"/>
      <c r="J230" s="5"/>
      <c r="K230" s="5"/>
      <c r="L230" s="5"/>
      <c r="M230" s="5"/>
      <c r="N230" s="5"/>
      <c r="O230" s="57"/>
      <c r="P230" s="5"/>
      <c r="Q230" s="5"/>
      <c r="R230" s="5"/>
      <c r="S230" s="5"/>
      <c r="T230" s="5"/>
      <c r="U230" s="5"/>
      <c r="V230" s="5"/>
      <c r="W230" s="5"/>
      <c r="X230" s="5"/>
      <c r="Y230" s="5"/>
      <c r="Z230" s="5"/>
    </row>
    <row r="231" spans="1:26" ht="12.75" customHeight="1">
      <c r="A231" s="5"/>
      <c r="B231" s="5"/>
      <c r="C231" s="5"/>
      <c r="D231" s="5"/>
      <c r="E231" s="5"/>
      <c r="F231" s="5"/>
      <c r="G231" s="5"/>
      <c r="H231" s="306"/>
      <c r="I231" s="5"/>
      <c r="J231" s="5"/>
      <c r="K231" s="5"/>
      <c r="L231" s="5"/>
      <c r="M231" s="5"/>
      <c r="N231" s="5"/>
      <c r="O231" s="57"/>
      <c r="P231" s="5"/>
      <c r="Q231" s="5"/>
      <c r="R231" s="5"/>
      <c r="S231" s="5"/>
      <c r="T231" s="5"/>
      <c r="U231" s="5"/>
      <c r="V231" s="5"/>
      <c r="W231" s="5"/>
      <c r="X231" s="5"/>
      <c r="Y231" s="5"/>
      <c r="Z231" s="5"/>
    </row>
    <row r="232" spans="1:26" ht="12.75" customHeight="1">
      <c r="A232" s="5"/>
      <c r="B232" s="5"/>
      <c r="C232" s="5"/>
      <c r="D232" s="5"/>
      <c r="E232" s="5"/>
      <c r="F232" s="5"/>
      <c r="G232" s="5"/>
      <c r="H232" s="306"/>
      <c r="I232" s="5"/>
      <c r="J232" s="5"/>
      <c r="K232" s="5"/>
      <c r="L232" s="5"/>
      <c r="M232" s="5"/>
      <c r="N232" s="5"/>
      <c r="O232" s="57"/>
      <c r="P232" s="5"/>
      <c r="Q232" s="5"/>
      <c r="R232" s="5"/>
      <c r="S232" s="5"/>
      <c r="T232" s="5"/>
      <c r="U232" s="5"/>
      <c r="V232" s="5"/>
      <c r="W232" s="5"/>
      <c r="X232" s="5"/>
      <c r="Y232" s="5"/>
      <c r="Z232" s="5"/>
    </row>
    <row r="233" spans="1:26" ht="12.75" customHeight="1">
      <c r="A233" s="5"/>
      <c r="B233" s="5"/>
      <c r="C233" s="5"/>
      <c r="D233" s="5"/>
      <c r="E233" s="5"/>
      <c r="F233" s="5"/>
      <c r="G233" s="5"/>
      <c r="H233" s="306"/>
      <c r="I233" s="5"/>
      <c r="J233" s="5"/>
      <c r="K233" s="5"/>
      <c r="L233" s="5"/>
      <c r="M233" s="5"/>
      <c r="N233" s="5"/>
      <c r="O233" s="57"/>
      <c r="P233" s="5"/>
      <c r="Q233" s="5"/>
      <c r="R233" s="5"/>
      <c r="S233" s="5"/>
      <c r="T233" s="5"/>
      <c r="U233" s="5"/>
      <c r="V233" s="5"/>
      <c r="W233" s="5"/>
      <c r="X233" s="5"/>
      <c r="Y233" s="5"/>
      <c r="Z233" s="5"/>
    </row>
    <row r="234" spans="1:26" ht="12.75" customHeight="1">
      <c r="A234" s="5"/>
      <c r="B234" s="5"/>
      <c r="C234" s="5"/>
      <c r="D234" s="5"/>
      <c r="E234" s="5"/>
      <c r="F234" s="5"/>
      <c r="G234" s="5"/>
      <c r="H234" s="306"/>
      <c r="I234" s="5"/>
      <c r="J234" s="5"/>
      <c r="K234" s="5"/>
      <c r="L234" s="5"/>
      <c r="M234" s="5"/>
      <c r="N234" s="5"/>
      <c r="O234" s="57"/>
      <c r="P234" s="5"/>
      <c r="Q234" s="5"/>
      <c r="R234" s="5"/>
      <c r="S234" s="5"/>
      <c r="T234" s="5"/>
      <c r="U234" s="5"/>
      <c r="V234" s="5"/>
      <c r="W234" s="5"/>
      <c r="X234" s="5"/>
      <c r="Y234" s="5"/>
      <c r="Z234" s="5"/>
    </row>
    <row r="235" spans="1:26" ht="12.75" customHeight="1">
      <c r="A235" s="5"/>
      <c r="B235" s="5"/>
      <c r="C235" s="5"/>
      <c r="D235" s="5"/>
      <c r="E235" s="5"/>
      <c r="F235" s="5"/>
      <c r="G235" s="5"/>
      <c r="H235" s="306"/>
      <c r="I235" s="5"/>
      <c r="J235" s="5"/>
      <c r="K235" s="5"/>
      <c r="L235" s="5"/>
      <c r="M235" s="5"/>
      <c r="N235" s="5"/>
      <c r="O235" s="57"/>
      <c r="P235" s="5"/>
      <c r="Q235" s="5"/>
      <c r="R235" s="5"/>
      <c r="S235" s="5"/>
      <c r="T235" s="5"/>
      <c r="U235" s="5"/>
      <c r="V235" s="5"/>
      <c r="W235" s="5"/>
      <c r="X235" s="5"/>
      <c r="Y235" s="5"/>
      <c r="Z235" s="5"/>
    </row>
    <row r="236" spans="1:26" ht="12.75" customHeight="1">
      <c r="A236" s="5"/>
      <c r="B236" s="5"/>
      <c r="C236" s="5"/>
      <c r="D236" s="5"/>
      <c r="E236" s="5"/>
      <c r="F236" s="5"/>
      <c r="G236" s="5"/>
      <c r="H236" s="306"/>
      <c r="I236" s="5"/>
      <c r="J236" s="5"/>
      <c r="K236" s="5"/>
      <c r="L236" s="5"/>
      <c r="M236" s="5"/>
      <c r="N236" s="5"/>
      <c r="O236" s="57"/>
      <c r="P236" s="5"/>
      <c r="Q236" s="5"/>
      <c r="R236" s="5"/>
      <c r="S236" s="5"/>
      <c r="T236" s="5"/>
      <c r="U236" s="5"/>
      <c r="V236" s="5"/>
      <c r="W236" s="5"/>
      <c r="X236" s="5"/>
      <c r="Y236" s="5"/>
      <c r="Z236" s="5"/>
    </row>
    <row r="237" spans="1:26" ht="12.75" customHeight="1">
      <c r="A237" s="5"/>
      <c r="B237" s="5"/>
      <c r="C237" s="5"/>
      <c r="D237" s="5"/>
      <c r="E237" s="5"/>
      <c r="F237" s="5"/>
      <c r="G237" s="5"/>
      <c r="H237" s="306"/>
      <c r="I237" s="5"/>
      <c r="J237" s="5"/>
      <c r="K237" s="5"/>
      <c r="L237" s="5"/>
      <c r="M237" s="5"/>
      <c r="N237" s="5"/>
      <c r="O237" s="57"/>
      <c r="P237" s="5"/>
      <c r="Q237" s="5"/>
      <c r="R237" s="5"/>
      <c r="S237" s="5"/>
      <c r="T237" s="5"/>
      <c r="U237" s="5"/>
      <c r="V237" s="5"/>
      <c r="W237" s="5"/>
      <c r="X237" s="5"/>
      <c r="Y237" s="5"/>
      <c r="Z237" s="5"/>
    </row>
    <row r="238" spans="1:26" ht="12.75" customHeight="1">
      <c r="A238" s="5"/>
      <c r="B238" s="5"/>
      <c r="C238" s="5"/>
      <c r="D238" s="5"/>
      <c r="E238" s="5"/>
      <c r="F238" s="5"/>
      <c r="G238" s="5"/>
      <c r="H238" s="306"/>
      <c r="I238" s="5"/>
      <c r="J238" s="5"/>
      <c r="K238" s="5"/>
      <c r="L238" s="5"/>
      <c r="M238" s="5"/>
      <c r="N238" s="5"/>
      <c r="O238" s="57"/>
      <c r="P238" s="5"/>
      <c r="Q238" s="5"/>
      <c r="R238" s="5"/>
      <c r="S238" s="5"/>
      <c r="T238" s="5"/>
      <c r="U238" s="5"/>
      <c r="V238" s="5"/>
      <c r="W238" s="5"/>
      <c r="X238" s="5"/>
      <c r="Y238" s="5"/>
      <c r="Z238" s="5"/>
    </row>
    <row r="239" spans="1:26" ht="12.75" customHeight="1">
      <c r="A239" s="5"/>
      <c r="B239" s="5"/>
      <c r="C239" s="5"/>
      <c r="D239" s="5"/>
      <c r="E239" s="5"/>
      <c r="F239" s="5"/>
      <c r="G239" s="5"/>
      <c r="H239" s="306"/>
      <c r="I239" s="5"/>
      <c r="J239" s="5"/>
      <c r="K239" s="5"/>
      <c r="L239" s="5"/>
      <c r="M239" s="5"/>
      <c r="N239" s="5"/>
      <c r="O239" s="57"/>
      <c r="P239" s="5"/>
      <c r="Q239" s="5"/>
      <c r="R239" s="5"/>
      <c r="S239" s="5"/>
      <c r="T239" s="5"/>
      <c r="U239" s="5"/>
      <c r="V239" s="5"/>
      <c r="W239" s="5"/>
      <c r="X239" s="5"/>
      <c r="Y239" s="5"/>
      <c r="Z239" s="5"/>
    </row>
    <row r="240" spans="1:26" ht="12.75" customHeight="1">
      <c r="A240" s="5"/>
      <c r="B240" s="5"/>
      <c r="C240" s="5"/>
      <c r="D240" s="5"/>
      <c r="E240" s="5"/>
      <c r="F240" s="5"/>
      <c r="G240" s="5"/>
      <c r="H240" s="306"/>
      <c r="I240" s="5"/>
      <c r="J240" s="5"/>
      <c r="K240" s="5"/>
      <c r="L240" s="5"/>
      <c r="M240" s="5"/>
      <c r="N240" s="5"/>
      <c r="O240" s="57"/>
      <c r="P240" s="5"/>
      <c r="Q240" s="5"/>
      <c r="R240" s="5"/>
      <c r="S240" s="5"/>
      <c r="T240" s="5"/>
      <c r="U240" s="5"/>
      <c r="V240" s="5"/>
      <c r="W240" s="5"/>
      <c r="X240" s="5"/>
      <c r="Y240" s="5"/>
      <c r="Z240" s="5"/>
    </row>
    <row r="241" spans="1:26" ht="12.75" customHeight="1">
      <c r="A241" s="5"/>
      <c r="B241" s="5"/>
      <c r="C241" s="5"/>
      <c r="D241" s="5"/>
      <c r="E241" s="5"/>
      <c r="F241" s="5"/>
      <c r="G241" s="5"/>
      <c r="H241" s="306"/>
      <c r="I241" s="5"/>
      <c r="J241" s="5"/>
      <c r="K241" s="5"/>
      <c r="L241" s="5"/>
      <c r="M241" s="5"/>
      <c r="N241" s="5"/>
      <c r="O241" s="57"/>
      <c r="P241" s="5"/>
      <c r="Q241" s="5"/>
      <c r="R241" s="5"/>
      <c r="S241" s="5"/>
      <c r="T241" s="5"/>
      <c r="U241" s="5"/>
      <c r="V241" s="5"/>
      <c r="W241" s="5"/>
      <c r="X241" s="5"/>
      <c r="Y241" s="5"/>
      <c r="Z241" s="5"/>
    </row>
    <row r="242" spans="1:26" ht="12.75" customHeight="1">
      <c r="A242" s="5"/>
      <c r="B242" s="5"/>
      <c r="C242" s="5"/>
      <c r="D242" s="5"/>
      <c r="E242" s="5"/>
      <c r="F242" s="5"/>
      <c r="G242" s="5"/>
      <c r="H242" s="306"/>
      <c r="I242" s="5"/>
      <c r="J242" s="5"/>
      <c r="K242" s="5"/>
      <c r="L242" s="5"/>
      <c r="M242" s="5"/>
      <c r="N242" s="5"/>
      <c r="O242" s="57"/>
      <c r="P242" s="5"/>
      <c r="Q242" s="5"/>
      <c r="R242" s="5"/>
      <c r="S242" s="5"/>
      <c r="T242" s="5"/>
      <c r="U242" s="5"/>
      <c r="V242" s="5"/>
      <c r="W242" s="5"/>
      <c r="X242" s="5"/>
      <c r="Y242" s="5"/>
      <c r="Z242" s="5"/>
    </row>
    <row r="243" spans="1:26" ht="12.75" customHeight="1">
      <c r="A243" s="5"/>
      <c r="B243" s="5"/>
      <c r="C243" s="5"/>
      <c r="D243" s="5"/>
      <c r="E243" s="5"/>
      <c r="F243" s="5"/>
      <c r="G243" s="5"/>
      <c r="H243" s="306"/>
      <c r="I243" s="5"/>
      <c r="J243" s="5"/>
      <c r="K243" s="5"/>
      <c r="L243" s="5"/>
      <c r="M243" s="5"/>
      <c r="N243" s="5"/>
      <c r="O243" s="57"/>
      <c r="P243" s="5"/>
      <c r="Q243" s="5"/>
      <c r="R243" s="5"/>
      <c r="S243" s="5"/>
      <c r="T243" s="5"/>
      <c r="U243" s="5"/>
      <c r="V243" s="5"/>
      <c r="W243" s="5"/>
      <c r="X243" s="5"/>
      <c r="Y243" s="5"/>
      <c r="Z243" s="5"/>
    </row>
    <row r="244" spans="1:26" ht="12.75" customHeight="1">
      <c r="A244" s="5"/>
      <c r="B244" s="5"/>
      <c r="C244" s="5"/>
      <c r="D244" s="5"/>
      <c r="E244" s="5"/>
      <c r="F244" s="5"/>
      <c r="G244" s="5"/>
      <c r="H244" s="306"/>
      <c r="I244" s="5"/>
      <c r="J244" s="5"/>
      <c r="K244" s="5"/>
      <c r="L244" s="5"/>
      <c r="M244" s="5"/>
      <c r="N244" s="5"/>
      <c r="O244" s="57"/>
      <c r="P244" s="5"/>
      <c r="Q244" s="5"/>
      <c r="R244" s="5"/>
      <c r="S244" s="5"/>
      <c r="T244" s="5"/>
      <c r="U244" s="5"/>
      <c r="V244" s="5"/>
      <c r="W244" s="5"/>
      <c r="X244" s="5"/>
      <c r="Y244" s="5"/>
      <c r="Z244" s="5"/>
    </row>
    <row r="245" spans="1:26" ht="12.75" customHeight="1">
      <c r="A245" s="5"/>
      <c r="B245" s="5"/>
      <c r="C245" s="5"/>
      <c r="D245" s="5"/>
      <c r="E245" s="5"/>
      <c r="F245" s="5"/>
      <c r="G245" s="5"/>
      <c r="H245" s="306"/>
      <c r="I245" s="5"/>
      <c r="J245" s="5"/>
      <c r="K245" s="5"/>
      <c r="L245" s="5"/>
      <c r="M245" s="5"/>
      <c r="N245" s="5"/>
      <c r="O245" s="57"/>
      <c r="P245" s="5"/>
      <c r="Q245" s="5"/>
      <c r="R245" s="5"/>
      <c r="S245" s="5"/>
      <c r="T245" s="5"/>
      <c r="U245" s="5"/>
      <c r="V245" s="5"/>
      <c r="W245" s="5"/>
      <c r="X245" s="5"/>
      <c r="Y245" s="5"/>
      <c r="Z245" s="5"/>
    </row>
    <row r="246" spans="1:26" ht="12.75" customHeight="1">
      <c r="A246" s="5"/>
      <c r="B246" s="5"/>
      <c r="C246" s="5"/>
      <c r="D246" s="5"/>
      <c r="E246" s="5"/>
      <c r="F246" s="5"/>
      <c r="G246" s="5"/>
      <c r="H246" s="306"/>
      <c r="I246" s="5"/>
      <c r="J246" s="5"/>
      <c r="K246" s="5"/>
      <c r="L246" s="5"/>
      <c r="M246" s="5"/>
      <c r="N246" s="5"/>
      <c r="O246" s="57"/>
      <c r="P246" s="5"/>
      <c r="Q246" s="5"/>
      <c r="R246" s="5"/>
      <c r="S246" s="5"/>
      <c r="T246" s="5"/>
      <c r="U246" s="5"/>
      <c r="V246" s="5"/>
      <c r="W246" s="5"/>
      <c r="X246" s="5"/>
      <c r="Y246" s="5"/>
      <c r="Z246" s="5"/>
    </row>
    <row r="247" spans="1:26" ht="12.75" customHeight="1">
      <c r="A247" s="5"/>
      <c r="B247" s="5"/>
      <c r="C247" s="5"/>
      <c r="D247" s="5"/>
      <c r="E247" s="5"/>
      <c r="F247" s="5"/>
      <c r="G247" s="5"/>
      <c r="H247" s="306"/>
      <c r="I247" s="5"/>
      <c r="J247" s="5"/>
      <c r="K247" s="5"/>
      <c r="L247" s="5"/>
      <c r="M247" s="5"/>
      <c r="N247" s="5"/>
      <c r="O247" s="57"/>
      <c r="P247" s="5"/>
      <c r="Q247" s="5"/>
      <c r="R247" s="5"/>
      <c r="S247" s="5"/>
      <c r="T247" s="5"/>
      <c r="U247" s="5"/>
      <c r="V247" s="5"/>
      <c r="W247" s="5"/>
      <c r="X247" s="5"/>
      <c r="Y247" s="5"/>
      <c r="Z247" s="5"/>
    </row>
    <row r="248" spans="1:26" ht="12.75" customHeight="1">
      <c r="A248" s="5"/>
      <c r="B248" s="5"/>
      <c r="C248" s="5"/>
      <c r="D248" s="5"/>
      <c r="E248" s="5"/>
      <c r="F248" s="5"/>
      <c r="G248" s="5"/>
      <c r="H248" s="306"/>
      <c r="I248" s="5"/>
      <c r="J248" s="5"/>
      <c r="K248" s="5"/>
      <c r="L248" s="5"/>
      <c r="M248" s="5"/>
      <c r="N248" s="5"/>
      <c r="O248" s="57"/>
      <c r="P248" s="5"/>
      <c r="Q248" s="5"/>
      <c r="R248" s="5"/>
      <c r="S248" s="5"/>
      <c r="T248" s="5"/>
      <c r="U248" s="5"/>
      <c r="V248" s="5"/>
      <c r="W248" s="5"/>
      <c r="X248" s="5"/>
      <c r="Y248" s="5"/>
      <c r="Z248" s="5"/>
    </row>
    <row r="249" spans="1:26" ht="12.75" customHeight="1">
      <c r="A249" s="5"/>
      <c r="B249" s="5"/>
      <c r="C249" s="5"/>
      <c r="D249" s="5"/>
      <c r="E249" s="5"/>
      <c r="F249" s="5"/>
      <c r="G249" s="5"/>
      <c r="H249" s="306"/>
      <c r="I249" s="5"/>
      <c r="J249" s="5"/>
      <c r="K249" s="5"/>
      <c r="L249" s="5"/>
      <c r="M249" s="5"/>
      <c r="N249" s="5"/>
      <c r="O249" s="57"/>
      <c r="P249" s="5"/>
      <c r="Q249" s="5"/>
      <c r="R249" s="5"/>
      <c r="S249" s="5"/>
      <c r="T249" s="5"/>
      <c r="U249" s="5"/>
      <c r="V249" s="5"/>
      <c r="W249" s="5"/>
      <c r="X249" s="5"/>
      <c r="Y249" s="5"/>
      <c r="Z249" s="5"/>
    </row>
    <row r="250" spans="1:26" ht="12.75" customHeight="1">
      <c r="A250" s="5"/>
      <c r="B250" s="5"/>
      <c r="C250" s="5"/>
      <c r="D250" s="5"/>
      <c r="E250" s="5"/>
      <c r="F250" s="5"/>
      <c r="G250" s="5"/>
      <c r="H250" s="306"/>
      <c r="I250" s="5"/>
      <c r="J250" s="5"/>
      <c r="K250" s="5"/>
      <c r="L250" s="5"/>
      <c r="M250" s="5"/>
      <c r="N250" s="5"/>
      <c r="O250" s="57"/>
      <c r="P250" s="5"/>
      <c r="Q250" s="5"/>
      <c r="R250" s="5"/>
      <c r="S250" s="5"/>
      <c r="T250" s="5"/>
      <c r="U250" s="5"/>
      <c r="V250" s="5"/>
      <c r="W250" s="5"/>
      <c r="X250" s="5"/>
      <c r="Y250" s="5"/>
      <c r="Z250" s="5"/>
    </row>
    <row r="251" spans="1:26" ht="12.75" customHeight="1">
      <c r="A251" s="5"/>
      <c r="B251" s="5"/>
      <c r="C251" s="5"/>
      <c r="D251" s="5"/>
      <c r="E251" s="5"/>
      <c r="F251" s="5"/>
      <c r="G251" s="5"/>
      <c r="H251" s="306"/>
      <c r="I251" s="5"/>
      <c r="J251" s="5"/>
      <c r="K251" s="5"/>
      <c r="L251" s="5"/>
      <c r="M251" s="5"/>
      <c r="N251" s="5"/>
      <c r="O251" s="57"/>
      <c r="P251" s="5"/>
      <c r="Q251" s="5"/>
      <c r="R251" s="5"/>
      <c r="S251" s="5"/>
      <c r="T251" s="5"/>
      <c r="U251" s="5"/>
      <c r="V251" s="5"/>
      <c r="W251" s="5"/>
      <c r="X251" s="5"/>
      <c r="Y251" s="5"/>
      <c r="Z251" s="5"/>
    </row>
    <row r="252" spans="1:26" ht="12.75" customHeight="1">
      <c r="A252" s="5"/>
      <c r="B252" s="5"/>
      <c r="C252" s="5"/>
      <c r="D252" s="5"/>
      <c r="E252" s="5"/>
      <c r="F252" s="5"/>
      <c r="G252" s="5"/>
      <c r="H252" s="306"/>
      <c r="I252" s="5"/>
      <c r="J252" s="5"/>
      <c r="K252" s="5"/>
      <c r="L252" s="5"/>
      <c r="M252" s="5"/>
      <c r="N252" s="5"/>
      <c r="O252" s="57"/>
      <c r="P252" s="5"/>
      <c r="Q252" s="5"/>
      <c r="R252" s="5"/>
      <c r="S252" s="5"/>
      <c r="T252" s="5"/>
      <c r="U252" s="5"/>
      <c r="V252" s="5"/>
      <c r="W252" s="5"/>
      <c r="X252" s="5"/>
      <c r="Y252" s="5"/>
      <c r="Z252" s="5"/>
    </row>
    <row r="253" spans="1:26" ht="12.75" customHeight="1">
      <c r="A253" s="5"/>
      <c r="B253" s="5"/>
      <c r="C253" s="5"/>
      <c r="D253" s="5"/>
      <c r="E253" s="5"/>
      <c r="F253" s="5"/>
      <c r="G253" s="5"/>
      <c r="H253" s="306"/>
      <c r="I253" s="5"/>
      <c r="J253" s="5"/>
      <c r="K253" s="5"/>
      <c r="L253" s="5"/>
      <c r="M253" s="5"/>
      <c r="N253" s="5"/>
      <c r="O253" s="57"/>
      <c r="P253" s="5"/>
      <c r="Q253" s="5"/>
      <c r="R253" s="5"/>
      <c r="S253" s="5"/>
      <c r="T253" s="5"/>
      <c r="U253" s="5"/>
      <c r="V253" s="5"/>
      <c r="W253" s="5"/>
      <c r="X253" s="5"/>
      <c r="Y253" s="5"/>
      <c r="Z253" s="5"/>
    </row>
    <row r="254" spans="1:26" ht="12.75" customHeight="1">
      <c r="A254" s="5"/>
      <c r="B254" s="5"/>
      <c r="C254" s="5"/>
      <c r="D254" s="5"/>
      <c r="E254" s="5"/>
      <c r="F254" s="5"/>
      <c r="G254" s="5"/>
      <c r="H254" s="306"/>
      <c r="I254" s="5"/>
      <c r="J254" s="5"/>
      <c r="K254" s="5"/>
      <c r="L254" s="5"/>
      <c r="M254" s="5"/>
      <c r="N254" s="5"/>
      <c r="O254" s="57"/>
      <c r="P254" s="5"/>
      <c r="Q254" s="5"/>
      <c r="R254" s="5"/>
      <c r="S254" s="5"/>
      <c r="T254" s="5"/>
      <c r="U254" s="5"/>
      <c r="V254" s="5"/>
      <c r="W254" s="5"/>
      <c r="X254" s="5"/>
      <c r="Y254" s="5"/>
      <c r="Z254" s="5"/>
    </row>
    <row r="255" spans="1:26" ht="12.75" customHeight="1">
      <c r="A255" s="5"/>
      <c r="B255" s="5"/>
      <c r="C255" s="5"/>
      <c r="D255" s="5"/>
      <c r="E255" s="5"/>
      <c r="F255" s="5"/>
      <c r="G255" s="5"/>
      <c r="H255" s="306"/>
      <c r="I255" s="5"/>
      <c r="J255" s="5"/>
      <c r="K255" s="5"/>
      <c r="L255" s="5"/>
      <c r="M255" s="5"/>
      <c r="N255" s="5"/>
      <c r="O255" s="57"/>
      <c r="P255" s="5"/>
      <c r="Q255" s="5"/>
      <c r="R255" s="5"/>
      <c r="S255" s="5"/>
      <c r="T255" s="5"/>
      <c r="U255" s="5"/>
      <c r="V255" s="5"/>
      <c r="W255" s="5"/>
      <c r="X255" s="5"/>
      <c r="Y255" s="5"/>
      <c r="Z255" s="5"/>
    </row>
    <row r="256" spans="1:26" ht="12.75" customHeight="1">
      <c r="A256" s="5"/>
      <c r="B256" s="5"/>
      <c r="C256" s="5"/>
      <c r="D256" s="5"/>
      <c r="E256" s="5"/>
      <c r="F256" s="5"/>
      <c r="G256" s="5"/>
      <c r="H256" s="306"/>
      <c r="I256" s="5"/>
      <c r="J256" s="5"/>
      <c r="K256" s="5"/>
      <c r="L256" s="5"/>
      <c r="M256" s="5"/>
      <c r="N256" s="5"/>
      <c r="O256" s="57"/>
      <c r="P256" s="5"/>
      <c r="Q256" s="5"/>
      <c r="R256" s="5"/>
      <c r="S256" s="5"/>
      <c r="T256" s="5"/>
      <c r="U256" s="5"/>
      <c r="V256" s="5"/>
      <c r="W256" s="5"/>
      <c r="X256" s="5"/>
      <c r="Y256" s="5"/>
      <c r="Z256" s="5"/>
    </row>
    <row r="257" spans="1:26" ht="12.75" customHeight="1">
      <c r="A257" s="5"/>
      <c r="B257" s="5"/>
      <c r="C257" s="5"/>
      <c r="D257" s="5"/>
      <c r="E257" s="5"/>
      <c r="F257" s="5"/>
      <c r="G257" s="5"/>
      <c r="H257" s="306"/>
      <c r="I257" s="5"/>
      <c r="J257" s="5"/>
      <c r="K257" s="5"/>
      <c r="L257" s="5"/>
      <c r="M257" s="5"/>
      <c r="N257" s="5"/>
      <c r="O257" s="57"/>
      <c r="P257" s="5"/>
      <c r="Q257" s="5"/>
      <c r="R257" s="5"/>
      <c r="S257" s="5"/>
      <c r="T257" s="5"/>
      <c r="U257" s="5"/>
      <c r="V257" s="5"/>
      <c r="W257" s="5"/>
      <c r="X257" s="5"/>
      <c r="Y257" s="5"/>
      <c r="Z257" s="5"/>
    </row>
    <row r="258" spans="1:26" ht="12.75" customHeight="1">
      <c r="A258" s="5"/>
      <c r="B258" s="5"/>
      <c r="C258" s="5"/>
      <c r="D258" s="5"/>
      <c r="E258" s="5"/>
      <c r="F258" s="5"/>
      <c r="G258" s="5"/>
      <c r="H258" s="306"/>
      <c r="I258" s="5"/>
      <c r="J258" s="5"/>
      <c r="K258" s="5"/>
      <c r="L258" s="5"/>
      <c r="M258" s="5"/>
      <c r="N258" s="5"/>
      <c r="O258" s="57"/>
      <c r="P258" s="5"/>
      <c r="Q258" s="5"/>
      <c r="R258" s="5"/>
      <c r="S258" s="5"/>
      <c r="T258" s="5"/>
      <c r="U258" s="5"/>
      <c r="V258" s="5"/>
      <c r="W258" s="5"/>
      <c r="X258" s="5"/>
      <c r="Y258" s="5"/>
      <c r="Z258" s="5"/>
    </row>
    <row r="259" spans="1:26" ht="12.75" customHeight="1">
      <c r="A259" s="5"/>
      <c r="B259" s="5"/>
      <c r="C259" s="5"/>
      <c r="D259" s="5"/>
      <c r="E259" s="5"/>
      <c r="F259" s="5"/>
      <c r="G259" s="5"/>
      <c r="H259" s="306"/>
      <c r="I259" s="5"/>
      <c r="J259" s="5"/>
      <c r="K259" s="5"/>
      <c r="L259" s="5"/>
      <c r="M259" s="5"/>
      <c r="N259" s="5"/>
      <c r="O259" s="57"/>
      <c r="P259" s="5"/>
      <c r="Q259" s="5"/>
      <c r="R259" s="5"/>
      <c r="S259" s="5"/>
      <c r="T259" s="5"/>
      <c r="U259" s="5"/>
      <c r="V259" s="5"/>
      <c r="W259" s="5"/>
      <c r="X259" s="5"/>
      <c r="Y259" s="5"/>
      <c r="Z259" s="5"/>
    </row>
    <row r="260" spans="1:26" ht="12.75" customHeight="1">
      <c r="A260" s="5"/>
      <c r="B260" s="5"/>
      <c r="C260" s="5"/>
      <c r="D260" s="5"/>
      <c r="E260" s="5"/>
      <c r="F260" s="5"/>
      <c r="G260" s="5"/>
      <c r="H260" s="306"/>
      <c r="I260" s="5"/>
      <c r="J260" s="5"/>
      <c r="K260" s="5"/>
      <c r="L260" s="5"/>
      <c r="M260" s="5"/>
      <c r="N260" s="5"/>
      <c r="O260" s="57"/>
      <c r="P260" s="5"/>
      <c r="Q260" s="5"/>
      <c r="R260" s="5"/>
      <c r="S260" s="5"/>
      <c r="T260" s="5"/>
      <c r="U260" s="5"/>
      <c r="V260" s="5"/>
      <c r="W260" s="5"/>
      <c r="X260" s="5"/>
      <c r="Y260" s="5"/>
      <c r="Z260" s="5"/>
    </row>
    <row r="261" spans="1:26" ht="12.75" customHeight="1">
      <c r="A261" s="5"/>
      <c r="B261" s="5"/>
      <c r="C261" s="5"/>
      <c r="D261" s="5"/>
      <c r="E261" s="5"/>
      <c r="F261" s="5"/>
      <c r="G261" s="5"/>
      <c r="H261" s="306"/>
      <c r="I261" s="5"/>
      <c r="J261" s="5"/>
      <c r="K261" s="5"/>
      <c r="L261" s="5"/>
      <c r="M261" s="5"/>
      <c r="N261" s="5"/>
      <c r="O261" s="57"/>
      <c r="P261" s="5"/>
      <c r="Q261" s="5"/>
      <c r="R261" s="5"/>
      <c r="S261" s="5"/>
      <c r="T261" s="5"/>
      <c r="U261" s="5"/>
      <c r="V261" s="5"/>
      <c r="W261" s="5"/>
      <c r="X261" s="5"/>
      <c r="Y261" s="5"/>
      <c r="Z261" s="5"/>
    </row>
    <row r="262" spans="1:26" ht="12.75" customHeight="1">
      <c r="A262" s="5"/>
      <c r="B262" s="5"/>
      <c r="C262" s="5"/>
      <c r="D262" s="5"/>
      <c r="E262" s="5"/>
      <c r="F262" s="5"/>
      <c r="G262" s="5"/>
      <c r="H262" s="306"/>
      <c r="I262" s="5"/>
      <c r="J262" s="5"/>
      <c r="K262" s="5"/>
      <c r="L262" s="5"/>
      <c r="M262" s="5"/>
      <c r="N262" s="5"/>
      <c r="O262" s="57"/>
      <c r="P262" s="5"/>
      <c r="Q262" s="5"/>
      <c r="R262" s="5"/>
      <c r="S262" s="5"/>
      <c r="T262" s="5"/>
      <c r="U262" s="5"/>
      <c r="V262" s="5"/>
      <c r="W262" s="5"/>
      <c r="X262" s="5"/>
      <c r="Y262" s="5"/>
      <c r="Z262" s="5"/>
    </row>
    <row r="263" spans="1:26" ht="12.75" customHeight="1">
      <c r="A263" s="5"/>
      <c r="B263" s="5"/>
      <c r="C263" s="5"/>
      <c r="D263" s="5"/>
      <c r="E263" s="5"/>
      <c r="F263" s="5"/>
      <c r="G263" s="5"/>
      <c r="H263" s="306"/>
      <c r="I263" s="5"/>
      <c r="J263" s="5"/>
      <c r="K263" s="5"/>
      <c r="L263" s="5"/>
      <c r="M263" s="5"/>
      <c r="N263" s="5"/>
      <c r="O263" s="57"/>
      <c r="P263" s="5"/>
      <c r="Q263" s="5"/>
      <c r="R263" s="5"/>
      <c r="S263" s="5"/>
      <c r="T263" s="5"/>
      <c r="U263" s="5"/>
      <c r="V263" s="5"/>
      <c r="W263" s="5"/>
      <c r="X263" s="5"/>
      <c r="Y263" s="5"/>
      <c r="Z263" s="5"/>
    </row>
    <row r="264" spans="1:26" ht="12.75" customHeight="1">
      <c r="A264" s="5"/>
      <c r="B264" s="5"/>
      <c r="C264" s="5"/>
      <c r="D264" s="5"/>
      <c r="E264" s="5"/>
      <c r="F264" s="5"/>
      <c r="G264" s="5"/>
      <c r="H264" s="306"/>
      <c r="I264" s="5"/>
      <c r="J264" s="5"/>
      <c r="K264" s="5"/>
      <c r="L264" s="5"/>
      <c r="M264" s="5"/>
      <c r="N264" s="5"/>
      <c r="O264" s="57"/>
      <c r="P264" s="5"/>
      <c r="Q264" s="5"/>
      <c r="R264" s="5"/>
      <c r="S264" s="5"/>
      <c r="T264" s="5"/>
      <c r="U264" s="5"/>
      <c r="V264" s="5"/>
      <c r="W264" s="5"/>
      <c r="X264" s="5"/>
      <c r="Y264" s="5"/>
      <c r="Z264" s="5"/>
    </row>
    <row r="265" spans="1:26" ht="12.75" customHeight="1">
      <c r="A265" s="5"/>
      <c r="B265" s="5"/>
      <c r="C265" s="5"/>
      <c r="D265" s="5"/>
      <c r="E265" s="5"/>
      <c r="F265" s="5"/>
      <c r="G265" s="5"/>
      <c r="H265" s="306"/>
      <c r="I265" s="5"/>
      <c r="J265" s="5"/>
      <c r="K265" s="5"/>
      <c r="L265" s="5"/>
      <c r="M265" s="5"/>
      <c r="N265" s="5"/>
      <c r="O265" s="57"/>
      <c r="P265" s="5"/>
      <c r="Q265" s="5"/>
      <c r="R265" s="5"/>
      <c r="S265" s="5"/>
      <c r="T265" s="5"/>
      <c r="U265" s="5"/>
      <c r="V265" s="5"/>
      <c r="W265" s="5"/>
      <c r="X265" s="5"/>
      <c r="Y265" s="5"/>
      <c r="Z265" s="5"/>
    </row>
    <row r="266" spans="1:26" ht="12.75" customHeight="1">
      <c r="A266" s="5"/>
      <c r="B266" s="5"/>
      <c r="C266" s="5"/>
      <c r="D266" s="5"/>
      <c r="E266" s="5"/>
      <c r="F266" s="5"/>
      <c r="G266" s="5"/>
      <c r="H266" s="306"/>
      <c r="I266" s="5"/>
      <c r="J266" s="5"/>
      <c r="K266" s="5"/>
      <c r="L266" s="5"/>
      <c r="M266" s="5"/>
      <c r="N266" s="5"/>
      <c r="O266" s="57"/>
      <c r="P266" s="5"/>
      <c r="Q266" s="5"/>
      <c r="R266" s="5"/>
      <c r="S266" s="5"/>
      <c r="T266" s="5"/>
      <c r="U266" s="5"/>
      <c r="V266" s="5"/>
      <c r="W266" s="5"/>
      <c r="X266" s="5"/>
      <c r="Y266" s="5"/>
      <c r="Z266" s="5"/>
    </row>
    <row r="267" spans="1:26" ht="12.75" customHeight="1">
      <c r="A267" s="5"/>
      <c r="B267" s="5"/>
      <c r="C267" s="5"/>
      <c r="D267" s="5"/>
      <c r="E267" s="5"/>
      <c r="F267" s="5"/>
      <c r="G267" s="5"/>
      <c r="H267" s="306"/>
      <c r="I267" s="5"/>
      <c r="J267" s="5"/>
      <c r="K267" s="5"/>
      <c r="L267" s="5"/>
      <c r="M267" s="5"/>
      <c r="N267" s="5"/>
      <c r="O267" s="57"/>
      <c r="P267" s="5"/>
      <c r="Q267" s="5"/>
      <c r="R267" s="5"/>
      <c r="S267" s="5"/>
      <c r="T267" s="5"/>
      <c r="U267" s="5"/>
      <c r="V267" s="5"/>
      <c r="W267" s="5"/>
      <c r="X267" s="5"/>
      <c r="Y267" s="5"/>
      <c r="Z267" s="5"/>
    </row>
    <row r="268" spans="1:26" ht="12.75" customHeight="1">
      <c r="A268" s="5"/>
      <c r="B268" s="5"/>
      <c r="C268" s="5"/>
      <c r="D268" s="5"/>
      <c r="E268" s="5"/>
      <c r="F268" s="5"/>
      <c r="G268" s="5"/>
      <c r="H268" s="306"/>
      <c r="I268" s="5"/>
      <c r="J268" s="5"/>
      <c r="K268" s="5"/>
      <c r="L268" s="5"/>
      <c r="M268" s="5"/>
      <c r="N268" s="5"/>
      <c r="O268" s="57"/>
      <c r="P268" s="5"/>
      <c r="Q268" s="5"/>
      <c r="R268" s="5"/>
      <c r="S268" s="5"/>
      <c r="T268" s="5"/>
      <c r="U268" s="5"/>
      <c r="V268" s="5"/>
      <c r="W268" s="5"/>
      <c r="X268" s="5"/>
      <c r="Y268" s="5"/>
      <c r="Z268" s="5"/>
    </row>
    <row r="269" spans="1:26" ht="12.75" customHeight="1">
      <c r="A269" s="5"/>
      <c r="B269" s="5"/>
      <c r="C269" s="5"/>
      <c r="D269" s="5"/>
      <c r="E269" s="5"/>
      <c r="F269" s="5"/>
      <c r="G269" s="5"/>
      <c r="H269" s="306"/>
      <c r="I269" s="5"/>
      <c r="J269" s="5"/>
      <c r="K269" s="5"/>
      <c r="L269" s="5"/>
      <c r="M269" s="5"/>
      <c r="N269" s="5"/>
      <c r="O269" s="57"/>
      <c r="P269" s="5"/>
      <c r="Q269" s="5"/>
      <c r="R269" s="5"/>
      <c r="S269" s="5"/>
      <c r="T269" s="5"/>
      <c r="U269" s="5"/>
      <c r="V269" s="5"/>
      <c r="W269" s="5"/>
      <c r="X269" s="5"/>
      <c r="Y269" s="5"/>
      <c r="Z269" s="5"/>
    </row>
    <row r="270" spans="1:26" ht="12.75" customHeight="1">
      <c r="A270" s="5"/>
      <c r="B270" s="5"/>
      <c r="C270" s="5"/>
      <c r="D270" s="5"/>
      <c r="E270" s="5"/>
      <c r="F270" s="5"/>
      <c r="G270" s="5"/>
      <c r="H270" s="306"/>
      <c r="I270" s="5"/>
      <c r="J270" s="5"/>
      <c r="K270" s="5"/>
      <c r="L270" s="5"/>
      <c r="M270" s="5"/>
      <c r="N270" s="5"/>
      <c r="O270" s="57"/>
      <c r="P270" s="5"/>
      <c r="Q270" s="5"/>
      <c r="R270" s="5"/>
      <c r="S270" s="5"/>
      <c r="T270" s="5"/>
      <c r="U270" s="5"/>
      <c r="V270" s="5"/>
      <c r="W270" s="5"/>
      <c r="X270" s="5"/>
      <c r="Y270" s="5"/>
      <c r="Z270" s="5"/>
    </row>
    <row r="271" spans="1:26" ht="12.75" customHeight="1">
      <c r="A271" s="5"/>
      <c r="B271" s="5"/>
      <c r="C271" s="5"/>
      <c r="D271" s="5"/>
      <c r="E271" s="5"/>
      <c r="F271" s="5"/>
      <c r="G271" s="5"/>
      <c r="H271" s="306"/>
      <c r="I271" s="5"/>
      <c r="J271" s="5"/>
      <c r="K271" s="5"/>
      <c r="L271" s="5"/>
      <c r="M271" s="5"/>
      <c r="N271" s="5"/>
      <c r="O271" s="57"/>
      <c r="P271" s="5"/>
      <c r="Q271" s="5"/>
      <c r="R271" s="5"/>
      <c r="S271" s="5"/>
      <c r="T271" s="5"/>
      <c r="U271" s="5"/>
      <c r="V271" s="5"/>
      <c r="W271" s="5"/>
      <c r="X271" s="5"/>
      <c r="Y271" s="5"/>
      <c r="Z271" s="5"/>
    </row>
    <row r="272" spans="1:26" ht="12.75" customHeight="1">
      <c r="A272" s="5"/>
      <c r="B272" s="5"/>
      <c r="C272" s="5"/>
      <c r="D272" s="5"/>
      <c r="E272" s="5"/>
      <c r="F272" s="5"/>
      <c r="G272" s="5"/>
      <c r="H272" s="306"/>
      <c r="I272" s="5"/>
      <c r="J272" s="5"/>
      <c r="K272" s="5"/>
      <c r="L272" s="5"/>
      <c r="M272" s="5"/>
      <c r="N272" s="5"/>
      <c r="O272" s="57"/>
      <c r="P272" s="5"/>
      <c r="Q272" s="5"/>
      <c r="R272" s="5"/>
      <c r="S272" s="5"/>
      <c r="T272" s="5"/>
      <c r="U272" s="5"/>
      <c r="V272" s="5"/>
      <c r="W272" s="5"/>
      <c r="X272" s="5"/>
      <c r="Y272" s="5"/>
      <c r="Z272" s="5"/>
    </row>
    <row r="273" spans="1:26" ht="12.75" customHeight="1">
      <c r="A273" s="5"/>
      <c r="B273" s="5"/>
      <c r="C273" s="5"/>
      <c r="D273" s="5"/>
      <c r="E273" s="5"/>
      <c r="F273" s="5"/>
      <c r="G273" s="5"/>
      <c r="H273" s="306"/>
      <c r="I273" s="5"/>
      <c r="J273" s="5"/>
      <c r="K273" s="5"/>
      <c r="L273" s="5"/>
      <c r="M273" s="5"/>
      <c r="N273" s="5"/>
      <c r="O273" s="57"/>
      <c r="P273" s="5"/>
      <c r="Q273" s="5"/>
      <c r="R273" s="5"/>
      <c r="S273" s="5"/>
      <c r="T273" s="5"/>
      <c r="U273" s="5"/>
      <c r="V273" s="5"/>
      <c r="W273" s="5"/>
      <c r="X273" s="5"/>
      <c r="Y273" s="5"/>
      <c r="Z273" s="5"/>
    </row>
    <row r="274" spans="1:26" ht="12.75" customHeight="1">
      <c r="A274" s="5"/>
      <c r="B274" s="5"/>
      <c r="C274" s="5"/>
      <c r="D274" s="5"/>
      <c r="E274" s="5"/>
      <c r="F274" s="5"/>
      <c r="G274" s="5"/>
      <c r="H274" s="306"/>
      <c r="I274" s="5"/>
      <c r="J274" s="5"/>
      <c r="K274" s="5"/>
      <c r="L274" s="5"/>
      <c r="M274" s="5"/>
      <c r="N274" s="5"/>
      <c r="O274" s="57"/>
      <c r="P274" s="5"/>
      <c r="Q274" s="5"/>
      <c r="R274" s="5"/>
      <c r="S274" s="5"/>
      <c r="T274" s="5"/>
      <c r="U274" s="5"/>
      <c r="V274" s="5"/>
      <c r="W274" s="5"/>
      <c r="X274" s="5"/>
      <c r="Y274" s="5"/>
      <c r="Z274" s="5"/>
    </row>
    <row r="275" spans="1:26" ht="12.75" customHeight="1">
      <c r="A275" s="5"/>
      <c r="B275" s="5"/>
      <c r="C275" s="5"/>
      <c r="D275" s="5"/>
      <c r="E275" s="5"/>
      <c r="F275" s="5"/>
      <c r="G275" s="5"/>
      <c r="H275" s="306"/>
      <c r="I275" s="5"/>
      <c r="J275" s="5"/>
      <c r="K275" s="5"/>
      <c r="L275" s="5"/>
      <c r="M275" s="5"/>
      <c r="N275" s="5"/>
      <c r="O275" s="57"/>
      <c r="P275" s="5"/>
      <c r="Q275" s="5"/>
      <c r="R275" s="5"/>
      <c r="S275" s="5"/>
      <c r="T275" s="5"/>
      <c r="U275" s="5"/>
      <c r="V275" s="5"/>
      <c r="W275" s="5"/>
      <c r="X275" s="5"/>
      <c r="Y275" s="5"/>
      <c r="Z275" s="5"/>
    </row>
    <row r="276" spans="1:26" ht="12.75" customHeight="1">
      <c r="A276" s="5"/>
      <c r="B276" s="5"/>
      <c r="C276" s="5"/>
      <c r="D276" s="5"/>
      <c r="E276" s="5"/>
      <c r="F276" s="5"/>
      <c r="G276" s="5"/>
      <c r="H276" s="306"/>
      <c r="I276" s="5"/>
      <c r="J276" s="5"/>
      <c r="K276" s="5"/>
      <c r="L276" s="5"/>
      <c r="M276" s="5"/>
      <c r="N276" s="5"/>
      <c r="O276" s="57"/>
      <c r="P276" s="5"/>
      <c r="Q276" s="5"/>
      <c r="R276" s="5"/>
      <c r="S276" s="5"/>
      <c r="T276" s="5"/>
      <c r="U276" s="5"/>
      <c r="V276" s="5"/>
      <c r="W276" s="5"/>
      <c r="X276" s="5"/>
      <c r="Y276" s="5"/>
      <c r="Z276" s="5"/>
    </row>
    <row r="277" spans="1:26" ht="12.75" customHeight="1">
      <c r="A277" s="5"/>
      <c r="B277" s="5"/>
      <c r="C277" s="5"/>
      <c r="D277" s="5"/>
      <c r="E277" s="5"/>
      <c r="F277" s="5"/>
      <c r="G277" s="5"/>
      <c r="H277" s="306"/>
      <c r="I277" s="5"/>
      <c r="J277" s="5"/>
      <c r="K277" s="5"/>
      <c r="L277" s="5"/>
      <c r="M277" s="5"/>
      <c r="N277" s="5"/>
      <c r="O277" s="57"/>
      <c r="P277" s="5"/>
      <c r="Q277" s="5"/>
      <c r="R277" s="5"/>
      <c r="S277" s="5"/>
      <c r="T277" s="5"/>
      <c r="U277" s="5"/>
      <c r="V277" s="5"/>
      <c r="W277" s="5"/>
      <c r="X277" s="5"/>
      <c r="Y277" s="5"/>
      <c r="Z277" s="5"/>
    </row>
    <row r="278" spans="1:26" ht="12.75" customHeight="1">
      <c r="A278" s="5"/>
      <c r="B278" s="5"/>
      <c r="C278" s="5"/>
      <c r="D278" s="5"/>
      <c r="E278" s="5"/>
      <c r="F278" s="5"/>
      <c r="G278" s="5"/>
      <c r="H278" s="306"/>
      <c r="I278" s="5"/>
      <c r="J278" s="5"/>
      <c r="K278" s="5"/>
      <c r="L278" s="5"/>
      <c r="M278" s="5"/>
      <c r="N278" s="5"/>
      <c r="O278" s="57"/>
      <c r="P278" s="5"/>
      <c r="Q278" s="5"/>
      <c r="R278" s="5"/>
      <c r="S278" s="5"/>
      <c r="T278" s="5"/>
      <c r="U278" s="5"/>
      <c r="V278" s="5"/>
      <c r="W278" s="5"/>
      <c r="X278" s="5"/>
      <c r="Y278" s="5"/>
      <c r="Z278" s="5"/>
    </row>
    <row r="279" spans="1:26" ht="12.75" customHeight="1">
      <c r="A279" s="5"/>
      <c r="B279" s="5"/>
      <c r="C279" s="5"/>
      <c r="D279" s="5"/>
      <c r="E279" s="5"/>
      <c r="F279" s="5"/>
      <c r="G279" s="5"/>
      <c r="H279" s="306"/>
      <c r="I279" s="5"/>
      <c r="J279" s="5"/>
      <c r="K279" s="5"/>
      <c r="L279" s="5"/>
      <c r="M279" s="5"/>
      <c r="N279" s="5"/>
      <c r="O279" s="57"/>
      <c r="P279" s="5"/>
      <c r="Q279" s="5"/>
      <c r="R279" s="5"/>
      <c r="S279" s="5"/>
      <c r="T279" s="5"/>
      <c r="U279" s="5"/>
      <c r="V279" s="5"/>
      <c r="W279" s="5"/>
      <c r="X279" s="5"/>
      <c r="Y279" s="5"/>
      <c r="Z279" s="5"/>
    </row>
    <row r="280" spans="1:26" ht="12.75" customHeight="1">
      <c r="A280" s="5"/>
      <c r="B280" s="5"/>
      <c r="C280" s="5"/>
      <c r="D280" s="5"/>
      <c r="E280" s="5"/>
      <c r="F280" s="5"/>
      <c r="G280" s="5"/>
      <c r="H280" s="306"/>
      <c r="I280" s="5"/>
      <c r="J280" s="5"/>
      <c r="K280" s="5"/>
      <c r="L280" s="5"/>
      <c r="M280" s="5"/>
      <c r="N280" s="5"/>
      <c r="O280" s="57"/>
      <c r="P280" s="5"/>
      <c r="Q280" s="5"/>
      <c r="R280" s="5"/>
      <c r="S280" s="5"/>
      <c r="T280" s="5"/>
      <c r="U280" s="5"/>
      <c r="V280" s="5"/>
      <c r="W280" s="5"/>
      <c r="X280" s="5"/>
      <c r="Y280" s="5"/>
      <c r="Z280" s="5"/>
    </row>
    <row r="281" spans="1:26" ht="12.75" customHeight="1">
      <c r="A281" s="5"/>
      <c r="B281" s="5"/>
      <c r="C281" s="5"/>
      <c r="D281" s="5"/>
      <c r="E281" s="5"/>
      <c r="F281" s="5"/>
      <c r="G281" s="5"/>
      <c r="H281" s="306"/>
      <c r="I281" s="5"/>
      <c r="J281" s="5"/>
      <c r="K281" s="5"/>
      <c r="L281" s="5"/>
      <c r="M281" s="5"/>
      <c r="N281" s="5"/>
      <c r="O281" s="57"/>
      <c r="P281" s="5"/>
      <c r="Q281" s="5"/>
      <c r="R281" s="5"/>
      <c r="S281" s="5"/>
      <c r="T281" s="5"/>
      <c r="U281" s="5"/>
      <c r="V281" s="5"/>
      <c r="W281" s="5"/>
      <c r="X281" s="5"/>
      <c r="Y281" s="5"/>
      <c r="Z281" s="5"/>
    </row>
    <row r="282" spans="1:26" ht="12.75" customHeight="1">
      <c r="A282" s="5"/>
      <c r="B282" s="5"/>
      <c r="C282" s="5"/>
      <c r="D282" s="5"/>
      <c r="E282" s="5"/>
      <c r="F282" s="5"/>
      <c r="G282" s="5"/>
      <c r="H282" s="306"/>
      <c r="I282" s="5"/>
      <c r="J282" s="5"/>
      <c r="K282" s="5"/>
      <c r="L282" s="5"/>
      <c r="M282" s="5"/>
      <c r="N282" s="5"/>
      <c r="O282" s="57"/>
      <c r="P282" s="5"/>
      <c r="Q282" s="5"/>
      <c r="R282" s="5"/>
      <c r="S282" s="5"/>
      <c r="T282" s="5"/>
      <c r="U282" s="5"/>
      <c r="V282" s="5"/>
      <c r="W282" s="5"/>
      <c r="X282" s="5"/>
      <c r="Y282" s="5"/>
      <c r="Z282" s="5"/>
    </row>
    <row r="283" spans="1:26" ht="12.75" customHeight="1">
      <c r="A283" s="5"/>
      <c r="B283" s="5"/>
      <c r="C283" s="5"/>
      <c r="D283" s="5"/>
      <c r="E283" s="5"/>
      <c r="F283" s="5"/>
      <c r="G283" s="5"/>
      <c r="H283" s="306"/>
      <c r="I283" s="5"/>
      <c r="J283" s="5"/>
      <c r="K283" s="5"/>
      <c r="L283" s="5"/>
      <c r="M283" s="5"/>
      <c r="N283" s="5"/>
      <c r="O283" s="57"/>
      <c r="P283" s="5"/>
      <c r="Q283" s="5"/>
      <c r="R283" s="5"/>
      <c r="S283" s="5"/>
      <c r="T283" s="5"/>
      <c r="U283" s="5"/>
      <c r="V283" s="5"/>
      <c r="W283" s="5"/>
      <c r="X283" s="5"/>
      <c r="Y283" s="5"/>
      <c r="Z283" s="5"/>
    </row>
    <row r="284" spans="1:26" ht="12.75" customHeight="1">
      <c r="A284" s="5"/>
      <c r="B284" s="5"/>
      <c r="C284" s="5"/>
      <c r="D284" s="5"/>
      <c r="E284" s="5"/>
      <c r="F284" s="5"/>
      <c r="G284" s="5"/>
      <c r="H284" s="306"/>
      <c r="I284" s="5"/>
      <c r="J284" s="5"/>
      <c r="K284" s="5"/>
      <c r="L284" s="5"/>
      <c r="M284" s="5"/>
      <c r="N284" s="5"/>
      <c r="O284" s="57"/>
      <c r="P284" s="5"/>
      <c r="Q284" s="5"/>
      <c r="R284" s="5"/>
      <c r="S284" s="5"/>
      <c r="T284" s="5"/>
      <c r="U284" s="5"/>
      <c r="V284" s="5"/>
      <c r="W284" s="5"/>
      <c r="X284" s="5"/>
      <c r="Y284" s="5"/>
      <c r="Z284" s="5"/>
    </row>
    <row r="285" spans="1:26" ht="12.75" customHeight="1">
      <c r="A285" s="5"/>
      <c r="B285" s="5"/>
      <c r="C285" s="5"/>
      <c r="D285" s="5"/>
      <c r="E285" s="5"/>
      <c r="F285" s="5"/>
      <c r="G285" s="5"/>
      <c r="H285" s="306"/>
      <c r="I285" s="5"/>
      <c r="J285" s="5"/>
      <c r="K285" s="5"/>
      <c r="L285" s="5"/>
      <c r="M285" s="5"/>
      <c r="N285" s="5"/>
      <c r="O285" s="57"/>
      <c r="P285" s="5"/>
      <c r="Q285" s="5"/>
      <c r="R285" s="5"/>
      <c r="S285" s="5"/>
      <c r="T285" s="5"/>
      <c r="U285" s="5"/>
      <c r="V285" s="5"/>
      <c r="W285" s="5"/>
      <c r="X285" s="5"/>
      <c r="Y285" s="5"/>
      <c r="Z285" s="5"/>
    </row>
    <row r="286" spans="1:26" ht="12.75" customHeight="1">
      <c r="A286" s="5"/>
      <c r="B286" s="5"/>
      <c r="C286" s="5"/>
      <c r="D286" s="5"/>
      <c r="E286" s="5"/>
      <c r="F286" s="5"/>
      <c r="G286" s="5"/>
      <c r="H286" s="306"/>
      <c r="I286" s="5"/>
      <c r="J286" s="5"/>
      <c r="K286" s="5"/>
      <c r="L286" s="5"/>
      <c r="M286" s="5"/>
      <c r="N286" s="5"/>
      <c r="O286" s="57"/>
      <c r="P286" s="5"/>
      <c r="Q286" s="5"/>
      <c r="R286" s="5"/>
      <c r="S286" s="5"/>
      <c r="T286" s="5"/>
      <c r="U286" s="5"/>
      <c r="V286" s="5"/>
      <c r="W286" s="5"/>
      <c r="X286" s="5"/>
      <c r="Y286" s="5"/>
      <c r="Z286" s="5"/>
    </row>
    <row r="287" spans="1:26" ht="12.75" customHeight="1">
      <c r="A287" s="5"/>
      <c r="B287" s="5"/>
      <c r="C287" s="5"/>
      <c r="D287" s="5"/>
      <c r="E287" s="5"/>
      <c r="F287" s="5"/>
      <c r="G287" s="5"/>
      <c r="H287" s="306"/>
      <c r="I287" s="5"/>
      <c r="J287" s="5"/>
      <c r="K287" s="5"/>
      <c r="L287" s="5"/>
      <c r="M287" s="5"/>
      <c r="N287" s="5"/>
      <c r="O287" s="57"/>
      <c r="P287" s="5"/>
      <c r="Q287" s="5"/>
      <c r="R287" s="5"/>
      <c r="S287" s="5"/>
      <c r="T287" s="5"/>
      <c r="U287" s="5"/>
      <c r="V287" s="5"/>
      <c r="W287" s="5"/>
      <c r="X287" s="5"/>
      <c r="Y287" s="5"/>
      <c r="Z287" s="5"/>
    </row>
    <row r="288" spans="1:26" ht="12.75" customHeight="1">
      <c r="A288" s="5"/>
      <c r="B288" s="5"/>
      <c r="C288" s="5"/>
      <c r="D288" s="5"/>
      <c r="E288" s="5"/>
      <c r="F288" s="5"/>
      <c r="G288" s="5"/>
      <c r="H288" s="306"/>
      <c r="I288" s="5"/>
      <c r="J288" s="5"/>
      <c r="K288" s="5"/>
      <c r="L288" s="5"/>
      <c r="M288" s="5"/>
      <c r="N288" s="5"/>
      <c r="O288" s="57"/>
      <c r="P288" s="5"/>
      <c r="Q288" s="5"/>
      <c r="R288" s="5"/>
      <c r="S288" s="5"/>
      <c r="T288" s="5"/>
      <c r="U288" s="5"/>
      <c r="V288" s="5"/>
      <c r="W288" s="5"/>
      <c r="X288" s="5"/>
      <c r="Y288" s="5"/>
      <c r="Z288" s="5"/>
    </row>
    <row r="289" spans="1:26" ht="12.75" customHeight="1">
      <c r="A289" s="5"/>
      <c r="B289" s="5"/>
      <c r="C289" s="5"/>
      <c r="D289" s="5"/>
      <c r="E289" s="5"/>
      <c r="F289" s="5"/>
      <c r="G289" s="5"/>
      <c r="H289" s="306"/>
      <c r="I289" s="5"/>
      <c r="J289" s="5"/>
      <c r="K289" s="5"/>
      <c r="L289" s="5"/>
      <c r="M289" s="5"/>
      <c r="N289" s="5"/>
      <c r="O289" s="57"/>
      <c r="P289" s="5"/>
      <c r="Q289" s="5"/>
      <c r="R289" s="5"/>
      <c r="S289" s="5"/>
      <c r="T289" s="5"/>
      <c r="U289" s="5"/>
      <c r="V289" s="5"/>
      <c r="W289" s="5"/>
      <c r="X289" s="5"/>
      <c r="Y289" s="5"/>
      <c r="Z289" s="5"/>
    </row>
    <row r="290" spans="1:26" ht="12.75" customHeight="1">
      <c r="A290" s="5"/>
      <c r="B290" s="5"/>
      <c r="C290" s="5"/>
      <c r="D290" s="5"/>
      <c r="E290" s="5"/>
      <c r="F290" s="5"/>
      <c r="G290" s="5"/>
      <c r="H290" s="306"/>
      <c r="I290" s="5"/>
      <c r="J290" s="5"/>
      <c r="K290" s="5"/>
      <c r="L290" s="5"/>
      <c r="M290" s="5"/>
      <c r="N290" s="5"/>
      <c r="O290" s="57"/>
      <c r="P290" s="5"/>
      <c r="Q290" s="5"/>
      <c r="R290" s="5"/>
      <c r="S290" s="5"/>
      <c r="T290" s="5"/>
      <c r="U290" s="5"/>
      <c r="V290" s="5"/>
      <c r="W290" s="5"/>
      <c r="X290" s="5"/>
      <c r="Y290" s="5"/>
      <c r="Z290" s="5"/>
    </row>
    <row r="291" spans="1:26" ht="12.75" customHeight="1">
      <c r="A291" s="5"/>
      <c r="B291" s="5"/>
      <c r="C291" s="5"/>
      <c r="D291" s="5"/>
      <c r="E291" s="5"/>
      <c r="F291" s="5"/>
      <c r="G291" s="5"/>
      <c r="H291" s="306"/>
      <c r="I291" s="5"/>
      <c r="J291" s="5"/>
      <c r="K291" s="5"/>
      <c r="L291" s="5"/>
      <c r="M291" s="5"/>
      <c r="N291" s="5"/>
      <c r="O291" s="57"/>
      <c r="P291" s="5"/>
      <c r="Q291" s="5"/>
      <c r="R291" s="5"/>
      <c r="S291" s="5"/>
      <c r="T291" s="5"/>
      <c r="U291" s="5"/>
      <c r="V291" s="5"/>
      <c r="W291" s="5"/>
      <c r="X291" s="5"/>
      <c r="Y291" s="5"/>
      <c r="Z291" s="5"/>
    </row>
    <row r="292" spans="1:26" ht="12.75" customHeight="1">
      <c r="A292" s="5"/>
      <c r="B292" s="5"/>
      <c r="C292" s="5"/>
      <c r="D292" s="5"/>
      <c r="E292" s="5"/>
      <c r="F292" s="5"/>
      <c r="G292" s="5"/>
      <c r="H292" s="306"/>
      <c r="I292" s="5"/>
      <c r="J292" s="5"/>
      <c r="K292" s="5"/>
      <c r="L292" s="5"/>
      <c r="M292" s="5"/>
      <c r="N292" s="5"/>
      <c r="O292" s="57"/>
      <c r="P292" s="5"/>
      <c r="Q292" s="5"/>
      <c r="R292" s="5"/>
      <c r="S292" s="5"/>
      <c r="T292" s="5"/>
      <c r="U292" s="5"/>
      <c r="V292" s="5"/>
      <c r="W292" s="5"/>
      <c r="X292" s="5"/>
      <c r="Y292" s="5"/>
      <c r="Z292" s="5"/>
    </row>
    <row r="293" spans="1:26" ht="12.75" customHeight="1">
      <c r="A293" s="5"/>
      <c r="B293" s="5"/>
      <c r="C293" s="5"/>
      <c r="D293" s="5"/>
      <c r="E293" s="5"/>
      <c r="F293" s="5"/>
      <c r="G293" s="5"/>
      <c r="H293" s="306"/>
      <c r="I293" s="5"/>
      <c r="J293" s="5"/>
      <c r="K293" s="5"/>
      <c r="L293" s="5"/>
      <c r="M293" s="5"/>
      <c r="N293" s="5"/>
      <c r="O293" s="57"/>
      <c r="P293" s="5"/>
      <c r="Q293" s="5"/>
      <c r="R293" s="5"/>
      <c r="S293" s="5"/>
      <c r="T293" s="5"/>
      <c r="U293" s="5"/>
      <c r="V293" s="5"/>
      <c r="W293" s="5"/>
      <c r="X293" s="5"/>
      <c r="Y293" s="5"/>
      <c r="Z293" s="5"/>
    </row>
    <row r="294" spans="1:26" ht="12.75" customHeight="1">
      <c r="A294" s="5"/>
      <c r="B294" s="5"/>
      <c r="C294" s="5"/>
      <c r="D294" s="5"/>
      <c r="E294" s="5"/>
      <c r="F294" s="5"/>
      <c r="G294" s="5"/>
      <c r="H294" s="306"/>
      <c r="I294" s="5"/>
      <c r="J294" s="5"/>
      <c r="K294" s="5"/>
      <c r="L294" s="5"/>
      <c r="M294" s="5"/>
      <c r="N294" s="5"/>
      <c r="O294" s="57"/>
      <c r="P294" s="5"/>
      <c r="Q294" s="5"/>
      <c r="R294" s="5"/>
      <c r="S294" s="5"/>
      <c r="T294" s="5"/>
      <c r="U294" s="5"/>
      <c r="V294" s="5"/>
      <c r="W294" s="5"/>
      <c r="X294" s="5"/>
      <c r="Y294" s="5"/>
      <c r="Z294" s="5"/>
    </row>
    <row r="295" spans="1:26" ht="12.75" customHeight="1">
      <c r="A295" s="5"/>
      <c r="B295" s="5"/>
      <c r="C295" s="5"/>
      <c r="D295" s="5"/>
      <c r="E295" s="5"/>
      <c r="F295" s="5"/>
      <c r="G295" s="5"/>
      <c r="H295" s="306"/>
      <c r="I295" s="5"/>
      <c r="J295" s="5"/>
      <c r="K295" s="5"/>
      <c r="L295" s="5"/>
      <c r="M295" s="5"/>
      <c r="N295" s="5"/>
      <c r="O295" s="57"/>
      <c r="P295" s="5"/>
      <c r="Q295" s="5"/>
      <c r="R295" s="5"/>
      <c r="S295" s="5"/>
      <c r="T295" s="5"/>
      <c r="U295" s="5"/>
      <c r="V295" s="5"/>
      <c r="W295" s="5"/>
      <c r="X295" s="5"/>
      <c r="Y295" s="5"/>
      <c r="Z295" s="5"/>
    </row>
    <row r="296" spans="1:26" ht="12.75" customHeight="1">
      <c r="A296" s="5"/>
      <c r="B296" s="5"/>
      <c r="C296" s="5"/>
      <c r="D296" s="5"/>
      <c r="E296" s="5"/>
      <c r="F296" s="5"/>
      <c r="G296" s="5"/>
      <c r="H296" s="306"/>
      <c r="I296" s="5"/>
      <c r="J296" s="5"/>
      <c r="K296" s="5"/>
      <c r="L296" s="5"/>
      <c r="M296" s="5"/>
      <c r="N296" s="5"/>
      <c r="O296" s="57"/>
      <c r="P296" s="5"/>
      <c r="Q296" s="5"/>
      <c r="R296" s="5"/>
      <c r="S296" s="5"/>
      <c r="T296" s="5"/>
      <c r="U296" s="5"/>
      <c r="V296" s="5"/>
      <c r="W296" s="5"/>
      <c r="X296" s="5"/>
      <c r="Y296" s="5"/>
      <c r="Z296" s="5"/>
    </row>
    <row r="297" spans="1:26" ht="12.75" customHeight="1">
      <c r="A297" s="5"/>
      <c r="B297" s="5"/>
      <c r="C297" s="5"/>
      <c r="D297" s="5"/>
      <c r="E297" s="5"/>
      <c r="F297" s="5"/>
      <c r="G297" s="5"/>
      <c r="H297" s="306"/>
      <c r="I297" s="5"/>
      <c r="J297" s="5"/>
      <c r="K297" s="5"/>
      <c r="L297" s="5"/>
      <c r="M297" s="5"/>
      <c r="N297" s="5"/>
      <c r="O297" s="57"/>
      <c r="P297" s="5"/>
      <c r="Q297" s="5"/>
      <c r="R297" s="5"/>
      <c r="S297" s="5"/>
      <c r="T297" s="5"/>
      <c r="U297" s="5"/>
      <c r="V297" s="5"/>
      <c r="W297" s="5"/>
      <c r="X297" s="5"/>
      <c r="Y297" s="5"/>
      <c r="Z297" s="5"/>
    </row>
    <row r="298" spans="1:26" ht="12.75" customHeight="1">
      <c r="A298" s="5"/>
      <c r="B298" s="5"/>
      <c r="C298" s="5"/>
      <c r="D298" s="5"/>
      <c r="E298" s="5"/>
      <c r="F298" s="5"/>
      <c r="G298" s="5"/>
      <c r="H298" s="306"/>
      <c r="I298" s="5"/>
      <c r="J298" s="5"/>
      <c r="K298" s="5"/>
      <c r="L298" s="5"/>
      <c r="M298" s="5"/>
      <c r="N298" s="5"/>
      <c r="O298" s="57"/>
      <c r="P298" s="5"/>
      <c r="Q298" s="5"/>
      <c r="R298" s="5"/>
      <c r="S298" s="5"/>
      <c r="T298" s="5"/>
      <c r="U298" s="5"/>
      <c r="V298" s="5"/>
      <c r="W298" s="5"/>
      <c r="X298" s="5"/>
      <c r="Y298" s="5"/>
      <c r="Z298" s="5"/>
    </row>
    <row r="299" spans="1:26" ht="12.75" customHeight="1">
      <c r="A299" s="5"/>
      <c r="B299" s="5"/>
      <c r="C299" s="5"/>
      <c r="D299" s="5"/>
      <c r="E299" s="5"/>
      <c r="F299" s="5"/>
      <c r="G299" s="5"/>
      <c r="H299" s="306"/>
      <c r="I299" s="5"/>
      <c r="J299" s="5"/>
      <c r="K299" s="5"/>
      <c r="L299" s="5"/>
      <c r="M299" s="5"/>
      <c r="N299" s="5"/>
      <c r="O299" s="57"/>
      <c r="P299" s="5"/>
      <c r="Q299" s="5"/>
      <c r="R299" s="5"/>
      <c r="S299" s="5"/>
      <c r="T299" s="5"/>
      <c r="U299" s="5"/>
      <c r="V299" s="5"/>
      <c r="W299" s="5"/>
      <c r="X299" s="5"/>
      <c r="Y299" s="5"/>
      <c r="Z299" s="5"/>
    </row>
    <row r="300" spans="1:26" ht="12.75" customHeight="1">
      <c r="A300" s="5"/>
      <c r="B300" s="5"/>
      <c r="C300" s="5"/>
      <c r="D300" s="5"/>
      <c r="E300" s="5"/>
      <c r="F300" s="5"/>
      <c r="G300" s="5"/>
      <c r="H300" s="306"/>
      <c r="I300" s="5"/>
      <c r="J300" s="5"/>
      <c r="K300" s="5"/>
      <c r="L300" s="5"/>
      <c r="M300" s="5"/>
      <c r="N300" s="5"/>
      <c r="O300" s="57"/>
      <c r="P300" s="5"/>
      <c r="Q300" s="5"/>
      <c r="R300" s="5"/>
      <c r="S300" s="5"/>
      <c r="T300" s="5"/>
      <c r="U300" s="5"/>
      <c r="V300" s="5"/>
      <c r="W300" s="5"/>
      <c r="X300" s="5"/>
      <c r="Y300" s="5"/>
      <c r="Z300" s="5"/>
    </row>
    <row r="301" spans="1:26" ht="12.75" customHeight="1">
      <c r="A301" s="5"/>
      <c r="B301" s="5"/>
      <c r="C301" s="5"/>
      <c r="D301" s="5"/>
      <c r="E301" s="5"/>
      <c r="F301" s="5"/>
      <c r="G301" s="5"/>
      <c r="H301" s="306"/>
      <c r="I301" s="5"/>
      <c r="J301" s="5"/>
      <c r="K301" s="5"/>
      <c r="L301" s="5"/>
      <c r="M301" s="5"/>
      <c r="N301" s="5"/>
      <c r="O301" s="57"/>
      <c r="P301" s="5"/>
      <c r="Q301" s="5"/>
      <c r="R301" s="5"/>
      <c r="S301" s="5"/>
      <c r="T301" s="5"/>
      <c r="U301" s="5"/>
      <c r="V301" s="5"/>
      <c r="W301" s="5"/>
      <c r="X301" s="5"/>
      <c r="Y301" s="5"/>
      <c r="Z301" s="5"/>
    </row>
    <row r="302" spans="1:26" ht="12.75" customHeight="1">
      <c r="A302" s="5"/>
      <c r="B302" s="5"/>
      <c r="C302" s="5"/>
      <c r="D302" s="5"/>
      <c r="E302" s="5"/>
      <c r="F302" s="5"/>
      <c r="G302" s="5"/>
      <c r="H302" s="306"/>
      <c r="I302" s="5"/>
      <c r="J302" s="5"/>
      <c r="K302" s="5"/>
      <c r="L302" s="5"/>
      <c r="M302" s="5"/>
      <c r="N302" s="5"/>
      <c r="O302" s="57"/>
      <c r="P302" s="5"/>
      <c r="Q302" s="5"/>
      <c r="R302" s="5"/>
      <c r="S302" s="5"/>
      <c r="T302" s="5"/>
      <c r="U302" s="5"/>
      <c r="V302" s="5"/>
      <c r="W302" s="5"/>
      <c r="X302" s="5"/>
      <c r="Y302" s="5"/>
      <c r="Z302" s="5"/>
    </row>
    <row r="303" spans="1:26" ht="12.75" customHeight="1">
      <c r="A303" s="5"/>
      <c r="B303" s="5"/>
      <c r="C303" s="5"/>
      <c r="D303" s="5"/>
      <c r="E303" s="5"/>
      <c r="F303" s="5"/>
      <c r="G303" s="5"/>
      <c r="H303" s="306"/>
      <c r="I303" s="5"/>
      <c r="J303" s="5"/>
      <c r="K303" s="5"/>
      <c r="L303" s="5"/>
      <c r="M303" s="5"/>
      <c r="N303" s="5"/>
      <c r="O303" s="57"/>
      <c r="P303" s="5"/>
      <c r="Q303" s="5"/>
      <c r="R303" s="5"/>
      <c r="S303" s="5"/>
      <c r="T303" s="5"/>
      <c r="U303" s="5"/>
      <c r="V303" s="5"/>
      <c r="W303" s="5"/>
      <c r="X303" s="5"/>
      <c r="Y303" s="5"/>
      <c r="Z303" s="5"/>
    </row>
    <row r="304" spans="1:26" ht="12.75" customHeight="1">
      <c r="A304" s="5"/>
      <c r="B304" s="5"/>
      <c r="C304" s="5"/>
      <c r="D304" s="5"/>
      <c r="E304" s="5"/>
      <c r="F304" s="5"/>
      <c r="G304" s="5"/>
      <c r="H304" s="306"/>
      <c r="I304" s="5"/>
      <c r="J304" s="5"/>
      <c r="K304" s="5"/>
      <c r="L304" s="5"/>
      <c r="M304" s="5"/>
      <c r="N304" s="5"/>
      <c r="O304" s="57"/>
      <c r="P304" s="5"/>
      <c r="Q304" s="5"/>
      <c r="R304" s="5"/>
      <c r="S304" s="5"/>
      <c r="T304" s="5"/>
      <c r="U304" s="5"/>
      <c r="V304" s="5"/>
      <c r="W304" s="5"/>
      <c r="X304" s="5"/>
      <c r="Y304" s="5"/>
      <c r="Z304" s="5"/>
    </row>
    <row r="305" spans="1:26" ht="12.75" customHeight="1">
      <c r="A305" s="5"/>
      <c r="B305" s="5"/>
      <c r="C305" s="5"/>
      <c r="D305" s="5"/>
      <c r="E305" s="5"/>
      <c r="F305" s="5"/>
      <c r="G305" s="5"/>
      <c r="H305" s="306"/>
      <c r="I305" s="5"/>
      <c r="J305" s="5"/>
      <c r="K305" s="5"/>
      <c r="L305" s="5"/>
      <c r="M305" s="5"/>
      <c r="N305" s="5"/>
      <c r="O305" s="57"/>
      <c r="P305" s="5"/>
      <c r="Q305" s="5"/>
      <c r="R305" s="5"/>
      <c r="S305" s="5"/>
      <c r="T305" s="5"/>
      <c r="U305" s="5"/>
      <c r="V305" s="5"/>
      <c r="W305" s="5"/>
      <c r="X305" s="5"/>
      <c r="Y305" s="5"/>
      <c r="Z305" s="5"/>
    </row>
    <row r="306" spans="1:26" ht="12.75" customHeight="1">
      <c r="A306" s="5"/>
      <c r="B306" s="5"/>
      <c r="C306" s="5"/>
      <c r="D306" s="5"/>
      <c r="E306" s="5"/>
      <c r="F306" s="5"/>
      <c r="G306" s="5"/>
      <c r="H306" s="306"/>
      <c r="I306" s="5"/>
      <c r="J306" s="5"/>
      <c r="K306" s="5"/>
      <c r="L306" s="5"/>
      <c r="M306" s="5"/>
      <c r="N306" s="5"/>
      <c r="O306" s="57"/>
      <c r="P306" s="5"/>
      <c r="Q306" s="5"/>
      <c r="R306" s="5"/>
      <c r="S306" s="5"/>
      <c r="T306" s="5"/>
      <c r="U306" s="5"/>
      <c r="V306" s="5"/>
      <c r="W306" s="5"/>
      <c r="X306" s="5"/>
      <c r="Y306" s="5"/>
      <c r="Z306" s="5"/>
    </row>
    <row r="307" spans="1:26" ht="12.75" customHeight="1">
      <c r="A307" s="5"/>
      <c r="B307" s="5"/>
      <c r="C307" s="5"/>
      <c r="D307" s="5"/>
      <c r="E307" s="5"/>
      <c r="F307" s="5"/>
      <c r="G307" s="5"/>
      <c r="H307" s="306"/>
      <c r="I307" s="5"/>
      <c r="J307" s="5"/>
      <c r="K307" s="5"/>
      <c r="L307" s="5"/>
      <c r="M307" s="5"/>
      <c r="N307" s="5"/>
      <c r="O307" s="57"/>
      <c r="P307" s="5"/>
      <c r="Q307" s="5"/>
      <c r="R307" s="5"/>
      <c r="S307" s="5"/>
      <c r="T307" s="5"/>
      <c r="U307" s="5"/>
      <c r="V307" s="5"/>
      <c r="W307" s="5"/>
      <c r="X307" s="5"/>
      <c r="Y307" s="5"/>
      <c r="Z307" s="5"/>
    </row>
    <row r="308" spans="1:26" ht="12.75" customHeight="1">
      <c r="A308" s="5"/>
      <c r="B308" s="5"/>
      <c r="C308" s="5"/>
      <c r="D308" s="5"/>
      <c r="E308" s="5"/>
      <c r="F308" s="5"/>
      <c r="G308" s="5"/>
      <c r="H308" s="306"/>
      <c r="I308" s="5"/>
      <c r="J308" s="5"/>
      <c r="K308" s="5"/>
      <c r="L308" s="5"/>
      <c r="M308" s="5"/>
      <c r="N308" s="5"/>
      <c r="O308" s="57"/>
      <c r="P308" s="5"/>
      <c r="Q308" s="5"/>
      <c r="R308" s="5"/>
      <c r="S308" s="5"/>
      <c r="T308" s="5"/>
      <c r="U308" s="5"/>
      <c r="V308" s="5"/>
      <c r="W308" s="5"/>
      <c r="X308" s="5"/>
      <c r="Y308" s="5"/>
      <c r="Z308" s="5"/>
    </row>
    <row r="309" spans="1:26" ht="12.75" customHeight="1">
      <c r="A309" s="5"/>
      <c r="B309" s="5"/>
      <c r="C309" s="5"/>
      <c r="D309" s="5"/>
      <c r="E309" s="5"/>
      <c r="F309" s="5"/>
      <c r="G309" s="5"/>
      <c r="H309" s="306"/>
      <c r="I309" s="5"/>
      <c r="J309" s="5"/>
      <c r="K309" s="5"/>
      <c r="L309" s="5"/>
      <c r="M309" s="5"/>
      <c r="N309" s="5"/>
      <c r="O309" s="57"/>
      <c r="P309" s="5"/>
      <c r="Q309" s="5"/>
      <c r="R309" s="5"/>
      <c r="S309" s="5"/>
      <c r="T309" s="5"/>
      <c r="U309" s="5"/>
      <c r="V309" s="5"/>
      <c r="W309" s="5"/>
      <c r="X309" s="5"/>
      <c r="Y309" s="5"/>
      <c r="Z309" s="5"/>
    </row>
    <row r="310" spans="1:26" ht="12.75" customHeight="1">
      <c r="A310" s="5"/>
      <c r="B310" s="5"/>
      <c r="C310" s="5"/>
      <c r="D310" s="5"/>
      <c r="E310" s="5"/>
      <c r="F310" s="5"/>
      <c r="G310" s="5"/>
      <c r="H310" s="306"/>
      <c r="I310" s="5"/>
      <c r="J310" s="5"/>
      <c r="K310" s="5"/>
      <c r="L310" s="5"/>
      <c r="M310" s="5"/>
      <c r="N310" s="5"/>
      <c r="O310" s="57"/>
      <c r="P310" s="5"/>
      <c r="Q310" s="5"/>
      <c r="R310" s="5"/>
      <c r="S310" s="5"/>
      <c r="T310" s="5"/>
      <c r="U310" s="5"/>
      <c r="V310" s="5"/>
      <c r="W310" s="5"/>
      <c r="X310" s="5"/>
      <c r="Y310" s="5"/>
      <c r="Z310" s="5"/>
    </row>
    <row r="311" spans="1:26" ht="12.75" customHeight="1">
      <c r="A311" s="5"/>
      <c r="B311" s="5"/>
      <c r="C311" s="5"/>
      <c r="D311" s="5"/>
      <c r="E311" s="5"/>
      <c r="F311" s="5"/>
      <c r="G311" s="5"/>
      <c r="H311" s="306"/>
      <c r="I311" s="5"/>
      <c r="J311" s="5"/>
      <c r="K311" s="5"/>
      <c r="L311" s="5"/>
      <c r="M311" s="5"/>
      <c r="N311" s="5"/>
      <c r="O311" s="57"/>
      <c r="P311" s="5"/>
      <c r="Q311" s="5"/>
      <c r="R311" s="5"/>
      <c r="S311" s="5"/>
      <c r="T311" s="5"/>
      <c r="U311" s="5"/>
      <c r="V311" s="5"/>
      <c r="W311" s="5"/>
      <c r="X311" s="5"/>
      <c r="Y311" s="5"/>
      <c r="Z311" s="5"/>
    </row>
    <row r="312" spans="1:26" ht="12.75" customHeight="1">
      <c r="A312" s="5"/>
      <c r="B312" s="5"/>
      <c r="C312" s="5"/>
      <c r="D312" s="5"/>
      <c r="E312" s="5"/>
      <c r="F312" s="5"/>
      <c r="G312" s="5"/>
      <c r="H312" s="306"/>
      <c r="I312" s="5"/>
      <c r="J312" s="5"/>
      <c r="K312" s="5"/>
      <c r="L312" s="5"/>
      <c r="M312" s="5"/>
      <c r="N312" s="5"/>
      <c r="O312" s="57"/>
      <c r="P312" s="5"/>
      <c r="Q312" s="5"/>
      <c r="R312" s="5"/>
      <c r="S312" s="5"/>
      <c r="T312" s="5"/>
      <c r="U312" s="5"/>
      <c r="V312" s="5"/>
      <c r="W312" s="5"/>
      <c r="X312" s="5"/>
      <c r="Y312" s="5"/>
      <c r="Z312" s="5"/>
    </row>
    <row r="313" spans="1:26" ht="12.75" customHeight="1">
      <c r="A313" s="5"/>
      <c r="B313" s="5"/>
      <c r="C313" s="5"/>
      <c r="D313" s="5"/>
      <c r="E313" s="5"/>
      <c r="F313" s="5"/>
      <c r="G313" s="5"/>
      <c r="H313" s="306"/>
      <c r="I313" s="5"/>
      <c r="J313" s="5"/>
      <c r="K313" s="5"/>
      <c r="L313" s="5"/>
      <c r="M313" s="5"/>
      <c r="N313" s="5"/>
      <c r="O313" s="57"/>
      <c r="P313" s="5"/>
      <c r="Q313" s="5"/>
      <c r="R313" s="5"/>
      <c r="S313" s="5"/>
      <c r="T313" s="5"/>
      <c r="U313" s="5"/>
      <c r="V313" s="5"/>
      <c r="W313" s="5"/>
      <c r="X313" s="5"/>
      <c r="Y313" s="5"/>
      <c r="Z313" s="5"/>
    </row>
    <row r="314" spans="1:26" ht="12.75" customHeight="1">
      <c r="A314" s="5"/>
      <c r="B314" s="5"/>
      <c r="C314" s="5"/>
      <c r="D314" s="5"/>
      <c r="E314" s="5"/>
      <c r="F314" s="5"/>
      <c r="G314" s="5"/>
      <c r="H314" s="306"/>
      <c r="I314" s="5"/>
      <c r="J314" s="5"/>
      <c r="K314" s="5"/>
      <c r="L314" s="5"/>
      <c r="M314" s="5"/>
      <c r="N314" s="5"/>
      <c r="O314" s="57"/>
      <c r="P314" s="5"/>
      <c r="Q314" s="5"/>
      <c r="R314" s="5"/>
      <c r="S314" s="5"/>
      <c r="T314" s="5"/>
      <c r="U314" s="5"/>
      <c r="V314" s="5"/>
      <c r="W314" s="5"/>
      <c r="X314" s="5"/>
      <c r="Y314" s="5"/>
      <c r="Z314" s="5"/>
    </row>
    <row r="315" spans="1:26" ht="12.75" customHeight="1">
      <c r="A315" s="5"/>
      <c r="B315" s="5"/>
      <c r="C315" s="5"/>
      <c r="D315" s="5"/>
      <c r="E315" s="5"/>
      <c r="F315" s="5"/>
      <c r="G315" s="5"/>
      <c r="H315" s="306"/>
      <c r="I315" s="5"/>
      <c r="J315" s="5"/>
      <c r="K315" s="5"/>
      <c r="L315" s="5"/>
      <c r="M315" s="5"/>
      <c r="N315" s="5"/>
      <c r="O315" s="57"/>
      <c r="P315" s="5"/>
      <c r="Q315" s="5"/>
      <c r="R315" s="5"/>
      <c r="S315" s="5"/>
      <c r="T315" s="5"/>
      <c r="U315" s="5"/>
      <c r="V315" s="5"/>
      <c r="W315" s="5"/>
      <c r="X315" s="5"/>
      <c r="Y315" s="5"/>
      <c r="Z315" s="5"/>
    </row>
    <row r="316" spans="1:26" ht="12.75" customHeight="1">
      <c r="A316" s="5"/>
      <c r="B316" s="5"/>
      <c r="C316" s="5"/>
      <c r="D316" s="5"/>
      <c r="E316" s="5"/>
      <c r="F316" s="5"/>
      <c r="G316" s="5"/>
      <c r="H316" s="306"/>
      <c r="I316" s="5"/>
      <c r="J316" s="5"/>
      <c r="K316" s="5"/>
      <c r="L316" s="5"/>
      <c r="M316" s="5"/>
      <c r="N316" s="5"/>
      <c r="O316" s="57"/>
      <c r="P316" s="5"/>
      <c r="Q316" s="5"/>
      <c r="R316" s="5"/>
      <c r="S316" s="5"/>
      <c r="T316" s="5"/>
      <c r="U316" s="5"/>
      <c r="V316" s="5"/>
      <c r="W316" s="5"/>
      <c r="X316" s="5"/>
      <c r="Y316" s="5"/>
      <c r="Z316" s="5"/>
    </row>
    <row r="317" spans="1:26" ht="12.75" customHeight="1">
      <c r="A317" s="5"/>
      <c r="B317" s="5"/>
      <c r="C317" s="5"/>
      <c r="D317" s="5"/>
      <c r="E317" s="5"/>
      <c r="F317" s="5"/>
      <c r="G317" s="5"/>
      <c r="H317" s="306"/>
      <c r="I317" s="5"/>
      <c r="J317" s="5"/>
      <c r="K317" s="5"/>
      <c r="L317" s="5"/>
      <c r="M317" s="5"/>
      <c r="N317" s="5"/>
      <c r="O317" s="57"/>
      <c r="P317" s="5"/>
      <c r="Q317" s="5"/>
      <c r="R317" s="5"/>
      <c r="S317" s="5"/>
      <c r="T317" s="5"/>
      <c r="U317" s="5"/>
      <c r="V317" s="5"/>
      <c r="W317" s="5"/>
      <c r="X317" s="5"/>
      <c r="Y317" s="5"/>
      <c r="Z317" s="5"/>
    </row>
    <row r="318" spans="1:26" ht="12.75" customHeight="1">
      <c r="A318" s="5"/>
      <c r="B318" s="5"/>
      <c r="C318" s="5"/>
      <c r="D318" s="5"/>
      <c r="E318" s="5"/>
      <c r="F318" s="5"/>
      <c r="G318" s="5"/>
      <c r="H318" s="306"/>
      <c r="I318" s="5"/>
      <c r="J318" s="5"/>
      <c r="K318" s="5"/>
      <c r="L318" s="5"/>
      <c r="M318" s="5"/>
      <c r="N318" s="5"/>
      <c r="O318" s="57"/>
      <c r="P318" s="5"/>
      <c r="Q318" s="5"/>
      <c r="R318" s="5"/>
      <c r="S318" s="5"/>
      <c r="T318" s="5"/>
      <c r="U318" s="5"/>
      <c r="V318" s="5"/>
      <c r="W318" s="5"/>
      <c r="X318" s="5"/>
      <c r="Y318" s="5"/>
      <c r="Z318" s="5"/>
    </row>
    <row r="319" spans="1:26" ht="12.75" customHeight="1">
      <c r="A319" s="5"/>
      <c r="B319" s="5"/>
      <c r="C319" s="5"/>
      <c r="D319" s="5"/>
      <c r="E319" s="5"/>
      <c r="F319" s="5"/>
      <c r="G319" s="5"/>
      <c r="H319" s="306"/>
      <c r="I319" s="5"/>
      <c r="J319" s="5"/>
      <c r="K319" s="5"/>
      <c r="L319" s="5"/>
      <c r="M319" s="5"/>
      <c r="N319" s="5"/>
      <c r="O319" s="57"/>
      <c r="P319" s="5"/>
      <c r="Q319" s="5"/>
      <c r="R319" s="5"/>
      <c r="S319" s="5"/>
      <c r="T319" s="5"/>
      <c r="U319" s="5"/>
      <c r="V319" s="5"/>
      <c r="W319" s="5"/>
      <c r="X319" s="5"/>
      <c r="Y319" s="5"/>
      <c r="Z319" s="5"/>
    </row>
    <row r="320" spans="1:26" ht="12.75" customHeight="1">
      <c r="A320" s="5"/>
      <c r="B320" s="5"/>
      <c r="C320" s="5"/>
      <c r="D320" s="5"/>
      <c r="E320" s="5"/>
      <c r="F320" s="5"/>
      <c r="G320" s="5"/>
      <c r="H320" s="306"/>
      <c r="I320" s="5"/>
      <c r="J320" s="5"/>
      <c r="K320" s="5"/>
      <c r="L320" s="5"/>
      <c r="M320" s="5"/>
      <c r="N320" s="5"/>
      <c r="O320" s="57"/>
      <c r="P320" s="5"/>
      <c r="Q320" s="5"/>
      <c r="R320" s="5"/>
      <c r="S320" s="5"/>
      <c r="T320" s="5"/>
      <c r="U320" s="5"/>
      <c r="V320" s="5"/>
      <c r="W320" s="5"/>
      <c r="X320" s="5"/>
      <c r="Y320" s="5"/>
      <c r="Z320" s="5"/>
    </row>
    <row r="321" spans="1:26" ht="12.75" customHeight="1">
      <c r="A321" s="5"/>
      <c r="B321" s="5"/>
      <c r="C321" s="5"/>
      <c r="D321" s="5"/>
      <c r="E321" s="5"/>
      <c r="F321" s="5"/>
      <c r="G321" s="5"/>
      <c r="H321" s="306"/>
      <c r="I321" s="5"/>
      <c r="J321" s="5"/>
      <c r="K321" s="5"/>
      <c r="L321" s="5"/>
      <c r="M321" s="5"/>
      <c r="N321" s="5"/>
      <c r="O321" s="57"/>
      <c r="P321" s="5"/>
      <c r="Q321" s="5"/>
      <c r="R321" s="5"/>
      <c r="S321" s="5"/>
      <c r="T321" s="5"/>
      <c r="U321" s="5"/>
      <c r="V321" s="5"/>
      <c r="W321" s="5"/>
      <c r="X321" s="5"/>
      <c r="Y321" s="5"/>
      <c r="Z321" s="5"/>
    </row>
    <row r="322" spans="1:26" ht="12.75" customHeight="1">
      <c r="A322" s="5"/>
      <c r="B322" s="5"/>
      <c r="C322" s="5"/>
      <c r="D322" s="5"/>
      <c r="E322" s="5"/>
      <c r="F322" s="5"/>
      <c r="G322" s="5"/>
      <c r="H322" s="306"/>
      <c r="I322" s="5"/>
      <c r="J322" s="5"/>
      <c r="K322" s="5"/>
      <c r="L322" s="5"/>
      <c r="M322" s="5"/>
      <c r="N322" s="5"/>
      <c r="O322" s="57"/>
      <c r="P322" s="5"/>
      <c r="Q322" s="5"/>
      <c r="R322" s="5"/>
      <c r="S322" s="5"/>
      <c r="T322" s="5"/>
      <c r="U322" s="5"/>
      <c r="V322" s="5"/>
      <c r="W322" s="5"/>
      <c r="X322" s="5"/>
      <c r="Y322" s="5"/>
      <c r="Z322" s="5"/>
    </row>
    <row r="323" spans="1:26" ht="12.75" customHeight="1">
      <c r="A323" s="5"/>
      <c r="B323" s="5"/>
      <c r="C323" s="5"/>
      <c r="D323" s="5"/>
      <c r="E323" s="5"/>
      <c r="F323" s="5"/>
      <c r="G323" s="5"/>
      <c r="H323" s="306"/>
      <c r="I323" s="5"/>
      <c r="J323" s="5"/>
      <c r="K323" s="5"/>
      <c r="L323" s="5"/>
      <c r="M323" s="5"/>
      <c r="N323" s="5"/>
      <c r="O323" s="57"/>
      <c r="P323" s="5"/>
      <c r="Q323" s="5"/>
      <c r="R323" s="5"/>
      <c r="S323" s="5"/>
      <c r="T323" s="5"/>
      <c r="U323" s="5"/>
      <c r="V323" s="5"/>
      <c r="W323" s="5"/>
      <c r="X323" s="5"/>
      <c r="Y323" s="5"/>
      <c r="Z323" s="5"/>
    </row>
    <row r="324" spans="1:26" ht="12.75" customHeight="1">
      <c r="A324" s="5"/>
      <c r="B324" s="5"/>
      <c r="C324" s="5"/>
      <c r="D324" s="5"/>
      <c r="E324" s="5"/>
      <c r="F324" s="5"/>
      <c r="G324" s="5"/>
      <c r="H324" s="306"/>
      <c r="I324" s="5"/>
      <c r="J324" s="5"/>
      <c r="K324" s="5"/>
      <c r="L324" s="5"/>
      <c r="M324" s="5"/>
      <c r="N324" s="5"/>
      <c r="O324" s="57"/>
      <c r="P324" s="5"/>
      <c r="Q324" s="5"/>
      <c r="R324" s="5"/>
      <c r="S324" s="5"/>
      <c r="T324" s="5"/>
      <c r="U324" s="5"/>
      <c r="V324" s="5"/>
      <c r="W324" s="5"/>
      <c r="X324" s="5"/>
      <c r="Y324" s="5"/>
      <c r="Z324" s="5"/>
    </row>
    <row r="325" spans="1:26" ht="12.75" customHeight="1">
      <c r="A325" s="5"/>
      <c r="B325" s="5"/>
      <c r="C325" s="5"/>
      <c r="D325" s="5"/>
      <c r="E325" s="5"/>
      <c r="F325" s="5"/>
      <c r="G325" s="5"/>
      <c r="H325" s="306"/>
      <c r="I325" s="5"/>
      <c r="J325" s="5"/>
      <c r="K325" s="5"/>
      <c r="L325" s="5"/>
      <c r="M325" s="5"/>
      <c r="N325" s="5"/>
      <c r="O325" s="57"/>
      <c r="P325" s="5"/>
      <c r="Q325" s="5"/>
      <c r="R325" s="5"/>
      <c r="S325" s="5"/>
      <c r="T325" s="5"/>
      <c r="U325" s="5"/>
      <c r="V325" s="5"/>
      <c r="W325" s="5"/>
      <c r="X325" s="5"/>
      <c r="Y325" s="5"/>
      <c r="Z325" s="5"/>
    </row>
    <row r="326" spans="1:26" ht="12.75" customHeight="1">
      <c r="A326" s="5"/>
      <c r="B326" s="5"/>
      <c r="C326" s="5"/>
      <c r="D326" s="5"/>
      <c r="E326" s="5"/>
      <c r="F326" s="5"/>
      <c r="G326" s="5"/>
      <c r="H326" s="306"/>
      <c r="I326" s="5"/>
      <c r="J326" s="5"/>
      <c r="K326" s="5"/>
      <c r="L326" s="5"/>
      <c r="M326" s="5"/>
      <c r="N326" s="5"/>
      <c r="O326" s="57"/>
      <c r="P326" s="5"/>
      <c r="Q326" s="5"/>
      <c r="R326" s="5"/>
      <c r="S326" s="5"/>
      <c r="T326" s="5"/>
      <c r="U326" s="5"/>
      <c r="V326" s="5"/>
      <c r="W326" s="5"/>
      <c r="X326" s="5"/>
      <c r="Y326" s="5"/>
      <c r="Z326" s="5"/>
    </row>
    <row r="327" spans="1:26" ht="12.75" customHeight="1">
      <c r="A327" s="5"/>
      <c r="B327" s="5"/>
      <c r="C327" s="5"/>
      <c r="D327" s="5"/>
      <c r="E327" s="5"/>
      <c r="F327" s="5"/>
      <c r="G327" s="5"/>
      <c r="H327" s="306"/>
      <c r="I327" s="5"/>
      <c r="J327" s="5"/>
      <c r="K327" s="5"/>
      <c r="L327" s="5"/>
      <c r="M327" s="5"/>
      <c r="N327" s="5"/>
      <c r="O327" s="57"/>
      <c r="P327" s="5"/>
      <c r="Q327" s="5"/>
      <c r="R327" s="5"/>
      <c r="S327" s="5"/>
      <c r="T327" s="5"/>
      <c r="U327" s="5"/>
      <c r="V327" s="5"/>
      <c r="W327" s="5"/>
      <c r="X327" s="5"/>
      <c r="Y327" s="5"/>
      <c r="Z327" s="5"/>
    </row>
    <row r="328" spans="1:26" ht="12.75" customHeight="1">
      <c r="A328" s="5"/>
      <c r="B328" s="5"/>
      <c r="C328" s="5"/>
      <c r="D328" s="5"/>
      <c r="E328" s="5"/>
      <c r="F328" s="5"/>
      <c r="G328" s="5"/>
      <c r="H328" s="306"/>
      <c r="I328" s="5"/>
      <c r="J328" s="5"/>
      <c r="K328" s="5"/>
      <c r="L328" s="5"/>
      <c r="M328" s="5"/>
      <c r="N328" s="5"/>
      <c r="O328" s="57"/>
      <c r="P328" s="5"/>
      <c r="Q328" s="5"/>
      <c r="R328" s="5"/>
      <c r="S328" s="5"/>
      <c r="T328" s="5"/>
      <c r="U328" s="5"/>
      <c r="V328" s="5"/>
      <c r="W328" s="5"/>
      <c r="X328" s="5"/>
      <c r="Y328" s="5"/>
      <c r="Z328" s="5"/>
    </row>
    <row r="329" spans="1:26" ht="12.75" customHeight="1">
      <c r="A329" s="5"/>
      <c r="B329" s="5"/>
      <c r="C329" s="5"/>
      <c r="D329" s="5"/>
      <c r="E329" s="5"/>
      <c r="F329" s="5"/>
      <c r="G329" s="5"/>
      <c r="H329" s="306"/>
      <c r="I329" s="5"/>
      <c r="J329" s="5"/>
      <c r="K329" s="5"/>
      <c r="L329" s="5"/>
      <c r="M329" s="5"/>
      <c r="N329" s="5"/>
      <c r="O329" s="57"/>
      <c r="P329" s="5"/>
      <c r="Q329" s="5"/>
      <c r="R329" s="5"/>
      <c r="S329" s="5"/>
      <c r="T329" s="5"/>
      <c r="U329" s="5"/>
      <c r="V329" s="5"/>
      <c r="W329" s="5"/>
      <c r="X329" s="5"/>
      <c r="Y329" s="5"/>
      <c r="Z329" s="5"/>
    </row>
    <row r="330" spans="1:26" ht="12.75" customHeight="1">
      <c r="A330" s="5"/>
      <c r="B330" s="5"/>
      <c r="C330" s="5"/>
      <c r="D330" s="5"/>
      <c r="E330" s="5"/>
      <c r="F330" s="5"/>
      <c r="G330" s="5"/>
      <c r="H330" s="306"/>
      <c r="I330" s="5"/>
      <c r="J330" s="5"/>
      <c r="K330" s="5"/>
      <c r="L330" s="5"/>
      <c r="M330" s="5"/>
      <c r="N330" s="5"/>
      <c r="O330" s="57"/>
      <c r="P330" s="5"/>
      <c r="Q330" s="5"/>
      <c r="R330" s="5"/>
      <c r="S330" s="5"/>
      <c r="T330" s="5"/>
      <c r="U330" s="5"/>
      <c r="V330" s="5"/>
      <c r="W330" s="5"/>
      <c r="X330" s="5"/>
      <c r="Y330" s="5"/>
      <c r="Z330" s="5"/>
    </row>
    <row r="331" spans="1:26" ht="12.75" customHeight="1">
      <c r="A331" s="5"/>
      <c r="B331" s="5"/>
      <c r="C331" s="5"/>
      <c r="D331" s="5"/>
      <c r="E331" s="5"/>
      <c r="F331" s="5"/>
      <c r="G331" s="5"/>
      <c r="H331" s="306"/>
      <c r="I331" s="5"/>
      <c r="J331" s="5"/>
      <c r="K331" s="5"/>
      <c r="L331" s="5"/>
      <c r="M331" s="5"/>
      <c r="N331" s="5"/>
      <c r="O331" s="57"/>
      <c r="P331" s="5"/>
      <c r="Q331" s="5"/>
      <c r="R331" s="5"/>
      <c r="S331" s="5"/>
      <c r="T331" s="5"/>
      <c r="U331" s="5"/>
      <c r="V331" s="5"/>
      <c r="W331" s="5"/>
      <c r="X331" s="5"/>
      <c r="Y331" s="5"/>
      <c r="Z331" s="5"/>
    </row>
    <row r="332" spans="1:26" ht="12.75" customHeight="1">
      <c r="A332" s="5"/>
      <c r="B332" s="5"/>
      <c r="C332" s="5"/>
      <c r="D332" s="5"/>
      <c r="E332" s="5"/>
      <c r="F332" s="5"/>
      <c r="G332" s="5"/>
      <c r="H332" s="306"/>
      <c r="I332" s="5"/>
      <c r="J332" s="5"/>
      <c r="K332" s="5"/>
      <c r="L332" s="5"/>
      <c r="M332" s="5"/>
      <c r="N332" s="5"/>
      <c r="O332" s="57"/>
      <c r="P332" s="5"/>
      <c r="Q332" s="5"/>
      <c r="R332" s="5"/>
      <c r="S332" s="5"/>
      <c r="T332" s="5"/>
      <c r="U332" s="5"/>
      <c r="V332" s="5"/>
      <c r="W332" s="5"/>
      <c r="X332" s="5"/>
      <c r="Y332" s="5"/>
      <c r="Z332" s="5"/>
    </row>
    <row r="333" spans="1:26" ht="12.75" customHeight="1">
      <c r="A333" s="5"/>
      <c r="B333" s="5"/>
      <c r="C333" s="5"/>
      <c r="D333" s="5"/>
      <c r="E333" s="5"/>
      <c r="F333" s="5"/>
      <c r="G333" s="5"/>
      <c r="H333" s="306"/>
      <c r="I333" s="5"/>
      <c r="J333" s="5"/>
      <c r="K333" s="5"/>
      <c r="L333" s="5"/>
      <c r="M333" s="5"/>
      <c r="N333" s="5"/>
      <c r="O333" s="57"/>
      <c r="P333" s="5"/>
      <c r="Q333" s="5"/>
      <c r="R333" s="5"/>
      <c r="S333" s="5"/>
      <c r="T333" s="5"/>
      <c r="U333" s="5"/>
      <c r="V333" s="5"/>
      <c r="W333" s="5"/>
      <c r="X333" s="5"/>
      <c r="Y333" s="5"/>
      <c r="Z333" s="5"/>
    </row>
    <row r="334" spans="1:26" ht="12.75" customHeight="1">
      <c r="A334" s="5"/>
      <c r="B334" s="5"/>
      <c r="C334" s="5"/>
      <c r="D334" s="5"/>
      <c r="E334" s="5"/>
      <c r="F334" s="5"/>
      <c r="G334" s="5"/>
      <c r="H334" s="306"/>
      <c r="I334" s="5"/>
      <c r="J334" s="5"/>
      <c r="K334" s="5"/>
      <c r="L334" s="5"/>
      <c r="M334" s="5"/>
      <c r="N334" s="5"/>
      <c r="O334" s="57"/>
      <c r="P334" s="5"/>
      <c r="Q334" s="5"/>
      <c r="R334" s="5"/>
      <c r="S334" s="5"/>
      <c r="T334" s="5"/>
      <c r="U334" s="5"/>
      <c r="V334" s="5"/>
      <c r="W334" s="5"/>
      <c r="X334" s="5"/>
      <c r="Y334" s="5"/>
      <c r="Z334" s="5"/>
    </row>
    <row r="335" spans="1:26" ht="12.75" customHeight="1">
      <c r="A335" s="5"/>
      <c r="B335" s="5"/>
      <c r="C335" s="5"/>
      <c r="D335" s="5"/>
      <c r="E335" s="5"/>
      <c r="F335" s="5"/>
      <c r="G335" s="5"/>
      <c r="H335" s="306"/>
      <c r="I335" s="5"/>
      <c r="J335" s="5"/>
      <c r="K335" s="5"/>
      <c r="L335" s="5"/>
      <c r="M335" s="5"/>
      <c r="N335" s="5"/>
      <c r="O335" s="57"/>
      <c r="P335" s="5"/>
      <c r="Q335" s="5"/>
      <c r="R335" s="5"/>
      <c r="S335" s="5"/>
      <c r="T335" s="5"/>
      <c r="U335" s="5"/>
      <c r="V335" s="5"/>
      <c r="W335" s="5"/>
      <c r="X335" s="5"/>
      <c r="Y335" s="5"/>
      <c r="Z335" s="5"/>
    </row>
    <row r="336" spans="1:26" ht="12.75" customHeight="1">
      <c r="A336" s="5"/>
      <c r="B336" s="5"/>
      <c r="C336" s="5"/>
      <c r="D336" s="5"/>
      <c r="E336" s="5"/>
      <c r="F336" s="5"/>
      <c r="G336" s="5"/>
      <c r="H336" s="306"/>
      <c r="I336" s="5"/>
      <c r="J336" s="5"/>
      <c r="K336" s="5"/>
      <c r="L336" s="5"/>
      <c r="M336" s="5"/>
      <c r="N336" s="5"/>
      <c r="O336" s="57"/>
      <c r="P336" s="5"/>
      <c r="Q336" s="5"/>
      <c r="R336" s="5"/>
      <c r="S336" s="5"/>
      <c r="T336" s="5"/>
      <c r="U336" s="5"/>
      <c r="V336" s="5"/>
      <c r="W336" s="5"/>
      <c r="X336" s="5"/>
      <c r="Y336" s="5"/>
      <c r="Z336" s="5"/>
    </row>
    <row r="337" spans="1:26" ht="12.75" customHeight="1">
      <c r="A337" s="5"/>
      <c r="B337" s="5"/>
      <c r="C337" s="5"/>
      <c r="D337" s="5"/>
      <c r="E337" s="5"/>
      <c r="F337" s="5"/>
      <c r="G337" s="5"/>
      <c r="H337" s="306"/>
      <c r="I337" s="5"/>
      <c r="J337" s="5"/>
      <c r="K337" s="5"/>
      <c r="L337" s="5"/>
      <c r="M337" s="5"/>
      <c r="N337" s="5"/>
      <c r="O337" s="57"/>
      <c r="P337" s="5"/>
      <c r="Q337" s="5"/>
      <c r="R337" s="5"/>
      <c r="S337" s="5"/>
      <c r="T337" s="5"/>
      <c r="U337" s="5"/>
      <c r="V337" s="5"/>
      <c r="W337" s="5"/>
      <c r="X337" s="5"/>
      <c r="Y337" s="5"/>
      <c r="Z337" s="5"/>
    </row>
    <row r="338" spans="1:26" ht="12.75" customHeight="1">
      <c r="A338" s="5"/>
      <c r="B338" s="5"/>
      <c r="C338" s="5"/>
      <c r="D338" s="5"/>
      <c r="E338" s="5"/>
      <c r="F338" s="5"/>
      <c r="G338" s="5"/>
      <c r="H338" s="306"/>
      <c r="I338" s="5"/>
      <c r="J338" s="5"/>
      <c r="K338" s="5"/>
      <c r="L338" s="5"/>
      <c r="M338" s="5"/>
      <c r="N338" s="5"/>
      <c r="O338" s="57"/>
      <c r="P338" s="5"/>
      <c r="Q338" s="5"/>
      <c r="R338" s="5"/>
      <c r="S338" s="5"/>
      <c r="T338" s="5"/>
      <c r="U338" s="5"/>
      <c r="V338" s="5"/>
      <c r="W338" s="5"/>
      <c r="X338" s="5"/>
      <c r="Y338" s="5"/>
      <c r="Z338" s="5"/>
    </row>
    <row r="339" spans="1:26" ht="12.75" customHeight="1">
      <c r="A339" s="5"/>
      <c r="B339" s="5"/>
      <c r="C339" s="5"/>
      <c r="D339" s="5"/>
      <c r="E339" s="5"/>
      <c r="F339" s="5"/>
      <c r="G339" s="5"/>
      <c r="H339" s="306"/>
      <c r="I339" s="5"/>
      <c r="J339" s="5"/>
      <c r="K339" s="5"/>
      <c r="L339" s="5"/>
      <c r="M339" s="5"/>
      <c r="N339" s="5"/>
      <c r="O339" s="57"/>
      <c r="P339" s="5"/>
      <c r="Q339" s="5"/>
      <c r="R339" s="5"/>
      <c r="S339" s="5"/>
      <c r="T339" s="5"/>
      <c r="U339" s="5"/>
      <c r="V339" s="5"/>
      <c r="W339" s="5"/>
      <c r="X339" s="5"/>
      <c r="Y339" s="5"/>
      <c r="Z339" s="5"/>
    </row>
    <row r="340" spans="1:26" ht="12.75" customHeight="1">
      <c r="A340" s="5"/>
      <c r="B340" s="5"/>
      <c r="C340" s="5"/>
      <c r="D340" s="5"/>
      <c r="E340" s="5"/>
      <c r="F340" s="5"/>
      <c r="G340" s="5"/>
      <c r="H340" s="306"/>
      <c r="I340" s="5"/>
      <c r="J340" s="5"/>
      <c r="K340" s="5"/>
      <c r="L340" s="5"/>
      <c r="M340" s="5"/>
      <c r="N340" s="5"/>
      <c r="O340" s="57"/>
      <c r="P340" s="5"/>
      <c r="Q340" s="5"/>
      <c r="R340" s="5"/>
      <c r="S340" s="5"/>
      <c r="T340" s="5"/>
      <c r="U340" s="5"/>
      <c r="V340" s="5"/>
      <c r="W340" s="5"/>
      <c r="X340" s="5"/>
      <c r="Y340" s="5"/>
      <c r="Z340" s="5"/>
    </row>
    <row r="341" spans="1:26" ht="12.75" customHeight="1">
      <c r="A341" s="5"/>
      <c r="B341" s="5"/>
      <c r="C341" s="5"/>
      <c r="D341" s="5"/>
      <c r="E341" s="5"/>
      <c r="F341" s="5"/>
      <c r="G341" s="5"/>
      <c r="H341" s="306"/>
      <c r="I341" s="5"/>
      <c r="J341" s="5"/>
      <c r="K341" s="5"/>
      <c r="L341" s="5"/>
      <c r="M341" s="5"/>
      <c r="N341" s="5"/>
      <c r="O341" s="57"/>
      <c r="P341" s="5"/>
      <c r="Q341" s="5"/>
      <c r="R341" s="5"/>
      <c r="S341" s="5"/>
      <c r="T341" s="5"/>
      <c r="U341" s="5"/>
      <c r="V341" s="5"/>
      <c r="W341" s="5"/>
      <c r="X341" s="5"/>
      <c r="Y341" s="5"/>
      <c r="Z341" s="5"/>
    </row>
    <row r="342" spans="1:26" ht="12.75" customHeight="1">
      <c r="A342" s="5"/>
      <c r="B342" s="5"/>
      <c r="C342" s="5"/>
      <c r="D342" s="5"/>
      <c r="E342" s="5"/>
      <c r="F342" s="5"/>
      <c r="G342" s="5"/>
      <c r="H342" s="306"/>
      <c r="I342" s="5"/>
      <c r="J342" s="5"/>
      <c r="K342" s="5"/>
      <c r="L342" s="5"/>
      <c r="M342" s="5"/>
      <c r="N342" s="5"/>
      <c r="O342" s="57"/>
      <c r="P342" s="5"/>
      <c r="Q342" s="5"/>
      <c r="R342" s="5"/>
      <c r="S342" s="5"/>
      <c r="T342" s="5"/>
      <c r="U342" s="5"/>
      <c r="V342" s="5"/>
      <c r="W342" s="5"/>
      <c r="X342" s="5"/>
      <c r="Y342" s="5"/>
      <c r="Z342" s="5"/>
    </row>
    <row r="343" spans="1:26" ht="12.75" customHeight="1">
      <c r="A343" s="5"/>
      <c r="B343" s="5"/>
      <c r="C343" s="5"/>
      <c r="D343" s="5"/>
      <c r="E343" s="5"/>
      <c r="F343" s="5"/>
      <c r="G343" s="5"/>
      <c r="H343" s="306"/>
      <c r="I343" s="5"/>
      <c r="J343" s="5"/>
      <c r="K343" s="5"/>
      <c r="L343" s="5"/>
      <c r="M343" s="5"/>
      <c r="N343" s="5"/>
      <c r="O343" s="57"/>
      <c r="P343" s="5"/>
      <c r="Q343" s="5"/>
      <c r="R343" s="5"/>
      <c r="S343" s="5"/>
      <c r="T343" s="5"/>
      <c r="U343" s="5"/>
      <c r="V343" s="5"/>
      <c r="W343" s="5"/>
      <c r="X343" s="5"/>
      <c r="Y343" s="5"/>
      <c r="Z343" s="5"/>
    </row>
    <row r="344" spans="1:26" ht="12.75" customHeight="1">
      <c r="A344" s="5"/>
      <c r="B344" s="5"/>
      <c r="C344" s="5"/>
      <c r="D344" s="5"/>
      <c r="E344" s="5"/>
      <c r="F344" s="5"/>
      <c r="G344" s="5"/>
      <c r="H344" s="306"/>
      <c r="I344" s="5"/>
      <c r="J344" s="5"/>
      <c r="K344" s="5"/>
      <c r="L344" s="5"/>
      <c r="M344" s="5"/>
      <c r="N344" s="5"/>
      <c r="O344" s="57"/>
      <c r="P344" s="5"/>
      <c r="Q344" s="5"/>
      <c r="R344" s="5"/>
      <c r="S344" s="5"/>
      <c r="T344" s="5"/>
      <c r="U344" s="5"/>
      <c r="V344" s="5"/>
      <c r="W344" s="5"/>
      <c r="X344" s="5"/>
      <c r="Y344" s="5"/>
      <c r="Z344" s="5"/>
    </row>
    <row r="345" spans="1:26" ht="12.75" customHeight="1">
      <c r="A345" s="5"/>
      <c r="B345" s="5"/>
      <c r="C345" s="5"/>
      <c r="D345" s="5"/>
      <c r="E345" s="5"/>
      <c r="F345" s="5"/>
      <c r="G345" s="5"/>
      <c r="H345" s="306"/>
      <c r="I345" s="5"/>
      <c r="J345" s="5"/>
      <c r="K345" s="5"/>
      <c r="L345" s="5"/>
      <c r="M345" s="5"/>
      <c r="N345" s="5"/>
      <c r="O345" s="57"/>
      <c r="P345" s="5"/>
      <c r="Q345" s="5"/>
      <c r="R345" s="5"/>
      <c r="S345" s="5"/>
      <c r="T345" s="5"/>
      <c r="U345" s="5"/>
      <c r="V345" s="5"/>
      <c r="W345" s="5"/>
      <c r="X345" s="5"/>
      <c r="Y345" s="5"/>
      <c r="Z345" s="5"/>
    </row>
    <row r="346" spans="1:26" ht="12.75" customHeight="1">
      <c r="A346" s="5"/>
      <c r="B346" s="5"/>
      <c r="C346" s="5"/>
      <c r="D346" s="5"/>
      <c r="E346" s="5"/>
      <c r="F346" s="5"/>
      <c r="G346" s="5"/>
      <c r="H346" s="306"/>
      <c r="I346" s="5"/>
      <c r="J346" s="5"/>
      <c r="K346" s="5"/>
      <c r="L346" s="5"/>
      <c r="M346" s="5"/>
      <c r="N346" s="5"/>
      <c r="O346" s="57"/>
      <c r="P346" s="5"/>
      <c r="Q346" s="5"/>
      <c r="R346" s="5"/>
      <c r="S346" s="5"/>
      <c r="T346" s="5"/>
      <c r="U346" s="5"/>
      <c r="V346" s="5"/>
      <c r="W346" s="5"/>
      <c r="X346" s="5"/>
      <c r="Y346" s="5"/>
      <c r="Z346" s="5"/>
    </row>
    <row r="347" spans="1:26" ht="12.75" customHeight="1">
      <c r="A347" s="5"/>
      <c r="B347" s="5"/>
      <c r="C347" s="5"/>
      <c r="D347" s="5"/>
      <c r="E347" s="5"/>
      <c r="F347" s="5"/>
      <c r="G347" s="5"/>
      <c r="H347" s="306"/>
      <c r="I347" s="5"/>
      <c r="J347" s="5"/>
      <c r="K347" s="5"/>
      <c r="L347" s="5"/>
      <c r="M347" s="5"/>
      <c r="N347" s="5"/>
      <c r="O347" s="57"/>
      <c r="P347" s="5"/>
      <c r="Q347" s="5"/>
      <c r="R347" s="5"/>
      <c r="S347" s="5"/>
      <c r="T347" s="5"/>
      <c r="U347" s="5"/>
      <c r="V347" s="5"/>
      <c r="W347" s="5"/>
      <c r="X347" s="5"/>
      <c r="Y347" s="5"/>
      <c r="Z347" s="5"/>
    </row>
    <row r="348" spans="1:26" ht="12.75" customHeight="1">
      <c r="A348" s="5"/>
      <c r="B348" s="5"/>
      <c r="C348" s="5"/>
      <c r="D348" s="5"/>
      <c r="E348" s="5"/>
      <c r="F348" s="5"/>
      <c r="G348" s="5"/>
      <c r="H348" s="306"/>
      <c r="I348" s="5"/>
      <c r="J348" s="5"/>
      <c r="K348" s="5"/>
      <c r="L348" s="5"/>
      <c r="M348" s="5"/>
      <c r="N348" s="5"/>
      <c r="O348" s="57"/>
      <c r="P348" s="5"/>
      <c r="Q348" s="5"/>
      <c r="R348" s="5"/>
      <c r="S348" s="5"/>
      <c r="T348" s="5"/>
      <c r="U348" s="5"/>
      <c r="V348" s="5"/>
      <c r="W348" s="5"/>
      <c r="X348" s="5"/>
      <c r="Y348" s="5"/>
      <c r="Z348" s="5"/>
    </row>
    <row r="349" spans="1:26" ht="12.75" customHeight="1">
      <c r="A349" s="5"/>
      <c r="B349" s="5"/>
      <c r="C349" s="5"/>
      <c r="D349" s="5"/>
      <c r="E349" s="5"/>
      <c r="F349" s="5"/>
      <c r="G349" s="5"/>
      <c r="H349" s="306"/>
      <c r="I349" s="5"/>
      <c r="J349" s="5"/>
      <c r="K349" s="5"/>
      <c r="L349" s="5"/>
      <c r="M349" s="5"/>
      <c r="N349" s="5"/>
      <c r="O349" s="57"/>
      <c r="P349" s="5"/>
      <c r="Q349" s="5"/>
      <c r="R349" s="5"/>
      <c r="S349" s="5"/>
      <c r="T349" s="5"/>
      <c r="U349" s="5"/>
      <c r="V349" s="5"/>
      <c r="W349" s="5"/>
      <c r="X349" s="5"/>
      <c r="Y349" s="5"/>
      <c r="Z349" s="5"/>
    </row>
    <row r="350" spans="1:26" ht="12.75" customHeight="1">
      <c r="A350" s="5"/>
      <c r="B350" s="5"/>
      <c r="C350" s="5"/>
      <c r="D350" s="5"/>
      <c r="E350" s="5"/>
      <c r="F350" s="5"/>
      <c r="G350" s="5"/>
      <c r="H350" s="306"/>
      <c r="I350" s="5"/>
      <c r="J350" s="5"/>
      <c r="K350" s="5"/>
      <c r="L350" s="5"/>
      <c r="M350" s="5"/>
      <c r="N350" s="5"/>
      <c r="O350" s="57"/>
      <c r="P350" s="5"/>
      <c r="Q350" s="5"/>
      <c r="R350" s="5"/>
      <c r="S350" s="5"/>
      <c r="T350" s="5"/>
      <c r="U350" s="5"/>
      <c r="V350" s="5"/>
      <c r="W350" s="5"/>
      <c r="X350" s="5"/>
      <c r="Y350" s="5"/>
      <c r="Z350" s="5"/>
    </row>
    <row r="351" spans="1:26" ht="12.75" customHeight="1">
      <c r="A351" s="5"/>
      <c r="B351" s="5"/>
      <c r="C351" s="5"/>
      <c r="D351" s="5"/>
      <c r="E351" s="5"/>
      <c r="F351" s="5"/>
      <c r="G351" s="5"/>
      <c r="H351" s="306"/>
      <c r="I351" s="5"/>
      <c r="J351" s="5"/>
      <c r="K351" s="5"/>
      <c r="L351" s="5"/>
      <c r="M351" s="5"/>
      <c r="N351" s="5"/>
      <c r="O351" s="57"/>
      <c r="P351" s="5"/>
      <c r="Q351" s="5"/>
      <c r="R351" s="5"/>
      <c r="S351" s="5"/>
      <c r="T351" s="5"/>
      <c r="U351" s="5"/>
      <c r="V351" s="5"/>
      <c r="W351" s="5"/>
      <c r="X351" s="5"/>
      <c r="Y351" s="5"/>
      <c r="Z351" s="5"/>
    </row>
    <row r="352" spans="1:26" ht="12.75" customHeight="1">
      <c r="A352" s="5"/>
      <c r="B352" s="5"/>
      <c r="C352" s="5"/>
      <c r="D352" s="5"/>
      <c r="E352" s="5"/>
      <c r="F352" s="5"/>
      <c r="G352" s="5"/>
      <c r="H352" s="306"/>
      <c r="I352" s="5"/>
      <c r="J352" s="5"/>
      <c r="K352" s="5"/>
      <c r="L352" s="5"/>
      <c r="M352" s="5"/>
      <c r="N352" s="5"/>
      <c r="O352" s="57"/>
      <c r="P352" s="5"/>
      <c r="Q352" s="5"/>
      <c r="R352" s="5"/>
      <c r="S352" s="5"/>
      <c r="T352" s="5"/>
      <c r="U352" s="5"/>
      <c r="V352" s="5"/>
      <c r="W352" s="5"/>
      <c r="X352" s="5"/>
      <c r="Y352" s="5"/>
      <c r="Z352" s="5"/>
    </row>
    <row r="353" spans="1:26" ht="12.75" customHeight="1">
      <c r="A353" s="5"/>
      <c r="B353" s="5"/>
      <c r="C353" s="5"/>
      <c r="D353" s="5"/>
      <c r="E353" s="5"/>
      <c r="F353" s="5"/>
      <c r="G353" s="5"/>
      <c r="H353" s="306"/>
      <c r="I353" s="5"/>
      <c r="J353" s="5"/>
      <c r="K353" s="5"/>
      <c r="L353" s="5"/>
      <c r="M353" s="5"/>
      <c r="N353" s="5"/>
      <c r="O353" s="57"/>
      <c r="P353" s="5"/>
      <c r="Q353" s="5"/>
      <c r="R353" s="5"/>
      <c r="S353" s="5"/>
      <c r="T353" s="5"/>
      <c r="U353" s="5"/>
      <c r="V353" s="5"/>
      <c r="W353" s="5"/>
      <c r="X353" s="5"/>
      <c r="Y353" s="5"/>
      <c r="Z353" s="5"/>
    </row>
    <row r="354" spans="1:26" ht="12.75" customHeight="1">
      <c r="A354" s="5"/>
      <c r="B354" s="5"/>
      <c r="C354" s="5"/>
      <c r="D354" s="5"/>
      <c r="E354" s="5"/>
      <c r="F354" s="5"/>
      <c r="G354" s="5"/>
      <c r="H354" s="306"/>
      <c r="I354" s="5"/>
      <c r="J354" s="5"/>
      <c r="K354" s="5"/>
      <c r="L354" s="5"/>
      <c r="M354" s="5"/>
      <c r="N354" s="5"/>
      <c r="O354" s="57"/>
      <c r="P354" s="5"/>
      <c r="Q354" s="5"/>
      <c r="R354" s="5"/>
      <c r="S354" s="5"/>
      <c r="T354" s="5"/>
      <c r="U354" s="5"/>
      <c r="V354" s="5"/>
      <c r="W354" s="5"/>
      <c r="X354" s="5"/>
      <c r="Y354" s="5"/>
      <c r="Z354" s="5"/>
    </row>
    <row r="355" spans="1:26" ht="12.75" customHeight="1">
      <c r="A355" s="5"/>
      <c r="B355" s="5"/>
      <c r="C355" s="5"/>
      <c r="D355" s="5"/>
      <c r="E355" s="5"/>
      <c r="F355" s="5"/>
      <c r="G355" s="5"/>
      <c r="H355" s="306"/>
      <c r="I355" s="5"/>
      <c r="J355" s="5"/>
      <c r="K355" s="5"/>
      <c r="L355" s="5"/>
      <c r="M355" s="5"/>
      <c r="N355" s="5"/>
      <c r="O355" s="57"/>
      <c r="P355" s="5"/>
      <c r="Q355" s="5"/>
      <c r="R355" s="5"/>
      <c r="S355" s="5"/>
      <c r="T355" s="5"/>
      <c r="U355" s="5"/>
      <c r="V355" s="5"/>
      <c r="W355" s="5"/>
      <c r="X355" s="5"/>
      <c r="Y355" s="5"/>
      <c r="Z355" s="5"/>
    </row>
    <row r="356" spans="1:26" ht="12.75" customHeight="1">
      <c r="A356" s="5"/>
      <c r="B356" s="5"/>
      <c r="C356" s="5"/>
      <c r="D356" s="5"/>
      <c r="E356" s="5"/>
      <c r="F356" s="5"/>
      <c r="G356" s="5"/>
      <c r="H356" s="306"/>
      <c r="I356" s="5"/>
      <c r="J356" s="5"/>
      <c r="K356" s="5"/>
      <c r="L356" s="5"/>
      <c r="M356" s="5"/>
      <c r="N356" s="5"/>
      <c r="O356" s="57"/>
      <c r="P356" s="5"/>
      <c r="Q356" s="5"/>
      <c r="R356" s="5"/>
      <c r="S356" s="5"/>
      <c r="T356" s="5"/>
      <c r="U356" s="5"/>
      <c r="V356" s="5"/>
      <c r="W356" s="5"/>
      <c r="X356" s="5"/>
      <c r="Y356" s="5"/>
      <c r="Z356" s="5"/>
    </row>
    <row r="357" spans="1:26" ht="12.75" customHeight="1">
      <c r="A357" s="5"/>
      <c r="B357" s="5"/>
      <c r="C357" s="5"/>
      <c r="D357" s="5"/>
      <c r="E357" s="5"/>
      <c r="F357" s="5"/>
      <c r="G357" s="5"/>
      <c r="H357" s="306"/>
      <c r="I357" s="5"/>
      <c r="J357" s="5"/>
      <c r="K357" s="5"/>
      <c r="L357" s="5"/>
      <c r="M357" s="5"/>
      <c r="N357" s="5"/>
      <c r="O357" s="57"/>
      <c r="P357" s="5"/>
      <c r="Q357" s="5"/>
      <c r="R357" s="5"/>
      <c r="S357" s="5"/>
      <c r="T357" s="5"/>
      <c r="U357" s="5"/>
      <c r="V357" s="5"/>
      <c r="W357" s="5"/>
      <c r="X357" s="5"/>
      <c r="Y357" s="5"/>
      <c r="Z357" s="5"/>
    </row>
    <row r="358" spans="1:26" ht="12.75" customHeight="1">
      <c r="A358" s="5"/>
      <c r="B358" s="5"/>
      <c r="C358" s="5"/>
      <c r="D358" s="5"/>
      <c r="E358" s="5"/>
      <c r="F358" s="5"/>
      <c r="G358" s="5"/>
      <c r="H358" s="306"/>
      <c r="I358" s="5"/>
      <c r="J358" s="5"/>
      <c r="K358" s="5"/>
      <c r="L358" s="5"/>
      <c r="M358" s="5"/>
      <c r="N358" s="5"/>
      <c r="O358" s="57"/>
      <c r="P358" s="5"/>
      <c r="Q358" s="5"/>
      <c r="R358" s="5"/>
      <c r="S358" s="5"/>
      <c r="T358" s="5"/>
      <c r="U358" s="5"/>
      <c r="V358" s="5"/>
      <c r="W358" s="5"/>
      <c r="X358" s="5"/>
      <c r="Y358" s="5"/>
      <c r="Z358" s="5"/>
    </row>
    <row r="359" spans="1:26" ht="12.75" customHeight="1">
      <c r="A359" s="5"/>
      <c r="B359" s="5"/>
      <c r="C359" s="5"/>
      <c r="D359" s="5"/>
      <c r="E359" s="5"/>
      <c r="F359" s="5"/>
      <c r="G359" s="5"/>
      <c r="H359" s="306"/>
      <c r="I359" s="5"/>
      <c r="J359" s="5"/>
      <c r="K359" s="5"/>
      <c r="L359" s="5"/>
      <c r="M359" s="5"/>
      <c r="N359" s="5"/>
      <c r="O359" s="57"/>
      <c r="P359" s="5"/>
      <c r="Q359" s="5"/>
      <c r="R359" s="5"/>
      <c r="S359" s="5"/>
      <c r="T359" s="5"/>
      <c r="U359" s="5"/>
      <c r="V359" s="5"/>
      <c r="W359" s="5"/>
      <c r="X359" s="5"/>
      <c r="Y359" s="5"/>
      <c r="Z359" s="5"/>
    </row>
    <row r="360" spans="1:26" ht="12.75" customHeight="1">
      <c r="A360" s="5"/>
      <c r="B360" s="5"/>
      <c r="C360" s="5"/>
      <c r="D360" s="5"/>
      <c r="E360" s="5"/>
      <c r="F360" s="5"/>
      <c r="G360" s="5"/>
      <c r="H360" s="306"/>
      <c r="I360" s="5"/>
      <c r="J360" s="5"/>
      <c r="K360" s="5"/>
      <c r="L360" s="5"/>
      <c r="M360" s="5"/>
      <c r="N360" s="5"/>
      <c r="O360" s="57"/>
      <c r="P360" s="5"/>
      <c r="Q360" s="5"/>
      <c r="R360" s="5"/>
      <c r="S360" s="5"/>
      <c r="T360" s="5"/>
      <c r="U360" s="5"/>
      <c r="V360" s="5"/>
      <c r="W360" s="5"/>
      <c r="X360" s="5"/>
      <c r="Y360" s="5"/>
      <c r="Z360" s="5"/>
    </row>
    <row r="361" spans="1:26" ht="12.75" customHeight="1">
      <c r="A361" s="5"/>
      <c r="B361" s="5"/>
      <c r="C361" s="5"/>
      <c r="D361" s="5"/>
      <c r="E361" s="5"/>
      <c r="F361" s="5"/>
      <c r="G361" s="5"/>
      <c r="H361" s="306"/>
      <c r="I361" s="5"/>
      <c r="J361" s="5"/>
      <c r="K361" s="5"/>
      <c r="L361" s="5"/>
      <c r="M361" s="5"/>
      <c r="N361" s="5"/>
      <c r="O361" s="57"/>
      <c r="P361" s="5"/>
      <c r="Q361" s="5"/>
      <c r="R361" s="5"/>
      <c r="S361" s="5"/>
      <c r="T361" s="5"/>
      <c r="U361" s="5"/>
      <c r="V361" s="5"/>
      <c r="W361" s="5"/>
      <c r="X361" s="5"/>
      <c r="Y361" s="5"/>
      <c r="Z361" s="5"/>
    </row>
    <row r="362" spans="1:26" ht="12.75" customHeight="1">
      <c r="A362" s="5"/>
      <c r="B362" s="5"/>
      <c r="C362" s="5"/>
      <c r="D362" s="5"/>
      <c r="E362" s="5"/>
      <c r="F362" s="5"/>
      <c r="G362" s="5"/>
      <c r="H362" s="306"/>
      <c r="I362" s="5"/>
      <c r="J362" s="5"/>
      <c r="K362" s="5"/>
      <c r="L362" s="5"/>
      <c r="M362" s="5"/>
      <c r="N362" s="5"/>
      <c r="O362" s="57"/>
      <c r="P362" s="5"/>
      <c r="Q362" s="5"/>
      <c r="R362" s="5"/>
      <c r="S362" s="5"/>
      <c r="T362" s="5"/>
      <c r="U362" s="5"/>
      <c r="V362" s="5"/>
      <c r="W362" s="5"/>
      <c r="X362" s="5"/>
      <c r="Y362" s="5"/>
      <c r="Z362" s="5"/>
    </row>
    <row r="363" spans="1:26" ht="12.75" customHeight="1">
      <c r="A363" s="5"/>
      <c r="B363" s="5"/>
      <c r="C363" s="5"/>
      <c r="D363" s="5"/>
      <c r="E363" s="5"/>
      <c r="F363" s="5"/>
      <c r="G363" s="5"/>
      <c r="H363" s="306"/>
      <c r="I363" s="5"/>
      <c r="J363" s="5"/>
      <c r="K363" s="5"/>
      <c r="L363" s="5"/>
      <c r="M363" s="5"/>
      <c r="N363" s="5"/>
      <c r="O363" s="57"/>
      <c r="P363" s="5"/>
      <c r="Q363" s="5"/>
      <c r="R363" s="5"/>
      <c r="S363" s="5"/>
      <c r="T363" s="5"/>
      <c r="U363" s="5"/>
      <c r="V363" s="5"/>
      <c r="W363" s="5"/>
      <c r="X363" s="5"/>
      <c r="Y363" s="5"/>
      <c r="Z363" s="5"/>
    </row>
    <row r="364" spans="1:26" ht="12.75" customHeight="1">
      <c r="A364" s="5"/>
      <c r="B364" s="5"/>
      <c r="C364" s="5"/>
      <c r="D364" s="5"/>
      <c r="E364" s="5"/>
      <c r="F364" s="5"/>
      <c r="G364" s="5"/>
      <c r="H364" s="306"/>
      <c r="I364" s="5"/>
      <c r="J364" s="5"/>
      <c r="K364" s="5"/>
      <c r="L364" s="5"/>
      <c r="M364" s="5"/>
      <c r="N364" s="5"/>
      <c r="O364" s="57"/>
      <c r="P364" s="5"/>
      <c r="Q364" s="5"/>
      <c r="R364" s="5"/>
      <c r="S364" s="5"/>
      <c r="T364" s="5"/>
      <c r="U364" s="5"/>
      <c r="V364" s="5"/>
      <c r="W364" s="5"/>
      <c r="X364" s="5"/>
      <c r="Y364" s="5"/>
      <c r="Z364" s="5"/>
    </row>
    <row r="365" spans="1:26" ht="12.75" customHeight="1">
      <c r="A365" s="5"/>
      <c r="B365" s="5"/>
      <c r="C365" s="5"/>
      <c r="D365" s="5"/>
      <c r="E365" s="5"/>
      <c r="F365" s="5"/>
      <c r="G365" s="5"/>
      <c r="H365" s="306"/>
      <c r="I365" s="5"/>
      <c r="J365" s="5"/>
      <c r="K365" s="5"/>
      <c r="L365" s="5"/>
      <c r="M365" s="5"/>
      <c r="N365" s="5"/>
      <c r="O365" s="57"/>
      <c r="P365" s="5"/>
      <c r="Q365" s="5"/>
      <c r="R365" s="5"/>
      <c r="S365" s="5"/>
      <c r="T365" s="5"/>
      <c r="U365" s="5"/>
      <c r="V365" s="5"/>
      <c r="W365" s="5"/>
      <c r="X365" s="5"/>
      <c r="Y365" s="5"/>
      <c r="Z365" s="5"/>
    </row>
    <row r="366" spans="1:26" ht="12.75" customHeight="1">
      <c r="A366" s="5"/>
      <c r="B366" s="5"/>
      <c r="C366" s="5"/>
      <c r="D366" s="5"/>
      <c r="E366" s="5"/>
      <c r="F366" s="5"/>
      <c r="G366" s="5"/>
      <c r="H366" s="306"/>
      <c r="I366" s="5"/>
      <c r="J366" s="5"/>
      <c r="K366" s="5"/>
      <c r="L366" s="5"/>
      <c r="M366" s="5"/>
      <c r="N366" s="5"/>
      <c r="O366" s="57"/>
      <c r="P366" s="5"/>
      <c r="Q366" s="5"/>
      <c r="R366" s="5"/>
      <c r="S366" s="5"/>
      <c r="T366" s="5"/>
      <c r="U366" s="5"/>
      <c r="V366" s="5"/>
      <c r="W366" s="5"/>
      <c r="X366" s="5"/>
      <c r="Y366" s="5"/>
      <c r="Z366" s="5"/>
    </row>
    <row r="367" spans="1:26" ht="12.75" customHeight="1">
      <c r="A367" s="5"/>
      <c r="B367" s="5"/>
      <c r="C367" s="5"/>
      <c r="D367" s="5"/>
      <c r="E367" s="5"/>
      <c r="F367" s="5"/>
      <c r="G367" s="5"/>
      <c r="H367" s="306"/>
      <c r="I367" s="5"/>
      <c r="J367" s="5"/>
      <c r="K367" s="5"/>
      <c r="L367" s="5"/>
      <c r="M367" s="5"/>
      <c r="N367" s="5"/>
      <c r="O367" s="57"/>
      <c r="P367" s="5"/>
      <c r="Q367" s="5"/>
      <c r="R367" s="5"/>
      <c r="S367" s="5"/>
      <c r="T367" s="5"/>
      <c r="U367" s="5"/>
      <c r="V367" s="5"/>
      <c r="W367" s="5"/>
      <c r="X367" s="5"/>
      <c r="Y367" s="5"/>
      <c r="Z367" s="5"/>
    </row>
    <row r="368" spans="1:26" ht="12.75" customHeight="1">
      <c r="A368" s="5"/>
      <c r="B368" s="5"/>
      <c r="C368" s="5"/>
      <c r="D368" s="5"/>
      <c r="E368" s="5"/>
      <c r="F368" s="5"/>
      <c r="G368" s="5"/>
      <c r="H368" s="306"/>
      <c r="I368" s="5"/>
      <c r="J368" s="5"/>
      <c r="K368" s="5"/>
      <c r="L368" s="5"/>
      <c r="M368" s="5"/>
      <c r="N368" s="5"/>
      <c r="O368" s="57"/>
      <c r="P368" s="5"/>
      <c r="Q368" s="5"/>
      <c r="R368" s="5"/>
      <c r="S368" s="5"/>
      <c r="T368" s="5"/>
      <c r="U368" s="5"/>
      <c r="V368" s="5"/>
      <c r="W368" s="5"/>
      <c r="X368" s="5"/>
      <c r="Y368" s="5"/>
      <c r="Z368" s="5"/>
    </row>
    <row r="369" spans="1:26" ht="12.75" customHeight="1">
      <c r="A369" s="5"/>
      <c r="B369" s="5"/>
      <c r="C369" s="5"/>
      <c r="D369" s="5"/>
      <c r="E369" s="5"/>
      <c r="F369" s="5"/>
      <c r="G369" s="5"/>
      <c r="H369" s="306"/>
      <c r="I369" s="5"/>
      <c r="J369" s="5"/>
      <c r="K369" s="5"/>
      <c r="L369" s="5"/>
      <c r="M369" s="5"/>
      <c r="N369" s="5"/>
      <c r="O369" s="57"/>
      <c r="P369" s="5"/>
      <c r="Q369" s="5"/>
      <c r="R369" s="5"/>
      <c r="S369" s="5"/>
      <c r="T369" s="5"/>
      <c r="U369" s="5"/>
      <c r="V369" s="5"/>
      <c r="W369" s="5"/>
      <c r="X369" s="5"/>
      <c r="Y369" s="5"/>
      <c r="Z369" s="5"/>
    </row>
    <row r="370" spans="1:26" ht="12.75" customHeight="1">
      <c r="A370" s="5"/>
      <c r="B370" s="5"/>
      <c r="C370" s="5"/>
      <c r="D370" s="5"/>
      <c r="E370" s="5"/>
      <c r="F370" s="5"/>
      <c r="G370" s="5"/>
      <c r="H370" s="306"/>
      <c r="I370" s="5"/>
      <c r="J370" s="5"/>
      <c r="K370" s="5"/>
      <c r="L370" s="5"/>
      <c r="M370" s="5"/>
      <c r="N370" s="5"/>
      <c r="O370" s="57"/>
      <c r="P370" s="5"/>
      <c r="Q370" s="5"/>
      <c r="R370" s="5"/>
      <c r="S370" s="5"/>
      <c r="T370" s="5"/>
      <c r="U370" s="5"/>
      <c r="V370" s="5"/>
      <c r="W370" s="5"/>
      <c r="X370" s="5"/>
      <c r="Y370" s="5"/>
      <c r="Z370" s="5"/>
    </row>
    <row r="371" spans="1:26" ht="12.75" customHeight="1">
      <c r="A371" s="5"/>
      <c r="B371" s="5"/>
      <c r="C371" s="5"/>
      <c r="D371" s="5"/>
      <c r="E371" s="5"/>
      <c r="F371" s="5"/>
      <c r="G371" s="5"/>
      <c r="H371" s="306"/>
      <c r="I371" s="5"/>
      <c r="J371" s="5"/>
      <c r="K371" s="5"/>
      <c r="L371" s="5"/>
      <c r="M371" s="5"/>
      <c r="N371" s="5"/>
      <c r="O371" s="57"/>
      <c r="P371" s="5"/>
      <c r="Q371" s="5"/>
      <c r="R371" s="5"/>
      <c r="S371" s="5"/>
      <c r="T371" s="5"/>
      <c r="U371" s="5"/>
      <c r="V371" s="5"/>
      <c r="W371" s="5"/>
      <c r="X371" s="5"/>
      <c r="Y371" s="5"/>
      <c r="Z371" s="5"/>
    </row>
    <row r="372" spans="1:26" ht="12.75" customHeight="1">
      <c r="A372" s="5"/>
      <c r="B372" s="5"/>
      <c r="C372" s="5"/>
      <c r="D372" s="5"/>
      <c r="E372" s="5"/>
      <c r="F372" s="5"/>
      <c r="G372" s="5"/>
      <c r="H372" s="306"/>
      <c r="I372" s="5"/>
      <c r="J372" s="5"/>
      <c r="K372" s="5"/>
      <c r="L372" s="5"/>
      <c r="M372" s="5"/>
      <c r="N372" s="5"/>
      <c r="O372" s="57"/>
      <c r="P372" s="5"/>
      <c r="Q372" s="5"/>
      <c r="R372" s="5"/>
      <c r="S372" s="5"/>
      <c r="T372" s="5"/>
      <c r="U372" s="5"/>
      <c r="V372" s="5"/>
      <c r="W372" s="5"/>
      <c r="X372" s="5"/>
      <c r="Y372" s="5"/>
      <c r="Z372" s="5"/>
    </row>
    <row r="373" spans="1:26" ht="12.75" customHeight="1">
      <c r="A373" s="5"/>
      <c r="B373" s="5"/>
      <c r="C373" s="5"/>
      <c r="D373" s="5"/>
      <c r="E373" s="5"/>
      <c r="F373" s="5"/>
      <c r="G373" s="5"/>
      <c r="H373" s="306"/>
      <c r="I373" s="5"/>
      <c r="J373" s="5"/>
      <c r="K373" s="5"/>
      <c r="L373" s="5"/>
      <c r="M373" s="5"/>
      <c r="N373" s="5"/>
      <c r="O373" s="57"/>
      <c r="P373" s="5"/>
      <c r="Q373" s="5"/>
      <c r="R373" s="5"/>
      <c r="S373" s="5"/>
      <c r="T373" s="5"/>
      <c r="U373" s="5"/>
      <c r="V373" s="5"/>
      <c r="W373" s="5"/>
      <c r="X373" s="5"/>
      <c r="Y373" s="5"/>
      <c r="Z373" s="5"/>
    </row>
    <row r="374" spans="1:26" ht="12.75" customHeight="1">
      <c r="A374" s="5"/>
      <c r="B374" s="5"/>
      <c r="C374" s="5"/>
      <c r="D374" s="5"/>
      <c r="E374" s="5"/>
      <c r="F374" s="5"/>
      <c r="G374" s="5"/>
      <c r="H374" s="306"/>
      <c r="I374" s="5"/>
      <c r="J374" s="5"/>
      <c r="K374" s="5"/>
      <c r="L374" s="5"/>
      <c r="M374" s="5"/>
      <c r="N374" s="5"/>
      <c r="O374" s="57"/>
      <c r="P374" s="5"/>
      <c r="Q374" s="5"/>
      <c r="R374" s="5"/>
      <c r="S374" s="5"/>
      <c r="T374" s="5"/>
      <c r="U374" s="5"/>
      <c r="V374" s="5"/>
      <c r="W374" s="5"/>
      <c r="X374" s="5"/>
      <c r="Y374" s="5"/>
      <c r="Z374" s="5"/>
    </row>
    <row r="375" spans="1:26" ht="12.75" customHeight="1">
      <c r="A375" s="5"/>
      <c r="B375" s="5"/>
      <c r="C375" s="5"/>
      <c r="D375" s="5"/>
      <c r="E375" s="5"/>
      <c r="F375" s="5"/>
      <c r="G375" s="5"/>
      <c r="H375" s="306"/>
      <c r="I375" s="5"/>
      <c r="J375" s="5"/>
      <c r="K375" s="5"/>
      <c r="L375" s="5"/>
      <c r="M375" s="5"/>
      <c r="N375" s="5"/>
      <c r="O375" s="57"/>
      <c r="P375" s="5"/>
      <c r="Q375" s="5"/>
      <c r="R375" s="5"/>
      <c r="S375" s="5"/>
      <c r="T375" s="5"/>
      <c r="U375" s="5"/>
      <c r="V375" s="5"/>
      <c r="W375" s="5"/>
      <c r="X375" s="5"/>
      <c r="Y375" s="5"/>
      <c r="Z375" s="5"/>
    </row>
    <row r="376" spans="1:26" ht="12.75" customHeight="1">
      <c r="A376" s="5"/>
      <c r="B376" s="5"/>
      <c r="C376" s="5"/>
      <c r="D376" s="5"/>
      <c r="E376" s="5"/>
      <c r="F376" s="5"/>
      <c r="G376" s="5"/>
      <c r="H376" s="306"/>
      <c r="I376" s="5"/>
      <c r="J376" s="5"/>
      <c r="K376" s="5"/>
      <c r="L376" s="5"/>
      <c r="M376" s="5"/>
      <c r="N376" s="5"/>
      <c r="O376" s="57"/>
      <c r="P376" s="5"/>
      <c r="Q376" s="5"/>
      <c r="R376" s="5"/>
      <c r="S376" s="5"/>
      <c r="T376" s="5"/>
      <c r="U376" s="5"/>
      <c r="V376" s="5"/>
      <c r="W376" s="5"/>
      <c r="X376" s="5"/>
      <c r="Y376" s="5"/>
      <c r="Z376" s="5"/>
    </row>
    <row r="377" spans="1:26" ht="12.75" customHeight="1">
      <c r="A377" s="5"/>
      <c r="B377" s="5"/>
      <c r="C377" s="5"/>
      <c r="D377" s="5"/>
      <c r="E377" s="5"/>
      <c r="F377" s="5"/>
      <c r="G377" s="5"/>
      <c r="H377" s="306"/>
      <c r="I377" s="5"/>
      <c r="J377" s="5"/>
      <c r="K377" s="5"/>
      <c r="L377" s="5"/>
      <c r="M377" s="5"/>
      <c r="N377" s="5"/>
      <c r="O377" s="57"/>
      <c r="P377" s="5"/>
      <c r="Q377" s="5"/>
      <c r="R377" s="5"/>
      <c r="S377" s="5"/>
      <c r="T377" s="5"/>
      <c r="U377" s="5"/>
      <c r="V377" s="5"/>
      <c r="W377" s="5"/>
      <c r="X377" s="5"/>
      <c r="Y377" s="5"/>
      <c r="Z377" s="5"/>
    </row>
    <row r="378" spans="1:26" ht="12.75" customHeight="1">
      <c r="A378" s="5"/>
      <c r="B378" s="5"/>
      <c r="C378" s="5"/>
      <c r="D378" s="5"/>
      <c r="E378" s="5"/>
      <c r="F378" s="5"/>
      <c r="G378" s="5"/>
      <c r="H378" s="306"/>
      <c r="I378" s="5"/>
      <c r="J378" s="5"/>
      <c r="K378" s="5"/>
      <c r="L378" s="5"/>
      <c r="M378" s="5"/>
      <c r="N378" s="5"/>
      <c r="O378" s="57"/>
      <c r="P378" s="5"/>
      <c r="Q378" s="5"/>
      <c r="R378" s="5"/>
      <c r="S378" s="5"/>
      <c r="T378" s="5"/>
      <c r="U378" s="5"/>
      <c r="V378" s="5"/>
      <c r="W378" s="5"/>
      <c r="X378" s="5"/>
      <c r="Y378" s="5"/>
      <c r="Z378" s="5"/>
    </row>
    <row r="379" spans="1:26" ht="12.75" customHeight="1">
      <c r="A379" s="5"/>
      <c r="B379" s="5"/>
      <c r="C379" s="5"/>
      <c r="D379" s="5"/>
      <c r="E379" s="5"/>
      <c r="F379" s="5"/>
      <c r="G379" s="5"/>
      <c r="H379" s="306"/>
      <c r="I379" s="5"/>
      <c r="J379" s="5"/>
      <c r="K379" s="5"/>
      <c r="L379" s="5"/>
      <c r="M379" s="5"/>
      <c r="N379" s="5"/>
      <c r="O379" s="57"/>
      <c r="P379" s="5"/>
      <c r="Q379" s="5"/>
      <c r="R379" s="5"/>
      <c r="S379" s="5"/>
      <c r="T379" s="5"/>
      <c r="U379" s="5"/>
      <c r="V379" s="5"/>
      <c r="W379" s="5"/>
      <c r="X379" s="5"/>
      <c r="Y379" s="5"/>
      <c r="Z379" s="5"/>
    </row>
    <row r="380" spans="1:26" ht="12.75" customHeight="1">
      <c r="A380" s="5"/>
      <c r="B380" s="5"/>
      <c r="C380" s="5"/>
      <c r="D380" s="5"/>
      <c r="E380" s="5"/>
      <c r="F380" s="5"/>
      <c r="G380" s="5"/>
      <c r="H380" s="306"/>
      <c r="I380" s="5"/>
      <c r="J380" s="5"/>
      <c r="K380" s="5"/>
      <c r="L380" s="5"/>
      <c r="M380" s="5"/>
      <c r="N380" s="5"/>
      <c r="O380" s="57"/>
      <c r="P380" s="5"/>
      <c r="Q380" s="5"/>
      <c r="R380" s="5"/>
      <c r="S380" s="5"/>
      <c r="T380" s="5"/>
      <c r="U380" s="5"/>
      <c r="V380" s="5"/>
      <c r="W380" s="5"/>
      <c r="X380" s="5"/>
      <c r="Y380" s="5"/>
      <c r="Z380" s="5"/>
    </row>
    <row r="381" spans="1:26" ht="12.75" customHeight="1">
      <c r="A381" s="5"/>
      <c r="B381" s="5"/>
      <c r="C381" s="5"/>
      <c r="D381" s="5"/>
      <c r="E381" s="5"/>
      <c r="F381" s="5"/>
      <c r="G381" s="5"/>
      <c r="H381" s="306"/>
      <c r="I381" s="5"/>
      <c r="J381" s="5"/>
      <c r="K381" s="5"/>
      <c r="L381" s="5"/>
      <c r="M381" s="5"/>
      <c r="N381" s="5"/>
      <c r="O381" s="57"/>
      <c r="P381" s="5"/>
      <c r="Q381" s="5"/>
      <c r="R381" s="5"/>
      <c r="S381" s="5"/>
      <c r="T381" s="5"/>
      <c r="U381" s="5"/>
      <c r="V381" s="5"/>
      <c r="W381" s="5"/>
      <c r="X381" s="5"/>
      <c r="Y381" s="5"/>
      <c r="Z381" s="5"/>
    </row>
    <row r="382" spans="1:26" ht="12.75" customHeight="1">
      <c r="A382" s="5"/>
      <c r="B382" s="5"/>
      <c r="C382" s="5"/>
      <c r="D382" s="5"/>
      <c r="E382" s="5"/>
      <c r="F382" s="5"/>
      <c r="G382" s="5"/>
      <c r="H382" s="306"/>
      <c r="I382" s="5"/>
      <c r="J382" s="5"/>
      <c r="K382" s="5"/>
      <c r="L382" s="5"/>
      <c r="M382" s="5"/>
      <c r="N382" s="5"/>
      <c r="O382" s="57"/>
      <c r="P382" s="5"/>
      <c r="Q382" s="5"/>
      <c r="R382" s="5"/>
      <c r="S382" s="5"/>
      <c r="T382" s="5"/>
      <c r="U382" s="5"/>
      <c r="V382" s="5"/>
      <c r="W382" s="5"/>
      <c r="X382" s="5"/>
      <c r="Y382" s="5"/>
      <c r="Z382" s="5"/>
    </row>
    <row r="383" spans="1:26" ht="12.75" customHeight="1">
      <c r="A383" s="5"/>
      <c r="B383" s="5"/>
      <c r="C383" s="5"/>
      <c r="D383" s="5"/>
      <c r="E383" s="5"/>
      <c r="F383" s="5"/>
      <c r="G383" s="5"/>
      <c r="H383" s="306"/>
      <c r="I383" s="5"/>
      <c r="J383" s="5"/>
      <c r="K383" s="5"/>
      <c r="L383" s="5"/>
      <c r="M383" s="5"/>
      <c r="N383" s="5"/>
      <c r="O383" s="57"/>
      <c r="P383" s="5"/>
      <c r="Q383" s="5"/>
      <c r="R383" s="5"/>
      <c r="S383" s="5"/>
      <c r="T383" s="5"/>
      <c r="U383" s="5"/>
      <c r="V383" s="5"/>
      <c r="W383" s="5"/>
      <c r="X383" s="5"/>
      <c r="Y383" s="5"/>
      <c r="Z383" s="5"/>
    </row>
    <row r="384" spans="1:26" ht="12.75" customHeight="1">
      <c r="A384" s="5"/>
      <c r="B384" s="5"/>
      <c r="C384" s="5"/>
      <c r="D384" s="5"/>
      <c r="E384" s="5"/>
      <c r="F384" s="5"/>
      <c r="G384" s="5"/>
      <c r="H384" s="306"/>
      <c r="I384" s="5"/>
      <c r="J384" s="5"/>
      <c r="K384" s="5"/>
      <c r="L384" s="5"/>
      <c r="M384" s="5"/>
      <c r="N384" s="5"/>
      <c r="O384" s="57"/>
      <c r="P384" s="5"/>
      <c r="Q384" s="5"/>
      <c r="R384" s="5"/>
      <c r="S384" s="5"/>
      <c r="T384" s="5"/>
      <c r="U384" s="5"/>
      <c r="V384" s="5"/>
      <c r="W384" s="5"/>
      <c r="X384" s="5"/>
      <c r="Y384" s="5"/>
      <c r="Z384" s="5"/>
    </row>
    <row r="385" spans="1:26" ht="12.75" customHeight="1">
      <c r="A385" s="5"/>
      <c r="B385" s="5"/>
      <c r="C385" s="5"/>
      <c r="D385" s="5"/>
      <c r="E385" s="5"/>
      <c r="F385" s="5"/>
      <c r="G385" s="5"/>
      <c r="H385" s="306"/>
      <c r="I385" s="5"/>
      <c r="J385" s="5"/>
      <c r="K385" s="5"/>
      <c r="L385" s="5"/>
      <c r="M385" s="5"/>
      <c r="N385" s="5"/>
      <c r="O385" s="57"/>
      <c r="P385" s="5"/>
      <c r="Q385" s="5"/>
      <c r="R385" s="5"/>
      <c r="S385" s="5"/>
      <c r="T385" s="5"/>
      <c r="U385" s="5"/>
      <c r="V385" s="5"/>
      <c r="W385" s="5"/>
      <c r="X385" s="5"/>
      <c r="Y385" s="5"/>
      <c r="Z385" s="5"/>
    </row>
    <row r="386" spans="1:26" ht="12.75" customHeight="1">
      <c r="A386" s="5"/>
      <c r="B386" s="5"/>
      <c r="C386" s="5"/>
      <c r="D386" s="5"/>
      <c r="E386" s="5"/>
      <c r="F386" s="5"/>
      <c r="G386" s="5"/>
      <c r="H386" s="306"/>
      <c r="I386" s="5"/>
      <c r="J386" s="5"/>
      <c r="K386" s="5"/>
      <c r="L386" s="5"/>
      <c r="M386" s="5"/>
      <c r="N386" s="5"/>
      <c r="O386" s="57"/>
      <c r="P386" s="5"/>
      <c r="Q386" s="5"/>
      <c r="R386" s="5"/>
      <c r="S386" s="5"/>
      <c r="T386" s="5"/>
      <c r="U386" s="5"/>
      <c r="V386" s="5"/>
      <c r="W386" s="5"/>
      <c r="X386" s="5"/>
      <c r="Y386" s="5"/>
      <c r="Z386" s="5"/>
    </row>
    <row r="387" spans="1:26" ht="12.75" customHeight="1">
      <c r="A387" s="5"/>
      <c r="B387" s="5"/>
      <c r="C387" s="5"/>
      <c r="D387" s="5"/>
      <c r="E387" s="5"/>
      <c r="F387" s="5"/>
      <c r="G387" s="5"/>
      <c r="H387" s="306"/>
      <c r="I387" s="5"/>
      <c r="J387" s="5"/>
      <c r="K387" s="5"/>
      <c r="L387" s="5"/>
      <c r="M387" s="5"/>
      <c r="N387" s="5"/>
      <c r="O387" s="57"/>
      <c r="P387" s="5"/>
      <c r="Q387" s="5"/>
      <c r="R387" s="5"/>
      <c r="S387" s="5"/>
      <c r="T387" s="5"/>
      <c r="U387" s="5"/>
      <c r="V387" s="5"/>
      <c r="W387" s="5"/>
      <c r="X387" s="5"/>
      <c r="Y387" s="5"/>
      <c r="Z387" s="5"/>
    </row>
    <row r="388" spans="1:26" ht="12.75" customHeight="1">
      <c r="A388" s="5"/>
      <c r="B388" s="5"/>
      <c r="C388" s="5"/>
      <c r="D388" s="5"/>
      <c r="E388" s="5"/>
      <c r="F388" s="5"/>
      <c r="G388" s="5"/>
      <c r="H388" s="306"/>
      <c r="I388" s="5"/>
      <c r="J388" s="5"/>
      <c r="K388" s="5"/>
      <c r="L388" s="5"/>
      <c r="M388" s="5"/>
      <c r="N388" s="5"/>
      <c r="O388" s="57"/>
      <c r="P388" s="5"/>
      <c r="Q388" s="5"/>
      <c r="R388" s="5"/>
      <c r="S388" s="5"/>
      <c r="T388" s="5"/>
      <c r="U388" s="5"/>
      <c r="V388" s="5"/>
      <c r="W388" s="5"/>
      <c r="X388" s="5"/>
      <c r="Y388" s="5"/>
      <c r="Z388" s="5"/>
    </row>
    <row r="389" spans="1:26" ht="12.75" customHeight="1">
      <c r="A389" s="5"/>
      <c r="B389" s="5"/>
      <c r="C389" s="5"/>
      <c r="D389" s="5"/>
      <c r="E389" s="5"/>
      <c r="F389" s="5"/>
      <c r="G389" s="5"/>
      <c r="H389" s="306"/>
      <c r="I389" s="5"/>
      <c r="J389" s="5"/>
      <c r="K389" s="5"/>
      <c r="L389" s="5"/>
      <c r="M389" s="5"/>
      <c r="N389" s="5"/>
      <c r="O389" s="57"/>
      <c r="P389" s="5"/>
      <c r="Q389" s="5"/>
      <c r="R389" s="5"/>
      <c r="S389" s="5"/>
      <c r="T389" s="5"/>
      <c r="U389" s="5"/>
      <c r="V389" s="5"/>
      <c r="W389" s="5"/>
      <c r="X389" s="5"/>
      <c r="Y389" s="5"/>
      <c r="Z389" s="5"/>
    </row>
    <row r="390" spans="1:26" ht="12.75" customHeight="1">
      <c r="A390" s="5"/>
      <c r="B390" s="5"/>
      <c r="C390" s="5"/>
      <c r="D390" s="5"/>
      <c r="E390" s="5"/>
      <c r="F390" s="5"/>
      <c r="G390" s="5"/>
      <c r="H390" s="306"/>
      <c r="I390" s="5"/>
      <c r="J390" s="5"/>
      <c r="K390" s="5"/>
      <c r="L390" s="5"/>
      <c r="M390" s="5"/>
      <c r="N390" s="5"/>
      <c r="O390" s="57"/>
      <c r="P390" s="5"/>
      <c r="Q390" s="5"/>
      <c r="R390" s="5"/>
      <c r="S390" s="5"/>
      <c r="T390" s="5"/>
      <c r="U390" s="5"/>
      <c r="V390" s="5"/>
      <c r="W390" s="5"/>
      <c r="X390" s="5"/>
      <c r="Y390" s="5"/>
      <c r="Z390" s="5"/>
    </row>
    <row r="391" spans="1:26" ht="12.75" customHeight="1">
      <c r="A391" s="5"/>
      <c r="B391" s="5"/>
      <c r="C391" s="5"/>
      <c r="D391" s="5"/>
      <c r="E391" s="5"/>
      <c r="F391" s="5"/>
      <c r="G391" s="5"/>
      <c r="H391" s="306"/>
      <c r="I391" s="5"/>
      <c r="J391" s="5"/>
      <c r="K391" s="5"/>
      <c r="L391" s="5"/>
      <c r="M391" s="5"/>
      <c r="N391" s="5"/>
      <c r="O391" s="57"/>
      <c r="P391" s="5"/>
      <c r="Q391" s="5"/>
      <c r="R391" s="5"/>
      <c r="S391" s="5"/>
      <c r="T391" s="5"/>
      <c r="U391" s="5"/>
      <c r="V391" s="5"/>
      <c r="W391" s="5"/>
      <c r="X391" s="5"/>
      <c r="Y391" s="5"/>
      <c r="Z391" s="5"/>
    </row>
    <row r="392" spans="1:26" ht="12.75" customHeight="1">
      <c r="A392" s="5"/>
      <c r="B392" s="5"/>
      <c r="C392" s="5"/>
      <c r="D392" s="5"/>
      <c r="E392" s="5"/>
      <c r="F392" s="5"/>
      <c r="G392" s="5"/>
      <c r="H392" s="306"/>
      <c r="I392" s="5"/>
      <c r="J392" s="5"/>
      <c r="K392" s="5"/>
      <c r="L392" s="5"/>
      <c r="M392" s="5"/>
      <c r="N392" s="5"/>
      <c r="O392" s="57"/>
      <c r="P392" s="5"/>
      <c r="Q392" s="5"/>
      <c r="R392" s="5"/>
      <c r="S392" s="5"/>
      <c r="T392" s="5"/>
      <c r="U392" s="5"/>
      <c r="V392" s="5"/>
      <c r="W392" s="5"/>
      <c r="X392" s="5"/>
      <c r="Y392" s="5"/>
      <c r="Z392" s="5"/>
    </row>
    <row r="393" spans="1:26" ht="12.75" customHeight="1">
      <c r="A393" s="5"/>
      <c r="B393" s="5"/>
      <c r="C393" s="5"/>
      <c r="D393" s="5"/>
      <c r="E393" s="5"/>
      <c r="F393" s="5"/>
      <c r="G393" s="5"/>
      <c r="H393" s="306"/>
      <c r="I393" s="5"/>
      <c r="J393" s="5"/>
      <c r="K393" s="5"/>
      <c r="L393" s="5"/>
      <c r="M393" s="5"/>
      <c r="N393" s="5"/>
      <c r="O393" s="57"/>
      <c r="P393" s="5"/>
      <c r="Q393" s="5"/>
      <c r="R393" s="5"/>
      <c r="S393" s="5"/>
      <c r="T393" s="5"/>
      <c r="U393" s="5"/>
      <c r="V393" s="5"/>
      <c r="W393" s="5"/>
      <c r="X393" s="5"/>
      <c r="Y393" s="5"/>
      <c r="Z393" s="5"/>
    </row>
    <row r="394" spans="1:26" ht="12.75" customHeight="1">
      <c r="A394" s="5"/>
      <c r="B394" s="5"/>
      <c r="C394" s="5"/>
      <c r="D394" s="5"/>
      <c r="E394" s="5"/>
      <c r="F394" s="5"/>
      <c r="G394" s="5"/>
      <c r="H394" s="306"/>
      <c r="I394" s="5"/>
      <c r="J394" s="5"/>
      <c r="K394" s="5"/>
      <c r="L394" s="5"/>
      <c r="M394" s="5"/>
      <c r="N394" s="5"/>
      <c r="O394" s="57"/>
      <c r="P394" s="5"/>
      <c r="Q394" s="5"/>
      <c r="R394" s="5"/>
      <c r="S394" s="5"/>
      <c r="T394" s="5"/>
      <c r="U394" s="5"/>
      <c r="V394" s="5"/>
      <c r="W394" s="5"/>
      <c r="X394" s="5"/>
      <c r="Y394" s="5"/>
      <c r="Z394" s="5"/>
    </row>
    <row r="395" spans="1:26" ht="12.75" customHeight="1">
      <c r="A395" s="5"/>
      <c r="B395" s="5"/>
      <c r="C395" s="5"/>
      <c r="D395" s="5"/>
      <c r="E395" s="5"/>
      <c r="F395" s="5"/>
      <c r="G395" s="5"/>
      <c r="H395" s="306"/>
      <c r="I395" s="5"/>
      <c r="J395" s="5"/>
      <c r="K395" s="5"/>
      <c r="L395" s="5"/>
      <c r="M395" s="5"/>
      <c r="N395" s="5"/>
      <c r="O395" s="57"/>
      <c r="P395" s="5"/>
      <c r="Q395" s="5"/>
      <c r="R395" s="5"/>
      <c r="S395" s="5"/>
      <c r="T395" s="5"/>
      <c r="U395" s="5"/>
      <c r="V395" s="5"/>
      <c r="W395" s="5"/>
      <c r="X395" s="5"/>
      <c r="Y395" s="5"/>
      <c r="Z395" s="5"/>
    </row>
    <row r="396" spans="1:26" ht="12.75" customHeight="1">
      <c r="A396" s="5"/>
      <c r="B396" s="5"/>
      <c r="C396" s="5"/>
      <c r="D396" s="5"/>
      <c r="E396" s="5"/>
      <c r="F396" s="5"/>
      <c r="G396" s="5"/>
      <c r="H396" s="306"/>
      <c r="I396" s="5"/>
      <c r="J396" s="5"/>
      <c r="K396" s="5"/>
      <c r="L396" s="5"/>
      <c r="M396" s="5"/>
      <c r="N396" s="5"/>
      <c r="O396" s="57"/>
      <c r="P396" s="5"/>
      <c r="Q396" s="5"/>
      <c r="R396" s="5"/>
      <c r="S396" s="5"/>
      <c r="T396" s="5"/>
      <c r="U396" s="5"/>
      <c r="V396" s="5"/>
      <c r="W396" s="5"/>
      <c r="X396" s="5"/>
      <c r="Y396" s="5"/>
      <c r="Z396" s="5"/>
    </row>
    <row r="397" spans="1:26" ht="12.75" customHeight="1">
      <c r="A397" s="5"/>
      <c r="B397" s="5"/>
      <c r="C397" s="5"/>
      <c r="D397" s="5"/>
      <c r="E397" s="5"/>
      <c r="F397" s="5"/>
      <c r="G397" s="5"/>
      <c r="H397" s="306"/>
      <c r="I397" s="5"/>
      <c r="J397" s="5"/>
      <c r="K397" s="5"/>
      <c r="L397" s="5"/>
      <c r="M397" s="5"/>
      <c r="N397" s="5"/>
      <c r="O397" s="57"/>
      <c r="P397" s="5"/>
      <c r="Q397" s="5"/>
      <c r="R397" s="5"/>
      <c r="S397" s="5"/>
      <c r="T397" s="5"/>
      <c r="U397" s="5"/>
      <c r="V397" s="5"/>
      <c r="W397" s="5"/>
      <c r="X397" s="5"/>
      <c r="Y397" s="5"/>
      <c r="Z397" s="5"/>
    </row>
    <row r="398" spans="1:26" ht="12.75" customHeight="1">
      <c r="A398" s="5"/>
      <c r="B398" s="5"/>
      <c r="C398" s="5"/>
      <c r="D398" s="5"/>
      <c r="E398" s="5"/>
      <c r="F398" s="5"/>
      <c r="G398" s="5"/>
      <c r="H398" s="306"/>
      <c r="I398" s="5"/>
      <c r="J398" s="5"/>
      <c r="K398" s="5"/>
      <c r="L398" s="5"/>
      <c r="M398" s="5"/>
      <c r="N398" s="5"/>
      <c r="O398" s="57"/>
      <c r="P398" s="5"/>
      <c r="Q398" s="5"/>
      <c r="R398" s="5"/>
      <c r="S398" s="5"/>
      <c r="T398" s="5"/>
      <c r="U398" s="5"/>
      <c r="V398" s="5"/>
      <c r="W398" s="5"/>
      <c r="X398" s="5"/>
      <c r="Y398" s="5"/>
      <c r="Z398" s="5"/>
    </row>
    <row r="399" spans="1:26" ht="12.75" customHeight="1">
      <c r="A399" s="5"/>
      <c r="B399" s="5"/>
      <c r="C399" s="5"/>
      <c r="D399" s="5"/>
      <c r="E399" s="5"/>
      <c r="F399" s="5"/>
      <c r="G399" s="5"/>
      <c r="H399" s="306"/>
      <c r="I399" s="5"/>
      <c r="J399" s="5"/>
      <c r="K399" s="5"/>
      <c r="L399" s="5"/>
      <c r="M399" s="5"/>
      <c r="N399" s="5"/>
      <c r="O399" s="57"/>
      <c r="P399" s="5"/>
      <c r="Q399" s="5"/>
      <c r="R399" s="5"/>
      <c r="S399" s="5"/>
      <c r="T399" s="5"/>
      <c r="U399" s="5"/>
      <c r="V399" s="5"/>
      <c r="W399" s="5"/>
      <c r="X399" s="5"/>
      <c r="Y399" s="5"/>
      <c r="Z399" s="5"/>
    </row>
    <row r="400" spans="1:26" ht="12.75" customHeight="1">
      <c r="A400" s="5"/>
      <c r="B400" s="5"/>
      <c r="C400" s="5"/>
      <c r="D400" s="5"/>
      <c r="E400" s="5"/>
      <c r="F400" s="5"/>
      <c r="G400" s="5"/>
      <c r="H400" s="306"/>
      <c r="I400" s="5"/>
      <c r="J400" s="5"/>
      <c r="K400" s="5"/>
      <c r="L400" s="5"/>
      <c r="M400" s="5"/>
      <c r="N400" s="5"/>
      <c r="O400" s="57"/>
      <c r="P400" s="5"/>
      <c r="Q400" s="5"/>
      <c r="R400" s="5"/>
      <c r="S400" s="5"/>
      <c r="T400" s="5"/>
      <c r="U400" s="5"/>
      <c r="V400" s="5"/>
      <c r="W400" s="5"/>
      <c r="X400" s="5"/>
      <c r="Y400" s="5"/>
      <c r="Z400" s="5"/>
    </row>
    <row r="401" spans="1:26" ht="12.75" customHeight="1">
      <c r="A401" s="5"/>
      <c r="B401" s="5"/>
      <c r="C401" s="5"/>
      <c r="D401" s="5"/>
      <c r="E401" s="5"/>
      <c r="F401" s="5"/>
      <c r="G401" s="5"/>
      <c r="H401" s="306"/>
      <c r="I401" s="5"/>
      <c r="J401" s="5"/>
      <c r="K401" s="5"/>
      <c r="L401" s="5"/>
      <c r="M401" s="5"/>
      <c r="N401" s="5"/>
      <c r="O401" s="57"/>
      <c r="P401" s="5"/>
      <c r="Q401" s="5"/>
      <c r="R401" s="5"/>
      <c r="S401" s="5"/>
      <c r="T401" s="5"/>
      <c r="U401" s="5"/>
      <c r="V401" s="5"/>
      <c r="W401" s="5"/>
      <c r="X401" s="5"/>
      <c r="Y401" s="5"/>
      <c r="Z401" s="5"/>
    </row>
    <row r="402" spans="1:26" ht="12.75" customHeight="1">
      <c r="A402" s="5"/>
      <c r="B402" s="5"/>
      <c r="C402" s="5"/>
      <c r="D402" s="5"/>
      <c r="E402" s="5"/>
      <c r="F402" s="5"/>
      <c r="G402" s="5"/>
      <c r="H402" s="306"/>
      <c r="I402" s="5"/>
      <c r="J402" s="5"/>
      <c r="K402" s="5"/>
      <c r="L402" s="5"/>
      <c r="M402" s="5"/>
      <c r="N402" s="5"/>
      <c r="O402" s="57"/>
      <c r="P402" s="5"/>
      <c r="Q402" s="5"/>
      <c r="R402" s="5"/>
      <c r="S402" s="5"/>
      <c r="T402" s="5"/>
      <c r="U402" s="5"/>
      <c r="V402" s="5"/>
      <c r="W402" s="5"/>
      <c r="X402" s="5"/>
      <c r="Y402" s="5"/>
      <c r="Z402" s="5"/>
    </row>
    <row r="403" spans="1:26" ht="12.75" customHeight="1">
      <c r="A403" s="5"/>
      <c r="B403" s="5"/>
      <c r="C403" s="5"/>
      <c r="D403" s="5"/>
      <c r="E403" s="5"/>
      <c r="F403" s="5"/>
      <c r="G403" s="5"/>
      <c r="H403" s="306"/>
      <c r="I403" s="5"/>
      <c r="J403" s="5"/>
      <c r="K403" s="5"/>
      <c r="L403" s="5"/>
      <c r="M403" s="5"/>
      <c r="N403" s="5"/>
      <c r="O403" s="57"/>
      <c r="P403" s="5"/>
      <c r="Q403" s="5"/>
      <c r="R403" s="5"/>
      <c r="S403" s="5"/>
      <c r="T403" s="5"/>
      <c r="U403" s="5"/>
      <c r="V403" s="5"/>
      <c r="W403" s="5"/>
      <c r="X403" s="5"/>
      <c r="Y403" s="5"/>
      <c r="Z403" s="5"/>
    </row>
    <row r="404" spans="1:26" ht="12.75" customHeight="1">
      <c r="A404" s="5"/>
      <c r="B404" s="5"/>
      <c r="C404" s="5"/>
      <c r="D404" s="5"/>
      <c r="E404" s="5"/>
      <c r="F404" s="5"/>
      <c r="G404" s="5"/>
      <c r="H404" s="306"/>
      <c r="I404" s="5"/>
      <c r="J404" s="5"/>
      <c r="K404" s="5"/>
      <c r="L404" s="5"/>
      <c r="M404" s="5"/>
      <c r="N404" s="5"/>
      <c r="O404" s="57"/>
      <c r="P404" s="5"/>
      <c r="Q404" s="5"/>
      <c r="R404" s="5"/>
      <c r="S404" s="5"/>
      <c r="T404" s="5"/>
      <c r="U404" s="5"/>
      <c r="V404" s="5"/>
      <c r="W404" s="5"/>
      <c r="X404" s="5"/>
      <c r="Y404" s="5"/>
      <c r="Z404" s="5"/>
    </row>
    <row r="405" spans="1:26" ht="12.75" customHeight="1">
      <c r="A405" s="5"/>
      <c r="B405" s="5"/>
      <c r="C405" s="5"/>
      <c r="D405" s="5"/>
      <c r="E405" s="5"/>
      <c r="F405" s="5"/>
      <c r="G405" s="5"/>
      <c r="H405" s="306"/>
      <c r="I405" s="5"/>
      <c r="J405" s="5"/>
      <c r="K405" s="5"/>
      <c r="L405" s="5"/>
      <c r="M405" s="5"/>
      <c r="N405" s="5"/>
      <c r="O405" s="57"/>
      <c r="P405" s="5"/>
      <c r="Q405" s="5"/>
      <c r="R405" s="5"/>
      <c r="S405" s="5"/>
      <c r="T405" s="5"/>
      <c r="U405" s="5"/>
      <c r="V405" s="5"/>
      <c r="W405" s="5"/>
      <c r="X405" s="5"/>
      <c r="Y405" s="5"/>
      <c r="Z405" s="5"/>
    </row>
    <row r="406" spans="1:26" ht="12.75" customHeight="1">
      <c r="A406" s="5"/>
      <c r="B406" s="5"/>
      <c r="C406" s="5"/>
      <c r="D406" s="5"/>
      <c r="E406" s="5"/>
      <c r="F406" s="5"/>
      <c r="G406" s="5"/>
      <c r="H406" s="306"/>
      <c r="I406" s="5"/>
      <c r="J406" s="5"/>
      <c r="K406" s="5"/>
      <c r="L406" s="5"/>
      <c r="M406" s="5"/>
      <c r="N406" s="5"/>
      <c r="O406" s="57"/>
      <c r="P406" s="5"/>
      <c r="Q406" s="5"/>
      <c r="R406" s="5"/>
      <c r="S406" s="5"/>
      <c r="T406" s="5"/>
      <c r="U406" s="5"/>
      <c r="V406" s="5"/>
      <c r="W406" s="5"/>
      <c r="X406" s="5"/>
      <c r="Y406" s="5"/>
      <c r="Z406" s="5"/>
    </row>
    <row r="407" spans="1:26" ht="12.75" customHeight="1">
      <c r="A407" s="5"/>
      <c r="B407" s="5"/>
      <c r="C407" s="5"/>
      <c r="D407" s="5"/>
      <c r="E407" s="5"/>
      <c r="F407" s="5"/>
      <c r="G407" s="5"/>
      <c r="H407" s="306"/>
      <c r="I407" s="5"/>
      <c r="J407" s="5"/>
      <c r="K407" s="5"/>
      <c r="L407" s="5"/>
      <c r="M407" s="5"/>
      <c r="N407" s="5"/>
      <c r="O407" s="57"/>
      <c r="P407" s="5"/>
      <c r="Q407" s="5"/>
      <c r="R407" s="5"/>
      <c r="S407" s="5"/>
      <c r="T407" s="5"/>
      <c r="U407" s="5"/>
      <c r="V407" s="5"/>
      <c r="W407" s="5"/>
      <c r="X407" s="5"/>
      <c r="Y407" s="5"/>
      <c r="Z407" s="5"/>
    </row>
    <row r="408" spans="1:26" ht="12.75" customHeight="1">
      <c r="A408" s="5"/>
      <c r="B408" s="5"/>
      <c r="C408" s="5"/>
      <c r="D408" s="5"/>
      <c r="E408" s="5"/>
      <c r="F408" s="5"/>
      <c r="G408" s="5"/>
      <c r="H408" s="306"/>
      <c r="I408" s="5"/>
      <c r="J408" s="5"/>
      <c r="K408" s="5"/>
      <c r="L408" s="5"/>
      <c r="M408" s="5"/>
      <c r="N408" s="5"/>
      <c r="O408" s="57"/>
      <c r="P408" s="5"/>
      <c r="Q408" s="5"/>
      <c r="R408" s="5"/>
      <c r="S408" s="5"/>
      <c r="T408" s="5"/>
      <c r="U408" s="5"/>
      <c r="V408" s="5"/>
      <c r="W408" s="5"/>
      <c r="X408" s="5"/>
      <c r="Y408" s="5"/>
      <c r="Z408" s="5"/>
    </row>
    <row r="409" spans="1:26" ht="12.75" customHeight="1">
      <c r="A409" s="5"/>
      <c r="B409" s="5"/>
      <c r="C409" s="5"/>
      <c r="D409" s="5"/>
      <c r="E409" s="5"/>
      <c r="F409" s="5"/>
      <c r="G409" s="5"/>
      <c r="H409" s="306"/>
      <c r="I409" s="5"/>
      <c r="J409" s="5"/>
      <c r="K409" s="5"/>
      <c r="L409" s="5"/>
      <c r="M409" s="5"/>
      <c r="N409" s="5"/>
      <c r="O409" s="57"/>
      <c r="P409" s="5"/>
      <c r="Q409" s="5"/>
      <c r="R409" s="5"/>
      <c r="S409" s="5"/>
      <c r="T409" s="5"/>
      <c r="U409" s="5"/>
      <c r="V409" s="5"/>
      <c r="W409" s="5"/>
      <c r="X409" s="5"/>
      <c r="Y409" s="5"/>
      <c r="Z409" s="5"/>
    </row>
    <row r="410" spans="1:26" ht="12.75" customHeight="1">
      <c r="A410" s="5"/>
      <c r="B410" s="5"/>
      <c r="C410" s="5"/>
      <c r="D410" s="5"/>
      <c r="E410" s="5"/>
      <c r="F410" s="5"/>
      <c r="G410" s="5"/>
      <c r="H410" s="306"/>
      <c r="I410" s="5"/>
      <c r="J410" s="5"/>
      <c r="K410" s="5"/>
      <c r="L410" s="5"/>
      <c r="M410" s="5"/>
      <c r="N410" s="5"/>
      <c r="O410" s="57"/>
      <c r="P410" s="5"/>
      <c r="Q410" s="5"/>
      <c r="R410" s="5"/>
      <c r="S410" s="5"/>
      <c r="T410" s="5"/>
      <c r="U410" s="5"/>
      <c r="V410" s="5"/>
      <c r="W410" s="5"/>
      <c r="X410" s="5"/>
      <c r="Y410" s="5"/>
      <c r="Z410" s="5"/>
    </row>
    <row r="411" spans="1:26" ht="12.75" customHeight="1">
      <c r="A411" s="5"/>
      <c r="B411" s="5"/>
      <c r="C411" s="5"/>
      <c r="D411" s="5"/>
      <c r="E411" s="5"/>
      <c r="F411" s="5"/>
      <c r="G411" s="5"/>
      <c r="H411" s="306"/>
      <c r="I411" s="5"/>
      <c r="J411" s="5"/>
      <c r="K411" s="5"/>
      <c r="L411" s="5"/>
      <c r="M411" s="5"/>
      <c r="N411" s="5"/>
      <c r="O411" s="57"/>
      <c r="P411" s="5"/>
      <c r="Q411" s="5"/>
      <c r="R411" s="5"/>
      <c r="S411" s="5"/>
      <c r="T411" s="5"/>
      <c r="U411" s="5"/>
      <c r="V411" s="5"/>
      <c r="W411" s="5"/>
      <c r="X411" s="5"/>
      <c r="Y411" s="5"/>
      <c r="Z411" s="5"/>
    </row>
    <row r="412" spans="1:26" ht="12.75" customHeight="1">
      <c r="A412" s="5"/>
      <c r="B412" s="5"/>
      <c r="C412" s="5"/>
      <c r="D412" s="5"/>
      <c r="E412" s="5"/>
      <c r="F412" s="5"/>
      <c r="G412" s="5"/>
      <c r="H412" s="306"/>
      <c r="I412" s="5"/>
      <c r="J412" s="5"/>
      <c r="K412" s="5"/>
      <c r="L412" s="5"/>
      <c r="M412" s="5"/>
      <c r="N412" s="5"/>
      <c r="O412" s="57"/>
      <c r="P412" s="5"/>
      <c r="Q412" s="5"/>
      <c r="R412" s="5"/>
      <c r="S412" s="5"/>
      <c r="T412" s="5"/>
      <c r="U412" s="5"/>
      <c r="V412" s="5"/>
      <c r="W412" s="5"/>
      <c r="X412" s="5"/>
      <c r="Y412" s="5"/>
      <c r="Z412" s="5"/>
    </row>
    <row r="413" spans="1:26" ht="12.75" customHeight="1">
      <c r="A413" s="5"/>
      <c r="B413" s="5"/>
      <c r="C413" s="5"/>
      <c r="D413" s="5"/>
      <c r="E413" s="5"/>
      <c r="F413" s="5"/>
      <c r="G413" s="5"/>
      <c r="H413" s="306"/>
      <c r="I413" s="5"/>
      <c r="J413" s="5"/>
      <c r="K413" s="5"/>
      <c r="L413" s="5"/>
      <c r="M413" s="5"/>
      <c r="N413" s="5"/>
      <c r="O413" s="57"/>
      <c r="P413" s="5"/>
      <c r="Q413" s="5"/>
      <c r="R413" s="5"/>
      <c r="S413" s="5"/>
      <c r="T413" s="5"/>
      <c r="U413" s="5"/>
      <c r="V413" s="5"/>
      <c r="W413" s="5"/>
      <c r="X413" s="5"/>
      <c r="Y413" s="5"/>
      <c r="Z413" s="5"/>
    </row>
    <row r="414" spans="1:26" ht="12.75" customHeight="1">
      <c r="A414" s="5"/>
      <c r="B414" s="5"/>
      <c r="C414" s="5"/>
      <c r="D414" s="5"/>
      <c r="E414" s="5"/>
      <c r="F414" s="5"/>
      <c r="G414" s="5"/>
      <c r="H414" s="306"/>
      <c r="I414" s="5"/>
      <c r="J414" s="5"/>
      <c r="K414" s="5"/>
      <c r="L414" s="5"/>
      <c r="M414" s="5"/>
      <c r="N414" s="5"/>
      <c r="O414" s="57"/>
      <c r="P414" s="5"/>
      <c r="Q414" s="5"/>
      <c r="R414" s="5"/>
      <c r="S414" s="5"/>
      <c r="T414" s="5"/>
      <c r="U414" s="5"/>
      <c r="V414" s="5"/>
      <c r="W414" s="5"/>
      <c r="X414" s="5"/>
      <c r="Y414" s="5"/>
      <c r="Z414" s="5"/>
    </row>
    <row r="415" spans="1:26" ht="12.75" customHeight="1">
      <c r="A415" s="5"/>
      <c r="B415" s="5"/>
      <c r="C415" s="5"/>
      <c r="D415" s="5"/>
      <c r="E415" s="5"/>
      <c r="F415" s="5"/>
      <c r="G415" s="5"/>
      <c r="H415" s="306"/>
      <c r="I415" s="5"/>
      <c r="J415" s="5"/>
      <c r="K415" s="5"/>
      <c r="L415" s="5"/>
      <c r="M415" s="5"/>
      <c r="N415" s="5"/>
      <c r="O415" s="57"/>
      <c r="P415" s="5"/>
      <c r="Q415" s="5"/>
      <c r="R415" s="5"/>
      <c r="S415" s="5"/>
      <c r="T415" s="5"/>
      <c r="U415" s="5"/>
      <c r="V415" s="5"/>
      <c r="W415" s="5"/>
      <c r="X415" s="5"/>
      <c r="Y415" s="5"/>
      <c r="Z415" s="5"/>
    </row>
    <row r="416" spans="1:26" ht="12.75" customHeight="1">
      <c r="A416" s="5"/>
      <c r="B416" s="5"/>
      <c r="C416" s="5"/>
      <c r="D416" s="5"/>
      <c r="E416" s="5"/>
      <c r="F416" s="5"/>
      <c r="G416" s="5"/>
      <c r="H416" s="306"/>
      <c r="I416" s="5"/>
      <c r="J416" s="5"/>
      <c r="K416" s="5"/>
      <c r="L416" s="5"/>
      <c r="M416" s="5"/>
      <c r="N416" s="5"/>
      <c r="O416" s="57"/>
      <c r="P416" s="5"/>
      <c r="Q416" s="5"/>
      <c r="R416" s="5"/>
      <c r="S416" s="5"/>
      <c r="T416" s="5"/>
      <c r="U416" s="5"/>
      <c r="V416" s="5"/>
      <c r="W416" s="5"/>
      <c r="X416" s="5"/>
      <c r="Y416" s="5"/>
      <c r="Z416" s="5"/>
    </row>
    <row r="417" spans="1:26" ht="12.75" customHeight="1">
      <c r="A417" s="5"/>
      <c r="B417" s="5"/>
      <c r="C417" s="5"/>
      <c r="D417" s="5"/>
      <c r="E417" s="5"/>
      <c r="F417" s="5"/>
      <c r="G417" s="5"/>
      <c r="H417" s="306"/>
      <c r="I417" s="5"/>
      <c r="J417" s="5"/>
      <c r="K417" s="5"/>
      <c r="L417" s="5"/>
      <c r="M417" s="5"/>
      <c r="N417" s="5"/>
      <c r="O417" s="57"/>
      <c r="P417" s="5"/>
      <c r="Q417" s="5"/>
      <c r="R417" s="5"/>
      <c r="S417" s="5"/>
      <c r="T417" s="5"/>
      <c r="U417" s="5"/>
      <c r="V417" s="5"/>
      <c r="W417" s="5"/>
      <c r="X417" s="5"/>
      <c r="Y417" s="5"/>
      <c r="Z417" s="5"/>
    </row>
    <row r="418" spans="1:26" ht="12.75" customHeight="1">
      <c r="A418" s="5"/>
      <c r="B418" s="5"/>
      <c r="C418" s="5"/>
      <c r="D418" s="5"/>
      <c r="E418" s="5"/>
      <c r="F418" s="5"/>
      <c r="G418" s="5"/>
      <c r="H418" s="306"/>
      <c r="I418" s="5"/>
      <c r="J418" s="5"/>
      <c r="K418" s="5"/>
      <c r="L418" s="5"/>
      <c r="M418" s="5"/>
      <c r="N418" s="5"/>
      <c r="O418" s="57"/>
      <c r="P418" s="5"/>
      <c r="Q418" s="5"/>
      <c r="R418" s="5"/>
      <c r="S418" s="5"/>
      <c r="T418" s="5"/>
      <c r="U418" s="5"/>
      <c r="V418" s="5"/>
      <c r="W418" s="5"/>
      <c r="X418" s="5"/>
      <c r="Y418" s="5"/>
      <c r="Z418" s="5"/>
    </row>
    <row r="419" spans="1:26" ht="12.75" customHeight="1">
      <c r="A419" s="5"/>
      <c r="B419" s="5"/>
      <c r="C419" s="5"/>
      <c r="D419" s="5"/>
      <c r="E419" s="5"/>
      <c r="F419" s="5"/>
      <c r="G419" s="5"/>
      <c r="H419" s="306"/>
      <c r="I419" s="5"/>
      <c r="J419" s="5"/>
      <c r="K419" s="5"/>
      <c r="L419" s="5"/>
      <c r="M419" s="5"/>
      <c r="N419" s="5"/>
      <c r="O419" s="57"/>
      <c r="P419" s="5"/>
      <c r="Q419" s="5"/>
      <c r="R419" s="5"/>
      <c r="S419" s="5"/>
      <c r="T419" s="5"/>
      <c r="U419" s="5"/>
      <c r="V419" s="5"/>
      <c r="W419" s="5"/>
      <c r="X419" s="5"/>
      <c r="Y419" s="5"/>
      <c r="Z419" s="5"/>
    </row>
    <row r="420" spans="1:26" ht="12.75" customHeight="1">
      <c r="A420" s="5"/>
      <c r="B420" s="5"/>
      <c r="C420" s="5"/>
      <c r="D420" s="5"/>
      <c r="E420" s="5"/>
      <c r="F420" s="5"/>
      <c r="G420" s="5"/>
      <c r="H420" s="306"/>
      <c r="I420" s="5"/>
      <c r="J420" s="5"/>
      <c r="K420" s="5"/>
      <c r="L420" s="5"/>
      <c r="M420" s="5"/>
      <c r="N420" s="5"/>
      <c r="O420" s="57"/>
      <c r="P420" s="5"/>
      <c r="Q420" s="5"/>
      <c r="R420" s="5"/>
      <c r="S420" s="5"/>
      <c r="T420" s="5"/>
      <c r="U420" s="5"/>
      <c r="V420" s="5"/>
      <c r="W420" s="5"/>
      <c r="X420" s="5"/>
      <c r="Y420" s="5"/>
      <c r="Z420" s="5"/>
    </row>
    <row r="421" spans="1:26" ht="12.75" customHeight="1">
      <c r="A421" s="5"/>
      <c r="B421" s="5"/>
      <c r="C421" s="5"/>
      <c r="D421" s="5"/>
      <c r="E421" s="5"/>
      <c r="F421" s="5"/>
      <c r="G421" s="5"/>
      <c r="H421" s="306"/>
      <c r="I421" s="5"/>
      <c r="J421" s="5"/>
      <c r="K421" s="5"/>
      <c r="L421" s="5"/>
      <c r="M421" s="5"/>
      <c r="N421" s="5"/>
      <c r="O421" s="57"/>
      <c r="P421" s="5"/>
      <c r="Q421" s="5"/>
      <c r="R421" s="5"/>
      <c r="S421" s="5"/>
      <c r="T421" s="5"/>
      <c r="U421" s="5"/>
      <c r="V421" s="5"/>
      <c r="W421" s="5"/>
      <c r="X421" s="5"/>
      <c r="Y421" s="5"/>
      <c r="Z421" s="5"/>
    </row>
    <row r="422" spans="1:26" ht="12.75" customHeight="1">
      <c r="A422" s="5"/>
      <c r="B422" s="5"/>
      <c r="C422" s="5"/>
      <c r="D422" s="5"/>
      <c r="E422" s="5"/>
      <c r="F422" s="5"/>
      <c r="G422" s="5"/>
      <c r="H422" s="306"/>
      <c r="I422" s="5"/>
      <c r="J422" s="5"/>
      <c r="K422" s="5"/>
      <c r="L422" s="5"/>
      <c r="M422" s="5"/>
      <c r="N422" s="5"/>
      <c r="O422" s="57"/>
      <c r="P422" s="5"/>
      <c r="Q422" s="5"/>
      <c r="R422" s="5"/>
      <c r="S422" s="5"/>
      <c r="T422" s="5"/>
      <c r="U422" s="5"/>
      <c r="V422" s="5"/>
      <c r="W422" s="5"/>
      <c r="X422" s="5"/>
      <c r="Y422" s="5"/>
      <c r="Z422" s="5"/>
    </row>
    <row r="423" spans="1:26" ht="12.75" customHeight="1">
      <c r="A423" s="5"/>
      <c r="B423" s="5"/>
      <c r="C423" s="5"/>
      <c r="D423" s="5"/>
      <c r="E423" s="5"/>
      <c r="F423" s="5"/>
      <c r="G423" s="5"/>
      <c r="H423" s="306"/>
      <c r="I423" s="5"/>
      <c r="J423" s="5"/>
      <c r="K423" s="5"/>
      <c r="L423" s="5"/>
      <c r="M423" s="5"/>
      <c r="N423" s="5"/>
      <c r="O423" s="57"/>
      <c r="P423" s="5"/>
      <c r="Q423" s="5"/>
      <c r="R423" s="5"/>
      <c r="S423" s="5"/>
      <c r="T423" s="5"/>
      <c r="U423" s="5"/>
      <c r="V423" s="5"/>
      <c r="W423" s="5"/>
      <c r="X423" s="5"/>
      <c r="Y423" s="5"/>
      <c r="Z423" s="5"/>
    </row>
    <row r="424" spans="1:26" ht="12.75" customHeight="1">
      <c r="A424" s="5"/>
      <c r="B424" s="5"/>
      <c r="C424" s="5"/>
      <c r="D424" s="5"/>
      <c r="E424" s="5"/>
      <c r="F424" s="5"/>
      <c r="G424" s="5"/>
      <c r="H424" s="306"/>
      <c r="I424" s="5"/>
      <c r="J424" s="5"/>
      <c r="K424" s="5"/>
      <c r="L424" s="5"/>
      <c r="M424" s="5"/>
      <c r="N424" s="5"/>
      <c r="O424" s="57"/>
      <c r="P424" s="5"/>
      <c r="Q424" s="5"/>
      <c r="R424" s="5"/>
      <c r="S424" s="5"/>
      <c r="T424" s="5"/>
      <c r="U424" s="5"/>
      <c r="V424" s="5"/>
      <c r="W424" s="5"/>
      <c r="X424" s="5"/>
      <c r="Y424" s="5"/>
      <c r="Z424" s="5"/>
    </row>
    <row r="425" spans="1:26" ht="12.75" customHeight="1">
      <c r="A425" s="5"/>
      <c r="B425" s="5"/>
      <c r="C425" s="5"/>
      <c r="D425" s="5"/>
      <c r="E425" s="5"/>
      <c r="F425" s="5"/>
      <c r="G425" s="5"/>
      <c r="H425" s="306"/>
      <c r="I425" s="5"/>
      <c r="J425" s="5"/>
      <c r="K425" s="5"/>
      <c r="L425" s="5"/>
      <c r="M425" s="5"/>
      <c r="N425" s="5"/>
      <c r="O425" s="57"/>
      <c r="P425" s="5"/>
      <c r="Q425" s="5"/>
      <c r="R425" s="5"/>
      <c r="S425" s="5"/>
      <c r="T425" s="5"/>
      <c r="U425" s="5"/>
      <c r="V425" s="5"/>
      <c r="W425" s="5"/>
      <c r="X425" s="5"/>
      <c r="Y425" s="5"/>
      <c r="Z425" s="5"/>
    </row>
    <row r="426" spans="1:26" ht="12.75" customHeight="1">
      <c r="A426" s="5"/>
      <c r="B426" s="5"/>
      <c r="C426" s="5"/>
      <c r="D426" s="5"/>
      <c r="E426" s="5"/>
      <c r="F426" s="5"/>
      <c r="G426" s="5"/>
      <c r="H426" s="306"/>
      <c r="I426" s="5"/>
      <c r="J426" s="5"/>
      <c r="K426" s="5"/>
      <c r="L426" s="5"/>
      <c r="M426" s="5"/>
      <c r="N426" s="5"/>
      <c r="O426" s="57"/>
      <c r="P426" s="5"/>
      <c r="Q426" s="5"/>
      <c r="R426" s="5"/>
      <c r="S426" s="5"/>
      <c r="T426" s="5"/>
      <c r="U426" s="5"/>
      <c r="V426" s="5"/>
      <c r="W426" s="5"/>
      <c r="X426" s="5"/>
      <c r="Y426" s="5"/>
      <c r="Z426" s="5"/>
    </row>
    <row r="427" spans="1:26" ht="12.75" customHeight="1">
      <c r="A427" s="5"/>
      <c r="B427" s="5"/>
      <c r="C427" s="5"/>
      <c r="D427" s="5"/>
      <c r="E427" s="5"/>
      <c r="F427" s="5"/>
      <c r="G427" s="5"/>
      <c r="H427" s="306"/>
      <c r="I427" s="5"/>
      <c r="J427" s="5"/>
      <c r="K427" s="5"/>
      <c r="L427" s="5"/>
      <c r="M427" s="5"/>
      <c r="N427" s="5"/>
      <c r="O427" s="57"/>
      <c r="P427" s="5"/>
      <c r="Q427" s="5"/>
      <c r="R427" s="5"/>
      <c r="S427" s="5"/>
      <c r="T427" s="5"/>
      <c r="U427" s="5"/>
      <c r="V427" s="5"/>
      <c r="W427" s="5"/>
      <c r="X427" s="5"/>
      <c r="Y427" s="5"/>
      <c r="Z427" s="5"/>
    </row>
    <row r="428" spans="1:26" ht="12.75" customHeight="1">
      <c r="A428" s="5"/>
      <c r="B428" s="5"/>
      <c r="C428" s="5"/>
      <c r="D428" s="5"/>
      <c r="E428" s="5"/>
      <c r="F428" s="5"/>
      <c r="G428" s="5"/>
      <c r="H428" s="306"/>
      <c r="I428" s="5"/>
      <c r="J428" s="5"/>
      <c r="K428" s="5"/>
      <c r="L428" s="5"/>
      <c r="M428" s="5"/>
      <c r="N428" s="5"/>
      <c r="O428" s="57"/>
      <c r="P428" s="5"/>
      <c r="Q428" s="5"/>
      <c r="R428" s="5"/>
      <c r="S428" s="5"/>
      <c r="T428" s="5"/>
      <c r="U428" s="5"/>
      <c r="V428" s="5"/>
      <c r="W428" s="5"/>
      <c r="X428" s="5"/>
      <c r="Y428" s="5"/>
      <c r="Z428" s="5"/>
    </row>
    <row r="429" spans="1:26" ht="12.75" customHeight="1">
      <c r="A429" s="5"/>
      <c r="B429" s="5"/>
      <c r="C429" s="5"/>
      <c r="D429" s="5"/>
      <c r="E429" s="5"/>
      <c r="F429" s="5"/>
      <c r="G429" s="5"/>
      <c r="H429" s="306"/>
      <c r="I429" s="5"/>
      <c r="J429" s="5"/>
      <c r="K429" s="5"/>
      <c r="L429" s="5"/>
      <c r="M429" s="5"/>
      <c r="N429" s="5"/>
      <c r="O429" s="57"/>
      <c r="P429" s="5"/>
      <c r="Q429" s="5"/>
      <c r="R429" s="5"/>
      <c r="S429" s="5"/>
      <c r="T429" s="5"/>
      <c r="U429" s="5"/>
      <c r="V429" s="5"/>
      <c r="W429" s="5"/>
      <c r="X429" s="5"/>
      <c r="Y429" s="5"/>
      <c r="Z429" s="5"/>
    </row>
    <row r="430" spans="1:26" ht="12.75" customHeight="1">
      <c r="A430" s="5"/>
      <c r="B430" s="5"/>
      <c r="C430" s="5"/>
      <c r="D430" s="5"/>
      <c r="E430" s="5"/>
      <c r="F430" s="5"/>
      <c r="G430" s="5"/>
      <c r="H430" s="306"/>
      <c r="I430" s="5"/>
      <c r="J430" s="5"/>
      <c r="K430" s="5"/>
      <c r="L430" s="5"/>
      <c r="M430" s="5"/>
      <c r="N430" s="5"/>
      <c r="O430" s="57"/>
      <c r="P430" s="5"/>
      <c r="Q430" s="5"/>
      <c r="R430" s="5"/>
      <c r="S430" s="5"/>
      <c r="T430" s="5"/>
      <c r="U430" s="5"/>
      <c r="V430" s="5"/>
      <c r="W430" s="5"/>
      <c r="X430" s="5"/>
      <c r="Y430" s="5"/>
      <c r="Z430" s="5"/>
    </row>
    <row r="431" spans="1:26" ht="12.75" customHeight="1">
      <c r="A431" s="5"/>
      <c r="B431" s="5"/>
      <c r="C431" s="5"/>
      <c r="D431" s="5"/>
      <c r="E431" s="5"/>
      <c r="F431" s="5"/>
      <c r="G431" s="5"/>
      <c r="H431" s="306"/>
      <c r="I431" s="5"/>
      <c r="J431" s="5"/>
      <c r="K431" s="5"/>
      <c r="L431" s="5"/>
      <c r="M431" s="5"/>
      <c r="N431" s="5"/>
      <c r="O431" s="57"/>
      <c r="P431" s="5"/>
      <c r="Q431" s="5"/>
      <c r="R431" s="5"/>
      <c r="S431" s="5"/>
      <c r="T431" s="5"/>
      <c r="U431" s="5"/>
      <c r="V431" s="5"/>
      <c r="W431" s="5"/>
      <c r="X431" s="5"/>
      <c r="Y431" s="5"/>
      <c r="Z431" s="5"/>
    </row>
    <row r="432" spans="1:26" ht="12.75" customHeight="1">
      <c r="A432" s="5"/>
      <c r="B432" s="5"/>
      <c r="C432" s="5"/>
      <c r="D432" s="5"/>
      <c r="E432" s="5"/>
      <c r="F432" s="5"/>
      <c r="G432" s="5"/>
      <c r="H432" s="306"/>
      <c r="I432" s="5"/>
      <c r="J432" s="5"/>
      <c r="K432" s="5"/>
      <c r="L432" s="5"/>
      <c r="M432" s="5"/>
      <c r="N432" s="5"/>
      <c r="O432" s="57"/>
      <c r="P432" s="5"/>
      <c r="Q432" s="5"/>
      <c r="R432" s="5"/>
      <c r="S432" s="5"/>
      <c r="T432" s="5"/>
      <c r="U432" s="5"/>
      <c r="V432" s="5"/>
      <c r="W432" s="5"/>
      <c r="X432" s="5"/>
      <c r="Y432" s="5"/>
      <c r="Z432" s="5"/>
    </row>
    <row r="433" spans="1:26" ht="12.75" customHeight="1">
      <c r="A433" s="5"/>
      <c r="B433" s="5"/>
      <c r="C433" s="5"/>
      <c r="D433" s="5"/>
      <c r="E433" s="5"/>
      <c r="F433" s="5"/>
      <c r="G433" s="5"/>
      <c r="H433" s="306"/>
      <c r="I433" s="5"/>
      <c r="J433" s="5"/>
      <c r="K433" s="5"/>
      <c r="L433" s="5"/>
      <c r="M433" s="5"/>
      <c r="N433" s="5"/>
      <c r="O433" s="57"/>
      <c r="P433" s="5"/>
      <c r="Q433" s="5"/>
      <c r="R433" s="5"/>
      <c r="S433" s="5"/>
      <c r="T433" s="5"/>
      <c r="U433" s="5"/>
      <c r="V433" s="5"/>
      <c r="W433" s="5"/>
      <c r="X433" s="5"/>
      <c r="Y433" s="5"/>
      <c r="Z433" s="5"/>
    </row>
    <row r="434" spans="1:26" ht="12.75" customHeight="1">
      <c r="A434" s="5"/>
      <c r="B434" s="5"/>
      <c r="C434" s="5"/>
      <c r="D434" s="5"/>
      <c r="E434" s="5"/>
      <c r="F434" s="5"/>
      <c r="G434" s="5"/>
      <c r="H434" s="306"/>
      <c r="I434" s="5"/>
      <c r="J434" s="5"/>
      <c r="K434" s="5"/>
      <c r="L434" s="5"/>
      <c r="M434" s="5"/>
      <c r="N434" s="5"/>
      <c r="O434" s="57"/>
      <c r="P434" s="5"/>
      <c r="Q434" s="5"/>
      <c r="R434" s="5"/>
      <c r="S434" s="5"/>
      <c r="T434" s="5"/>
      <c r="U434" s="5"/>
      <c r="V434" s="5"/>
      <c r="W434" s="5"/>
      <c r="X434" s="5"/>
      <c r="Y434" s="5"/>
      <c r="Z434" s="5"/>
    </row>
    <row r="435" spans="1:26" ht="12.75" customHeight="1">
      <c r="A435" s="5"/>
      <c r="B435" s="5"/>
      <c r="C435" s="5"/>
      <c r="D435" s="5"/>
      <c r="E435" s="5"/>
      <c r="F435" s="5"/>
      <c r="G435" s="5"/>
      <c r="H435" s="306"/>
      <c r="I435" s="5"/>
      <c r="J435" s="5"/>
      <c r="K435" s="5"/>
      <c r="L435" s="5"/>
      <c r="M435" s="5"/>
      <c r="N435" s="5"/>
      <c r="O435" s="57"/>
      <c r="P435" s="5"/>
      <c r="Q435" s="5"/>
      <c r="R435" s="5"/>
      <c r="S435" s="5"/>
      <c r="T435" s="5"/>
      <c r="U435" s="5"/>
      <c r="V435" s="5"/>
      <c r="W435" s="5"/>
      <c r="X435" s="5"/>
      <c r="Y435" s="5"/>
      <c r="Z435" s="5"/>
    </row>
    <row r="436" spans="1:26" ht="12.75" customHeight="1">
      <c r="A436" s="5"/>
      <c r="B436" s="5"/>
      <c r="C436" s="5"/>
      <c r="D436" s="5"/>
      <c r="E436" s="5"/>
      <c r="F436" s="5"/>
      <c r="G436" s="5"/>
      <c r="H436" s="306"/>
      <c r="I436" s="5"/>
      <c r="J436" s="5"/>
      <c r="K436" s="5"/>
      <c r="L436" s="5"/>
      <c r="M436" s="5"/>
      <c r="N436" s="5"/>
      <c r="O436" s="57"/>
      <c r="P436" s="5"/>
      <c r="Q436" s="5"/>
      <c r="R436" s="5"/>
      <c r="S436" s="5"/>
      <c r="T436" s="5"/>
      <c r="U436" s="5"/>
      <c r="V436" s="5"/>
      <c r="W436" s="5"/>
      <c r="X436" s="5"/>
      <c r="Y436" s="5"/>
      <c r="Z436" s="5"/>
    </row>
    <row r="437" spans="1:26" ht="12.75" customHeight="1">
      <c r="A437" s="5"/>
      <c r="B437" s="5"/>
      <c r="C437" s="5"/>
      <c r="D437" s="5"/>
      <c r="E437" s="5"/>
      <c r="F437" s="5"/>
      <c r="G437" s="5"/>
      <c r="H437" s="306"/>
      <c r="I437" s="5"/>
      <c r="J437" s="5"/>
      <c r="K437" s="5"/>
      <c r="L437" s="5"/>
      <c r="M437" s="5"/>
      <c r="N437" s="5"/>
      <c r="O437" s="57"/>
      <c r="P437" s="5"/>
      <c r="Q437" s="5"/>
      <c r="R437" s="5"/>
      <c r="S437" s="5"/>
      <c r="T437" s="5"/>
      <c r="U437" s="5"/>
      <c r="V437" s="5"/>
      <c r="W437" s="5"/>
      <c r="X437" s="5"/>
      <c r="Y437" s="5"/>
      <c r="Z437" s="5"/>
    </row>
    <row r="438" spans="1:26" ht="12.75" customHeight="1">
      <c r="A438" s="5"/>
      <c r="B438" s="5"/>
      <c r="C438" s="5"/>
      <c r="D438" s="5"/>
      <c r="E438" s="5"/>
      <c r="F438" s="5"/>
      <c r="G438" s="5"/>
      <c r="H438" s="306"/>
      <c r="I438" s="5"/>
      <c r="J438" s="5"/>
      <c r="K438" s="5"/>
      <c r="L438" s="5"/>
      <c r="M438" s="5"/>
      <c r="N438" s="5"/>
      <c r="O438" s="57"/>
      <c r="P438" s="5"/>
      <c r="Q438" s="5"/>
      <c r="R438" s="5"/>
      <c r="S438" s="5"/>
      <c r="T438" s="5"/>
      <c r="U438" s="5"/>
      <c r="V438" s="5"/>
      <c r="W438" s="5"/>
      <c r="X438" s="5"/>
      <c r="Y438" s="5"/>
      <c r="Z438" s="5"/>
    </row>
    <row r="439" spans="1:26" ht="12.75" customHeight="1">
      <c r="A439" s="5"/>
      <c r="B439" s="5"/>
      <c r="C439" s="5"/>
      <c r="D439" s="5"/>
      <c r="E439" s="5"/>
      <c r="F439" s="5"/>
      <c r="G439" s="5"/>
      <c r="H439" s="306"/>
      <c r="I439" s="5"/>
      <c r="J439" s="5"/>
      <c r="K439" s="5"/>
      <c r="L439" s="5"/>
      <c r="M439" s="5"/>
      <c r="N439" s="5"/>
      <c r="O439" s="57"/>
      <c r="P439" s="5"/>
      <c r="Q439" s="5"/>
      <c r="R439" s="5"/>
      <c r="S439" s="5"/>
      <c r="T439" s="5"/>
      <c r="U439" s="5"/>
      <c r="V439" s="5"/>
      <c r="W439" s="5"/>
      <c r="X439" s="5"/>
      <c r="Y439" s="5"/>
      <c r="Z439" s="5"/>
    </row>
    <row r="440" spans="1:26" ht="12.75" customHeight="1">
      <c r="A440" s="5"/>
      <c r="B440" s="5"/>
      <c r="C440" s="5"/>
      <c r="D440" s="5"/>
      <c r="E440" s="5"/>
      <c r="F440" s="5"/>
      <c r="G440" s="5"/>
      <c r="H440" s="306"/>
      <c r="I440" s="5"/>
      <c r="J440" s="5"/>
      <c r="K440" s="5"/>
      <c r="L440" s="5"/>
      <c r="M440" s="5"/>
      <c r="N440" s="5"/>
      <c r="O440" s="57"/>
      <c r="P440" s="5"/>
      <c r="Q440" s="5"/>
      <c r="R440" s="5"/>
      <c r="S440" s="5"/>
      <c r="T440" s="5"/>
      <c r="U440" s="5"/>
      <c r="V440" s="5"/>
      <c r="W440" s="5"/>
      <c r="X440" s="5"/>
      <c r="Y440" s="5"/>
      <c r="Z440" s="5"/>
    </row>
    <row r="441" spans="1:26" ht="12.75" customHeight="1">
      <c r="A441" s="5"/>
      <c r="B441" s="5"/>
      <c r="C441" s="5"/>
      <c r="D441" s="5"/>
      <c r="E441" s="5"/>
      <c r="F441" s="5"/>
      <c r="G441" s="5"/>
      <c r="H441" s="306"/>
      <c r="I441" s="5"/>
      <c r="J441" s="5"/>
      <c r="K441" s="5"/>
      <c r="L441" s="5"/>
      <c r="M441" s="5"/>
      <c r="N441" s="5"/>
      <c r="O441" s="57"/>
      <c r="P441" s="5"/>
      <c r="Q441" s="5"/>
      <c r="R441" s="5"/>
      <c r="S441" s="5"/>
      <c r="T441" s="5"/>
      <c r="U441" s="5"/>
      <c r="V441" s="5"/>
      <c r="W441" s="5"/>
      <c r="X441" s="5"/>
      <c r="Y441" s="5"/>
      <c r="Z441" s="5"/>
    </row>
    <row r="442" spans="1:26" ht="12.75" customHeight="1">
      <c r="A442" s="5"/>
      <c r="B442" s="5"/>
      <c r="C442" s="5"/>
      <c r="D442" s="5"/>
      <c r="E442" s="5"/>
      <c r="F442" s="5"/>
      <c r="G442" s="5"/>
      <c r="H442" s="306"/>
      <c r="I442" s="5"/>
      <c r="J442" s="5"/>
      <c r="K442" s="5"/>
      <c r="L442" s="5"/>
      <c r="M442" s="5"/>
      <c r="N442" s="5"/>
      <c r="O442" s="57"/>
      <c r="P442" s="5"/>
      <c r="Q442" s="5"/>
      <c r="R442" s="5"/>
      <c r="S442" s="5"/>
      <c r="T442" s="5"/>
      <c r="U442" s="5"/>
      <c r="V442" s="5"/>
      <c r="W442" s="5"/>
      <c r="X442" s="5"/>
      <c r="Y442" s="5"/>
      <c r="Z442" s="5"/>
    </row>
    <row r="443" spans="1:26" ht="12.75" customHeight="1">
      <c r="A443" s="5"/>
      <c r="B443" s="5"/>
      <c r="C443" s="5"/>
      <c r="D443" s="5"/>
      <c r="E443" s="5"/>
      <c r="F443" s="5"/>
      <c r="G443" s="5"/>
      <c r="H443" s="306"/>
      <c r="I443" s="5"/>
      <c r="J443" s="5"/>
      <c r="K443" s="5"/>
      <c r="L443" s="5"/>
      <c r="M443" s="5"/>
      <c r="N443" s="5"/>
      <c r="O443" s="57"/>
      <c r="P443" s="5"/>
      <c r="Q443" s="5"/>
      <c r="R443" s="5"/>
      <c r="S443" s="5"/>
      <c r="T443" s="5"/>
      <c r="U443" s="5"/>
      <c r="V443" s="5"/>
      <c r="W443" s="5"/>
      <c r="X443" s="5"/>
      <c r="Y443" s="5"/>
      <c r="Z443" s="5"/>
    </row>
    <row r="444" spans="1:26" ht="12.75" customHeight="1">
      <c r="A444" s="5"/>
      <c r="B444" s="5"/>
      <c r="C444" s="5"/>
      <c r="D444" s="5"/>
      <c r="E444" s="5"/>
      <c r="F444" s="5"/>
      <c r="G444" s="5"/>
      <c r="H444" s="306"/>
      <c r="I444" s="5"/>
      <c r="J444" s="5"/>
      <c r="K444" s="5"/>
      <c r="L444" s="5"/>
      <c r="M444" s="5"/>
      <c r="N444" s="5"/>
      <c r="O444" s="57"/>
      <c r="P444" s="5"/>
      <c r="Q444" s="5"/>
      <c r="R444" s="5"/>
      <c r="S444" s="5"/>
      <c r="T444" s="5"/>
      <c r="U444" s="5"/>
      <c r="V444" s="5"/>
      <c r="W444" s="5"/>
      <c r="X444" s="5"/>
      <c r="Y444" s="5"/>
      <c r="Z444" s="5"/>
    </row>
    <row r="445" spans="1:26" ht="12.75" customHeight="1">
      <c r="A445" s="5"/>
      <c r="B445" s="5"/>
      <c r="C445" s="5"/>
      <c r="D445" s="5"/>
      <c r="E445" s="5"/>
      <c r="F445" s="5"/>
      <c r="G445" s="5"/>
      <c r="H445" s="306"/>
      <c r="I445" s="5"/>
      <c r="J445" s="5"/>
      <c r="K445" s="5"/>
      <c r="L445" s="5"/>
      <c r="M445" s="5"/>
      <c r="N445" s="5"/>
      <c r="O445" s="57"/>
      <c r="P445" s="5"/>
      <c r="Q445" s="5"/>
      <c r="R445" s="5"/>
      <c r="S445" s="5"/>
      <c r="T445" s="5"/>
      <c r="U445" s="5"/>
      <c r="V445" s="5"/>
      <c r="W445" s="5"/>
      <c r="X445" s="5"/>
      <c r="Y445" s="5"/>
      <c r="Z445" s="5"/>
    </row>
    <row r="446" spans="1:26" ht="12.75" customHeight="1">
      <c r="A446" s="5"/>
      <c r="B446" s="5"/>
      <c r="C446" s="5"/>
      <c r="D446" s="5"/>
      <c r="E446" s="5"/>
      <c r="F446" s="5"/>
      <c r="G446" s="5"/>
      <c r="H446" s="306"/>
      <c r="I446" s="5"/>
      <c r="J446" s="5"/>
      <c r="K446" s="5"/>
      <c r="L446" s="5"/>
      <c r="M446" s="5"/>
      <c r="N446" s="5"/>
      <c r="O446" s="57"/>
      <c r="P446" s="5"/>
      <c r="Q446" s="5"/>
      <c r="R446" s="5"/>
      <c r="S446" s="5"/>
      <c r="T446" s="5"/>
      <c r="U446" s="5"/>
      <c r="V446" s="5"/>
      <c r="W446" s="5"/>
      <c r="X446" s="5"/>
      <c r="Y446" s="5"/>
      <c r="Z446" s="5"/>
    </row>
    <row r="447" spans="1:26" ht="12.75" customHeight="1">
      <c r="A447" s="5"/>
      <c r="B447" s="5"/>
      <c r="C447" s="5"/>
      <c r="D447" s="5"/>
      <c r="E447" s="5"/>
      <c r="F447" s="5"/>
      <c r="G447" s="5"/>
      <c r="H447" s="306"/>
      <c r="I447" s="5"/>
      <c r="J447" s="5"/>
      <c r="K447" s="5"/>
      <c r="L447" s="5"/>
      <c r="M447" s="5"/>
      <c r="N447" s="5"/>
      <c r="O447" s="57"/>
      <c r="P447" s="5"/>
      <c r="Q447" s="5"/>
      <c r="R447" s="5"/>
      <c r="S447" s="5"/>
      <c r="T447" s="5"/>
      <c r="U447" s="5"/>
      <c r="V447" s="5"/>
      <c r="W447" s="5"/>
      <c r="X447" s="5"/>
      <c r="Y447" s="5"/>
      <c r="Z447" s="5"/>
    </row>
    <row r="448" spans="1:26" ht="12.75" customHeight="1">
      <c r="A448" s="5"/>
      <c r="B448" s="5"/>
      <c r="C448" s="5"/>
      <c r="D448" s="5"/>
      <c r="E448" s="5"/>
      <c r="F448" s="5"/>
      <c r="G448" s="5"/>
      <c r="H448" s="306"/>
      <c r="I448" s="5"/>
      <c r="J448" s="5"/>
      <c r="K448" s="5"/>
      <c r="L448" s="5"/>
      <c r="M448" s="5"/>
      <c r="N448" s="5"/>
      <c r="O448" s="57"/>
      <c r="P448" s="5"/>
      <c r="Q448" s="5"/>
      <c r="R448" s="5"/>
      <c r="S448" s="5"/>
      <c r="T448" s="5"/>
      <c r="U448" s="5"/>
      <c r="V448" s="5"/>
      <c r="W448" s="5"/>
      <c r="X448" s="5"/>
      <c r="Y448" s="5"/>
      <c r="Z448" s="5"/>
    </row>
    <row r="449" spans="1:26" ht="12.75" customHeight="1">
      <c r="A449" s="5"/>
      <c r="B449" s="5"/>
      <c r="C449" s="5"/>
      <c r="D449" s="5"/>
      <c r="E449" s="5"/>
      <c r="F449" s="5"/>
      <c r="G449" s="5"/>
      <c r="H449" s="306"/>
      <c r="I449" s="5"/>
      <c r="J449" s="5"/>
      <c r="K449" s="5"/>
      <c r="L449" s="5"/>
      <c r="M449" s="5"/>
      <c r="N449" s="5"/>
      <c r="O449" s="57"/>
      <c r="P449" s="5"/>
      <c r="Q449" s="5"/>
      <c r="R449" s="5"/>
      <c r="S449" s="5"/>
      <c r="T449" s="5"/>
      <c r="U449" s="5"/>
      <c r="V449" s="5"/>
      <c r="W449" s="5"/>
      <c r="X449" s="5"/>
      <c r="Y449" s="5"/>
      <c r="Z449" s="5"/>
    </row>
    <row r="450" spans="1:26" ht="12.75" customHeight="1">
      <c r="A450" s="5"/>
      <c r="B450" s="5"/>
      <c r="C450" s="5"/>
      <c r="D450" s="5"/>
      <c r="E450" s="5"/>
      <c r="F450" s="5"/>
      <c r="G450" s="5"/>
      <c r="H450" s="306"/>
      <c r="I450" s="5"/>
      <c r="J450" s="5"/>
      <c r="K450" s="5"/>
      <c r="L450" s="5"/>
      <c r="M450" s="5"/>
      <c r="N450" s="5"/>
      <c r="O450" s="57"/>
      <c r="P450" s="5"/>
      <c r="Q450" s="5"/>
      <c r="R450" s="5"/>
      <c r="S450" s="5"/>
      <c r="T450" s="5"/>
      <c r="U450" s="5"/>
      <c r="V450" s="5"/>
      <c r="W450" s="5"/>
      <c r="X450" s="5"/>
      <c r="Y450" s="5"/>
      <c r="Z450" s="5"/>
    </row>
    <row r="451" spans="1:26" ht="12.75" customHeight="1">
      <c r="A451" s="5"/>
      <c r="B451" s="5"/>
      <c r="C451" s="5"/>
      <c r="D451" s="5"/>
      <c r="E451" s="5"/>
      <c r="F451" s="5"/>
      <c r="G451" s="5"/>
      <c r="H451" s="306"/>
      <c r="I451" s="5"/>
      <c r="J451" s="5"/>
      <c r="K451" s="5"/>
      <c r="L451" s="5"/>
      <c r="M451" s="5"/>
      <c r="N451" s="5"/>
      <c r="O451" s="57"/>
      <c r="P451" s="5"/>
      <c r="Q451" s="5"/>
      <c r="R451" s="5"/>
      <c r="S451" s="5"/>
      <c r="T451" s="5"/>
      <c r="U451" s="5"/>
      <c r="V451" s="5"/>
      <c r="W451" s="5"/>
      <c r="X451" s="5"/>
      <c r="Y451" s="5"/>
      <c r="Z451" s="5"/>
    </row>
    <row r="452" spans="1:26" ht="12.75" customHeight="1">
      <c r="A452" s="5"/>
      <c r="B452" s="5"/>
      <c r="C452" s="5"/>
      <c r="D452" s="5"/>
      <c r="E452" s="5"/>
      <c r="F452" s="5"/>
      <c r="G452" s="5"/>
      <c r="H452" s="306"/>
      <c r="I452" s="5"/>
      <c r="J452" s="5"/>
      <c r="K452" s="5"/>
      <c r="L452" s="5"/>
      <c r="M452" s="5"/>
      <c r="N452" s="5"/>
      <c r="O452" s="57"/>
      <c r="P452" s="5"/>
      <c r="Q452" s="5"/>
      <c r="R452" s="5"/>
      <c r="S452" s="5"/>
      <c r="T452" s="5"/>
      <c r="U452" s="5"/>
      <c r="V452" s="5"/>
      <c r="W452" s="5"/>
      <c r="X452" s="5"/>
      <c r="Y452" s="5"/>
      <c r="Z452" s="5"/>
    </row>
    <row r="453" spans="1:26" ht="12.75" customHeight="1">
      <c r="A453" s="5"/>
      <c r="B453" s="5"/>
      <c r="C453" s="5"/>
      <c r="D453" s="5"/>
      <c r="E453" s="5"/>
      <c r="F453" s="5"/>
      <c r="G453" s="5"/>
      <c r="H453" s="306"/>
      <c r="I453" s="5"/>
      <c r="J453" s="5"/>
      <c r="K453" s="5"/>
      <c r="L453" s="5"/>
      <c r="M453" s="5"/>
      <c r="N453" s="5"/>
      <c r="O453" s="57"/>
      <c r="P453" s="5"/>
      <c r="Q453" s="5"/>
      <c r="R453" s="5"/>
      <c r="S453" s="5"/>
      <c r="T453" s="5"/>
      <c r="U453" s="5"/>
      <c r="V453" s="5"/>
      <c r="W453" s="5"/>
      <c r="X453" s="5"/>
      <c r="Y453" s="5"/>
      <c r="Z453" s="5"/>
    </row>
    <row r="454" spans="1:26" ht="12.75" customHeight="1">
      <c r="A454" s="5"/>
      <c r="B454" s="5"/>
      <c r="C454" s="5"/>
      <c r="D454" s="5"/>
      <c r="E454" s="5"/>
      <c r="F454" s="5"/>
      <c r="G454" s="5"/>
      <c r="H454" s="306"/>
      <c r="I454" s="5"/>
      <c r="J454" s="5"/>
      <c r="K454" s="5"/>
      <c r="L454" s="5"/>
      <c r="M454" s="5"/>
      <c r="N454" s="5"/>
      <c r="O454" s="57"/>
      <c r="P454" s="5"/>
      <c r="Q454" s="5"/>
      <c r="R454" s="5"/>
      <c r="S454" s="5"/>
      <c r="T454" s="5"/>
      <c r="U454" s="5"/>
      <c r="V454" s="5"/>
      <c r="W454" s="5"/>
      <c r="X454" s="5"/>
      <c r="Y454" s="5"/>
      <c r="Z454" s="5"/>
    </row>
    <row r="455" spans="1:26" ht="12.75" customHeight="1">
      <c r="A455" s="5"/>
      <c r="B455" s="5"/>
      <c r="C455" s="5"/>
      <c r="D455" s="5"/>
      <c r="E455" s="5"/>
      <c r="F455" s="5"/>
      <c r="G455" s="5"/>
      <c r="H455" s="306"/>
      <c r="I455" s="5"/>
      <c r="J455" s="5"/>
      <c r="K455" s="5"/>
      <c r="L455" s="5"/>
      <c r="M455" s="5"/>
      <c r="N455" s="5"/>
      <c r="O455" s="57"/>
      <c r="P455" s="5"/>
      <c r="Q455" s="5"/>
      <c r="R455" s="5"/>
      <c r="S455" s="5"/>
      <c r="T455" s="5"/>
      <c r="U455" s="5"/>
      <c r="V455" s="5"/>
      <c r="W455" s="5"/>
      <c r="X455" s="5"/>
      <c r="Y455" s="5"/>
      <c r="Z455" s="5"/>
    </row>
    <row r="456" spans="1:26" ht="12.75" customHeight="1">
      <c r="A456" s="5"/>
      <c r="B456" s="5"/>
      <c r="C456" s="5"/>
      <c r="D456" s="5"/>
      <c r="E456" s="5"/>
      <c r="F456" s="5"/>
      <c r="G456" s="5"/>
      <c r="H456" s="306"/>
      <c r="I456" s="5"/>
      <c r="J456" s="5"/>
      <c r="K456" s="5"/>
      <c r="L456" s="5"/>
      <c r="M456" s="5"/>
      <c r="N456" s="5"/>
      <c r="O456" s="57"/>
      <c r="P456" s="5"/>
      <c r="Q456" s="5"/>
      <c r="R456" s="5"/>
      <c r="S456" s="5"/>
      <c r="T456" s="5"/>
      <c r="U456" s="5"/>
      <c r="V456" s="5"/>
      <c r="W456" s="5"/>
      <c r="X456" s="5"/>
      <c r="Y456" s="5"/>
      <c r="Z456" s="5"/>
    </row>
    <row r="457" spans="1:26" ht="12.75" customHeight="1">
      <c r="A457" s="5"/>
      <c r="B457" s="5"/>
      <c r="C457" s="5"/>
      <c r="D457" s="5"/>
      <c r="E457" s="5"/>
      <c r="F457" s="5"/>
      <c r="G457" s="5"/>
      <c r="H457" s="306"/>
      <c r="I457" s="5"/>
      <c r="J457" s="5"/>
      <c r="K457" s="5"/>
      <c r="L457" s="5"/>
      <c r="M457" s="5"/>
      <c r="N457" s="5"/>
      <c r="O457" s="57"/>
      <c r="P457" s="5"/>
      <c r="Q457" s="5"/>
      <c r="R457" s="5"/>
      <c r="S457" s="5"/>
      <c r="T457" s="5"/>
      <c r="U457" s="5"/>
      <c r="V457" s="5"/>
      <c r="W457" s="5"/>
      <c r="X457" s="5"/>
      <c r="Y457" s="5"/>
      <c r="Z457" s="5"/>
    </row>
    <row r="458" spans="1:26" ht="12.75" customHeight="1">
      <c r="A458" s="5"/>
      <c r="B458" s="5"/>
      <c r="C458" s="5"/>
      <c r="D458" s="5"/>
      <c r="E458" s="5"/>
      <c r="F458" s="5"/>
      <c r="G458" s="5"/>
      <c r="H458" s="306"/>
      <c r="I458" s="5"/>
      <c r="J458" s="5"/>
      <c r="K458" s="5"/>
      <c r="L458" s="5"/>
      <c r="M458" s="5"/>
      <c r="N458" s="5"/>
      <c r="O458" s="57"/>
      <c r="P458" s="5"/>
      <c r="Q458" s="5"/>
      <c r="R458" s="5"/>
      <c r="S458" s="5"/>
      <c r="T458" s="5"/>
      <c r="U458" s="5"/>
      <c r="V458" s="5"/>
      <c r="W458" s="5"/>
      <c r="X458" s="5"/>
      <c r="Y458" s="5"/>
      <c r="Z458" s="5"/>
    </row>
    <row r="459" spans="1:26" ht="12.75" customHeight="1">
      <c r="A459" s="5"/>
      <c r="B459" s="5"/>
      <c r="C459" s="5"/>
      <c r="D459" s="5"/>
      <c r="E459" s="5"/>
      <c r="F459" s="5"/>
      <c r="G459" s="5"/>
      <c r="H459" s="306"/>
      <c r="I459" s="5"/>
      <c r="J459" s="5"/>
      <c r="K459" s="5"/>
      <c r="L459" s="5"/>
      <c r="M459" s="5"/>
      <c r="N459" s="5"/>
      <c r="O459" s="57"/>
      <c r="P459" s="5"/>
      <c r="Q459" s="5"/>
      <c r="R459" s="5"/>
      <c r="S459" s="5"/>
      <c r="T459" s="5"/>
      <c r="U459" s="5"/>
      <c r="V459" s="5"/>
      <c r="W459" s="5"/>
      <c r="X459" s="5"/>
      <c r="Y459" s="5"/>
      <c r="Z459" s="5"/>
    </row>
    <row r="460" spans="1:26" ht="12.75" customHeight="1">
      <c r="A460" s="5"/>
      <c r="B460" s="5"/>
      <c r="C460" s="5"/>
      <c r="D460" s="5"/>
      <c r="E460" s="5"/>
      <c r="F460" s="5"/>
      <c r="G460" s="5"/>
      <c r="H460" s="306"/>
      <c r="I460" s="5"/>
      <c r="J460" s="5"/>
      <c r="K460" s="5"/>
      <c r="L460" s="5"/>
      <c r="M460" s="5"/>
      <c r="N460" s="5"/>
      <c r="O460" s="57"/>
      <c r="P460" s="5"/>
      <c r="Q460" s="5"/>
      <c r="R460" s="5"/>
      <c r="S460" s="5"/>
      <c r="T460" s="5"/>
      <c r="U460" s="5"/>
      <c r="V460" s="5"/>
      <c r="W460" s="5"/>
      <c r="X460" s="5"/>
      <c r="Y460" s="5"/>
      <c r="Z460" s="5"/>
    </row>
    <row r="461" spans="1:26" ht="12.75" customHeight="1">
      <c r="A461" s="5"/>
      <c r="B461" s="5"/>
      <c r="C461" s="5"/>
      <c r="D461" s="5"/>
      <c r="E461" s="5"/>
      <c r="F461" s="5"/>
      <c r="G461" s="5"/>
      <c r="H461" s="306"/>
      <c r="I461" s="5"/>
      <c r="J461" s="5"/>
      <c r="K461" s="5"/>
      <c r="L461" s="5"/>
      <c r="M461" s="5"/>
      <c r="N461" s="5"/>
      <c r="O461" s="57"/>
      <c r="P461" s="5"/>
      <c r="Q461" s="5"/>
      <c r="R461" s="5"/>
      <c r="S461" s="5"/>
      <c r="T461" s="5"/>
      <c r="U461" s="5"/>
      <c r="V461" s="5"/>
      <c r="W461" s="5"/>
      <c r="X461" s="5"/>
      <c r="Y461" s="5"/>
      <c r="Z461" s="5"/>
    </row>
    <row r="462" spans="1:26" ht="12.75" customHeight="1">
      <c r="A462" s="5"/>
      <c r="B462" s="5"/>
      <c r="C462" s="5"/>
      <c r="D462" s="5"/>
      <c r="E462" s="5"/>
      <c r="F462" s="5"/>
      <c r="G462" s="5"/>
      <c r="H462" s="306"/>
      <c r="I462" s="5"/>
      <c r="J462" s="5"/>
      <c r="K462" s="5"/>
      <c r="L462" s="5"/>
      <c r="M462" s="5"/>
      <c r="N462" s="5"/>
      <c r="O462" s="57"/>
      <c r="P462" s="5"/>
      <c r="Q462" s="5"/>
      <c r="R462" s="5"/>
      <c r="S462" s="5"/>
      <c r="T462" s="5"/>
      <c r="U462" s="5"/>
      <c r="V462" s="5"/>
      <c r="W462" s="5"/>
      <c r="X462" s="5"/>
      <c r="Y462" s="5"/>
      <c r="Z462" s="5"/>
    </row>
    <row r="463" spans="1:26" ht="12.75" customHeight="1">
      <c r="A463" s="5"/>
      <c r="B463" s="5"/>
      <c r="C463" s="5"/>
      <c r="D463" s="5"/>
      <c r="E463" s="5"/>
      <c r="F463" s="5"/>
      <c r="G463" s="5"/>
      <c r="H463" s="306"/>
      <c r="I463" s="5"/>
      <c r="J463" s="5"/>
      <c r="K463" s="5"/>
      <c r="L463" s="5"/>
      <c r="M463" s="5"/>
      <c r="N463" s="5"/>
      <c r="O463" s="57"/>
      <c r="P463" s="5"/>
      <c r="Q463" s="5"/>
      <c r="R463" s="5"/>
      <c r="S463" s="5"/>
      <c r="T463" s="5"/>
      <c r="U463" s="5"/>
      <c r="V463" s="5"/>
      <c r="W463" s="5"/>
      <c r="X463" s="5"/>
      <c r="Y463" s="5"/>
      <c r="Z463" s="5"/>
    </row>
    <row r="464" spans="1:26" ht="12.75" customHeight="1">
      <c r="A464" s="5"/>
      <c r="B464" s="5"/>
      <c r="C464" s="5"/>
      <c r="D464" s="5"/>
      <c r="E464" s="5"/>
      <c r="F464" s="5"/>
      <c r="G464" s="5"/>
      <c r="H464" s="306"/>
      <c r="I464" s="5"/>
      <c r="J464" s="5"/>
      <c r="K464" s="5"/>
      <c r="L464" s="5"/>
      <c r="M464" s="5"/>
      <c r="N464" s="5"/>
      <c r="O464" s="57"/>
      <c r="P464" s="5"/>
      <c r="Q464" s="5"/>
      <c r="R464" s="5"/>
      <c r="S464" s="5"/>
      <c r="T464" s="5"/>
      <c r="U464" s="5"/>
      <c r="V464" s="5"/>
      <c r="W464" s="5"/>
      <c r="X464" s="5"/>
      <c r="Y464" s="5"/>
      <c r="Z464" s="5"/>
    </row>
    <row r="465" spans="1:26" ht="12.75" customHeight="1">
      <c r="A465" s="5"/>
      <c r="B465" s="5"/>
      <c r="C465" s="5"/>
      <c r="D465" s="5"/>
      <c r="E465" s="5"/>
      <c r="F465" s="5"/>
      <c r="G465" s="5"/>
      <c r="H465" s="306"/>
      <c r="I465" s="5"/>
      <c r="J465" s="5"/>
      <c r="K465" s="5"/>
      <c r="L465" s="5"/>
      <c r="M465" s="5"/>
      <c r="N465" s="5"/>
      <c r="O465" s="57"/>
      <c r="P465" s="5"/>
      <c r="Q465" s="5"/>
      <c r="R465" s="5"/>
      <c r="S465" s="5"/>
      <c r="T465" s="5"/>
      <c r="U465" s="5"/>
      <c r="V465" s="5"/>
      <c r="W465" s="5"/>
      <c r="X465" s="5"/>
      <c r="Y465" s="5"/>
      <c r="Z465" s="5"/>
    </row>
    <row r="466" spans="1:26" ht="12.75" customHeight="1">
      <c r="A466" s="5"/>
      <c r="B466" s="5"/>
      <c r="C466" s="5"/>
      <c r="D466" s="5"/>
      <c r="E466" s="5"/>
      <c r="F466" s="5"/>
      <c r="G466" s="5"/>
      <c r="H466" s="306"/>
      <c r="I466" s="5"/>
      <c r="J466" s="5"/>
      <c r="K466" s="5"/>
      <c r="L466" s="5"/>
      <c r="M466" s="5"/>
      <c r="N466" s="5"/>
      <c r="O466" s="57"/>
      <c r="P466" s="5"/>
      <c r="Q466" s="5"/>
      <c r="R466" s="5"/>
      <c r="S466" s="5"/>
      <c r="T466" s="5"/>
      <c r="U466" s="5"/>
      <c r="V466" s="5"/>
      <c r="W466" s="5"/>
      <c r="X466" s="5"/>
      <c r="Y466" s="5"/>
      <c r="Z466" s="5"/>
    </row>
    <row r="467" spans="1:26" ht="12.75" customHeight="1">
      <c r="A467" s="5"/>
      <c r="B467" s="5"/>
      <c r="C467" s="5"/>
      <c r="D467" s="5"/>
      <c r="E467" s="5"/>
      <c r="F467" s="5"/>
      <c r="G467" s="5"/>
      <c r="H467" s="306"/>
      <c r="I467" s="5"/>
      <c r="J467" s="5"/>
      <c r="K467" s="5"/>
      <c r="L467" s="5"/>
      <c r="M467" s="5"/>
      <c r="N467" s="5"/>
      <c r="O467" s="57"/>
      <c r="P467" s="5"/>
      <c r="Q467" s="5"/>
      <c r="R467" s="5"/>
      <c r="S467" s="5"/>
      <c r="T467" s="5"/>
      <c r="U467" s="5"/>
      <c r="V467" s="5"/>
      <c r="W467" s="5"/>
      <c r="X467" s="5"/>
      <c r="Y467" s="5"/>
      <c r="Z467" s="5"/>
    </row>
    <row r="468" spans="1:26" ht="12.75" customHeight="1">
      <c r="A468" s="5"/>
      <c r="B468" s="5"/>
      <c r="C468" s="5"/>
      <c r="D468" s="5"/>
      <c r="E468" s="5"/>
      <c r="F468" s="5"/>
      <c r="G468" s="5"/>
      <c r="H468" s="306"/>
      <c r="I468" s="5"/>
      <c r="J468" s="5"/>
      <c r="K468" s="5"/>
      <c r="L468" s="5"/>
      <c r="M468" s="5"/>
      <c r="N468" s="5"/>
      <c r="O468" s="57"/>
      <c r="P468" s="5"/>
      <c r="Q468" s="5"/>
      <c r="R468" s="5"/>
      <c r="S468" s="5"/>
      <c r="T468" s="5"/>
      <c r="U468" s="5"/>
      <c r="V468" s="5"/>
      <c r="W468" s="5"/>
      <c r="X468" s="5"/>
      <c r="Y468" s="5"/>
      <c r="Z468" s="5"/>
    </row>
    <row r="469" spans="1:26" ht="12.75" customHeight="1">
      <c r="A469" s="5"/>
      <c r="B469" s="5"/>
      <c r="C469" s="5"/>
      <c r="D469" s="5"/>
      <c r="E469" s="5"/>
      <c r="F469" s="5"/>
      <c r="G469" s="5"/>
      <c r="H469" s="306"/>
      <c r="I469" s="5"/>
      <c r="J469" s="5"/>
      <c r="K469" s="5"/>
      <c r="L469" s="5"/>
      <c r="M469" s="5"/>
      <c r="N469" s="5"/>
      <c r="O469" s="57"/>
      <c r="P469" s="5"/>
      <c r="Q469" s="5"/>
      <c r="R469" s="5"/>
      <c r="S469" s="5"/>
      <c r="T469" s="5"/>
      <c r="U469" s="5"/>
      <c r="V469" s="5"/>
      <c r="W469" s="5"/>
      <c r="X469" s="5"/>
      <c r="Y469" s="5"/>
      <c r="Z469" s="5"/>
    </row>
    <row r="470" spans="1:26" ht="12.75" customHeight="1">
      <c r="A470" s="5"/>
      <c r="B470" s="5"/>
      <c r="C470" s="5"/>
      <c r="D470" s="5"/>
      <c r="E470" s="5"/>
      <c r="F470" s="5"/>
      <c r="G470" s="5"/>
      <c r="H470" s="306"/>
      <c r="I470" s="5"/>
      <c r="J470" s="5"/>
      <c r="K470" s="5"/>
      <c r="L470" s="5"/>
      <c r="M470" s="5"/>
      <c r="N470" s="5"/>
      <c r="O470" s="57"/>
      <c r="P470" s="5"/>
      <c r="Q470" s="5"/>
      <c r="R470" s="5"/>
      <c r="S470" s="5"/>
      <c r="T470" s="5"/>
      <c r="U470" s="5"/>
      <c r="V470" s="5"/>
      <c r="W470" s="5"/>
      <c r="X470" s="5"/>
      <c r="Y470" s="5"/>
      <c r="Z470" s="5"/>
    </row>
    <row r="471" spans="1:26" ht="12.75" customHeight="1">
      <c r="A471" s="5"/>
      <c r="B471" s="5"/>
      <c r="C471" s="5"/>
      <c r="D471" s="5"/>
      <c r="E471" s="5"/>
      <c r="F471" s="5"/>
      <c r="G471" s="5"/>
      <c r="H471" s="306"/>
      <c r="I471" s="5"/>
      <c r="J471" s="5"/>
      <c r="K471" s="5"/>
      <c r="L471" s="5"/>
      <c r="M471" s="5"/>
      <c r="N471" s="5"/>
      <c r="O471" s="57"/>
      <c r="P471" s="5"/>
      <c r="Q471" s="5"/>
      <c r="R471" s="5"/>
      <c r="S471" s="5"/>
      <c r="T471" s="5"/>
      <c r="U471" s="5"/>
      <c r="V471" s="5"/>
      <c r="W471" s="5"/>
      <c r="X471" s="5"/>
      <c r="Y471" s="5"/>
      <c r="Z471" s="5"/>
    </row>
    <row r="472" spans="1:26" ht="12.75" customHeight="1">
      <c r="A472" s="5"/>
      <c r="B472" s="5"/>
      <c r="C472" s="5"/>
      <c r="D472" s="5"/>
      <c r="E472" s="5"/>
      <c r="F472" s="5"/>
      <c r="G472" s="5"/>
      <c r="H472" s="306"/>
      <c r="I472" s="5"/>
      <c r="J472" s="5"/>
      <c r="K472" s="5"/>
      <c r="L472" s="5"/>
      <c r="M472" s="5"/>
      <c r="N472" s="5"/>
      <c r="O472" s="57"/>
      <c r="P472" s="5"/>
      <c r="Q472" s="5"/>
      <c r="R472" s="5"/>
      <c r="S472" s="5"/>
      <c r="T472" s="5"/>
      <c r="U472" s="5"/>
      <c r="V472" s="5"/>
      <c r="W472" s="5"/>
      <c r="X472" s="5"/>
      <c r="Y472" s="5"/>
      <c r="Z472" s="5"/>
    </row>
    <row r="473" spans="1:26" ht="12.75" customHeight="1">
      <c r="A473" s="5"/>
      <c r="B473" s="5"/>
      <c r="C473" s="5"/>
      <c r="D473" s="5"/>
      <c r="E473" s="5"/>
      <c r="F473" s="5"/>
      <c r="G473" s="5"/>
      <c r="H473" s="306"/>
      <c r="I473" s="5"/>
      <c r="J473" s="5"/>
      <c r="K473" s="5"/>
      <c r="L473" s="5"/>
      <c r="M473" s="5"/>
      <c r="N473" s="5"/>
      <c r="O473" s="57"/>
      <c r="P473" s="5"/>
      <c r="Q473" s="5"/>
      <c r="R473" s="5"/>
      <c r="S473" s="5"/>
      <c r="T473" s="5"/>
      <c r="U473" s="5"/>
      <c r="V473" s="5"/>
      <c r="W473" s="5"/>
      <c r="X473" s="5"/>
      <c r="Y473" s="5"/>
      <c r="Z473" s="5"/>
    </row>
    <row r="474" spans="1:26" ht="12.75" customHeight="1">
      <c r="A474" s="5"/>
      <c r="B474" s="5"/>
      <c r="C474" s="5"/>
      <c r="D474" s="5"/>
      <c r="E474" s="5"/>
      <c r="F474" s="5"/>
      <c r="G474" s="5"/>
      <c r="H474" s="306"/>
      <c r="I474" s="5"/>
      <c r="J474" s="5"/>
      <c r="K474" s="5"/>
      <c r="L474" s="5"/>
      <c r="M474" s="5"/>
      <c r="N474" s="5"/>
      <c r="O474" s="57"/>
      <c r="P474" s="5"/>
      <c r="Q474" s="5"/>
      <c r="R474" s="5"/>
      <c r="S474" s="5"/>
      <c r="T474" s="5"/>
      <c r="U474" s="5"/>
      <c r="V474" s="5"/>
      <c r="W474" s="5"/>
      <c r="X474" s="5"/>
      <c r="Y474" s="5"/>
      <c r="Z474" s="5"/>
    </row>
    <row r="475" spans="1:26" ht="12.75" customHeight="1">
      <c r="A475" s="5"/>
      <c r="B475" s="5"/>
      <c r="C475" s="5"/>
      <c r="D475" s="5"/>
      <c r="E475" s="5"/>
      <c r="F475" s="5"/>
      <c r="G475" s="5"/>
      <c r="H475" s="306"/>
      <c r="I475" s="5"/>
      <c r="J475" s="5"/>
      <c r="K475" s="5"/>
      <c r="L475" s="5"/>
      <c r="M475" s="5"/>
      <c r="N475" s="5"/>
      <c r="O475" s="57"/>
      <c r="P475" s="5"/>
      <c r="Q475" s="5"/>
      <c r="R475" s="5"/>
      <c r="S475" s="5"/>
      <c r="T475" s="5"/>
      <c r="U475" s="5"/>
      <c r="V475" s="5"/>
      <c r="W475" s="5"/>
      <c r="X475" s="5"/>
      <c r="Y475" s="5"/>
      <c r="Z475" s="5"/>
    </row>
    <row r="476" spans="1:26" ht="12.75" customHeight="1">
      <c r="A476" s="5"/>
      <c r="B476" s="5"/>
      <c r="C476" s="5"/>
      <c r="D476" s="5"/>
      <c r="E476" s="5"/>
      <c r="F476" s="5"/>
      <c r="G476" s="5"/>
      <c r="H476" s="306"/>
      <c r="I476" s="5"/>
      <c r="J476" s="5"/>
      <c r="K476" s="5"/>
      <c r="L476" s="5"/>
      <c r="M476" s="5"/>
      <c r="N476" s="5"/>
      <c r="O476" s="57"/>
      <c r="P476" s="5"/>
      <c r="Q476" s="5"/>
      <c r="R476" s="5"/>
      <c r="S476" s="5"/>
      <c r="T476" s="5"/>
      <c r="U476" s="5"/>
      <c r="V476" s="5"/>
      <c r="W476" s="5"/>
      <c r="X476" s="5"/>
      <c r="Y476" s="5"/>
      <c r="Z476" s="5"/>
    </row>
    <row r="477" spans="1:26" ht="12.75" customHeight="1">
      <c r="A477" s="5"/>
      <c r="B477" s="5"/>
      <c r="C477" s="5"/>
      <c r="D477" s="5"/>
      <c r="E477" s="5"/>
      <c r="F477" s="5"/>
      <c r="G477" s="5"/>
      <c r="H477" s="306"/>
      <c r="I477" s="5"/>
      <c r="J477" s="5"/>
      <c r="K477" s="5"/>
      <c r="L477" s="5"/>
      <c r="M477" s="5"/>
      <c r="N477" s="5"/>
      <c r="O477" s="57"/>
      <c r="P477" s="5"/>
      <c r="Q477" s="5"/>
      <c r="R477" s="5"/>
      <c r="S477" s="5"/>
      <c r="T477" s="5"/>
      <c r="U477" s="5"/>
      <c r="V477" s="5"/>
      <c r="W477" s="5"/>
      <c r="X477" s="5"/>
      <c r="Y477" s="5"/>
      <c r="Z477" s="5"/>
    </row>
    <row r="478" spans="1:26" ht="12.75" customHeight="1">
      <c r="A478" s="5"/>
      <c r="B478" s="5"/>
      <c r="C478" s="5"/>
      <c r="D478" s="5"/>
      <c r="E478" s="5"/>
      <c r="F478" s="5"/>
      <c r="G478" s="5"/>
      <c r="H478" s="306"/>
      <c r="I478" s="5"/>
      <c r="J478" s="5"/>
      <c r="K478" s="5"/>
      <c r="L478" s="5"/>
      <c r="M478" s="5"/>
      <c r="N478" s="5"/>
      <c r="O478" s="57"/>
      <c r="P478" s="5"/>
      <c r="Q478" s="5"/>
      <c r="R478" s="5"/>
      <c r="S478" s="5"/>
      <c r="T478" s="5"/>
      <c r="U478" s="5"/>
      <c r="V478" s="5"/>
      <c r="W478" s="5"/>
      <c r="X478" s="5"/>
      <c r="Y478" s="5"/>
      <c r="Z478" s="5"/>
    </row>
    <row r="479" spans="1:26" ht="12.75" customHeight="1">
      <c r="A479" s="5"/>
      <c r="B479" s="5"/>
      <c r="C479" s="5"/>
      <c r="D479" s="5"/>
      <c r="E479" s="5"/>
      <c r="F479" s="5"/>
      <c r="G479" s="5"/>
      <c r="H479" s="306"/>
      <c r="I479" s="5"/>
      <c r="J479" s="5"/>
      <c r="K479" s="5"/>
      <c r="L479" s="5"/>
      <c r="M479" s="5"/>
      <c r="N479" s="5"/>
      <c r="O479" s="57"/>
      <c r="P479" s="5"/>
      <c r="Q479" s="5"/>
      <c r="R479" s="5"/>
      <c r="S479" s="5"/>
      <c r="T479" s="5"/>
      <c r="U479" s="5"/>
      <c r="V479" s="5"/>
      <c r="W479" s="5"/>
      <c r="X479" s="5"/>
      <c r="Y479" s="5"/>
      <c r="Z479" s="5"/>
    </row>
    <row r="480" spans="1:26" ht="12.75" customHeight="1">
      <c r="A480" s="5"/>
      <c r="B480" s="5"/>
      <c r="C480" s="5"/>
      <c r="D480" s="5"/>
      <c r="E480" s="5"/>
      <c r="F480" s="5"/>
      <c r="G480" s="5"/>
      <c r="H480" s="306"/>
      <c r="I480" s="5"/>
      <c r="J480" s="5"/>
      <c r="K480" s="5"/>
      <c r="L480" s="5"/>
      <c r="M480" s="5"/>
      <c r="N480" s="5"/>
      <c r="O480" s="57"/>
      <c r="P480" s="5"/>
      <c r="Q480" s="5"/>
      <c r="R480" s="5"/>
      <c r="S480" s="5"/>
      <c r="T480" s="5"/>
      <c r="U480" s="5"/>
      <c r="V480" s="5"/>
      <c r="W480" s="5"/>
      <c r="X480" s="5"/>
      <c r="Y480" s="5"/>
      <c r="Z480" s="5"/>
    </row>
    <row r="481" spans="1:26" ht="12.75" customHeight="1">
      <c r="A481" s="5"/>
      <c r="B481" s="5"/>
      <c r="C481" s="5"/>
      <c r="D481" s="5"/>
      <c r="E481" s="5"/>
      <c r="F481" s="5"/>
      <c r="G481" s="5"/>
      <c r="H481" s="306"/>
      <c r="I481" s="5"/>
      <c r="J481" s="5"/>
      <c r="K481" s="5"/>
      <c r="L481" s="5"/>
      <c r="M481" s="5"/>
      <c r="N481" s="5"/>
      <c r="O481" s="57"/>
      <c r="P481" s="5"/>
      <c r="Q481" s="5"/>
      <c r="R481" s="5"/>
      <c r="S481" s="5"/>
      <c r="T481" s="5"/>
      <c r="U481" s="5"/>
      <c r="V481" s="5"/>
      <c r="W481" s="5"/>
      <c r="X481" s="5"/>
      <c r="Y481" s="5"/>
      <c r="Z481" s="5"/>
    </row>
    <row r="482" spans="1:26" ht="12.75" customHeight="1">
      <c r="A482" s="5"/>
      <c r="B482" s="5"/>
      <c r="C482" s="5"/>
      <c r="D482" s="5"/>
      <c r="E482" s="5"/>
      <c r="F482" s="5"/>
      <c r="G482" s="5"/>
      <c r="H482" s="306"/>
      <c r="I482" s="5"/>
      <c r="J482" s="5"/>
      <c r="K482" s="5"/>
      <c r="L482" s="5"/>
      <c r="M482" s="5"/>
      <c r="N482" s="5"/>
      <c r="O482" s="57"/>
      <c r="P482" s="5"/>
      <c r="Q482" s="5"/>
      <c r="R482" s="5"/>
      <c r="S482" s="5"/>
      <c r="T482" s="5"/>
      <c r="U482" s="5"/>
      <c r="V482" s="5"/>
      <c r="W482" s="5"/>
      <c r="X482" s="5"/>
      <c r="Y482" s="5"/>
      <c r="Z482" s="5"/>
    </row>
    <row r="483" spans="1:26" ht="12.75" customHeight="1">
      <c r="A483" s="5"/>
      <c r="B483" s="5"/>
      <c r="C483" s="5"/>
      <c r="D483" s="5"/>
      <c r="E483" s="5"/>
      <c r="F483" s="5"/>
      <c r="G483" s="5"/>
      <c r="H483" s="306"/>
      <c r="I483" s="5"/>
      <c r="J483" s="5"/>
      <c r="K483" s="5"/>
      <c r="L483" s="5"/>
      <c r="M483" s="5"/>
      <c r="N483" s="5"/>
      <c r="O483" s="57"/>
      <c r="P483" s="5"/>
      <c r="Q483" s="5"/>
      <c r="R483" s="5"/>
      <c r="S483" s="5"/>
      <c r="T483" s="5"/>
      <c r="U483" s="5"/>
      <c r="V483" s="5"/>
      <c r="W483" s="5"/>
      <c r="X483" s="5"/>
      <c r="Y483" s="5"/>
      <c r="Z483" s="5"/>
    </row>
    <row r="484" spans="1:26" ht="12.75" customHeight="1">
      <c r="A484" s="5"/>
      <c r="B484" s="5"/>
      <c r="C484" s="5"/>
      <c r="D484" s="5"/>
      <c r="E484" s="5"/>
      <c r="F484" s="5"/>
      <c r="G484" s="5"/>
      <c r="H484" s="306"/>
      <c r="I484" s="5"/>
      <c r="J484" s="5"/>
      <c r="K484" s="5"/>
      <c r="L484" s="5"/>
      <c r="M484" s="5"/>
      <c r="N484" s="5"/>
      <c r="O484" s="57"/>
      <c r="P484" s="5"/>
      <c r="Q484" s="5"/>
      <c r="R484" s="5"/>
      <c r="S484" s="5"/>
      <c r="T484" s="5"/>
      <c r="U484" s="5"/>
      <c r="V484" s="5"/>
      <c r="W484" s="5"/>
      <c r="X484" s="5"/>
      <c r="Y484" s="5"/>
      <c r="Z484" s="5"/>
    </row>
    <row r="485" spans="1:26" ht="12.75" customHeight="1">
      <c r="A485" s="5"/>
      <c r="B485" s="5"/>
      <c r="C485" s="5"/>
      <c r="D485" s="5"/>
      <c r="E485" s="5"/>
      <c r="F485" s="5"/>
      <c r="G485" s="5"/>
      <c r="H485" s="306"/>
      <c r="I485" s="5"/>
      <c r="J485" s="5"/>
      <c r="K485" s="5"/>
      <c r="L485" s="5"/>
      <c r="M485" s="5"/>
      <c r="N485" s="5"/>
      <c r="O485" s="57"/>
      <c r="P485" s="5"/>
      <c r="Q485" s="5"/>
      <c r="R485" s="5"/>
      <c r="S485" s="5"/>
      <c r="T485" s="5"/>
      <c r="U485" s="5"/>
      <c r="V485" s="5"/>
      <c r="W485" s="5"/>
      <c r="X485" s="5"/>
      <c r="Y485" s="5"/>
      <c r="Z485" s="5"/>
    </row>
    <row r="486" spans="1:26" ht="12.75" customHeight="1">
      <c r="A486" s="5"/>
      <c r="B486" s="5"/>
      <c r="C486" s="5"/>
      <c r="D486" s="5"/>
      <c r="E486" s="5"/>
      <c r="F486" s="5"/>
      <c r="G486" s="5"/>
      <c r="H486" s="306"/>
      <c r="I486" s="5"/>
      <c r="J486" s="5"/>
      <c r="K486" s="5"/>
      <c r="L486" s="5"/>
      <c r="M486" s="5"/>
      <c r="N486" s="5"/>
      <c r="O486" s="57"/>
      <c r="P486" s="5"/>
      <c r="Q486" s="5"/>
      <c r="R486" s="5"/>
      <c r="S486" s="5"/>
      <c r="T486" s="5"/>
      <c r="U486" s="5"/>
      <c r="V486" s="5"/>
      <c r="W486" s="5"/>
      <c r="X486" s="5"/>
      <c r="Y486" s="5"/>
      <c r="Z486" s="5"/>
    </row>
    <row r="487" spans="1:26" ht="12.75" customHeight="1">
      <c r="A487" s="5"/>
      <c r="B487" s="5"/>
      <c r="C487" s="5"/>
      <c r="D487" s="5"/>
      <c r="E487" s="5"/>
      <c r="F487" s="5"/>
      <c r="G487" s="5"/>
      <c r="H487" s="306"/>
      <c r="I487" s="5"/>
      <c r="J487" s="5"/>
      <c r="K487" s="5"/>
      <c r="L487" s="5"/>
      <c r="M487" s="5"/>
      <c r="N487" s="5"/>
      <c r="O487" s="57"/>
      <c r="P487" s="5"/>
      <c r="Q487" s="5"/>
      <c r="R487" s="5"/>
      <c r="S487" s="5"/>
      <c r="T487" s="5"/>
      <c r="U487" s="5"/>
      <c r="V487" s="5"/>
      <c r="W487" s="5"/>
      <c r="X487" s="5"/>
      <c r="Y487" s="5"/>
      <c r="Z487" s="5"/>
    </row>
    <row r="488" spans="1:26" ht="12.75" customHeight="1">
      <c r="A488" s="5"/>
      <c r="B488" s="5"/>
      <c r="C488" s="5"/>
      <c r="D488" s="5"/>
      <c r="E488" s="5"/>
      <c r="F488" s="5"/>
      <c r="G488" s="5"/>
      <c r="H488" s="306"/>
      <c r="I488" s="5"/>
      <c r="J488" s="5"/>
      <c r="K488" s="5"/>
      <c r="L488" s="5"/>
      <c r="M488" s="5"/>
      <c r="N488" s="5"/>
      <c r="O488" s="57"/>
      <c r="P488" s="5"/>
      <c r="Q488" s="5"/>
      <c r="R488" s="5"/>
      <c r="S488" s="5"/>
      <c r="T488" s="5"/>
      <c r="U488" s="5"/>
      <c r="V488" s="5"/>
      <c r="W488" s="5"/>
      <c r="X488" s="5"/>
      <c r="Y488" s="5"/>
      <c r="Z488" s="5"/>
    </row>
    <row r="489" spans="1:26" ht="12.75" customHeight="1">
      <c r="A489" s="5"/>
      <c r="B489" s="5"/>
      <c r="C489" s="5"/>
      <c r="D489" s="5"/>
      <c r="E489" s="5"/>
      <c r="F489" s="5"/>
      <c r="G489" s="5"/>
      <c r="H489" s="306"/>
      <c r="I489" s="5"/>
      <c r="J489" s="5"/>
      <c r="K489" s="5"/>
      <c r="L489" s="5"/>
      <c r="M489" s="5"/>
      <c r="N489" s="5"/>
      <c r="O489" s="57"/>
      <c r="P489" s="5"/>
      <c r="Q489" s="5"/>
      <c r="R489" s="5"/>
      <c r="S489" s="5"/>
      <c r="T489" s="5"/>
      <c r="U489" s="5"/>
      <c r="V489" s="5"/>
      <c r="W489" s="5"/>
      <c r="X489" s="5"/>
      <c r="Y489" s="5"/>
      <c r="Z489" s="5"/>
    </row>
    <row r="490" spans="1:26" ht="12.75" customHeight="1">
      <c r="A490" s="5"/>
      <c r="B490" s="5"/>
      <c r="C490" s="5"/>
      <c r="D490" s="5"/>
      <c r="E490" s="5"/>
      <c r="F490" s="5"/>
      <c r="G490" s="5"/>
      <c r="H490" s="306"/>
      <c r="I490" s="5"/>
      <c r="J490" s="5"/>
      <c r="K490" s="5"/>
      <c r="L490" s="5"/>
      <c r="M490" s="5"/>
      <c r="N490" s="5"/>
      <c r="O490" s="57"/>
      <c r="P490" s="5"/>
      <c r="Q490" s="5"/>
      <c r="R490" s="5"/>
      <c r="S490" s="5"/>
      <c r="T490" s="5"/>
      <c r="U490" s="5"/>
      <c r="V490" s="5"/>
      <c r="W490" s="5"/>
      <c r="X490" s="5"/>
      <c r="Y490" s="5"/>
      <c r="Z490" s="5"/>
    </row>
    <row r="491" spans="1:26" ht="12.75" customHeight="1">
      <c r="A491" s="5"/>
      <c r="B491" s="5"/>
      <c r="C491" s="5"/>
      <c r="D491" s="5"/>
      <c r="E491" s="5"/>
      <c r="F491" s="5"/>
      <c r="G491" s="5"/>
      <c r="H491" s="306"/>
      <c r="I491" s="5"/>
      <c r="J491" s="5"/>
      <c r="K491" s="5"/>
      <c r="L491" s="5"/>
      <c r="M491" s="5"/>
      <c r="N491" s="5"/>
      <c r="O491" s="57"/>
      <c r="P491" s="5"/>
      <c r="Q491" s="5"/>
      <c r="R491" s="5"/>
      <c r="S491" s="5"/>
      <c r="T491" s="5"/>
      <c r="U491" s="5"/>
      <c r="V491" s="5"/>
      <c r="W491" s="5"/>
      <c r="X491" s="5"/>
      <c r="Y491" s="5"/>
      <c r="Z491" s="5"/>
    </row>
    <row r="492" spans="1:26" ht="12.75" customHeight="1">
      <c r="A492" s="5"/>
      <c r="B492" s="5"/>
      <c r="C492" s="5"/>
      <c r="D492" s="5"/>
      <c r="E492" s="5"/>
      <c r="F492" s="5"/>
      <c r="G492" s="5"/>
      <c r="H492" s="306"/>
      <c r="I492" s="5"/>
      <c r="J492" s="5"/>
      <c r="K492" s="5"/>
      <c r="L492" s="5"/>
      <c r="M492" s="5"/>
      <c r="N492" s="5"/>
      <c r="O492" s="57"/>
      <c r="P492" s="5"/>
      <c r="Q492" s="5"/>
      <c r="R492" s="5"/>
      <c r="S492" s="5"/>
      <c r="T492" s="5"/>
      <c r="U492" s="5"/>
      <c r="V492" s="5"/>
      <c r="W492" s="5"/>
      <c r="X492" s="5"/>
      <c r="Y492" s="5"/>
      <c r="Z492" s="5"/>
    </row>
    <row r="493" spans="1:26" ht="12.75" customHeight="1">
      <c r="A493" s="5"/>
      <c r="B493" s="5"/>
      <c r="C493" s="5"/>
      <c r="D493" s="5"/>
      <c r="E493" s="5"/>
      <c r="F493" s="5"/>
      <c r="G493" s="5"/>
      <c r="H493" s="306"/>
      <c r="I493" s="5"/>
      <c r="J493" s="5"/>
      <c r="K493" s="5"/>
      <c r="L493" s="5"/>
      <c r="M493" s="5"/>
      <c r="N493" s="5"/>
      <c r="O493" s="57"/>
      <c r="P493" s="5"/>
      <c r="Q493" s="5"/>
      <c r="R493" s="5"/>
      <c r="S493" s="5"/>
      <c r="T493" s="5"/>
      <c r="U493" s="5"/>
      <c r="V493" s="5"/>
      <c r="W493" s="5"/>
      <c r="X493" s="5"/>
      <c r="Y493" s="5"/>
      <c r="Z493" s="5"/>
    </row>
    <row r="494" spans="1:26" ht="12.75" customHeight="1">
      <c r="A494" s="5"/>
      <c r="B494" s="5"/>
      <c r="C494" s="5"/>
      <c r="D494" s="5"/>
      <c r="E494" s="5"/>
      <c r="F494" s="5"/>
      <c r="G494" s="5"/>
      <c r="H494" s="306"/>
      <c r="I494" s="5"/>
      <c r="J494" s="5"/>
      <c r="K494" s="5"/>
      <c r="L494" s="5"/>
      <c r="M494" s="5"/>
      <c r="N494" s="5"/>
      <c r="O494" s="57"/>
      <c r="P494" s="5"/>
      <c r="Q494" s="5"/>
      <c r="R494" s="5"/>
      <c r="S494" s="5"/>
      <c r="T494" s="5"/>
      <c r="U494" s="5"/>
      <c r="V494" s="5"/>
      <c r="W494" s="5"/>
      <c r="X494" s="5"/>
      <c r="Y494" s="5"/>
      <c r="Z494" s="5"/>
    </row>
    <row r="495" spans="1:26" ht="12.75" customHeight="1">
      <c r="A495" s="5"/>
      <c r="B495" s="5"/>
      <c r="C495" s="5"/>
      <c r="D495" s="5"/>
      <c r="E495" s="5"/>
      <c r="F495" s="5"/>
      <c r="G495" s="5"/>
      <c r="H495" s="306"/>
      <c r="I495" s="5"/>
      <c r="J495" s="5"/>
      <c r="K495" s="5"/>
      <c r="L495" s="5"/>
      <c r="M495" s="5"/>
      <c r="N495" s="5"/>
      <c r="O495" s="57"/>
      <c r="P495" s="5"/>
      <c r="Q495" s="5"/>
      <c r="R495" s="5"/>
      <c r="S495" s="5"/>
      <c r="T495" s="5"/>
      <c r="U495" s="5"/>
      <c r="V495" s="5"/>
      <c r="W495" s="5"/>
      <c r="X495" s="5"/>
      <c r="Y495" s="5"/>
      <c r="Z495" s="5"/>
    </row>
    <row r="496" spans="1:26" ht="12.75" customHeight="1">
      <c r="A496" s="5"/>
      <c r="B496" s="5"/>
      <c r="C496" s="5"/>
      <c r="D496" s="5"/>
      <c r="E496" s="5"/>
      <c r="F496" s="5"/>
      <c r="G496" s="5"/>
      <c r="H496" s="306"/>
      <c r="I496" s="5"/>
      <c r="J496" s="5"/>
      <c r="K496" s="5"/>
      <c r="L496" s="5"/>
      <c r="M496" s="5"/>
      <c r="N496" s="5"/>
      <c r="O496" s="57"/>
      <c r="P496" s="5"/>
      <c r="Q496" s="5"/>
      <c r="R496" s="5"/>
      <c r="S496" s="5"/>
      <c r="T496" s="5"/>
      <c r="U496" s="5"/>
      <c r="V496" s="5"/>
      <c r="W496" s="5"/>
      <c r="X496" s="5"/>
      <c r="Y496" s="5"/>
      <c r="Z496" s="5"/>
    </row>
    <row r="497" spans="1:26" ht="12.75" customHeight="1">
      <c r="A497" s="5"/>
      <c r="B497" s="5"/>
      <c r="C497" s="5"/>
      <c r="D497" s="5"/>
      <c r="E497" s="5"/>
      <c r="F497" s="5"/>
      <c r="G497" s="5"/>
      <c r="H497" s="306"/>
      <c r="I497" s="5"/>
      <c r="J497" s="5"/>
      <c r="K497" s="5"/>
      <c r="L497" s="5"/>
      <c r="M497" s="5"/>
      <c r="N497" s="5"/>
      <c r="O497" s="57"/>
      <c r="P497" s="5"/>
      <c r="Q497" s="5"/>
      <c r="R497" s="5"/>
      <c r="S497" s="5"/>
      <c r="T497" s="5"/>
      <c r="U497" s="5"/>
      <c r="V497" s="5"/>
      <c r="W497" s="5"/>
      <c r="X497" s="5"/>
      <c r="Y497" s="5"/>
      <c r="Z497" s="5"/>
    </row>
    <row r="498" spans="1:26" ht="12.75" customHeight="1">
      <c r="A498" s="5"/>
      <c r="B498" s="5"/>
      <c r="C498" s="5"/>
      <c r="D498" s="5"/>
      <c r="E498" s="5"/>
      <c r="F498" s="5"/>
      <c r="G498" s="5"/>
      <c r="H498" s="306"/>
      <c r="I498" s="5"/>
      <c r="J498" s="5"/>
      <c r="K498" s="5"/>
      <c r="L498" s="5"/>
      <c r="M498" s="5"/>
      <c r="N498" s="5"/>
      <c r="O498" s="57"/>
      <c r="P498" s="5"/>
      <c r="Q498" s="5"/>
      <c r="R498" s="5"/>
      <c r="S498" s="5"/>
      <c r="T498" s="5"/>
      <c r="U498" s="5"/>
      <c r="V498" s="5"/>
      <c r="W498" s="5"/>
      <c r="X498" s="5"/>
      <c r="Y498" s="5"/>
      <c r="Z498" s="5"/>
    </row>
    <row r="499" spans="1:26" ht="12.75" customHeight="1">
      <c r="A499" s="5"/>
      <c r="B499" s="5"/>
      <c r="C499" s="5"/>
      <c r="D499" s="5"/>
      <c r="E499" s="5"/>
      <c r="F499" s="5"/>
      <c r="G499" s="5"/>
      <c r="H499" s="306"/>
      <c r="I499" s="5"/>
      <c r="J499" s="5"/>
      <c r="K499" s="5"/>
      <c r="L499" s="5"/>
      <c r="M499" s="5"/>
      <c r="N499" s="5"/>
      <c r="O499" s="57"/>
      <c r="P499" s="5"/>
      <c r="Q499" s="5"/>
      <c r="R499" s="5"/>
      <c r="S499" s="5"/>
      <c r="T499" s="5"/>
      <c r="U499" s="5"/>
      <c r="V499" s="5"/>
      <c r="W499" s="5"/>
      <c r="X499" s="5"/>
      <c r="Y499" s="5"/>
      <c r="Z499" s="5"/>
    </row>
    <row r="500" spans="1:26" ht="12.75" customHeight="1">
      <c r="A500" s="5"/>
      <c r="B500" s="5"/>
      <c r="C500" s="5"/>
      <c r="D500" s="5"/>
      <c r="E500" s="5"/>
      <c r="F500" s="5"/>
      <c r="G500" s="5"/>
      <c r="H500" s="306"/>
      <c r="I500" s="5"/>
      <c r="J500" s="5"/>
      <c r="K500" s="5"/>
      <c r="L500" s="5"/>
      <c r="M500" s="5"/>
      <c r="N500" s="5"/>
      <c r="O500" s="57"/>
      <c r="P500" s="5"/>
      <c r="Q500" s="5"/>
      <c r="R500" s="5"/>
      <c r="S500" s="5"/>
      <c r="T500" s="5"/>
      <c r="U500" s="5"/>
      <c r="V500" s="5"/>
      <c r="W500" s="5"/>
      <c r="X500" s="5"/>
      <c r="Y500" s="5"/>
      <c r="Z500" s="5"/>
    </row>
    <row r="501" spans="1:26" ht="12.75" customHeight="1">
      <c r="A501" s="5"/>
      <c r="B501" s="5"/>
      <c r="C501" s="5"/>
      <c r="D501" s="5"/>
      <c r="E501" s="5"/>
      <c r="F501" s="5"/>
      <c r="G501" s="5"/>
      <c r="H501" s="306"/>
      <c r="I501" s="5"/>
      <c r="J501" s="5"/>
      <c r="K501" s="5"/>
      <c r="L501" s="5"/>
      <c r="M501" s="5"/>
      <c r="N501" s="5"/>
      <c r="O501" s="57"/>
      <c r="P501" s="5"/>
      <c r="Q501" s="5"/>
      <c r="R501" s="5"/>
      <c r="S501" s="5"/>
      <c r="T501" s="5"/>
      <c r="U501" s="5"/>
      <c r="V501" s="5"/>
      <c r="W501" s="5"/>
      <c r="X501" s="5"/>
      <c r="Y501" s="5"/>
      <c r="Z501" s="5"/>
    </row>
    <row r="502" spans="1:26" ht="12.75" customHeight="1">
      <c r="A502" s="5"/>
      <c r="B502" s="5"/>
      <c r="C502" s="5"/>
      <c r="D502" s="5"/>
      <c r="E502" s="5"/>
      <c r="F502" s="5"/>
      <c r="G502" s="5"/>
      <c r="H502" s="306"/>
      <c r="I502" s="5"/>
      <c r="J502" s="5"/>
      <c r="K502" s="5"/>
      <c r="L502" s="5"/>
      <c r="M502" s="5"/>
      <c r="N502" s="5"/>
      <c r="O502" s="57"/>
      <c r="P502" s="5"/>
      <c r="Q502" s="5"/>
      <c r="R502" s="5"/>
      <c r="S502" s="5"/>
      <c r="T502" s="5"/>
      <c r="U502" s="5"/>
      <c r="V502" s="5"/>
      <c r="W502" s="5"/>
      <c r="X502" s="5"/>
      <c r="Y502" s="5"/>
      <c r="Z502" s="5"/>
    </row>
    <row r="503" spans="1:26" ht="12.75" customHeight="1">
      <c r="A503" s="5"/>
      <c r="B503" s="5"/>
      <c r="C503" s="5"/>
      <c r="D503" s="5"/>
      <c r="E503" s="5"/>
      <c r="F503" s="5"/>
      <c r="G503" s="5"/>
      <c r="H503" s="306"/>
      <c r="I503" s="5"/>
      <c r="J503" s="5"/>
      <c r="K503" s="5"/>
      <c r="L503" s="5"/>
      <c r="M503" s="5"/>
      <c r="N503" s="5"/>
      <c r="O503" s="57"/>
      <c r="P503" s="5"/>
      <c r="Q503" s="5"/>
      <c r="R503" s="5"/>
      <c r="S503" s="5"/>
      <c r="T503" s="5"/>
      <c r="U503" s="5"/>
      <c r="V503" s="5"/>
      <c r="W503" s="5"/>
      <c r="X503" s="5"/>
      <c r="Y503" s="5"/>
      <c r="Z503" s="5"/>
    </row>
    <row r="504" spans="1:26" ht="12.75" customHeight="1">
      <c r="A504" s="5"/>
      <c r="B504" s="5"/>
      <c r="C504" s="5"/>
      <c r="D504" s="5"/>
      <c r="E504" s="5"/>
      <c r="F504" s="5"/>
      <c r="G504" s="5"/>
      <c r="H504" s="306"/>
      <c r="I504" s="5"/>
      <c r="J504" s="5"/>
      <c r="K504" s="5"/>
      <c r="L504" s="5"/>
      <c r="M504" s="5"/>
      <c r="N504" s="5"/>
      <c r="O504" s="57"/>
      <c r="P504" s="5"/>
      <c r="Q504" s="5"/>
      <c r="R504" s="5"/>
      <c r="S504" s="5"/>
      <c r="T504" s="5"/>
      <c r="U504" s="5"/>
      <c r="V504" s="5"/>
      <c r="W504" s="5"/>
      <c r="X504" s="5"/>
      <c r="Y504" s="5"/>
      <c r="Z504" s="5"/>
    </row>
    <row r="505" spans="1:26" ht="12.75" customHeight="1">
      <c r="A505" s="5"/>
      <c r="B505" s="5"/>
      <c r="C505" s="5"/>
      <c r="D505" s="5"/>
      <c r="E505" s="5"/>
      <c r="F505" s="5"/>
      <c r="G505" s="5"/>
      <c r="H505" s="306"/>
      <c r="I505" s="5"/>
      <c r="J505" s="5"/>
      <c r="K505" s="5"/>
      <c r="L505" s="5"/>
      <c r="M505" s="5"/>
      <c r="N505" s="5"/>
      <c r="O505" s="57"/>
      <c r="P505" s="5"/>
      <c r="Q505" s="5"/>
      <c r="R505" s="5"/>
      <c r="S505" s="5"/>
      <c r="T505" s="5"/>
      <c r="U505" s="5"/>
      <c r="V505" s="5"/>
      <c r="W505" s="5"/>
      <c r="X505" s="5"/>
      <c r="Y505" s="5"/>
      <c r="Z505" s="5"/>
    </row>
    <row r="506" spans="1:26" ht="12.75" customHeight="1">
      <c r="A506" s="5"/>
      <c r="B506" s="5"/>
      <c r="C506" s="5"/>
      <c r="D506" s="5"/>
      <c r="E506" s="5"/>
      <c r="F506" s="5"/>
      <c r="G506" s="5"/>
      <c r="H506" s="306"/>
      <c r="I506" s="5"/>
      <c r="J506" s="5"/>
      <c r="K506" s="5"/>
      <c r="L506" s="5"/>
      <c r="M506" s="5"/>
      <c r="N506" s="5"/>
      <c r="O506" s="57"/>
      <c r="P506" s="5"/>
      <c r="Q506" s="5"/>
      <c r="R506" s="5"/>
      <c r="S506" s="5"/>
      <c r="T506" s="5"/>
      <c r="U506" s="5"/>
      <c r="V506" s="5"/>
      <c r="W506" s="5"/>
      <c r="X506" s="5"/>
      <c r="Y506" s="5"/>
      <c r="Z506" s="5"/>
    </row>
    <row r="507" spans="1:26" ht="12.75" customHeight="1">
      <c r="A507" s="5"/>
      <c r="B507" s="5"/>
      <c r="C507" s="5"/>
      <c r="D507" s="5"/>
      <c r="E507" s="5"/>
      <c r="F507" s="5"/>
      <c r="G507" s="5"/>
      <c r="H507" s="306"/>
      <c r="I507" s="5"/>
      <c r="J507" s="5"/>
      <c r="K507" s="5"/>
      <c r="L507" s="5"/>
      <c r="M507" s="5"/>
      <c r="N507" s="5"/>
      <c r="O507" s="57"/>
      <c r="P507" s="5"/>
      <c r="Q507" s="5"/>
      <c r="R507" s="5"/>
      <c r="S507" s="5"/>
      <c r="T507" s="5"/>
      <c r="U507" s="5"/>
      <c r="V507" s="5"/>
      <c r="W507" s="5"/>
      <c r="X507" s="5"/>
      <c r="Y507" s="5"/>
      <c r="Z507" s="5"/>
    </row>
    <row r="508" spans="1:26" ht="12.75" customHeight="1">
      <c r="A508" s="5"/>
      <c r="B508" s="5"/>
      <c r="C508" s="5"/>
      <c r="D508" s="5"/>
      <c r="E508" s="5"/>
      <c r="F508" s="5"/>
      <c r="G508" s="5"/>
      <c r="H508" s="306"/>
      <c r="I508" s="5"/>
      <c r="J508" s="5"/>
      <c r="K508" s="5"/>
      <c r="L508" s="5"/>
      <c r="M508" s="5"/>
      <c r="N508" s="5"/>
      <c r="O508" s="57"/>
      <c r="P508" s="5"/>
      <c r="Q508" s="5"/>
      <c r="R508" s="5"/>
      <c r="S508" s="5"/>
      <c r="T508" s="5"/>
      <c r="U508" s="5"/>
      <c r="V508" s="5"/>
      <c r="W508" s="5"/>
      <c r="X508" s="5"/>
      <c r="Y508" s="5"/>
      <c r="Z508" s="5"/>
    </row>
    <row r="509" spans="1:26" ht="12.75" customHeight="1">
      <c r="A509" s="5"/>
      <c r="B509" s="5"/>
      <c r="C509" s="5"/>
      <c r="D509" s="5"/>
      <c r="E509" s="5"/>
      <c r="F509" s="5"/>
      <c r="G509" s="5"/>
      <c r="H509" s="306"/>
      <c r="I509" s="5"/>
      <c r="J509" s="5"/>
      <c r="K509" s="5"/>
      <c r="L509" s="5"/>
      <c r="M509" s="5"/>
      <c r="N509" s="5"/>
      <c r="O509" s="57"/>
      <c r="P509" s="5"/>
      <c r="Q509" s="5"/>
      <c r="R509" s="5"/>
      <c r="S509" s="5"/>
      <c r="T509" s="5"/>
      <c r="U509" s="5"/>
      <c r="V509" s="5"/>
      <c r="W509" s="5"/>
      <c r="X509" s="5"/>
      <c r="Y509" s="5"/>
      <c r="Z509" s="5"/>
    </row>
    <row r="510" spans="1:26" ht="12.75" customHeight="1">
      <c r="A510" s="5"/>
      <c r="B510" s="5"/>
      <c r="C510" s="5"/>
      <c r="D510" s="5"/>
      <c r="E510" s="5"/>
      <c r="F510" s="5"/>
      <c r="G510" s="5"/>
      <c r="H510" s="306"/>
      <c r="I510" s="5"/>
      <c r="J510" s="5"/>
      <c r="K510" s="5"/>
      <c r="L510" s="5"/>
      <c r="M510" s="5"/>
      <c r="N510" s="5"/>
      <c r="O510" s="57"/>
      <c r="P510" s="5"/>
      <c r="Q510" s="5"/>
      <c r="R510" s="5"/>
      <c r="S510" s="5"/>
      <c r="T510" s="5"/>
      <c r="U510" s="5"/>
      <c r="V510" s="5"/>
      <c r="W510" s="5"/>
      <c r="X510" s="5"/>
      <c r="Y510" s="5"/>
      <c r="Z510" s="5"/>
    </row>
    <row r="511" spans="1:26" ht="12.75" customHeight="1">
      <c r="A511" s="5"/>
      <c r="B511" s="5"/>
      <c r="C511" s="5"/>
      <c r="D511" s="5"/>
      <c r="E511" s="5"/>
      <c r="F511" s="5"/>
      <c r="G511" s="5"/>
      <c r="H511" s="306"/>
      <c r="I511" s="5"/>
      <c r="J511" s="5"/>
      <c r="K511" s="5"/>
      <c r="L511" s="5"/>
      <c r="M511" s="5"/>
      <c r="N511" s="5"/>
      <c r="O511" s="57"/>
      <c r="P511" s="5"/>
      <c r="Q511" s="5"/>
      <c r="R511" s="5"/>
      <c r="S511" s="5"/>
      <c r="T511" s="5"/>
      <c r="U511" s="5"/>
      <c r="V511" s="5"/>
      <c r="W511" s="5"/>
      <c r="X511" s="5"/>
      <c r="Y511" s="5"/>
      <c r="Z511" s="5"/>
    </row>
    <row r="512" spans="1:26" ht="12.75" customHeight="1">
      <c r="A512" s="5"/>
      <c r="B512" s="5"/>
      <c r="C512" s="5"/>
      <c r="D512" s="5"/>
      <c r="E512" s="5"/>
      <c r="F512" s="5"/>
      <c r="G512" s="5"/>
      <c r="H512" s="306"/>
      <c r="I512" s="5"/>
      <c r="J512" s="5"/>
      <c r="K512" s="5"/>
      <c r="L512" s="5"/>
      <c r="M512" s="5"/>
      <c r="N512" s="5"/>
      <c r="O512" s="57"/>
      <c r="P512" s="5"/>
      <c r="Q512" s="5"/>
      <c r="R512" s="5"/>
      <c r="S512" s="5"/>
      <c r="T512" s="5"/>
      <c r="U512" s="5"/>
      <c r="V512" s="5"/>
      <c r="W512" s="5"/>
      <c r="X512" s="5"/>
      <c r="Y512" s="5"/>
      <c r="Z512" s="5"/>
    </row>
    <row r="513" spans="1:26" ht="12.75" customHeight="1">
      <c r="A513" s="5"/>
      <c r="B513" s="5"/>
      <c r="C513" s="5"/>
      <c r="D513" s="5"/>
      <c r="E513" s="5"/>
      <c r="F513" s="5"/>
      <c r="G513" s="5"/>
      <c r="H513" s="306"/>
      <c r="I513" s="5"/>
      <c r="J513" s="5"/>
      <c r="K513" s="5"/>
      <c r="L513" s="5"/>
      <c r="M513" s="5"/>
      <c r="N513" s="5"/>
      <c r="O513" s="57"/>
      <c r="P513" s="5"/>
      <c r="Q513" s="5"/>
      <c r="R513" s="5"/>
      <c r="S513" s="5"/>
      <c r="T513" s="5"/>
      <c r="U513" s="5"/>
      <c r="V513" s="5"/>
      <c r="W513" s="5"/>
      <c r="X513" s="5"/>
      <c r="Y513" s="5"/>
      <c r="Z513" s="5"/>
    </row>
    <row r="514" spans="1:26" ht="12.75" customHeight="1">
      <c r="A514" s="5"/>
      <c r="B514" s="5"/>
      <c r="C514" s="5"/>
      <c r="D514" s="5"/>
      <c r="E514" s="5"/>
      <c r="F514" s="5"/>
      <c r="G514" s="5"/>
      <c r="H514" s="306"/>
      <c r="I514" s="5"/>
      <c r="J514" s="5"/>
      <c r="K514" s="5"/>
      <c r="L514" s="5"/>
      <c r="M514" s="5"/>
      <c r="N514" s="5"/>
      <c r="O514" s="57"/>
      <c r="P514" s="5"/>
      <c r="Q514" s="5"/>
      <c r="R514" s="5"/>
      <c r="S514" s="5"/>
      <c r="T514" s="5"/>
      <c r="U514" s="5"/>
      <c r="V514" s="5"/>
      <c r="W514" s="5"/>
      <c r="X514" s="5"/>
      <c r="Y514" s="5"/>
      <c r="Z514" s="5"/>
    </row>
    <row r="515" spans="1:26" ht="12.75" customHeight="1">
      <c r="A515" s="5"/>
      <c r="B515" s="5"/>
      <c r="C515" s="5"/>
      <c r="D515" s="5"/>
      <c r="E515" s="5"/>
      <c r="F515" s="5"/>
      <c r="G515" s="5"/>
      <c r="H515" s="306"/>
      <c r="I515" s="5"/>
      <c r="J515" s="5"/>
      <c r="K515" s="5"/>
      <c r="L515" s="5"/>
      <c r="M515" s="5"/>
      <c r="N515" s="5"/>
      <c r="O515" s="57"/>
      <c r="P515" s="5"/>
      <c r="Q515" s="5"/>
      <c r="R515" s="5"/>
      <c r="S515" s="5"/>
      <c r="T515" s="5"/>
      <c r="U515" s="5"/>
      <c r="V515" s="5"/>
      <c r="W515" s="5"/>
      <c r="X515" s="5"/>
      <c r="Y515" s="5"/>
      <c r="Z515" s="5"/>
    </row>
    <row r="516" spans="1:26" ht="12.75" customHeight="1">
      <c r="A516" s="5"/>
      <c r="B516" s="5"/>
      <c r="C516" s="5"/>
      <c r="D516" s="5"/>
      <c r="E516" s="5"/>
      <c r="F516" s="5"/>
      <c r="G516" s="5"/>
      <c r="H516" s="306"/>
      <c r="I516" s="5"/>
      <c r="J516" s="5"/>
      <c r="K516" s="5"/>
      <c r="L516" s="5"/>
      <c r="M516" s="5"/>
      <c r="N516" s="5"/>
      <c r="O516" s="57"/>
      <c r="P516" s="5"/>
      <c r="Q516" s="5"/>
      <c r="R516" s="5"/>
      <c r="S516" s="5"/>
      <c r="T516" s="5"/>
      <c r="U516" s="5"/>
      <c r="V516" s="5"/>
      <c r="W516" s="5"/>
      <c r="X516" s="5"/>
      <c r="Y516" s="5"/>
      <c r="Z516" s="5"/>
    </row>
    <row r="517" spans="1:26" ht="12.75" customHeight="1">
      <c r="A517" s="5"/>
      <c r="B517" s="5"/>
      <c r="C517" s="5"/>
      <c r="D517" s="5"/>
      <c r="E517" s="5"/>
      <c r="F517" s="5"/>
      <c r="G517" s="5"/>
      <c r="H517" s="306"/>
      <c r="I517" s="5"/>
      <c r="J517" s="5"/>
      <c r="K517" s="5"/>
      <c r="L517" s="5"/>
      <c r="M517" s="5"/>
      <c r="N517" s="5"/>
      <c r="O517" s="57"/>
      <c r="P517" s="5"/>
      <c r="Q517" s="5"/>
      <c r="R517" s="5"/>
      <c r="S517" s="5"/>
      <c r="T517" s="5"/>
      <c r="U517" s="5"/>
      <c r="V517" s="5"/>
      <c r="W517" s="5"/>
      <c r="X517" s="5"/>
      <c r="Y517" s="5"/>
      <c r="Z517" s="5"/>
    </row>
    <row r="518" spans="1:26" ht="12.75" customHeight="1">
      <c r="A518" s="5"/>
      <c r="B518" s="5"/>
      <c r="C518" s="5"/>
      <c r="D518" s="5"/>
      <c r="E518" s="5"/>
      <c r="F518" s="5"/>
      <c r="G518" s="5"/>
      <c r="H518" s="306"/>
      <c r="I518" s="5"/>
      <c r="J518" s="5"/>
      <c r="K518" s="5"/>
      <c r="L518" s="5"/>
      <c r="M518" s="5"/>
      <c r="N518" s="5"/>
      <c r="O518" s="57"/>
      <c r="P518" s="5"/>
      <c r="Q518" s="5"/>
      <c r="R518" s="5"/>
      <c r="S518" s="5"/>
      <c r="T518" s="5"/>
      <c r="U518" s="5"/>
      <c r="V518" s="5"/>
      <c r="W518" s="5"/>
      <c r="X518" s="5"/>
      <c r="Y518" s="5"/>
      <c r="Z518" s="5"/>
    </row>
    <row r="519" spans="1:26" ht="12.75" customHeight="1">
      <c r="A519" s="5"/>
      <c r="B519" s="5"/>
      <c r="C519" s="5"/>
      <c r="D519" s="5"/>
      <c r="E519" s="5"/>
      <c r="F519" s="5"/>
      <c r="G519" s="5"/>
      <c r="H519" s="306"/>
      <c r="I519" s="5"/>
      <c r="J519" s="5"/>
      <c r="K519" s="5"/>
      <c r="L519" s="5"/>
      <c r="M519" s="5"/>
      <c r="N519" s="5"/>
      <c r="O519" s="57"/>
      <c r="P519" s="5"/>
      <c r="Q519" s="5"/>
      <c r="R519" s="5"/>
      <c r="S519" s="5"/>
      <c r="T519" s="5"/>
      <c r="U519" s="5"/>
      <c r="V519" s="5"/>
      <c r="W519" s="5"/>
      <c r="X519" s="5"/>
      <c r="Y519" s="5"/>
      <c r="Z519" s="5"/>
    </row>
    <row r="520" spans="1:26" ht="12.75" customHeight="1">
      <c r="A520" s="5"/>
      <c r="B520" s="5"/>
      <c r="C520" s="5"/>
      <c r="D520" s="5"/>
      <c r="E520" s="5"/>
      <c r="F520" s="5"/>
      <c r="G520" s="5"/>
      <c r="H520" s="306"/>
      <c r="I520" s="5"/>
      <c r="J520" s="5"/>
      <c r="K520" s="5"/>
      <c r="L520" s="5"/>
      <c r="M520" s="5"/>
      <c r="N520" s="5"/>
      <c r="O520" s="57"/>
      <c r="P520" s="5"/>
      <c r="Q520" s="5"/>
      <c r="R520" s="5"/>
      <c r="S520" s="5"/>
      <c r="T520" s="5"/>
      <c r="U520" s="5"/>
      <c r="V520" s="5"/>
      <c r="W520" s="5"/>
      <c r="X520" s="5"/>
      <c r="Y520" s="5"/>
      <c r="Z520" s="5"/>
    </row>
    <row r="521" spans="1:26" ht="12.75" customHeight="1">
      <c r="A521" s="5"/>
      <c r="B521" s="5"/>
      <c r="C521" s="5"/>
      <c r="D521" s="5"/>
      <c r="E521" s="5"/>
      <c r="F521" s="5"/>
      <c r="G521" s="5"/>
      <c r="H521" s="306"/>
      <c r="I521" s="5"/>
      <c r="J521" s="5"/>
      <c r="K521" s="5"/>
      <c r="L521" s="5"/>
      <c r="M521" s="5"/>
      <c r="N521" s="5"/>
      <c r="O521" s="57"/>
      <c r="P521" s="5"/>
      <c r="Q521" s="5"/>
      <c r="R521" s="5"/>
      <c r="S521" s="5"/>
      <c r="T521" s="5"/>
      <c r="U521" s="5"/>
      <c r="V521" s="5"/>
      <c r="W521" s="5"/>
      <c r="X521" s="5"/>
      <c r="Y521" s="5"/>
      <c r="Z521" s="5"/>
    </row>
    <row r="522" spans="1:26" ht="12.75" customHeight="1">
      <c r="A522" s="5"/>
      <c r="B522" s="5"/>
      <c r="C522" s="5"/>
      <c r="D522" s="5"/>
      <c r="E522" s="5"/>
      <c r="F522" s="5"/>
      <c r="G522" s="5"/>
      <c r="H522" s="306"/>
      <c r="I522" s="5"/>
      <c r="J522" s="5"/>
      <c r="K522" s="5"/>
      <c r="L522" s="5"/>
      <c r="M522" s="5"/>
      <c r="N522" s="5"/>
      <c r="O522" s="57"/>
      <c r="P522" s="5"/>
      <c r="Q522" s="5"/>
      <c r="R522" s="5"/>
      <c r="S522" s="5"/>
      <c r="T522" s="5"/>
      <c r="U522" s="5"/>
      <c r="V522" s="5"/>
      <c r="W522" s="5"/>
      <c r="X522" s="5"/>
      <c r="Y522" s="5"/>
      <c r="Z522" s="5"/>
    </row>
    <row r="523" spans="1:26" ht="12.75" customHeight="1">
      <c r="A523" s="5"/>
      <c r="B523" s="5"/>
      <c r="C523" s="5"/>
      <c r="D523" s="5"/>
      <c r="E523" s="5"/>
      <c r="F523" s="5"/>
      <c r="G523" s="5"/>
      <c r="H523" s="306"/>
      <c r="I523" s="5"/>
      <c r="J523" s="5"/>
      <c r="K523" s="5"/>
      <c r="L523" s="5"/>
      <c r="M523" s="5"/>
      <c r="N523" s="5"/>
      <c r="O523" s="57"/>
      <c r="P523" s="5"/>
      <c r="Q523" s="5"/>
      <c r="R523" s="5"/>
      <c r="S523" s="5"/>
      <c r="T523" s="5"/>
      <c r="U523" s="5"/>
      <c r="V523" s="5"/>
      <c r="W523" s="5"/>
      <c r="X523" s="5"/>
      <c r="Y523" s="5"/>
      <c r="Z523" s="5"/>
    </row>
    <row r="524" spans="1:26" ht="12.75" customHeight="1">
      <c r="A524" s="5"/>
      <c r="B524" s="5"/>
      <c r="C524" s="5"/>
      <c r="D524" s="5"/>
      <c r="E524" s="5"/>
      <c r="F524" s="5"/>
      <c r="G524" s="5"/>
      <c r="H524" s="306"/>
      <c r="I524" s="5"/>
      <c r="J524" s="5"/>
      <c r="K524" s="5"/>
      <c r="L524" s="5"/>
      <c r="M524" s="5"/>
      <c r="N524" s="5"/>
      <c r="O524" s="57"/>
      <c r="P524" s="5"/>
      <c r="Q524" s="5"/>
      <c r="R524" s="5"/>
      <c r="S524" s="5"/>
      <c r="T524" s="5"/>
      <c r="U524" s="5"/>
      <c r="V524" s="5"/>
      <c r="W524" s="5"/>
      <c r="X524" s="5"/>
      <c r="Y524" s="5"/>
      <c r="Z524" s="5"/>
    </row>
    <row r="525" spans="1:26" ht="12.75" customHeight="1">
      <c r="A525" s="5"/>
      <c r="B525" s="5"/>
      <c r="C525" s="5"/>
      <c r="D525" s="5"/>
      <c r="E525" s="5"/>
      <c r="F525" s="5"/>
      <c r="G525" s="5"/>
      <c r="H525" s="306"/>
      <c r="I525" s="5"/>
      <c r="J525" s="5"/>
      <c r="K525" s="5"/>
      <c r="L525" s="5"/>
      <c r="M525" s="5"/>
      <c r="N525" s="5"/>
      <c r="O525" s="57"/>
      <c r="P525" s="5"/>
      <c r="Q525" s="5"/>
      <c r="R525" s="5"/>
      <c r="S525" s="5"/>
      <c r="T525" s="5"/>
      <c r="U525" s="5"/>
      <c r="V525" s="5"/>
      <c r="W525" s="5"/>
      <c r="X525" s="5"/>
      <c r="Y525" s="5"/>
      <c r="Z525" s="5"/>
    </row>
    <row r="526" spans="1:26" ht="12.75" customHeight="1">
      <c r="A526" s="5"/>
      <c r="B526" s="5"/>
      <c r="C526" s="5"/>
      <c r="D526" s="5"/>
      <c r="E526" s="5"/>
      <c r="F526" s="5"/>
      <c r="G526" s="5"/>
      <c r="H526" s="306"/>
      <c r="I526" s="5"/>
      <c r="J526" s="5"/>
      <c r="K526" s="5"/>
      <c r="L526" s="5"/>
      <c r="M526" s="5"/>
      <c r="N526" s="5"/>
      <c r="O526" s="57"/>
      <c r="P526" s="5"/>
      <c r="Q526" s="5"/>
      <c r="R526" s="5"/>
      <c r="S526" s="5"/>
      <c r="T526" s="5"/>
      <c r="U526" s="5"/>
      <c r="V526" s="5"/>
      <c r="W526" s="5"/>
      <c r="X526" s="5"/>
      <c r="Y526" s="5"/>
      <c r="Z526" s="5"/>
    </row>
    <row r="527" spans="1:26" ht="12.75" customHeight="1">
      <c r="A527" s="5"/>
      <c r="B527" s="5"/>
      <c r="C527" s="5"/>
      <c r="D527" s="5"/>
      <c r="E527" s="5"/>
      <c r="F527" s="5"/>
      <c r="G527" s="5"/>
      <c r="H527" s="306"/>
      <c r="I527" s="5"/>
      <c r="J527" s="5"/>
      <c r="K527" s="5"/>
      <c r="L527" s="5"/>
      <c r="M527" s="5"/>
      <c r="N527" s="5"/>
      <c r="O527" s="57"/>
      <c r="P527" s="5"/>
      <c r="Q527" s="5"/>
      <c r="R527" s="5"/>
      <c r="S527" s="5"/>
      <c r="T527" s="5"/>
      <c r="U527" s="5"/>
      <c r="V527" s="5"/>
      <c r="W527" s="5"/>
      <c r="X527" s="5"/>
      <c r="Y527" s="5"/>
      <c r="Z527" s="5"/>
    </row>
    <row r="528" spans="1:26" ht="12.75" customHeight="1">
      <c r="A528" s="5"/>
      <c r="B528" s="5"/>
      <c r="C528" s="5"/>
      <c r="D528" s="5"/>
      <c r="E528" s="5"/>
      <c r="F528" s="5"/>
      <c r="G528" s="5"/>
      <c r="H528" s="306"/>
      <c r="I528" s="5"/>
      <c r="J528" s="5"/>
      <c r="K528" s="5"/>
      <c r="L528" s="5"/>
      <c r="M528" s="5"/>
      <c r="N528" s="5"/>
      <c r="O528" s="57"/>
      <c r="P528" s="5"/>
      <c r="Q528" s="5"/>
      <c r="R528" s="5"/>
      <c r="S528" s="5"/>
      <c r="T528" s="5"/>
      <c r="U528" s="5"/>
      <c r="V528" s="5"/>
      <c r="W528" s="5"/>
      <c r="X528" s="5"/>
      <c r="Y528" s="5"/>
      <c r="Z528" s="5"/>
    </row>
    <row r="529" spans="1:26" ht="12.75" customHeight="1">
      <c r="A529" s="5"/>
      <c r="B529" s="5"/>
      <c r="C529" s="5"/>
      <c r="D529" s="5"/>
      <c r="E529" s="5"/>
      <c r="F529" s="5"/>
      <c r="G529" s="5"/>
      <c r="H529" s="306"/>
      <c r="I529" s="5"/>
      <c r="J529" s="5"/>
      <c r="K529" s="5"/>
      <c r="L529" s="5"/>
      <c r="M529" s="5"/>
      <c r="N529" s="5"/>
      <c r="O529" s="57"/>
      <c r="P529" s="5"/>
      <c r="Q529" s="5"/>
      <c r="R529" s="5"/>
      <c r="S529" s="5"/>
      <c r="T529" s="5"/>
      <c r="U529" s="5"/>
      <c r="V529" s="5"/>
      <c r="W529" s="5"/>
      <c r="X529" s="5"/>
      <c r="Y529" s="5"/>
      <c r="Z529" s="5"/>
    </row>
    <row r="530" spans="1:26" ht="12.75" customHeight="1">
      <c r="A530" s="5"/>
      <c r="B530" s="5"/>
      <c r="C530" s="5"/>
      <c r="D530" s="5"/>
      <c r="E530" s="5"/>
      <c r="F530" s="5"/>
      <c r="G530" s="5"/>
      <c r="H530" s="306"/>
      <c r="I530" s="5"/>
      <c r="J530" s="5"/>
      <c r="K530" s="5"/>
      <c r="L530" s="5"/>
      <c r="M530" s="5"/>
      <c r="N530" s="5"/>
      <c r="O530" s="57"/>
      <c r="P530" s="5"/>
      <c r="Q530" s="5"/>
      <c r="R530" s="5"/>
      <c r="S530" s="5"/>
      <c r="T530" s="5"/>
      <c r="U530" s="5"/>
      <c r="V530" s="5"/>
      <c r="W530" s="5"/>
      <c r="X530" s="5"/>
      <c r="Y530" s="5"/>
      <c r="Z530" s="5"/>
    </row>
    <row r="531" spans="1:26" ht="12.75" customHeight="1">
      <c r="A531" s="5"/>
      <c r="B531" s="5"/>
      <c r="C531" s="5"/>
      <c r="D531" s="5"/>
      <c r="E531" s="5"/>
      <c r="F531" s="5"/>
      <c r="G531" s="5"/>
      <c r="H531" s="306"/>
      <c r="I531" s="5"/>
      <c r="J531" s="5"/>
      <c r="K531" s="5"/>
      <c r="L531" s="5"/>
      <c r="M531" s="5"/>
      <c r="N531" s="5"/>
      <c r="O531" s="57"/>
      <c r="P531" s="5"/>
      <c r="Q531" s="5"/>
      <c r="R531" s="5"/>
      <c r="S531" s="5"/>
      <c r="T531" s="5"/>
      <c r="U531" s="5"/>
      <c r="V531" s="5"/>
      <c r="W531" s="5"/>
      <c r="X531" s="5"/>
      <c r="Y531" s="5"/>
      <c r="Z531" s="5"/>
    </row>
    <row r="532" spans="1:26" ht="12.75" customHeight="1">
      <c r="A532" s="5"/>
      <c r="B532" s="5"/>
      <c r="C532" s="5"/>
      <c r="D532" s="5"/>
      <c r="E532" s="5"/>
      <c r="F532" s="5"/>
      <c r="G532" s="5"/>
      <c r="H532" s="306"/>
      <c r="I532" s="5"/>
      <c r="J532" s="5"/>
      <c r="K532" s="5"/>
      <c r="L532" s="5"/>
      <c r="M532" s="5"/>
      <c r="N532" s="5"/>
      <c r="O532" s="57"/>
      <c r="P532" s="5"/>
      <c r="Q532" s="5"/>
      <c r="R532" s="5"/>
      <c r="S532" s="5"/>
      <c r="T532" s="5"/>
      <c r="U532" s="5"/>
      <c r="V532" s="5"/>
      <c r="W532" s="5"/>
      <c r="X532" s="5"/>
      <c r="Y532" s="5"/>
      <c r="Z532" s="5"/>
    </row>
    <row r="533" spans="1:26" ht="12.75" customHeight="1">
      <c r="A533" s="5"/>
      <c r="B533" s="5"/>
      <c r="C533" s="5"/>
      <c r="D533" s="5"/>
      <c r="E533" s="5"/>
      <c r="F533" s="5"/>
      <c r="G533" s="5"/>
      <c r="H533" s="306"/>
      <c r="I533" s="5"/>
      <c r="J533" s="5"/>
      <c r="K533" s="5"/>
      <c r="L533" s="5"/>
      <c r="M533" s="5"/>
      <c r="N533" s="5"/>
      <c r="O533" s="57"/>
      <c r="P533" s="5"/>
      <c r="Q533" s="5"/>
      <c r="R533" s="5"/>
      <c r="S533" s="5"/>
      <c r="T533" s="5"/>
      <c r="U533" s="5"/>
      <c r="V533" s="5"/>
      <c r="W533" s="5"/>
      <c r="X533" s="5"/>
      <c r="Y533" s="5"/>
      <c r="Z533" s="5"/>
    </row>
    <row r="534" spans="1:26" ht="12.75" customHeight="1">
      <c r="A534" s="5"/>
      <c r="B534" s="5"/>
      <c r="C534" s="5"/>
      <c r="D534" s="5"/>
      <c r="E534" s="5"/>
      <c r="F534" s="5"/>
      <c r="G534" s="5"/>
      <c r="H534" s="306"/>
      <c r="I534" s="5"/>
      <c r="J534" s="5"/>
      <c r="K534" s="5"/>
      <c r="L534" s="5"/>
      <c r="M534" s="5"/>
      <c r="N534" s="5"/>
      <c r="O534" s="57"/>
      <c r="P534" s="5"/>
      <c r="Q534" s="5"/>
      <c r="R534" s="5"/>
      <c r="S534" s="5"/>
      <c r="T534" s="5"/>
      <c r="U534" s="5"/>
      <c r="V534" s="5"/>
      <c r="W534" s="5"/>
      <c r="X534" s="5"/>
      <c r="Y534" s="5"/>
      <c r="Z534" s="5"/>
    </row>
    <row r="535" spans="1:26" ht="12.75" customHeight="1">
      <c r="A535" s="5"/>
      <c r="B535" s="5"/>
      <c r="C535" s="5"/>
      <c r="D535" s="5"/>
      <c r="E535" s="5"/>
      <c r="F535" s="5"/>
      <c r="G535" s="5"/>
      <c r="H535" s="306"/>
      <c r="I535" s="5"/>
      <c r="J535" s="5"/>
      <c r="K535" s="5"/>
      <c r="L535" s="5"/>
      <c r="M535" s="5"/>
      <c r="N535" s="5"/>
      <c r="O535" s="57"/>
      <c r="P535" s="5"/>
      <c r="Q535" s="5"/>
      <c r="R535" s="5"/>
      <c r="S535" s="5"/>
      <c r="T535" s="5"/>
      <c r="U535" s="5"/>
      <c r="V535" s="5"/>
      <c r="W535" s="5"/>
      <c r="X535" s="5"/>
      <c r="Y535" s="5"/>
      <c r="Z535" s="5"/>
    </row>
    <row r="536" spans="1:26" ht="12.75" customHeight="1">
      <c r="A536" s="5"/>
      <c r="B536" s="5"/>
      <c r="C536" s="5"/>
      <c r="D536" s="5"/>
      <c r="E536" s="5"/>
      <c r="F536" s="5"/>
      <c r="G536" s="5"/>
      <c r="H536" s="306"/>
      <c r="I536" s="5"/>
      <c r="J536" s="5"/>
      <c r="K536" s="5"/>
      <c r="L536" s="5"/>
      <c r="M536" s="5"/>
      <c r="N536" s="5"/>
      <c r="O536" s="57"/>
      <c r="P536" s="5"/>
      <c r="Q536" s="5"/>
      <c r="R536" s="5"/>
      <c r="S536" s="5"/>
      <c r="T536" s="5"/>
      <c r="U536" s="5"/>
      <c r="V536" s="5"/>
      <c r="W536" s="5"/>
      <c r="X536" s="5"/>
      <c r="Y536" s="5"/>
      <c r="Z536" s="5"/>
    </row>
    <row r="537" spans="1:26" ht="12.75" customHeight="1">
      <c r="A537" s="5"/>
      <c r="B537" s="5"/>
      <c r="C537" s="5"/>
      <c r="D537" s="5"/>
      <c r="E537" s="5"/>
      <c r="F537" s="5"/>
      <c r="G537" s="5"/>
      <c r="H537" s="306"/>
      <c r="I537" s="5"/>
      <c r="J537" s="5"/>
      <c r="K537" s="5"/>
      <c r="L537" s="5"/>
      <c r="M537" s="5"/>
      <c r="N537" s="5"/>
      <c r="O537" s="57"/>
      <c r="P537" s="5"/>
      <c r="Q537" s="5"/>
      <c r="R537" s="5"/>
      <c r="S537" s="5"/>
      <c r="T537" s="5"/>
      <c r="U537" s="5"/>
      <c r="V537" s="5"/>
      <c r="W537" s="5"/>
      <c r="X537" s="5"/>
      <c r="Y537" s="5"/>
      <c r="Z537" s="5"/>
    </row>
    <row r="538" spans="1:26" ht="12.75" customHeight="1">
      <c r="A538" s="5"/>
      <c r="B538" s="5"/>
      <c r="C538" s="5"/>
      <c r="D538" s="5"/>
      <c r="E538" s="5"/>
      <c r="F538" s="5"/>
      <c r="G538" s="5"/>
      <c r="H538" s="306"/>
      <c r="I538" s="5"/>
      <c r="J538" s="5"/>
      <c r="K538" s="5"/>
      <c r="L538" s="5"/>
      <c r="M538" s="5"/>
      <c r="N538" s="5"/>
      <c r="O538" s="57"/>
      <c r="P538" s="5"/>
      <c r="Q538" s="5"/>
      <c r="R538" s="5"/>
      <c r="S538" s="5"/>
      <c r="T538" s="5"/>
      <c r="U538" s="5"/>
      <c r="V538" s="5"/>
      <c r="W538" s="5"/>
      <c r="X538" s="5"/>
      <c r="Y538" s="5"/>
      <c r="Z538" s="5"/>
    </row>
    <row r="539" spans="1:26" ht="12.75" customHeight="1">
      <c r="A539" s="5"/>
      <c r="B539" s="5"/>
      <c r="C539" s="5"/>
      <c r="D539" s="5"/>
      <c r="E539" s="5"/>
      <c r="F539" s="5"/>
      <c r="G539" s="5"/>
      <c r="H539" s="306"/>
      <c r="I539" s="5"/>
      <c r="J539" s="5"/>
      <c r="K539" s="5"/>
      <c r="L539" s="5"/>
      <c r="M539" s="5"/>
      <c r="N539" s="5"/>
      <c r="O539" s="57"/>
      <c r="P539" s="5"/>
      <c r="Q539" s="5"/>
      <c r="R539" s="5"/>
      <c r="S539" s="5"/>
      <c r="T539" s="5"/>
      <c r="U539" s="5"/>
      <c r="V539" s="5"/>
      <c r="W539" s="5"/>
      <c r="X539" s="5"/>
      <c r="Y539" s="5"/>
      <c r="Z539" s="5"/>
    </row>
    <row r="540" spans="1:26" ht="12.75" customHeight="1">
      <c r="A540" s="5"/>
      <c r="B540" s="5"/>
      <c r="C540" s="5"/>
      <c r="D540" s="5"/>
      <c r="E540" s="5"/>
      <c r="F540" s="5"/>
      <c r="G540" s="5"/>
      <c r="H540" s="306"/>
      <c r="I540" s="5"/>
      <c r="J540" s="5"/>
      <c r="K540" s="5"/>
      <c r="L540" s="5"/>
      <c r="M540" s="5"/>
      <c r="N540" s="5"/>
      <c r="O540" s="57"/>
      <c r="P540" s="5"/>
      <c r="Q540" s="5"/>
      <c r="R540" s="5"/>
      <c r="S540" s="5"/>
      <c r="T540" s="5"/>
      <c r="U540" s="5"/>
      <c r="V540" s="5"/>
      <c r="W540" s="5"/>
      <c r="X540" s="5"/>
      <c r="Y540" s="5"/>
      <c r="Z540" s="5"/>
    </row>
    <row r="541" spans="1:26" ht="12.75" customHeight="1">
      <c r="A541" s="5"/>
      <c r="B541" s="5"/>
      <c r="C541" s="5"/>
      <c r="D541" s="5"/>
      <c r="E541" s="5"/>
      <c r="F541" s="5"/>
      <c r="G541" s="5"/>
      <c r="H541" s="306"/>
      <c r="I541" s="5"/>
      <c r="J541" s="5"/>
      <c r="K541" s="5"/>
      <c r="L541" s="5"/>
      <c r="M541" s="5"/>
      <c r="N541" s="5"/>
      <c r="O541" s="57"/>
      <c r="P541" s="5"/>
      <c r="Q541" s="5"/>
      <c r="R541" s="5"/>
      <c r="S541" s="5"/>
      <c r="T541" s="5"/>
      <c r="U541" s="5"/>
      <c r="V541" s="5"/>
      <c r="W541" s="5"/>
      <c r="X541" s="5"/>
      <c r="Y541" s="5"/>
      <c r="Z541" s="5"/>
    </row>
    <row r="542" spans="1:26" ht="12.75" customHeight="1">
      <c r="A542" s="5"/>
      <c r="B542" s="5"/>
      <c r="C542" s="5"/>
      <c r="D542" s="5"/>
      <c r="E542" s="5"/>
      <c r="F542" s="5"/>
      <c r="G542" s="5"/>
      <c r="H542" s="306"/>
      <c r="I542" s="5"/>
      <c r="J542" s="5"/>
      <c r="K542" s="5"/>
      <c r="L542" s="5"/>
      <c r="M542" s="5"/>
      <c r="N542" s="5"/>
      <c r="O542" s="57"/>
      <c r="P542" s="5"/>
      <c r="Q542" s="5"/>
      <c r="R542" s="5"/>
      <c r="S542" s="5"/>
      <c r="T542" s="5"/>
      <c r="U542" s="5"/>
      <c r="V542" s="5"/>
      <c r="W542" s="5"/>
      <c r="X542" s="5"/>
      <c r="Y542" s="5"/>
      <c r="Z542" s="5"/>
    </row>
    <row r="543" spans="1:26" ht="12.75" customHeight="1">
      <c r="A543" s="5"/>
      <c r="B543" s="5"/>
      <c r="C543" s="5"/>
      <c r="D543" s="5"/>
      <c r="E543" s="5"/>
      <c r="F543" s="5"/>
      <c r="G543" s="5"/>
      <c r="H543" s="306"/>
      <c r="I543" s="5"/>
      <c r="J543" s="5"/>
      <c r="K543" s="5"/>
      <c r="L543" s="5"/>
      <c r="M543" s="5"/>
      <c r="N543" s="5"/>
      <c r="O543" s="57"/>
      <c r="P543" s="5"/>
      <c r="Q543" s="5"/>
      <c r="R543" s="5"/>
      <c r="S543" s="5"/>
      <c r="T543" s="5"/>
      <c r="U543" s="5"/>
      <c r="V543" s="5"/>
      <c r="W543" s="5"/>
      <c r="X543" s="5"/>
      <c r="Y543" s="5"/>
      <c r="Z543" s="5"/>
    </row>
    <row r="544" spans="1:26" ht="12.75" customHeight="1">
      <c r="A544" s="5"/>
      <c r="B544" s="5"/>
      <c r="C544" s="5"/>
      <c r="D544" s="5"/>
      <c r="E544" s="5"/>
      <c r="F544" s="5"/>
      <c r="G544" s="5"/>
      <c r="H544" s="306"/>
      <c r="I544" s="5"/>
      <c r="J544" s="5"/>
      <c r="K544" s="5"/>
      <c r="L544" s="5"/>
      <c r="M544" s="5"/>
      <c r="N544" s="5"/>
      <c r="O544" s="57"/>
      <c r="P544" s="5"/>
      <c r="Q544" s="5"/>
      <c r="R544" s="5"/>
      <c r="S544" s="5"/>
      <c r="T544" s="5"/>
      <c r="U544" s="5"/>
      <c r="V544" s="5"/>
      <c r="W544" s="5"/>
      <c r="X544" s="5"/>
      <c r="Y544" s="5"/>
      <c r="Z544" s="5"/>
    </row>
    <row r="545" spans="1:26" ht="12.75" customHeight="1">
      <c r="A545" s="5"/>
      <c r="B545" s="5"/>
      <c r="C545" s="5"/>
      <c r="D545" s="5"/>
      <c r="E545" s="5"/>
      <c r="F545" s="5"/>
      <c r="G545" s="5"/>
      <c r="H545" s="306"/>
      <c r="I545" s="5"/>
      <c r="J545" s="5"/>
      <c r="K545" s="5"/>
      <c r="L545" s="5"/>
      <c r="M545" s="5"/>
      <c r="N545" s="5"/>
      <c r="O545" s="57"/>
      <c r="P545" s="5"/>
      <c r="Q545" s="5"/>
      <c r="R545" s="5"/>
      <c r="S545" s="5"/>
      <c r="T545" s="5"/>
      <c r="U545" s="5"/>
      <c r="V545" s="5"/>
      <c r="W545" s="5"/>
      <c r="X545" s="5"/>
      <c r="Y545" s="5"/>
      <c r="Z545" s="5"/>
    </row>
    <row r="546" spans="1:26" ht="12.75" customHeight="1">
      <c r="A546" s="5"/>
      <c r="B546" s="5"/>
      <c r="C546" s="5"/>
      <c r="D546" s="5"/>
      <c r="E546" s="5"/>
      <c r="F546" s="5"/>
      <c r="G546" s="5"/>
      <c r="H546" s="306"/>
      <c r="I546" s="5"/>
      <c r="J546" s="5"/>
      <c r="K546" s="5"/>
      <c r="L546" s="5"/>
      <c r="M546" s="5"/>
      <c r="N546" s="5"/>
      <c r="O546" s="57"/>
      <c r="P546" s="5"/>
      <c r="Q546" s="5"/>
      <c r="R546" s="5"/>
      <c r="S546" s="5"/>
      <c r="T546" s="5"/>
      <c r="U546" s="5"/>
      <c r="V546" s="5"/>
      <c r="W546" s="5"/>
      <c r="X546" s="5"/>
      <c r="Y546" s="5"/>
      <c r="Z546" s="5"/>
    </row>
    <row r="547" spans="1:26" ht="12.75" customHeight="1">
      <c r="A547" s="5"/>
      <c r="B547" s="5"/>
      <c r="C547" s="5"/>
      <c r="D547" s="5"/>
      <c r="E547" s="5"/>
      <c r="F547" s="5"/>
      <c r="G547" s="5"/>
      <c r="H547" s="306"/>
      <c r="I547" s="5"/>
      <c r="J547" s="5"/>
      <c r="K547" s="5"/>
      <c r="L547" s="5"/>
      <c r="M547" s="5"/>
      <c r="N547" s="5"/>
      <c r="O547" s="57"/>
      <c r="P547" s="5"/>
      <c r="Q547" s="5"/>
      <c r="R547" s="5"/>
      <c r="S547" s="5"/>
      <c r="T547" s="5"/>
      <c r="U547" s="5"/>
      <c r="V547" s="5"/>
      <c r="W547" s="5"/>
      <c r="X547" s="5"/>
      <c r="Y547" s="5"/>
      <c r="Z547" s="5"/>
    </row>
    <row r="548" spans="1:26" ht="12.75" customHeight="1">
      <c r="A548" s="5"/>
      <c r="B548" s="5"/>
      <c r="C548" s="5"/>
      <c r="D548" s="5"/>
      <c r="E548" s="5"/>
      <c r="F548" s="5"/>
      <c r="G548" s="5"/>
      <c r="H548" s="306"/>
      <c r="I548" s="5"/>
      <c r="J548" s="5"/>
      <c r="K548" s="5"/>
      <c r="L548" s="5"/>
      <c r="M548" s="5"/>
      <c r="N548" s="5"/>
      <c r="O548" s="57"/>
      <c r="P548" s="5"/>
      <c r="Q548" s="5"/>
      <c r="R548" s="5"/>
      <c r="S548" s="5"/>
      <c r="T548" s="5"/>
      <c r="U548" s="5"/>
      <c r="V548" s="5"/>
      <c r="W548" s="5"/>
      <c r="X548" s="5"/>
      <c r="Y548" s="5"/>
      <c r="Z548" s="5"/>
    </row>
    <row r="549" spans="1:26" ht="12.75" customHeight="1">
      <c r="A549" s="5"/>
      <c r="B549" s="5"/>
      <c r="C549" s="5"/>
      <c r="D549" s="5"/>
      <c r="E549" s="5"/>
      <c r="F549" s="5"/>
      <c r="G549" s="5"/>
      <c r="H549" s="306"/>
      <c r="I549" s="5"/>
      <c r="J549" s="5"/>
      <c r="K549" s="5"/>
      <c r="L549" s="5"/>
      <c r="M549" s="5"/>
      <c r="N549" s="5"/>
      <c r="O549" s="57"/>
      <c r="P549" s="5"/>
      <c r="Q549" s="5"/>
      <c r="R549" s="5"/>
      <c r="S549" s="5"/>
      <c r="T549" s="5"/>
      <c r="U549" s="5"/>
      <c r="V549" s="5"/>
      <c r="W549" s="5"/>
      <c r="X549" s="5"/>
      <c r="Y549" s="5"/>
      <c r="Z549" s="5"/>
    </row>
    <row r="550" spans="1:26" ht="12.75" customHeight="1">
      <c r="A550" s="5"/>
      <c r="B550" s="5"/>
      <c r="C550" s="5"/>
      <c r="D550" s="5"/>
      <c r="E550" s="5"/>
      <c r="F550" s="5"/>
      <c r="G550" s="5"/>
      <c r="H550" s="306"/>
      <c r="I550" s="5"/>
      <c r="J550" s="5"/>
      <c r="K550" s="5"/>
      <c r="L550" s="5"/>
      <c r="M550" s="5"/>
      <c r="N550" s="5"/>
      <c r="O550" s="57"/>
      <c r="P550" s="5"/>
      <c r="Q550" s="5"/>
      <c r="R550" s="5"/>
      <c r="S550" s="5"/>
      <c r="T550" s="5"/>
      <c r="U550" s="5"/>
      <c r="V550" s="5"/>
      <c r="W550" s="5"/>
      <c r="X550" s="5"/>
      <c r="Y550" s="5"/>
      <c r="Z550" s="5"/>
    </row>
    <row r="551" spans="1:26" ht="12.75" customHeight="1">
      <c r="A551" s="5"/>
      <c r="B551" s="5"/>
      <c r="C551" s="5"/>
      <c r="D551" s="5"/>
      <c r="E551" s="5"/>
      <c r="F551" s="5"/>
      <c r="G551" s="5"/>
      <c r="H551" s="306"/>
      <c r="I551" s="5"/>
      <c r="J551" s="5"/>
      <c r="K551" s="5"/>
      <c r="L551" s="5"/>
      <c r="M551" s="5"/>
      <c r="N551" s="5"/>
      <c r="O551" s="57"/>
      <c r="P551" s="5"/>
      <c r="Q551" s="5"/>
      <c r="R551" s="5"/>
      <c r="S551" s="5"/>
      <c r="T551" s="5"/>
      <c r="U551" s="5"/>
      <c r="V551" s="5"/>
      <c r="W551" s="5"/>
      <c r="X551" s="5"/>
      <c r="Y551" s="5"/>
      <c r="Z551" s="5"/>
    </row>
    <row r="552" spans="1:26" ht="12.75" customHeight="1">
      <c r="A552" s="5"/>
      <c r="B552" s="5"/>
      <c r="C552" s="5"/>
      <c r="D552" s="5"/>
      <c r="E552" s="5"/>
      <c r="F552" s="5"/>
      <c r="G552" s="5"/>
      <c r="H552" s="306"/>
      <c r="I552" s="5"/>
      <c r="J552" s="5"/>
      <c r="K552" s="5"/>
      <c r="L552" s="5"/>
      <c r="M552" s="5"/>
      <c r="N552" s="5"/>
      <c r="O552" s="57"/>
      <c r="P552" s="5"/>
      <c r="Q552" s="5"/>
      <c r="R552" s="5"/>
      <c r="S552" s="5"/>
      <c r="T552" s="5"/>
      <c r="U552" s="5"/>
      <c r="V552" s="5"/>
      <c r="W552" s="5"/>
      <c r="X552" s="5"/>
      <c r="Y552" s="5"/>
      <c r="Z552" s="5"/>
    </row>
    <row r="553" spans="1:26" ht="12.75" customHeight="1">
      <c r="A553" s="5"/>
      <c r="B553" s="5"/>
      <c r="C553" s="5"/>
      <c r="D553" s="5"/>
      <c r="E553" s="5"/>
      <c r="F553" s="5"/>
      <c r="G553" s="5"/>
      <c r="H553" s="306"/>
      <c r="I553" s="5"/>
      <c r="J553" s="5"/>
      <c r="K553" s="5"/>
      <c r="L553" s="5"/>
      <c r="M553" s="5"/>
      <c r="N553" s="5"/>
      <c r="O553" s="57"/>
      <c r="P553" s="5"/>
      <c r="Q553" s="5"/>
      <c r="R553" s="5"/>
      <c r="S553" s="5"/>
      <c r="T553" s="5"/>
      <c r="U553" s="5"/>
      <c r="V553" s="5"/>
      <c r="W553" s="5"/>
      <c r="X553" s="5"/>
      <c r="Y553" s="5"/>
      <c r="Z553" s="5"/>
    </row>
    <row r="554" spans="1:26" ht="12.75" customHeight="1">
      <c r="A554" s="5"/>
      <c r="B554" s="5"/>
      <c r="C554" s="5"/>
      <c r="D554" s="5"/>
      <c r="E554" s="5"/>
      <c r="F554" s="5"/>
      <c r="G554" s="5"/>
      <c r="H554" s="306"/>
      <c r="I554" s="5"/>
      <c r="J554" s="5"/>
      <c r="K554" s="5"/>
      <c r="L554" s="5"/>
      <c r="M554" s="5"/>
      <c r="N554" s="5"/>
      <c r="O554" s="57"/>
      <c r="P554" s="5"/>
      <c r="Q554" s="5"/>
      <c r="R554" s="5"/>
      <c r="S554" s="5"/>
      <c r="T554" s="5"/>
      <c r="U554" s="5"/>
      <c r="V554" s="5"/>
      <c r="W554" s="5"/>
      <c r="X554" s="5"/>
      <c r="Y554" s="5"/>
      <c r="Z554" s="5"/>
    </row>
    <row r="555" spans="1:26" ht="12.75" customHeight="1">
      <c r="A555" s="5"/>
      <c r="B555" s="5"/>
      <c r="C555" s="5"/>
      <c r="D555" s="5"/>
      <c r="E555" s="5"/>
      <c r="F555" s="5"/>
      <c r="G555" s="5"/>
      <c r="H555" s="306"/>
      <c r="I555" s="5"/>
      <c r="J555" s="5"/>
      <c r="K555" s="5"/>
      <c r="L555" s="5"/>
      <c r="M555" s="5"/>
      <c r="N555" s="5"/>
      <c r="O555" s="57"/>
      <c r="P555" s="5"/>
      <c r="Q555" s="5"/>
      <c r="R555" s="5"/>
      <c r="S555" s="5"/>
      <c r="T555" s="5"/>
      <c r="U555" s="5"/>
      <c r="V555" s="5"/>
      <c r="W555" s="5"/>
      <c r="X555" s="5"/>
      <c r="Y555" s="5"/>
      <c r="Z555" s="5"/>
    </row>
    <row r="556" spans="1:26" ht="12.75" customHeight="1">
      <c r="A556" s="5"/>
      <c r="B556" s="5"/>
      <c r="C556" s="5"/>
      <c r="D556" s="5"/>
      <c r="E556" s="5"/>
      <c r="F556" s="5"/>
      <c r="G556" s="5"/>
      <c r="H556" s="306"/>
      <c r="I556" s="5"/>
      <c r="J556" s="5"/>
      <c r="K556" s="5"/>
      <c r="L556" s="5"/>
      <c r="M556" s="5"/>
      <c r="N556" s="5"/>
      <c r="O556" s="57"/>
      <c r="P556" s="5"/>
      <c r="Q556" s="5"/>
      <c r="R556" s="5"/>
      <c r="S556" s="5"/>
      <c r="T556" s="5"/>
      <c r="U556" s="5"/>
      <c r="V556" s="5"/>
      <c r="W556" s="5"/>
      <c r="X556" s="5"/>
      <c r="Y556" s="5"/>
      <c r="Z556" s="5"/>
    </row>
    <row r="557" spans="1:26" ht="12.75" customHeight="1">
      <c r="A557" s="5"/>
      <c r="B557" s="5"/>
      <c r="C557" s="5"/>
      <c r="D557" s="5"/>
      <c r="E557" s="5"/>
      <c r="F557" s="5"/>
      <c r="G557" s="5"/>
      <c r="H557" s="306"/>
      <c r="I557" s="5"/>
      <c r="J557" s="5"/>
      <c r="K557" s="5"/>
      <c r="L557" s="5"/>
      <c r="M557" s="5"/>
      <c r="N557" s="5"/>
      <c r="O557" s="57"/>
      <c r="P557" s="5"/>
      <c r="Q557" s="5"/>
      <c r="R557" s="5"/>
      <c r="S557" s="5"/>
      <c r="T557" s="5"/>
      <c r="U557" s="5"/>
      <c r="V557" s="5"/>
      <c r="W557" s="5"/>
      <c r="X557" s="5"/>
      <c r="Y557" s="5"/>
      <c r="Z557" s="5"/>
    </row>
    <row r="558" spans="1:26" ht="12.75" customHeight="1">
      <c r="A558" s="5"/>
      <c r="B558" s="5"/>
      <c r="C558" s="5"/>
      <c r="D558" s="5"/>
      <c r="E558" s="5"/>
      <c r="F558" s="5"/>
      <c r="G558" s="5"/>
      <c r="H558" s="306"/>
      <c r="I558" s="5"/>
      <c r="J558" s="5"/>
      <c r="K558" s="5"/>
      <c r="L558" s="5"/>
      <c r="M558" s="5"/>
      <c r="N558" s="5"/>
      <c r="O558" s="57"/>
      <c r="P558" s="5"/>
      <c r="Q558" s="5"/>
      <c r="R558" s="5"/>
      <c r="S558" s="5"/>
      <c r="T558" s="5"/>
      <c r="U558" s="5"/>
      <c r="V558" s="5"/>
      <c r="W558" s="5"/>
      <c r="X558" s="5"/>
      <c r="Y558" s="5"/>
      <c r="Z558" s="5"/>
    </row>
    <row r="559" spans="1:26" ht="12.75" customHeight="1">
      <c r="A559" s="5"/>
      <c r="B559" s="5"/>
      <c r="C559" s="5"/>
      <c r="D559" s="5"/>
      <c r="E559" s="5"/>
      <c r="F559" s="5"/>
      <c r="G559" s="5"/>
      <c r="H559" s="306"/>
      <c r="I559" s="5"/>
      <c r="J559" s="5"/>
      <c r="K559" s="5"/>
      <c r="L559" s="5"/>
      <c r="M559" s="5"/>
      <c r="N559" s="5"/>
      <c r="O559" s="57"/>
      <c r="P559" s="5"/>
      <c r="Q559" s="5"/>
      <c r="R559" s="5"/>
      <c r="S559" s="5"/>
      <c r="T559" s="5"/>
      <c r="U559" s="5"/>
      <c r="V559" s="5"/>
      <c r="W559" s="5"/>
      <c r="X559" s="5"/>
      <c r="Y559" s="5"/>
      <c r="Z559" s="5"/>
    </row>
    <row r="560" spans="1:26" ht="12.75" customHeight="1">
      <c r="A560" s="5"/>
      <c r="B560" s="5"/>
      <c r="C560" s="5"/>
      <c r="D560" s="5"/>
      <c r="E560" s="5"/>
      <c r="F560" s="5"/>
      <c r="G560" s="5"/>
      <c r="H560" s="306"/>
      <c r="I560" s="5"/>
      <c r="J560" s="5"/>
      <c r="K560" s="5"/>
      <c r="L560" s="5"/>
      <c r="M560" s="5"/>
      <c r="N560" s="5"/>
      <c r="O560" s="57"/>
      <c r="P560" s="5"/>
      <c r="Q560" s="5"/>
      <c r="R560" s="5"/>
      <c r="S560" s="5"/>
      <c r="T560" s="5"/>
      <c r="U560" s="5"/>
      <c r="V560" s="5"/>
      <c r="W560" s="5"/>
      <c r="X560" s="5"/>
      <c r="Y560" s="5"/>
      <c r="Z560" s="5"/>
    </row>
    <row r="561" spans="1:26" ht="12.75" customHeight="1">
      <c r="A561" s="5"/>
      <c r="B561" s="5"/>
      <c r="C561" s="5"/>
      <c r="D561" s="5"/>
      <c r="E561" s="5"/>
      <c r="F561" s="5"/>
      <c r="G561" s="5"/>
      <c r="H561" s="306"/>
      <c r="I561" s="5"/>
      <c r="J561" s="5"/>
      <c r="K561" s="5"/>
      <c r="L561" s="5"/>
      <c r="M561" s="5"/>
      <c r="N561" s="5"/>
      <c r="O561" s="57"/>
      <c r="P561" s="5"/>
      <c r="Q561" s="5"/>
      <c r="R561" s="5"/>
      <c r="S561" s="5"/>
      <c r="T561" s="5"/>
      <c r="U561" s="5"/>
      <c r="V561" s="5"/>
      <c r="W561" s="5"/>
      <c r="X561" s="5"/>
      <c r="Y561" s="5"/>
      <c r="Z561" s="5"/>
    </row>
    <row r="562" spans="1:26" ht="12.75" customHeight="1">
      <c r="A562" s="5"/>
      <c r="B562" s="5"/>
      <c r="C562" s="5"/>
      <c r="D562" s="5"/>
      <c r="E562" s="5"/>
      <c r="F562" s="5"/>
      <c r="G562" s="5"/>
      <c r="H562" s="306"/>
      <c r="I562" s="5"/>
      <c r="J562" s="5"/>
      <c r="K562" s="5"/>
      <c r="L562" s="5"/>
      <c r="M562" s="5"/>
      <c r="N562" s="5"/>
      <c r="O562" s="57"/>
      <c r="P562" s="5"/>
      <c r="Q562" s="5"/>
      <c r="R562" s="5"/>
      <c r="S562" s="5"/>
      <c r="T562" s="5"/>
      <c r="U562" s="5"/>
      <c r="V562" s="5"/>
      <c r="W562" s="5"/>
      <c r="X562" s="5"/>
      <c r="Y562" s="5"/>
      <c r="Z562" s="5"/>
    </row>
    <row r="563" spans="1:26" ht="12.75" customHeight="1">
      <c r="A563" s="5"/>
      <c r="B563" s="5"/>
      <c r="C563" s="5"/>
      <c r="D563" s="5"/>
      <c r="E563" s="5"/>
      <c r="F563" s="5"/>
      <c r="G563" s="5"/>
      <c r="H563" s="306"/>
      <c r="I563" s="5"/>
      <c r="J563" s="5"/>
      <c r="K563" s="5"/>
      <c r="L563" s="5"/>
      <c r="M563" s="5"/>
      <c r="N563" s="5"/>
      <c r="O563" s="57"/>
      <c r="P563" s="5"/>
      <c r="Q563" s="5"/>
      <c r="R563" s="5"/>
      <c r="S563" s="5"/>
      <c r="T563" s="5"/>
      <c r="U563" s="5"/>
      <c r="V563" s="5"/>
      <c r="W563" s="5"/>
      <c r="X563" s="5"/>
      <c r="Y563" s="5"/>
      <c r="Z563" s="5"/>
    </row>
    <row r="564" spans="1:26" ht="12.75" customHeight="1">
      <c r="A564" s="5"/>
      <c r="B564" s="5"/>
      <c r="C564" s="5"/>
      <c r="D564" s="5"/>
      <c r="E564" s="5"/>
      <c r="F564" s="5"/>
      <c r="G564" s="5"/>
      <c r="H564" s="306"/>
      <c r="I564" s="5"/>
      <c r="J564" s="5"/>
      <c r="K564" s="5"/>
      <c r="L564" s="5"/>
      <c r="M564" s="5"/>
      <c r="N564" s="5"/>
      <c r="O564" s="57"/>
      <c r="P564" s="5"/>
      <c r="Q564" s="5"/>
      <c r="R564" s="5"/>
      <c r="S564" s="5"/>
      <c r="T564" s="5"/>
      <c r="U564" s="5"/>
      <c r="V564" s="5"/>
      <c r="W564" s="5"/>
      <c r="X564" s="5"/>
      <c r="Y564" s="5"/>
      <c r="Z564" s="5"/>
    </row>
    <row r="565" spans="1:26" ht="12.75" customHeight="1">
      <c r="A565" s="5"/>
      <c r="B565" s="5"/>
      <c r="C565" s="5"/>
      <c r="D565" s="5"/>
      <c r="E565" s="5"/>
      <c r="F565" s="5"/>
      <c r="G565" s="5"/>
      <c r="H565" s="306"/>
      <c r="I565" s="5"/>
      <c r="J565" s="5"/>
      <c r="K565" s="5"/>
      <c r="L565" s="5"/>
      <c r="M565" s="5"/>
      <c r="N565" s="5"/>
      <c r="O565" s="57"/>
      <c r="P565" s="5"/>
      <c r="Q565" s="5"/>
      <c r="R565" s="5"/>
      <c r="S565" s="5"/>
      <c r="T565" s="5"/>
      <c r="U565" s="5"/>
      <c r="V565" s="5"/>
      <c r="W565" s="5"/>
      <c r="X565" s="5"/>
      <c r="Y565" s="5"/>
      <c r="Z565" s="5"/>
    </row>
    <row r="566" spans="1:26" ht="12.75" customHeight="1">
      <c r="A566" s="5"/>
      <c r="B566" s="5"/>
      <c r="C566" s="5"/>
      <c r="D566" s="5"/>
      <c r="E566" s="5"/>
      <c r="F566" s="5"/>
      <c r="G566" s="5"/>
      <c r="H566" s="306"/>
      <c r="I566" s="5"/>
      <c r="J566" s="5"/>
      <c r="K566" s="5"/>
      <c r="L566" s="5"/>
      <c r="M566" s="5"/>
      <c r="N566" s="5"/>
      <c r="O566" s="57"/>
      <c r="P566" s="5"/>
      <c r="Q566" s="5"/>
      <c r="R566" s="5"/>
      <c r="S566" s="5"/>
      <c r="T566" s="5"/>
      <c r="U566" s="5"/>
      <c r="V566" s="5"/>
      <c r="W566" s="5"/>
      <c r="X566" s="5"/>
      <c r="Y566" s="5"/>
      <c r="Z566" s="5"/>
    </row>
    <row r="567" spans="1:26" ht="12.75" customHeight="1">
      <c r="A567" s="5"/>
      <c r="B567" s="5"/>
      <c r="C567" s="5"/>
      <c r="D567" s="5"/>
      <c r="E567" s="5"/>
      <c r="F567" s="5"/>
      <c r="G567" s="5"/>
      <c r="H567" s="306"/>
      <c r="I567" s="5"/>
      <c r="J567" s="5"/>
      <c r="K567" s="5"/>
      <c r="L567" s="5"/>
      <c r="M567" s="5"/>
      <c r="N567" s="5"/>
      <c r="O567" s="57"/>
      <c r="P567" s="5"/>
      <c r="Q567" s="5"/>
      <c r="R567" s="5"/>
      <c r="S567" s="5"/>
      <c r="T567" s="5"/>
      <c r="U567" s="5"/>
      <c r="V567" s="5"/>
      <c r="W567" s="5"/>
      <c r="X567" s="5"/>
      <c r="Y567" s="5"/>
      <c r="Z567" s="5"/>
    </row>
    <row r="568" spans="1:26" ht="12.75" customHeight="1">
      <c r="A568" s="5"/>
      <c r="B568" s="5"/>
      <c r="C568" s="5"/>
      <c r="D568" s="5"/>
      <c r="E568" s="5"/>
      <c r="F568" s="5"/>
      <c r="G568" s="5"/>
      <c r="H568" s="306"/>
      <c r="I568" s="5"/>
      <c r="J568" s="5"/>
      <c r="K568" s="5"/>
      <c r="L568" s="5"/>
      <c r="M568" s="5"/>
      <c r="N568" s="5"/>
      <c r="O568" s="57"/>
      <c r="P568" s="5"/>
      <c r="Q568" s="5"/>
      <c r="R568" s="5"/>
      <c r="S568" s="5"/>
      <c r="T568" s="5"/>
      <c r="U568" s="5"/>
      <c r="V568" s="5"/>
      <c r="W568" s="5"/>
      <c r="X568" s="5"/>
      <c r="Y568" s="5"/>
      <c r="Z568" s="5"/>
    </row>
    <row r="569" spans="1:26" ht="12.75" customHeight="1">
      <c r="A569" s="5"/>
      <c r="B569" s="5"/>
      <c r="C569" s="5"/>
      <c r="D569" s="5"/>
      <c r="E569" s="5"/>
      <c r="F569" s="5"/>
      <c r="G569" s="5"/>
      <c r="H569" s="306"/>
      <c r="I569" s="5"/>
      <c r="J569" s="5"/>
      <c r="K569" s="5"/>
      <c r="L569" s="5"/>
      <c r="M569" s="5"/>
      <c r="N569" s="5"/>
      <c r="O569" s="57"/>
      <c r="P569" s="5"/>
      <c r="Q569" s="5"/>
      <c r="R569" s="5"/>
      <c r="S569" s="5"/>
      <c r="T569" s="5"/>
      <c r="U569" s="5"/>
      <c r="V569" s="5"/>
      <c r="W569" s="5"/>
      <c r="X569" s="5"/>
      <c r="Y569" s="5"/>
      <c r="Z569" s="5"/>
    </row>
    <row r="570" spans="1:26" ht="12.75" customHeight="1">
      <c r="A570" s="5"/>
      <c r="B570" s="5"/>
      <c r="C570" s="5"/>
      <c r="D570" s="5"/>
      <c r="E570" s="5"/>
      <c r="F570" s="5"/>
      <c r="G570" s="5"/>
      <c r="H570" s="306"/>
      <c r="I570" s="5"/>
      <c r="J570" s="5"/>
      <c r="K570" s="5"/>
      <c r="L570" s="5"/>
      <c r="M570" s="5"/>
      <c r="N570" s="5"/>
      <c r="O570" s="57"/>
      <c r="P570" s="5"/>
      <c r="Q570" s="5"/>
      <c r="R570" s="5"/>
      <c r="S570" s="5"/>
      <c r="T570" s="5"/>
      <c r="U570" s="5"/>
      <c r="V570" s="5"/>
      <c r="W570" s="5"/>
      <c r="X570" s="5"/>
      <c r="Y570" s="5"/>
      <c r="Z570" s="5"/>
    </row>
    <row r="571" spans="1:26" ht="12.75" customHeight="1">
      <c r="A571" s="5"/>
      <c r="B571" s="5"/>
      <c r="C571" s="5"/>
      <c r="D571" s="5"/>
      <c r="E571" s="5"/>
      <c r="F571" s="5"/>
      <c r="G571" s="5"/>
      <c r="H571" s="306"/>
      <c r="I571" s="5"/>
      <c r="J571" s="5"/>
      <c r="K571" s="5"/>
      <c r="L571" s="5"/>
      <c r="M571" s="5"/>
      <c r="N571" s="5"/>
      <c r="O571" s="57"/>
      <c r="P571" s="5"/>
      <c r="Q571" s="5"/>
      <c r="R571" s="5"/>
      <c r="S571" s="5"/>
      <c r="T571" s="5"/>
      <c r="U571" s="5"/>
      <c r="V571" s="5"/>
      <c r="W571" s="5"/>
      <c r="X571" s="5"/>
      <c r="Y571" s="5"/>
      <c r="Z571" s="5"/>
    </row>
    <row r="572" spans="1:26" ht="12.75" customHeight="1">
      <c r="A572" s="5"/>
      <c r="B572" s="5"/>
      <c r="C572" s="5"/>
      <c r="D572" s="5"/>
      <c r="E572" s="5"/>
      <c r="F572" s="5"/>
      <c r="G572" s="5"/>
      <c r="H572" s="306"/>
      <c r="I572" s="5"/>
      <c r="J572" s="5"/>
      <c r="K572" s="5"/>
      <c r="L572" s="5"/>
      <c r="M572" s="5"/>
      <c r="N572" s="5"/>
      <c r="O572" s="57"/>
      <c r="P572" s="5"/>
      <c r="Q572" s="5"/>
      <c r="R572" s="5"/>
      <c r="S572" s="5"/>
      <c r="T572" s="5"/>
      <c r="U572" s="5"/>
      <c r="V572" s="5"/>
      <c r="W572" s="5"/>
      <c r="X572" s="5"/>
      <c r="Y572" s="5"/>
      <c r="Z572" s="5"/>
    </row>
    <row r="573" spans="1:26" ht="12.75" customHeight="1">
      <c r="A573" s="5"/>
      <c r="B573" s="5"/>
      <c r="C573" s="5"/>
      <c r="D573" s="5"/>
      <c r="E573" s="5"/>
      <c r="F573" s="5"/>
      <c r="G573" s="5"/>
      <c r="H573" s="306"/>
      <c r="I573" s="5"/>
      <c r="J573" s="5"/>
      <c r="K573" s="5"/>
      <c r="L573" s="5"/>
      <c r="M573" s="5"/>
      <c r="N573" s="5"/>
      <c r="O573" s="57"/>
      <c r="P573" s="5"/>
      <c r="Q573" s="5"/>
      <c r="R573" s="5"/>
      <c r="S573" s="5"/>
      <c r="T573" s="5"/>
      <c r="U573" s="5"/>
      <c r="V573" s="5"/>
      <c r="W573" s="5"/>
      <c r="X573" s="5"/>
      <c r="Y573" s="5"/>
      <c r="Z573" s="5"/>
    </row>
    <row r="574" spans="1:26" ht="12.75" customHeight="1">
      <c r="A574" s="5"/>
      <c r="B574" s="5"/>
      <c r="C574" s="5"/>
      <c r="D574" s="5"/>
      <c r="E574" s="5"/>
      <c r="F574" s="5"/>
      <c r="G574" s="5"/>
      <c r="H574" s="306"/>
      <c r="I574" s="5"/>
      <c r="J574" s="5"/>
      <c r="K574" s="5"/>
      <c r="L574" s="5"/>
      <c r="M574" s="5"/>
      <c r="N574" s="5"/>
      <c r="O574" s="57"/>
      <c r="P574" s="5"/>
      <c r="Q574" s="5"/>
      <c r="R574" s="5"/>
      <c r="S574" s="5"/>
      <c r="T574" s="5"/>
      <c r="U574" s="5"/>
      <c r="V574" s="5"/>
      <c r="W574" s="5"/>
      <c r="X574" s="5"/>
      <c r="Y574" s="5"/>
      <c r="Z574" s="5"/>
    </row>
    <row r="575" spans="1:26" ht="12.75" customHeight="1">
      <c r="A575" s="5"/>
      <c r="B575" s="5"/>
      <c r="C575" s="5"/>
      <c r="D575" s="5"/>
      <c r="E575" s="5"/>
      <c r="F575" s="5"/>
      <c r="G575" s="5"/>
      <c r="H575" s="306"/>
      <c r="I575" s="5"/>
      <c r="J575" s="5"/>
      <c r="K575" s="5"/>
      <c r="L575" s="5"/>
      <c r="M575" s="5"/>
      <c r="N575" s="5"/>
      <c r="O575" s="57"/>
      <c r="P575" s="5"/>
      <c r="Q575" s="5"/>
      <c r="R575" s="5"/>
      <c r="S575" s="5"/>
      <c r="T575" s="5"/>
      <c r="U575" s="5"/>
      <c r="V575" s="5"/>
      <c r="W575" s="5"/>
      <c r="X575" s="5"/>
      <c r="Y575" s="5"/>
      <c r="Z575" s="5"/>
    </row>
    <row r="576" spans="1:26" ht="12.75" customHeight="1">
      <c r="A576" s="5"/>
      <c r="B576" s="5"/>
      <c r="C576" s="5"/>
      <c r="D576" s="5"/>
      <c r="E576" s="5"/>
      <c r="F576" s="5"/>
      <c r="G576" s="5"/>
      <c r="H576" s="306"/>
      <c r="I576" s="5"/>
      <c r="J576" s="5"/>
      <c r="K576" s="5"/>
      <c r="L576" s="5"/>
      <c r="M576" s="5"/>
      <c r="N576" s="5"/>
      <c r="O576" s="57"/>
      <c r="P576" s="5"/>
      <c r="Q576" s="5"/>
      <c r="R576" s="5"/>
      <c r="S576" s="5"/>
      <c r="T576" s="5"/>
      <c r="U576" s="5"/>
      <c r="V576" s="5"/>
      <c r="W576" s="5"/>
      <c r="X576" s="5"/>
      <c r="Y576" s="5"/>
      <c r="Z576" s="5"/>
    </row>
    <row r="577" spans="1:26" ht="12.75" customHeight="1">
      <c r="A577" s="5"/>
      <c r="B577" s="5"/>
      <c r="C577" s="5"/>
      <c r="D577" s="5"/>
      <c r="E577" s="5"/>
      <c r="F577" s="5"/>
      <c r="G577" s="5"/>
      <c r="H577" s="306"/>
      <c r="I577" s="5"/>
      <c r="J577" s="5"/>
      <c r="K577" s="5"/>
      <c r="L577" s="5"/>
      <c r="M577" s="5"/>
      <c r="N577" s="5"/>
      <c r="O577" s="57"/>
      <c r="P577" s="5"/>
      <c r="Q577" s="5"/>
      <c r="R577" s="5"/>
      <c r="S577" s="5"/>
      <c r="T577" s="5"/>
      <c r="U577" s="5"/>
      <c r="V577" s="5"/>
      <c r="W577" s="5"/>
      <c r="X577" s="5"/>
      <c r="Y577" s="5"/>
      <c r="Z577" s="5"/>
    </row>
    <row r="578" spans="1:26" ht="12.75" customHeight="1">
      <c r="A578" s="5"/>
      <c r="B578" s="5"/>
      <c r="C578" s="5"/>
      <c r="D578" s="5"/>
      <c r="E578" s="5"/>
      <c r="F578" s="5"/>
      <c r="G578" s="5"/>
      <c r="H578" s="306"/>
      <c r="I578" s="5"/>
      <c r="J578" s="5"/>
      <c r="K578" s="5"/>
      <c r="L578" s="5"/>
      <c r="M578" s="5"/>
      <c r="N578" s="5"/>
      <c r="O578" s="57"/>
      <c r="P578" s="5"/>
      <c r="Q578" s="5"/>
      <c r="R578" s="5"/>
      <c r="S578" s="5"/>
      <c r="T578" s="5"/>
      <c r="U578" s="5"/>
      <c r="V578" s="5"/>
      <c r="W578" s="5"/>
      <c r="X578" s="5"/>
      <c r="Y578" s="5"/>
      <c r="Z578" s="5"/>
    </row>
    <row r="579" spans="1:26" ht="12.75" customHeight="1">
      <c r="A579" s="5"/>
      <c r="B579" s="5"/>
      <c r="C579" s="5"/>
      <c r="D579" s="5"/>
      <c r="E579" s="5"/>
      <c r="F579" s="5"/>
      <c r="G579" s="5"/>
      <c r="H579" s="306"/>
      <c r="I579" s="5"/>
      <c r="J579" s="5"/>
      <c r="K579" s="5"/>
      <c r="L579" s="5"/>
      <c r="M579" s="5"/>
      <c r="N579" s="5"/>
      <c r="O579" s="57"/>
      <c r="P579" s="5"/>
      <c r="Q579" s="5"/>
      <c r="R579" s="5"/>
      <c r="S579" s="5"/>
      <c r="T579" s="5"/>
      <c r="U579" s="5"/>
      <c r="V579" s="5"/>
      <c r="W579" s="5"/>
      <c r="X579" s="5"/>
      <c r="Y579" s="5"/>
      <c r="Z579" s="5"/>
    </row>
    <row r="580" spans="1:26" ht="12.75" customHeight="1">
      <c r="A580" s="5"/>
      <c r="B580" s="5"/>
      <c r="C580" s="5"/>
      <c r="D580" s="5"/>
      <c r="E580" s="5"/>
      <c r="F580" s="5"/>
      <c r="G580" s="5"/>
      <c r="H580" s="306"/>
      <c r="I580" s="5"/>
      <c r="J580" s="5"/>
      <c r="K580" s="5"/>
      <c r="L580" s="5"/>
      <c r="M580" s="5"/>
      <c r="N580" s="5"/>
      <c r="O580" s="57"/>
      <c r="P580" s="5"/>
      <c r="Q580" s="5"/>
      <c r="R580" s="5"/>
      <c r="S580" s="5"/>
      <c r="T580" s="5"/>
      <c r="U580" s="5"/>
      <c r="V580" s="5"/>
      <c r="W580" s="5"/>
      <c r="X580" s="5"/>
      <c r="Y580" s="5"/>
      <c r="Z580" s="5"/>
    </row>
    <row r="581" spans="1:26" ht="12.75" customHeight="1">
      <c r="A581" s="5"/>
      <c r="B581" s="5"/>
      <c r="C581" s="5"/>
      <c r="D581" s="5"/>
      <c r="E581" s="5"/>
      <c r="F581" s="5"/>
      <c r="G581" s="5"/>
      <c r="H581" s="306"/>
      <c r="I581" s="5"/>
      <c r="J581" s="5"/>
      <c r="K581" s="5"/>
      <c r="L581" s="5"/>
      <c r="M581" s="5"/>
      <c r="N581" s="5"/>
      <c r="O581" s="57"/>
      <c r="P581" s="5"/>
      <c r="Q581" s="5"/>
      <c r="R581" s="5"/>
      <c r="S581" s="5"/>
      <c r="T581" s="5"/>
      <c r="U581" s="5"/>
      <c r="V581" s="5"/>
      <c r="W581" s="5"/>
      <c r="X581" s="5"/>
      <c r="Y581" s="5"/>
      <c r="Z581" s="5"/>
    </row>
    <row r="582" spans="1:26" ht="12.75" customHeight="1">
      <c r="A582" s="5"/>
      <c r="B582" s="5"/>
      <c r="C582" s="5"/>
      <c r="D582" s="5"/>
      <c r="E582" s="5"/>
      <c r="F582" s="5"/>
      <c r="G582" s="5"/>
      <c r="H582" s="306"/>
      <c r="I582" s="5"/>
      <c r="J582" s="5"/>
      <c r="K582" s="5"/>
      <c r="L582" s="5"/>
      <c r="M582" s="5"/>
      <c r="N582" s="5"/>
      <c r="O582" s="57"/>
      <c r="P582" s="5"/>
      <c r="Q582" s="5"/>
      <c r="R582" s="5"/>
      <c r="S582" s="5"/>
      <c r="T582" s="5"/>
      <c r="U582" s="5"/>
      <c r="V582" s="5"/>
      <c r="W582" s="5"/>
      <c r="X582" s="5"/>
      <c r="Y582" s="5"/>
      <c r="Z582" s="5"/>
    </row>
    <row r="583" spans="1:26" ht="12.75" customHeight="1">
      <c r="A583" s="5"/>
      <c r="B583" s="5"/>
      <c r="C583" s="5"/>
      <c r="D583" s="5"/>
      <c r="E583" s="5"/>
      <c r="F583" s="5"/>
      <c r="G583" s="5"/>
      <c r="H583" s="306"/>
      <c r="I583" s="5"/>
      <c r="J583" s="5"/>
      <c r="K583" s="5"/>
      <c r="L583" s="5"/>
      <c r="M583" s="5"/>
      <c r="N583" s="5"/>
      <c r="O583" s="57"/>
      <c r="P583" s="5"/>
      <c r="Q583" s="5"/>
      <c r="R583" s="5"/>
      <c r="S583" s="5"/>
      <c r="T583" s="5"/>
      <c r="U583" s="5"/>
      <c r="V583" s="5"/>
      <c r="W583" s="5"/>
      <c r="X583" s="5"/>
      <c r="Y583" s="5"/>
      <c r="Z583" s="5"/>
    </row>
    <row r="584" spans="1:26" ht="12.75" customHeight="1">
      <c r="A584" s="5"/>
      <c r="B584" s="5"/>
      <c r="C584" s="5"/>
      <c r="D584" s="5"/>
      <c r="E584" s="5"/>
      <c r="F584" s="5"/>
      <c r="G584" s="5"/>
      <c r="H584" s="306"/>
      <c r="I584" s="5"/>
      <c r="J584" s="5"/>
      <c r="K584" s="5"/>
      <c r="L584" s="5"/>
      <c r="M584" s="5"/>
      <c r="N584" s="5"/>
      <c r="O584" s="57"/>
      <c r="P584" s="5"/>
      <c r="Q584" s="5"/>
      <c r="R584" s="5"/>
      <c r="S584" s="5"/>
      <c r="T584" s="5"/>
      <c r="U584" s="5"/>
      <c r="V584" s="5"/>
      <c r="W584" s="5"/>
      <c r="X584" s="5"/>
      <c r="Y584" s="5"/>
      <c r="Z584" s="5"/>
    </row>
    <row r="585" spans="1:26" ht="12.75" customHeight="1">
      <c r="A585" s="5"/>
      <c r="B585" s="5"/>
      <c r="C585" s="5"/>
      <c r="D585" s="5"/>
      <c r="E585" s="5"/>
      <c r="F585" s="5"/>
      <c r="G585" s="5"/>
      <c r="H585" s="306"/>
      <c r="I585" s="5"/>
      <c r="J585" s="5"/>
      <c r="K585" s="5"/>
      <c r="L585" s="5"/>
      <c r="M585" s="5"/>
      <c r="N585" s="5"/>
      <c r="O585" s="57"/>
      <c r="P585" s="5"/>
      <c r="Q585" s="5"/>
      <c r="R585" s="5"/>
      <c r="S585" s="5"/>
      <c r="T585" s="5"/>
      <c r="U585" s="5"/>
      <c r="V585" s="5"/>
      <c r="W585" s="5"/>
      <c r="X585" s="5"/>
      <c r="Y585" s="5"/>
      <c r="Z585" s="5"/>
    </row>
    <row r="586" spans="1:26" ht="12.75" customHeight="1">
      <c r="A586" s="5"/>
      <c r="B586" s="5"/>
      <c r="C586" s="5"/>
      <c r="D586" s="5"/>
      <c r="E586" s="5"/>
      <c r="F586" s="5"/>
      <c r="G586" s="5"/>
      <c r="H586" s="306"/>
      <c r="I586" s="5"/>
      <c r="J586" s="5"/>
      <c r="K586" s="5"/>
      <c r="L586" s="5"/>
      <c r="M586" s="5"/>
      <c r="N586" s="5"/>
      <c r="O586" s="57"/>
      <c r="P586" s="5"/>
      <c r="Q586" s="5"/>
      <c r="R586" s="5"/>
      <c r="S586" s="5"/>
      <c r="T586" s="5"/>
      <c r="U586" s="5"/>
      <c r="V586" s="5"/>
      <c r="W586" s="5"/>
      <c r="X586" s="5"/>
      <c r="Y586" s="5"/>
      <c r="Z586" s="5"/>
    </row>
    <row r="587" spans="1:26" ht="12.75" customHeight="1">
      <c r="A587" s="5"/>
      <c r="B587" s="5"/>
      <c r="C587" s="5"/>
      <c r="D587" s="5"/>
      <c r="E587" s="5"/>
      <c r="F587" s="5"/>
      <c r="G587" s="5"/>
      <c r="H587" s="306"/>
      <c r="I587" s="5"/>
      <c r="J587" s="5"/>
      <c r="K587" s="5"/>
      <c r="L587" s="5"/>
      <c r="M587" s="5"/>
      <c r="N587" s="5"/>
      <c r="O587" s="57"/>
      <c r="P587" s="5"/>
      <c r="Q587" s="5"/>
      <c r="R587" s="5"/>
      <c r="S587" s="5"/>
      <c r="T587" s="5"/>
      <c r="U587" s="5"/>
      <c r="V587" s="5"/>
      <c r="W587" s="5"/>
      <c r="X587" s="5"/>
      <c r="Y587" s="5"/>
      <c r="Z587" s="5"/>
    </row>
    <row r="588" spans="1:26" ht="12.75" customHeight="1">
      <c r="A588" s="5"/>
      <c r="B588" s="5"/>
      <c r="C588" s="5"/>
      <c r="D588" s="5"/>
      <c r="E588" s="5"/>
      <c r="F588" s="5"/>
      <c r="G588" s="5"/>
      <c r="H588" s="306"/>
      <c r="I588" s="5"/>
      <c r="J588" s="5"/>
      <c r="K588" s="5"/>
      <c r="L588" s="5"/>
      <c r="M588" s="5"/>
      <c r="N588" s="5"/>
      <c r="O588" s="57"/>
      <c r="P588" s="5"/>
      <c r="Q588" s="5"/>
      <c r="R588" s="5"/>
      <c r="S588" s="5"/>
      <c r="T588" s="5"/>
      <c r="U588" s="5"/>
      <c r="V588" s="5"/>
      <c r="W588" s="5"/>
      <c r="X588" s="5"/>
      <c r="Y588" s="5"/>
      <c r="Z588" s="5"/>
    </row>
    <row r="589" spans="1:26" ht="12.75" customHeight="1">
      <c r="A589" s="5"/>
      <c r="B589" s="5"/>
      <c r="C589" s="5"/>
      <c r="D589" s="5"/>
      <c r="E589" s="5"/>
      <c r="F589" s="5"/>
      <c r="G589" s="5"/>
      <c r="H589" s="306"/>
      <c r="I589" s="5"/>
      <c r="J589" s="5"/>
      <c r="K589" s="5"/>
      <c r="L589" s="5"/>
      <c r="M589" s="5"/>
      <c r="N589" s="5"/>
      <c r="O589" s="57"/>
      <c r="P589" s="5"/>
      <c r="Q589" s="5"/>
      <c r="R589" s="5"/>
      <c r="S589" s="5"/>
      <c r="T589" s="5"/>
      <c r="U589" s="5"/>
      <c r="V589" s="5"/>
      <c r="W589" s="5"/>
      <c r="X589" s="5"/>
      <c r="Y589" s="5"/>
      <c r="Z589" s="5"/>
    </row>
    <row r="590" spans="1:26" ht="12.75" customHeight="1">
      <c r="A590" s="5"/>
      <c r="B590" s="5"/>
      <c r="C590" s="5"/>
      <c r="D590" s="5"/>
      <c r="E590" s="5"/>
      <c r="F590" s="5"/>
      <c r="G590" s="5"/>
      <c r="H590" s="306"/>
      <c r="I590" s="5"/>
      <c r="J590" s="5"/>
      <c r="K590" s="5"/>
      <c r="L590" s="5"/>
      <c r="M590" s="5"/>
      <c r="N590" s="5"/>
      <c r="O590" s="57"/>
      <c r="P590" s="5"/>
      <c r="Q590" s="5"/>
      <c r="R590" s="5"/>
      <c r="S590" s="5"/>
      <c r="T590" s="5"/>
      <c r="U590" s="5"/>
      <c r="V590" s="5"/>
      <c r="W590" s="5"/>
      <c r="X590" s="5"/>
      <c r="Y590" s="5"/>
      <c r="Z590" s="5"/>
    </row>
    <row r="591" spans="1:26" ht="12.75" customHeight="1">
      <c r="A591" s="5"/>
      <c r="B591" s="5"/>
      <c r="C591" s="5"/>
      <c r="D591" s="5"/>
      <c r="E591" s="5"/>
      <c r="F591" s="5"/>
      <c r="G591" s="5"/>
      <c r="H591" s="306"/>
      <c r="I591" s="5"/>
      <c r="J591" s="5"/>
      <c r="K591" s="5"/>
      <c r="L591" s="5"/>
      <c r="M591" s="5"/>
      <c r="N591" s="5"/>
      <c r="O591" s="57"/>
      <c r="P591" s="5"/>
      <c r="Q591" s="5"/>
      <c r="R591" s="5"/>
      <c r="S591" s="5"/>
      <c r="T591" s="5"/>
      <c r="U591" s="5"/>
      <c r="V591" s="5"/>
      <c r="W591" s="5"/>
      <c r="X591" s="5"/>
      <c r="Y591" s="5"/>
      <c r="Z591" s="5"/>
    </row>
    <row r="592" spans="1:26" ht="12.75" customHeight="1">
      <c r="A592" s="5"/>
      <c r="B592" s="5"/>
      <c r="C592" s="5"/>
      <c r="D592" s="5"/>
      <c r="E592" s="5"/>
      <c r="F592" s="5"/>
      <c r="G592" s="5"/>
      <c r="H592" s="306"/>
      <c r="I592" s="5"/>
      <c r="J592" s="5"/>
      <c r="K592" s="5"/>
      <c r="L592" s="5"/>
      <c r="M592" s="5"/>
      <c r="N592" s="5"/>
      <c r="O592" s="57"/>
      <c r="P592" s="5"/>
      <c r="Q592" s="5"/>
      <c r="R592" s="5"/>
      <c r="S592" s="5"/>
      <c r="T592" s="5"/>
      <c r="U592" s="5"/>
      <c r="V592" s="5"/>
      <c r="W592" s="5"/>
      <c r="X592" s="5"/>
      <c r="Y592" s="5"/>
      <c r="Z592" s="5"/>
    </row>
    <row r="593" spans="1:26" ht="12.75" customHeight="1">
      <c r="A593" s="5"/>
      <c r="B593" s="5"/>
      <c r="C593" s="5"/>
      <c r="D593" s="5"/>
      <c r="E593" s="5"/>
      <c r="F593" s="5"/>
      <c r="G593" s="5"/>
      <c r="H593" s="306"/>
      <c r="I593" s="5"/>
      <c r="J593" s="5"/>
      <c r="K593" s="5"/>
      <c r="L593" s="5"/>
      <c r="M593" s="5"/>
      <c r="N593" s="5"/>
      <c r="O593" s="57"/>
      <c r="P593" s="5"/>
      <c r="Q593" s="5"/>
      <c r="R593" s="5"/>
      <c r="S593" s="5"/>
      <c r="T593" s="5"/>
      <c r="U593" s="5"/>
      <c r="V593" s="5"/>
      <c r="W593" s="5"/>
      <c r="X593" s="5"/>
      <c r="Y593" s="5"/>
      <c r="Z593" s="5"/>
    </row>
    <row r="594" spans="1:26" ht="12.75" customHeight="1">
      <c r="A594" s="5"/>
      <c r="B594" s="5"/>
      <c r="C594" s="5"/>
      <c r="D594" s="5"/>
      <c r="E594" s="5"/>
      <c r="F594" s="5"/>
      <c r="G594" s="5"/>
      <c r="H594" s="306"/>
      <c r="I594" s="5"/>
      <c r="J594" s="5"/>
      <c r="K594" s="5"/>
      <c r="L594" s="5"/>
      <c r="M594" s="5"/>
      <c r="N594" s="5"/>
      <c r="O594" s="57"/>
      <c r="P594" s="5"/>
      <c r="Q594" s="5"/>
      <c r="R594" s="5"/>
      <c r="S594" s="5"/>
      <c r="T594" s="5"/>
      <c r="U594" s="5"/>
      <c r="V594" s="5"/>
      <c r="W594" s="5"/>
      <c r="X594" s="5"/>
      <c r="Y594" s="5"/>
      <c r="Z594" s="5"/>
    </row>
    <row r="595" spans="1:26" ht="12.75" customHeight="1">
      <c r="A595" s="5"/>
      <c r="B595" s="5"/>
      <c r="C595" s="5"/>
      <c r="D595" s="5"/>
      <c r="E595" s="5"/>
      <c r="F595" s="5"/>
      <c r="G595" s="5"/>
      <c r="H595" s="306"/>
      <c r="I595" s="5"/>
      <c r="J595" s="5"/>
      <c r="K595" s="5"/>
      <c r="L595" s="5"/>
      <c r="M595" s="5"/>
      <c r="N595" s="5"/>
      <c r="O595" s="57"/>
      <c r="P595" s="5"/>
      <c r="Q595" s="5"/>
      <c r="R595" s="5"/>
      <c r="S595" s="5"/>
      <c r="T595" s="5"/>
      <c r="U595" s="5"/>
      <c r="V595" s="5"/>
      <c r="W595" s="5"/>
      <c r="X595" s="5"/>
      <c r="Y595" s="5"/>
      <c r="Z595" s="5"/>
    </row>
    <row r="596" spans="1:26" ht="12.75" customHeight="1">
      <c r="A596" s="5"/>
      <c r="B596" s="5"/>
      <c r="C596" s="5"/>
      <c r="D596" s="5"/>
      <c r="E596" s="5"/>
      <c r="F596" s="5"/>
      <c r="G596" s="5"/>
      <c r="H596" s="306"/>
      <c r="I596" s="5"/>
      <c r="J596" s="5"/>
      <c r="K596" s="5"/>
      <c r="L596" s="5"/>
      <c r="M596" s="5"/>
      <c r="N596" s="5"/>
      <c r="O596" s="57"/>
      <c r="P596" s="5"/>
      <c r="Q596" s="5"/>
      <c r="R596" s="5"/>
      <c r="S596" s="5"/>
      <c r="T596" s="5"/>
      <c r="U596" s="5"/>
      <c r="V596" s="5"/>
      <c r="W596" s="5"/>
      <c r="X596" s="5"/>
      <c r="Y596" s="5"/>
      <c r="Z596" s="5"/>
    </row>
    <row r="597" spans="1:26" ht="12.75" customHeight="1">
      <c r="A597" s="5"/>
      <c r="B597" s="5"/>
      <c r="C597" s="5"/>
      <c r="D597" s="5"/>
      <c r="E597" s="5"/>
      <c r="F597" s="5"/>
      <c r="G597" s="5"/>
      <c r="H597" s="306"/>
      <c r="I597" s="5"/>
      <c r="J597" s="5"/>
      <c r="K597" s="5"/>
      <c r="L597" s="5"/>
      <c r="M597" s="5"/>
      <c r="N597" s="5"/>
      <c r="O597" s="57"/>
      <c r="P597" s="5"/>
      <c r="Q597" s="5"/>
      <c r="R597" s="5"/>
      <c r="S597" s="5"/>
      <c r="T597" s="5"/>
      <c r="U597" s="5"/>
      <c r="V597" s="5"/>
      <c r="W597" s="5"/>
      <c r="X597" s="5"/>
      <c r="Y597" s="5"/>
      <c r="Z597" s="5"/>
    </row>
    <row r="598" spans="1:26" ht="12.75" customHeight="1">
      <c r="A598" s="5"/>
      <c r="B598" s="5"/>
      <c r="C598" s="5"/>
      <c r="D598" s="5"/>
      <c r="E598" s="5"/>
      <c r="F598" s="5"/>
      <c r="G598" s="5"/>
      <c r="H598" s="306"/>
      <c r="I598" s="5"/>
      <c r="J598" s="5"/>
      <c r="K598" s="5"/>
      <c r="L598" s="5"/>
      <c r="M598" s="5"/>
      <c r="N598" s="5"/>
      <c r="O598" s="57"/>
      <c r="P598" s="5"/>
      <c r="Q598" s="5"/>
      <c r="R598" s="5"/>
      <c r="S598" s="5"/>
      <c r="T598" s="5"/>
      <c r="U598" s="5"/>
      <c r="V598" s="5"/>
      <c r="W598" s="5"/>
      <c r="X598" s="5"/>
      <c r="Y598" s="5"/>
      <c r="Z598" s="5"/>
    </row>
    <row r="599" spans="1:26" ht="12.75" customHeight="1">
      <c r="A599" s="5"/>
      <c r="B599" s="5"/>
      <c r="C599" s="5"/>
      <c r="D599" s="5"/>
      <c r="E599" s="5"/>
      <c r="F599" s="5"/>
      <c r="G599" s="5"/>
      <c r="H599" s="306"/>
      <c r="I599" s="5"/>
      <c r="J599" s="5"/>
      <c r="K599" s="5"/>
      <c r="L599" s="5"/>
      <c r="M599" s="5"/>
      <c r="N599" s="5"/>
      <c r="O599" s="57"/>
      <c r="P599" s="5"/>
      <c r="Q599" s="5"/>
      <c r="R599" s="5"/>
      <c r="S599" s="5"/>
      <c r="T599" s="5"/>
      <c r="U599" s="5"/>
      <c r="V599" s="5"/>
      <c r="W599" s="5"/>
      <c r="X599" s="5"/>
      <c r="Y599" s="5"/>
      <c r="Z599" s="5"/>
    </row>
    <row r="600" spans="1:26" ht="12.75" customHeight="1">
      <c r="A600" s="5"/>
      <c r="B600" s="5"/>
      <c r="C600" s="5"/>
      <c r="D600" s="5"/>
      <c r="E600" s="5"/>
      <c r="F600" s="5"/>
      <c r="G600" s="5"/>
      <c r="H600" s="306"/>
      <c r="I600" s="5"/>
      <c r="J600" s="5"/>
      <c r="K600" s="5"/>
      <c r="L600" s="5"/>
      <c r="M600" s="5"/>
      <c r="N600" s="5"/>
      <c r="O600" s="57"/>
      <c r="P600" s="5"/>
      <c r="Q600" s="5"/>
      <c r="R600" s="5"/>
      <c r="S600" s="5"/>
      <c r="T600" s="5"/>
      <c r="U600" s="5"/>
      <c r="V600" s="5"/>
      <c r="W600" s="5"/>
      <c r="X600" s="5"/>
      <c r="Y600" s="5"/>
      <c r="Z600" s="5"/>
    </row>
    <row r="601" spans="1:26" ht="12.75" customHeight="1">
      <c r="A601" s="5"/>
      <c r="B601" s="5"/>
      <c r="C601" s="5"/>
      <c r="D601" s="5"/>
      <c r="E601" s="5"/>
      <c r="F601" s="5"/>
      <c r="G601" s="5"/>
      <c r="H601" s="306"/>
      <c r="I601" s="5"/>
      <c r="J601" s="5"/>
      <c r="K601" s="5"/>
      <c r="L601" s="5"/>
      <c r="M601" s="5"/>
      <c r="N601" s="5"/>
      <c r="O601" s="57"/>
      <c r="P601" s="5"/>
      <c r="Q601" s="5"/>
      <c r="R601" s="5"/>
      <c r="S601" s="5"/>
      <c r="T601" s="5"/>
      <c r="U601" s="5"/>
      <c r="V601" s="5"/>
      <c r="W601" s="5"/>
      <c r="X601" s="5"/>
      <c r="Y601" s="5"/>
      <c r="Z601" s="5"/>
    </row>
    <row r="602" spans="1:26" ht="12.75" customHeight="1">
      <c r="A602" s="5"/>
      <c r="B602" s="5"/>
      <c r="C602" s="5"/>
      <c r="D602" s="5"/>
      <c r="E602" s="5"/>
      <c r="F602" s="5"/>
      <c r="G602" s="5"/>
      <c r="H602" s="306"/>
      <c r="I602" s="5"/>
      <c r="J602" s="5"/>
      <c r="K602" s="5"/>
      <c r="L602" s="5"/>
      <c r="M602" s="5"/>
      <c r="N602" s="5"/>
      <c r="O602" s="57"/>
      <c r="P602" s="5"/>
      <c r="Q602" s="5"/>
      <c r="R602" s="5"/>
      <c r="S602" s="5"/>
      <c r="T602" s="5"/>
      <c r="U602" s="5"/>
      <c r="V602" s="5"/>
      <c r="W602" s="5"/>
      <c r="X602" s="5"/>
      <c r="Y602" s="5"/>
      <c r="Z602" s="5"/>
    </row>
    <row r="603" spans="1:26" ht="12.75" customHeight="1">
      <c r="A603" s="5"/>
      <c r="B603" s="5"/>
      <c r="C603" s="5"/>
      <c r="D603" s="5"/>
      <c r="E603" s="5"/>
      <c r="F603" s="5"/>
      <c r="G603" s="5"/>
      <c r="H603" s="306"/>
      <c r="I603" s="5"/>
      <c r="J603" s="5"/>
      <c r="K603" s="5"/>
      <c r="L603" s="5"/>
      <c r="M603" s="5"/>
      <c r="N603" s="5"/>
      <c r="O603" s="57"/>
      <c r="P603" s="5"/>
      <c r="Q603" s="5"/>
      <c r="R603" s="5"/>
      <c r="S603" s="5"/>
      <c r="T603" s="5"/>
      <c r="U603" s="5"/>
      <c r="V603" s="5"/>
      <c r="W603" s="5"/>
      <c r="X603" s="5"/>
      <c r="Y603" s="5"/>
      <c r="Z603" s="5"/>
    </row>
    <row r="604" spans="1:26" ht="12.75" customHeight="1">
      <c r="A604" s="5"/>
      <c r="B604" s="5"/>
      <c r="C604" s="5"/>
      <c r="D604" s="5"/>
      <c r="E604" s="5"/>
      <c r="F604" s="5"/>
      <c r="G604" s="5"/>
      <c r="H604" s="306"/>
      <c r="I604" s="5"/>
      <c r="J604" s="5"/>
      <c r="K604" s="5"/>
      <c r="L604" s="5"/>
      <c r="M604" s="5"/>
      <c r="N604" s="5"/>
      <c r="O604" s="57"/>
      <c r="P604" s="5"/>
      <c r="Q604" s="5"/>
      <c r="R604" s="5"/>
      <c r="S604" s="5"/>
      <c r="T604" s="5"/>
      <c r="U604" s="5"/>
      <c r="V604" s="5"/>
      <c r="W604" s="5"/>
      <c r="X604" s="5"/>
      <c r="Y604" s="5"/>
      <c r="Z604" s="5"/>
    </row>
    <row r="605" spans="1:26" ht="12.75" customHeight="1">
      <c r="A605" s="5"/>
      <c r="B605" s="5"/>
      <c r="C605" s="5"/>
      <c r="D605" s="5"/>
      <c r="E605" s="5"/>
      <c r="F605" s="5"/>
      <c r="G605" s="5"/>
      <c r="H605" s="306"/>
      <c r="I605" s="5"/>
      <c r="J605" s="5"/>
      <c r="K605" s="5"/>
      <c r="L605" s="5"/>
      <c r="M605" s="5"/>
      <c r="N605" s="5"/>
      <c r="O605" s="57"/>
      <c r="P605" s="5"/>
      <c r="Q605" s="5"/>
      <c r="R605" s="5"/>
      <c r="S605" s="5"/>
      <c r="T605" s="5"/>
      <c r="U605" s="5"/>
      <c r="V605" s="5"/>
      <c r="W605" s="5"/>
      <c r="X605" s="5"/>
      <c r="Y605" s="5"/>
      <c r="Z605" s="5"/>
    </row>
    <row r="606" spans="1:26" ht="12.75" customHeight="1">
      <c r="A606" s="5"/>
      <c r="B606" s="5"/>
      <c r="C606" s="5"/>
      <c r="D606" s="5"/>
      <c r="E606" s="5"/>
      <c r="F606" s="5"/>
      <c r="G606" s="5"/>
      <c r="H606" s="306"/>
      <c r="I606" s="5"/>
      <c r="J606" s="5"/>
      <c r="K606" s="5"/>
      <c r="L606" s="5"/>
      <c r="M606" s="5"/>
      <c r="N606" s="5"/>
      <c r="O606" s="57"/>
      <c r="P606" s="5"/>
      <c r="Q606" s="5"/>
      <c r="R606" s="5"/>
      <c r="S606" s="5"/>
      <c r="T606" s="5"/>
      <c r="U606" s="5"/>
      <c r="V606" s="5"/>
      <c r="W606" s="5"/>
      <c r="X606" s="5"/>
      <c r="Y606" s="5"/>
      <c r="Z606" s="5"/>
    </row>
    <row r="607" spans="1:26" ht="12.75" customHeight="1">
      <c r="A607" s="5"/>
      <c r="B607" s="5"/>
      <c r="C607" s="5"/>
      <c r="D607" s="5"/>
      <c r="E607" s="5"/>
      <c r="F607" s="5"/>
      <c r="G607" s="5"/>
      <c r="H607" s="306"/>
      <c r="I607" s="5"/>
      <c r="J607" s="5"/>
      <c r="K607" s="5"/>
      <c r="L607" s="5"/>
      <c r="M607" s="5"/>
      <c r="N607" s="5"/>
      <c r="O607" s="57"/>
      <c r="P607" s="5"/>
      <c r="Q607" s="5"/>
      <c r="R607" s="5"/>
      <c r="S607" s="5"/>
      <c r="T607" s="5"/>
      <c r="U607" s="5"/>
      <c r="V607" s="5"/>
      <c r="W607" s="5"/>
      <c r="X607" s="5"/>
      <c r="Y607" s="5"/>
      <c r="Z607" s="5"/>
    </row>
    <row r="608" spans="1:26" ht="12.75" customHeight="1">
      <c r="A608" s="5"/>
      <c r="B608" s="5"/>
      <c r="C608" s="5"/>
      <c r="D608" s="5"/>
      <c r="E608" s="5"/>
      <c r="F608" s="5"/>
      <c r="G608" s="5"/>
      <c r="H608" s="306"/>
      <c r="I608" s="5"/>
      <c r="J608" s="5"/>
      <c r="K608" s="5"/>
      <c r="L608" s="5"/>
      <c r="M608" s="5"/>
      <c r="N608" s="5"/>
      <c r="O608" s="57"/>
      <c r="P608" s="5"/>
      <c r="Q608" s="5"/>
      <c r="R608" s="5"/>
      <c r="S608" s="5"/>
      <c r="T608" s="5"/>
      <c r="U608" s="5"/>
      <c r="V608" s="5"/>
      <c r="W608" s="5"/>
      <c r="X608" s="5"/>
      <c r="Y608" s="5"/>
      <c r="Z608" s="5"/>
    </row>
    <row r="609" spans="1:26" ht="12.75" customHeight="1">
      <c r="A609" s="5"/>
      <c r="B609" s="5"/>
      <c r="C609" s="5"/>
      <c r="D609" s="5"/>
      <c r="E609" s="5"/>
      <c r="F609" s="5"/>
      <c r="G609" s="5"/>
      <c r="H609" s="306"/>
      <c r="I609" s="5"/>
      <c r="J609" s="5"/>
      <c r="K609" s="5"/>
      <c r="L609" s="5"/>
      <c r="M609" s="5"/>
      <c r="N609" s="5"/>
      <c r="O609" s="57"/>
      <c r="P609" s="5"/>
      <c r="Q609" s="5"/>
      <c r="R609" s="5"/>
      <c r="S609" s="5"/>
      <c r="T609" s="5"/>
      <c r="U609" s="5"/>
      <c r="V609" s="5"/>
      <c r="W609" s="5"/>
      <c r="X609" s="5"/>
      <c r="Y609" s="5"/>
      <c r="Z609" s="5"/>
    </row>
    <row r="610" spans="1:26" ht="12.75" customHeight="1">
      <c r="A610" s="5"/>
      <c r="B610" s="5"/>
      <c r="C610" s="5"/>
      <c r="D610" s="5"/>
      <c r="E610" s="5"/>
      <c r="F610" s="5"/>
      <c r="G610" s="5"/>
      <c r="H610" s="306"/>
      <c r="I610" s="5"/>
      <c r="J610" s="5"/>
      <c r="K610" s="5"/>
      <c r="L610" s="5"/>
      <c r="M610" s="5"/>
      <c r="N610" s="5"/>
      <c r="O610" s="57"/>
      <c r="P610" s="5"/>
      <c r="Q610" s="5"/>
      <c r="R610" s="5"/>
      <c r="S610" s="5"/>
      <c r="T610" s="5"/>
      <c r="U610" s="5"/>
      <c r="V610" s="5"/>
      <c r="W610" s="5"/>
      <c r="X610" s="5"/>
      <c r="Y610" s="5"/>
      <c r="Z610" s="5"/>
    </row>
    <row r="611" spans="1:26" ht="12.75" customHeight="1">
      <c r="A611" s="5"/>
      <c r="B611" s="5"/>
      <c r="C611" s="5"/>
      <c r="D611" s="5"/>
      <c r="E611" s="5"/>
      <c r="F611" s="5"/>
      <c r="G611" s="5"/>
      <c r="H611" s="306"/>
      <c r="I611" s="5"/>
      <c r="J611" s="5"/>
      <c r="K611" s="5"/>
      <c r="L611" s="5"/>
      <c r="M611" s="5"/>
      <c r="N611" s="5"/>
      <c r="O611" s="57"/>
      <c r="P611" s="5"/>
      <c r="Q611" s="5"/>
      <c r="R611" s="5"/>
      <c r="S611" s="5"/>
      <c r="T611" s="5"/>
      <c r="U611" s="5"/>
      <c r="V611" s="5"/>
      <c r="W611" s="5"/>
      <c r="X611" s="5"/>
      <c r="Y611" s="5"/>
      <c r="Z611" s="5"/>
    </row>
    <row r="612" spans="1:26" ht="12.75" customHeight="1">
      <c r="A612" s="5"/>
      <c r="B612" s="5"/>
      <c r="C612" s="5"/>
      <c r="D612" s="5"/>
      <c r="E612" s="5"/>
      <c r="F612" s="5"/>
      <c r="G612" s="5"/>
      <c r="H612" s="306"/>
      <c r="I612" s="5"/>
      <c r="J612" s="5"/>
      <c r="K612" s="5"/>
      <c r="L612" s="5"/>
      <c r="M612" s="5"/>
      <c r="N612" s="5"/>
      <c r="O612" s="57"/>
      <c r="P612" s="5"/>
      <c r="Q612" s="5"/>
      <c r="R612" s="5"/>
      <c r="S612" s="5"/>
      <c r="T612" s="5"/>
      <c r="U612" s="5"/>
      <c r="V612" s="5"/>
      <c r="W612" s="5"/>
      <c r="X612" s="5"/>
      <c r="Y612" s="5"/>
      <c r="Z612" s="5"/>
    </row>
    <row r="613" spans="1:26" ht="12.75" customHeight="1">
      <c r="A613" s="5"/>
      <c r="B613" s="5"/>
      <c r="C613" s="5"/>
      <c r="D613" s="5"/>
      <c r="E613" s="5"/>
      <c r="F613" s="5"/>
      <c r="G613" s="5"/>
      <c r="H613" s="306"/>
      <c r="I613" s="5"/>
      <c r="J613" s="5"/>
      <c r="K613" s="5"/>
      <c r="L613" s="5"/>
      <c r="M613" s="5"/>
      <c r="N613" s="5"/>
      <c r="O613" s="57"/>
      <c r="P613" s="5"/>
      <c r="Q613" s="5"/>
      <c r="R613" s="5"/>
      <c r="S613" s="5"/>
      <c r="T613" s="5"/>
      <c r="U613" s="5"/>
      <c r="V613" s="5"/>
      <c r="W613" s="5"/>
      <c r="X613" s="5"/>
      <c r="Y613" s="5"/>
      <c r="Z613" s="5"/>
    </row>
    <row r="614" spans="1:26" ht="12.75" customHeight="1">
      <c r="A614" s="5"/>
      <c r="B614" s="5"/>
      <c r="C614" s="5"/>
      <c r="D614" s="5"/>
      <c r="E614" s="5"/>
      <c r="F614" s="5"/>
      <c r="G614" s="5"/>
      <c r="H614" s="306"/>
      <c r="I614" s="5"/>
      <c r="J614" s="5"/>
      <c r="K614" s="5"/>
      <c r="L614" s="5"/>
      <c r="M614" s="5"/>
      <c r="N614" s="5"/>
      <c r="O614" s="57"/>
      <c r="P614" s="5"/>
      <c r="Q614" s="5"/>
      <c r="R614" s="5"/>
      <c r="S614" s="5"/>
      <c r="T614" s="5"/>
      <c r="U614" s="5"/>
      <c r="V614" s="5"/>
      <c r="W614" s="5"/>
      <c r="X614" s="5"/>
      <c r="Y614" s="5"/>
      <c r="Z614" s="5"/>
    </row>
    <row r="615" spans="1:26" ht="12.75" customHeight="1">
      <c r="A615" s="5"/>
      <c r="B615" s="5"/>
      <c r="C615" s="5"/>
      <c r="D615" s="5"/>
      <c r="E615" s="5"/>
      <c r="F615" s="5"/>
      <c r="G615" s="5"/>
      <c r="H615" s="306"/>
      <c r="I615" s="5"/>
      <c r="J615" s="5"/>
      <c r="K615" s="5"/>
      <c r="L615" s="5"/>
      <c r="M615" s="5"/>
      <c r="N615" s="5"/>
      <c r="O615" s="57"/>
      <c r="P615" s="5"/>
      <c r="Q615" s="5"/>
      <c r="R615" s="5"/>
      <c r="S615" s="5"/>
      <c r="T615" s="5"/>
      <c r="U615" s="5"/>
      <c r="V615" s="5"/>
      <c r="W615" s="5"/>
      <c r="X615" s="5"/>
      <c r="Y615" s="5"/>
      <c r="Z615" s="5"/>
    </row>
    <row r="616" spans="1:26" ht="12.75" customHeight="1">
      <c r="A616" s="5"/>
      <c r="B616" s="5"/>
      <c r="C616" s="5"/>
      <c r="D616" s="5"/>
      <c r="E616" s="5"/>
      <c r="F616" s="5"/>
      <c r="G616" s="5"/>
      <c r="H616" s="306"/>
      <c r="I616" s="5"/>
      <c r="J616" s="5"/>
      <c r="K616" s="5"/>
      <c r="L616" s="5"/>
      <c r="M616" s="5"/>
      <c r="N616" s="5"/>
      <c r="O616" s="57"/>
      <c r="P616" s="5"/>
      <c r="Q616" s="5"/>
      <c r="R616" s="5"/>
      <c r="S616" s="5"/>
      <c r="T616" s="5"/>
      <c r="U616" s="5"/>
      <c r="V616" s="5"/>
      <c r="W616" s="5"/>
      <c r="X616" s="5"/>
      <c r="Y616" s="5"/>
      <c r="Z616" s="5"/>
    </row>
    <row r="617" spans="1:26" ht="12.75" customHeight="1">
      <c r="A617" s="5"/>
      <c r="B617" s="5"/>
      <c r="C617" s="5"/>
      <c r="D617" s="5"/>
      <c r="E617" s="5"/>
      <c r="F617" s="5"/>
      <c r="G617" s="5"/>
      <c r="H617" s="306"/>
      <c r="I617" s="5"/>
      <c r="J617" s="5"/>
      <c r="K617" s="5"/>
      <c r="L617" s="5"/>
      <c r="M617" s="5"/>
      <c r="N617" s="5"/>
      <c r="O617" s="57"/>
      <c r="P617" s="5"/>
      <c r="Q617" s="5"/>
      <c r="R617" s="5"/>
      <c r="S617" s="5"/>
      <c r="T617" s="5"/>
      <c r="U617" s="5"/>
      <c r="V617" s="5"/>
      <c r="W617" s="5"/>
      <c r="X617" s="5"/>
      <c r="Y617" s="5"/>
      <c r="Z617" s="5"/>
    </row>
    <row r="618" spans="1:26" ht="12.75" customHeight="1">
      <c r="A618" s="5"/>
      <c r="B618" s="5"/>
      <c r="C618" s="5"/>
      <c r="D618" s="5"/>
      <c r="E618" s="5"/>
      <c r="F618" s="5"/>
      <c r="G618" s="5"/>
      <c r="H618" s="306"/>
      <c r="I618" s="5"/>
      <c r="J618" s="5"/>
      <c r="K618" s="5"/>
      <c r="L618" s="5"/>
      <c r="M618" s="5"/>
      <c r="N618" s="5"/>
      <c r="O618" s="57"/>
      <c r="P618" s="5"/>
      <c r="Q618" s="5"/>
      <c r="R618" s="5"/>
      <c r="S618" s="5"/>
      <c r="T618" s="5"/>
      <c r="U618" s="5"/>
      <c r="V618" s="5"/>
      <c r="W618" s="5"/>
      <c r="X618" s="5"/>
      <c r="Y618" s="5"/>
      <c r="Z618" s="5"/>
    </row>
    <row r="619" spans="1:26" ht="12.75" customHeight="1">
      <c r="A619" s="5"/>
      <c r="B619" s="5"/>
      <c r="C619" s="5"/>
      <c r="D619" s="5"/>
      <c r="E619" s="5"/>
      <c r="F619" s="5"/>
      <c r="G619" s="5"/>
      <c r="H619" s="306"/>
      <c r="I619" s="5"/>
      <c r="J619" s="5"/>
      <c r="K619" s="5"/>
      <c r="L619" s="5"/>
      <c r="M619" s="5"/>
      <c r="N619" s="5"/>
      <c r="O619" s="57"/>
      <c r="P619" s="5"/>
      <c r="Q619" s="5"/>
      <c r="R619" s="5"/>
      <c r="S619" s="5"/>
      <c r="T619" s="5"/>
      <c r="U619" s="5"/>
      <c r="V619" s="5"/>
      <c r="W619" s="5"/>
      <c r="X619" s="5"/>
      <c r="Y619" s="5"/>
      <c r="Z619" s="5"/>
    </row>
    <row r="620" spans="1:26" ht="12.75" customHeight="1">
      <c r="A620" s="5"/>
      <c r="B620" s="5"/>
      <c r="C620" s="5"/>
      <c r="D620" s="5"/>
      <c r="E620" s="5"/>
      <c r="F620" s="5"/>
      <c r="G620" s="5"/>
      <c r="H620" s="306"/>
      <c r="I620" s="5"/>
      <c r="J620" s="5"/>
      <c r="K620" s="5"/>
      <c r="L620" s="5"/>
      <c r="M620" s="5"/>
      <c r="N620" s="5"/>
      <c r="O620" s="57"/>
      <c r="P620" s="5"/>
      <c r="Q620" s="5"/>
      <c r="R620" s="5"/>
      <c r="S620" s="5"/>
      <c r="T620" s="5"/>
      <c r="U620" s="5"/>
      <c r="V620" s="5"/>
      <c r="W620" s="5"/>
      <c r="X620" s="5"/>
      <c r="Y620" s="5"/>
      <c r="Z620" s="5"/>
    </row>
    <row r="621" spans="1:26" ht="12.75" customHeight="1">
      <c r="A621" s="5"/>
      <c r="B621" s="5"/>
      <c r="C621" s="5"/>
      <c r="D621" s="5"/>
      <c r="E621" s="5"/>
      <c r="F621" s="5"/>
      <c r="G621" s="5"/>
      <c r="H621" s="306"/>
      <c r="I621" s="5"/>
      <c r="J621" s="5"/>
      <c r="K621" s="5"/>
      <c r="L621" s="5"/>
      <c r="M621" s="5"/>
      <c r="N621" s="5"/>
      <c r="O621" s="57"/>
      <c r="P621" s="5"/>
      <c r="Q621" s="5"/>
      <c r="R621" s="5"/>
      <c r="S621" s="5"/>
      <c r="T621" s="5"/>
      <c r="U621" s="5"/>
      <c r="V621" s="5"/>
      <c r="W621" s="5"/>
      <c r="X621" s="5"/>
      <c r="Y621" s="5"/>
      <c r="Z621" s="5"/>
    </row>
    <row r="622" spans="1:26" ht="12.75" customHeight="1">
      <c r="A622" s="5"/>
      <c r="B622" s="5"/>
      <c r="C622" s="5"/>
      <c r="D622" s="5"/>
      <c r="E622" s="5"/>
      <c r="F622" s="5"/>
      <c r="G622" s="5"/>
      <c r="H622" s="306"/>
      <c r="I622" s="5"/>
      <c r="J622" s="5"/>
      <c r="K622" s="5"/>
      <c r="L622" s="5"/>
      <c r="M622" s="5"/>
      <c r="N622" s="5"/>
      <c r="O622" s="57"/>
      <c r="P622" s="5"/>
      <c r="Q622" s="5"/>
      <c r="R622" s="5"/>
      <c r="S622" s="5"/>
      <c r="T622" s="5"/>
      <c r="U622" s="5"/>
      <c r="V622" s="5"/>
      <c r="W622" s="5"/>
      <c r="X622" s="5"/>
      <c r="Y622" s="5"/>
      <c r="Z622" s="5"/>
    </row>
    <row r="623" spans="1:26" ht="12.75" customHeight="1">
      <c r="A623" s="5"/>
      <c r="B623" s="5"/>
      <c r="C623" s="5"/>
      <c r="D623" s="5"/>
      <c r="E623" s="5"/>
      <c r="F623" s="5"/>
      <c r="G623" s="5"/>
      <c r="H623" s="306"/>
      <c r="I623" s="5"/>
      <c r="J623" s="5"/>
      <c r="K623" s="5"/>
      <c r="L623" s="5"/>
      <c r="M623" s="5"/>
      <c r="N623" s="5"/>
      <c r="O623" s="57"/>
      <c r="P623" s="5"/>
      <c r="Q623" s="5"/>
      <c r="R623" s="5"/>
      <c r="S623" s="5"/>
      <c r="T623" s="5"/>
      <c r="U623" s="5"/>
      <c r="V623" s="5"/>
      <c r="W623" s="5"/>
      <c r="X623" s="5"/>
      <c r="Y623" s="5"/>
      <c r="Z623" s="5"/>
    </row>
    <row r="624" spans="1:26" ht="12.75" customHeight="1">
      <c r="A624" s="5"/>
      <c r="B624" s="5"/>
      <c r="C624" s="5"/>
      <c r="D624" s="5"/>
      <c r="E624" s="5"/>
      <c r="F624" s="5"/>
      <c r="G624" s="5"/>
      <c r="H624" s="306"/>
      <c r="I624" s="5"/>
      <c r="J624" s="5"/>
      <c r="K624" s="5"/>
      <c r="L624" s="5"/>
      <c r="M624" s="5"/>
      <c r="N624" s="5"/>
      <c r="O624" s="57"/>
      <c r="P624" s="5"/>
      <c r="Q624" s="5"/>
      <c r="R624" s="5"/>
      <c r="S624" s="5"/>
      <c r="T624" s="5"/>
      <c r="U624" s="5"/>
      <c r="V624" s="5"/>
      <c r="W624" s="5"/>
      <c r="X624" s="5"/>
      <c r="Y624" s="5"/>
      <c r="Z624" s="5"/>
    </row>
    <row r="625" spans="1:26" ht="12.75" customHeight="1">
      <c r="A625" s="5"/>
      <c r="B625" s="5"/>
      <c r="C625" s="5"/>
      <c r="D625" s="5"/>
      <c r="E625" s="5"/>
      <c r="F625" s="5"/>
      <c r="G625" s="5"/>
      <c r="H625" s="306"/>
      <c r="I625" s="5"/>
      <c r="J625" s="5"/>
      <c r="K625" s="5"/>
      <c r="L625" s="5"/>
      <c r="M625" s="5"/>
      <c r="N625" s="5"/>
      <c r="O625" s="57"/>
      <c r="P625" s="5"/>
      <c r="Q625" s="5"/>
      <c r="R625" s="5"/>
      <c r="S625" s="5"/>
      <c r="T625" s="5"/>
      <c r="U625" s="5"/>
      <c r="V625" s="5"/>
      <c r="W625" s="5"/>
      <c r="X625" s="5"/>
      <c r="Y625" s="5"/>
      <c r="Z625" s="5"/>
    </row>
    <row r="626" spans="1:26" ht="12.75" customHeight="1">
      <c r="A626" s="5"/>
      <c r="B626" s="5"/>
      <c r="C626" s="5"/>
      <c r="D626" s="5"/>
      <c r="E626" s="5"/>
      <c r="F626" s="5"/>
      <c r="G626" s="5"/>
      <c r="H626" s="306"/>
      <c r="I626" s="5"/>
      <c r="J626" s="5"/>
      <c r="K626" s="5"/>
      <c r="L626" s="5"/>
      <c r="M626" s="5"/>
      <c r="N626" s="5"/>
      <c r="O626" s="57"/>
      <c r="P626" s="5"/>
      <c r="Q626" s="5"/>
      <c r="R626" s="5"/>
      <c r="S626" s="5"/>
      <c r="T626" s="5"/>
      <c r="U626" s="5"/>
      <c r="V626" s="5"/>
      <c r="W626" s="5"/>
      <c r="X626" s="5"/>
      <c r="Y626" s="5"/>
      <c r="Z626" s="5"/>
    </row>
    <row r="627" spans="1:26" ht="12.75" customHeight="1">
      <c r="A627" s="5"/>
      <c r="B627" s="5"/>
      <c r="C627" s="5"/>
      <c r="D627" s="5"/>
      <c r="E627" s="5"/>
      <c r="F627" s="5"/>
      <c r="G627" s="5"/>
      <c r="H627" s="306"/>
      <c r="I627" s="5"/>
      <c r="J627" s="5"/>
      <c r="K627" s="5"/>
      <c r="L627" s="5"/>
      <c r="M627" s="5"/>
      <c r="N627" s="5"/>
      <c r="O627" s="57"/>
      <c r="P627" s="5"/>
      <c r="Q627" s="5"/>
      <c r="R627" s="5"/>
      <c r="S627" s="5"/>
      <c r="T627" s="5"/>
      <c r="U627" s="5"/>
      <c r="V627" s="5"/>
      <c r="W627" s="5"/>
      <c r="X627" s="5"/>
      <c r="Y627" s="5"/>
      <c r="Z627" s="5"/>
    </row>
    <row r="628" spans="1:26" ht="12.75" customHeight="1">
      <c r="A628" s="5"/>
      <c r="B628" s="5"/>
      <c r="C628" s="5"/>
      <c r="D628" s="5"/>
      <c r="E628" s="5"/>
      <c r="F628" s="5"/>
      <c r="G628" s="5"/>
      <c r="H628" s="306"/>
      <c r="I628" s="5"/>
      <c r="J628" s="5"/>
      <c r="K628" s="5"/>
      <c r="L628" s="5"/>
      <c r="M628" s="5"/>
      <c r="N628" s="5"/>
      <c r="O628" s="57"/>
      <c r="P628" s="5"/>
      <c r="Q628" s="5"/>
      <c r="R628" s="5"/>
      <c r="S628" s="5"/>
      <c r="T628" s="5"/>
      <c r="U628" s="5"/>
      <c r="V628" s="5"/>
      <c r="W628" s="5"/>
      <c r="X628" s="5"/>
      <c r="Y628" s="5"/>
      <c r="Z628" s="5"/>
    </row>
    <row r="629" spans="1:26" ht="12.75" customHeight="1">
      <c r="A629" s="5"/>
      <c r="B629" s="5"/>
      <c r="C629" s="5"/>
      <c r="D629" s="5"/>
      <c r="E629" s="5"/>
      <c r="F629" s="5"/>
      <c r="G629" s="5"/>
      <c r="H629" s="306"/>
      <c r="I629" s="5"/>
      <c r="J629" s="5"/>
      <c r="K629" s="5"/>
      <c r="L629" s="5"/>
      <c r="M629" s="5"/>
      <c r="N629" s="5"/>
      <c r="O629" s="57"/>
      <c r="P629" s="5"/>
      <c r="Q629" s="5"/>
      <c r="R629" s="5"/>
      <c r="S629" s="5"/>
      <c r="T629" s="5"/>
      <c r="U629" s="5"/>
      <c r="V629" s="5"/>
      <c r="W629" s="5"/>
      <c r="X629" s="5"/>
      <c r="Y629" s="5"/>
      <c r="Z629" s="5"/>
    </row>
    <row r="630" spans="1:26" ht="12.75" customHeight="1">
      <c r="A630" s="5"/>
      <c r="B630" s="5"/>
      <c r="C630" s="5"/>
      <c r="D630" s="5"/>
      <c r="E630" s="5"/>
      <c r="F630" s="5"/>
      <c r="G630" s="5"/>
      <c r="H630" s="306"/>
      <c r="I630" s="5"/>
      <c r="J630" s="5"/>
      <c r="K630" s="5"/>
      <c r="L630" s="5"/>
      <c r="M630" s="5"/>
      <c r="N630" s="5"/>
      <c r="O630" s="57"/>
      <c r="P630" s="5"/>
      <c r="Q630" s="5"/>
      <c r="R630" s="5"/>
      <c r="S630" s="5"/>
      <c r="T630" s="5"/>
      <c r="U630" s="5"/>
      <c r="V630" s="5"/>
      <c r="W630" s="5"/>
      <c r="X630" s="5"/>
      <c r="Y630" s="5"/>
      <c r="Z630" s="5"/>
    </row>
    <row r="631" spans="1:26" ht="12.75" customHeight="1">
      <c r="A631" s="5"/>
      <c r="B631" s="5"/>
      <c r="C631" s="5"/>
      <c r="D631" s="5"/>
      <c r="E631" s="5"/>
      <c r="F631" s="5"/>
      <c r="G631" s="5"/>
      <c r="H631" s="306"/>
      <c r="I631" s="5"/>
      <c r="J631" s="5"/>
      <c r="K631" s="5"/>
      <c r="L631" s="5"/>
      <c r="M631" s="5"/>
      <c r="N631" s="5"/>
      <c r="O631" s="57"/>
      <c r="P631" s="5"/>
      <c r="Q631" s="5"/>
      <c r="R631" s="5"/>
      <c r="S631" s="5"/>
      <c r="T631" s="5"/>
      <c r="U631" s="5"/>
      <c r="V631" s="5"/>
      <c r="W631" s="5"/>
      <c r="X631" s="5"/>
      <c r="Y631" s="5"/>
      <c r="Z631" s="5"/>
    </row>
    <row r="632" spans="1:26" ht="12.75" customHeight="1">
      <c r="A632" s="5"/>
      <c r="B632" s="5"/>
      <c r="C632" s="5"/>
      <c r="D632" s="5"/>
      <c r="E632" s="5"/>
      <c r="F632" s="5"/>
      <c r="G632" s="5"/>
      <c r="H632" s="306"/>
      <c r="I632" s="5"/>
      <c r="J632" s="5"/>
      <c r="K632" s="5"/>
      <c r="L632" s="5"/>
      <c r="M632" s="5"/>
      <c r="N632" s="5"/>
      <c r="O632" s="57"/>
      <c r="P632" s="5"/>
      <c r="Q632" s="5"/>
      <c r="R632" s="5"/>
      <c r="S632" s="5"/>
      <c r="T632" s="5"/>
      <c r="U632" s="5"/>
      <c r="V632" s="5"/>
      <c r="W632" s="5"/>
      <c r="X632" s="5"/>
      <c r="Y632" s="5"/>
      <c r="Z632" s="5"/>
    </row>
    <row r="633" spans="1:26" ht="12.75" customHeight="1">
      <c r="A633" s="5"/>
      <c r="B633" s="5"/>
      <c r="C633" s="5"/>
      <c r="D633" s="5"/>
      <c r="E633" s="5"/>
      <c r="F633" s="5"/>
      <c r="G633" s="5"/>
      <c r="H633" s="306"/>
      <c r="I633" s="5"/>
      <c r="J633" s="5"/>
      <c r="K633" s="5"/>
      <c r="L633" s="5"/>
      <c r="M633" s="5"/>
      <c r="N633" s="5"/>
      <c r="O633" s="57"/>
      <c r="P633" s="5"/>
      <c r="Q633" s="5"/>
      <c r="R633" s="5"/>
      <c r="S633" s="5"/>
      <c r="T633" s="5"/>
      <c r="U633" s="5"/>
      <c r="V633" s="5"/>
      <c r="W633" s="5"/>
      <c r="X633" s="5"/>
      <c r="Y633" s="5"/>
      <c r="Z633" s="5"/>
    </row>
    <row r="634" spans="1:26" ht="12.75" customHeight="1">
      <c r="A634" s="5"/>
      <c r="B634" s="5"/>
      <c r="C634" s="5"/>
      <c r="D634" s="5"/>
      <c r="E634" s="5"/>
      <c r="F634" s="5"/>
      <c r="G634" s="5"/>
      <c r="H634" s="306"/>
      <c r="I634" s="5"/>
      <c r="J634" s="5"/>
      <c r="K634" s="5"/>
      <c r="L634" s="5"/>
      <c r="M634" s="5"/>
      <c r="N634" s="5"/>
      <c r="O634" s="57"/>
      <c r="P634" s="5"/>
      <c r="Q634" s="5"/>
      <c r="R634" s="5"/>
      <c r="S634" s="5"/>
      <c r="T634" s="5"/>
      <c r="U634" s="5"/>
      <c r="V634" s="5"/>
      <c r="W634" s="5"/>
      <c r="X634" s="5"/>
      <c r="Y634" s="5"/>
      <c r="Z634" s="5"/>
    </row>
    <row r="635" spans="1:26" ht="12.75" customHeight="1">
      <c r="A635" s="5"/>
      <c r="B635" s="5"/>
      <c r="C635" s="5"/>
      <c r="D635" s="5"/>
      <c r="E635" s="5"/>
      <c r="F635" s="5"/>
      <c r="G635" s="5"/>
      <c r="H635" s="306"/>
      <c r="I635" s="5"/>
      <c r="J635" s="5"/>
      <c r="K635" s="5"/>
      <c r="L635" s="5"/>
      <c r="M635" s="5"/>
      <c r="N635" s="5"/>
      <c r="O635" s="57"/>
      <c r="P635" s="5"/>
      <c r="Q635" s="5"/>
      <c r="R635" s="5"/>
      <c r="S635" s="5"/>
      <c r="T635" s="5"/>
      <c r="U635" s="5"/>
      <c r="V635" s="5"/>
      <c r="W635" s="5"/>
      <c r="X635" s="5"/>
      <c r="Y635" s="5"/>
      <c r="Z635" s="5"/>
    </row>
    <row r="636" spans="1:26" ht="12.75" customHeight="1">
      <c r="A636" s="5"/>
      <c r="B636" s="5"/>
      <c r="C636" s="5"/>
      <c r="D636" s="5"/>
      <c r="E636" s="5"/>
      <c r="F636" s="5"/>
      <c r="G636" s="5"/>
      <c r="H636" s="306"/>
      <c r="I636" s="5"/>
      <c r="J636" s="5"/>
      <c r="K636" s="5"/>
      <c r="L636" s="5"/>
      <c r="M636" s="5"/>
      <c r="N636" s="5"/>
      <c r="O636" s="57"/>
      <c r="P636" s="5"/>
      <c r="Q636" s="5"/>
      <c r="R636" s="5"/>
      <c r="S636" s="5"/>
      <c r="T636" s="5"/>
      <c r="U636" s="5"/>
      <c r="V636" s="5"/>
      <c r="W636" s="5"/>
      <c r="X636" s="5"/>
      <c r="Y636" s="5"/>
      <c r="Z636" s="5"/>
    </row>
    <row r="637" spans="1:26" ht="12.75" customHeight="1">
      <c r="A637" s="5"/>
      <c r="B637" s="5"/>
      <c r="C637" s="5"/>
      <c r="D637" s="5"/>
      <c r="E637" s="5"/>
      <c r="F637" s="5"/>
      <c r="G637" s="5"/>
      <c r="H637" s="306"/>
      <c r="I637" s="5"/>
      <c r="J637" s="5"/>
      <c r="K637" s="5"/>
      <c r="L637" s="5"/>
      <c r="M637" s="5"/>
      <c r="N637" s="5"/>
      <c r="O637" s="57"/>
      <c r="P637" s="5"/>
      <c r="Q637" s="5"/>
      <c r="R637" s="5"/>
      <c r="S637" s="5"/>
      <c r="T637" s="5"/>
      <c r="U637" s="5"/>
      <c r="V637" s="5"/>
      <c r="W637" s="5"/>
      <c r="X637" s="5"/>
      <c r="Y637" s="5"/>
      <c r="Z637" s="5"/>
    </row>
    <row r="638" spans="1:26" ht="12.75" customHeight="1">
      <c r="A638" s="5"/>
      <c r="B638" s="5"/>
      <c r="C638" s="5"/>
      <c r="D638" s="5"/>
      <c r="E638" s="5"/>
      <c r="F638" s="5"/>
      <c r="G638" s="5"/>
      <c r="H638" s="306"/>
      <c r="I638" s="5"/>
      <c r="J638" s="5"/>
      <c r="K638" s="5"/>
      <c r="L638" s="5"/>
      <c r="M638" s="5"/>
      <c r="N638" s="5"/>
      <c r="O638" s="57"/>
      <c r="P638" s="5"/>
      <c r="Q638" s="5"/>
      <c r="R638" s="5"/>
      <c r="S638" s="5"/>
      <c r="T638" s="5"/>
      <c r="U638" s="5"/>
      <c r="V638" s="5"/>
      <c r="W638" s="5"/>
      <c r="X638" s="5"/>
      <c r="Y638" s="5"/>
      <c r="Z638" s="5"/>
    </row>
    <row r="639" spans="1:26" ht="12.75" customHeight="1">
      <c r="A639" s="5"/>
      <c r="B639" s="5"/>
      <c r="C639" s="5"/>
      <c r="D639" s="5"/>
      <c r="E639" s="5"/>
      <c r="F639" s="5"/>
      <c r="G639" s="5"/>
      <c r="H639" s="306"/>
      <c r="I639" s="5"/>
      <c r="J639" s="5"/>
      <c r="K639" s="5"/>
      <c r="L639" s="5"/>
      <c r="M639" s="5"/>
      <c r="N639" s="5"/>
      <c r="O639" s="57"/>
      <c r="P639" s="5"/>
      <c r="Q639" s="5"/>
      <c r="R639" s="5"/>
      <c r="S639" s="5"/>
      <c r="T639" s="5"/>
      <c r="U639" s="5"/>
      <c r="V639" s="5"/>
      <c r="W639" s="5"/>
      <c r="X639" s="5"/>
      <c r="Y639" s="5"/>
      <c r="Z639" s="5"/>
    </row>
    <row r="640" spans="1:26" ht="12.75" customHeight="1">
      <c r="A640" s="5"/>
      <c r="B640" s="5"/>
      <c r="C640" s="5"/>
      <c r="D640" s="5"/>
      <c r="E640" s="5"/>
      <c r="F640" s="5"/>
      <c r="G640" s="5"/>
      <c r="H640" s="306"/>
      <c r="I640" s="5"/>
      <c r="J640" s="5"/>
      <c r="K640" s="5"/>
      <c r="L640" s="5"/>
      <c r="M640" s="5"/>
      <c r="N640" s="5"/>
      <c r="O640" s="57"/>
      <c r="P640" s="5"/>
      <c r="Q640" s="5"/>
      <c r="R640" s="5"/>
      <c r="S640" s="5"/>
      <c r="T640" s="5"/>
      <c r="U640" s="5"/>
      <c r="V640" s="5"/>
      <c r="W640" s="5"/>
      <c r="X640" s="5"/>
      <c r="Y640" s="5"/>
      <c r="Z640" s="5"/>
    </row>
    <row r="641" spans="1:26" ht="12.75" customHeight="1">
      <c r="A641" s="5"/>
      <c r="B641" s="5"/>
      <c r="C641" s="5"/>
      <c r="D641" s="5"/>
      <c r="E641" s="5"/>
      <c r="F641" s="5"/>
      <c r="G641" s="5"/>
      <c r="H641" s="306"/>
      <c r="I641" s="5"/>
      <c r="J641" s="5"/>
      <c r="K641" s="5"/>
      <c r="L641" s="5"/>
      <c r="M641" s="5"/>
      <c r="N641" s="5"/>
      <c r="O641" s="57"/>
      <c r="P641" s="5"/>
      <c r="Q641" s="5"/>
      <c r="R641" s="5"/>
      <c r="S641" s="5"/>
      <c r="T641" s="5"/>
      <c r="U641" s="5"/>
      <c r="V641" s="5"/>
      <c r="W641" s="5"/>
      <c r="X641" s="5"/>
      <c r="Y641" s="5"/>
      <c r="Z641" s="5"/>
    </row>
    <row r="642" spans="1:26" ht="12.75" customHeight="1">
      <c r="A642" s="5"/>
      <c r="B642" s="5"/>
      <c r="C642" s="5"/>
      <c r="D642" s="5"/>
      <c r="E642" s="5"/>
      <c r="F642" s="5"/>
      <c r="G642" s="5"/>
      <c r="H642" s="306"/>
      <c r="I642" s="5"/>
      <c r="J642" s="5"/>
      <c r="K642" s="5"/>
      <c r="L642" s="5"/>
      <c r="M642" s="5"/>
      <c r="N642" s="5"/>
      <c r="O642" s="57"/>
      <c r="P642" s="5"/>
      <c r="Q642" s="5"/>
      <c r="R642" s="5"/>
      <c r="S642" s="5"/>
      <c r="T642" s="5"/>
      <c r="U642" s="5"/>
      <c r="V642" s="5"/>
      <c r="W642" s="5"/>
      <c r="X642" s="5"/>
      <c r="Y642" s="5"/>
      <c r="Z642" s="5"/>
    </row>
    <row r="643" spans="1:26" ht="12.75" customHeight="1">
      <c r="A643" s="5"/>
      <c r="B643" s="5"/>
      <c r="C643" s="5"/>
      <c r="D643" s="5"/>
      <c r="E643" s="5"/>
      <c r="F643" s="5"/>
      <c r="G643" s="5"/>
      <c r="H643" s="306"/>
      <c r="I643" s="5"/>
      <c r="J643" s="5"/>
      <c r="K643" s="5"/>
      <c r="L643" s="5"/>
      <c r="M643" s="5"/>
      <c r="N643" s="5"/>
      <c r="O643" s="57"/>
      <c r="P643" s="5"/>
      <c r="Q643" s="5"/>
      <c r="R643" s="5"/>
      <c r="S643" s="5"/>
      <c r="T643" s="5"/>
      <c r="U643" s="5"/>
      <c r="V643" s="5"/>
      <c r="W643" s="5"/>
      <c r="X643" s="5"/>
      <c r="Y643" s="5"/>
      <c r="Z643" s="5"/>
    </row>
    <row r="644" spans="1:26" ht="12.75" customHeight="1">
      <c r="A644" s="5"/>
      <c r="B644" s="5"/>
      <c r="C644" s="5"/>
      <c r="D644" s="5"/>
      <c r="E644" s="5"/>
      <c r="F644" s="5"/>
      <c r="G644" s="5"/>
      <c r="H644" s="306"/>
      <c r="I644" s="5"/>
      <c r="J644" s="5"/>
      <c r="K644" s="5"/>
      <c r="L644" s="5"/>
      <c r="M644" s="5"/>
      <c r="N644" s="5"/>
      <c r="O644" s="57"/>
      <c r="P644" s="5"/>
      <c r="Q644" s="5"/>
      <c r="R644" s="5"/>
      <c r="S644" s="5"/>
      <c r="T644" s="5"/>
      <c r="U644" s="5"/>
      <c r="V644" s="5"/>
      <c r="W644" s="5"/>
      <c r="X644" s="5"/>
      <c r="Y644" s="5"/>
      <c r="Z644" s="5"/>
    </row>
    <row r="645" spans="1:26" ht="12.75" customHeight="1">
      <c r="A645" s="5"/>
      <c r="B645" s="5"/>
      <c r="C645" s="5"/>
      <c r="D645" s="5"/>
      <c r="E645" s="5"/>
      <c r="F645" s="5"/>
      <c r="G645" s="5"/>
      <c r="H645" s="306"/>
      <c r="I645" s="5"/>
      <c r="J645" s="5"/>
      <c r="K645" s="5"/>
      <c r="L645" s="5"/>
      <c r="M645" s="5"/>
      <c r="N645" s="5"/>
      <c r="O645" s="57"/>
      <c r="P645" s="5"/>
      <c r="Q645" s="5"/>
      <c r="R645" s="5"/>
      <c r="S645" s="5"/>
      <c r="T645" s="5"/>
      <c r="U645" s="5"/>
      <c r="V645" s="5"/>
      <c r="W645" s="5"/>
      <c r="X645" s="5"/>
      <c r="Y645" s="5"/>
      <c r="Z645" s="5"/>
    </row>
    <row r="646" spans="1:26" ht="12.75" customHeight="1">
      <c r="A646" s="5"/>
      <c r="B646" s="5"/>
      <c r="C646" s="5"/>
      <c r="D646" s="5"/>
      <c r="E646" s="5"/>
      <c r="F646" s="5"/>
      <c r="G646" s="5"/>
      <c r="H646" s="306"/>
      <c r="I646" s="5"/>
      <c r="J646" s="5"/>
      <c r="K646" s="5"/>
      <c r="L646" s="5"/>
      <c r="M646" s="5"/>
      <c r="N646" s="5"/>
      <c r="O646" s="57"/>
      <c r="P646" s="5"/>
      <c r="Q646" s="5"/>
      <c r="R646" s="5"/>
      <c r="S646" s="5"/>
      <c r="T646" s="5"/>
      <c r="U646" s="5"/>
      <c r="V646" s="5"/>
      <c r="W646" s="5"/>
      <c r="X646" s="5"/>
      <c r="Y646" s="5"/>
      <c r="Z646" s="5"/>
    </row>
    <row r="647" spans="1:26" ht="12.75" customHeight="1">
      <c r="A647" s="5"/>
      <c r="B647" s="5"/>
      <c r="C647" s="5"/>
      <c r="D647" s="5"/>
      <c r="E647" s="5"/>
      <c r="F647" s="5"/>
      <c r="G647" s="5"/>
      <c r="H647" s="306"/>
      <c r="I647" s="5"/>
      <c r="J647" s="5"/>
      <c r="K647" s="5"/>
      <c r="L647" s="5"/>
      <c r="M647" s="5"/>
      <c r="N647" s="5"/>
      <c r="O647" s="57"/>
      <c r="P647" s="5"/>
      <c r="Q647" s="5"/>
      <c r="R647" s="5"/>
      <c r="S647" s="5"/>
      <c r="T647" s="5"/>
      <c r="U647" s="5"/>
      <c r="V647" s="5"/>
      <c r="W647" s="5"/>
      <c r="X647" s="5"/>
      <c r="Y647" s="5"/>
      <c r="Z647" s="5"/>
    </row>
    <row r="648" spans="1:26" ht="12.75" customHeight="1">
      <c r="A648" s="5"/>
      <c r="B648" s="5"/>
      <c r="C648" s="5"/>
      <c r="D648" s="5"/>
      <c r="E648" s="5"/>
      <c r="F648" s="5"/>
      <c r="G648" s="5"/>
      <c r="H648" s="306"/>
      <c r="I648" s="5"/>
      <c r="J648" s="5"/>
      <c r="K648" s="5"/>
      <c r="L648" s="5"/>
      <c r="M648" s="5"/>
      <c r="N648" s="5"/>
      <c r="O648" s="57"/>
      <c r="P648" s="5"/>
      <c r="Q648" s="5"/>
      <c r="R648" s="5"/>
      <c r="S648" s="5"/>
      <c r="T648" s="5"/>
      <c r="U648" s="5"/>
      <c r="V648" s="5"/>
      <c r="W648" s="5"/>
      <c r="X648" s="5"/>
      <c r="Y648" s="5"/>
      <c r="Z648" s="5"/>
    </row>
    <row r="649" spans="1:26" ht="12.75" customHeight="1">
      <c r="A649" s="5"/>
      <c r="B649" s="5"/>
      <c r="C649" s="5"/>
      <c r="D649" s="5"/>
      <c r="E649" s="5"/>
      <c r="F649" s="5"/>
      <c r="G649" s="5"/>
      <c r="H649" s="306"/>
      <c r="I649" s="5"/>
      <c r="J649" s="5"/>
      <c r="K649" s="5"/>
      <c r="L649" s="5"/>
      <c r="M649" s="5"/>
      <c r="N649" s="5"/>
      <c r="O649" s="57"/>
      <c r="P649" s="5"/>
      <c r="Q649" s="5"/>
      <c r="R649" s="5"/>
      <c r="S649" s="5"/>
      <c r="T649" s="5"/>
      <c r="U649" s="5"/>
      <c r="V649" s="5"/>
      <c r="W649" s="5"/>
      <c r="X649" s="5"/>
      <c r="Y649" s="5"/>
      <c r="Z649" s="5"/>
    </row>
    <row r="650" spans="1:26" ht="12.75" customHeight="1">
      <c r="A650" s="5"/>
      <c r="B650" s="5"/>
      <c r="C650" s="5"/>
      <c r="D650" s="5"/>
      <c r="E650" s="5"/>
      <c r="F650" s="5"/>
      <c r="G650" s="5"/>
      <c r="H650" s="306"/>
      <c r="I650" s="5"/>
      <c r="J650" s="5"/>
      <c r="K650" s="5"/>
      <c r="L650" s="5"/>
      <c r="M650" s="5"/>
      <c r="N650" s="5"/>
      <c r="O650" s="57"/>
      <c r="P650" s="5"/>
      <c r="Q650" s="5"/>
      <c r="R650" s="5"/>
      <c r="S650" s="5"/>
      <c r="T650" s="5"/>
      <c r="U650" s="5"/>
      <c r="V650" s="5"/>
      <c r="W650" s="5"/>
      <c r="X650" s="5"/>
      <c r="Y650" s="5"/>
      <c r="Z650" s="5"/>
    </row>
    <row r="651" spans="1:26" ht="12.75" customHeight="1">
      <c r="A651" s="5"/>
      <c r="B651" s="5"/>
      <c r="C651" s="5"/>
      <c r="D651" s="5"/>
      <c r="E651" s="5"/>
      <c r="F651" s="5"/>
      <c r="G651" s="5"/>
      <c r="H651" s="306"/>
      <c r="I651" s="5"/>
      <c r="J651" s="5"/>
      <c r="K651" s="5"/>
      <c r="L651" s="5"/>
      <c r="M651" s="5"/>
      <c r="N651" s="5"/>
      <c r="O651" s="57"/>
      <c r="P651" s="5"/>
      <c r="Q651" s="5"/>
      <c r="R651" s="5"/>
      <c r="S651" s="5"/>
      <c r="T651" s="5"/>
      <c r="U651" s="5"/>
      <c r="V651" s="5"/>
      <c r="W651" s="5"/>
      <c r="X651" s="5"/>
      <c r="Y651" s="5"/>
      <c r="Z651" s="5"/>
    </row>
    <row r="652" spans="1:26" ht="12.75" customHeight="1">
      <c r="A652" s="5"/>
      <c r="B652" s="5"/>
      <c r="C652" s="5"/>
      <c r="D652" s="5"/>
      <c r="E652" s="5"/>
      <c r="F652" s="5"/>
      <c r="G652" s="5"/>
      <c r="H652" s="306"/>
      <c r="I652" s="5"/>
      <c r="J652" s="5"/>
      <c r="K652" s="5"/>
      <c r="L652" s="5"/>
      <c r="M652" s="5"/>
      <c r="N652" s="5"/>
      <c r="O652" s="57"/>
      <c r="P652" s="5"/>
      <c r="Q652" s="5"/>
      <c r="R652" s="5"/>
      <c r="S652" s="5"/>
      <c r="T652" s="5"/>
      <c r="U652" s="5"/>
      <c r="V652" s="5"/>
      <c r="W652" s="5"/>
      <c r="X652" s="5"/>
      <c r="Y652" s="5"/>
      <c r="Z652" s="5"/>
    </row>
    <row r="653" spans="1:26" ht="12.75" customHeight="1">
      <c r="A653" s="5"/>
      <c r="B653" s="5"/>
      <c r="C653" s="5"/>
      <c r="D653" s="5"/>
      <c r="E653" s="5"/>
      <c r="F653" s="5"/>
      <c r="G653" s="5"/>
      <c r="H653" s="306"/>
      <c r="I653" s="5"/>
      <c r="J653" s="5"/>
      <c r="K653" s="5"/>
      <c r="L653" s="5"/>
      <c r="M653" s="5"/>
      <c r="N653" s="5"/>
      <c r="O653" s="57"/>
      <c r="P653" s="5"/>
      <c r="Q653" s="5"/>
      <c r="R653" s="5"/>
      <c r="S653" s="5"/>
      <c r="T653" s="5"/>
      <c r="U653" s="5"/>
      <c r="V653" s="5"/>
      <c r="W653" s="5"/>
      <c r="X653" s="5"/>
      <c r="Y653" s="5"/>
      <c r="Z653" s="5"/>
    </row>
    <row r="654" spans="1:26" ht="12.75" customHeight="1">
      <c r="A654" s="5"/>
      <c r="B654" s="5"/>
      <c r="C654" s="5"/>
      <c r="D654" s="5"/>
      <c r="E654" s="5"/>
      <c r="F654" s="5"/>
      <c r="G654" s="5"/>
      <c r="H654" s="306"/>
      <c r="I654" s="5"/>
      <c r="J654" s="5"/>
      <c r="K654" s="5"/>
      <c r="L654" s="5"/>
      <c r="M654" s="5"/>
      <c r="N654" s="5"/>
      <c r="O654" s="57"/>
      <c r="P654" s="5"/>
      <c r="Q654" s="5"/>
      <c r="R654" s="5"/>
      <c r="S654" s="5"/>
      <c r="T654" s="5"/>
      <c r="U654" s="5"/>
      <c r="V654" s="5"/>
      <c r="W654" s="5"/>
      <c r="X654" s="5"/>
      <c r="Y654" s="5"/>
      <c r="Z654" s="5"/>
    </row>
    <row r="655" spans="1:26" ht="12.75" customHeight="1">
      <c r="A655" s="5"/>
      <c r="B655" s="5"/>
      <c r="C655" s="5"/>
      <c r="D655" s="5"/>
      <c r="E655" s="5"/>
      <c r="F655" s="5"/>
      <c r="G655" s="5"/>
      <c r="H655" s="306"/>
      <c r="I655" s="5"/>
      <c r="J655" s="5"/>
      <c r="K655" s="5"/>
      <c r="L655" s="5"/>
      <c r="M655" s="5"/>
      <c r="N655" s="5"/>
      <c r="O655" s="57"/>
      <c r="P655" s="5"/>
      <c r="Q655" s="5"/>
      <c r="R655" s="5"/>
      <c r="S655" s="5"/>
      <c r="T655" s="5"/>
      <c r="U655" s="5"/>
      <c r="V655" s="5"/>
      <c r="W655" s="5"/>
      <c r="X655" s="5"/>
      <c r="Y655" s="5"/>
      <c r="Z655" s="5"/>
    </row>
    <row r="656" spans="1:26" ht="12.75" customHeight="1">
      <c r="A656" s="5"/>
      <c r="B656" s="5"/>
      <c r="C656" s="5"/>
      <c r="D656" s="5"/>
      <c r="E656" s="5"/>
      <c r="F656" s="5"/>
      <c r="G656" s="5"/>
      <c r="H656" s="306"/>
      <c r="I656" s="5"/>
      <c r="J656" s="5"/>
      <c r="K656" s="5"/>
      <c r="L656" s="5"/>
      <c r="M656" s="5"/>
      <c r="N656" s="5"/>
      <c r="O656" s="57"/>
      <c r="P656" s="5"/>
      <c r="Q656" s="5"/>
      <c r="R656" s="5"/>
      <c r="S656" s="5"/>
      <c r="T656" s="5"/>
      <c r="U656" s="5"/>
      <c r="V656" s="5"/>
      <c r="W656" s="5"/>
      <c r="X656" s="5"/>
      <c r="Y656" s="5"/>
      <c r="Z656" s="5"/>
    </row>
    <row r="657" spans="1:26" ht="12.75" customHeight="1">
      <c r="A657" s="5"/>
      <c r="B657" s="5"/>
      <c r="C657" s="5"/>
      <c r="D657" s="5"/>
      <c r="E657" s="5"/>
      <c r="F657" s="5"/>
      <c r="G657" s="5"/>
      <c r="H657" s="306"/>
      <c r="I657" s="5"/>
      <c r="J657" s="5"/>
      <c r="K657" s="5"/>
      <c r="L657" s="5"/>
      <c r="M657" s="5"/>
      <c r="N657" s="5"/>
      <c r="O657" s="57"/>
      <c r="P657" s="5"/>
      <c r="Q657" s="5"/>
      <c r="R657" s="5"/>
      <c r="S657" s="5"/>
      <c r="T657" s="5"/>
      <c r="U657" s="5"/>
      <c r="V657" s="5"/>
      <c r="W657" s="5"/>
      <c r="X657" s="5"/>
      <c r="Y657" s="5"/>
      <c r="Z657" s="5"/>
    </row>
    <row r="658" spans="1:26" ht="12.75" customHeight="1">
      <c r="A658" s="5"/>
      <c r="B658" s="5"/>
      <c r="C658" s="5"/>
      <c r="D658" s="5"/>
      <c r="E658" s="5"/>
      <c r="F658" s="5"/>
      <c r="G658" s="5"/>
      <c r="H658" s="306"/>
      <c r="I658" s="5"/>
      <c r="J658" s="5"/>
      <c r="K658" s="5"/>
      <c r="L658" s="5"/>
      <c r="M658" s="5"/>
      <c r="N658" s="5"/>
      <c r="O658" s="57"/>
      <c r="P658" s="5"/>
      <c r="Q658" s="5"/>
      <c r="R658" s="5"/>
      <c r="S658" s="5"/>
      <c r="T658" s="5"/>
      <c r="U658" s="5"/>
      <c r="V658" s="5"/>
      <c r="W658" s="5"/>
      <c r="X658" s="5"/>
      <c r="Y658" s="5"/>
      <c r="Z658" s="5"/>
    </row>
    <row r="659" spans="1:26" ht="12.75" customHeight="1">
      <c r="A659" s="5"/>
      <c r="B659" s="5"/>
      <c r="C659" s="5"/>
      <c r="D659" s="5"/>
      <c r="E659" s="5"/>
      <c r="F659" s="5"/>
      <c r="G659" s="5"/>
      <c r="H659" s="306"/>
      <c r="I659" s="5"/>
      <c r="J659" s="5"/>
      <c r="K659" s="5"/>
      <c r="L659" s="5"/>
      <c r="M659" s="5"/>
      <c r="N659" s="5"/>
      <c r="O659" s="57"/>
      <c r="P659" s="5"/>
      <c r="Q659" s="5"/>
      <c r="R659" s="5"/>
      <c r="S659" s="5"/>
      <c r="T659" s="5"/>
      <c r="U659" s="5"/>
      <c r="V659" s="5"/>
      <c r="W659" s="5"/>
      <c r="X659" s="5"/>
      <c r="Y659" s="5"/>
      <c r="Z659" s="5"/>
    </row>
    <row r="660" spans="1:26" ht="12.75" customHeight="1">
      <c r="A660" s="5"/>
      <c r="B660" s="5"/>
      <c r="C660" s="5"/>
      <c r="D660" s="5"/>
      <c r="E660" s="5"/>
      <c r="F660" s="5"/>
      <c r="G660" s="5"/>
      <c r="H660" s="306"/>
      <c r="I660" s="5"/>
      <c r="J660" s="5"/>
      <c r="K660" s="5"/>
      <c r="L660" s="5"/>
      <c r="M660" s="5"/>
      <c r="N660" s="5"/>
      <c r="O660" s="57"/>
      <c r="P660" s="5"/>
      <c r="Q660" s="5"/>
      <c r="R660" s="5"/>
      <c r="S660" s="5"/>
      <c r="T660" s="5"/>
      <c r="U660" s="5"/>
      <c r="V660" s="5"/>
      <c r="W660" s="5"/>
      <c r="X660" s="5"/>
      <c r="Y660" s="5"/>
      <c r="Z660" s="5"/>
    </row>
    <row r="661" spans="1:26" ht="12.75" customHeight="1">
      <c r="A661" s="5"/>
      <c r="B661" s="5"/>
      <c r="C661" s="5"/>
      <c r="D661" s="5"/>
      <c r="E661" s="5"/>
      <c r="F661" s="5"/>
      <c r="G661" s="5"/>
      <c r="H661" s="306"/>
      <c r="I661" s="5"/>
      <c r="J661" s="5"/>
      <c r="K661" s="5"/>
      <c r="L661" s="5"/>
      <c r="M661" s="5"/>
      <c r="N661" s="5"/>
      <c r="O661" s="57"/>
      <c r="P661" s="5"/>
      <c r="Q661" s="5"/>
      <c r="R661" s="5"/>
      <c r="S661" s="5"/>
      <c r="T661" s="5"/>
      <c r="U661" s="5"/>
      <c r="V661" s="5"/>
      <c r="W661" s="5"/>
      <c r="X661" s="5"/>
      <c r="Y661" s="5"/>
      <c r="Z661" s="5"/>
    </row>
    <row r="662" spans="1:26" ht="12.75" customHeight="1">
      <c r="A662" s="5"/>
      <c r="B662" s="5"/>
      <c r="C662" s="5"/>
      <c r="D662" s="5"/>
      <c r="E662" s="5"/>
      <c r="F662" s="5"/>
      <c r="G662" s="5"/>
      <c r="H662" s="306"/>
      <c r="I662" s="5"/>
      <c r="J662" s="5"/>
      <c r="K662" s="5"/>
      <c r="L662" s="5"/>
      <c r="M662" s="5"/>
      <c r="N662" s="5"/>
      <c r="O662" s="57"/>
      <c r="P662" s="5"/>
      <c r="Q662" s="5"/>
      <c r="R662" s="5"/>
      <c r="S662" s="5"/>
      <c r="T662" s="5"/>
      <c r="U662" s="5"/>
      <c r="V662" s="5"/>
      <c r="W662" s="5"/>
      <c r="X662" s="5"/>
      <c r="Y662" s="5"/>
      <c r="Z662" s="5"/>
    </row>
    <row r="663" spans="1:26" ht="12.75" customHeight="1">
      <c r="A663" s="5"/>
      <c r="B663" s="5"/>
      <c r="C663" s="5"/>
      <c r="D663" s="5"/>
      <c r="E663" s="5"/>
      <c r="F663" s="5"/>
      <c r="G663" s="5"/>
      <c r="H663" s="306"/>
      <c r="I663" s="5"/>
      <c r="J663" s="5"/>
      <c r="K663" s="5"/>
      <c r="L663" s="5"/>
      <c r="M663" s="5"/>
      <c r="N663" s="5"/>
      <c r="O663" s="57"/>
      <c r="P663" s="5"/>
      <c r="Q663" s="5"/>
      <c r="R663" s="5"/>
      <c r="S663" s="5"/>
      <c r="T663" s="5"/>
      <c r="U663" s="5"/>
      <c r="V663" s="5"/>
      <c r="W663" s="5"/>
      <c r="X663" s="5"/>
      <c r="Y663" s="5"/>
      <c r="Z663" s="5"/>
    </row>
    <row r="664" spans="1:26" ht="12.75" customHeight="1">
      <c r="A664" s="5"/>
      <c r="B664" s="5"/>
      <c r="C664" s="5"/>
      <c r="D664" s="5"/>
      <c r="E664" s="5"/>
      <c r="F664" s="5"/>
      <c r="G664" s="5"/>
      <c r="H664" s="306"/>
      <c r="I664" s="5"/>
      <c r="J664" s="5"/>
      <c r="K664" s="5"/>
      <c r="L664" s="5"/>
      <c r="M664" s="5"/>
      <c r="N664" s="5"/>
      <c r="O664" s="57"/>
      <c r="P664" s="5"/>
      <c r="Q664" s="5"/>
      <c r="R664" s="5"/>
      <c r="S664" s="5"/>
      <c r="T664" s="5"/>
      <c r="U664" s="5"/>
      <c r="V664" s="5"/>
      <c r="W664" s="5"/>
      <c r="X664" s="5"/>
      <c r="Y664" s="5"/>
      <c r="Z664" s="5"/>
    </row>
    <row r="665" spans="1:26" ht="12.75" customHeight="1">
      <c r="A665" s="5"/>
      <c r="B665" s="5"/>
      <c r="C665" s="5"/>
      <c r="D665" s="5"/>
      <c r="E665" s="5"/>
      <c r="F665" s="5"/>
      <c r="G665" s="5"/>
      <c r="H665" s="306"/>
      <c r="I665" s="5"/>
      <c r="J665" s="5"/>
      <c r="K665" s="5"/>
      <c r="L665" s="5"/>
      <c r="M665" s="5"/>
      <c r="N665" s="5"/>
      <c r="O665" s="57"/>
      <c r="P665" s="5"/>
      <c r="Q665" s="5"/>
      <c r="R665" s="5"/>
      <c r="S665" s="5"/>
      <c r="T665" s="5"/>
      <c r="U665" s="5"/>
      <c r="V665" s="5"/>
      <c r="W665" s="5"/>
      <c r="X665" s="5"/>
      <c r="Y665" s="5"/>
      <c r="Z665" s="5"/>
    </row>
    <row r="666" spans="1:26" ht="12.75" customHeight="1">
      <c r="A666" s="5"/>
      <c r="B666" s="5"/>
      <c r="C666" s="5"/>
      <c r="D666" s="5"/>
      <c r="E666" s="5"/>
      <c r="F666" s="5"/>
      <c r="G666" s="5"/>
      <c r="H666" s="306"/>
      <c r="I666" s="5"/>
      <c r="J666" s="5"/>
      <c r="K666" s="5"/>
      <c r="L666" s="5"/>
      <c r="M666" s="5"/>
      <c r="N666" s="5"/>
      <c r="O666" s="57"/>
      <c r="P666" s="5"/>
      <c r="Q666" s="5"/>
      <c r="R666" s="5"/>
      <c r="S666" s="5"/>
      <c r="T666" s="5"/>
      <c r="U666" s="5"/>
      <c r="V666" s="5"/>
      <c r="W666" s="5"/>
      <c r="X666" s="5"/>
      <c r="Y666" s="5"/>
      <c r="Z666" s="5"/>
    </row>
    <row r="667" spans="1:26" ht="12.75" customHeight="1">
      <c r="A667" s="5"/>
      <c r="B667" s="5"/>
      <c r="C667" s="5"/>
      <c r="D667" s="5"/>
      <c r="E667" s="5"/>
      <c r="F667" s="5"/>
      <c r="G667" s="5"/>
      <c r="H667" s="306"/>
      <c r="I667" s="5"/>
      <c r="J667" s="5"/>
      <c r="K667" s="5"/>
      <c r="L667" s="5"/>
      <c r="M667" s="5"/>
      <c r="N667" s="5"/>
      <c r="O667" s="57"/>
      <c r="P667" s="5"/>
      <c r="Q667" s="5"/>
      <c r="R667" s="5"/>
      <c r="S667" s="5"/>
      <c r="T667" s="5"/>
      <c r="U667" s="5"/>
      <c r="V667" s="5"/>
      <c r="W667" s="5"/>
      <c r="X667" s="5"/>
      <c r="Y667" s="5"/>
      <c r="Z667" s="5"/>
    </row>
    <row r="668" spans="1:26" ht="12.75" customHeight="1">
      <c r="A668" s="5"/>
      <c r="B668" s="5"/>
      <c r="C668" s="5"/>
      <c r="D668" s="5"/>
      <c r="E668" s="5"/>
      <c r="F668" s="5"/>
      <c r="G668" s="5"/>
      <c r="H668" s="306"/>
      <c r="I668" s="5"/>
      <c r="J668" s="5"/>
      <c r="K668" s="5"/>
      <c r="L668" s="5"/>
      <c r="M668" s="5"/>
      <c r="N668" s="5"/>
      <c r="O668" s="57"/>
      <c r="P668" s="5"/>
      <c r="Q668" s="5"/>
      <c r="R668" s="5"/>
      <c r="S668" s="5"/>
      <c r="T668" s="5"/>
      <c r="U668" s="5"/>
      <c r="V668" s="5"/>
      <c r="W668" s="5"/>
      <c r="X668" s="5"/>
      <c r="Y668" s="5"/>
      <c r="Z668" s="5"/>
    </row>
    <row r="669" spans="1:26" ht="12.75" customHeight="1">
      <c r="A669" s="5"/>
      <c r="B669" s="5"/>
      <c r="C669" s="5"/>
      <c r="D669" s="5"/>
      <c r="E669" s="5"/>
      <c r="F669" s="5"/>
      <c r="G669" s="5"/>
      <c r="H669" s="306"/>
      <c r="I669" s="5"/>
      <c r="J669" s="5"/>
      <c r="K669" s="5"/>
      <c r="L669" s="5"/>
      <c r="M669" s="5"/>
      <c r="N669" s="5"/>
      <c r="O669" s="57"/>
      <c r="P669" s="5"/>
      <c r="Q669" s="5"/>
      <c r="R669" s="5"/>
      <c r="S669" s="5"/>
      <c r="T669" s="5"/>
      <c r="U669" s="5"/>
      <c r="V669" s="5"/>
      <c r="W669" s="5"/>
      <c r="X669" s="5"/>
      <c r="Y669" s="5"/>
      <c r="Z669" s="5"/>
    </row>
    <row r="670" spans="1:26" ht="12.75" customHeight="1">
      <c r="A670" s="5"/>
      <c r="B670" s="5"/>
      <c r="C670" s="5"/>
      <c r="D670" s="5"/>
      <c r="E670" s="5"/>
      <c r="F670" s="5"/>
      <c r="G670" s="5"/>
      <c r="H670" s="306"/>
      <c r="I670" s="5"/>
      <c r="J670" s="5"/>
      <c r="K670" s="5"/>
      <c r="L670" s="5"/>
      <c r="M670" s="5"/>
      <c r="N670" s="5"/>
      <c r="O670" s="57"/>
      <c r="P670" s="5"/>
      <c r="Q670" s="5"/>
      <c r="R670" s="5"/>
      <c r="S670" s="5"/>
      <c r="T670" s="5"/>
      <c r="U670" s="5"/>
      <c r="V670" s="5"/>
      <c r="W670" s="5"/>
      <c r="X670" s="5"/>
      <c r="Y670" s="5"/>
      <c r="Z670" s="5"/>
    </row>
    <row r="671" spans="1:26" ht="12.75" customHeight="1">
      <c r="A671" s="5"/>
      <c r="B671" s="5"/>
      <c r="C671" s="5"/>
      <c r="D671" s="5"/>
      <c r="E671" s="5"/>
      <c r="F671" s="5"/>
      <c r="G671" s="5"/>
      <c r="H671" s="306"/>
      <c r="I671" s="5"/>
      <c r="J671" s="5"/>
      <c r="K671" s="5"/>
      <c r="L671" s="5"/>
      <c r="M671" s="5"/>
      <c r="N671" s="5"/>
      <c r="O671" s="57"/>
      <c r="P671" s="5"/>
      <c r="Q671" s="5"/>
      <c r="R671" s="5"/>
      <c r="S671" s="5"/>
      <c r="T671" s="5"/>
      <c r="U671" s="5"/>
      <c r="V671" s="5"/>
      <c r="W671" s="5"/>
      <c r="X671" s="5"/>
      <c r="Y671" s="5"/>
      <c r="Z671" s="5"/>
    </row>
    <row r="672" spans="1:26" ht="12.75" customHeight="1">
      <c r="A672" s="5"/>
      <c r="B672" s="5"/>
      <c r="C672" s="5"/>
      <c r="D672" s="5"/>
      <c r="E672" s="5"/>
      <c r="F672" s="5"/>
      <c r="G672" s="5"/>
      <c r="H672" s="306"/>
      <c r="I672" s="5"/>
      <c r="J672" s="5"/>
      <c r="K672" s="5"/>
      <c r="L672" s="5"/>
      <c r="M672" s="5"/>
      <c r="N672" s="5"/>
      <c r="O672" s="57"/>
      <c r="P672" s="5"/>
      <c r="Q672" s="5"/>
      <c r="R672" s="5"/>
      <c r="S672" s="5"/>
      <c r="T672" s="5"/>
      <c r="U672" s="5"/>
      <c r="V672" s="5"/>
      <c r="W672" s="5"/>
      <c r="X672" s="5"/>
      <c r="Y672" s="5"/>
      <c r="Z672" s="5"/>
    </row>
    <row r="673" spans="1:26" ht="12.75" customHeight="1">
      <c r="A673" s="5"/>
      <c r="B673" s="5"/>
      <c r="C673" s="5"/>
      <c r="D673" s="5"/>
      <c r="E673" s="5"/>
      <c r="F673" s="5"/>
      <c r="G673" s="5"/>
      <c r="H673" s="306"/>
      <c r="I673" s="5"/>
      <c r="J673" s="5"/>
      <c r="K673" s="5"/>
      <c r="L673" s="5"/>
      <c r="M673" s="5"/>
      <c r="N673" s="5"/>
      <c r="O673" s="57"/>
      <c r="P673" s="5"/>
      <c r="Q673" s="5"/>
      <c r="R673" s="5"/>
      <c r="S673" s="5"/>
      <c r="T673" s="5"/>
      <c r="U673" s="5"/>
      <c r="V673" s="5"/>
      <c r="W673" s="5"/>
      <c r="X673" s="5"/>
      <c r="Y673" s="5"/>
      <c r="Z673" s="5"/>
    </row>
    <row r="674" spans="1:26" ht="12.75" customHeight="1">
      <c r="A674" s="5"/>
      <c r="B674" s="5"/>
      <c r="C674" s="5"/>
      <c r="D674" s="5"/>
      <c r="E674" s="5"/>
      <c r="F674" s="5"/>
      <c r="G674" s="5"/>
      <c r="H674" s="306"/>
      <c r="I674" s="5"/>
      <c r="J674" s="5"/>
      <c r="K674" s="5"/>
      <c r="L674" s="5"/>
      <c r="M674" s="5"/>
      <c r="N674" s="5"/>
      <c r="O674" s="57"/>
      <c r="P674" s="5"/>
      <c r="Q674" s="5"/>
      <c r="R674" s="5"/>
      <c r="S674" s="5"/>
      <c r="T674" s="5"/>
      <c r="U674" s="5"/>
      <c r="V674" s="5"/>
      <c r="W674" s="5"/>
      <c r="X674" s="5"/>
      <c r="Y674" s="5"/>
      <c r="Z674" s="5"/>
    </row>
    <row r="675" spans="1:26" ht="12.75" customHeight="1">
      <c r="A675" s="5"/>
      <c r="B675" s="5"/>
      <c r="C675" s="5"/>
      <c r="D675" s="5"/>
      <c r="E675" s="5"/>
      <c r="F675" s="5"/>
      <c r="G675" s="5"/>
      <c r="H675" s="306"/>
      <c r="I675" s="5"/>
      <c r="J675" s="5"/>
      <c r="K675" s="5"/>
      <c r="L675" s="5"/>
      <c r="M675" s="5"/>
      <c r="N675" s="5"/>
      <c r="O675" s="57"/>
      <c r="P675" s="5"/>
      <c r="Q675" s="5"/>
      <c r="R675" s="5"/>
      <c r="S675" s="5"/>
      <c r="T675" s="5"/>
      <c r="U675" s="5"/>
      <c r="V675" s="5"/>
      <c r="W675" s="5"/>
      <c r="X675" s="5"/>
      <c r="Y675" s="5"/>
      <c r="Z675" s="5"/>
    </row>
    <row r="676" spans="1:26" ht="12.75" customHeight="1">
      <c r="A676" s="5"/>
      <c r="B676" s="5"/>
      <c r="C676" s="5"/>
      <c r="D676" s="5"/>
      <c r="E676" s="5"/>
      <c r="F676" s="5"/>
      <c r="G676" s="5"/>
      <c r="H676" s="306"/>
      <c r="I676" s="5"/>
      <c r="J676" s="5"/>
      <c r="K676" s="5"/>
      <c r="L676" s="5"/>
      <c r="M676" s="5"/>
      <c r="N676" s="5"/>
      <c r="O676" s="57"/>
      <c r="P676" s="5"/>
      <c r="Q676" s="5"/>
      <c r="R676" s="5"/>
      <c r="S676" s="5"/>
      <c r="T676" s="5"/>
      <c r="U676" s="5"/>
      <c r="V676" s="5"/>
      <c r="W676" s="5"/>
      <c r="X676" s="5"/>
      <c r="Y676" s="5"/>
      <c r="Z676" s="5"/>
    </row>
    <row r="677" spans="1:26" ht="12.75" customHeight="1">
      <c r="A677" s="5"/>
      <c r="B677" s="5"/>
      <c r="C677" s="5"/>
      <c r="D677" s="5"/>
      <c r="E677" s="5"/>
      <c r="F677" s="5"/>
      <c r="G677" s="5"/>
      <c r="H677" s="306"/>
      <c r="I677" s="5"/>
      <c r="J677" s="5"/>
      <c r="K677" s="5"/>
      <c r="L677" s="5"/>
      <c r="M677" s="5"/>
      <c r="N677" s="5"/>
      <c r="O677" s="57"/>
      <c r="P677" s="5"/>
      <c r="Q677" s="5"/>
      <c r="R677" s="5"/>
      <c r="S677" s="5"/>
      <c r="T677" s="5"/>
      <c r="U677" s="5"/>
      <c r="V677" s="5"/>
      <c r="W677" s="5"/>
      <c r="X677" s="5"/>
      <c r="Y677" s="5"/>
      <c r="Z677" s="5"/>
    </row>
    <row r="678" spans="1:26" ht="12.75" customHeight="1">
      <c r="A678" s="5"/>
      <c r="B678" s="5"/>
      <c r="C678" s="5"/>
      <c r="D678" s="5"/>
      <c r="E678" s="5"/>
      <c r="F678" s="5"/>
      <c r="G678" s="5"/>
      <c r="H678" s="306"/>
      <c r="I678" s="5"/>
      <c r="J678" s="5"/>
      <c r="K678" s="5"/>
      <c r="L678" s="5"/>
      <c r="M678" s="5"/>
      <c r="N678" s="5"/>
      <c r="O678" s="57"/>
      <c r="P678" s="5"/>
      <c r="Q678" s="5"/>
      <c r="R678" s="5"/>
      <c r="S678" s="5"/>
      <c r="T678" s="5"/>
      <c r="U678" s="5"/>
      <c r="V678" s="5"/>
      <c r="W678" s="5"/>
      <c r="X678" s="5"/>
      <c r="Y678" s="5"/>
      <c r="Z678" s="5"/>
    </row>
    <row r="679" spans="1:26" ht="12.75" customHeight="1">
      <c r="A679" s="5"/>
      <c r="B679" s="5"/>
      <c r="C679" s="5"/>
      <c r="D679" s="5"/>
      <c r="E679" s="5"/>
      <c r="F679" s="5"/>
      <c r="G679" s="5"/>
      <c r="H679" s="306"/>
      <c r="I679" s="5"/>
      <c r="J679" s="5"/>
      <c r="K679" s="5"/>
      <c r="L679" s="5"/>
      <c r="M679" s="5"/>
      <c r="N679" s="5"/>
      <c r="O679" s="57"/>
      <c r="P679" s="5"/>
      <c r="Q679" s="5"/>
      <c r="R679" s="5"/>
      <c r="S679" s="5"/>
      <c r="T679" s="5"/>
      <c r="U679" s="5"/>
      <c r="V679" s="5"/>
      <c r="W679" s="5"/>
      <c r="X679" s="5"/>
      <c r="Y679" s="5"/>
      <c r="Z679" s="5"/>
    </row>
    <row r="680" spans="1:26" ht="12.75" customHeight="1">
      <c r="A680" s="5"/>
      <c r="B680" s="5"/>
      <c r="C680" s="5"/>
      <c r="D680" s="5"/>
      <c r="E680" s="5"/>
      <c r="F680" s="5"/>
      <c r="G680" s="5"/>
      <c r="H680" s="306"/>
      <c r="I680" s="5"/>
      <c r="J680" s="5"/>
      <c r="K680" s="5"/>
      <c r="L680" s="5"/>
      <c r="M680" s="5"/>
      <c r="N680" s="5"/>
      <c r="O680" s="57"/>
      <c r="P680" s="5"/>
      <c r="Q680" s="5"/>
      <c r="R680" s="5"/>
      <c r="S680" s="5"/>
      <c r="T680" s="5"/>
      <c r="U680" s="5"/>
      <c r="V680" s="5"/>
      <c r="W680" s="5"/>
      <c r="X680" s="5"/>
      <c r="Y680" s="5"/>
      <c r="Z680" s="5"/>
    </row>
    <row r="681" spans="1:26" ht="12.75" customHeight="1">
      <c r="A681" s="5"/>
      <c r="B681" s="5"/>
      <c r="C681" s="5"/>
      <c r="D681" s="5"/>
      <c r="E681" s="5"/>
      <c r="F681" s="5"/>
      <c r="G681" s="5"/>
      <c r="H681" s="306"/>
      <c r="I681" s="5"/>
      <c r="J681" s="5"/>
      <c r="K681" s="5"/>
      <c r="L681" s="5"/>
      <c r="M681" s="5"/>
      <c r="N681" s="5"/>
      <c r="O681" s="57"/>
      <c r="P681" s="5"/>
      <c r="Q681" s="5"/>
      <c r="R681" s="5"/>
      <c r="S681" s="5"/>
      <c r="T681" s="5"/>
      <c r="U681" s="5"/>
      <c r="V681" s="5"/>
      <c r="W681" s="5"/>
      <c r="X681" s="5"/>
      <c r="Y681" s="5"/>
      <c r="Z681" s="5"/>
    </row>
    <row r="682" spans="1:26" ht="12.75" customHeight="1">
      <c r="A682" s="5"/>
      <c r="B682" s="5"/>
      <c r="C682" s="5"/>
      <c r="D682" s="5"/>
      <c r="E682" s="5"/>
      <c r="F682" s="5"/>
      <c r="G682" s="5"/>
      <c r="H682" s="306"/>
      <c r="I682" s="5"/>
      <c r="J682" s="5"/>
      <c r="K682" s="5"/>
      <c r="L682" s="5"/>
      <c r="M682" s="5"/>
      <c r="N682" s="5"/>
      <c r="O682" s="57"/>
      <c r="P682" s="5"/>
      <c r="Q682" s="5"/>
      <c r="R682" s="5"/>
      <c r="S682" s="5"/>
      <c r="T682" s="5"/>
      <c r="U682" s="5"/>
      <c r="V682" s="5"/>
      <c r="W682" s="5"/>
      <c r="X682" s="5"/>
      <c r="Y682" s="5"/>
      <c r="Z682" s="5"/>
    </row>
    <row r="683" spans="1:26" ht="12.75" customHeight="1">
      <c r="A683" s="5"/>
      <c r="B683" s="5"/>
      <c r="C683" s="5"/>
      <c r="D683" s="5"/>
      <c r="E683" s="5"/>
      <c r="F683" s="5"/>
      <c r="G683" s="5"/>
      <c r="H683" s="306"/>
      <c r="I683" s="5"/>
      <c r="J683" s="5"/>
      <c r="K683" s="5"/>
      <c r="L683" s="5"/>
      <c r="M683" s="5"/>
      <c r="N683" s="5"/>
      <c r="O683" s="57"/>
      <c r="P683" s="5"/>
      <c r="Q683" s="5"/>
      <c r="R683" s="5"/>
      <c r="S683" s="5"/>
      <c r="T683" s="5"/>
      <c r="U683" s="5"/>
      <c r="V683" s="5"/>
      <c r="W683" s="5"/>
      <c r="X683" s="5"/>
      <c r="Y683" s="5"/>
      <c r="Z683" s="5"/>
    </row>
    <row r="684" spans="1:26" ht="12.75" customHeight="1">
      <c r="A684" s="5"/>
      <c r="B684" s="5"/>
      <c r="C684" s="5"/>
      <c r="D684" s="5"/>
      <c r="E684" s="5"/>
      <c r="F684" s="5"/>
      <c r="G684" s="5"/>
      <c r="H684" s="306"/>
      <c r="I684" s="5"/>
      <c r="J684" s="5"/>
      <c r="K684" s="5"/>
      <c r="L684" s="5"/>
      <c r="M684" s="5"/>
      <c r="N684" s="5"/>
      <c r="O684" s="57"/>
      <c r="P684" s="5"/>
      <c r="Q684" s="5"/>
      <c r="R684" s="5"/>
      <c r="S684" s="5"/>
      <c r="T684" s="5"/>
      <c r="U684" s="5"/>
      <c r="V684" s="5"/>
      <c r="W684" s="5"/>
      <c r="X684" s="5"/>
      <c r="Y684" s="5"/>
      <c r="Z684" s="5"/>
    </row>
    <row r="685" spans="1:26" ht="12.75" customHeight="1">
      <c r="A685" s="5"/>
      <c r="B685" s="5"/>
      <c r="C685" s="5"/>
      <c r="D685" s="5"/>
      <c r="E685" s="5"/>
      <c r="F685" s="5"/>
      <c r="G685" s="5"/>
      <c r="H685" s="306"/>
      <c r="I685" s="5"/>
      <c r="J685" s="5"/>
      <c r="K685" s="5"/>
      <c r="L685" s="5"/>
      <c r="M685" s="5"/>
      <c r="N685" s="5"/>
      <c r="O685" s="57"/>
      <c r="P685" s="5"/>
      <c r="Q685" s="5"/>
      <c r="R685" s="5"/>
      <c r="S685" s="5"/>
      <c r="T685" s="5"/>
      <c r="U685" s="5"/>
      <c r="V685" s="5"/>
      <c r="W685" s="5"/>
      <c r="X685" s="5"/>
      <c r="Y685" s="5"/>
      <c r="Z685" s="5"/>
    </row>
    <row r="686" spans="1:26" ht="12.75" customHeight="1">
      <c r="A686" s="5"/>
      <c r="B686" s="5"/>
      <c r="C686" s="5"/>
      <c r="D686" s="5"/>
      <c r="E686" s="5"/>
      <c r="F686" s="5"/>
      <c r="G686" s="5"/>
      <c r="H686" s="306"/>
      <c r="I686" s="5"/>
      <c r="J686" s="5"/>
      <c r="K686" s="5"/>
      <c r="L686" s="5"/>
      <c r="M686" s="5"/>
      <c r="N686" s="5"/>
      <c r="O686" s="57"/>
      <c r="P686" s="5"/>
      <c r="Q686" s="5"/>
      <c r="R686" s="5"/>
      <c r="S686" s="5"/>
      <c r="T686" s="5"/>
      <c r="U686" s="5"/>
      <c r="V686" s="5"/>
      <c r="W686" s="5"/>
      <c r="X686" s="5"/>
      <c r="Y686" s="5"/>
      <c r="Z686" s="5"/>
    </row>
    <row r="687" spans="1:26" ht="12.75" customHeight="1">
      <c r="A687" s="5"/>
      <c r="B687" s="5"/>
      <c r="C687" s="5"/>
      <c r="D687" s="5"/>
      <c r="E687" s="5"/>
      <c r="F687" s="5"/>
      <c r="G687" s="5"/>
      <c r="H687" s="306"/>
      <c r="I687" s="5"/>
      <c r="J687" s="5"/>
      <c r="K687" s="5"/>
      <c r="L687" s="5"/>
      <c r="M687" s="5"/>
      <c r="N687" s="5"/>
      <c r="O687" s="57"/>
      <c r="P687" s="5"/>
      <c r="Q687" s="5"/>
      <c r="R687" s="5"/>
      <c r="S687" s="5"/>
      <c r="T687" s="5"/>
      <c r="U687" s="5"/>
      <c r="V687" s="5"/>
      <c r="W687" s="5"/>
      <c r="X687" s="5"/>
      <c r="Y687" s="5"/>
      <c r="Z687" s="5"/>
    </row>
    <row r="688" spans="1:26" ht="12.75" customHeight="1">
      <c r="A688" s="5"/>
      <c r="B688" s="5"/>
      <c r="C688" s="5"/>
      <c r="D688" s="5"/>
      <c r="E688" s="5"/>
      <c r="F688" s="5"/>
      <c r="G688" s="5"/>
      <c r="H688" s="306"/>
      <c r="I688" s="5"/>
      <c r="J688" s="5"/>
      <c r="K688" s="5"/>
      <c r="L688" s="5"/>
      <c r="M688" s="5"/>
      <c r="N688" s="5"/>
      <c r="O688" s="57"/>
      <c r="P688" s="5"/>
      <c r="Q688" s="5"/>
      <c r="R688" s="5"/>
      <c r="S688" s="5"/>
      <c r="T688" s="5"/>
      <c r="U688" s="5"/>
      <c r="V688" s="5"/>
      <c r="W688" s="5"/>
      <c r="X688" s="5"/>
      <c r="Y688" s="5"/>
      <c r="Z688" s="5"/>
    </row>
    <row r="689" spans="1:26" ht="12.75" customHeight="1">
      <c r="A689" s="5"/>
      <c r="B689" s="5"/>
      <c r="C689" s="5"/>
      <c r="D689" s="5"/>
      <c r="E689" s="5"/>
      <c r="F689" s="5"/>
      <c r="G689" s="5"/>
      <c r="H689" s="306"/>
      <c r="I689" s="5"/>
      <c r="J689" s="5"/>
      <c r="K689" s="5"/>
      <c r="L689" s="5"/>
      <c r="M689" s="5"/>
      <c r="N689" s="5"/>
      <c r="O689" s="57"/>
      <c r="P689" s="5"/>
      <c r="Q689" s="5"/>
      <c r="R689" s="5"/>
      <c r="S689" s="5"/>
      <c r="T689" s="5"/>
      <c r="U689" s="5"/>
      <c r="V689" s="5"/>
      <c r="W689" s="5"/>
      <c r="X689" s="5"/>
      <c r="Y689" s="5"/>
      <c r="Z689" s="5"/>
    </row>
    <row r="690" spans="1:26" ht="12.75" customHeight="1">
      <c r="A690" s="5"/>
      <c r="B690" s="5"/>
      <c r="C690" s="5"/>
      <c r="D690" s="5"/>
      <c r="E690" s="5"/>
      <c r="F690" s="5"/>
      <c r="G690" s="5"/>
      <c r="H690" s="306"/>
      <c r="I690" s="5"/>
      <c r="J690" s="5"/>
      <c r="K690" s="5"/>
      <c r="L690" s="5"/>
      <c r="M690" s="5"/>
      <c r="N690" s="5"/>
      <c r="O690" s="57"/>
      <c r="P690" s="5"/>
      <c r="Q690" s="5"/>
      <c r="R690" s="5"/>
      <c r="S690" s="5"/>
      <c r="T690" s="5"/>
      <c r="U690" s="5"/>
      <c r="V690" s="5"/>
      <c r="W690" s="5"/>
      <c r="X690" s="5"/>
      <c r="Y690" s="5"/>
      <c r="Z690" s="5"/>
    </row>
    <row r="691" spans="1:26" ht="12.75" customHeight="1">
      <c r="A691" s="5"/>
      <c r="B691" s="5"/>
      <c r="C691" s="5"/>
      <c r="D691" s="5"/>
      <c r="E691" s="5"/>
      <c r="F691" s="5"/>
      <c r="G691" s="5"/>
      <c r="H691" s="306"/>
      <c r="I691" s="5"/>
      <c r="J691" s="5"/>
      <c r="K691" s="5"/>
      <c r="L691" s="5"/>
      <c r="M691" s="5"/>
      <c r="N691" s="5"/>
      <c r="O691" s="57"/>
      <c r="P691" s="5"/>
      <c r="Q691" s="5"/>
      <c r="R691" s="5"/>
      <c r="S691" s="5"/>
      <c r="T691" s="5"/>
      <c r="U691" s="5"/>
      <c r="V691" s="5"/>
      <c r="W691" s="5"/>
      <c r="X691" s="5"/>
      <c r="Y691" s="5"/>
      <c r="Z691" s="5"/>
    </row>
    <row r="692" spans="1:26" ht="12.75" customHeight="1">
      <c r="A692" s="5"/>
      <c r="B692" s="5"/>
      <c r="C692" s="5"/>
      <c r="D692" s="5"/>
      <c r="E692" s="5"/>
      <c r="F692" s="5"/>
      <c r="G692" s="5"/>
      <c r="H692" s="306"/>
      <c r="I692" s="5"/>
      <c r="J692" s="5"/>
      <c r="K692" s="5"/>
      <c r="L692" s="5"/>
      <c r="M692" s="5"/>
      <c r="N692" s="5"/>
      <c r="O692" s="57"/>
      <c r="P692" s="5"/>
      <c r="Q692" s="5"/>
      <c r="R692" s="5"/>
      <c r="S692" s="5"/>
      <c r="T692" s="5"/>
      <c r="U692" s="5"/>
      <c r="V692" s="5"/>
      <c r="W692" s="5"/>
      <c r="X692" s="5"/>
      <c r="Y692" s="5"/>
      <c r="Z692" s="5"/>
    </row>
    <row r="693" spans="1:26" ht="12.75" customHeight="1">
      <c r="A693" s="5"/>
      <c r="B693" s="5"/>
      <c r="C693" s="5"/>
      <c r="D693" s="5"/>
      <c r="E693" s="5"/>
      <c r="F693" s="5"/>
      <c r="G693" s="5"/>
      <c r="H693" s="306"/>
      <c r="I693" s="5"/>
      <c r="J693" s="5"/>
      <c r="K693" s="5"/>
      <c r="L693" s="5"/>
      <c r="M693" s="5"/>
      <c r="N693" s="5"/>
      <c r="O693" s="57"/>
      <c r="P693" s="5"/>
      <c r="Q693" s="5"/>
      <c r="R693" s="5"/>
      <c r="S693" s="5"/>
      <c r="T693" s="5"/>
      <c r="U693" s="5"/>
      <c r="V693" s="5"/>
      <c r="W693" s="5"/>
      <c r="X693" s="5"/>
      <c r="Y693" s="5"/>
      <c r="Z693" s="5"/>
    </row>
    <row r="694" spans="1:26" ht="12.75" customHeight="1">
      <c r="A694" s="5"/>
      <c r="B694" s="5"/>
      <c r="C694" s="5"/>
      <c r="D694" s="5"/>
      <c r="E694" s="5"/>
      <c r="F694" s="5"/>
      <c r="G694" s="5"/>
      <c r="H694" s="306"/>
      <c r="I694" s="5"/>
      <c r="J694" s="5"/>
      <c r="K694" s="5"/>
      <c r="L694" s="5"/>
      <c r="M694" s="5"/>
      <c r="N694" s="5"/>
      <c r="O694" s="57"/>
      <c r="P694" s="5"/>
      <c r="Q694" s="5"/>
      <c r="R694" s="5"/>
      <c r="S694" s="5"/>
      <c r="T694" s="5"/>
      <c r="U694" s="5"/>
      <c r="V694" s="5"/>
      <c r="W694" s="5"/>
      <c r="X694" s="5"/>
      <c r="Y694" s="5"/>
      <c r="Z694" s="5"/>
    </row>
    <row r="695" spans="1:26" ht="12.75" customHeight="1">
      <c r="A695" s="5"/>
      <c r="B695" s="5"/>
      <c r="C695" s="5"/>
      <c r="D695" s="5"/>
      <c r="E695" s="5"/>
      <c r="F695" s="5"/>
      <c r="G695" s="5"/>
      <c r="H695" s="306"/>
      <c r="I695" s="5"/>
      <c r="J695" s="5"/>
      <c r="K695" s="5"/>
      <c r="L695" s="5"/>
      <c r="M695" s="5"/>
      <c r="N695" s="5"/>
      <c r="O695" s="57"/>
      <c r="P695" s="5"/>
      <c r="Q695" s="5"/>
      <c r="R695" s="5"/>
      <c r="S695" s="5"/>
      <c r="T695" s="5"/>
      <c r="U695" s="5"/>
      <c r="V695" s="5"/>
      <c r="W695" s="5"/>
      <c r="X695" s="5"/>
      <c r="Y695" s="5"/>
      <c r="Z695" s="5"/>
    </row>
    <row r="696" spans="1:26" ht="12.75" customHeight="1">
      <c r="A696" s="5"/>
      <c r="B696" s="5"/>
      <c r="C696" s="5"/>
      <c r="D696" s="5"/>
      <c r="E696" s="5"/>
      <c r="F696" s="5"/>
      <c r="G696" s="5"/>
      <c r="H696" s="306"/>
      <c r="I696" s="5"/>
      <c r="J696" s="5"/>
      <c r="K696" s="5"/>
      <c r="L696" s="5"/>
      <c r="M696" s="5"/>
      <c r="N696" s="5"/>
      <c r="O696" s="57"/>
      <c r="P696" s="5"/>
      <c r="Q696" s="5"/>
      <c r="R696" s="5"/>
      <c r="S696" s="5"/>
      <c r="T696" s="5"/>
      <c r="U696" s="5"/>
      <c r="V696" s="5"/>
      <c r="W696" s="5"/>
      <c r="X696" s="5"/>
      <c r="Y696" s="5"/>
      <c r="Z696" s="5"/>
    </row>
    <row r="697" spans="1:26" ht="12.75" customHeight="1">
      <c r="A697" s="5"/>
      <c r="B697" s="5"/>
      <c r="C697" s="5"/>
      <c r="D697" s="5"/>
      <c r="E697" s="5"/>
      <c r="F697" s="5"/>
      <c r="G697" s="5"/>
      <c r="H697" s="306"/>
      <c r="I697" s="5"/>
      <c r="J697" s="5"/>
      <c r="K697" s="5"/>
      <c r="L697" s="5"/>
      <c r="M697" s="5"/>
      <c r="N697" s="5"/>
      <c r="O697" s="57"/>
      <c r="P697" s="5"/>
      <c r="Q697" s="5"/>
      <c r="R697" s="5"/>
      <c r="S697" s="5"/>
      <c r="T697" s="5"/>
      <c r="U697" s="5"/>
      <c r="V697" s="5"/>
      <c r="W697" s="5"/>
      <c r="X697" s="5"/>
      <c r="Y697" s="5"/>
      <c r="Z697" s="5"/>
    </row>
    <row r="698" spans="1:26" ht="12.75" customHeight="1">
      <c r="A698" s="5"/>
      <c r="B698" s="5"/>
      <c r="C698" s="5"/>
      <c r="D698" s="5"/>
      <c r="E698" s="5"/>
      <c r="F698" s="5"/>
      <c r="G698" s="5"/>
      <c r="H698" s="306"/>
      <c r="I698" s="5"/>
      <c r="J698" s="5"/>
      <c r="K698" s="5"/>
      <c r="L698" s="5"/>
      <c r="M698" s="5"/>
      <c r="N698" s="5"/>
      <c r="O698" s="57"/>
      <c r="P698" s="5"/>
      <c r="Q698" s="5"/>
      <c r="R698" s="5"/>
      <c r="S698" s="5"/>
      <c r="T698" s="5"/>
      <c r="U698" s="5"/>
      <c r="V698" s="5"/>
      <c r="W698" s="5"/>
      <c r="X698" s="5"/>
      <c r="Y698" s="5"/>
      <c r="Z698" s="5"/>
    </row>
    <row r="699" spans="1:26" ht="12.75" customHeight="1">
      <c r="A699" s="5"/>
      <c r="B699" s="5"/>
      <c r="C699" s="5"/>
      <c r="D699" s="5"/>
      <c r="E699" s="5"/>
      <c r="F699" s="5"/>
      <c r="G699" s="5"/>
      <c r="H699" s="306"/>
      <c r="I699" s="5"/>
      <c r="J699" s="5"/>
      <c r="K699" s="5"/>
      <c r="L699" s="5"/>
      <c r="M699" s="5"/>
      <c r="N699" s="5"/>
      <c r="O699" s="57"/>
      <c r="P699" s="5"/>
      <c r="Q699" s="5"/>
      <c r="R699" s="5"/>
      <c r="S699" s="5"/>
      <c r="T699" s="5"/>
      <c r="U699" s="5"/>
      <c r="V699" s="5"/>
      <c r="W699" s="5"/>
      <c r="X699" s="5"/>
      <c r="Y699" s="5"/>
      <c r="Z699" s="5"/>
    </row>
    <row r="700" spans="1:26" ht="12.75" customHeight="1">
      <c r="A700" s="5"/>
      <c r="B700" s="5"/>
      <c r="C700" s="5"/>
      <c r="D700" s="5"/>
      <c r="E700" s="5"/>
      <c r="F700" s="5"/>
      <c r="G700" s="5"/>
      <c r="H700" s="306"/>
      <c r="I700" s="5"/>
      <c r="J700" s="5"/>
      <c r="K700" s="5"/>
      <c r="L700" s="5"/>
      <c r="M700" s="5"/>
      <c r="N700" s="5"/>
      <c r="O700" s="57"/>
      <c r="P700" s="5"/>
      <c r="Q700" s="5"/>
      <c r="R700" s="5"/>
      <c r="S700" s="5"/>
      <c r="T700" s="5"/>
      <c r="U700" s="5"/>
      <c r="V700" s="5"/>
      <c r="W700" s="5"/>
      <c r="X700" s="5"/>
      <c r="Y700" s="5"/>
      <c r="Z700" s="5"/>
    </row>
    <row r="701" spans="1:26" ht="12.75" customHeight="1">
      <c r="A701" s="5"/>
      <c r="B701" s="5"/>
      <c r="C701" s="5"/>
      <c r="D701" s="5"/>
      <c r="E701" s="5"/>
      <c r="F701" s="5"/>
      <c r="G701" s="5"/>
      <c r="H701" s="306"/>
      <c r="I701" s="5"/>
      <c r="J701" s="5"/>
      <c r="K701" s="5"/>
      <c r="L701" s="5"/>
      <c r="M701" s="5"/>
      <c r="N701" s="5"/>
      <c r="O701" s="57"/>
      <c r="P701" s="5"/>
      <c r="Q701" s="5"/>
      <c r="R701" s="5"/>
      <c r="S701" s="5"/>
      <c r="T701" s="5"/>
      <c r="U701" s="5"/>
      <c r="V701" s="5"/>
      <c r="W701" s="5"/>
      <c r="X701" s="5"/>
      <c r="Y701" s="5"/>
      <c r="Z701" s="5"/>
    </row>
    <row r="702" spans="1:26" ht="12.75" customHeight="1">
      <c r="A702" s="5"/>
      <c r="B702" s="5"/>
      <c r="C702" s="5"/>
      <c r="D702" s="5"/>
      <c r="E702" s="5"/>
      <c r="F702" s="5"/>
      <c r="G702" s="5"/>
      <c r="H702" s="306"/>
      <c r="I702" s="5"/>
      <c r="J702" s="5"/>
      <c r="K702" s="5"/>
      <c r="L702" s="5"/>
      <c r="M702" s="5"/>
      <c r="N702" s="5"/>
      <c r="O702" s="57"/>
      <c r="P702" s="5"/>
      <c r="Q702" s="5"/>
      <c r="R702" s="5"/>
      <c r="S702" s="5"/>
      <c r="T702" s="5"/>
      <c r="U702" s="5"/>
      <c r="V702" s="5"/>
      <c r="W702" s="5"/>
      <c r="X702" s="5"/>
      <c r="Y702" s="5"/>
      <c r="Z702" s="5"/>
    </row>
    <row r="703" spans="1:26" ht="12.75" customHeight="1">
      <c r="A703" s="5"/>
      <c r="B703" s="5"/>
      <c r="C703" s="5"/>
      <c r="D703" s="5"/>
      <c r="E703" s="5"/>
      <c r="F703" s="5"/>
      <c r="G703" s="5"/>
      <c r="H703" s="306"/>
      <c r="I703" s="5"/>
      <c r="J703" s="5"/>
      <c r="K703" s="5"/>
      <c r="L703" s="5"/>
      <c r="M703" s="5"/>
      <c r="N703" s="5"/>
      <c r="O703" s="57"/>
      <c r="P703" s="5"/>
      <c r="Q703" s="5"/>
      <c r="R703" s="5"/>
      <c r="S703" s="5"/>
      <c r="T703" s="5"/>
      <c r="U703" s="5"/>
      <c r="V703" s="5"/>
      <c r="W703" s="5"/>
      <c r="X703" s="5"/>
      <c r="Y703" s="5"/>
      <c r="Z703" s="5"/>
    </row>
    <row r="704" spans="1:26" ht="12.75" customHeight="1">
      <c r="A704" s="5"/>
      <c r="B704" s="5"/>
      <c r="C704" s="5"/>
      <c r="D704" s="5"/>
      <c r="E704" s="5"/>
      <c r="F704" s="5"/>
      <c r="G704" s="5"/>
      <c r="H704" s="306"/>
      <c r="I704" s="5"/>
      <c r="J704" s="5"/>
      <c r="K704" s="5"/>
      <c r="L704" s="5"/>
      <c r="M704" s="5"/>
      <c r="N704" s="5"/>
      <c r="O704" s="57"/>
      <c r="P704" s="5"/>
      <c r="Q704" s="5"/>
      <c r="R704" s="5"/>
      <c r="S704" s="5"/>
      <c r="T704" s="5"/>
      <c r="U704" s="5"/>
      <c r="V704" s="5"/>
      <c r="W704" s="5"/>
      <c r="X704" s="5"/>
      <c r="Y704" s="5"/>
      <c r="Z704" s="5"/>
    </row>
    <row r="705" spans="1:26" ht="12.75" customHeight="1">
      <c r="A705" s="5"/>
      <c r="B705" s="5"/>
      <c r="C705" s="5"/>
      <c r="D705" s="5"/>
      <c r="E705" s="5"/>
      <c r="F705" s="5"/>
      <c r="G705" s="5"/>
      <c r="H705" s="306"/>
      <c r="I705" s="5"/>
      <c r="J705" s="5"/>
      <c r="K705" s="5"/>
      <c r="L705" s="5"/>
      <c r="M705" s="5"/>
      <c r="N705" s="5"/>
      <c r="O705" s="57"/>
      <c r="P705" s="5"/>
      <c r="Q705" s="5"/>
      <c r="R705" s="5"/>
      <c r="S705" s="5"/>
      <c r="T705" s="5"/>
      <c r="U705" s="5"/>
      <c r="V705" s="5"/>
      <c r="W705" s="5"/>
      <c r="X705" s="5"/>
      <c r="Y705" s="5"/>
      <c r="Z705" s="5"/>
    </row>
    <row r="706" spans="1:26" ht="12.75" customHeight="1">
      <c r="A706" s="5"/>
      <c r="B706" s="5"/>
      <c r="C706" s="5"/>
      <c r="D706" s="5"/>
      <c r="E706" s="5"/>
      <c r="F706" s="5"/>
      <c r="G706" s="5"/>
      <c r="H706" s="306"/>
      <c r="I706" s="5"/>
      <c r="J706" s="5"/>
      <c r="K706" s="5"/>
      <c r="L706" s="5"/>
      <c r="M706" s="5"/>
      <c r="N706" s="5"/>
      <c r="O706" s="57"/>
      <c r="P706" s="5"/>
      <c r="Q706" s="5"/>
      <c r="R706" s="5"/>
      <c r="S706" s="5"/>
      <c r="T706" s="5"/>
      <c r="U706" s="5"/>
      <c r="V706" s="5"/>
      <c r="W706" s="5"/>
      <c r="X706" s="5"/>
      <c r="Y706" s="5"/>
      <c r="Z706" s="5"/>
    </row>
    <row r="707" spans="1:26" ht="12.75" customHeight="1">
      <c r="A707" s="5"/>
      <c r="B707" s="5"/>
      <c r="C707" s="5"/>
      <c r="D707" s="5"/>
      <c r="E707" s="5"/>
      <c r="F707" s="5"/>
      <c r="G707" s="5"/>
      <c r="H707" s="306"/>
      <c r="I707" s="5"/>
      <c r="J707" s="5"/>
      <c r="K707" s="5"/>
      <c r="L707" s="5"/>
      <c r="M707" s="5"/>
      <c r="N707" s="5"/>
      <c r="O707" s="57"/>
      <c r="P707" s="5"/>
      <c r="Q707" s="5"/>
      <c r="R707" s="5"/>
      <c r="S707" s="5"/>
      <c r="T707" s="5"/>
      <c r="U707" s="5"/>
      <c r="V707" s="5"/>
      <c r="W707" s="5"/>
      <c r="X707" s="5"/>
      <c r="Y707" s="5"/>
      <c r="Z707" s="5"/>
    </row>
    <row r="708" spans="1:26" ht="12.75" customHeight="1">
      <c r="A708" s="5"/>
      <c r="B708" s="5"/>
      <c r="C708" s="5"/>
      <c r="D708" s="5"/>
      <c r="E708" s="5"/>
      <c r="F708" s="5"/>
      <c r="G708" s="5"/>
      <c r="H708" s="306"/>
      <c r="I708" s="5"/>
      <c r="J708" s="5"/>
      <c r="K708" s="5"/>
      <c r="L708" s="5"/>
      <c r="M708" s="5"/>
      <c r="N708" s="5"/>
      <c r="O708" s="57"/>
      <c r="P708" s="5"/>
      <c r="Q708" s="5"/>
      <c r="R708" s="5"/>
      <c r="S708" s="5"/>
      <c r="T708" s="5"/>
      <c r="U708" s="5"/>
      <c r="V708" s="5"/>
      <c r="W708" s="5"/>
      <c r="X708" s="5"/>
      <c r="Y708" s="5"/>
      <c r="Z708" s="5"/>
    </row>
    <row r="709" spans="1:26" ht="12.75" customHeight="1">
      <c r="A709" s="5"/>
      <c r="B709" s="5"/>
      <c r="C709" s="5"/>
      <c r="D709" s="5"/>
      <c r="E709" s="5"/>
      <c r="F709" s="5"/>
      <c r="G709" s="5"/>
      <c r="H709" s="306"/>
      <c r="I709" s="5"/>
      <c r="J709" s="5"/>
      <c r="K709" s="5"/>
      <c r="L709" s="5"/>
      <c r="M709" s="5"/>
      <c r="N709" s="5"/>
      <c r="O709" s="57"/>
      <c r="P709" s="5"/>
      <c r="Q709" s="5"/>
      <c r="R709" s="5"/>
      <c r="S709" s="5"/>
      <c r="T709" s="5"/>
      <c r="U709" s="5"/>
      <c r="V709" s="5"/>
      <c r="W709" s="5"/>
      <c r="X709" s="5"/>
      <c r="Y709" s="5"/>
      <c r="Z709" s="5"/>
    </row>
    <row r="710" spans="1:26" ht="12.75" customHeight="1">
      <c r="A710" s="5"/>
      <c r="B710" s="5"/>
      <c r="C710" s="5"/>
      <c r="D710" s="5"/>
      <c r="E710" s="5"/>
      <c r="F710" s="5"/>
      <c r="G710" s="5"/>
      <c r="H710" s="306"/>
      <c r="I710" s="5"/>
      <c r="J710" s="5"/>
      <c r="K710" s="5"/>
      <c r="L710" s="5"/>
      <c r="M710" s="5"/>
      <c r="N710" s="5"/>
      <c r="O710" s="57"/>
      <c r="P710" s="5"/>
      <c r="Q710" s="5"/>
      <c r="R710" s="5"/>
      <c r="S710" s="5"/>
      <c r="T710" s="5"/>
      <c r="U710" s="5"/>
      <c r="V710" s="5"/>
      <c r="W710" s="5"/>
      <c r="X710" s="5"/>
      <c r="Y710" s="5"/>
      <c r="Z710" s="5"/>
    </row>
    <row r="711" spans="1:26" ht="12.75" customHeight="1">
      <c r="A711" s="5"/>
      <c r="B711" s="5"/>
      <c r="C711" s="5"/>
      <c r="D711" s="5"/>
      <c r="E711" s="5"/>
      <c r="F711" s="5"/>
      <c r="G711" s="5"/>
      <c r="H711" s="306"/>
      <c r="I711" s="5"/>
      <c r="J711" s="5"/>
      <c r="K711" s="5"/>
      <c r="L711" s="5"/>
      <c r="M711" s="5"/>
      <c r="N711" s="5"/>
      <c r="O711" s="57"/>
      <c r="P711" s="5"/>
      <c r="Q711" s="5"/>
      <c r="R711" s="5"/>
      <c r="S711" s="5"/>
      <c r="T711" s="5"/>
      <c r="U711" s="5"/>
      <c r="V711" s="5"/>
      <c r="W711" s="5"/>
      <c r="X711" s="5"/>
      <c r="Y711" s="5"/>
      <c r="Z711" s="5"/>
    </row>
    <row r="712" spans="1:26" ht="12.75" customHeight="1">
      <c r="A712" s="5"/>
      <c r="B712" s="5"/>
      <c r="C712" s="5"/>
      <c r="D712" s="5"/>
      <c r="E712" s="5"/>
      <c r="F712" s="5"/>
      <c r="G712" s="5"/>
      <c r="H712" s="306"/>
      <c r="I712" s="5"/>
      <c r="J712" s="5"/>
      <c r="K712" s="5"/>
      <c r="L712" s="5"/>
      <c r="M712" s="5"/>
      <c r="N712" s="5"/>
      <c r="O712" s="57"/>
      <c r="P712" s="5"/>
      <c r="Q712" s="5"/>
      <c r="R712" s="5"/>
      <c r="S712" s="5"/>
      <c r="T712" s="5"/>
      <c r="U712" s="5"/>
      <c r="V712" s="5"/>
      <c r="W712" s="5"/>
      <c r="X712" s="5"/>
      <c r="Y712" s="5"/>
      <c r="Z712" s="5"/>
    </row>
    <row r="713" spans="1:26" ht="12.75" customHeight="1">
      <c r="A713" s="5"/>
      <c r="B713" s="5"/>
      <c r="C713" s="5"/>
      <c r="D713" s="5"/>
      <c r="E713" s="5"/>
      <c r="F713" s="5"/>
      <c r="G713" s="5"/>
      <c r="H713" s="306"/>
      <c r="I713" s="5"/>
      <c r="J713" s="5"/>
      <c r="K713" s="5"/>
      <c r="L713" s="5"/>
      <c r="M713" s="5"/>
      <c r="N713" s="5"/>
      <c r="O713" s="57"/>
      <c r="P713" s="5"/>
      <c r="Q713" s="5"/>
      <c r="R713" s="5"/>
      <c r="S713" s="5"/>
      <c r="T713" s="5"/>
      <c r="U713" s="5"/>
      <c r="V713" s="5"/>
      <c r="W713" s="5"/>
      <c r="X713" s="5"/>
      <c r="Y713" s="5"/>
      <c r="Z713" s="5"/>
    </row>
    <row r="714" spans="1:26" ht="12.75" customHeight="1">
      <c r="A714" s="5"/>
      <c r="B714" s="5"/>
      <c r="C714" s="5"/>
      <c r="D714" s="5"/>
      <c r="E714" s="5"/>
      <c r="F714" s="5"/>
      <c r="G714" s="5"/>
      <c r="H714" s="306"/>
      <c r="I714" s="5"/>
      <c r="J714" s="5"/>
      <c r="K714" s="5"/>
      <c r="L714" s="5"/>
      <c r="M714" s="5"/>
      <c r="N714" s="5"/>
      <c r="O714" s="57"/>
      <c r="P714" s="5"/>
      <c r="Q714" s="5"/>
      <c r="R714" s="5"/>
      <c r="S714" s="5"/>
      <c r="T714" s="5"/>
      <c r="U714" s="5"/>
      <c r="V714" s="5"/>
      <c r="W714" s="5"/>
      <c r="X714" s="5"/>
      <c r="Y714" s="5"/>
      <c r="Z714" s="5"/>
    </row>
    <row r="715" spans="1:26" ht="12.75" customHeight="1">
      <c r="A715" s="5"/>
      <c r="B715" s="5"/>
      <c r="C715" s="5"/>
      <c r="D715" s="5"/>
      <c r="E715" s="5"/>
      <c r="F715" s="5"/>
      <c r="G715" s="5"/>
      <c r="H715" s="306"/>
      <c r="I715" s="5"/>
      <c r="J715" s="5"/>
      <c r="K715" s="5"/>
      <c r="L715" s="5"/>
      <c r="M715" s="5"/>
      <c r="N715" s="5"/>
      <c r="O715" s="57"/>
      <c r="P715" s="5"/>
      <c r="Q715" s="5"/>
      <c r="R715" s="5"/>
      <c r="S715" s="5"/>
      <c r="T715" s="5"/>
      <c r="U715" s="5"/>
      <c r="V715" s="5"/>
      <c r="W715" s="5"/>
      <c r="X715" s="5"/>
      <c r="Y715" s="5"/>
      <c r="Z715" s="5"/>
    </row>
    <row r="716" spans="1:26" ht="12.75" customHeight="1">
      <c r="A716" s="5"/>
      <c r="B716" s="5"/>
      <c r="C716" s="5"/>
      <c r="D716" s="5"/>
      <c r="E716" s="5"/>
      <c r="F716" s="5"/>
      <c r="G716" s="5"/>
      <c r="H716" s="306"/>
      <c r="I716" s="5"/>
      <c r="J716" s="5"/>
      <c r="K716" s="5"/>
      <c r="L716" s="5"/>
      <c r="M716" s="5"/>
      <c r="N716" s="5"/>
      <c r="O716" s="57"/>
      <c r="P716" s="5"/>
      <c r="Q716" s="5"/>
      <c r="R716" s="5"/>
      <c r="S716" s="5"/>
      <c r="T716" s="5"/>
      <c r="U716" s="5"/>
      <c r="V716" s="5"/>
      <c r="W716" s="5"/>
      <c r="X716" s="5"/>
      <c r="Y716" s="5"/>
      <c r="Z716" s="5"/>
    </row>
    <row r="717" spans="1:26" ht="12.75" customHeight="1">
      <c r="A717" s="5"/>
      <c r="B717" s="5"/>
      <c r="C717" s="5"/>
      <c r="D717" s="5"/>
      <c r="E717" s="5"/>
      <c r="F717" s="5"/>
      <c r="G717" s="5"/>
      <c r="H717" s="306"/>
      <c r="I717" s="5"/>
      <c r="J717" s="5"/>
      <c r="K717" s="5"/>
      <c r="L717" s="5"/>
      <c r="M717" s="5"/>
      <c r="N717" s="5"/>
      <c r="O717" s="57"/>
      <c r="P717" s="5"/>
      <c r="Q717" s="5"/>
      <c r="R717" s="5"/>
      <c r="S717" s="5"/>
      <c r="T717" s="5"/>
      <c r="U717" s="5"/>
      <c r="V717" s="5"/>
      <c r="W717" s="5"/>
      <c r="X717" s="5"/>
      <c r="Y717" s="5"/>
      <c r="Z717" s="5"/>
    </row>
    <row r="718" spans="1:26" ht="12.75" customHeight="1">
      <c r="A718" s="5"/>
      <c r="B718" s="5"/>
      <c r="C718" s="5"/>
      <c r="D718" s="5"/>
      <c r="E718" s="5"/>
      <c r="F718" s="5"/>
      <c r="G718" s="5"/>
      <c r="H718" s="306"/>
      <c r="I718" s="5"/>
      <c r="J718" s="5"/>
      <c r="K718" s="5"/>
      <c r="L718" s="5"/>
      <c r="M718" s="5"/>
      <c r="N718" s="5"/>
      <c r="O718" s="57"/>
      <c r="P718" s="5"/>
      <c r="Q718" s="5"/>
      <c r="R718" s="5"/>
      <c r="S718" s="5"/>
      <c r="T718" s="5"/>
      <c r="U718" s="5"/>
      <c r="V718" s="5"/>
      <c r="W718" s="5"/>
      <c r="X718" s="5"/>
      <c r="Y718" s="5"/>
      <c r="Z718" s="5"/>
    </row>
    <row r="719" spans="1:26" ht="12.75" customHeight="1">
      <c r="A719" s="5"/>
      <c r="B719" s="5"/>
      <c r="C719" s="5"/>
      <c r="D719" s="5"/>
      <c r="E719" s="5"/>
      <c r="F719" s="5"/>
      <c r="G719" s="5"/>
      <c r="H719" s="306"/>
      <c r="I719" s="5"/>
      <c r="J719" s="5"/>
      <c r="K719" s="5"/>
      <c r="L719" s="5"/>
      <c r="M719" s="5"/>
      <c r="N719" s="5"/>
      <c r="O719" s="57"/>
      <c r="P719" s="5"/>
      <c r="Q719" s="5"/>
      <c r="R719" s="5"/>
      <c r="S719" s="5"/>
      <c r="T719" s="5"/>
      <c r="U719" s="5"/>
      <c r="V719" s="5"/>
      <c r="W719" s="5"/>
      <c r="X719" s="5"/>
      <c r="Y719" s="5"/>
      <c r="Z719" s="5"/>
    </row>
    <row r="720" spans="1:26" ht="12.75" customHeight="1">
      <c r="A720" s="5"/>
      <c r="B720" s="5"/>
      <c r="C720" s="5"/>
      <c r="D720" s="5"/>
      <c r="E720" s="5"/>
      <c r="F720" s="5"/>
      <c r="G720" s="5"/>
      <c r="H720" s="306"/>
      <c r="I720" s="5"/>
      <c r="J720" s="5"/>
      <c r="K720" s="5"/>
      <c r="L720" s="5"/>
      <c r="M720" s="5"/>
      <c r="N720" s="5"/>
      <c r="O720" s="57"/>
      <c r="P720" s="5"/>
      <c r="Q720" s="5"/>
      <c r="R720" s="5"/>
      <c r="S720" s="5"/>
      <c r="T720" s="5"/>
      <c r="U720" s="5"/>
      <c r="V720" s="5"/>
      <c r="W720" s="5"/>
      <c r="X720" s="5"/>
      <c r="Y720" s="5"/>
      <c r="Z720" s="5"/>
    </row>
    <row r="721" spans="1:26" ht="12.75" customHeight="1">
      <c r="A721" s="5"/>
      <c r="B721" s="5"/>
      <c r="C721" s="5"/>
      <c r="D721" s="5"/>
      <c r="E721" s="5"/>
      <c r="F721" s="5"/>
      <c r="G721" s="5"/>
      <c r="H721" s="306"/>
      <c r="I721" s="5"/>
      <c r="J721" s="5"/>
      <c r="K721" s="5"/>
      <c r="L721" s="5"/>
      <c r="M721" s="5"/>
      <c r="N721" s="5"/>
      <c r="O721" s="57"/>
      <c r="P721" s="5"/>
      <c r="Q721" s="5"/>
      <c r="R721" s="5"/>
      <c r="S721" s="5"/>
      <c r="T721" s="5"/>
      <c r="U721" s="5"/>
      <c r="V721" s="5"/>
      <c r="W721" s="5"/>
      <c r="X721" s="5"/>
      <c r="Y721" s="5"/>
      <c r="Z721" s="5"/>
    </row>
    <row r="722" spans="1:26" ht="12.75" customHeight="1">
      <c r="A722" s="5"/>
      <c r="B722" s="5"/>
      <c r="C722" s="5"/>
      <c r="D722" s="5"/>
      <c r="E722" s="5"/>
      <c r="F722" s="5"/>
      <c r="G722" s="5"/>
      <c r="H722" s="306"/>
      <c r="I722" s="5"/>
      <c r="J722" s="5"/>
      <c r="K722" s="5"/>
      <c r="L722" s="5"/>
      <c r="M722" s="5"/>
      <c r="N722" s="5"/>
      <c r="O722" s="57"/>
      <c r="P722" s="5"/>
      <c r="Q722" s="5"/>
      <c r="R722" s="5"/>
      <c r="S722" s="5"/>
      <c r="T722" s="5"/>
      <c r="U722" s="5"/>
      <c r="V722" s="5"/>
      <c r="W722" s="5"/>
      <c r="X722" s="5"/>
      <c r="Y722" s="5"/>
      <c r="Z722" s="5"/>
    </row>
    <row r="723" spans="1:26" ht="12.75" customHeight="1">
      <c r="A723" s="5"/>
      <c r="B723" s="5"/>
      <c r="C723" s="5"/>
      <c r="D723" s="5"/>
      <c r="E723" s="5"/>
      <c r="F723" s="5"/>
      <c r="G723" s="5"/>
      <c r="H723" s="306"/>
      <c r="I723" s="5"/>
      <c r="J723" s="5"/>
      <c r="K723" s="5"/>
      <c r="L723" s="5"/>
      <c r="M723" s="5"/>
      <c r="N723" s="5"/>
      <c r="O723" s="57"/>
      <c r="P723" s="5"/>
      <c r="Q723" s="5"/>
      <c r="R723" s="5"/>
      <c r="S723" s="5"/>
      <c r="T723" s="5"/>
      <c r="U723" s="5"/>
      <c r="V723" s="5"/>
      <c r="W723" s="5"/>
      <c r="X723" s="5"/>
      <c r="Y723" s="5"/>
      <c r="Z723" s="5"/>
    </row>
    <row r="724" spans="1:26" ht="12.75" customHeight="1">
      <c r="A724" s="5"/>
      <c r="B724" s="5"/>
      <c r="C724" s="5"/>
      <c r="D724" s="5"/>
      <c r="E724" s="5"/>
      <c r="F724" s="5"/>
      <c r="G724" s="5"/>
      <c r="H724" s="306"/>
      <c r="I724" s="5"/>
      <c r="J724" s="5"/>
      <c r="K724" s="5"/>
      <c r="L724" s="5"/>
      <c r="M724" s="5"/>
      <c r="N724" s="5"/>
      <c r="O724" s="57"/>
      <c r="P724" s="5"/>
      <c r="Q724" s="5"/>
      <c r="R724" s="5"/>
      <c r="S724" s="5"/>
      <c r="T724" s="5"/>
      <c r="U724" s="5"/>
      <c r="V724" s="5"/>
      <c r="W724" s="5"/>
      <c r="X724" s="5"/>
      <c r="Y724" s="5"/>
      <c r="Z724" s="5"/>
    </row>
    <row r="725" spans="1:26" ht="12.75" customHeight="1">
      <c r="A725" s="5"/>
      <c r="B725" s="5"/>
      <c r="C725" s="5"/>
      <c r="D725" s="5"/>
      <c r="E725" s="5"/>
      <c r="F725" s="5"/>
      <c r="G725" s="5"/>
      <c r="H725" s="306"/>
      <c r="I725" s="5"/>
      <c r="J725" s="5"/>
      <c r="K725" s="5"/>
      <c r="L725" s="5"/>
      <c r="M725" s="5"/>
      <c r="N725" s="5"/>
      <c r="O725" s="57"/>
      <c r="P725" s="5"/>
      <c r="Q725" s="5"/>
      <c r="R725" s="5"/>
      <c r="S725" s="5"/>
      <c r="T725" s="5"/>
      <c r="U725" s="5"/>
      <c r="V725" s="5"/>
      <c r="W725" s="5"/>
      <c r="X725" s="5"/>
      <c r="Y725" s="5"/>
      <c r="Z725" s="5"/>
    </row>
    <row r="726" spans="1:26" ht="12.75" customHeight="1">
      <c r="A726" s="5"/>
      <c r="B726" s="5"/>
      <c r="C726" s="5"/>
      <c r="D726" s="5"/>
      <c r="E726" s="5"/>
      <c r="F726" s="5"/>
      <c r="G726" s="5"/>
      <c r="H726" s="306"/>
      <c r="I726" s="5"/>
      <c r="J726" s="5"/>
      <c r="K726" s="5"/>
      <c r="L726" s="5"/>
      <c r="M726" s="5"/>
      <c r="N726" s="5"/>
      <c r="O726" s="57"/>
      <c r="P726" s="5"/>
      <c r="Q726" s="5"/>
      <c r="R726" s="5"/>
      <c r="S726" s="5"/>
      <c r="T726" s="5"/>
      <c r="U726" s="5"/>
      <c r="V726" s="5"/>
      <c r="W726" s="5"/>
      <c r="X726" s="5"/>
      <c r="Y726" s="5"/>
      <c r="Z726" s="5"/>
    </row>
    <row r="727" spans="1:26" ht="12.75" customHeight="1">
      <c r="A727" s="5"/>
      <c r="B727" s="5"/>
      <c r="C727" s="5"/>
      <c r="D727" s="5"/>
      <c r="E727" s="5"/>
      <c r="F727" s="5"/>
      <c r="G727" s="5"/>
      <c r="H727" s="306"/>
      <c r="I727" s="5"/>
      <c r="J727" s="5"/>
      <c r="K727" s="5"/>
      <c r="L727" s="5"/>
      <c r="M727" s="5"/>
      <c r="N727" s="5"/>
      <c r="O727" s="57"/>
      <c r="P727" s="5"/>
      <c r="Q727" s="5"/>
      <c r="R727" s="5"/>
      <c r="S727" s="5"/>
      <c r="T727" s="5"/>
      <c r="U727" s="5"/>
      <c r="V727" s="5"/>
      <c r="W727" s="5"/>
      <c r="X727" s="5"/>
      <c r="Y727" s="5"/>
      <c r="Z727" s="5"/>
    </row>
    <row r="728" spans="1:26" ht="12.75" customHeight="1">
      <c r="A728" s="5"/>
      <c r="B728" s="5"/>
      <c r="C728" s="5"/>
      <c r="D728" s="5"/>
      <c r="E728" s="5"/>
      <c r="F728" s="5"/>
      <c r="G728" s="5"/>
      <c r="H728" s="306"/>
      <c r="I728" s="5"/>
      <c r="J728" s="5"/>
      <c r="K728" s="5"/>
      <c r="L728" s="5"/>
      <c r="M728" s="5"/>
      <c r="N728" s="5"/>
      <c r="O728" s="57"/>
      <c r="P728" s="5"/>
      <c r="Q728" s="5"/>
      <c r="R728" s="5"/>
      <c r="S728" s="5"/>
      <c r="T728" s="5"/>
      <c r="U728" s="5"/>
      <c r="V728" s="5"/>
      <c r="W728" s="5"/>
      <c r="X728" s="5"/>
      <c r="Y728" s="5"/>
      <c r="Z728" s="5"/>
    </row>
    <row r="729" spans="1:26" ht="12.75" customHeight="1">
      <c r="A729" s="5"/>
      <c r="B729" s="5"/>
      <c r="C729" s="5"/>
      <c r="D729" s="5"/>
      <c r="E729" s="5"/>
      <c r="F729" s="5"/>
      <c r="G729" s="5"/>
      <c r="H729" s="306"/>
      <c r="I729" s="5"/>
      <c r="J729" s="5"/>
      <c r="K729" s="5"/>
      <c r="L729" s="5"/>
      <c r="M729" s="5"/>
      <c r="N729" s="5"/>
      <c r="O729" s="57"/>
      <c r="P729" s="5"/>
      <c r="Q729" s="5"/>
      <c r="R729" s="5"/>
      <c r="S729" s="5"/>
      <c r="T729" s="5"/>
      <c r="U729" s="5"/>
      <c r="V729" s="5"/>
      <c r="W729" s="5"/>
      <c r="X729" s="5"/>
      <c r="Y729" s="5"/>
      <c r="Z729" s="5"/>
    </row>
    <row r="730" spans="1:26" ht="12.75" customHeight="1">
      <c r="A730" s="5"/>
      <c r="B730" s="5"/>
      <c r="C730" s="5"/>
      <c r="D730" s="5"/>
      <c r="E730" s="5"/>
      <c r="F730" s="5"/>
      <c r="G730" s="5"/>
      <c r="H730" s="306"/>
      <c r="I730" s="5"/>
      <c r="J730" s="5"/>
      <c r="K730" s="5"/>
      <c r="L730" s="5"/>
      <c r="M730" s="5"/>
      <c r="N730" s="5"/>
      <c r="O730" s="57"/>
      <c r="P730" s="5"/>
      <c r="Q730" s="5"/>
      <c r="R730" s="5"/>
      <c r="S730" s="5"/>
      <c r="T730" s="5"/>
      <c r="U730" s="5"/>
      <c r="V730" s="5"/>
      <c r="W730" s="5"/>
      <c r="X730" s="5"/>
      <c r="Y730" s="5"/>
      <c r="Z730" s="5"/>
    </row>
    <row r="731" spans="1:26" ht="12.75" customHeight="1">
      <c r="A731" s="5"/>
      <c r="B731" s="5"/>
      <c r="C731" s="5"/>
      <c r="D731" s="5"/>
      <c r="E731" s="5"/>
      <c r="F731" s="5"/>
      <c r="G731" s="5"/>
      <c r="H731" s="306"/>
      <c r="I731" s="5"/>
      <c r="J731" s="5"/>
      <c r="K731" s="5"/>
      <c r="L731" s="5"/>
      <c r="M731" s="5"/>
      <c r="N731" s="5"/>
      <c r="O731" s="57"/>
      <c r="P731" s="5"/>
      <c r="Q731" s="5"/>
      <c r="R731" s="5"/>
      <c r="S731" s="5"/>
      <c r="T731" s="5"/>
      <c r="U731" s="5"/>
      <c r="V731" s="5"/>
      <c r="W731" s="5"/>
      <c r="X731" s="5"/>
      <c r="Y731" s="5"/>
      <c r="Z731" s="5"/>
    </row>
    <row r="732" spans="1:26" ht="12.75" customHeight="1">
      <c r="A732" s="5"/>
      <c r="B732" s="5"/>
      <c r="C732" s="5"/>
      <c r="D732" s="5"/>
      <c r="E732" s="5"/>
      <c r="F732" s="5"/>
      <c r="G732" s="5"/>
      <c r="H732" s="306"/>
      <c r="I732" s="5"/>
      <c r="J732" s="5"/>
      <c r="K732" s="5"/>
      <c r="L732" s="5"/>
      <c r="M732" s="5"/>
      <c r="N732" s="5"/>
      <c r="O732" s="57"/>
      <c r="P732" s="5"/>
      <c r="Q732" s="5"/>
      <c r="R732" s="5"/>
      <c r="S732" s="5"/>
      <c r="T732" s="5"/>
      <c r="U732" s="5"/>
      <c r="V732" s="5"/>
      <c r="W732" s="5"/>
      <c r="X732" s="5"/>
      <c r="Y732" s="5"/>
      <c r="Z732" s="5"/>
    </row>
    <row r="733" spans="1:26" ht="12.75" customHeight="1">
      <c r="A733" s="5"/>
      <c r="B733" s="5"/>
      <c r="C733" s="5"/>
      <c r="D733" s="5"/>
      <c r="E733" s="5"/>
      <c r="F733" s="5"/>
      <c r="G733" s="5"/>
      <c r="H733" s="306"/>
      <c r="I733" s="5"/>
      <c r="J733" s="5"/>
      <c r="K733" s="5"/>
      <c r="L733" s="5"/>
      <c r="M733" s="5"/>
      <c r="N733" s="5"/>
      <c r="O733" s="57"/>
      <c r="P733" s="5"/>
      <c r="Q733" s="5"/>
      <c r="R733" s="5"/>
      <c r="S733" s="5"/>
      <c r="T733" s="5"/>
      <c r="U733" s="5"/>
      <c r="V733" s="5"/>
      <c r="W733" s="5"/>
      <c r="X733" s="5"/>
      <c r="Y733" s="5"/>
      <c r="Z733" s="5"/>
    </row>
    <row r="734" spans="1:26" ht="12.75" customHeight="1">
      <c r="A734" s="5"/>
      <c r="B734" s="5"/>
      <c r="C734" s="5"/>
      <c r="D734" s="5"/>
      <c r="E734" s="5"/>
      <c r="F734" s="5"/>
      <c r="G734" s="5"/>
      <c r="H734" s="306"/>
      <c r="I734" s="5"/>
      <c r="J734" s="5"/>
      <c r="K734" s="5"/>
      <c r="L734" s="5"/>
      <c r="M734" s="5"/>
      <c r="N734" s="5"/>
      <c r="O734" s="57"/>
      <c r="P734" s="5"/>
      <c r="Q734" s="5"/>
      <c r="R734" s="5"/>
      <c r="S734" s="5"/>
      <c r="T734" s="5"/>
      <c r="U734" s="5"/>
      <c r="V734" s="5"/>
      <c r="W734" s="5"/>
      <c r="X734" s="5"/>
      <c r="Y734" s="5"/>
      <c r="Z734" s="5"/>
    </row>
    <row r="735" spans="1:26" ht="12.75" customHeight="1">
      <c r="A735" s="5"/>
      <c r="B735" s="5"/>
      <c r="C735" s="5"/>
      <c r="D735" s="5"/>
      <c r="E735" s="5"/>
      <c r="F735" s="5"/>
      <c r="G735" s="5"/>
      <c r="H735" s="306"/>
      <c r="I735" s="5"/>
      <c r="J735" s="5"/>
      <c r="K735" s="5"/>
      <c r="L735" s="5"/>
      <c r="M735" s="5"/>
      <c r="N735" s="5"/>
      <c r="O735" s="57"/>
      <c r="P735" s="5"/>
      <c r="Q735" s="5"/>
      <c r="R735" s="5"/>
      <c r="S735" s="5"/>
      <c r="T735" s="5"/>
      <c r="U735" s="5"/>
      <c r="V735" s="5"/>
      <c r="W735" s="5"/>
      <c r="X735" s="5"/>
      <c r="Y735" s="5"/>
      <c r="Z735" s="5"/>
    </row>
    <row r="736" spans="1:26" ht="12.75" customHeight="1">
      <c r="A736" s="5"/>
      <c r="B736" s="5"/>
      <c r="C736" s="5"/>
      <c r="D736" s="5"/>
      <c r="E736" s="5"/>
      <c r="F736" s="5"/>
      <c r="G736" s="5"/>
      <c r="H736" s="306"/>
      <c r="I736" s="5"/>
      <c r="J736" s="5"/>
      <c r="K736" s="5"/>
      <c r="L736" s="5"/>
      <c r="M736" s="5"/>
      <c r="N736" s="5"/>
      <c r="O736" s="57"/>
      <c r="P736" s="5"/>
      <c r="Q736" s="5"/>
      <c r="R736" s="5"/>
      <c r="S736" s="5"/>
      <c r="T736" s="5"/>
      <c r="U736" s="5"/>
      <c r="V736" s="5"/>
      <c r="W736" s="5"/>
      <c r="X736" s="5"/>
      <c r="Y736" s="5"/>
      <c r="Z736" s="5"/>
    </row>
    <row r="737" spans="1:26" ht="12.75" customHeight="1">
      <c r="A737" s="5"/>
      <c r="B737" s="5"/>
      <c r="C737" s="5"/>
      <c r="D737" s="5"/>
      <c r="E737" s="5"/>
      <c r="F737" s="5"/>
      <c r="G737" s="5"/>
      <c r="H737" s="306"/>
      <c r="I737" s="5"/>
      <c r="J737" s="5"/>
      <c r="K737" s="5"/>
      <c r="L737" s="5"/>
      <c r="M737" s="5"/>
      <c r="N737" s="5"/>
      <c r="O737" s="57"/>
      <c r="P737" s="5"/>
      <c r="Q737" s="5"/>
      <c r="R737" s="5"/>
      <c r="S737" s="5"/>
      <c r="T737" s="5"/>
      <c r="U737" s="5"/>
      <c r="V737" s="5"/>
      <c r="W737" s="5"/>
      <c r="X737" s="5"/>
      <c r="Y737" s="5"/>
      <c r="Z737" s="5"/>
    </row>
    <row r="738" spans="1:26" ht="12.75" customHeight="1">
      <c r="A738" s="5"/>
      <c r="B738" s="5"/>
      <c r="C738" s="5"/>
      <c r="D738" s="5"/>
      <c r="E738" s="5"/>
      <c r="F738" s="5"/>
      <c r="G738" s="5"/>
      <c r="H738" s="306"/>
      <c r="I738" s="5"/>
      <c r="J738" s="5"/>
      <c r="K738" s="5"/>
      <c r="L738" s="5"/>
      <c r="M738" s="5"/>
      <c r="N738" s="5"/>
      <c r="O738" s="57"/>
      <c r="P738" s="5"/>
      <c r="Q738" s="5"/>
      <c r="R738" s="5"/>
      <c r="S738" s="5"/>
      <c r="T738" s="5"/>
      <c r="U738" s="5"/>
      <c r="V738" s="5"/>
      <c r="W738" s="5"/>
      <c r="X738" s="5"/>
      <c r="Y738" s="5"/>
      <c r="Z738" s="5"/>
    </row>
    <row r="739" spans="1:26" ht="12.75" customHeight="1">
      <c r="A739" s="5"/>
      <c r="B739" s="5"/>
      <c r="C739" s="5"/>
      <c r="D739" s="5"/>
      <c r="E739" s="5"/>
      <c r="F739" s="5"/>
      <c r="G739" s="5"/>
      <c r="H739" s="306"/>
      <c r="I739" s="5"/>
      <c r="J739" s="5"/>
      <c r="K739" s="5"/>
      <c r="L739" s="5"/>
      <c r="M739" s="5"/>
      <c r="N739" s="5"/>
      <c r="O739" s="57"/>
      <c r="P739" s="5"/>
      <c r="Q739" s="5"/>
      <c r="R739" s="5"/>
      <c r="S739" s="5"/>
      <c r="T739" s="5"/>
      <c r="U739" s="5"/>
      <c r="V739" s="5"/>
      <c r="W739" s="5"/>
      <c r="X739" s="5"/>
      <c r="Y739" s="5"/>
      <c r="Z739" s="5"/>
    </row>
    <row r="740" spans="1:26" ht="12.75" customHeight="1">
      <c r="A740" s="5"/>
      <c r="B740" s="5"/>
      <c r="C740" s="5"/>
      <c r="D740" s="5"/>
      <c r="E740" s="5"/>
      <c r="F740" s="5"/>
      <c r="G740" s="5"/>
      <c r="H740" s="306"/>
      <c r="I740" s="5"/>
      <c r="J740" s="5"/>
      <c r="K740" s="5"/>
      <c r="L740" s="5"/>
      <c r="M740" s="5"/>
      <c r="N740" s="5"/>
      <c r="O740" s="57"/>
      <c r="P740" s="5"/>
      <c r="Q740" s="5"/>
      <c r="R740" s="5"/>
      <c r="S740" s="5"/>
      <c r="T740" s="5"/>
      <c r="U740" s="5"/>
      <c r="V740" s="5"/>
      <c r="W740" s="5"/>
      <c r="X740" s="5"/>
      <c r="Y740" s="5"/>
      <c r="Z740" s="5"/>
    </row>
    <row r="741" spans="1:26" ht="12.75" customHeight="1">
      <c r="A741" s="5"/>
      <c r="B741" s="5"/>
      <c r="C741" s="5"/>
      <c r="D741" s="5"/>
      <c r="E741" s="5"/>
      <c r="F741" s="5"/>
      <c r="G741" s="5"/>
      <c r="H741" s="306"/>
      <c r="I741" s="5"/>
      <c r="J741" s="5"/>
      <c r="K741" s="5"/>
      <c r="L741" s="5"/>
      <c r="M741" s="5"/>
      <c r="N741" s="5"/>
      <c r="O741" s="57"/>
      <c r="P741" s="5"/>
      <c r="Q741" s="5"/>
      <c r="R741" s="5"/>
      <c r="S741" s="5"/>
      <c r="T741" s="5"/>
      <c r="U741" s="5"/>
      <c r="V741" s="5"/>
      <c r="W741" s="5"/>
      <c r="X741" s="5"/>
      <c r="Y741" s="5"/>
      <c r="Z741" s="5"/>
    </row>
    <row r="742" spans="1:26" ht="12.75" customHeight="1">
      <c r="A742" s="5"/>
      <c r="B742" s="5"/>
      <c r="C742" s="5"/>
      <c r="D742" s="5"/>
      <c r="E742" s="5"/>
      <c r="F742" s="5"/>
      <c r="G742" s="5"/>
      <c r="H742" s="306"/>
      <c r="I742" s="5"/>
      <c r="J742" s="5"/>
      <c r="K742" s="5"/>
      <c r="L742" s="5"/>
      <c r="M742" s="5"/>
      <c r="N742" s="5"/>
      <c r="O742" s="57"/>
      <c r="P742" s="5"/>
      <c r="Q742" s="5"/>
      <c r="R742" s="5"/>
      <c r="S742" s="5"/>
      <c r="T742" s="5"/>
      <c r="U742" s="5"/>
      <c r="V742" s="5"/>
      <c r="W742" s="5"/>
      <c r="X742" s="5"/>
      <c r="Y742" s="5"/>
      <c r="Z742" s="5"/>
    </row>
    <row r="743" spans="1:26" ht="12.75" customHeight="1">
      <c r="A743" s="5"/>
      <c r="B743" s="5"/>
      <c r="C743" s="5"/>
      <c r="D743" s="5"/>
      <c r="E743" s="5"/>
      <c r="F743" s="5"/>
      <c r="G743" s="5"/>
      <c r="H743" s="306"/>
      <c r="I743" s="5"/>
      <c r="J743" s="5"/>
      <c r="K743" s="5"/>
      <c r="L743" s="5"/>
      <c r="M743" s="5"/>
      <c r="N743" s="5"/>
      <c r="O743" s="57"/>
      <c r="P743" s="5"/>
      <c r="Q743" s="5"/>
      <c r="R743" s="5"/>
      <c r="S743" s="5"/>
      <c r="T743" s="5"/>
      <c r="U743" s="5"/>
      <c r="V743" s="5"/>
      <c r="W743" s="5"/>
      <c r="X743" s="5"/>
      <c r="Y743" s="5"/>
      <c r="Z743" s="5"/>
    </row>
    <row r="744" spans="1:26" ht="12.75" customHeight="1">
      <c r="A744" s="5"/>
      <c r="B744" s="5"/>
      <c r="C744" s="5"/>
      <c r="D744" s="5"/>
      <c r="E744" s="5"/>
      <c r="F744" s="5"/>
      <c r="G744" s="5"/>
      <c r="H744" s="306"/>
      <c r="I744" s="5"/>
      <c r="J744" s="5"/>
      <c r="K744" s="5"/>
      <c r="L744" s="5"/>
      <c r="M744" s="5"/>
      <c r="N744" s="5"/>
      <c r="O744" s="57"/>
      <c r="P744" s="5"/>
      <c r="Q744" s="5"/>
      <c r="R744" s="5"/>
      <c r="S744" s="5"/>
      <c r="T744" s="5"/>
      <c r="U744" s="5"/>
      <c r="V744" s="5"/>
      <c r="W744" s="5"/>
      <c r="X744" s="5"/>
      <c r="Y744" s="5"/>
      <c r="Z744" s="5"/>
    </row>
    <row r="745" spans="1:26" ht="12.75" customHeight="1">
      <c r="A745" s="5"/>
      <c r="B745" s="5"/>
      <c r="C745" s="5"/>
      <c r="D745" s="5"/>
      <c r="E745" s="5"/>
      <c r="F745" s="5"/>
      <c r="G745" s="5"/>
      <c r="H745" s="306"/>
      <c r="I745" s="5"/>
      <c r="J745" s="5"/>
      <c r="K745" s="5"/>
      <c r="L745" s="5"/>
      <c r="M745" s="5"/>
      <c r="N745" s="5"/>
      <c r="O745" s="57"/>
      <c r="P745" s="5"/>
      <c r="Q745" s="5"/>
      <c r="R745" s="5"/>
      <c r="S745" s="5"/>
      <c r="T745" s="5"/>
      <c r="U745" s="5"/>
      <c r="V745" s="5"/>
      <c r="W745" s="5"/>
      <c r="X745" s="5"/>
      <c r="Y745" s="5"/>
      <c r="Z745" s="5"/>
    </row>
    <row r="746" spans="1:26" ht="12.75" customHeight="1">
      <c r="A746" s="5"/>
      <c r="B746" s="5"/>
      <c r="C746" s="5"/>
      <c r="D746" s="5"/>
      <c r="E746" s="5"/>
      <c r="F746" s="5"/>
      <c r="G746" s="5"/>
      <c r="H746" s="306"/>
      <c r="I746" s="5"/>
      <c r="J746" s="5"/>
      <c r="K746" s="5"/>
      <c r="L746" s="5"/>
      <c r="M746" s="5"/>
      <c r="N746" s="5"/>
      <c r="O746" s="57"/>
      <c r="P746" s="5"/>
      <c r="Q746" s="5"/>
      <c r="R746" s="5"/>
      <c r="S746" s="5"/>
      <c r="T746" s="5"/>
      <c r="U746" s="5"/>
      <c r="V746" s="5"/>
      <c r="W746" s="5"/>
      <c r="X746" s="5"/>
      <c r="Y746" s="5"/>
      <c r="Z746" s="5"/>
    </row>
    <row r="747" spans="1:26" ht="12.75" customHeight="1">
      <c r="A747" s="5"/>
      <c r="B747" s="5"/>
      <c r="C747" s="5"/>
      <c r="D747" s="5"/>
      <c r="E747" s="5"/>
      <c r="F747" s="5"/>
      <c r="G747" s="5"/>
      <c r="H747" s="306"/>
      <c r="I747" s="5"/>
      <c r="J747" s="5"/>
      <c r="K747" s="5"/>
      <c r="L747" s="5"/>
      <c r="M747" s="5"/>
      <c r="N747" s="5"/>
      <c r="O747" s="57"/>
      <c r="P747" s="5"/>
      <c r="Q747" s="5"/>
      <c r="R747" s="5"/>
      <c r="S747" s="5"/>
      <c r="T747" s="5"/>
      <c r="U747" s="5"/>
      <c r="V747" s="5"/>
      <c r="W747" s="5"/>
      <c r="X747" s="5"/>
      <c r="Y747" s="5"/>
      <c r="Z747" s="5"/>
    </row>
    <row r="748" spans="1:26" ht="12.75" customHeight="1">
      <c r="A748" s="5"/>
      <c r="B748" s="5"/>
      <c r="C748" s="5"/>
      <c r="D748" s="5"/>
      <c r="E748" s="5"/>
      <c r="F748" s="5"/>
      <c r="G748" s="5"/>
      <c r="H748" s="306"/>
      <c r="I748" s="5"/>
      <c r="J748" s="5"/>
      <c r="K748" s="5"/>
      <c r="L748" s="5"/>
      <c r="M748" s="5"/>
      <c r="N748" s="5"/>
      <c r="O748" s="57"/>
      <c r="P748" s="5"/>
      <c r="Q748" s="5"/>
      <c r="R748" s="5"/>
      <c r="S748" s="5"/>
      <c r="T748" s="5"/>
      <c r="U748" s="5"/>
      <c r="V748" s="5"/>
      <c r="W748" s="5"/>
      <c r="X748" s="5"/>
      <c r="Y748" s="5"/>
      <c r="Z748" s="5"/>
    </row>
    <row r="749" spans="1:26" ht="12.75" customHeight="1">
      <c r="A749" s="5"/>
      <c r="B749" s="5"/>
      <c r="C749" s="5"/>
      <c r="D749" s="5"/>
      <c r="E749" s="5"/>
      <c r="F749" s="5"/>
      <c r="G749" s="5"/>
      <c r="H749" s="306"/>
      <c r="I749" s="5"/>
      <c r="J749" s="5"/>
      <c r="K749" s="5"/>
      <c r="L749" s="5"/>
      <c r="M749" s="5"/>
      <c r="N749" s="5"/>
      <c r="O749" s="57"/>
      <c r="P749" s="5"/>
      <c r="Q749" s="5"/>
      <c r="R749" s="5"/>
      <c r="S749" s="5"/>
      <c r="T749" s="5"/>
      <c r="U749" s="5"/>
      <c r="V749" s="5"/>
      <c r="W749" s="5"/>
      <c r="X749" s="5"/>
      <c r="Y749" s="5"/>
      <c r="Z749" s="5"/>
    </row>
    <row r="750" spans="1:26" ht="12.75" customHeight="1">
      <c r="A750" s="5"/>
      <c r="B750" s="5"/>
      <c r="C750" s="5"/>
      <c r="D750" s="5"/>
      <c r="E750" s="5"/>
      <c r="F750" s="5"/>
      <c r="G750" s="5"/>
      <c r="H750" s="306"/>
      <c r="I750" s="5"/>
      <c r="J750" s="5"/>
      <c r="K750" s="5"/>
      <c r="L750" s="5"/>
      <c r="M750" s="5"/>
      <c r="N750" s="5"/>
      <c r="O750" s="57"/>
      <c r="P750" s="5"/>
      <c r="Q750" s="5"/>
      <c r="R750" s="5"/>
      <c r="S750" s="5"/>
      <c r="T750" s="5"/>
      <c r="U750" s="5"/>
      <c r="V750" s="5"/>
      <c r="W750" s="5"/>
      <c r="X750" s="5"/>
      <c r="Y750" s="5"/>
      <c r="Z750" s="5"/>
    </row>
    <row r="751" spans="1:26" ht="12.75" customHeight="1">
      <c r="A751" s="5"/>
      <c r="B751" s="5"/>
      <c r="C751" s="5"/>
      <c r="D751" s="5"/>
      <c r="E751" s="5"/>
      <c r="F751" s="5"/>
      <c r="G751" s="5"/>
      <c r="H751" s="306"/>
      <c r="I751" s="5"/>
      <c r="J751" s="5"/>
      <c r="K751" s="5"/>
      <c r="L751" s="5"/>
      <c r="M751" s="5"/>
      <c r="N751" s="5"/>
      <c r="O751" s="57"/>
      <c r="P751" s="5"/>
      <c r="Q751" s="5"/>
      <c r="R751" s="5"/>
      <c r="S751" s="5"/>
      <c r="T751" s="5"/>
      <c r="U751" s="5"/>
      <c r="V751" s="5"/>
      <c r="W751" s="5"/>
      <c r="X751" s="5"/>
      <c r="Y751" s="5"/>
      <c r="Z751" s="5"/>
    </row>
    <row r="752" spans="1:26" ht="12.75" customHeight="1">
      <c r="A752" s="5"/>
      <c r="B752" s="5"/>
      <c r="C752" s="5"/>
      <c r="D752" s="5"/>
      <c r="E752" s="5"/>
      <c r="F752" s="5"/>
      <c r="G752" s="5"/>
      <c r="H752" s="306"/>
      <c r="I752" s="5"/>
      <c r="J752" s="5"/>
      <c r="K752" s="5"/>
      <c r="L752" s="5"/>
      <c r="M752" s="5"/>
      <c r="N752" s="5"/>
      <c r="O752" s="57"/>
      <c r="P752" s="5"/>
      <c r="Q752" s="5"/>
      <c r="R752" s="5"/>
      <c r="S752" s="5"/>
      <c r="T752" s="5"/>
      <c r="U752" s="5"/>
      <c r="V752" s="5"/>
      <c r="W752" s="5"/>
      <c r="X752" s="5"/>
      <c r="Y752" s="5"/>
      <c r="Z752" s="5"/>
    </row>
    <row r="753" spans="1:26" ht="12.75" customHeight="1">
      <c r="A753" s="5"/>
      <c r="B753" s="5"/>
      <c r="C753" s="5"/>
      <c r="D753" s="5"/>
      <c r="E753" s="5"/>
      <c r="F753" s="5"/>
      <c r="G753" s="5"/>
      <c r="H753" s="306"/>
      <c r="I753" s="5"/>
      <c r="J753" s="5"/>
      <c r="K753" s="5"/>
      <c r="L753" s="5"/>
      <c r="M753" s="5"/>
      <c r="N753" s="5"/>
      <c r="O753" s="57"/>
      <c r="P753" s="5"/>
      <c r="Q753" s="5"/>
      <c r="R753" s="5"/>
      <c r="S753" s="5"/>
      <c r="T753" s="5"/>
      <c r="U753" s="5"/>
      <c r="V753" s="5"/>
      <c r="W753" s="5"/>
      <c r="X753" s="5"/>
      <c r="Y753" s="5"/>
      <c r="Z753" s="5"/>
    </row>
    <row r="754" spans="1:26" ht="12.75" customHeight="1">
      <c r="A754" s="5"/>
      <c r="B754" s="5"/>
      <c r="C754" s="5"/>
      <c r="D754" s="5"/>
      <c r="E754" s="5"/>
      <c r="F754" s="5"/>
      <c r="G754" s="5"/>
      <c r="H754" s="306"/>
      <c r="I754" s="5"/>
      <c r="J754" s="5"/>
      <c r="K754" s="5"/>
      <c r="L754" s="5"/>
      <c r="M754" s="5"/>
      <c r="N754" s="5"/>
      <c r="O754" s="57"/>
      <c r="P754" s="5"/>
      <c r="Q754" s="5"/>
      <c r="R754" s="5"/>
      <c r="S754" s="5"/>
      <c r="T754" s="5"/>
      <c r="U754" s="5"/>
      <c r="V754" s="5"/>
      <c r="W754" s="5"/>
      <c r="X754" s="5"/>
      <c r="Y754" s="5"/>
      <c r="Z754" s="5"/>
    </row>
    <row r="755" spans="1:26" ht="12.75" customHeight="1">
      <c r="A755" s="5"/>
      <c r="B755" s="5"/>
      <c r="C755" s="5"/>
      <c r="D755" s="5"/>
      <c r="E755" s="5"/>
      <c r="F755" s="5"/>
      <c r="G755" s="5"/>
      <c r="H755" s="306"/>
      <c r="I755" s="5"/>
      <c r="J755" s="5"/>
      <c r="K755" s="5"/>
      <c r="L755" s="5"/>
      <c r="M755" s="5"/>
      <c r="N755" s="5"/>
      <c r="O755" s="57"/>
      <c r="P755" s="5"/>
      <c r="Q755" s="5"/>
      <c r="R755" s="5"/>
      <c r="S755" s="5"/>
      <c r="T755" s="5"/>
      <c r="U755" s="5"/>
      <c r="V755" s="5"/>
      <c r="W755" s="5"/>
      <c r="X755" s="5"/>
      <c r="Y755" s="5"/>
      <c r="Z755" s="5"/>
    </row>
    <row r="756" spans="1:26" ht="12.75" customHeight="1">
      <c r="A756" s="5"/>
      <c r="B756" s="5"/>
      <c r="C756" s="5"/>
      <c r="D756" s="5"/>
      <c r="E756" s="5"/>
      <c r="F756" s="5"/>
      <c r="G756" s="5"/>
      <c r="H756" s="306"/>
      <c r="I756" s="5"/>
      <c r="J756" s="5"/>
      <c r="K756" s="5"/>
      <c r="L756" s="5"/>
      <c r="M756" s="5"/>
      <c r="N756" s="5"/>
      <c r="O756" s="57"/>
      <c r="P756" s="5"/>
      <c r="Q756" s="5"/>
      <c r="R756" s="5"/>
      <c r="S756" s="5"/>
      <c r="T756" s="5"/>
      <c r="U756" s="5"/>
      <c r="V756" s="5"/>
      <c r="W756" s="5"/>
      <c r="X756" s="5"/>
      <c r="Y756" s="5"/>
      <c r="Z756" s="5"/>
    </row>
    <row r="757" spans="1:26" ht="12.75" customHeight="1">
      <c r="A757" s="5"/>
      <c r="B757" s="5"/>
      <c r="C757" s="5"/>
      <c r="D757" s="5"/>
      <c r="E757" s="5"/>
      <c r="F757" s="5"/>
      <c r="G757" s="5"/>
      <c r="H757" s="306"/>
      <c r="I757" s="5"/>
      <c r="J757" s="5"/>
      <c r="K757" s="5"/>
      <c r="L757" s="5"/>
      <c r="M757" s="5"/>
      <c r="N757" s="5"/>
      <c r="O757" s="57"/>
      <c r="P757" s="5"/>
      <c r="Q757" s="5"/>
      <c r="R757" s="5"/>
      <c r="S757" s="5"/>
      <c r="T757" s="5"/>
      <c r="U757" s="5"/>
      <c r="V757" s="5"/>
      <c r="W757" s="5"/>
      <c r="X757" s="5"/>
      <c r="Y757" s="5"/>
      <c r="Z757" s="5"/>
    </row>
    <row r="758" spans="1:26" ht="12.75" customHeight="1">
      <c r="A758" s="5"/>
      <c r="B758" s="5"/>
      <c r="C758" s="5"/>
      <c r="D758" s="5"/>
      <c r="E758" s="5"/>
      <c r="F758" s="5"/>
      <c r="G758" s="5"/>
      <c r="H758" s="306"/>
      <c r="I758" s="5"/>
      <c r="J758" s="5"/>
      <c r="K758" s="5"/>
      <c r="L758" s="5"/>
      <c r="M758" s="5"/>
      <c r="N758" s="5"/>
      <c r="O758" s="57"/>
      <c r="P758" s="5"/>
      <c r="Q758" s="5"/>
      <c r="R758" s="5"/>
      <c r="S758" s="5"/>
      <c r="T758" s="5"/>
      <c r="U758" s="5"/>
      <c r="V758" s="5"/>
      <c r="W758" s="5"/>
      <c r="X758" s="5"/>
      <c r="Y758" s="5"/>
      <c r="Z758" s="5"/>
    </row>
    <row r="759" spans="1:26" ht="12.75" customHeight="1">
      <c r="A759" s="5"/>
      <c r="B759" s="5"/>
      <c r="C759" s="5"/>
      <c r="D759" s="5"/>
      <c r="E759" s="5"/>
      <c r="F759" s="5"/>
      <c r="G759" s="5"/>
      <c r="H759" s="306"/>
      <c r="I759" s="5"/>
      <c r="J759" s="5"/>
      <c r="K759" s="5"/>
      <c r="L759" s="5"/>
      <c r="M759" s="5"/>
      <c r="N759" s="5"/>
      <c r="O759" s="57"/>
      <c r="P759" s="5"/>
      <c r="Q759" s="5"/>
      <c r="R759" s="5"/>
      <c r="S759" s="5"/>
      <c r="T759" s="5"/>
      <c r="U759" s="5"/>
      <c r="V759" s="5"/>
      <c r="W759" s="5"/>
      <c r="X759" s="5"/>
      <c r="Y759" s="5"/>
      <c r="Z759" s="5"/>
    </row>
    <row r="760" spans="1:26" ht="12.75" customHeight="1">
      <c r="A760" s="5"/>
      <c r="B760" s="5"/>
      <c r="C760" s="5"/>
      <c r="D760" s="5"/>
      <c r="E760" s="5"/>
      <c r="F760" s="5"/>
      <c r="G760" s="5"/>
      <c r="H760" s="306"/>
      <c r="I760" s="5"/>
      <c r="J760" s="5"/>
      <c r="K760" s="5"/>
      <c r="L760" s="5"/>
      <c r="M760" s="5"/>
      <c r="N760" s="5"/>
      <c r="O760" s="57"/>
      <c r="P760" s="5"/>
      <c r="Q760" s="5"/>
      <c r="R760" s="5"/>
      <c r="S760" s="5"/>
      <c r="T760" s="5"/>
      <c r="U760" s="5"/>
      <c r="V760" s="5"/>
      <c r="W760" s="5"/>
      <c r="X760" s="5"/>
      <c r="Y760" s="5"/>
      <c r="Z760" s="5"/>
    </row>
    <row r="761" spans="1:26" ht="12.75" customHeight="1">
      <c r="A761" s="5"/>
      <c r="B761" s="5"/>
      <c r="C761" s="5"/>
      <c r="D761" s="5"/>
      <c r="E761" s="5"/>
      <c r="F761" s="5"/>
      <c r="G761" s="5"/>
      <c r="H761" s="306"/>
      <c r="I761" s="5"/>
      <c r="J761" s="5"/>
      <c r="K761" s="5"/>
      <c r="L761" s="5"/>
      <c r="M761" s="5"/>
      <c r="N761" s="5"/>
      <c r="O761" s="57"/>
      <c r="P761" s="5"/>
      <c r="Q761" s="5"/>
      <c r="R761" s="5"/>
      <c r="S761" s="5"/>
      <c r="T761" s="5"/>
      <c r="U761" s="5"/>
      <c r="V761" s="5"/>
      <c r="W761" s="5"/>
      <c r="X761" s="5"/>
      <c r="Y761" s="5"/>
      <c r="Z761" s="5"/>
    </row>
    <row r="762" spans="1:26" ht="12.75" customHeight="1">
      <c r="A762" s="5"/>
      <c r="B762" s="5"/>
      <c r="C762" s="5"/>
      <c r="D762" s="5"/>
      <c r="E762" s="5"/>
      <c r="F762" s="5"/>
      <c r="G762" s="5"/>
      <c r="H762" s="306"/>
      <c r="I762" s="5"/>
      <c r="J762" s="5"/>
      <c r="K762" s="5"/>
      <c r="L762" s="5"/>
      <c r="M762" s="5"/>
      <c r="N762" s="5"/>
      <c r="O762" s="57"/>
      <c r="P762" s="5"/>
      <c r="Q762" s="5"/>
      <c r="R762" s="5"/>
      <c r="S762" s="5"/>
      <c r="T762" s="5"/>
      <c r="U762" s="5"/>
      <c r="V762" s="5"/>
      <c r="W762" s="5"/>
      <c r="X762" s="5"/>
      <c r="Y762" s="5"/>
      <c r="Z762" s="5"/>
    </row>
    <row r="763" spans="1:26" ht="12.75" customHeight="1">
      <c r="A763" s="5"/>
      <c r="B763" s="5"/>
      <c r="C763" s="5"/>
      <c r="D763" s="5"/>
      <c r="E763" s="5"/>
      <c r="F763" s="5"/>
      <c r="G763" s="5"/>
      <c r="H763" s="306"/>
      <c r="I763" s="5"/>
      <c r="J763" s="5"/>
      <c r="K763" s="5"/>
      <c r="L763" s="5"/>
      <c r="M763" s="5"/>
      <c r="N763" s="5"/>
      <c r="O763" s="57"/>
      <c r="P763" s="5"/>
      <c r="Q763" s="5"/>
      <c r="R763" s="5"/>
      <c r="S763" s="5"/>
      <c r="T763" s="5"/>
      <c r="U763" s="5"/>
      <c r="V763" s="5"/>
      <c r="W763" s="5"/>
      <c r="X763" s="5"/>
      <c r="Y763" s="5"/>
      <c r="Z763" s="5"/>
    </row>
    <row r="764" spans="1:26" ht="12.75" customHeight="1">
      <c r="A764" s="5"/>
      <c r="B764" s="5"/>
      <c r="C764" s="5"/>
      <c r="D764" s="5"/>
      <c r="E764" s="5"/>
      <c r="F764" s="5"/>
      <c r="G764" s="5"/>
      <c r="H764" s="306"/>
      <c r="I764" s="5"/>
      <c r="J764" s="5"/>
      <c r="K764" s="5"/>
      <c r="L764" s="5"/>
      <c r="M764" s="5"/>
      <c r="N764" s="5"/>
      <c r="O764" s="57"/>
      <c r="P764" s="5"/>
      <c r="Q764" s="5"/>
      <c r="R764" s="5"/>
      <c r="S764" s="5"/>
      <c r="T764" s="5"/>
      <c r="U764" s="5"/>
      <c r="V764" s="5"/>
      <c r="W764" s="5"/>
      <c r="X764" s="5"/>
      <c r="Y764" s="5"/>
      <c r="Z764" s="5"/>
    </row>
    <row r="765" spans="1:26" ht="12.75" customHeight="1">
      <c r="A765" s="5"/>
      <c r="B765" s="5"/>
      <c r="C765" s="5"/>
      <c r="D765" s="5"/>
      <c r="E765" s="5"/>
      <c r="F765" s="5"/>
      <c r="G765" s="5"/>
      <c r="H765" s="306"/>
      <c r="I765" s="5"/>
      <c r="J765" s="5"/>
      <c r="K765" s="5"/>
      <c r="L765" s="5"/>
      <c r="M765" s="5"/>
      <c r="N765" s="5"/>
      <c r="O765" s="57"/>
      <c r="P765" s="5"/>
      <c r="Q765" s="5"/>
      <c r="R765" s="5"/>
      <c r="S765" s="5"/>
      <c r="T765" s="5"/>
      <c r="U765" s="5"/>
      <c r="V765" s="5"/>
      <c r="W765" s="5"/>
      <c r="X765" s="5"/>
      <c r="Y765" s="5"/>
      <c r="Z765" s="5"/>
    </row>
    <row r="766" spans="1:26" ht="12.75" customHeight="1">
      <c r="A766" s="5"/>
      <c r="B766" s="5"/>
      <c r="C766" s="5"/>
      <c r="D766" s="5"/>
      <c r="E766" s="5"/>
      <c r="F766" s="5"/>
      <c r="G766" s="5"/>
      <c r="H766" s="306"/>
      <c r="I766" s="5"/>
      <c r="J766" s="5"/>
      <c r="K766" s="5"/>
      <c r="L766" s="5"/>
      <c r="M766" s="5"/>
      <c r="N766" s="5"/>
      <c r="O766" s="57"/>
      <c r="P766" s="5"/>
      <c r="Q766" s="5"/>
      <c r="R766" s="5"/>
      <c r="S766" s="5"/>
      <c r="T766" s="5"/>
      <c r="U766" s="5"/>
      <c r="V766" s="5"/>
      <c r="W766" s="5"/>
      <c r="X766" s="5"/>
      <c r="Y766" s="5"/>
      <c r="Z766" s="5"/>
    </row>
    <row r="767" spans="1:26" ht="12.75" customHeight="1">
      <c r="A767" s="5"/>
      <c r="B767" s="5"/>
      <c r="C767" s="5"/>
      <c r="D767" s="5"/>
      <c r="E767" s="5"/>
      <c r="F767" s="5"/>
      <c r="G767" s="5"/>
      <c r="H767" s="306"/>
      <c r="I767" s="5"/>
      <c r="J767" s="5"/>
      <c r="K767" s="5"/>
      <c r="L767" s="5"/>
      <c r="M767" s="5"/>
      <c r="N767" s="5"/>
      <c r="O767" s="57"/>
      <c r="P767" s="5"/>
      <c r="Q767" s="5"/>
      <c r="R767" s="5"/>
      <c r="S767" s="5"/>
      <c r="T767" s="5"/>
      <c r="U767" s="5"/>
      <c r="V767" s="5"/>
      <c r="W767" s="5"/>
      <c r="X767" s="5"/>
      <c r="Y767" s="5"/>
      <c r="Z767" s="5"/>
    </row>
    <row r="768" spans="1:26" ht="12.75" customHeight="1">
      <c r="A768" s="5"/>
      <c r="B768" s="5"/>
      <c r="C768" s="5"/>
      <c r="D768" s="5"/>
      <c r="E768" s="5"/>
      <c r="F768" s="5"/>
      <c r="G768" s="5"/>
      <c r="H768" s="306"/>
      <c r="I768" s="5"/>
      <c r="J768" s="5"/>
      <c r="K768" s="5"/>
      <c r="L768" s="5"/>
      <c r="M768" s="5"/>
      <c r="N768" s="5"/>
      <c r="O768" s="57"/>
      <c r="P768" s="5"/>
      <c r="Q768" s="5"/>
      <c r="R768" s="5"/>
      <c r="S768" s="5"/>
      <c r="T768" s="5"/>
      <c r="U768" s="5"/>
      <c r="V768" s="5"/>
      <c r="W768" s="5"/>
      <c r="X768" s="5"/>
      <c r="Y768" s="5"/>
      <c r="Z768" s="5"/>
    </row>
    <row r="769" spans="1:26" ht="12.75" customHeight="1">
      <c r="A769" s="5"/>
      <c r="B769" s="5"/>
      <c r="C769" s="5"/>
      <c r="D769" s="5"/>
      <c r="E769" s="5"/>
      <c r="F769" s="5"/>
      <c r="G769" s="5"/>
      <c r="H769" s="306"/>
      <c r="I769" s="5"/>
      <c r="J769" s="5"/>
      <c r="K769" s="5"/>
      <c r="L769" s="5"/>
      <c r="M769" s="5"/>
      <c r="N769" s="5"/>
      <c r="O769" s="57"/>
      <c r="P769" s="5"/>
      <c r="Q769" s="5"/>
      <c r="R769" s="5"/>
      <c r="S769" s="5"/>
      <c r="T769" s="5"/>
      <c r="U769" s="5"/>
      <c r="V769" s="5"/>
      <c r="W769" s="5"/>
      <c r="X769" s="5"/>
      <c r="Y769" s="5"/>
      <c r="Z769" s="5"/>
    </row>
    <row r="770" spans="1:26" ht="12.75" customHeight="1">
      <c r="A770" s="5"/>
      <c r="B770" s="5"/>
      <c r="C770" s="5"/>
      <c r="D770" s="5"/>
      <c r="E770" s="5"/>
      <c r="F770" s="5"/>
      <c r="G770" s="5"/>
      <c r="H770" s="306"/>
      <c r="I770" s="5"/>
      <c r="J770" s="5"/>
      <c r="K770" s="5"/>
      <c r="L770" s="5"/>
      <c r="M770" s="5"/>
      <c r="N770" s="5"/>
      <c r="O770" s="57"/>
      <c r="P770" s="5"/>
      <c r="Q770" s="5"/>
      <c r="R770" s="5"/>
      <c r="S770" s="5"/>
      <c r="T770" s="5"/>
      <c r="U770" s="5"/>
      <c r="V770" s="5"/>
      <c r="W770" s="5"/>
      <c r="X770" s="5"/>
      <c r="Y770" s="5"/>
      <c r="Z770" s="5"/>
    </row>
    <row r="771" spans="1:26" ht="12.75" customHeight="1">
      <c r="A771" s="5"/>
      <c r="B771" s="5"/>
      <c r="C771" s="5"/>
      <c r="D771" s="5"/>
      <c r="E771" s="5"/>
      <c r="F771" s="5"/>
      <c r="G771" s="5"/>
      <c r="H771" s="306"/>
      <c r="I771" s="5"/>
      <c r="J771" s="5"/>
      <c r="K771" s="5"/>
      <c r="L771" s="5"/>
      <c r="M771" s="5"/>
      <c r="N771" s="5"/>
      <c r="O771" s="57"/>
      <c r="P771" s="5"/>
      <c r="Q771" s="5"/>
      <c r="R771" s="5"/>
      <c r="S771" s="5"/>
      <c r="T771" s="5"/>
      <c r="U771" s="5"/>
      <c r="V771" s="5"/>
      <c r="W771" s="5"/>
      <c r="X771" s="5"/>
      <c r="Y771" s="5"/>
      <c r="Z771" s="5"/>
    </row>
    <row r="772" spans="1:26" ht="12.75" customHeight="1">
      <c r="A772" s="5"/>
      <c r="B772" s="5"/>
      <c r="C772" s="5"/>
      <c r="D772" s="5"/>
      <c r="E772" s="5"/>
      <c r="F772" s="5"/>
      <c r="G772" s="5"/>
      <c r="H772" s="306"/>
      <c r="I772" s="5"/>
      <c r="J772" s="5"/>
      <c r="K772" s="5"/>
      <c r="L772" s="5"/>
      <c r="M772" s="5"/>
      <c r="N772" s="5"/>
      <c r="O772" s="57"/>
      <c r="P772" s="5"/>
      <c r="Q772" s="5"/>
      <c r="R772" s="5"/>
      <c r="S772" s="5"/>
      <c r="T772" s="5"/>
      <c r="U772" s="5"/>
      <c r="V772" s="5"/>
      <c r="W772" s="5"/>
      <c r="X772" s="5"/>
      <c r="Y772" s="5"/>
      <c r="Z772" s="5"/>
    </row>
    <row r="773" spans="1:26" ht="12.75" customHeight="1">
      <c r="A773" s="5"/>
      <c r="B773" s="5"/>
      <c r="C773" s="5"/>
      <c r="D773" s="5"/>
      <c r="E773" s="5"/>
      <c r="F773" s="5"/>
      <c r="G773" s="5"/>
      <c r="H773" s="306"/>
      <c r="I773" s="5"/>
      <c r="J773" s="5"/>
      <c r="K773" s="5"/>
      <c r="L773" s="5"/>
      <c r="M773" s="5"/>
      <c r="N773" s="5"/>
      <c r="O773" s="57"/>
      <c r="P773" s="5"/>
      <c r="Q773" s="5"/>
      <c r="R773" s="5"/>
      <c r="S773" s="5"/>
      <c r="T773" s="5"/>
      <c r="U773" s="5"/>
      <c r="V773" s="5"/>
      <c r="W773" s="5"/>
      <c r="X773" s="5"/>
      <c r="Y773" s="5"/>
      <c r="Z773" s="5"/>
    </row>
    <row r="774" spans="1:26" ht="12.75" customHeight="1">
      <c r="A774" s="5"/>
      <c r="B774" s="5"/>
      <c r="C774" s="5"/>
      <c r="D774" s="5"/>
      <c r="E774" s="5"/>
      <c r="F774" s="5"/>
      <c r="G774" s="5"/>
      <c r="H774" s="306"/>
      <c r="I774" s="5"/>
      <c r="J774" s="5"/>
      <c r="K774" s="5"/>
      <c r="L774" s="5"/>
      <c r="M774" s="5"/>
      <c r="N774" s="5"/>
      <c r="O774" s="57"/>
      <c r="P774" s="5"/>
      <c r="Q774" s="5"/>
      <c r="R774" s="5"/>
      <c r="S774" s="5"/>
      <c r="T774" s="5"/>
      <c r="U774" s="5"/>
      <c r="V774" s="5"/>
      <c r="W774" s="5"/>
      <c r="X774" s="5"/>
      <c r="Y774" s="5"/>
      <c r="Z774" s="5"/>
    </row>
    <row r="775" spans="1:26" ht="12.75" customHeight="1">
      <c r="A775" s="5"/>
      <c r="B775" s="5"/>
      <c r="C775" s="5"/>
      <c r="D775" s="5"/>
      <c r="E775" s="5"/>
      <c r="F775" s="5"/>
      <c r="G775" s="5"/>
      <c r="H775" s="306"/>
      <c r="I775" s="5"/>
      <c r="J775" s="5"/>
      <c r="K775" s="5"/>
      <c r="L775" s="5"/>
      <c r="M775" s="5"/>
      <c r="N775" s="5"/>
      <c r="O775" s="57"/>
      <c r="P775" s="5"/>
      <c r="Q775" s="5"/>
      <c r="R775" s="5"/>
      <c r="S775" s="5"/>
      <c r="T775" s="5"/>
      <c r="U775" s="5"/>
      <c r="V775" s="5"/>
      <c r="W775" s="5"/>
      <c r="X775" s="5"/>
      <c r="Y775" s="5"/>
      <c r="Z775" s="5"/>
    </row>
    <row r="776" spans="1:26" ht="12.75" customHeight="1">
      <c r="A776" s="5"/>
      <c r="B776" s="5"/>
      <c r="C776" s="5"/>
      <c r="D776" s="5"/>
      <c r="E776" s="5"/>
      <c r="F776" s="5"/>
      <c r="G776" s="5"/>
      <c r="H776" s="306"/>
      <c r="I776" s="5"/>
      <c r="J776" s="5"/>
      <c r="K776" s="5"/>
      <c r="L776" s="5"/>
      <c r="M776" s="5"/>
      <c r="N776" s="5"/>
      <c r="O776" s="57"/>
      <c r="P776" s="5"/>
      <c r="Q776" s="5"/>
      <c r="R776" s="5"/>
      <c r="S776" s="5"/>
      <c r="T776" s="5"/>
      <c r="U776" s="5"/>
      <c r="V776" s="5"/>
      <c r="W776" s="5"/>
      <c r="X776" s="5"/>
      <c r="Y776" s="5"/>
      <c r="Z776" s="5"/>
    </row>
    <row r="777" spans="1:26" ht="12.75" customHeight="1">
      <c r="A777" s="5"/>
      <c r="B777" s="5"/>
      <c r="C777" s="5"/>
      <c r="D777" s="5"/>
      <c r="E777" s="5"/>
      <c r="F777" s="5"/>
      <c r="G777" s="5"/>
      <c r="H777" s="306"/>
      <c r="I777" s="5"/>
      <c r="J777" s="5"/>
      <c r="K777" s="5"/>
      <c r="L777" s="5"/>
      <c r="M777" s="5"/>
      <c r="N777" s="5"/>
      <c r="O777" s="57"/>
      <c r="P777" s="5"/>
      <c r="Q777" s="5"/>
      <c r="R777" s="5"/>
      <c r="S777" s="5"/>
      <c r="T777" s="5"/>
      <c r="U777" s="5"/>
      <c r="V777" s="5"/>
      <c r="W777" s="5"/>
      <c r="X777" s="5"/>
      <c r="Y777" s="5"/>
      <c r="Z777" s="5"/>
    </row>
    <row r="778" spans="1:26" ht="12.75" customHeight="1">
      <c r="A778" s="5"/>
      <c r="B778" s="5"/>
      <c r="C778" s="5"/>
      <c r="D778" s="5"/>
      <c r="E778" s="5"/>
      <c r="F778" s="5"/>
      <c r="G778" s="5"/>
      <c r="H778" s="306"/>
      <c r="I778" s="5"/>
      <c r="J778" s="5"/>
      <c r="K778" s="5"/>
      <c r="L778" s="5"/>
      <c r="M778" s="5"/>
      <c r="N778" s="5"/>
      <c r="O778" s="57"/>
      <c r="P778" s="5"/>
      <c r="Q778" s="5"/>
      <c r="R778" s="5"/>
      <c r="S778" s="5"/>
      <c r="T778" s="5"/>
      <c r="U778" s="5"/>
      <c r="V778" s="5"/>
      <c r="W778" s="5"/>
      <c r="X778" s="5"/>
      <c r="Y778" s="5"/>
      <c r="Z778" s="5"/>
    </row>
    <row r="779" spans="1:26" ht="12.75" customHeight="1">
      <c r="A779" s="5"/>
      <c r="B779" s="5"/>
      <c r="C779" s="5"/>
      <c r="D779" s="5"/>
      <c r="E779" s="5"/>
      <c r="F779" s="5"/>
      <c r="G779" s="5"/>
      <c r="H779" s="306"/>
      <c r="I779" s="5"/>
      <c r="J779" s="5"/>
      <c r="K779" s="5"/>
      <c r="L779" s="5"/>
      <c r="M779" s="5"/>
      <c r="N779" s="5"/>
      <c r="O779" s="57"/>
      <c r="P779" s="5"/>
      <c r="Q779" s="5"/>
      <c r="R779" s="5"/>
      <c r="S779" s="5"/>
      <c r="T779" s="5"/>
      <c r="U779" s="5"/>
      <c r="V779" s="5"/>
      <c r="W779" s="5"/>
      <c r="X779" s="5"/>
      <c r="Y779" s="5"/>
      <c r="Z779" s="5"/>
    </row>
    <row r="780" spans="1:26" ht="12.75" customHeight="1">
      <c r="A780" s="5"/>
      <c r="B780" s="5"/>
      <c r="C780" s="5"/>
      <c r="D780" s="5"/>
      <c r="E780" s="5"/>
      <c r="F780" s="5"/>
      <c r="G780" s="5"/>
      <c r="H780" s="306"/>
      <c r="I780" s="5"/>
      <c r="J780" s="5"/>
      <c r="K780" s="5"/>
      <c r="L780" s="5"/>
      <c r="M780" s="5"/>
      <c r="N780" s="5"/>
      <c r="O780" s="57"/>
      <c r="P780" s="5"/>
      <c r="Q780" s="5"/>
      <c r="R780" s="5"/>
      <c r="S780" s="5"/>
      <c r="T780" s="5"/>
      <c r="U780" s="5"/>
      <c r="V780" s="5"/>
      <c r="W780" s="5"/>
      <c r="X780" s="5"/>
      <c r="Y780" s="5"/>
      <c r="Z780" s="5"/>
    </row>
    <row r="781" spans="1:26" ht="12.75" customHeight="1">
      <c r="A781" s="5"/>
      <c r="B781" s="5"/>
      <c r="C781" s="5"/>
      <c r="D781" s="5"/>
      <c r="E781" s="5"/>
      <c r="F781" s="5"/>
      <c r="G781" s="5"/>
      <c r="H781" s="306"/>
      <c r="I781" s="5"/>
      <c r="J781" s="5"/>
      <c r="K781" s="5"/>
      <c r="L781" s="5"/>
      <c r="M781" s="5"/>
      <c r="N781" s="5"/>
      <c r="O781" s="57"/>
      <c r="P781" s="5"/>
      <c r="Q781" s="5"/>
      <c r="R781" s="5"/>
      <c r="S781" s="5"/>
      <c r="T781" s="5"/>
      <c r="U781" s="5"/>
      <c r="V781" s="5"/>
      <c r="W781" s="5"/>
      <c r="X781" s="5"/>
      <c r="Y781" s="5"/>
      <c r="Z781" s="5"/>
    </row>
    <row r="782" spans="1:26" ht="12.75" customHeight="1">
      <c r="A782" s="5"/>
      <c r="B782" s="5"/>
      <c r="C782" s="5"/>
      <c r="D782" s="5"/>
      <c r="E782" s="5"/>
      <c r="F782" s="5"/>
      <c r="G782" s="5"/>
      <c r="H782" s="306"/>
      <c r="I782" s="5"/>
      <c r="J782" s="5"/>
      <c r="K782" s="5"/>
      <c r="L782" s="5"/>
      <c r="M782" s="5"/>
      <c r="N782" s="5"/>
      <c r="O782" s="57"/>
      <c r="P782" s="5"/>
      <c r="Q782" s="5"/>
      <c r="R782" s="5"/>
      <c r="S782" s="5"/>
      <c r="T782" s="5"/>
      <c r="U782" s="5"/>
      <c r="V782" s="5"/>
      <c r="W782" s="5"/>
      <c r="X782" s="5"/>
      <c r="Y782" s="5"/>
      <c r="Z782" s="5"/>
    </row>
    <row r="783" spans="1:26" ht="12.75" customHeight="1">
      <c r="A783" s="5"/>
      <c r="B783" s="5"/>
      <c r="C783" s="5"/>
      <c r="D783" s="5"/>
      <c r="E783" s="5"/>
      <c r="F783" s="5"/>
      <c r="G783" s="5"/>
      <c r="H783" s="306"/>
      <c r="I783" s="5"/>
      <c r="J783" s="5"/>
      <c r="K783" s="5"/>
      <c r="L783" s="5"/>
      <c r="M783" s="5"/>
      <c r="N783" s="5"/>
      <c r="O783" s="57"/>
      <c r="P783" s="5"/>
      <c r="Q783" s="5"/>
      <c r="R783" s="5"/>
      <c r="S783" s="5"/>
      <c r="T783" s="5"/>
      <c r="U783" s="5"/>
      <c r="V783" s="5"/>
      <c r="W783" s="5"/>
      <c r="X783" s="5"/>
      <c r="Y783" s="5"/>
      <c r="Z783" s="5"/>
    </row>
    <row r="784" spans="1:26" ht="12.75" customHeight="1">
      <c r="A784" s="5"/>
      <c r="B784" s="5"/>
      <c r="C784" s="5"/>
      <c r="D784" s="5"/>
      <c r="E784" s="5"/>
      <c r="F784" s="5"/>
      <c r="G784" s="5"/>
      <c r="H784" s="306"/>
      <c r="I784" s="5"/>
      <c r="J784" s="5"/>
      <c r="K784" s="5"/>
      <c r="L784" s="5"/>
      <c r="M784" s="5"/>
      <c r="N784" s="5"/>
      <c r="O784" s="57"/>
      <c r="P784" s="5"/>
      <c r="Q784" s="5"/>
      <c r="R784" s="5"/>
      <c r="S784" s="5"/>
      <c r="T784" s="5"/>
      <c r="U784" s="5"/>
      <c r="V784" s="5"/>
      <c r="W784" s="5"/>
      <c r="X784" s="5"/>
      <c r="Y784" s="5"/>
      <c r="Z784" s="5"/>
    </row>
    <row r="785" spans="1:26" ht="12.75" customHeight="1">
      <c r="A785" s="5"/>
      <c r="B785" s="5"/>
      <c r="C785" s="5"/>
      <c r="D785" s="5"/>
      <c r="E785" s="5"/>
      <c r="F785" s="5"/>
      <c r="G785" s="5"/>
      <c r="H785" s="306"/>
      <c r="I785" s="5"/>
      <c r="J785" s="5"/>
      <c r="K785" s="5"/>
      <c r="L785" s="5"/>
      <c r="M785" s="5"/>
      <c r="N785" s="5"/>
      <c r="O785" s="57"/>
      <c r="P785" s="5"/>
      <c r="Q785" s="5"/>
      <c r="R785" s="5"/>
      <c r="S785" s="5"/>
      <c r="T785" s="5"/>
      <c r="U785" s="5"/>
      <c r="V785" s="5"/>
      <c r="W785" s="5"/>
      <c r="X785" s="5"/>
      <c r="Y785" s="5"/>
      <c r="Z785" s="5"/>
    </row>
    <row r="786" spans="1:26" ht="12.75" customHeight="1">
      <c r="A786" s="5"/>
      <c r="B786" s="5"/>
      <c r="C786" s="5"/>
      <c r="D786" s="5"/>
      <c r="E786" s="5"/>
      <c r="F786" s="5"/>
      <c r="G786" s="5"/>
      <c r="H786" s="306"/>
      <c r="I786" s="5"/>
      <c r="J786" s="5"/>
      <c r="K786" s="5"/>
      <c r="L786" s="5"/>
      <c r="M786" s="5"/>
      <c r="N786" s="5"/>
      <c r="O786" s="57"/>
      <c r="P786" s="5"/>
      <c r="Q786" s="5"/>
      <c r="R786" s="5"/>
      <c r="S786" s="5"/>
      <c r="T786" s="5"/>
      <c r="U786" s="5"/>
      <c r="V786" s="5"/>
      <c r="W786" s="5"/>
      <c r="X786" s="5"/>
      <c r="Y786" s="5"/>
      <c r="Z786" s="5"/>
    </row>
    <row r="787" spans="1:26" ht="12.75" customHeight="1">
      <c r="A787" s="5"/>
      <c r="B787" s="5"/>
      <c r="C787" s="5"/>
      <c r="D787" s="5"/>
      <c r="E787" s="5"/>
      <c r="F787" s="5"/>
      <c r="G787" s="5"/>
      <c r="H787" s="306"/>
      <c r="I787" s="5"/>
      <c r="J787" s="5"/>
      <c r="K787" s="5"/>
      <c r="L787" s="5"/>
      <c r="M787" s="5"/>
      <c r="N787" s="5"/>
      <c r="O787" s="57"/>
      <c r="P787" s="5"/>
      <c r="Q787" s="5"/>
      <c r="R787" s="5"/>
      <c r="S787" s="5"/>
      <c r="T787" s="5"/>
      <c r="U787" s="5"/>
      <c r="V787" s="5"/>
      <c r="W787" s="5"/>
      <c r="X787" s="5"/>
      <c r="Y787" s="5"/>
      <c r="Z787" s="5"/>
    </row>
    <row r="788" spans="1:26" ht="12.75" customHeight="1">
      <c r="A788" s="5"/>
      <c r="B788" s="5"/>
      <c r="C788" s="5"/>
      <c r="D788" s="5"/>
      <c r="E788" s="5"/>
      <c r="F788" s="5"/>
      <c r="G788" s="5"/>
      <c r="H788" s="306"/>
      <c r="I788" s="5"/>
      <c r="J788" s="5"/>
      <c r="K788" s="5"/>
      <c r="L788" s="5"/>
      <c r="M788" s="5"/>
      <c r="N788" s="5"/>
      <c r="O788" s="57"/>
      <c r="P788" s="5"/>
      <c r="Q788" s="5"/>
      <c r="R788" s="5"/>
      <c r="S788" s="5"/>
      <c r="T788" s="5"/>
      <c r="U788" s="5"/>
      <c r="V788" s="5"/>
      <c r="W788" s="5"/>
      <c r="X788" s="5"/>
      <c r="Y788" s="5"/>
      <c r="Z788" s="5"/>
    </row>
    <row r="789" spans="1:26" ht="12.75" customHeight="1">
      <c r="A789" s="5"/>
      <c r="B789" s="5"/>
      <c r="C789" s="5"/>
      <c r="D789" s="5"/>
      <c r="E789" s="5"/>
      <c r="F789" s="5"/>
      <c r="G789" s="5"/>
      <c r="H789" s="306"/>
      <c r="I789" s="5"/>
      <c r="J789" s="5"/>
      <c r="K789" s="5"/>
      <c r="L789" s="5"/>
      <c r="M789" s="5"/>
      <c r="N789" s="5"/>
      <c r="O789" s="57"/>
      <c r="P789" s="5"/>
      <c r="Q789" s="5"/>
      <c r="R789" s="5"/>
      <c r="S789" s="5"/>
      <c r="T789" s="5"/>
      <c r="U789" s="5"/>
      <c r="V789" s="5"/>
      <c r="W789" s="5"/>
      <c r="X789" s="5"/>
      <c r="Y789" s="5"/>
      <c r="Z789" s="5"/>
    </row>
    <row r="790" spans="1:26" ht="12.75" customHeight="1">
      <c r="A790" s="5"/>
      <c r="B790" s="5"/>
      <c r="C790" s="5"/>
      <c r="D790" s="5"/>
      <c r="E790" s="5"/>
      <c r="F790" s="5"/>
      <c r="G790" s="5"/>
      <c r="H790" s="306"/>
      <c r="I790" s="5"/>
      <c r="J790" s="5"/>
      <c r="K790" s="5"/>
      <c r="L790" s="5"/>
      <c r="M790" s="5"/>
      <c r="N790" s="5"/>
      <c r="O790" s="57"/>
      <c r="P790" s="5"/>
      <c r="Q790" s="5"/>
      <c r="R790" s="5"/>
      <c r="S790" s="5"/>
      <c r="T790" s="5"/>
      <c r="U790" s="5"/>
      <c r="V790" s="5"/>
      <c r="W790" s="5"/>
      <c r="X790" s="5"/>
      <c r="Y790" s="5"/>
      <c r="Z790" s="5"/>
    </row>
    <row r="791" spans="1:26" ht="12.75" customHeight="1">
      <c r="A791" s="5"/>
      <c r="B791" s="5"/>
      <c r="C791" s="5"/>
      <c r="D791" s="5"/>
      <c r="E791" s="5"/>
      <c r="F791" s="5"/>
      <c r="G791" s="5"/>
      <c r="H791" s="306"/>
      <c r="I791" s="5"/>
      <c r="J791" s="5"/>
      <c r="K791" s="5"/>
      <c r="L791" s="5"/>
      <c r="M791" s="5"/>
      <c r="N791" s="5"/>
      <c r="O791" s="57"/>
      <c r="P791" s="5"/>
      <c r="Q791" s="5"/>
      <c r="R791" s="5"/>
      <c r="S791" s="5"/>
      <c r="T791" s="5"/>
      <c r="U791" s="5"/>
      <c r="V791" s="5"/>
      <c r="W791" s="5"/>
      <c r="X791" s="5"/>
      <c r="Y791" s="5"/>
      <c r="Z791" s="5"/>
    </row>
    <row r="792" spans="1:26" ht="12.75" customHeight="1">
      <c r="A792" s="5"/>
      <c r="B792" s="5"/>
      <c r="C792" s="5"/>
      <c r="D792" s="5"/>
      <c r="E792" s="5"/>
      <c r="F792" s="5"/>
      <c r="G792" s="5"/>
      <c r="H792" s="306"/>
      <c r="I792" s="5"/>
      <c r="J792" s="5"/>
      <c r="K792" s="5"/>
      <c r="L792" s="5"/>
      <c r="M792" s="5"/>
      <c r="N792" s="5"/>
      <c r="O792" s="57"/>
      <c r="P792" s="5"/>
      <c r="Q792" s="5"/>
      <c r="R792" s="5"/>
      <c r="S792" s="5"/>
      <c r="T792" s="5"/>
      <c r="U792" s="5"/>
      <c r="V792" s="5"/>
      <c r="W792" s="5"/>
      <c r="X792" s="5"/>
      <c r="Y792" s="5"/>
      <c r="Z792" s="5"/>
    </row>
    <row r="793" spans="1:26" ht="12.75" customHeight="1">
      <c r="A793" s="5"/>
      <c r="B793" s="5"/>
      <c r="C793" s="5"/>
      <c r="D793" s="5"/>
      <c r="E793" s="5"/>
      <c r="F793" s="5"/>
      <c r="G793" s="5"/>
      <c r="H793" s="306"/>
      <c r="I793" s="5"/>
      <c r="J793" s="5"/>
      <c r="K793" s="5"/>
      <c r="L793" s="5"/>
      <c r="M793" s="5"/>
      <c r="N793" s="5"/>
      <c r="O793" s="57"/>
      <c r="P793" s="5"/>
      <c r="Q793" s="5"/>
      <c r="R793" s="5"/>
      <c r="S793" s="5"/>
      <c r="T793" s="5"/>
      <c r="U793" s="5"/>
      <c r="V793" s="5"/>
      <c r="W793" s="5"/>
      <c r="X793" s="5"/>
      <c r="Y793" s="5"/>
      <c r="Z793" s="5"/>
    </row>
    <row r="794" spans="1:26" ht="12.75" customHeight="1">
      <c r="A794" s="5"/>
      <c r="B794" s="5"/>
      <c r="C794" s="5"/>
      <c r="D794" s="5"/>
      <c r="E794" s="5"/>
      <c r="F794" s="5"/>
      <c r="G794" s="5"/>
      <c r="H794" s="306"/>
      <c r="I794" s="5"/>
      <c r="J794" s="5"/>
      <c r="K794" s="5"/>
      <c r="L794" s="5"/>
      <c r="M794" s="5"/>
      <c r="N794" s="5"/>
      <c r="O794" s="57"/>
      <c r="P794" s="5"/>
      <c r="Q794" s="5"/>
      <c r="R794" s="5"/>
      <c r="S794" s="5"/>
      <c r="T794" s="5"/>
      <c r="U794" s="5"/>
      <c r="V794" s="5"/>
      <c r="W794" s="5"/>
      <c r="X794" s="5"/>
      <c r="Y794" s="5"/>
      <c r="Z794" s="5"/>
    </row>
    <row r="795" spans="1:26" ht="12.75" customHeight="1">
      <c r="A795" s="5"/>
      <c r="B795" s="5"/>
      <c r="C795" s="5"/>
      <c r="D795" s="5"/>
      <c r="E795" s="5"/>
      <c r="F795" s="5"/>
      <c r="G795" s="5"/>
      <c r="H795" s="306"/>
      <c r="I795" s="5"/>
      <c r="J795" s="5"/>
      <c r="K795" s="5"/>
      <c r="L795" s="5"/>
      <c r="M795" s="5"/>
      <c r="N795" s="5"/>
      <c r="O795" s="57"/>
      <c r="P795" s="5"/>
      <c r="Q795" s="5"/>
      <c r="R795" s="5"/>
      <c r="S795" s="5"/>
      <c r="T795" s="5"/>
      <c r="U795" s="5"/>
      <c r="V795" s="5"/>
      <c r="W795" s="5"/>
      <c r="X795" s="5"/>
      <c r="Y795" s="5"/>
      <c r="Z795" s="5"/>
    </row>
    <row r="796" spans="1:26" ht="12.75" customHeight="1">
      <c r="A796" s="5"/>
      <c r="B796" s="5"/>
      <c r="C796" s="5"/>
      <c r="D796" s="5"/>
      <c r="E796" s="5"/>
      <c r="F796" s="5"/>
      <c r="G796" s="5"/>
      <c r="H796" s="306"/>
      <c r="I796" s="5"/>
      <c r="J796" s="5"/>
      <c r="K796" s="5"/>
      <c r="L796" s="5"/>
      <c r="M796" s="5"/>
      <c r="N796" s="5"/>
      <c r="O796" s="57"/>
      <c r="P796" s="5"/>
      <c r="Q796" s="5"/>
      <c r="R796" s="5"/>
      <c r="S796" s="5"/>
      <c r="T796" s="5"/>
      <c r="U796" s="5"/>
      <c r="V796" s="5"/>
      <c r="W796" s="5"/>
      <c r="X796" s="5"/>
      <c r="Y796" s="5"/>
      <c r="Z796" s="5"/>
    </row>
    <row r="797" spans="1:26" ht="12.75" customHeight="1">
      <c r="A797" s="5"/>
      <c r="B797" s="5"/>
      <c r="C797" s="5"/>
      <c r="D797" s="5"/>
      <c r="E797" s="5"/>
      <c r="F797" s="5"/>
      <c r="G797" s="5"/>
      <c r="H797" s="306"/>
      <c r="I797" s="5"/>
      <c r="J797" s="5"/>
      <c r="K797" s="5"/>
      <c r="L797" s="5"/>
      <c r="M797" s="5"/>
      <c r="N797" s="5"/>
      <c r="O797" s="57"/>
      <c r="P797" s="5"/>
      <c r="Q797" s="5"/>
      <c r="R797" s="5"/>
      <c r="S797" s="5"/>
      <c r="T797" s="5"/>
      <c r="U797" s="5"/>
      <c r="V797" s="5"/>
      <c r="W797" s="5"/>
      <c r="X797" s="5"/>
      <c r="Y797" s="5"/>
      <c r="Z797" s="5"/>
    </row>
    <row r="798" spans="1:26" ht="12.75" customHeight="1">
      <c r="A798" s="5"/>
      <c r="B798" s="5"/>
      <c r="C798" s="5"/>
      <c r="D798" s="5"/>
      <c r="E798" s="5"/>
      <c r="F798" s="5"/>
      <c r="G798" s="5"/>
      <c r="H798" s="306"/>
      <c r="I798" s="5"/>
      <c r="J798" s="5"/>
      <c r="K798" s="5"/>
      <c r="L798" s="5"/>
      <c r="M798" s="5"/>
      <c r="N798" s="5"/>
      <c r="O798" s="57"/>
      <c r="P798" s="5"/>
      <c r="Q798" s="5"/>
      <c r="R798" s="5"/>
      <c r="S798" s="5"/>
      <c r="T798" s="5"/>
      <c r="U798" s="5"/>
      <c r="V798" s="5"/>
      <c r="W798" s="5"/>
      <c r="X798" s="5"/>
      <c r="Y798" s="5"/>
      <c r="Z798" s="5"/>
    </row>
    <row r="799" spans="1:26" ht="12.75" customHeight="1">
      <c r="A799" s="5"/>
      <c r="B799" s="5"/>
      <c r="C799" s="5"/>
      <c r="D799" s="5"/>
      <c r="E799" s="5"/>
      <c r="F799" s="5"/>
      <c r="G799" s="5"/>
      <c r="H799" s="306"/>
      <c r="I799" s="5"/>
      <c r="J799" s="5"/>
      <c r="K799" s="5"/>
      <c r="L799" s="5"/>
      <c r="M799" s="5"/>
      <c r="N799" s="5"/>
      <c r="O799" s="57"/>
      <c r="P799" s="5"/>
      <c r="Q799" s="5"/>
      <c r="R799" s="5"/>
      <c r="S799" s="5"/>
      <c r="T799" s="5"/>
      <c r="U799" s="5"/>
      <c r="V799" s="5"/>
      <c r="W799" s="5"/>
      <c r="X799" s="5"/>
      <c r="Y799" s="5"/>
      <c r="Z799" s="5"/>
    </row>
    <row r="800" spans="1:26" ht="12.75" customHeight="1">
      <c r="A800" s="5"/>
      <c r="B800" s="5"/>
      <c r="C800" s="5"/>
      <c r="D800" s="5"/>
      <c r="E800" s="5"/>
      <c r="F800" s="5"/>
      <c r="G800" s="5"/>
      <c r="H800" s="306"/>
      <c r="I800" s="5"/>
      <c r="J800" s="5"/>
      <c r="K800" s="5"/>
      <c r="L800" s="5"/>
      <c r="M800" s="5"/>
      <c r="N800" s="5"/>
      <c r="O800" s="57"/>
      <c r="P800" s="5"/>
      <c r="Q800" s="5"/>
      <c r="R800" s="5"/>
      <c r="S800" s="5"/>
      <c r="T800" s="5"/>
      <c r="U800" s="5"/>
      <c r="V800" s="5"/>
      <c r="W800" s="5"/>
      <c r="X800" s="5"/>
      <c r="Y800" s="5"/>
      <c r="Z800" s="5"/>
    </row>
    <row r="801" spans="1:26" ht="12.75" customHeight="1">
      <c r="A801" s="5"/>
      <c r="B801" s="5"/>
      <c r="C801" s="5"/>
      <c r="D801" s="5"/>
      <c r="E801" s="5"/>
      <c r="F801" s="5"/>
      <c r="G801" s="5"/>
      <c r="H801" s="306"/>
      <c r="I801" s="5"/>
      <c r="J801" s="5"/>
      <c r="K801" s="5"/>
      <c r="L801" s="5"/>
      <c r="M801" s="5"/>
      <c r="N801" s="5"/>
      <c r="O801" s="57"/>
      <c r="P801" s="5"/>
      <c r="Q801" s="5"/>
      <c r="R801" s="5"/>
      <c r="S801" s="5"/>
      <c r="T801" s="5"/>
      <c r="U801" s="5"/>
      <c r="V801" s="5"/>
      <c r="W801" s="5"/>
      <c r="X801" s="5"/>
      <c r="Y801" s="5"/>
      <c r="Z801" s="5"/>
    </row>
    <row r="802" spans="1:26" ht="12.75" customHeight="1">
      <c r="A802" s="5"/>
      <c r="B802" s="5"/>
      <c r="C802" s="5"/>
      <c r="D802" s="5"/>
      <c r="E802" s="5"/>
      <c r="F802" s="5"/>
      <c r="G802" s="5"/>
      <c r="H802" s="306"/>
      <c r="I802" s="5"/>
      <c r="J802" s="5"/>
      <c r="K802" s="5"/>
      <c r="L802" s="5"/>
      <c r="M802" s="5"/>
      <c r="N802" s="5"/>
      <c r="O802" s="57"/>
      <c r="P802" s="5"/>
      <c r="Q802" s="5"/>
      <c r="R802" s="5"/>
      <c r="S802" s="5"/>
      <c r="T802" s="5"/>
      <c r="U802" s="5"/>
      <c r="V802" s="5"/>
      <c r="W802" s="5"/>
      <c r="X802" s="5"/>
      <c r="Y802" s="5"/>
      <c r="Z802" s="5"/>
    </row>
    <row r="803" spans="1:26" ht="12.75" customHeight="1">
      <c r="A803" s="5"/>
      <c r="B803" s="5"/>
      <c r="C803" s="5"/>
      <c r="D803" s="5"/>
      <c r="E803" s="5"/>
      <c r="F803" s="5"/>
      <c r="G803" s="5"/>
      <c r="H803" s="306"/>
      <c r="I803" s="5"/>
      <c r="J803" s="5"/>
      <c r="K803" s="5"/>
      <c r="L803" s="5"/>
      <c r="M803" s="5"/>
      <c r="N803" s="5"/>
      <c r="O803" s="57"/>
      <c r="P803" s="5"/>
      <c r="Q803" s="5"/>
      <c r="R803" s="5"/>
      <c r="S803" s="5"/>
      <c r="T803" s="5"/>
      <c r="U803" s="5"/>
      <c r="V803" s="5"/>
      <c r="W803" s="5"/>
      <c r="X803" s="5"/>
      <c r="Y803" s="5"/>
      <c r="Z803" s="5"/>
    </row>
    <row r="804" spans="1:26" ht="12.75" customHeight="1">
      <c r="A804" s="5"/>
      <c r="B804" s="5"/>
      <c r="C804" s="5"/>
      <c r="D804" s="5"/>
      <c r="E804" s="5"/>
      <c r="F804" s="5"/>
      <c r="G804" s="5"/>
      <c r="H804" s="306"/>
      <c r="I804" s="5"/>
      <c r="J804" s="5"/>
      <c r="K804" s="5"/>
      <c r="L804" s="5"/>
      <c r="M804" s="5"/>
      <c r="N804" s="5"/>
      <c r="O804" s="57"/>
      <c r="P804" s="5"/>
      <c r="Q804" s="5"/>
      <c r="R804" s="5"/>
      <c r="S804" s="5"/>
      <c r="T804" s="5"/>
      <c r="U804" s="5"/>
      <c r="V804" s="5"/>
      <c r="W804" s="5"/>
      <c r="X804" s="5"/>
      <c r="Y804" s="5"/>
      <c r="Z804" s="5"/>
    </row>
    <row r="805" spans="1:26" ht="12.75" customHeight="1">
      <c r="A805" s="5"/>
      <c r="B805" s="5"/>
      <c r="C805" s="5"/>
      <c r="D805" s="5"/>
      <c r="E805" s="5"/>
      <c r="F805" s="5"/>
      <c r="G805" s="5"/>
      <c r="H805" s="306"/>
      <c r="I805" s="5"/>
      <c r="J805" s="5"/>
      <c r="K805" s="5"/>
      <c r="L805" s="5"/>
      <c r="M805" s="5"/>
      <c r="N805" s="5"/>
      <c r="O805" s="57"/>
      <c r="P805" s="5"/>
      <c r="Q805" s="5"/>
      <c r="R805" s="5"/>
      <c r="S805" s="5"/>
      <c r="T805" s="5"/>
      <c r="U805" s="5"/>
      <c r="V805" s="5"/>
      <c r="W805" s="5"/>
      <c r="X805" s="5"/>
      <c r="Y805" s="5"/>
      <c r="Z805" s="5"/>
    </row>
    <row r="806" spans="1:26" ht="12.75" customHeight="1">
      <c r="A806" s="5"/>
      <c r="B806" s="5"/>
      <c r="C806" s="5"/>
      <c r="D806" s="5"/>
      <c r="E806" s="5"/>
      <c r="F806" s="5"/>
      <c r="G806" s="5"/>
      <c r="H806" s="306"/>
      <c r="I806" s="5"/>
      <c r="J806" s="5"/>
      <c r="K806" s="5"/>
      <c r="L806" s="5"/>
      <c r="M806" s="5"/>
      <c r="N806" s="5"/>
      <c r="O806" s="57"/>
      <c r="P806" s="5"/>
      <c r="Q806" s="5"/>
      <c r="R806" s="5"/>
      <c r="S806" s="5"/>
      <c r="T806" s="5"/>
      <c r="U806" s="5"/>
      <c r="V806" s="5"/>
      <c r="W806" s="5"/>
      <c r="X806" s="5"/>
      <c r="Y806" s="5"/>
      <c r="Z806" s="5"/>
    </row>
    <row r="807" spans="1:26" ht="12.75" customHeight="1">
      <c r="A807" s="5"/>
      <c r="B807" s="5"/>
      <c r="C807" s="5"/>
      <c r="D807" s="5"/>
      <c r="E807" s="5"/>
      <c r="F807" s="5"/>
      <c r="G807" s="5"/>
      <c r="H807" s="306"/>
      <c r="I807" s="5"/>
      <c r="J807" s="5"/>
      <c r="K807" s="5"/>
      <c r="L807" s="5"/>
      <c r="M807" s="5"/>
      <c r="N807" s="5"/>
      <c r="O807" s="57"/>
      <c r="P807" s="5"/>
      <c r="Q807" s="5"/>
      <c r="R807" s="5"/>
      <c r="S807" s="5"/>
      <c r="T807" s="5"/>
      <c r="U807" s="5"/>
      <c r="V807" s="5"/>
      <c r="W807" s="5"/>
      <c r="X807" s="5"/>
      <c r="Y807" s="5"/>
      <c r="Z807" s="5"/>
    </row>
    <row r="808" spans="1:26" ht="12.75" customHeight="1">
      <c r="A808" s="5"/>
      <c r="B808" s="5"/>
      <c r="C808" s="5"/>
      <c r="D808" s="5"/>
      <c r="E808" s="5"/>
      <c r="F808" s="5"/>
      <c r="G808" s="5"/>
      <c r="H808" s="306"/>
      <c r="I808" s="5"/>
      <c r="J808" s="5"/>
      <c r="K808" s="5"/>
      <c r="L808" s="5"/>
      <c r="M808" s="5"/>
      <c r="N808" s="5"/>
      <c r="O808" s="57"/>
      <c r="P808" s="5"/>
      <c r="Q808" s="5"/>
      <c r="R808" s="5"/>
      <c r="S808" s="5"/>
      <c r="T808" s="5"/>
      <c r="U808" s="5"/>
      <c r="V808" s="5"/>
      <c r="W808" s="5"/>
      <c r="X808" s="5"/>
      <c r="Y808" s="5"/>
      <c r="Z808" s="5"/>
    </row>
    <row r="809" spans="1:26" ht="12.75" customHeight="1">
      <c r="A809" s="5"/>
      <c r="B809" s="5"/>
      <c r="C809" s="5"/>
      <c r="D809" s="5"/>
      <c r="E809" s="5"/>
      <c r="F809" s="5"/>
      <c r="G809" s="5"/>
      <c r="H809" s="306"/>
      <c r="I809" s="5"/>
      <c r="J809" s="5"/>
      <c r="K809" s="5"/>
      <c r="L809" s="5"/>
      <c r="M809" s="5"/>
      <c r="N809" s="5"/>
      <c r="O809" s="57"/>
      <c r="P809" s="5"/>
      <c r="Q809" s="5"/>
      <c r="R809" s="5"/>
      <c r="S809" s="5"/>
      <c r="T809" s="5"/>
      <c r="U809" s="5"/>
      <c r="V809" s="5"/>
      <c r="W809" s="5"/>
      <c r="X809" s="5"/>
      <c r="Y809" s="5"/>
      <c r="Z809" s="5"/>
    </row>
    <row r="810" spans="1:26" ht="12.75" customHeight="1">
      <c r="A810" s="5"/>
      <c r="B810" s="5"/>
      <c r="C810" s="5"/>
      <c r="D810" s="5"/>
      <c r="E810" s="5"/>
      <c r="F810" s="5"/>
      <c r="G810" s="5"/>
      <c r="H810" s="306"/>
      <c r="I810" s="5"/>
      <c r="J810" s="5"/>
      <c r="K810" s="5"/>
      <c r="L810" s="5"/>
      <c r="M810" s="5"/>
      <c r="N810" s="5"/>
      <c r="O810" s="57"/>
      <c r="P810" s="5"/>
      <c r="Q810" s="5"/>
      <c r="R810" s="5"/>
      <c r="S810" s="5"/>
      <c r="T810" s="5"/>
      <c r="U810" s="5"/>
      <c r="V810" s="5"/>
      <c r="W810" s="5"/>
      <c r="X810" s="5"/>
      <c r="Y810" s="5"/>
      <c r="Z810" s="5"/>
    </row>
    <row r="811" spans="1:26" ht="12.75" customHeight="1">
      <c r="A811" s="5"/>
      <c r="B811" s="5"/>
      <c r="C811" s="5"/>
      <c r="D811" s="5"/>
      <c r="E811" s="5"/>
      <c r="F811" s="5"/>
      <c r="G811" s="5"/>
      <c r="H811" s="306"/>
      <c r="I811" s="5"/>
      <c r="J811" s="5"/>
      <c r="K811" s="5"/>
      <c r="L811" s="5"/>
      <c r="M811" s="5"/>
      <c r="N811" s="5"/>
      <c r="O811" s="57"/>
      <c r="P811" s="5"/>
      <c r="Q811" s="5"/>
      <c r="R811" s="5"/>
      <c r="S811" s="5"/>
      <c r="T811" s="5"/>
      <c r="U811" s="5"/>
      <c r="V811" s="5"/>
      <c r="W811" s="5"/>
      <c r="X811" s="5"/>
      <c r="Y811" s="5"/>
      <c r="Z811" s="5"/>
    </row>
    <row r="812" spans="1:26" ht="12.75" customHeight="1">
      <c r="A812" s="5"/>
      <c r="B812" s="5"/>
      <c r="C812" s="5"/>
      <c r="D812" s="5"/>
      <c r="E812" s="5"/>
      <c r="F812" s="5"/>
      <c r="G812" s="5"/>
      <c r="H812" s="306"/>
      <c r="I812" s="5"/>
      <c r="J812" s="5"/>
      <c r="K812" s="5"/>
      <c r="L812" s="5"/>
      <c r="M812" s="5"/>
      <c r="N812" s="5"/>
      <c r="O812" s="57"/>
      <c r="P812" s="5"/>
      <c r="Q812" s="5"/>
      <c r="R812" s="5"/>
      <c r="S812" s="5"/>
      <c r="T812" s="5"/>
      <c r="U812" s="5"/>
      <c r="V812" s="5"/>
      <c r="W812" s="5"/>
      <c r="X812" s="5"/>
      <c r="Y812" s="5"/>
      <c r="Z812" s="5"/>
    </row>
    <row r="813" spans="1:26" ht="12.75" customHeight="1">
      <c r="A813" s="5"/>
      <c r="B813" s="5"/>
      <c r="C813" s="5"/>
      <c r="D813" s="5"/>
      <c r="E813" s="5"/>
      <c r="F813" s="5"/>
      <c r="G813" s="5"/>
      <c r="H813" s="306"/>
      <c r="I813" s="5"/>
      <c r="J813" s="5"/>
      <c r="K813" s="5"/>
      <c r="L813" s="5"/>
      <c r="M813" s="5"/>
      <c r="N813" s="5"/>
      <c r="O813" s="57"/>
      <c r="P813" s="5"/>
      <c r="Q813" s="5"/>
      <c r="R813" s="5"/>
      <c r="S813" s="5"/>
      <c r="T813" s="5"/>
      <c r="U813" s="5"/>
      <c r="V813" s="5"/>
      <c r="W813" s="5"/>
      <c r="X813" s="5"/>
      <c r="Y813" s="5"/>
      <c r="Z813" s="5"/>
    </row>
    <row r="814" spans="1:26" ht="12.75" customHeight="1">
      <c r="A814" s="5"/>
      <c r="B814" s="5"/>
      <c r="C814" s="5"/>
      <c r="D814" s="5"/>
      <c r="E814" s="5"/>
      <c r="F814" s="5"/>
      <c r="G814" s="5"/>
      <c r="H814" s="306"/>
      <c r="I814" s="5"/>
      <c r="J814" s="5"/>
      <c r="K814" s="5"/>
      <c r="L814" s="5"/>
      <c r="M814" s="5"/>
      <c r="N814" s="5"/>
      <c r="O814" s="57"/>
      <c r="P814" s="5"/>
      <c r="Q814" s="5"/>
      <c r="R814" s="5"/>
      <c r="S814" s="5"/>
      <c r="T814" s="5"/>
      <c r="U814" s="5"/>
      <c r="V814" s="5"/>
      <c r="W814" s="5"/>
      <c r="X814" s="5"/>
      <c r="Y814" s="5"/>
      <c r="Z814" s="5"/>
    </row>
    <row r="815" spans="1:26" ht="12.75" customHeight="1">
      <c r="A815" s="5"/>
      <c r="B815" s="5"/>
      <c r="C815" s="5"/>
      <c r="D815" s="5"/>
      <c r="E815" s="5"/>
      <c r="F815" s="5"/>
      <c r="G815" s="5"/>
      <c r="H815" s="306"/>
      <c r="I815" s="5"/>
      <c r="J815" s="5"/>
      <c r="K815" s="5"/>
      <c r="L815" s="5"/>
      <c r="M815" s="5"/>
      <c r="N815" s="5"/>
      <c r="O815" s="57"/>
      <c r="P815" s="5"/>
      <c r="Q815" s="5"/>
      <c r="R815" s="5"/>
      <c r="S815" s="5"/>
      <c r="T815" s="5"/>
      <c r="U815" s="5"/>
      <c r="V815" s="5"/>
      <c r="W815" s="5"/>
      <c r="X815" s="5"/>
      <c r="Y815" s="5"/>
      <c r="Z815" s="5"/>
    </row>
    <row r="816" spans="1:26" ht="12.75" customHeight="1">
      <c r="A816" s="5"/>
      <c r="B816" s="5"/>
      <c r="C816" s="5"/>
      <c r="D816" s="5"/>
      <c r="E816" s="5"/>
      <c r="F816" s="5"/>
      <c r="G816" s="5"/>
      <c r="H816" s="306"/>
      <c r="I816" s="5"/>
      <c r="J816" s="5"/>
      <c r="K816" s="5"/>
      <c r="L816" s="5"/>
      <c r="M816" s="5"/>
      <c r="N816" s="5"/>
      <c r="O816" s="57"/>
      <c r="P816" s="5"/>
      <c r="Q816" s="5"/>
      <c r="R816" s="5"/>
      <c r="S816" s="5"/>
      <c r="T816" s="5"/>
      <c r="U816" s="5"/>
      <c r="V816" s="5"/>
      <c r="W816" s="5"/>
      <c r="X816" s="5"/>
      <c r="Y816" s="5"/>
      <c r="Z816" s="5"/>
    </row>
    <row r="817" spans="1:26" ht="12.75" customHeight="1">
      <c r="A817" s="5"/>
      <c r="B817" s="5"/>
      <c r="C817" s="5"/>
      <c r="D817" s="5"/>
      <c r="E817" s="5"/>
      <c r="F817" s="5"/>
      <c r="G817" s="5"/>
      <c r="H817" s="306"/>
      <c r="I817" s="5"/>
      <c r="J817" s="5"/>
      <c r="K817" s="5"/>
      <c r="L817" s="5"/>
      <c r="M817" s="5"/>
      <c r="N817" s="5"/>
      <c r="O817" s="57"/>
      <c r="P817" s="5"/>
      <c r="Q817" s="5"/>
      <c r="R817" s="5"/>
      <c r="S817" s="5"/>
      <c r="T817" s="5"/>
      <c r="U817" s="5"/>
      <c r="V817" s="5"/>
      <c r="W817" s="5"/>
      <c r="X817" s="5"/>
      <c r="Y817" s="5"/>
      <c r="Z817" s="5"/>
    </row>
    <row r="818" spans="1:26" ht="12.75" customHeight="1">
      <c r="A818" s="5"/>
      <c r="B818" s="5"/>
      <c r="C818" s="5"/>
      <c r="D818" s="5"/>
      <c r="E818" s="5"/>
      <c r="F818" s="5"/>
      <c r="G818" s="5"/>
      <c r="H818" s="306"/>
      <c r="I818" s="5"/>
      <c r="J818" s="5"/>
      <c r="K818" s="5"/>
      <c r="L818" s="5"/>
      <c r="M818" s="5"/>
      <c r="N818" s="5"/>
      <c r="O818" s="57"/>
      <c r="P818" s="5"/>
      <c r="Q818" s="5"/>
      <c r="R818" s="5"/>
      <c r="S818" s="5"/>
      <c r="T818" s="5"/>
      <c r="U818" s="5"/>
      <c r="V818" s="5"/>
      <c r="W818" s="5"/>
      <c r="X818" s="5"/>
      <c r="Y818" s="5"/>
      <c r="Z818" s="5"/>
    </row>
    <row r="819" spans="1:26" ht="12.75" customHeight="1">
      <c r="A819" s="5"/>
      <c r="B819" s="5"/>
      <c r="C819" s="5"/>
      <c r="D819" s="5"/>
      <c r="E819" s="5"/>
      <c r="F819" s="5"/>
      <c r="G819" s="5"/>
      <c r="H819" s="306"/>
      <c r="I819" s="5"/>
      <c r="J819" s="5"/>
      <c r="K819" s="5"/>
      <c r="L819" s="5"/>
      <c r="M819" s="5"/>
      <c r="N819" s="5"/>
      <c r="O819" s="57"/>
      <c r="P819" s="5"/>
      <c r="Q819" s="5"/>
      <c r="R819" s="5"/>
      <c r="S819" s="5"/>
      <c r="T819" s="5"/>
      <c r="U819" s="5"/>
      <c r="V819" s="5"/>
      <c r="W819" s="5"/>
      <c r="X819" s="5"/>
      <c r="Y819" s="5"/>
      <c r="Z819" s="5"/>
    </row>
    <row r="820" spans="1:26" ht="12.75" customHeight="1">
      <c r="A820" s="5"/>
      <c r="B820" s="5"/>
      <c r="C820" s="5"/>
      <c r="D820" s="5"/>
      <c r="E820" s="5"/>
      <c r="F820" s="5"/>
      <c r="G820" s="5"/>
      <c r="H820" s="306"/>
      <c r="I820" s="5"/>
      <c r="J820" s="5"/>
      <c r="K820" s="5"/>
      <c r="L820" s="5"/>
      <c r="M820" s="5"/>
      <c r="N820" s="5"/>
      <c r="O820" s="57"/>
      <c r="P820" s="5"/>
      <c r="Q820" s="5"/>
      <c r="R820" s="5"/>
      <c r="S820" s="5"/>
      <c r="T820" s="5"/>
      <c r="U820" s="5"/>
      <c r="V820" s="5"/>
      <c r="W820" s="5"/>
      <c r="X820" s="5"/>
      <c r="Y820" s="5"/>
      <c r="Z820" s="5"/>
    </row>
    <row r="821" spans="1:26" ht="12.75" customHeight="1">
      <c r="A821" s="5"/>
      <c r="B821" s="5"/>
      <c r="C821" s="5"/>
      <c r="D821" s="5"/>
      <c r="E821" s="5"/>
      <c r="F821" s="5"/>
      <c r="G821" s="5"/>
      <c r="H821" s="306"/>
      <c r="I821" s="5"/>
      <c r="J821" s="5"/>
      <c r="K821" s="5"/>
      <c r="L821" s="5"/>
      <c r="M821" s="5"/>
      <c r="N821" s="5"/>
      <c r="O821" s="57"/>
      <c r="P821" s="5"/>
      <c r="Q821" s="5"/>
      <c r="R821" s="5"/>
      <c r="S821" s="5"/>
      <c r="T821" s="5"/>
      <c r="U821" s="5"/>
      <c r="V821" s="5"/>
      <c r="W821" s="5"/>
      <c r="X821" s="5"/>
      <c r="Y821" s="5"/>
      <c r="Z821" s="5"/>
    </row>
    <row r="822" spans="1:26" ht="12.75" customHeight="1">
      <c r="A822" s="5"/>
      <c r="B822" s="5"/>
      <c r="C822" s="5"/>
      <c r="D822" s="5"/>
      <c r="E822" s="5"/>
      <c r="F822" s="5"/>
      <c r="G822" s="5"/>
      <c r="H822" s="306"/>
      <c r="I822" s="5"/>
      <c r="J822" s="5"/>
      <c r="K822" s="5"/>
      <c r="L822" s="5"/>
      <c r="M822" s="5"/>
      <c r="N822" s="5"/>
      <c r="O822" s="57"/>
      <c r="P822" s="5"/>
      <c r="Q822" s="5"/>
      <c r="R822" s="5"/>
      <c r="S822" s="5"/>
      <c r="T822" s="5"/>
      <c r="U822" s="5"/>
      <c r="V822" s="5"/>
      <c r="W822" s="5"/>
      <c r="X822" s="5"/>
      <c r="Y822" s="5"/>
      <c r="Z822" s="5"/>
    </row>
    <row r="823" spans="1:26" ht="12.75" customHeight="1">
      <c r="A823" s="5"/>
      <c r="B823" s="5"/>
      <c r="C823" s="5"/>
      <c r="D823" s="5"/>
      <c r="E823" s="5"/>
      <c r="F823" s="5"/>
      <c r="G823" s="5"/>
      <c r="H823" s="306"/>
      <c r="I823" s="5"/>
      <c r="J823" s="5"/>
      <c r="K823" s="5"/>
      <c r="L823" s="5"/>
      <c r="M823" s="5"/>
      <c r="N823" s="5"/>
      <c r="O823" s="57"/>
      <c r="P823" s="5"/>
      <c r="Q823" s="5"/>
      <c r="R823" s="5"/>
      <c r="S823" s="5"/>
      <c r="T823" s="5"/>
      <c r="U823" s="5"/>
      <c r="V823" s="5"/>
      <c r="W823" s="5"/>
      <c r="X823" s="5"/>
      <c r="Y823" s="5"/>
      <c r="Z823" s="5"/>
    </row>
    <row r="824" spans="1:26" ht="12.75" customHeight="1">
      <c r="A824" s="5"/>
      <c r="B824" s="5"/>
      <c r="C824" s="5"/>
      <c r="D824" s="5"/>
      <c r="E824" s="5"/>
      <c r="F824" s="5"/>
      <c r="G824" s="5"/>
      <c r="H824" s="306"/>
      <c r="I824" s="5"/>
      <c r="J824" s="5"/>
      <c r="K824" s="5"/>
      <c r="L824" s="5"/>
      <c r="M824" s="5"/>
      <c r="N824" s="5"/>
      <c r="O824" s="57"/>
      <c r="P824" s="5"/>
      <c r="Q824" s="5"/>
      <c r="R824" s="5"/>
      <c r="S824" s="5"/>
      <c r="T824" s="5"/>
      <c r="U824" s="5"/>
      <c r="V824" s="5"/>
      <c r="W824" s="5"/>
      <c r="X824" s="5"/>
      <c r="Y824" s="5"/>
      <c r="Z824" s="5"/>
    </row>
    <row r="825" spans="1:26" ht="12.75" customHeight="1">
      <c r="A825" s="5"/>
      <c r="B825" s="5"/>
      <c r="C825" s="5"/>
      <c r="D825" s="5"/>
      <c r="E825" s="5"/>
      <c r="F825" s="5"/>
      <c r="G825" s="5"/>
      <c r="H825" s="306"/>
      <c r="I825" s="5"/>
      <c r="J825" s="5"/>
      <c r="K825" s="5"/>
      <c r="L825" s="5"/>
      <c r="M825" s="5"/>
      <c r="N825" s="5"/>
      <c r="O825" s="57"/>
      <c r="P825" s="5"/>
      <c r="Q825" s="5"/>
      <c r="R825" s="5"/>
      <c r="S825" s="5"/>
      <c r="T825" s="5"/>
      <c r="U825" s="5"/>
      <c r="V825" s="5"/>
      <c r="W825" s="5"/>
      <c r="X825" s="5"/>
      <c r="Y825" s="5"/>
      <c r="Z825" s="5"/>
    </row>
    <row r="826" spans="1:26" ht="12.75" customHeight="1">
      <c r="A826" s="5"/>
      <c r="B826" s="5"/>
      <c r="C826" s="5"/>
      <c r="D826" s="5"/>
      <c r="E826" s="5"/>
      <c r="F826" s="5"/>
      <c r="G826" s="5"/>
      <c r="H826" s="306"/>
      <c r="I826" s="5"/>
      <c r="J826" s="5"/>
      <c r="K826" s="5"/>
      <c r="L826" s="5"/>
      <c r="M826" s="5"/>
      <c r="N826" s="5"/>
      <c r="O826" s="57"/>
      <c r="P826" s="5"/>
      <c r="Q826" s="5"/>
      <c r="R826" s="5"/>
      <c r="S826" s="5"/>
      <c r="T826" s="5"/>
      <c r="U826" s="5"/>
      <c r="V826" s="5"/>
      <c r="W826" s="5"/>
      <c r="X826" s="5"/>
      <c r="Y826" s="5"/>
      <c r="Z826" s="5"/>
    </row>
    <row r="827" spans="1:26" ht="12.75" customHeight="1">
      <c r="A827" s="5"/>
      <c r="B827" s="5"/>
      <c r="C827" s="5"/>
      <c r="D827" s="5"/>
      <c r="E827" s="5"/>
      <c r="F827" s="5"/>
      <c r="G827" s="5"/>
      <c r="H827" s="306"/>
      <c r="I827" s="5"/>
      <c r="J827" s="5"/>
      <c r="K827" s="5"/>
      <c r="L827" s="5"/>
      <c r="M827" s="5"/>
      <c r="N827" s="5"/>
      <c r="O827" s="57"/>
      <c r="P827" s="5"/>
      <c r="Q827" s="5"/>
      <c r="R827" s="5"/>
      <c r="S827" s="5"/>
      <c r="T827" s="5"/>
      <c r="U827" s="5"/>
      <c r="V827" s="5"/>
      <c r="W827" s="5"/>
      <c r="X827" s="5"/>
      <c r="Y827" s="5"/>
      <c r="Z827" s="5"/>
    </row>
    <row r="828" spans="1:26" ht="12.75" customHeight="1">
      <c r="A828" s="5"/>
      <c r="B828" s="5"/>
      <c r="C828" s="5"/>
      <c r="D828" s="5"/>
      <c r="E828" s="5"/>
      <c r="F828" s="5"/>
      <c r="G828" s="5"/>
      <c r="H828" s="306"/>
      <c r="I828" s="5"/>
      <c r="J828" s="5"/>
      <c r="K828" s="5"/>
      <c r="L828" s="5"/>
      <c r="M828" s="5"/>
      <c r="N828" s="5"/>
      <c r="O828" s="57"/>
      <c r="P828" s="5"/>
      <c r="Q828" s="5"/>
      <c r="R828" s="5"/>
      <c r="S828" s="5"/>
      <c r="T828" s="5"/>
      <c r="U828" s="5"/>
      <c r="V828" s="5"/>
      <c r="W828" s="5"/>
      <c r="X828" s="5"/>
      <c r="Y828" s="5"/>
      <c r="Z828" s="5"/>
    </row>
    <row r="829" spans="1:26" ht="12.75" customHeight="1">
      <c r="A829" s="5"/>
      <c r="B829" s="5"/>
      <c r="C829" s="5"/>
      <c r="D829" s="5"/>
      <c r="E829" s="5"/>
      <c r="F829" s="5"/>
      <c r="G829" s="5"/>
      <c r="H829" s="306"/>
      <c r="I829" s="5"/>
      <c r="J829" s="5"/>
      <c r="K829" s="5"/>
      <c r="L829" s="5"/>
      <c r="M829" s="5"/>
      <c r="N829" s="5"/>
      <c r="O829" s="57"/>
      <c r="P829" s="5"/>
      <c r="Q829" s="5"/>
      <c r="R829" s="5"/>
      <c r="S829" s="5"/>
      <c r="T829" s="5"/>
      <c r="U829" s="5"/>
      <c r="V829" s="5"/>
      <c r="W829" s="5"/>
      <c r="X829" s="5"/>
      <c r="Y829" s="5"/>
      <c r="Z829" s="5"/>
    </row>
    <row r="830" spans="1:26" ht="12.75" customHeight="1">
      <c r="A830" s="5"/>
      <c r="B830" s="5"/>
      <c r="C830" s="5"/>
      <c r="D830" s="5"/>
      <c r="E830" s="5"/>
      <c r="F830" s="5"/>
      <c r="G830" s="5"/>
      <c r="H830" s="306"/>
      <c r="I830" s="5"/>
      <c r="J830" s="5"/>
      <c r="K830" s="5"/>
      <c r="L830" s="5"/>
      <c r="M830" s="5"/>
      <c r="N830" s="5"/>
      <c r="O830" s="57"/>
      <c r="P830" s="5"/>
      <c r="Q830" s="5"/>
      <c r="R830" s="5"/>
      <c r="S830" s="5"/>
      <c r="T830" s="5"/>
      <c r="U830" s="5"/>
      <c r="V830" s="5"/>
      <c r="W830" s="5"/>
      <c r="X830" s="5"/>
      <c r="Y830" s="5"/>
      <c r="Z830" s="5"/>
    </row>
    <row r="831" spans="1:26" ht="12.75" customHeight="1">
      <c r="A831" s="5"/>
      <c r="B831" s="5"/>
      <c r="C831" s="5"/>
      <c r="D831" s="5"/>
      <c r="E831" s="5"/>
      <c r="F831" s="5"/>
      <c r="G831" s="5"/>
      <c r="H831" s="306"/>
      <c r="I831" s="5"/>
      <c r="J831" s="5"/>
      <c r="K831" s="5"/>
      <c r="L831" s="5"/>
      <c r="M831" s="5"/>
      <c r="N831" s="5"/>
      <c r="O831" s="57"/>
      <c r="P831" s="5"/>
      <c r="Q831" s="5"/>
      <c r="R831" s="5"/>
      <c r="S831" s="5"/>
      <c r="T831" s="5"/>
      <c r="U831" s="5"/>
      <c r="V831" s="5"/>
      <c r="W831" s="5"/>
      <c r="X831" s="5"/>
      <c r="Y831" s="5"/>
      <c r="Z831" s="5"/>
    </row>
    <row r="832" spans="1:26" ht="12.75" customHeight="1">
      <c r="A832" s="5"/>
      <c r="B832" s="5"/>
      <c r="C832" s="5"/>
      <c r="D832" s="5"/>
      <c r="E832" s="5"/>
      <c r="F832" s="5"/>
      <c r="G832" s="5"/>
      <c r="H832" s="306"/>
      <c r="I832" s="5"/>
      <c r="J832" s="5"/>
      <c r="K832" s="5"/>
      <c r="L832" s="5"/>
      <c r="M832" s="5"/>
      <c r="N832" s="5"/>
      <c r="O832" s="57"/>
      <c r="P832" s="5"/>
      <c r="Q832" s="5"/>
      <c r="R832" s="5"/>
      <c r="S832" s="5"/>
      <c r="T832" s="5"/>
      <c r="U832" s="5"/>
      <c r="V832" s="5"/>
      <c r="W832" s="5"/>
      <c r="X832" s="5"/>
      <c r="Y832" s="5"/>
      <c r="Z832" s="5"/>
    </row>
    <row r="833" spans="1:26" ht="12.75" customHeight="1">
      <c r="A833" s="5"/>
      <c r="B833" s="5"/>
      <c r="C833" s="5"/>
      <c r="D833" s="5"/>
      <c r="E833" s="5"/>
      <c r="F833" s="5"/>
      <c r="G833" s="5"/>
      <c r="H833" s="306"/>
      <c r="I833" s="5"/>
      <c r="J833" s="5"/>
      <c r="K833" s="5"/>
      <c r="L833" s="5"/>
      <c r="M833" s="5"/>
      <c r="N833" s="5"/>
      <c r="O833" s="57"/>
      <c r="P833" s="5"/>
      <c r="Q833" s="5"/>
      <c r="R833" s="5"/>
      <c r="S833" s="5"/>
      <c r="T833" s="5"/>
      <c r="U833" s="5"/>
      <c r="V833" s="5"/>
      <c r="W833" s="5"/>
      <c r="X833" s="5"/>
      <c r="Y833" s="5"/>
      <c r="Z833" s="5"/>
    </row>
    <row r="834" spans="1:26" ht="12.75" customHeight="1">
      <c r="A834" s="5"/>
      <c r="B834" s="5"/>
      <c r="C834" s="5"/>
      <c r="D834" s="5"/>
      <c r="E834" s="5"/>
      <c r="F834" s="5"/>
      <c r="G834" s="5"/>
      <c r="H834" s="306"/>
      <c r="I834" s="5"/>
      <c r="J834" s="5"/>
      <c r="K834" s="5"/>
      <c r="L834" s="5"/>
      <c r="M834" s="5"/>
      <c r="N834" s="5"/>
      <c r="O834" s="57"/>
      <c r="P834" s="5"/>
      <c r="Q834" s="5"/>
      <c r="R834" s="5"/>
      <c r="S834" s="5"/>
      <c r="T834" s="5"/>
      <c r="U834" s="5"/>
      <c r="V834" s="5"/>
      <c r="W834" s="5"/>
      <c r="X834" s="5"/>
      <c r="Y834" s="5"/>
      <c r="Z834" s="5"/>
    </row>
    <row r="835" spans="1:26" ht="12.75" customHeight="1">
      <c r="A835" s="5"/>
      <c r="B835" s="5"/>
      <c r="C835" s="5"/>
      <c r="D835" s="5"/>
      <c r="E835" s="5"/>
      <c r="F835" s="5"/>
      <c r="G835" s="5"/>
      <c r="H835" s="306"/>
      <c r="I835" s="5"/>
      <c r="J835" s="5"/>
      <c r="K835" s="5"/>
      <c r="L835" s="5"/>
      <c r="M835" s="5"/>
      <c r="N835" s="5"/>
      <c r="O835" s="57"/>
      <c r="P835" s="5"/>
      <c r="Q835" s="5"/>
      <c r="R835" s="5"/>
      <c r="S835" s="5"/>
      <c r="T835" s="5"/>
      <c r="U835" s="5"/>
      <c r="V835" s="5"/>
      <c r="W835" s="5"/>
      <c r="X835" s="5"/>
      <c r="Y835" s="5"/>
      <c r="Z835" s="5"/>
    </row>
    <row r="836" spans="1:26" ht="12.75" customHeight="1">
      <c r="A836" s="5"/>
      <c r="B836" s="5"/>
      <c r="C836" s="5"/>
      <c r="D836" s="5"/>
      <c r="E836" s="5"/>
      <c r="F836" s="5"/>
      <c r="G836" s="5"/>
      <c r="H836" s="306"/>
      <c r="I836" s="5"/>
      <c r="J836" s="5"/>
      <c r="K836" s="5"/>
      <c r="L836" s="5"/>
      <c r="M836" s="5"/>
      <c r="N836" s="5"/>
      <c r="O836" s="57"/>
      <c r="P836" s="5"/>
      <c r="Q836" s="5"/>
      <c r="R836" s="5"/>
      <c r="S836" s="5"/>
      <c r="T836" s="5"/>
      <c r="U836" s="5"/>
      <c r="V836" s="5"/>
      <c r="W836" s="5"/>
      <c r="X836" s="5"/>
      <c r="Y836" s="5"/>
      <c r="Z836" s="5"/>
    </row>
    <row r="837" spans="1:26" ht="12.75" customHeight="1">
      <c r="A837" s="5"/>
      <c r="B837" s="5"/>
      <c r="C837" s="5"/>
      <c r="D837" s="5"/>
      <c r="E837" s="5"/>
      <c r="F837" s="5"/>
      <c r="G837" s="5"/>
      <c r="H837" s="306"/>
      <c r="I837" s="5"/>
      <c r="J837" s="5"/>
      <c r="K837" s="5"/>
      <c r="L837" s="5"/>
      <c r="M837" s="5"/>
      <c r="N837" s="5"/>
      <c r="O837" s="57"/>
      <c r="P837" s="5"/>
      <c r="Q837" s="5"/>
      <c r="R837" s="5"/>
      <c r="S837" s="5"/>
      <c r="T837" s="5"/>
      <c r="U837" s="5"/>
      <c r="V837" s="5"/>
      <c r="W837" s="5"/>
      <c r="X837" s="5"/>
      <c r="Y837" s="5"/>
      <c r="Z837" s="5"/>
    </row>
    <row r="838" spans="1:26" ht="12.75" customHeight="1">
      <c r="A838" s="5"/>
      <c r="B838" s="5"/>
      <c r="C838" s="5"/>
      <c r="D838" s="5"/>
      <c r="E838" s="5"/>
      <c r="F838" s="5"/>
      <c r="G838" s="5"/>
      <c r="H838" s="306"/>
      <c r="I838" s="5"/>
      <c r="J838" s="5"/>
      <c r="K838" s="5"/>
      <c r="L838" s="5"/>
      <c r="M838" s="5"/>
      <c r="N838" s="5"/>
      <c r="O838" s="57"/>
      <c r="P838" s="5"/>
      <c r="Q838" s="5"/>
      <c r="R838" s="5"/>
      <c r="S838" s="5"/>
      <c r="T838" s="5"/>
      <c r="U838" s="5"/>
      <c r="V838" s="5"/>
      <c r="W838" s="5"/>
      <c r="X838" s="5"/>
      <c r="Y838" s="5"/>
      <c r="Z838" s="5"/>
    </row>
    <row r="839" spans="1:26" ht="12.75" customHeight="1">
      <c r="A839" s="5"/>
      <c r="B839" s="5"/>
      <c r="C839" s="5"/>
      <c r="D839" s="5"/>
      <c r="E839" s="5"/>
      <c r="F839" s="5"/>
      <c r="G839" s="5"/>
      <c r="H839" s="306"/>
      <c r="I839" s="5"/>
      <c r="J839" s="5"/>
      <c r="K839" s="5"/>
      <c r="L839" s="5"/>
      <c r="M839" s="5"/>
      <c r="N839" s="5"/>
      <c r="O839" s="57"/>
      <c r="P839" s="5"/>
      <c r="Q839" s="5"/>
      <c r="R839" s="5"/>
      <c r="S839" s="5"/>
      <c r="T839" s="5"/>
      <c r="U839" s="5"/>
      <c r="V839" s="5"/>
      <c r="W839" s="5"/>
      <c r="X839" s="5"/>
      <c r="Y839" s="5"/>
      <c r="Z839" s="5"/>
    </row>
    <row r="840" spans="1:26" ht="12.75" customHeight="1">
      <c r="A840" s="5"/>
      <c r="B840" s="5"/>
      <c r="C840" s="5"/>
      <c r="D840" s="5"/>
      <c r="E840" s="5"/>
      <c r="F840" s="5"/>
      <c r="G840" s="5"/>
      <c r="H840" s="306"/>
      <c r="I840" s="5"/>
      <c r="J840" s="5"/>
      <c r="K840" s="5"/>
      <c r="L840" s="5"/>
      <c r="M840" s="5"/>
      <c r="N840" s="5"/>
      <c r="O840" s="57"/>
      <c r="P840" s="5"/>
      <c r="Q840" s="5"/>
      <c r="R840" s="5"/>
      <c r="S840" s="5"/>
      <c r="T840" s="5"/>
      <c r="U840" s="5"/>
      <c r="V840" s="5"/>
      <c r="W840" s="5"/>
      <c r="X840" s="5"/>
      <c r="Y840" s="5"/>
      <c r="Z840" s="5"/>
    </row>
    <row r="841" spans="1:26" ht="12.75" customHeight="1">
      <c r="A841" s="5"/>
      <c r="B841" s="5"/>
      <c r="C841" s="5"/>
      <c r="D841" s="5"/>
      <c r="E841" s="5"/>
      <c r="F841" s="5"/>
      <c r="G841" s="5"/>
      <c r="H841" s="306"/>
      <c r="I841" s="5"/>
      <c r="J841" s="5"/>
      <c r="K841" s="5"/>
      <c r="L841" s="5"/>
      <c r="M841" s="5"/>
      <c r="N841" s="5"/>
      <c r="O841" s="57"/>
      <c r="P841" s="5"/>
      <c r="Q841" s="5"/>
      <c r="R841" s="5"/>
      <c r="S841" s="5"/>
      <c r="T841" s="5"/>
      <c r="U841" s="5"/>
      <c r="V841" s="5"/>
      <c r="W841" s="5"/>
      <c r="X841" s="5"/>
      <c r="Y841" s="5"/>
      <c r="Z841" s="5"/>
    </row>
    <row r="842" spans="1:26" ht="12.75" customHeight="1">
      <c r="A842" s="5"/>
      <c r="B842" s="5"/>
      <c r="C842" s="5"/>
      <c r="D842" s="5"/>
      <c r="E842" s="5"/>
      <c r="F842" s="5"/>
      <c r="G842" s="5"/>
      <c r="H842" s="306"/>
      <c r="I842" s="5"/>
      <c r="J842" s="5"/>
      <c r="K842" s="5"/>
      <c r="L842" s="5"/>
      <c r="M842" s="5"/>
      <c r="N842" s="5"/>
      <c r="O842" s="57"/>
      <c r="P842" s="5"/>
      <c r="Q842" s="5"/>
      <c r="R842" s="5"/>
      <c r="S842" s="5"/>
      <c r="T842" s="5"/>
      <c r="U842" s="5"/>
      <c r="V842" s="5"/>
      <c r="W842" s="5"/>
      <c r="X842" s="5"/>
      <c r="Y842" s="5"/>
      <c r="Z842" s="5"/>
    </row>
    <row r="843" spans="1:26" ht="12.75" customHeight="1">
      <c r="A843" s="5"/>
      <c r="B843" s="5"/>
      <c r="C843" s="5"/>
      <c r="D843" s="5"/>
      <c r="E843" s="5"/>
      <c r="F843" s="5"/>
      <c r="G843" s="5"/>
      <c r="H843" s="306"/>
      <c r="I843" s="5"/>
      <c r="J843" s="5"/>
      <c r="K843" s="5"/>
      <c r="L843" s="5"/>
      <c r="M843" s="5"/>
      <c r="N843" s="5"/>
      <c r="O843" s="57"/>
      <c r="P843" s="5"/>
      <c r="Q843" s="5"/>
      <c r="R843" s="5"/>
      <c r="S843" s="5"/>
      <c r="T843" s="5"/>
      <c r="U843" s="5"/>
      <c r="V843" s="5"/>
      <c r="W843" s="5"/>
      <c r="X843" s="5"/>
      <c r="Y843" s="5"/>
      <c r="Z843" s="5"/>
    </row>
    <row r="844" spans="1:26" ht="12.75" customHeight="1">
      <c r="A844" s="5"/>
      <c r="B844" s="5"/>
      <c r="C844" s="5"/>
      <c r="D844" s="5"/>
      <c r="E844" s="5"/>
      <c r="F844" s="5"/>
      <c r="G844" s="5"/>
      <c r="H844" s="306"/>
      <c r="I844" s="5"/>
      <c r="J844" s="5"/>
      <c r="K844" s="5"/>
      <c r="L844" s="5"/>
      <c r="M844" s="5"/>
      <c r="N844" s="5"/>
      <c r="O844" s="57"/>
      <c r="P844" s="5"/>
      <c r="Q844" s="5"/>
      <c r="R844" s="5"/>
      <c r="S844" s="5"/>
      <c r="T844" s="5"/>
      <c r="U844" s="5"/>
      <c r="V844" s="5"/>
      <c r="W844" s="5"/>
      <c r="X844" s="5"/>
      <c r="Y844" s="5"/>
      <c r="Z844" s="5"/>
    </row>
    <row r="845" spans="1:26" ht="12.75" customHeight="1">
      <c r="A845" s="5"/>
      <c r="B845" s="5"/>
      <c r="C845" s="5"/>
      <c r="D845" s="5"/>
      <c r="E845" s="5"/>
      <c r="F845" s="5"/>
      <c r="G845" s="5"/>
      <c r="H845" s="306"/>
      <c r="I845" s="5"/>
      <c r="J845" s="5"/>
      <c r="K845" s="5"/>
      <c r="L845" s="5"/>
      <c r="M845" s="5"/>
      <c r="N845" s="5"/>
      <c r="O845" s="57"/>
      <c r="P845" s="5"/>
      <c r="Q845" s="5"/>
      <c r="R845" s="5"/>
      <c r="S845" s="5"/>
      <c r="T845" s="5"/>
      <c r="U845" s="5"/>
      <c r="V845" s="5"/>
      <c r="W845" s="5"/>
      <c r="X845" s="5"/>
      <c r="Y845" s="5"/>
      <c r="Z845" s="5"/>
    </row>
    <row r="846" spans="1:26" ht="12.75" customHeight="1">
      <c r="A846" s="5"/>
      <c r="B846" s="5"/>
      <c r="C846" s="5"/>
      <c r="D846" s="5"/>
      <c r="E846" s="5"/>
      <c r="F846" s="5"/>
      <c r="G846" s="5"/>
      <c r="H846" s="306"/>
      <c r="I846" s="5"/>
      <c r="J846" s="5"/>
      <c r="K846" s="5"/>
      <c r="L846" s="5"/>
      <c r="M846" s="5"/>
      <c r="N846" s="5"/>
      <c r="O846" s="57"/>
      <c r="P846" s="5"/>
      <c r="Q846" s="5"/>
      <c r="R846" s="5"/>
      <c r="S846" s="5"/>
      <c r="T846" s="5"/>
      <c r="U846" s="5"/>
      <c r="V846" s="5"/>
      <c r="W846" s="5"/>
      <c r="X846" s="5"/>
      <c r="Y846" s="5"/>
      <c r="Z846" s="5"/>
    </row>
    <row r="847" spans="1:26" ht="12.75" customHeight="1">
      <c r="A847" s="5"/>
      <c r="B847" s="5"/>
      <c r="C847" s="5"/>
      <c r="D847" s="5"/>
      <c r="E847" s="5"/>
      <c r="F847" s="5"/>
      <c r="G847" s="5"/>
      <c r="H847" s="306"/>
      <c r="I847" s="5"/>
      <c r="J847" s="5"/>
      <c r="K847" s="5"/>
      <c r="L847" s="5"/>
      <c r="M847" s="5"/>
      <c r="N847" s="5"/>
      <c r="O847" s="57"/>
      <c r="P847" s="5"/>
      <c r="Q847" s="5"/>
      <c r="R847" s="5"/>
      <c r="S847" s="5"/>
      <c r="T847" s="5"/>
      <c r="U847" s="5"/>
      <c r="V847" s="5"/>
      <c r="W847" s="5"/>
      <c r="X847" s="5"/>
      <c r="Y847" s="5"/>
      <c r="Z847" s="5"/>
    </row>
    <row r="848" spans="1:26" ht="12.75" customHeight="1">
      <c r="A848" s="5"/>
      <c r="B848" s="5"/>
      <c r="C848" s="5"/>
      <c r="D848" s="5"/>
      <c r="E848" s="5"/>
      <c r="F848" s="5"/>
      <c r="G848" s="5"/>
      <c r="H848" s="306"/>
      <c r="I848" s="5"/>
      <c r="J848" s="5"/>
      <c r="K848" s="5"/>
      <c r="L848" s="5"/>
      <c r="M848" s="5"/>
      <c r="N848" s="5"/>
      <c r="O848" s="57"/>
      <c r="P848" s="5"/>
      <c r="Q848" s="5"/>
      <c r="R848" s="5"/>
      <c r="S848" s="5"/>
      <c r="T848" s="5"/>
      <c r="U848" s="5"/>
      <c r="V848" s="5"/>
      <c r="W848" s="5"/>
      <c r="X848" s="5"/>
      <c r="Y848" s="5"/>
      <c r="Z848" s="5"/>
    </row>
    <row r="849" spans="1:26" ht="12.75" customHeight="1">
      <c r="A849" s="5"/>
      <c r="B849" s="5"/>
      <c r="C849" s="5"/>
      <c r="D849" s="5"/>
      <c r="E849" s="5"/>
      <c r="F849" s="5"/>
      <c r="G849" s="5"/>
      <c r="H849" s="306"/>
      <c r="I849" s="5"/>
      <c r="J849" s="5"/>
      <c r="K849" s="5"/>
      <c r="L849" s="5"/>
      <c r="M849" s="5"/>
      <c r="N849" s="5"/>
      <c r="O849" s="57"/>
      <c r="P849" s="5"/>
      <c r="Q849" s="5"/>
      <c r="R849" s="5"/>
      <c r="S849" s="5"/>
      <c r="T849" s="5"/>
      <c r="U849" s="5"/>
      <c r="V849" s="5"/>
      <c r="W849" s="5"/>
      <c r="X849" s="5"/>
      <c r="Y849" s="5"/>
      <c r="Z849" s="5"/>
    </row>
    <row r="850" spans="1:26" ht="12.75" customHeight="1">
      <c r="A850" s="5"/>
      <c r="B850" s="5"/>
      <c r="C850" s="5"/>
      <c r="D850" s="5"/>
      <c r="E850" s="5"/>
      <c r="F850" s="5"/>
      <c r="G850" s="5"/>
      <c r="H850" s="306"/>
      <c r="I850" s="5"/>
      <c r="J850" s="5"/>
      <c r="K850" s="5"/>
      <c r="L850" s="5"/>
      <c r="M850" s="5"/>
      <c r="N850" s="5"/>
      <c r="O850" s="57"/>
      <c r="P850" s="5"/>
      <c r="Q850" s="5"/>
      <c r="R850" s="5"/>
      <c r="S850" s="5"/>
      <c r="T850" s="5"/>
      <c r="U850" s="5"/>
      <c r="V850" s="5"/>
      <c r="W850" s="5"/>
      <c r="X850" s="5"/>
      <c r="Y850" s="5"/>
      <c r="Z850" s="5"/>
    </row>
    <row r="851" spans="1:26" ht="12.75" customHeight="1">
      <c r="A851" s="5"/>
      <c r="B851" s="5"/>
      <c r="C851" s="5"/>
      <c r="D851" s="5"/>
      <c r="E851" s="5"/>
      <c r="F851" s="5"/>
      <c r="G851" s="5"/>
      <c r="H851" s="306"/>
      <c r="I851" s="5"/>
      <c r="J851" s="5"/>
      <c r="K851" s="5"/>
      <c r="L851" s="5"/>
      <c r="M851" s="5"/>
      <c r="N851" s="5"/>
      <c r="O851" s="57"/>
      <c r="P851" s="5"/>
      <c r="Q851" s="5"/>
      <c r="R851" s="5"/>
      <c r="S851" s="5"/>
      <c r="T851" s="5"/>
      <c r="U851" s="5"/>
      <c r="V851" s="5"/>
      <c r="W851" s="5"/>
      <c r="X851" s="5"/>
      <c r="Y851" s="5"/>
      <c r="Z851" s="5"/>
    </row>
    <row r="852" spans="1:26" ht="12.75" customHeight="1">
      <c r="A852" s="5"/>
      <c r="B852" s="5"/>
      <c r="C852" s="5"/>
      <c r="D852" s="5"/>
      <c r="E852" s="5"/>
      <c r="F852" s="5"/>
      <c r="G852" s="5"/>
      <c r="H852" s="306"/>
      <c r="I852" s="5"/>
      <c r="J852" s="5"/>
      <c r="K852" s="5"/>
      <c r="L852" s="5"/>
      <c r="M852" s="5"/>
      <c r="N852" s="5"/>
      <c r="O852" s="57"/>
      <c r="P852" s="5"/>
      <c r="Q852" s="5"/>
      <c r="R852" s="5"/>
      <c r="S852" s="5"/>
      <c r="T852" s="5"/>
      <c r="U852" s="5"/>
      <c r="V852" s="5"/>
      <c r="W852" s="5"/>
      <c r="X852" s="5"/>
      <c r="Y852" s="5"/>
      <c r="Z852" s="5"/>
    </row>
    <row r="853" spans="1:26" ht="12.75" customHeight="1">
      <c r="A853" s="5"/>
      <c r="B853" s="5"/>
      <c r="C853" s="5"/>
      <c r="D853" s="5"/>
      <c r="E853" s="5"/>
      <c r="F853" s="5"/>
      <c r="G853" s="5"/>
      <c r="H853" s="306"/>
      <c r="I853" s="5"/>
      <c r="J853" s="5"/>
      <c r="K853" s="5"/>
      <c r="L853" s="5"/>
      <c r="M853" s="5"/>
      <c r="N853" s="5"/>
      <c r="O853" s="57"/>
      <c r="P853" s="5"/>
      <c r="Q853" s="5"/>
      <c r="R853" s="5"/>
      <c r="S853" s="5"/>
      <c r="T853" s="5"/>
      <c r="U853" s="5"/>
      <c r="V853" s="5"/>
      <c r="W853" s="5"/>
      <c r="X853" s="5"/>
      <c r="Y853" s="5"/>
      <c r="Z853" s="5"/>
    </row>
    <row r="854" spans="1:26" ht="12.75" customHeight="1">
      <c r="A854" s="5"/>
      <c r="B854" s="5"/>
      <c r="C854" s="5"/>
      <c r="D854" s="5"/>
      <c r="E854" s="5"/>
      <c r="F854" s="5"/>
      <c r="G854" s="5"/>
      <c r="H854" s="306"/>
      <c r="I854" s="5"/>
      <c r="J854" s="5"/>
      <c r="K854" s="5"/>
      <c r="L854" s="5"/>
      <c r="M854" s="5"/>
      <c r="N854" s="5"/>
      <c r="O854" s="57"/>
      <c r="P854" s="5"/>
      <c r="Q854" s="5"/>
      <c r="R854" s="5"/>
      <c r="S854" s="5"/>
      <c r="T854" s="5"/>
      <c r="U854" s="5"/>
      <c r="V854" s="5"/>
      <c r="W854" s="5"/>
      <c r="X854" s="5"/>
      <c r="Y854" s="5"/>
      <c r="Z854" s="5"/>
    </row>
    <row r="855" spans="1:26" ht="12.75" customHeight="1">
      <c r="A855" s="5"/>
      <c r="B855" s="5"/>
      <c r="C855" s="5"/>
      <c r="D855" s="5"/>
      <c r="E855" s="5"/>
      <c r="F855" s="5"/>
      <c r="G855" s="5"/>
      <c r="H855" s="306"/>
      <c r="I855" s="5"/>
      <c r="J855" s="5"/>
      <c r="K855" s="5"/>
      <c r="L855" s="5"/>
      <c r="M855" s="5"/>
      <c r="N855" s="5"/>
      <c r="O855" s="57"/>
      <c r="P855" s="5"/>
      <c r="Q855" s="5"/>
      <c r="R855" s="5"/>
      <c r="S855" s="5"/>
      <c r="T855" s="5"/>
      <c r="U855" s="5"/>
      <c r="V855" s="5"/>
      <c r="W855" s="5"/>
      <c r="X855" s="5"/>
      <c r="Y855" s="5"/>
      <c r="Z855" s="5"/>
    </row>
    <row r="856" spans="1:26" ht="12.75" customHeight="1">
      <c r="A856" s="5"/>
      <c r="B856" s="5"/>
      <c r="C856" s="5"/>
      <c r="D856" s="5"/>
      <c r="E856" s="5"/>
      <c r="F856" s="5"/>
      <c r="G856" s="5"/>
      <c r="H856" s="306"/>
      <c r="I856" s="5"/>
      <c r="J856" s="5"/>
      <c r="K856" s="5"/>
      <c r="L856" s="5"/>
      <c r="M856" s="5"/>
      <c r="N856" s="5"/>
      <c r="O856" s="57"/>
      <c r="P856" s="5"/>
      <c r="Q856" s="5"/>
      <c r="R856" s="5"/>
      <c r="S856" s="5"/>
      <c r="T856" s="5"/>
      <c r="U856" s="5"/>
      <c r="V856" s="5"/>
      <c r="W856" s="5"/>
      <c r="X856" s="5"/>
      <c r="Y856" s="5"/>
      <c r="Z856" s="5"/>
    </row>
    <row r="857" spans="1:26" ht="12.75" customHeight="1">
      <c r="A857" s="5"/>
      <c r="B857" s="5"/>
      <c r="C857" s="5"/>
      <c r="D857" s="5"/>
      <c r="E857" s="5"/>
      <c r="F857" s="5"/>
      <c r="G857" s="5"/>
      <c r="H857" s="306"/>
      <c r="I857" s="5"/>
      <c r="J857" s="5"/>
      <c r="K857" s="5"/>
      <c r="L857" s="5"/>
      <c r="M857" s="5"/>
      <c r="N857" s="5"/>
      <c r="O857" s="57"/>
      <c r="P857" s="5"/>
      <c r="Q857" s="5"/>
      <c r="R857" s="5"/>
      <c r="S857" s="5"/>
      <c r="T857" s="5"/>
      <c r="U857" s="5"/>
      <c r="V857" s="5"/>
      <c r="W857" s="5"/>
      <c r="X857" s="5"/>
      <c r="Y857" s="5"/>
      <c r="Z857" s="5"/>
    </row>
    <row r="858" spans="1:26" ht="12.75" customHeight="1">
      <c r="A858" s="5"/>
      <c r="B858" s="5"/>
      <c r="C858" s="5"/>
      <c r="D858" s="5"/>
      <c r="E858" s="5"/>
      <c r="F858" s="5"/>
      <c r="G858" s="5"/>
      <c r="H858" s="306"/>
      <c r="I858" s="5"/>
      <c r="J858" s="5"/>
      <c r="K858" s="5"/>
      <c r="L858" s="5"/>
      <c r="M858" s="5"/>
      <c r="N858" s="5"/>
      <c r="O858" s="57"/>
      <c r="P858" s="5"/>
      <c r="Q858" s="5"/>
      <c r="R858" s="5"/>
      <c r="S858" s="5"/>
      <c r="T858" s="5"/>
      <c r="U858" s="5"/>
      <c r="V858" s="5"/>
      <c r="W858" s="5"/>
      <c r="X858" s="5"/>
      <c r="Y858" s="5"/>
      <c r="Z858" s="5"/>
    </row>
    <row r="859" spans="1:26" ht="12.75" customHeight="1">
      <c r="A859" s="5"/>
      <c r="B859" s="5"/>
      <c r="C859" s="5"/>
      <c r="D859" s="5"/>
      <c r="E859" s="5"/>
      <c r="F859" s="5"/>
      <c r="G859" s="5"/>
      <c r="H859" s="306"/>
      <c r="I859" s="5"/>
      <c r="J859" s="5"/>
      <c r="K859" s="5"/>
      <c r="L859" s="5"/>
      <c r="M859" s="5"/>
      <c r="N859" s="5"/>
      <c r="O859" s="57"/>
      <c r="P859" s="5"/>
      <c r="Q859" s="5"/>
      <c r="R859" s="5"/>
      <c r="S859" s="5"/>
      <c r="T859" s="5"/>
      <c r="U859" s="5"/>
      <c r="V859" s="5"/>
      <c r="W859" s="5"/>
      <c r="X859" s="5"/>
      <c r="Y859" s="5"/>
      <c r="Z859" s="5"/>
    </row>
    <row r="860" spans="1:26" ht="12.75" customHeight="1">
      <c r="A860" s="5"/>
      <c r="B860" s="5"/>
      <c r="C860" s="5"/>
      <c r="D860" s="5"/>
      <c r="E860" s="5"/>
      <c r="F860" s="5"/>
      <c r="G860" s="5"/>
      <c r="H860" s="306"/>
      <c r="I860" s="5"/>
      <c r="J860" s="5"/>
      <c r="K860" s="5"/>
      <c r="L860" s="5"/>
      <c r="M860" s="5"/>
      <c r="N860" s="5"/>
      <c r="O860" s="57"/>
      <c r="P860" s="5"/>
      <c r="Q860" s="5"/>
      <c r="R860" s="5"/>
      <c r="S860" s="5"/>
      <c r="T860" s="5"/>
      <c r="U860" s="5"/>
      <c r="V860" s="5"/>
      <c r="W860" s="5"/>
      <c r="X860" s="5"/>
      <c r="Y860" s="5"/>
      <c r="Z860" s="5"/>
    </row>
    <row r="861" spans="1:26" ht="12.75" customHeight="1">
      <c r="A861" s="5"/>
      <c r="B861" s="5"/>
      <c r="C861" s="5"/>
      <c r="D861" s="5"/>
      <c r="E861" s="5"/>
      <c r="F861" s="5"/>
      <c r="G861" s="5"/>
      <c r="H861" s="306"/>
      <c r="I861" s="5"/>
      <c r="J861" s="5"/>
      <c r="K861" s="5"/>
      <c r="L861" s="5"/>
      <c r="M861" s="5"/>
      <c r="N861" s="5"/>
      <c r="O861" s="57"/>
      <c r="P861" s="5"/>
      <c r="Q861" s="5"/>
      <c r="R861" s="5"/>
      <c r="S861" s="5"/>
      <c r="T861" s="5"/>
      <c r="U861" s="5"/>
      <c r="V861" s="5"/>
      <c r="W861" s="5"/>
      <c r="X861" s="5"/>
      <c r="Y861" s="5"/>
      <c r="Z861" s="5"/>
    </row>
    <row r="862" spans="1:26" ht="12.75" customHeight="1">
      <c r="A862" s="5"/>
      <c r="B862" s="5"/>
      <c r="C862" s="5"/>
      <c r="D862" s="5"/>
      <c r="E862" s="5"/>
      <c r="F862" s="5"/>
      <c r="G862" s="5"/>
      <c r="H862" s="306"/>
      <c r="I862" s="5"/>
      <c r="J862" s="5"/>
      <c r="K862" s="5"/>
      <c r="L862" s="5"/>
      <c r="M862" s="5"/>
      <c r="N862" s="5"/>
      <c r="O862" s="57"/>
      <c r="P862" s="5"/>
      <c r="Q862" s="5"/>
      <c r="R862" s="5"/>
      <c r="S862" s="5"/>
      <c r="T862" s="5"/>
      <c r="U862" s="5"/>
      <c r="V862" s="5"/>
      <c r="W862" s="5"/>
      <c r="X862" s="5"/>
      <c r="Y862" s="5"/>
      <c r="Z862" s="5"/>
    </row>
    <row r="863" spans="1:26" ht="12.75" customHeight="1">
      <c r="A863" s="5"/>
      <c r="B863" s="5"/>
      <c r="C863" s="5"/>
      <c r="D863" s="5"/>
      <c r="E863" s="5"/>
      <c r="F863" s="5"/>
      <c r="G863" s="5"/>
      <c r="H863" s="306"/>
      <c r="I863" s="5"/>
      <c r="J863" s="5"/>
      <c r="K863" s="5"/>
      <c r="L863" s="5"/>
      <c r="M863" s="5"/>
      <c r="N863" s="5"/>
      <c r="O863" s="57"/>
      <c r="P863" s="5"/>
      <c r="Q863" s="5"/>
      <c r="R863" s="5"/>
      <c r="S863" s="5"/>
      <c r="T863" s="5"/>
      <c r="U863" s="5"/>
      <c r="V863" s="5"/>
      <c r="W863" s="5"/>
      <c r="X863" s="5"/>
      <c r="Y863" s="5"/>
      <c r="Z863" s="5"/>
    </row>
    <row r="864" spans="1:26" ht="12.75" customHeight="1">
      <c r="A864" s="5"/>
      <c r="B864" s="5"/>
      <c r="C864" s="5"/>
      <c r="D864" s="5"/>
      <c r="E864" s="5"/>
      <c r="F864" s="5"/>
      <c r="G864" s="5"/>
      <c r="H864" s="306"/>
      <c r="I864" s="5"/>
      <c r="J864" s="5"/>
      <c r="K864" s="5"/>
      <c r="L864" s="5"/>
      <c r="M864" s="5"/>
      <c r="N864" s="5"/>
      <c r="O864" s="57"/>
      <c r="P864" s="5"/>
      <c r="Q864" s="5"/>
      <c r="R864" s="5"/>
      <c r="S864" s="5"/>
      <c r="T864" s="5"/>
      <c r="U864" s="5"/>
      <c r="V864" s="5"/>
      <c r="W864" s="5"/>
      <c r="X864" s="5"/>
      <c r="Y864" s="5"/>
      <c r="Z864" s="5"/>
    </row>
    <row r="865" spans="1:26" ht="12.75" customHeight="1">
      <c r="A865" s="5"/>
      <c r="B865" s="5"/>
      <c r="C865" s="5"/>
      <c r="D865" s="5"/>
      <c r="E865" s="5"/>
      <c r="F865" s="5"/>
      <c r="G865" s="5"/>
      <c r="H865" s="306"/>
      <c r="I865" s="5"/>
      <c r="J865" s="5"/>
      <c r="K865" s="5"/>
      <c r="L865" s="5"/>
      <c r="M865" s="5"/>
      <c r="N865" s="5"/>
      <c r="O865" s="57"/>
      <c r="P865" s="5"/>
      <c r="Q865" s="5"/>
      <c r="R865" s="5"/>
      <c r="S865" s="5"/>
      <c r="T865" s="5"/>
      <c r="U865" s="5"/>
      <c r="V865" s="5"/>
      <c r="W865" s="5"/>
      <c r="X865" s="5"/>
      <c r="Y865" s="5"/>
      <c r="Z865" s="5"/>
    </row>
    <row r="866" spans="1:26" ht="12.75" customHeight="1">
      <c r="A866" s="5"/>
      <c r="B866" s="5"/>
      <c r="C866" s="5"/>
      <c r="D866" s="5"/>
      <c r="E866" s="5"/>
      <c r="F866" s="5"/>
      <c r="G866" s="5"/>
      <c r="H866" s="306"/>
      <c r="I866" s="5"/>
      <c r="J866" s="5"/>
      <c r="K866" s="5"/>
      <c r="L866" s="5"/>
      <c r="M866" s="5"/>
      <c r="N866" s="5"/>
      <c r="O866" s="57"/>
      <c r="P866" s="5"/>
      <c r="Q866" s="5"/>
      <c r="R866" s="5"/>
      <c r="S866" s="5"/>
      <c r="T866" s="5"/>
      <c r="U866" s="5"/>
      <c r="V866" s="5"/>
      <c r="W866" s="5"/>
      <c r="X866" s="5"/>
      <c r="Y866" s="5"/>
      <c r="Z866" s="5"/>
    </row>
    <row r="867" spans="1:26" ht="12.75" customHeight="1">
      <c r="A867" s="5"/>
      <c r="B867" s="5"/>
      <c r="C867" s="5"/>
      <c r="D867" s="5"/>
      <c r="E867" s="5"/>
      <c r="F867" s="5"/>
      <c r="G867" s="5"/>
      <c r="H867" s="306"/>
      <c r="I867" s="5"/>
      <c r="J867" s="5"/>
      <c r="K867" s="5"/>
      <c r="L867" s="5"/>
      <c r="M867" s="5"/>
      <c r="N867" s="5"/>
      <c r="O867" s="57"/>
      <c r="P867" s="5"/>
      <c r="Q867" s="5"/>
      <c r="R867" s="5"/>
      <c r="S867" s="5"/>
      <c r="T867" s="5"/>
      <c r="U867" s="5"/>
      <c r="V867" s="5"/>
      <c r="W867" s="5"/>
      <c r="X867" s="5"/>
      <c r="Y867" s="5"/>
      <c r="Z867" s="5"/>
    </row>
    <row r="868" spans="1:26" ht="12.75" customHeight="1">
      <c r="A868" s="5"/>
      <c r="B868" s="5"/>
      <c r="C868" s="5"/>
      <c r="D868" s="5"/>
      <c r="E868" s="5"/>
      <c r="F868" s="5"/>
      <c r="G868" s="5"/>
      <c r="H868" s="306"/>
      <c r="I868" s="5"/>
      <c r="J868" s="5"/>
      <c r="K868" s="5"/>
      <c r="L868" s="5"/>
      <c r="M868" s="5"/>
      <c r="N868" s="5"/>
      <c r="O868" s="57"/>
      <c r="P868" s="5"/>
      <c r="Q868" s="5"/>
      <c r="R868" s="5"/>
      <c r="S868" s="5"/>
      <c r="T868" s="5"/>
      <c r="U868" s="5"/>
      <c r="V868" s="5"/>
      <c r="W868" s="5"/>
      <c r="X868" s="5"/>
      <c r="Y868" s="5"/>
      <c r="Z868" s="5"/>
    </row>
    <row r="869" spans="1:26" ht="12.75" customHeight="1">
      <c r="A869" s="5"/>
      <c r="B869" s="5"/>
      <c r="C869" s="5"/>
      <c r="D869" s="5"/>
      <c r="E869" s="5"/>
      <c r="F869" s="5"/>
      <c r="G869" s="5"/>
      <c r="H869" s="306"/>
      <c r="I869" s="5"/>
      <c r="J869" s="5"/>
      <c r="K869" s="5"/>
      <c r="L869" s="5"/>
      <c r="M869" s="5"/>
      <c r="N869" s="5"/>
      <c r="O869" s="57"/>
      <c r="P869" s="5"/>
      <c r="Q869" s="5"/>
      <c r="R869" s="5"/>
      <c r="S869" s="5"/>
      <c r="T869" s="5"/>
      <c r="U869" s="5"/>
      <c r="V869" s="5"/>
      <c r="W869" s="5"/>
      <c r="X869" s="5"/>
      <c r="Y869" s="5"/>
      <c r="Z869" s="5"/>
    </row>
    <row r="870" spans="1:26" ht="12.75" customHeight="1">
      <c r="A870" s="5"/>
      <c r="B870" s="5"/>
      <c r="C870" s="5"/>
      <c r="D870" s="5"/>
      <c r="E870" s="5"/>
      <c r="F870" s="5"/>
      <c r="G870" s="5"/>
      <c r="H870" s="306"/>
      <c r="I870" s="5"/>
      <c r="J870" s="5"/>
      <c r="K870" s="5"/>
      <c r="L870" s="5"/>
      <c r="M870" s="5"/>
      <c r="N870" s="5"/>
      <c r="O870" s="57"/>
      <c r="P870" s="5"/>
      <c r="Q870" s="5"/>
      <c r="R870" s="5"/>
      <c r="S870" s="5"/>
      <c r="T870" s="5"/>
      <c r="U870" s="5"/>
      <c r="V870" s="5"/>
      <c r="W870" s="5"/>
      <c r="X870" s="5"/>
      <c r="Y870" s="5"/>
      <c r="Z870" s="5"/>
    </row>
    <row r="871" spans="1:26" ht="12.75" customHeight="1">
      <c r="A871" s="5"/>
      <c r="B871" s="5"/>
      <c r="C871" s="5"/>
      <c r="D871" s="5"/>
      <c r="E871" s="5"/>
      <c r="F871" s="5"/>
      <c r="G871" s="5"/>
      <c r="H871" s="306"/>
      <c r="I871" s="5"/>
      <c r="J871" s="5"/>
      <c r="K871" s="5"/>
      <c r="L871" s="5"/>
      <c r="M871" s="5"/>
      <c r="N871" s="5"/>
      <c r="O871" s="57"/>
      <c r="P871" s="5"/>
      <c r="Q871" s="5"/>
      <c r="R871" s="5"/>
      <c r="S871" s="5"/>
      <c r="T871" s="5"/>
      <c r="U871" s="5"/>
      <c r="V871" s="5"/>
      <c r="W871" s="5"/>
      <c r="X871" s="5"/>
      <c r="Y871" s="5"/>
      <c r="Z871" s="5"/>
    </row>
    <row r="872" spans="1:26" ht="12.75" customHeight="1">
      <c r="A872" s="5"/>
      <c r="B872" s="5"/>
      <c r="C872" s="5"/>
      <c r="D872" s="5"/>
      <c r="E872" s="5"/>
      <c r="F872" s="5"/>
      <c r="G872" s="5"/>
      <c r="H872" s="306"/>
      <c r="I872" s="5"/>
      <c r="J872" s="5"/>
      <c r="K872" s="5"/>
      <c r="L872" s="5"/>
      <c r="M872" s="5"/>
      <c r="N872" s="5"/>
      <c r="O872" s="57"/>
      <c r="P872" s="5"/>
      <c r="Q872" s="5"/>
      <c r="R872" s="5"/>
      <c r="S872" s="5"/>
      <c r="T872" s="5"/>
      <c r="U872" s="5"/>
      <c r="V872" s="5"/>
      <c r="W872" s="5"/>
      <c r="X872" s="5"/>
      <c r="Y872" s="5"/>
      <c r="Z872" s="5"/>
    </row>
    <row r="873" spans="1:26" ht="12.75" customHeight="1">
      <c r="A873" s="5"/>
      <c r="B873" s="5"/>
      <c r="C873" s="5"/>
      <c r="D873" s="5"/>
      <c r="E873" s="5"/>
      <c r="F873" s="5"/>
      <c r="G873" s="5"/>
      <c r="H873" s="306"/>
      <c r="I873" s="5"/>
      <c r="J873" s="5"/>
      <c r="K873" s="5"/>
      <c r="L873" s="5"/>
      <c r="M873" s="5"/>
      <c r="N873" s="5"/>
      <c r="O873" s="57"/>
      <c r="P873" s="5"/>
      <c r="Q873" s="5"/>
      <c r="R873" s="5"/>
      <c r="S873" s="5"/>
      <c r="T873" s="5"/>
      <c r="U873" s="5"/>
      <c r="V873" s="5"/>
      <c r="W873" s="5"/>
      <c r="X873" s="5"/>
      <c r="Y873" s="5"/>
      <c r="Z873" s="5"/>
    </row>
    <row r="874" spans="1:26" ht="12.75" customHeight="1">
      <c r="A874" s="5"/>
      <c r="B874" s="5"/>
      <c r="C874" s="5"/>
      <c r="D874" s="5"/>
      <c r="E874" s="5"/>
      <c r="F874" s="5"/>
      <c r="G874" s="5"/>
      <c r="H874" s="306"/>
      <c r="I874" s="5"/>
      <c r="J874" s="5"/>
      <c r="K874" s="5"/>
      <c r="L874" s="5"/>
      <c r="M874" s="5"/>
      <c r="N874" s="5"/>
      <c r="O874" s="57"/>
      <c r="P874" s="5"/>
      <c r="Q874" s="5"/>
      <c r="R874" s="5"/>
      <c r="S874" s="5"/>
      <c r="T874" s="5"/>
      <c r="U874" s="5"/>
      <c r="V874" s="5"/>
      <c r="W874" s="5"/>
      <c r="X874" s="5"/>
      <c r="Y874" s="5"/>
      <c r="Z874" s="5"/>
    </row>
    <row r="875" spans="1:26" ht="12.75" customHeight="1">
      <c r="A875" s="5"/>
      <c r="B875" s="5"/>
      <c r="C875" s="5"/>
      <c r="D875" s="5"/>
      <c r="E875" s="5"/>
      <c r="F875" s="5"/>
      <c r="G875" s="5"/>
      <c r="H875" s="306"/>
      <c r="I875" s="5"/>
      <c r="J875" s="5"/>
      <c r="K875" s="5"/>
      <c r="L875" s="5"/>
      <c r="M875" s="5"/>
      <c r="N875" s="5"/>
      <c r="O875" s="57"/>
      <c r="P875" s="5"/>
      <c r="Q875" s="5"/>
      <c r="R875" s="5"/>
      <c r="S875" s="5"/>
      <c r="T875" s="5"/>
      <c r="U875" s="5"/>
      <c r="V875" s="5"/>
      <c r="W875" s="5"/>
      <c r="X875" s="5"/>
      <c r="Y875" s="5"/>
      <c r="Z875" s="5"/>
    </row>
    <row r="876" spans="1:26" ht="12.75" customHeight="1">
      <c r="A876" s="5"/>
      <c r="B876" s="5"/>
      <c r="C876" s="5"/>
      <c r="D876" s="5"/>
      <c r="E876" s="5"/>
      <c r="F876" s="5"/>
      <c r="G876" s="5"/>
      <c r="H876" s="306"/>
      <c r="I876" s="5"/>
      <c r="J876" s="5"/>
      <c r="K876" s="5"/>
      <c r="L876" s="5"/>
      <c r="M876" s="5"/>
      <c r="N876" s="5"/>
      <c r="O876" s="57"/>
      <c r="P876" s="5"/>
      <c r="Q876" s="5"/>
      <c r="R876" s="5"/>
      <c r="S876" s="5"/>
      <c r="T876" s="5"/>
      <c r="U876" s="5"/>
      <c r="V876" s="5"/>
      <c r="W876" s="5"/>
      <c r="X876" s="5"/>
      <c r="Y876" s="5"/>
      <c r="Z876" s="5"/>
    </row>
    <row r="877" spans="1:26" ht="12.75" customHeight="1">
      <c r="A877" s="5"/>
      <c r="B877" s="5"/>
      <c r="C877" s="5"/>
      <c r="D877" s="5"/>
      <c r="E877" s="5"/>
      <c r="F877" s="5"/>
      <c r="G877" s="5"/>
      <c r="H877" s="306"/>
      <c r="I877" s="5"/>
      <c r="J877" s="5"/>
      <c r="K877" s="5"/>
      <c r="L877" s="5"/>
      <c r="M877" s="5"/>
      <c r="N877" s="5"/>
      <c r="O877" s="57"/>
      <c r="P877" s="5"/>
      <c r="Q877" s="5"/>
      <c r="R877" s="5"/>
      <c r="S877" s="5"/>
      <c r="T877" s="5"/>
      <c r="U877" s="5"/>
      <c r="V877" s="5"/>
      <c r="W877" s="5"/>
      <c r="X877" s="5"/>
      <c r="Y877" s="5"/>
      <c r="Z877" s="5"/>
    </row>
    <row r="878" spans="1:26" ht="12.75" customHeight="1">
      <c r="A878" s="5"/>
      <c r="B878" s="5"/>
      <c r="C878" s="5"/>
      <c r="D878" s="5"/>
      <c r="E878" s="5"/>
      <c r="F878" s="5"/>
      <c r="G878" s="5"/>
      <c r="H878" s="306"/>
      <c r="I878" s="5"/>
      <c r="J878" s="5"/>
      <c r="K878" s="5"/>
      <c r="L878" s="5"/>
      <c r="M878" s="5"/>
      <c r="N878" s="5"/>
      <c r="O878" s="57"/>
      <c r="P878" s="5"/>
      <c r="Q878" s="5"/>
      <c r="R878" s="5"/>
      <c r="S878" s="5"/>
      <c r="T878" s="5"/>
      <c r="U878" s="5"/>
      <c r="V878" s="5"/>
      <c r="W878" s="5"/>
      <c r="X878" s="5"/>
      <c r="Y878" s="5"/>
      <c r="Z878" s="5"/>
    </row>
    <row r="879" spans="1:26" ht="12.75" customHeight="1">
      <c r="A879" s="5"/>
      <c r="B879" s="5"/>
      <c r="C879" s="5"/>
      <c r="D879" s="5"/>
      <c r="E879" s="5"/>
      <c r="F879" s="5"/>
      <c r="G879" s="5"/>
      <c r="H879" s="306"/>
      <c r="I879" s="5"/>
      <c r="J879" s="5"/>
      <c r="K879" s="5"/>
      <c r="L879" s="5"/>
      <c r="M879" s="5"/>
      <c r="N879" s="5"/>
      <c r="O879" s="57"/>
      <c r="P879" s="5"/>
      <c r="Q879" s="5"/>
      <c r="R879" s="5"/>
      <c r="S879" s="5"/>
      <c r="T879" s="5"/>
      <c r="U879" s="5"/>
      <c r="V879" s="5"/>
      <c r="W879" s="5"/>
      <c r="X879" s="5"/>
      <c r="Y879" s="5"/>
      <c r="Z879" s="5"/>
    </row>
    <row r="880" spans="1:26" ht="12.75" customHeight="1">
      <c r="A880" s="5"/>
      <c r="B880" s="5"/>
      <c r="C880" s="5"/>
      <c r="D880" s="5"/>
      <c r="E880" s="5"/>
      <c r="F880" s="5"/>
      <c r="G880" s="5"/>
      <c r="H880" s="306"/>
      <c r="I880" s="5"/>
      <c r="J880" s="5"/>
      <c r="K880" s="5"/>
      <c r="L880" s="5"/>
      <c r="M880" s="5"/>
      <c r="N880" s="5"/>
      <c r="O880" s="57"/>
      <c r="P880" s="5"/>
      <c r="Q880" s="5"/>
      <c r="R880" s="5"/>
      <c r="S880" s="5"/>
      <c r="T880" s="5"/>
      <c r="U880" s="5"/>
      <c r="V880" s="5"/>
      <c r="W880" s="5"/>
      <c r="X880" s="5"/>
      <c r="Y880" s="5"/>
      <c r="Z880" s="5"/>
    </row>
    <row r="881" spans="1:26" ht="12.75" customHeight="1">
      <c r="A881" s="5"/>
      <c r="B881" s="5"/>
      <c r="C881" s="5"/>
      <c r="D881" s="5"/>
      <c r="E881" s="5"/>
      <c r="F881" s="5"/>
      <c r="G881" s="5"/>
      <c r="H881" s="306"/>
      <c r="I881" s="5"/>
      <c r="J881" s="5"/>
      <c r="K881" s="5"/>
      <c r="L881" s="5"/>
      <c r="M881" s="5"/>
      <c r="N881" s="5"/>
      <c r="O881" s="57"/>
      <c r="P881" s="5"/>
      <c r="Q881" s="5"/>
      <c r="R881" s="5"/>
      <c r="S881" s="5"/>
      <c r="T881" s="5"/>
      <c r="U881" s="5"/>
      <c r="V881" s="5"/>
      <c r="W881" s="5"/>
      <c r="X881" s="5"/>
      <c r="Y881" s="5"/>
      <c r="Z881" s="5"/>
    </row>
    <row r="882" spans="1:26" ht="12.75" customHeight="1">
      <c r="A882" s="5"/>
      <c r="B882" s="5"/>
      <c r="C882" s="5"/>
      <c r="D882" s="5"/>
      <c r="E882" s="5"/>
      <c r="F882" s="5"/>
      <c r="G882" s="5"/>
      <c r="H882" s="306"/>
      <c r="I882" s="5"/>
      <c r="J882" s="5"/>
      <c r="K882" s="5"/>
      <c r="L882" s="5"/>
      <c r="M882" s="5"/>
      <c r="N882" s="5"/>
      <c r="O882" s="57"/>
      <c r="P882" s="5"/>
      <c r="Q882" s="5"/>
      <c r="R882" s="5"/>
      <c r="S882" s="5"/>
      <c r="T882" s="5"/>
      <c r="U882" s="5"/>
      <c r="V882" s="5"/>
      <c r="W882" s="5"/>
      <c r="X882" s="5"/>
      <c r="Y882" s="5"/>
      <c r="Z882" s="5"/>
    </row>
    <row r="883" spans="1:26" ht="12.75" customHeight="1">
      <c r="A883" s="5"/>
      <c r="B883" s="5"/>
      <c r="C883" s="5"/>
      <c r="D883" s="5"/>
      <c r="E883" s="5"/>
      <c r="F883" s="5"/>
      <c r="G883" s="5"/>
      <c r="H883" s="306"/>
      <c r="I883" s="5"/>
      <c r="J883" s="5"/>
      <c r="K883" s="5"/>
      <c r="L883" s="5"/>
      <c r="M883" s="5"/>
      <c r="N883" s="5"/>
      <c r="O883" s="57"/>
      <c r="P883" s="5"/>
      <c r="Q883" s="5"/>
      <c r="R883" s="5"/>
      <c r="S883" s="5"/>
      <c r="T883" s="5"/>
      <c r="U883" s="5"/>
      <c r="V883" s="5"/>
      <c r="W883" s="5"/>
      <c r="X883" s="5"/>
      <c r="Y883" s="5"/>
      <c r="Z883" s="5"/>
    </row>
    <row r="884" spans="1:26" ht="12.75" customHeight="1">
      <c r="A884" s="5"/>
      <c r="B884" s="5"/>
      <c r="C884" s="5"/>
      <c r="D884" s="5"/>
      <c r="E884" s="5"/>
      <c r="F884" s="5"/>
      <c r="G884" s="5"/>
      <c r="H884" s="306"/>
      <c r="I884" s="5"/>
      <c r="J884" s="5"/>
      <c r="K884" s="5"/>
      <c r="L884" s="5"/>
      <c r="M884" s="5"/>
      <c r="N884" s="5"/>
      <c r="O884" s="57"/>
      <c r="P884" s="5"/>
      <c r="Q884" s="5"/>
      <c r="R884" s="5"/>
      <c r="S884" s="5"/>
      <c r="T884" s="5"/>
      <c r="U884" s="5"/>
      <c r="V884" s="5"/>
      <c r="W884" s="5"/>
      <c r="X884" s="5"/>
      <c r="Y884" s="5"/>
      <c r="Z884" s="5"/>
    </row>
    <row r="885" spans="1:26" ht="12.75" customHeight="1">
      <c r="A885" s="5"/>
      <c r="B885" s="5"/>
      <c r="C885" s="5"/>
      <c r="D885" s="5"/>
      <c r="E885" s="5"/>
      <c r="F885" s="5"/>
      <c r="G885" s="5"/>
      <c r="H885" s="306"/>
      <c r="I885" s="5"/>
      <c r="J885" s="5"/>
      <c r="K885" s="5"/>
      <c r="L885" s="5"/>
      <c r="M885" s="5"/>
      <c r="N885" s="5"/>
      <c r="O885" s="57"/>
      <c r="P885" s="5"/>
      <c r="Q885" s="5"/>
      <c r="R885" s="5"/>
      <c r="S885" s="5"/>
      <c r="T885" s="5"/>
      <c r="U885" s="5"/>
      <c r="V885" s="5"/>
      <c r="W885" s="5"/>
      <c r="X885" s="5"/>
      <c r="Y885" s="5"/>
      <c r="Z885" s="5"/>
    </row>
    <row r="886" spans="1:26" ht="12.75" customHeight="1">
      <c r="A886" s="5"/>
      <c r="B886" s="5"/>
      <c r="C886" s="5"/>
      <c r="D886" s="5"/>
      <c r="E886" s="5"/>
      <c r="F886" s="5"/>
      <c r="G886" s="5"/>
      <c r="H886" s="306"/>
      <c r="I886" s="5"/>
      <c r="J886" s="5"/>
      <c r="K886" s="5"/>
      <c r="L886" s="5"/>
      <c r="M886" s="5"/>
      <c r="N886" s="5"/>
      <c r="O886" s="57"/>
      <c r="P886" s="5"/>
      <c r="Q886" s="5"/>
      <c r="R886" s="5"/>
      <c r="S886" s="5"/>
      <c r="T886" s="5"/>
      <c r="U886" s="5"/>
      <c r="V886" s="5"/>
      <c r="W886" s="5"/>
      <c r="X886" s="5"/>
      <c r="Y886" s="5"/>
      <c r="Z886" s="5"/>
    </row>
    <row r="887" spans="1:26" ht="12.75" customHeight="1">
      <c r="A887" s="5"/>
      <c r="B887" s="5"/>
      <c r="C887" s="5"/>
      <c r="D887" s="5"/>
      <c r="E887" s="5"/>
      <c r="F887" s="5"/>
      <c r="G887" s="5"/>
      <c r="H887" s="306"/>
      <c r="I887" s="5"/>
      <c r="J887" s="5"/>
      <c r="K887" s="5"/>
      <c r="L887" s="5"/>
      <c r="M887" s="5"/>
      <c r="N887" s="5"/>
      <c r="O887" s="57"/>
      <c r="P887" s="5"/>
      <c r="Q887" s="5"/>
      <c r="R887" s="5"/>
      <c r="S887" s="5"/>
      <c r="T887" s="5"/>
      <c r="U887" s="5"/>
      <c r="V887" s="5"/>
      <c r="W887" s="5"/>
      <c r="X887" s="5"/>
      <c r="Y887" s="5"/>
      <c r="Z887" s="5"/>
    </row>
    <row r="888" spans="1:26" ht="12.75" customHeight="1">
      <c r="A888" s="5"/>
      <c r="B888" s="5"/>
      <c r="C888" s="5"/>
      <c r="D888" s="5"/>
      <c r="E888" s="5"/>
      <c r="F888" s="5"/>
      <c r="G888" s="5"/>
      <c r="H888" s="306"/>
      <c r="I888" s="5"/>
      <c r="J888" s="5"/>
      <c r="K888" s="5"/>
      <c r="L888" s="5"/>
      <c r="M888" s="5"/>
      <c r="N888" s="5"/>
      <c r="O888" s="57"/>
      <c r="P888" s="5"/>
      <c r="Q888" s="5"/>
      <c r="R888" s="5"/>
      <c r="S888" s="5"/>
      <c r="T888" s="5"/>
      <c r="U888" s="5"/>
      <c r="V888" s="5"/>
      <c r="W888" s="5"/>
      <c r="X888" s="5"/>
      <c r="Y888" s="5"/>
      <c r="Z888" s="5"/>
    </row>
    <row r="889" spans="1:26" ht="12.75" customHeight="1">
      <c r="A889" s="5"/>
      <c r="B889" s="5"/>
      <c r="C889" s="5"/>
      <c r="D889" s="5"/>
      <c r="E889" s="5"/>
      <c r="F889" s="5"/>
      <c r="G889" s="5"/>
      <c r="H889" s="306"/>
      <c r="I889" s="5"/>
      <c r="J889" s="5"/>
      <c r="K889" s="5"/>
      <c r="L889" s="5"/>
      <c r="M889" s="5"/>
      <c r="N889" s="5"/>
      <c r="O889" s="57"/>
      <c r="P889" s="5"/>
      <c r="Q889" s="5"/>
      <c r="R889" s="5"/>
      <c r="S889" s="5"/>
      <c r="T889" s="5"/>
      <c r="U889" s="5"/>
      <c r="V889" s="5"/>
      <c r="W889" s="5"/>
      <c r="X889" s="5"/>
      <c r="Y889" s="5"/>
      <c r="Z889" s="5"/>
    </row>
    <row r="890" spans="1:26" ht="12.75" customHeight="1">
      <c r="A890" s="5"/>
      <c r="B890" s="5"/>
      <c r="C890" s="5"/>
      <c r="D890" s="5"/>
      <c r="E890" s="5"/>
      <c r="F890" s="5"/>
      <c r="G890" s="5"/>
      <c r="H890" s="306"/>
      <c r="I890" s="5"/>
      <c r="J890" s="5"/>
      <c r="K890" s="5"/>
      <c r="L890" s="5"/>
      <c r="M890" s="5"/>
      <c r="N890" s="5"/>
      <c r="O890" s="57"/>
      <c r="P890" s="5"/>
      <c r="Q890" s="5"/>
      <c r="R890" s="5"/>
      <c r="S890" s="5"/>
      <c r="T890" s="5"/>
      <c r="U890" s="5"/>
      <c r="V890" s="5"/>
      <c r="W890" s="5"/>
      <c r="X890" s="5"/>
      <c r="Y890" s="5"/>
      <c r="Z890" s="5"/>
    </row>
    <row r="891" spans="1:26" ht="12.75" customHeight="1">
      <c r="A891" s="5"/>
      <c r="B891" s="5"/>
      <c r="C891" s="5"/>
      <c r="D891" s="5"/>
      <c r="E891" s="5"/>
      <c r="F891" s="5"/>
      <c r="G891" s="5"/>
      <c r="H891" s="306"/>
      <c r="I891" s="5"/>
      <c r="J891" s="5"/>
      <c r="K891" s="5"/>
      <c r="L891" s="5"/>
      <c r="M891" s="5"/>
      <c r="N891" s="5"/>
      <c r="O891" s="57"/>
      <c r="P891" s="5"/>
      <c r="Q891" s="5"/>
      <c r="R891" s="5"/>
      <c r="S891" s="5"/>
      <c r="T891" s="5"/>
      <c r="U891" s="5"/>
      <c r="V891" s="5"/>
      <c r="W891" s="5"/>
      <c r="X891" s="5"/>
      <c r="Y891" s="5"/>
      <c r="Z891" s="5"/>
    </row>
    <row r="892" spans="1:26" ht="12.75" customHeight="1">
      <c r="A892" s="5"/>
      <c r="B892" s="5"/>
      <c r="C892" s="5"/>
      <c r="D892" s="5"/>
      <c r="E892" s="5"/>
      <c r="F892" s="5"/>
      <c r="G892" s="5"/>
      <c r="H892" s="306"/>
      <c r="I892" s="5"/>
      <c r="J892" s="5"/>
      <c r="K892" s="5"/>
      <c r="L892" s="5"/>
      <c r="M892" s="5"/>
      <c r="N892" s="5"/>
      <c r="O892" s="57"/>
      <c r="P892" s="5"/>
      <c r="Q892" s="5"/>
      <c r="R892" s="5"/>
      <c r="S892" s="5"/>
      <c r="T892" s="5"/>
      <c r="U892" s="5"/>
      <c r="V892" s="5"/>
      <c r="W892" s="5"/>
      <c r="X892" s="5"/>
      <c r="Y892" s="5"/>
      <c r="Z892" s="5"/>
    </row>
    <row r="893" spans="1:26" ht="12.75" customHeight="1">
      <c r="A893" s="5"/>
      <c r="B893" s="5"/>
      <c r="C893" s="5"/>
      <c r="D893" s="5"/>
      <c r="E893" s="5"/>
      <c r="F893" s="5"/>
      <c r="G893" s="5"/>
      <c r="H893" s="306"/>
      <c r="I893" s="5"/>
      <c r="J893" s="5"/>
      <c r="K893" s="5"/>
      <c r="L893" s="5"/>
      <c r="M893" s="5"/>
      <c r="N893" s="5"/>
      <c r="O893" s="57"/>
      <c r="P893" s="5"/>
      <c r="Q893" s="5"/>
      <c r="R893" s="5"/>
      <c r="S893" s="5"/>
      <c r="T893" s="5"/>
      <c r="U893" s="5"/>
      <c r="V893" s="5"/>
      <c r="W893" s="5"/>
      <c r="X893" s="5"/>
      <c r="Y893" s="5"/>
      <c r="Z893" s="5"/>
    </row>
    <row r="894" spans="1:26" ht="12.75" customHeight="1">
      <c r="A894" s="5"/>
      <c r="B894" s="5"/>
      <c r="C894" s="5"/>
      <c r="D894" s="5"/>
      <c r="E894" s="5"/>
      <c r="F894" s="5"/>
      <c r="G894" s="5"/>
      <c r="H894" s="306"/>
      <c r="I894" s="5"/>
      <c r="J894" s="5"/>
      <c r="K894" s="5"/>
      <c r="L894" s="5"/>
      <c r="M894" s="5"/>
      <c r="N894" s="5"/>
      <c r="O894" s="57"/>
      <c r="P894" s="5"/>
      <c r="Q894" s="5"/>
      <c r="R894" s="5"/>
      <c r="S894" s="5"/>
      <c r="T894" s="5"/>
      <c r="U894" s="5"/>
      <c r="V894" s="5"/>
      <c r="W894" s="5"/>
      <c r="X894" s="5"/>
      <c r="Y894" s="5"/>
      <c r="Z894" s="5"/>
    </row>
    <row r="895" spans="1:26" ht="12.75" customHeight="1">
      <c r="A895" s="5"/>
      <c r="B895" s="5"/>
      <c r="C895" s="5"/>
      <c r="D895" s="5"/>
      <c r="E895" s="5"/>
      <c r="F895" s="5"/>
      <c r="G895" s="5"/>
      <c r="H895" s="306"/>
      <c r="I895" s="5"/>
      <c r="J895" s="5"/>
      <c r="K895" s="5"/>
      <c r="L895" s="5"/>
      <c r="M895" s="5"/>
      <c r="N895" s="5"/>
      <c r="O895" s="57"/>
      <c r="P895" s="5"/>
      <c r="Q895" s="5"/>
      <c r="R895" s="5"/>
      <c r="S895" s="5"/>
      <c r="T895" s="5"/>
      <c r="U895" s="5"/>
      <c r="V895" s="5"/>
      <c r="W895" s="5"/>
      <c r="X895" s="5"/>
      <c r="Y895" s="5"/>
      <c r="Z895" s="5"/>
    </row>
    <row r="896" spans="1:26" ht="12.75" customHeight="1">
      <c r="A896" s="5"/>
      <c r="B896" s="5"/>
      <c r="C896" s="5"/>
      <c r="D896" s="5"/>
      <c r="E896" s="5"/>
      <c r="F896" s="5"/>
      <c r="G896" s="5"/>
      <c r="H896" s="306"/>
      <c r="I896" s="5"/>
      <c r="J896" s="5"/>
      <c r="K896" s="5"/>
      <c r="L896" s="5"/>
      <c r="M896" s="5"/>
      <c r="N896" s="5"/>
      <c r="O896" s="57"/>
      <c r="P896" s="5"/>
      <c r="Q896" s="5"/>
      <c r="R896" s="5"/>
      <c r="S896" s="5"/>
      <c r="T896" s="5"/>
      <c r="U896" s="5"/>
      <c r="V896" s="5"/>
      <c r="W896" s="5"/>
      <c r="X896" s="5"/>
      <c r="Y896" s="5"/>
      <c r="Z896" s="5"/>
    </row>
    <row r="897" spans="1:26" ht="12.75" customHeight="1">
      <c r="A897" s="5"/>
      <c r="B897" s="5"/>
      <c r="C897" s="5"/>
      <c r="D897" s="5"/>
      <c r="E897" s="5"/>
      <c r="F897" s="5"/>
      <c r="G897" s="5"/>
      <c r="H897" s="306"/>
      <c r="I897" s="5"/>
      <c r="J897" s="5"/>
      <c r="K897" s="5"/>
      <c r="L897" s="5"/>
      <c r="M897" s="5"/>
      <c r="N897" s="5"/>
      <c r="O897" s="57"/>
      <c r="P897" s="5"/>
      <c r="Q897" s="5"/>
      <c r="R897" s="5"/>
      <c r="S897" s="5"/>
      <c r="T897" s="5"/>
      <c r="U897" s="5"/>
      <c r="V897" s="5"/>
      <c r="W897" s="5"/>
      <c r="X897" s="5"/>
      <c r="Y897" s="5"/>
      <c r="Z897" s="5"/>
    </row>
    <row r="898" spans="1:26" ht="12.75" customHeight="1">
      <c r="A898" s="5"/>
      <c r="B898" s="5"/>
      <c r="C898" s="5"/>
      <c r="D898" s="5"/>
      <c r="E898" s="5"/>
      <c r="F898" s="5"/>
      <c r="G898" s="5"/>
      <c r="H898" s="306"/>
      <c r="I898" s="5"/>
      <c r="J898" s="5"/>
      <c r="K898" s="5"/>
      <c r="L898" s="5"/>
      <c r="M898" s="5"/>
      <c r="N898" s="5"/>
      <c r="O898" s="57"/>
      <c r="P898" s="5"/>
      <c r="Q898" s="5"/>
      <c r="R898" s="5"/>
      <c r="S898" s="5"/>
      <c r="T898" s="5"/>
      <c r="U898" s="5"/>
      <c r="V898" s="5"/>
      <c r="W898" s="5"/>
      <c r="X898" s="5"/>
      <c r="Y898" s="5"/>
      <c r="Z898" s="5"/>
    </row>
    <row r="899" spans="1:26" ht="12.75" customHeight="1">
      <c r="A899" s="5"/>
      <c r="B899" s="5"/>
      <c r="C899" s="5"/>
      <c r="D899" s="5"/>
      <c r="E899" s="5"/>
      <c r="F899" s="5"/>
      <c r="G899" s="5"/>
      <c r="H899" s="306"/>
      <c r="I899" s="5"/>
      <c r="J899" s="5"/>
      <c r="K899" s="5"/>
      <c r="L899" s="5"/>
      <c r="M899" s="5"/>
      <c r="N899" s="5"/>
      <c r="O899" s="57"/>
      <c r="P899" s="5"/>
      <c r="Q899" s="5"/>
      <c r="R899" s="5"/>
      <c r="S899" s="5"/>
      <c r="T899" s="5"/>
      <c r="U899" s="5"/>
      <c r="V899" s="5"/>
      <c r="W899" s="5"/>
      <c r="X899" s="5"/>
      <c r="Y899" s="5"/>
      <c r="Z899" s="5"/>
    </row>
    <row r="900" spans="1:26" ht="12.75" customHeight="1">
      <c r="A900" s="5"/>
      <c r="B900" s="5"/>
      <c r="C900" s="5"/>
      <c r="D900" s="5"/>
      <c r="E900" s="5"/>
      <c r="F900" s="5"/>
      <c r="G900" s="5"/>
      <c r="H900" s="306"/>
      <c r="I900" s="5"/>
      <c r="J900" s="5"/>
      <c r="K900" s="5"/>
      <c r="L900" s="5"/>
      <c r="M900" s="5"/>
      <c r="N900" s="5"/>
      <c r="O900" s="57"/>
      <c r="P900" s="5"/>
      <c r="Q900" s="5"/>
      <c r="R900" s="5"/>
      <c r="S900" s="5"/>
      <c r="T900" s="5"/>
      <c r="U900" s="5"/>
      <c r="V900" s="5"/>
      <c r="W900" s="5"/>
      <c r="X900" s="5"/>
      <c r="Y900" s="5"/>
      <c r="Z900" s="5"/>
    </row>
    <row r="901" spans="1:26" ht="12.75" customHeight="1">
      <c r="A901" s="5"/>
      <c r="B901" s="5"/>
      <c r="C901" s="5"/>
      <c r="D901" s="5"/>
      <c r="E901" s="5"/>
      <c r="F901" s="5"/>
      <c r="G901" s="5"/>
      <c r="H901" s="306"/>
      <c r="I901" s="5"/>
      <c r="J901" s="5"/>
      <c r="K901" s="5"/>
      <c r="L901" s="5"/>
      <c r="M901" s="5"/>
      <c r="N901" s="5"/>
      <c r="O901" s="57"/>
      <c r="P901" s="5"/>
      <c r="Q901" s="5"/>
      <c r="R901" s="5"/>
      <c r="S901" s="5"/>
      <c r="T901" s="5"/>
      <c r="U901" s="5"/>
      <c r="V901" s="5"/>
      <c r="W901" s="5"/>
      <c r="X901" s="5"/>
      <c r="Y901" s="5"/>
      <c r="Z901" s="5"/>
    </row>
    <row r="902" spans="1:26" ht="12.75" customHeight="1">
      <c r="A902" s="5"/>
      <c r="B902" s="5"/>
      <c r="C902" s="5"/>
      <c r="D902" s="5"/>
      <c r="E902" s="5"/>
      <c r="F902" s="5"/>
      <c r="G902" s="5"/>
      <c r="H902" s="306"/>
      <c r="I902" s="5"/>
      <c r="J902" s="5"/>
      <c r="K902" s="5"/>
      <c r="L902" s="5"/>
      <c r="M902" s="5"/>
      <c r="N902" s="5"/>
      <c r="O902" s="57"/>
      <c r="P902" s="5"/>
      <c r="Q902" s="5"/>
      <c r="R902" s="5"/>
      <c r="S902" s="5"/>
      <c r="T902" s="5"/>
      <c r="U902" s="5"/>
      <c r="V902" s="5"/>
      <c r="W902" s="5"/>
      <c r="X902" s="5"/>
      <c r="Y902" s="5"/>
      <c r="Z902" s="5"/>
    </row>
    <row r="903" spans="1:26" ht="12.75" customHeight="1">
      <c r="A903" s="5"/>
      <c r="B903" s="5"/>
      <c r="C903" s="5"/>
      <c r="D903" s="5"/>
      <c r="E903" s="5"/>
      <c r="F903" s="5"/>
      <c r="G903" s="5"/>
      <c r="H903" s="306"/>
      <c r="I903" s="5"/>
      <c r="J903" s="5"/>
      <c r="K903" s="5"/>
      <c r="L903" s="5"/>
      <c r="M903" s="5"/>
      <c r="N903" s="5"/>
      <c r="O903" s="57"/>
      <c r="P903" s="5"/>
      <c r="Q903" s="5"/>
      <c r="R903" s="5"/>
      <c r="S903" s="5"/>
      <c r="T903" s="5"/>
      <c r="U903" s="5"/>
      <c r="V903" s="5"/>
      <c r="W903" s="5"/>
      <c r="X903" s="5"/>
      <c r="Y903" s="5"/>
      <c r="Z903" s="5"/>
    </row>
    <row r="904" spans="1:26" ht="12.75" customHeight="1">
      <c r="A904" s="5"/>
      <c r="B904" s="5"/>
      <c r="C904" s="5"/>
      <c r="D904" s="5"/>
      <c r="E904" s="5"/>
      <c r="F904" s="5"/>
      <c r="G904" s="5"/>
      <c r="H904" s="306"/>
      <c r="I904" s="5"/>
      <c r="J904" s="5"/>
      <c r="K904" s="5"/>
      <c r="L904" s="5"/>
      <c r="M904" s="5"/>
      <c r="N904" s="5"/>
      <c r="O904" s="57"/>
      <c r="P904" s="5"/>
      <c r="Q904" s="5"/>
      <c r="R904" s="5"/>
      <c r="S904" s="5"/>
      <c r="T904" s="5"/>
      <c r="U904" s="5"/>
      <c r="V904" s="5"/>
      <c r="W904" s="5"/>
      <c r="X904" s="5"/>
      <c r="Y904" s="5"/>
      <c r="Z904" s="5"/>
    </row>
    <row r="905" spans="1:26" ht="12.75" customHeight="1">
      <c r="A905" s="5"/>
      <c r="B905" s="5"/>
      <c r="C905" s="5"/>
      <c r="D905" s="5"/>
      <c r="E905" s="5"/>
      <c r="F905" s="5"/>
      <c r="G905" s="5"/>
      <c r="H905" s="306"/>
      <c r="I905" s="5"/>
      <c r="J905" s="5"/>
      <c r="K905" s="5"/>
      <c r="L905" s="5"/>
      <c r="M905" s="5"/>
      <c r="N905" s="5"/>
      <c r="O905" s="57"/>
      <c r="P905" s="5"/>
      <c r="Q905" s="5"/>
      <c r="R905" s="5"/>
      <c r="S905" s="5"/>
      <c r="T905" s="5"/>
      <c r="U905" s="5"/>
      <c r="V905" s="5"/>
      <c r="W905" s="5"/>
      <c r="X905" s="5"/>
      <c r="Y905" s="5"/>
      <c r="Z905" s="5"/>
    </row>
    <row r="906" spans="1:26" ht="12.75" customHeight="1">
      <c r="A906" s="5"/>
      <c r="B906" s="5"/>
      <c r="C906" s="5"/>
      <c r="D906" s="5"/>
      <c r="E906" s="5"/>
      <c r="F906" s="5"/>
      <c r="G906" s="5"/>
      <c r="H906" s="306"/>
      <c r="I906" s="5"/>
      <c r="J906" s="5"/>
      <c r="K906" s="5"/>
      <c r="L906" s="5"/>
      <c r="M906" s="5"/>
      <c r="N906" s="5"/>
      <c r="O906" s="57"/>
      <c r="P906" s="5"/>
      <c r="Q906" s="5"/>
      <c r="R906" s="5"/>
      <c r="S906" s="5"/>
      <c r="T906" s="5"/>
      <c r="U906" s="5"/>
      <c r="V906" s="5"/>
      <c r="W906" s="5"/>
      <c r="X906" s="5"/>
      <c r="Y906" s="5"/>
      <c r="Z906" s="5"/>
    </row>
    <row r="907" spans="1:26" ht="12.75" customHeight="1">
      <c r="A907" s="5"/>
      <c r="B907" s="5"/>
      <c r="C907" s="5"/>
      <c r="D907" s="5"/>
      <c r="E907" s="5"/>
      <c r="F907" s="5"/>
      <c r="G907" s="5"/>
      <c r="H907" s="306"/>
      <c r="I907" s="5"/>
      <c r="J907" s="5"/>
      <c r="K907" s="5"/>
      <c r="L907" s="5"/>
      <c r="M907" s="5"/>
      <c r="N907" s="5"/>
      <c r="O907" s="57"/>
      <c r="P907" s="5"/>
      <c r="Q907" s="5"/>
      <c r="R907" s="5"/>
      <c r="S907" s="5"/>
      <c r="T907" s="5"/>
      <c r="U907" s="5"/>
      <c r="V907" s="5"/>
      <c r="W907" s="5"/>
      <c r="X907" s="5"/>
      <c r="Y907" s="5"/>
      <c r="Z907" s="5"/>
    </row>
    <row r="908" spans="1:26" ht="12.75" customHeight="1">
      <c r="A908" s="5"/>
      <c r="B908" s="5"/>
      <c r="C908" s="5"/>
      <c r="D908" s="5"/>
      <c r="E908" s="5"/>
      <c r="F908" s="5"/>
      <c r="G908" s="5"/>
      <c r="H908" s="306"/>
      <c r="I908" s="5"/>
      <c r="J908" s="5"/>
      <c r="K908" s="5"/>
      <c r="L908" s="5"/>
      <c r="M908" s="5"/>
      <c r="N908" s="5"/>
      <c r="O908" s="57"/>
      <c r="P908" s="5"/>
      <c r="Q908" s="5"/>
      <c r="R908" s="5"/>
      <c r="S908" s="5"/>
      <c r="T908" s="5"/>
      <c r="U908" s="5"/>
      <c r="V908" s="5"/>
      <c r="W908" s="5"/>
      <c r="X908" s="5"/>
      <c r="Y908" s="5"/>
      <c r="Z908" s="5"/>
    </row>
    <row r="909" spans="1:26" ht="12.75" customHeight="1">
      <c r="A909" s="5"/>
      <c r="B909" s="5"/>
      <c r="C909" s="5"/>
      <c r="D909" s="5"/>
      <c r="E909" s="5"/>
      <c r="F909" s="5"/>
      <c r="G909" s="5"/>
      <c r="H909" s="306"/>
      <c r="I909" s="5"/>
      <c r="J909" s="5"/>
      <c r="K909" s="5"/>
      <c r="L909" s="5"/>
      <c r="M909" s="5"/>
      <c r="N909" s="5"/>
      <c r="O909" s="57"/>
      <c r="P909" s="5"/>
      <c r="Q909" s="5"/>
      <c r="R909" s="5"/>
      <c r="S909" s="5"/>
      <c r="T909" s="5"/>
      <c r="U909" s="5"/>
      <c r="V909" s="5"/>
      <c r="W909" s="5"/>
      <c r="X909" s="5"/>
      <c r="Y909" s="5"/>
      <c r="Z909" s="5"/>
    </row>
    <row r="910" spans="1:26" ht="12.75" customHeight="1">
      <c r="A910" s="5"/>
      <c r="B910" s="5"/>
      <c r="C910" s="5"/>
      <c r="D910" s="5"/>
      <c r="E910" s="5"/>
      <c r="F910" s="5"/>
      <c r="G910" s="5"/>
      <c r="H910" s="306"/>
      <c r="I910" s="5"/>
      <c r="J910" s="5"/>
      <c r="K910" s="5"/>
      <c r="L910" s="5"/>
      <c r="M910" s="5"/>
      <c r="N910" s="5"/>
      <c r="O910" s="57"/>
      <c r="P910" s="5"/>
      <c r="Q910" s="5"/>
      <c r="R910" s="5"/>
      <c r="S910" s="5"/>
      <c r="T910" s="5"/>
      <c r="U910" s="5"/>
      <c r="V910" s="5"/>
      <c r="W910" s="5"/>
      <c r="X910" s="5"/>
      <c r="Y910" s="5"/>
      <c r="Z910" s="5"/>
    </row>
    <row r="911" spans="1:26" ht="12.75" customHeight="1">
      <c r="A911" s="5"/>
      <c r="B911" s="5"/>
      <c r="C911" s="5"/>
      <c r="D911" s="5"/>
      <c r="E911" s="5"/>
      <c r="F911" s="5"/>
      <c r="G911" s="5"/>
      <c r="H911" s="306"/>
      <c r="I911" s="5"/>
      <c r="J911" s="5"/>
      <c r="K911" s="5"/>
      <c r="L911" s="5"/>
      <c r="M911" s="5"/>
      <c r="N911" s="5"/>
      <c r="O911" s="57"/>
      <c r="P911" s="5"/>
      <c r="Q911" s="5"/>
      <c r="R911" s="5"/>
      <c r="S911" s="5"/>
      <c r="T911" s="5"/>
      <c r="U911" s="5"/>
      <c r="V911" s="5"/>
      <c r="W911" s="5"/>
      <c r="X911" s="5"/>
      <c r="Y911" s="5"/>
      <c r="Z911" s="5"/>
    </row>
    <row r="912" spans="1:26" ht="12.75" customHeight="1">
      <c r="A912" s="5"/>
      <c r="B912" s="5"/>
      <c r="C912" s="5"/>
      <c r="D912" s="5"/>
      <c r="E912" s="5"/>
      <c r="F912" s="5"/>
      <c r="G912" s="5"/>
      <c r="H912" s="306"/>
      <c r="I912" s="5"/>
      <c r="J912" s="5"/>
      <c r="K912" s="5"/>
      <c r="L912" s="5"/>
      <c r="M912" s="5"/>
      <c r="N912" s="5"/>
      <c r="O912" s="57"/>
      <c r="P912" s="5"/>
      <c r="Q912" s="5"/>
      <c r="R912" s="5"/>
      <c r="S912" s="5"/>
      <c r="T912" s="5"/>
      <c r="U912" s="5"/>
      <c r="V912" s="5"/>
      <c r="W912" s="5"/>
      <c r="X912" s="5"/>
      <c r="Y912" s="5"/>
      <c r="Z912" s="5"/>
    </row>
    <row r="913" spans="1:26" ht="12.75" customHeight="1">
      <c r="A913" s="5"/>
      <c r="B913" s="5"/>
      <c r="C913" s="5"/>
      <c r="D913" s="5"/>
      <c r="E913" s="5"/>
      <c r="F913" s="5"/>
      <c r="G913" s="5"/>
      <c r="H913" s="306"/>
      <c r="I913" s="5"/>
      <c r="J913" s="5"/>
      <c r="K913" s="5"/>
      <c r="L913" s="5"/>
      <c r="M913" s="5"/>
      <c r="N913" s="5"/>
      <c r="O913" s="57"/>
      <c r="P913" s="5"/>
      <c r="Q913" s="5"/>
      <c r="R913" s="5"/>
      <c r="S913" s="5"/>
      <c r="T913" s="5"/>
      <c r="U913" s="5"/>
      <c r="V913" s="5"/>
      <c r="W913" s="5"/>
      <c r="X913" s="5"/>
      <c r="Y913" s="5"/>
      <c r="Z913" s="5"/>
    </row>
    <row r="914" spans="1:26" ht="12.75" customHeight="1">
      <c r="A914" s="5"/>
      <c r="B914" s="5"/>
      <c r="C914" s="5"/>
      <c r="D914" s="5"/>
      <c r="E914" s="5"/>
      <c r="F914" s="5"/>
      <c r="G914" s="5"/>
      <c r="H914" s="306"/>
      <c r="I914" s="5"/>
      <c r="J914" s="5"/>
      <c r="K914" s="5"/>
      <c r="L914" s="5"/>
      <c r="M914" s="5"/>
      <c r="N914" s="5"/>
      <c r="O914" s="57"/>
      <c r="P914" s="5"/>
      <c r="Q914" s="5"/>
      <c r="R914" s="5"/>
      <c r="S914" s="5"/>
      <c r="T914" s="5"/>
      <c r="U914" s="5"/>
      <c r="V914" s="5"/>
      <c r="W914" s="5"/>
      <c r="X914" s="5"/>
      <c r="Y914" s="5"/>
      <c r="Z914" s="5"/>
    </row>
    <row r="915" spans="1:26" ht="12.75" customHeight="1">
      <c r="A915" s="5"/>
      <c r="B915" s="5"/>
      <c r="C915" s="5"/>
      <c r="D915" s="5"/>
      <c r="E915" s="5"/>
      <c r="F915" s="5"/>
      <c r="G915" s="5"/>
      <c r="H915" s="306"/>
      <c r="I915" s="5"/>
      <c r="J915" s="5"/>
      <c r="K915" s="5"/>
      <c r="L915" s="5"/>
      <c r="M915" s="5"/>
      <c r="N915" s="5"/>
      <c r="O915" s="57"/>
      <c r="P915" s="5"/>
      <c r="Q915" s="5"/>
      <c r="R915" s="5"/>
      <c r="S915" s="5"/>
      <c r="T915" s="5"/>
      <c r="U915" s="5"/>
      <c r="V915" s="5"/>
      <c r="W915" s="5"/>
      <c r="X915" s="5"/>
      <c r="Y915" s="5"/>
      <c r="Z915" s="5"/>
    </row>
    <row r="916" spans="1:26" ht="12.75" customHeight="1">
      <c r="A916" s="5"/>
      <c r="B916" s="5"/>
      <c r="C916" s="5"/>
      <c r="D916" s="5"/>
      <c r="E916" s="5"/>
      <c r="F916" s="5"/>
      <c r="G916" s="5"/>
      <c r="H916" s="306"/>
      <c r="I916" s="5"/>
      <c r="J916" s="5"/>
      <c r="K916" s="5"/>
      <c r="L916" s="5"/>
      <c r="M916" s="5"/>
      <c r="N916" s="5"/>
      <c r="O916" s="57"/>
      <c r="P916" s="5"/>
      <c r="Q916" s="5"/>
      <c r="R916" s="5"/>
      <c r="S916" s="5"/>
      <c r="T916" s="5"/>
      <c r="U916" s="5"/>
      <c r="V916" s="5"/>
      <c r="W916" s="5"/>
      <c r="X916" s="5"/>
      <c r="Y916" s="5"/>
      <c r="Z916" s="5"/>
    </row>
    <row r="917" spans="1:26" ht="12.75" customHeight="1">
      <c r="A917" s="5"/>
      <c r="B917" s="5"/>
      <c r="C917" s="5"/>
      <c r="D917" s="5"/>
      <c r="E917" s="5"/>
      <c r="F917" s="5"/>
      <c r="G917" s="5"/>
      <c r="H917" s="306"/>
      <c r="I917" s="5"/>
      <c r="J917" s="5"/>
      <c r="K917" s="5"/>
      <c r="L917" s="5"/>
      <c r="M917" s="5"/>
      <c r="N917" s="5"/>
      <c r="O917" s="57"/>
      <c r="P917" s="5"/>
      <c r="Q917" s="5"/>
      <c r="R917" s="5"/>
      <c r="S917" s="5"/>
      <c r="T917" s="5"/>
      <c r="U917" s="5"/>
      <c r="V917" s="5"/>
      <c r="W917" s="5"/>
      <c r="X917" s="5"/>
      <c r="Y917" s="5"/>
      <c r="Z917" s="5"/>
    </row>
    <row r="918" spans="1:26" ht="12.75" customHeight="1">
      <c r="A918" s="5"/>
      <c r="B918" s="5"/>
      <c r="C918" s="5"/>
      <c r="D918" s="5"/>
      <c r="E918" s="5"/>
      <c r="F918" s="5"/>
      <c r="G918" s="5"/>
      <c r="H918" s="306"/>
      <c r="I918" s="5"/>
      <c r="J918" s="5"/>
      <c r="K918" s="5"/>
      <c r="L918" s="5"/>
      <c r="M918" s="5"/>
      <c r="N918" s="5"/>
      <c r="O918" s="57"/>
      <c r="P918" s="5"/>
      <c r="Q918" s="5"/>
      <c r="R918" s="5"/>
      <c r="S918" s="5"/>
      <c r="T918" s="5"/>
      <c r="U918" s="5"/>
      <c r="V918" s="5"/>
      <c r="W918" s="5"/>
      <c r="X918" s="5"/>
      <c r="Y918" s="5"/>
      <c r="Z918" s="5"/>
    </row>
    <row r="919" spans="1:26" ht="12.75" customHeight="1">
      <c r="A919" s="5"/>
      <c r="B919" s="5"/>
      <c r="C919" s="5"/>
      <c r="D919" s="5"/>
      <c r="E919" s="5"/>
      <c r="F919" s="5"/>
      <c r="G919" s="5"/>
      <c r="H919" s="306"/>
      <c r="I919" s="5"/>
      <c r="J919" s="5"/>
      <c r="K919" s="5"/>
      <c r="L919" s="5"/>
      <c r="M919" s="5"/>
      <c r="N919" s="5"/>
      <c r="O919" s="57"/>
      <c r="P919" s="5"/>
      <c r="Q919" s="5"/>
      <c r="R919" s="5"/>
      <c r="S919" s="5"/>
      <c r="T919" s="5"/>
      <c r="U919" s="5"/>
      <c r="V919" s="5"/>
      <c r="W919" s="5"/>
      <c r="X919" s="5"/>
      <c r="Y919" s="5"/>
      <c r="Z919" s="5"/>
    </row>
    <row r="920" spans="1:26" ht="12.75" customHeight="1">
      <c r="A920" s="5"/>
      <c r="B920" s="5"/>
      <c r="C920" s="5"/>
      <c r="D920" s="5"/>
      <c r="E920" s="5"/>
      <c r="F920" s="5"/>
      <c r="G920" s="5"/>
      <c r="H920" s="306"/>
      <c r="I920" s="5"/>
      <c r="J920" s="5"/>
      <c r="K920" s="5"/>
      <c r="L920" s="5"/>
      <c r="M920" s="5"/>
      <c r="N920" s="5"/>
      <c r="O920" s="57"/>
      <c r="P920" s="5"/>
      <c r="Q920" s="5"/>
      <c r="R920" s="5"/>
      <c r="S920" s="5"/>
      <c r="T920" s="5"/>
      <c r="U920" s="5"/>
      <c r="V920" s="5"/>
      <c r="W920" s="5"/>
      <c r="X920" s="5"/>
      <c r="Y920" s="5"/>
      <c r="Z920" s="5"/>
    </row>
    <row r="921" spans="1:26" ht="12.75" customHeight="1">
      <c r="A921" s="5"/>
      <c r="B921" s="5"/>
      <c r="C921" s="5"/>
      <c r="D921" s="5"/>
      <c r="E921" s="5"/>
      <c r="F921" s="5"/>
      <c r="G921" s="5"/>
      <c r="H921" s="306"/>
      <c r="I921" s="5"/>
      <c r="J921" s="5"/>
      <c r="K921" s="5"/>
      <c r="L921" s="5"/>
      <c r="M921" s="5"/>
      <c r="N921" s="5"/>
      <c r="O921" s="57"/>
      <c r="P921" s="5"/>
      <c r="Q921" s="5"/>
      <c r="R921" s="5"/>
      <c r="S921" s="5"/>
      <c r="T921" s="5"/>
      <c r="U921" s="5"/>
      <c r="V921" s="5"/>
      <c r="W921" s="5"/>
      <c r="X921" s="5"/>
      <c r="Y921" s="5"/>
      <c r="Z921" s="5"/>
    </row>
    <row r="922" spans="1:26" ht="12.75" customHeight="1">
      <c r="A922" s="5"/>
      <c r="B922" s="5"/>
      <c r="C922" s="5"/>
      <c r="D922" s="5"/>
      <c r="E922" s="5"/>
      <c r="F922" s="5"/>
      <c r="G922" s="5"/>
      <c r="H922" s="306"/>
      <c r="I922" s="5"/>
      <c r="J922" s="5"/>
      <c r="K922" s="5"/>
      <c r="L922" s="5"/>
      <c r="M922" s="5"/>
      <c r="N922" s="5"/>
      <c r="O922" s="57"/>
      <c r="P922" s="5"/>
      <c r="Q922" s="5"/>
      <c r="R922" s="5"/>
      <c r="S922" s="5"/>
      <c r="T922" s="5"/>
      <c r="U922" s="5"/>
      <c r="V922" s="5"/>
      <c r="W922" s="5"/>
      <c r="X922" s="5"/>
      <c r="Y922" s="5"/>
      <c r="Z922" s="5"/>
    </row>
    <row r="923" spans="1:26" ht="12.75" customHeight="1">
      <c r="A923" s="5"/>
      <c r="B923" s="5"/>
      <c r="C923" s="5"/>
      <c r="D923" s="5"/>
      <c r="E923" s="5"/>
      <c r="F923" s="5"/>
      <c r="G923" s="5"/>
      <c r="H923" s="306"/>
      <c r="I923" s="5"/>
      <c r="J923" s="5"/>
      <c r="K923" s="5"/>
      <c r="L923" s="5"/>
      <c r="M923" s="5"/>
      <c r="N923" s="5"/>
      <c r="O923" s="57"/>
      <c r="P923" s="5"/>
      <c r="Q923" s="5"/>
      <c r="R923" s="5"/>
      <c r="S923" s="5"/>
      <c r="T923" s="5"/>
      <c r="U923" s="5"/>
      <c r="V923" s="5"/>
      <c r="W923" s="5"/>
      <c r="X923" s="5"/>
      <c r="Y923" s="5"/>
      <c r="Z923" s="5"/>
    </row>
    <row r="924" spans="1:26" ht="12.75" customHeight="1">
      <c r="A924" s="5"/>
      <c r="B924" s="5"/>
      <c r="C924" s="5"/>
      <c r="D924" s="5"/>
      <c r="E924" s="5"/>
      <c r="F924" s="5"/>
      <c r="G924" s="5"/>
      <c r="H924" s="306"/>
      <c r="I924" s="5"/>
      <c r="J924" s="5"/>
      <c r="K924" s="5"/>
      <c r="L924" s="5"/>
      <c r="M924" s="5"/>
      <c r="N924" s="5"/>
      <c r="O924" s="57"/>
      <c r="P924" s="5"/>
      <c r="Q924" s="5"/>
      <c r="R924" s="5"/>
      <c r="S924" s="5"/>
      <c r="T924" s="5"/>
      <c r="U924" s="5"/>
      <c r="V924" s="5"/>
      <c r="W924" s="5"/>
      <c r="X924" s="5"/>
      <c r="Y924" s="5"/>
      <c r="Z924" s="5"/>
    </row>
    <row r="925" spans="1:26" ht="12.75" customHeight="1">
      <c r="A925" s="5"/>
      <c r="B925" s="5"/>
      <c r="C925" s="5"/>
      <c r="D925" s="5"/>
      <c r="E925" s="5"/>
      <c r="F925" s="5"/>
      <c r="G925" s="5"/>
      <c r="H925" s="306"/>
      <c r="I925" s="5"/>
      <c r="J925" s="5"/>
      <c r="K925" s="5"/>
      <c r="L925" s="5"/>
      <c r="M925" s="5"/>
      <c r="N925" s="5"/>
      <c r="O925" s="57"/>
      <c r="P925" s="5"/>
      <c r="Q925" s="5"/>
      <c r="R925" s="5"/>
      <c r="S925" s="5"/>
      <c r="T925" s="5"/>
      <c r="U925" s="5"/>
      <c r="V925" s="5"/>
      <c r="W925" s="5"/>
      <c r="X925" s="5"/>
      <c r="Y925" s="5"/>
      <c r="Z925" s="5"/>
    </row>
    <row r="926" spans="1:26" ht="12.75" customHeight="1">
      <c r="A926" s="5"/>
      <c r="B926" s="5"/>
      <c r="C926" s="5"/>
      <c r="D926" s="5"/>
      <c r="E926" s="5"/>
      <c r="F926" s="5"/>
      <c r="G926" s="5"/>
      <c r="H926" s="306"/>
      <c r="I926" s="5"/>
      <c r="J926" s="5"/>
      <c r="K926" s="5"/>
      <c r="L926" s="5"/>
      <c r="M926" s="5"/>
      <c r="N926" s="5"/>
      <c r="O926" s="57"/>
      <c r="P926" s="5"/>
      <c r="Q926" s="5"/>
      <c r="R926" s="5"/>
      <c r="S926" s="5"/>
      <c r="T926" s="5"/>
      <c r="U926" s="5"/>
      <c r="V926" s="5"/>
      <c r="W926" s="5"/>
      <c r="X926" s="5"/>
      <c r="Y926" s="5"/>
      <c r="Z926" s="5"/>
    </row>
    <row r="927" spans="1:26" ht="12.75" customHeight="1">
      <c r="A927" s="5"/>
      <c r="B927" s="5"/>
      <c r="C927" s="5"/>
      <c r="D927" s="5"/>
      <c r="E927" s="5"/>
      <c r="F927" s="5"/>
      <c r="G927" s="5"/>
      <c r="H927" s="306"/>
      <c r="I927" s="5"/>
      <c r="J927" s="5"/>
      <c r="K927" s="5"/>
      <c r="L927" s="5"/>
      <c r="M927" s="5"/>
      <c r="N927" s="5"/>
      <c r="O927" s="57"/>
      <c r="P927" s="5"/>
      <c r="Q927" s="5"/>
      <c r="R927" s="5"/>
      <c r="S927" s="5"/>
      <c r="T927" s="5"/>
      <c r="U927" s="5"/>
      <c r="V927" s="5"/>
      <c r="W927" s="5"/>
      <c r="X927" s="5"/>
      <c r="Y927" s="5"/>
      <c r="Z927" s="5"/>
    </row>
    <row r="928" spans="1:26" ht="12.75" customHeight="1">
      <c r="A928" s="5"/>
      <c r="B928" s="5"/>
      <c r="C928" s="5"/>
      <c r="D928" s="5"/>
      <c r="E928" s="5"/>
      <c r="F928" s="5"/>
      <c r="G928" s="5"/>
      <c r="H928" s="306"/>
      <c r="I928" s="5"/>
      <c r="J928" s="5"/>
      <c r="K928" s="5"/>
      <c r="L928" s="5"/>
      <c r="M928" s="5"/>
      <c r="N928" s="5"/>
      <c r="O928" s="57"/>
      <c r="P928" s="5"/>
      <c r="Q928" s="5"/>
      <c r="R928" s="5"/>
      <c r="S928" s="5"/>
      <c r="T928" s="5"/>
      <c r="U928" s="5"/>
      <c r="V928" s="5"/>
      <c r="W928" s="5"/>
      <c r="X928" s="5"/>
      <c r="Y928" s="5"/>
      <c r="Z928" s="5"/>
    </row>
    <row r="929" spans="1:26" ht="12.75" customHeight="1">
      <c r="A929" s="5"/>
      <c r="B929" s="5"/>
      <c r="C929" s="5"/>
      <c r="D929" s="5"/>
      <c r="E929" s="5"/>
      <c r="F929" s="5"/>
      <c r="G929" s="5"/>
      <c r="H929" s="306"/>
      <c r="I929" s="5"/>
      <c r="J929" s="5"/>
      <c r="K929" s="5"/>
      <c r="L929" s="5"/>
      <c r="M929" s="5"/>
      <c r="N929" s="5"/>
      <c r="O929" s="57"/>
      <c r="P929" s="5"/>
      <c r="Q929" s="5"/>
      <c r="R929" s="5"/>
      <c r="S929" s="5"/>
      <c r="T929" s="5"/>
      <c r="U929" s="5"/>
      <c r="V929" s="5"/>
      <c r="W929" s="5"/>
      <c r="X929" s="5"/>
      <c r="Y929" s="5"/>
      <c r="Z929" s="5"/>
    </row>
    <row r="930" spans="1:26" ht="12.75" customHeight="1">
      <c r="A930" s="5"/>
      <c r="B930" s="5"/>
      <c r="C930" s="5"/>
      <c r="D930" s="5"/>
      <c r="E930" s="5"/>
      <c r="F930" s="5"/>
      <c r="G930" s="5"/>
      <c r="H930" s="306"/>
      <c r="I930" s="5"/>
      <c r="J930" s="5"/>
      <c r="K930" s="5"/>
      <c r="L930" s="5"/>
      <c r="M930" s="5"/>
      <c r="N930" s="5"/>
      <c r="O930" s="57"/>
      <c r="P930" s="5"/>
      <c r="Q930" s="5"/>
      <c r="R930" s="5"/>
      <c r="S930" s="5"/>
      <c r="T930" s="5"/>
      <c r="U930" s="5"/>
      <c r="V930" s="5"/>
      <c r="W930" s="5"/>
      <c r="X930" s="5"/>
      <c r="Y930" s="5"/>
      <c r="Z930" s="5"/>
    </row>
    <row r="931" spans="1:26" ht="12.75" customHeight="1">
      <c r="A931" s="5"/>
      <c r="B931" s="5"/>
      <c r="C931" s="5"/>
      <c r="D931" s="5"/>
      <c r="E931" s="5"/>
      <c r="F931" s="5"/>
      <c r="G931" s="5"/>
      <c r="H931" s="306"/>
      <c r="I931" s="5"/>
      <c r="J931" s="5"/>
      <c r="K931" s="5"/>
      <c r="L931" s="5"/>
      <c r="M931" s="5"/>
      <c r="N931" s="5"/>
      <c r="O931" s="57"/>
      <c r="P931" s="5"/>
      <c r="Q931" s="5"/>
      <c r="R931" s="5"/>
      <c r="S931" s="5"/>
      <c r="T931" s="5"/>
      <c r="U931" s="5"/>
      <c r="V931" s="5"/>
      <c r="W931" s="5"/>
      <c r="X931" s="5"/>
      <c r="Y931" s="5"/>
      <c r="Z931" s="5"/>
    </row>
    <row r="932" spans="1:26" ht="12.75" customHeight="1">
      <c r="A932" s="5"/>
      <c r="B932" s="5"/>
      <c r="C932" s="5"/>
      <c r="D932" s="5"/>
      <c r="E932" s="5"/>
      <c r="F932" s="5"/>
      <c r="G932" s="5"/>
      <c r="H932" s="306"/>
      <c r="I932" s="5"/>
      <c r="J932" s="5"/>
      <c r="K932" s="5"/>
      <c r="L932" s="5"/>
      <c r="M932" s="5"/>
      <c r="N932" s="5"/>
      <c r="O932" s="57"/>
      <c r="P932" s="5"/>
      <c r="Q932" s="5"/>
      <c r="R932" s="5"/>
      <c r="S932" s="5"/>
      <c r="T932" s="5"/>
      <c r="U932" s="5"/>
      <c r="V932" s="5"/>
      <c r="W932" s="5"/>
      <c r="X932" s="5"/>
      <c r="Y932" s="5"/>
      <c r="Z932" s="5"/>
    </row>
    <row r="933" spans="1:26" ht="12.75" customHeight="1">
      <c r="A933" s="5"/>
      <c r="B933" s="5"/>
      <c r="C933" s="5"/>
      <c r="D933" s="5"/>
      <c r="E933" s="5"/>
      <c r="F933" s="5"/>
      <c r="G933" s="5"/>
      <c r="H933" s="306"/>
      <c r="I933" s="5"/>
      <c r="J933" s="5"/>
      <c r="K933" s="5"/>
      <c r="L933" s="5"/>
      <c r="M933" s="5"/>
      <c r="N933" s="5"/>
      <c r="O933" s="57"/>
      <c r="P933" s="5"/>
      <c r="Q933" s="5"/>
      <c r="R933" s="5"/>
      <c r="S933" s="5"/>
      <c r="T933" s="5"/>
      <c r="U933" s="5"/>
      <c r="V933" s="5"/>
      <c r="W933" s="5"/>
      <c r="X933" s="5"/>
      <c r="Y933" s="5"/>
      <c r="Z933" s="5"/>
    </row>
    <row r="934" spans="1:26" ht="12.75" customHeight="1">
      <c r="A934" s="5"/>
      <c r="B934" s="5"/>
      <c r="C934" s="5"/>
      <c r="D934" s="5"/>
      <c r="E934" s="5"/>
      <c r="F934" s="5"/>
      <c r="G934" s="5"/>
      <c r="H934" s="306"/>
      <c r="I934" s="5"/>
      <c r="J934" s="5"/>
      <c r="K934" s="5"/>
      <c r="L934" s="5"/>
      <c r="M934" s="5"/>
      <c r="N934" s="5"/>
      <c r="O934" s="57"/>
      <c r="P934" s="5"/>
      <c r="Q934" s="5"/>
      <c r="R934" s="5"/>
      <c r="S934" s="5"/>
      <c r="T934" s="5"/>
      <c r="U934" s="5"/>
      <c r="V934" s="5"/>
      <c r="W934" s="5"/>
      <c r="X934" s="5"/>
      <c r="Y934" s="5"/>
      <c r="Z934" s="5"/>
    </row>
    <row r="935" spans="1:26" ht="12.75" customHeight="1">
      <c r="A935" s="5"/>
      <c r="B935" s="5"/>
      <c r="C935" s="5"/>
      <c r="D935" s="5"/>
      <c r="E935" s="5"/>
      <c r="F935" s="5"/>
      <c r="G935" s="5"/>
      <c r="H935" s="306"/>
      <c r="I935" s="5"/>
      <c r="J935" s="5"/>
      <c r="K935" s="5"/>
      <c r="L935" s="5"/>
      <c r="M935" s="5"/>
      <c r="N935" s="5"/>
      <c r="O935" s="57"/>
      <c r="P935" s="5"/>
      <c r="Q935" s="5"/>
      <c r="R935" s="5"/>
      <c r="S935" s="5"/>
      <c r="T935" s="5"/>
      <c r="U935" s="5"/>
      <c r="V935" s="5"/>
      <c r="W935" s="5"/>
      <c r="X935" s="5"/>
      <c r="Y935" s="5"/>
      <c r="Z935" s="5"/>
    </row>
    <row r="936" spans="1:26" ht="12.75" customHeight="1">
      <c r="A936" s="5"/>
      <c r="B936" s="5"/>
      <c r="C936" s="5"/>
      <c r="D936" s="5"/>
      <c r="E936" s="5"/>
      <c r="F936" s="5"/>
      <c r="G936" s="5"/>
      <c r="H936" s="306"/>
      <c r="I936" s="5"/>
      <c r="J936" s="5"/>
      <c r="K936" s="5"/>
      <c r="L936" s="5"/>
      <c r="M936" s="5"/>
      <c r="N936" s="5"/>
      <c r="O936" s="57"/>
      <c r="P936" s="5"/>
      <c r="Q936" s="5"/>
      <c r="R936" s="5"/>
      <c r="S936" s="5"/>
      <c r="T936" s="5"/>
      <c r="U936" s="5"/>
      <c r="V936" s="5"/>
      <c r="W936" s="5"/>
      <c r="X936" s="5"/>
      <c r="Y936" s="5"/>
      <c r="Z936" s="5"/>
    </row>
    <row r="937" spans="1:26" ht="12.75" customHeight="1">
      <c r="A937" s="5"/>
      <c r="B937" s="5"/>
      <c r="C937" s="5"/>
      <c r="D937" s="5"/>
      <c r="E937" s="5"/>
      <c r="F937" s="5"/>
      <c r="G937" s="5"/>
      <c r="H937" s="306"/>
      <c r="I937" s="5"/>
      <c r="J937" s="5"/>
      <c r="K937" s="5"/>
      <c r="L937" s="5"/>
      <c r="M937" s="5"/>
      <c r="N937" s="5"/>
      <c r="O937" s="57"/>
      <c r="P937" s="5"/>
      <c r="Q937" s="5"/>
      <c r="R937" s="5"/>
      <c r="S937" s="5"/>
      <c r="T937" s="5"/>
      <c r="U937" s="5"/>
      <c r="V937" s="5"/>
      <c r="W937" s="5"/>
      <c r="X937" s="5"/>
      <c r="Y937" s="5"/>
      <c r="Z937" s="5"/>
    </row>
    <row r="938" spans="1:26" ht="12.75" customHeight="1">
      <c r="A938" s="5"/>
      <c r="B938" s="5"/>
      <c r="C938" s="5"/>
      <c r="D938" s="5"/>
      <c r="E938" s="5"/>
      <c r="F938" s="5"/>
      <c r="G938" s="5"/>
      <c r="H938" s="306"/>
      <c r="I938" s="5"/>
      <c r="J938" s="5"/>
      <c r="K938" s="5"/>
      <c r="L938" s="5"/>
      <c r="M938" s="5"/>
      <c r="N938" s="5"/>
      <c r="O938" s="57"/>
      <c r="P938" s="5"/>
      <c r="Q938" s="5"/>
      <c r="R938" s="5"/>
      <c r="S938" s="5"/>
      <c r="T938" s="5"/>
      <c r="U938" s="5"/>
      <c r="V938" s="5"/>
      <c r="W938" s="5"/>
      <c r="X938" s="5"/>
      <c r="Y938" s="5"/>
      <c r="Z938" s="5"/>
    </row>
    <row r="939" spans="1:26" ht="12.75" customHeight="1">
      <c r="A939" s="5"/>
      <c r="B939" s="5"/>
      <c r="C939" s="5"/>
      <c r="D939" s="5"/>
      <c r="E939" s="5"/>
      <c r="F939" s="5"/>
      <c r="G939" s="5"/>
      <c r="H939" s="306"/>
      <c r="I939" s="5"/>
      <c r="J939" s="5"/>
      <c r="K939" s="5"/>
      <c r="L939" s="5"/>
      <c r="M939" s="5"/>
      <c r="N939" s="5"/>
      <c r="O939" s="57"/>
      <c r="P939" s="5"/>
      <c r="Q939" s="5"/>
      <c r="R939" s="5"/>
      <c r="S939" s="5"/>
      <c r="T939" s="5"/>
      <c r="U939" s="5"/>
      <c r="V939" s="5"/>
      <c r="W939" s="5"/>
      <c r="X939" s="5"/>
      <c r="Y939" s="5"/>
      <c r="Z939" s="5"/>
    </row>
    <row r="940" spans="1:26" ht="12.75" customHeight="1">
      <c r="A940" s="5"/>
      <c r="B940" s="5"/>
      <c r="C940" s="5"/>
      <c r="D940" s="5"/>
      <c r="E940" s="5"/>
      <c r="F940" s="5"/>
      <c r="G940" s="5"/>
      <c r="H940" s="306"/>
      <c r="I940" s="5"/>
      <c r="J940" s="5"/>
      <c r="K940" s="5"/>
      <c r="L940" s="5"/>
      <c r="M940" s="5"/>
      <c r="N940" s="5"/>
      <c r="O940" s="57"/>
      <c r="P940" s="5"/>
      <c r="Q940" s="5"/>
      <c r="R940" s="5"/>
      <c r="S940" s="5"/>
      <c r="T940" s="5"/>
      <c r="U940" s="5"/>
      <c r="V940" s="5"/>
      <c r="W940" s="5"/>
      <c r="X940" s="5"/>
      <c r="Y940" s="5"/>
      <c r="Z940" s="5"/>
    </row>
    <row r="941" spans="1:26" ht="12.75" customHeight="1">
      <c r="A941" s="5"/>
      <c r="B941" s="5"/>
      <c r="C941" s="5"/>
      <c r="D941" s="5"/>
      <c r="E941" s="5"/>
      <c r="F941" s="5"/>
      <c r="G941" s="5"/>
      <c r="H941" s="306"/>
      <c r="I941" s="5"/>
      <c r="J941" s="5"/>
      <c r="K941" s="5"/>
      <c r="L941" s="5"/>
      <c r="M941" s="5"/>
      <c r="N941" s="5"/>
      <c r="O941" s="57"/>
      <c r="P941" s="5"/>
      <c r="Q941" s="5"/>
      <c r="R941" s="5"/>
      <c r="S941" s="5"/>
      <c r="T941" s="5"/>
      <c r="U941" s="5"/>
      <c r="V941" s="5"/>
      <c r="W941" s="5"/>
      <c r="X941" s="5"/>
      <c r="Y941" s="5"/>
      <c r="Z941" s="5"/>
    </row>
    <row r="942" spans="1:26" ht="12.75" customHeight="1">
      <c r="A942" s="5"/>
      <c r="B942" s="5"/>
      <c r="C942" s="5"/>
      <c r="D942" s="5"/>
      <c r="E942" s="5"/>
      <c r="F942" s="5"/>
      <c r="G942" s="5"/>
      <c r="H942" s="306"/>
      <c r="I942" s="5"/>
      <c r="J942" s="5"/>
      <c r="K942" s="5"/>
      <c r="L942" s="5"/>
      <c r="M942" s="5"/>
      <c r="N942" s="5"/>
      <c r="O942" s="57"/>
      <c r="P942" s="5"/>
      <c r="Q942" s="5"/>
      <c r="R942" s="5"/>
      <c r="S942" s="5"/>
      <c r="T942" s="5"/>
      <c r="U942" s="5"/>
      <c r="V942" s="5"/>
      <c r="W942" s="5"/>
      <c r="X942" s="5"/>
      <c r="Y942" s="5"/>
      <c r="Z942" s="5"/>
    </row>
    <row r="943" spans="1:26" ht="12.75" customHeight="1">
      <c r="A943" s="5"/>
      <c r="B943" s="5"/>
      <c r="C943" s="5"/>
      <c r="D943" s="5"/>
      <c r="E943" s="5"/>
      <c r="F943" s="5"/>
      <c r="G943" s="5"/>
      <c r="H943" s="306"/>
      <c r="I943" s="5"/>
      <c r="J943" s="5"/>
      <c r="K943" s="5"/>
      <c r="L943" s="5"/>
      <c r="M943" s="5"/>
      <c r="N943" s="5"/>
      <c r="O943" s="57"/>
      <c r="P943" s="5"/>
      <c r="Q943" s="5"/>
      <c r="R943" s="5"/>
      <c r="S943" s="5"/>
      <c r="T943" s="5"/>
      <c r="U943" s="5"/>
      <c r="V943" s="5"/>
      <c r="W943" s="5"/>
      <c r="X943" s="5"/>
      <c r="Y943" s="5"/>
      <c r="Z943" s="5"/>
    </row>
    <row r="944" spans="1:26" ht="12.75" customHeight="1">
      <c r="A944" s="5"/>
      <c r="B944" s="5"/>
      <c r="C944" s="5"/>
      <c r="D944" s="5"/>
      <c r="E944" s="5"/>
      <c r="F944" s="5"/>
      <c r="G944" s="5"/>
      <c r="H944" s="306"/>
      <c r="I944" s="5"/>
      <c r="J944" s="5"/>
      <c r="K944" s="5"/>
      <c r="L944" s="5"/>
      <c r="M944" s="5"/>
      <c r="N944" s="5"/>
      <c r="O944" s="57"/>
      <c r="P944" s="5"/>
      <c r="Q944" s="5"/>
      <c r="R944" s="5"/>
      <c r="S944" s="5"/>
      <c r="T944" s="5"/>
      <c r="U944" s="5"/>
      <c r="V944" s="5"/>
      <c r="W944" s="5"/>
      <c r="X944" s="5"/>
      <c r="Y944" s="5"/>
      <c r="Z944" s="5"/>
    </row>
    <row r="945" spans="1:26" ht="12.75" customHeight="1">
      <c r="A945" s="5"/>
      <c r="B945" s="5"/>
      <c r="C945" s="5"/>
      <c r="D945" s="5"/>
      <c r="E945" s="5"/>
      <c r="F945" s="5"/>
      <c r="G945" s="5"/>
      <c r="H945" s="306"/>
      <c r="I945" s="5"/>
      <c r="J945" s="5"/>
      <c r="K945" s="5"/>
      <c r="L945" s="5"/>
      <c r="M945" s="5"/>
      <c r="N945" s="5"/>
      <c r="O945" s="57"/>
      <c r="P945" s="5"/>
      <c r="Q945" s="5"/>
      <c r="R945" s="5"/>
      <c r="S945" s="5"/>
      <c r="T945" s="5"/>
      <c r="U945" s="5"/>
      <c r="V945" s="5"/>
      <c r="W945" s="5"/>
      <c r="X945" s="5"/>
      <c r="Y945" s="5"/>
      <c r="Z945" s="5"/>
    </row>
    <row r="946" spans="1:26" ht="12.75" customHeight="1">
      <c r="A946" s="5"/>
      <c r="B946" s="5"/>
      <c r="C946" s="5"/>
      <c r="D946" s="5"/>
      <c r="E946" s="5"/>
      <c r="F946" s="5"/>
      <c r="G946" s="5"/>
      <c r="H946" s="306"/>
      <c r="I946" s="5"/>
      <c r="J946" s="5"/>
      <c r="K946" s="5"/>
      <c r="L946" s="5"/>
      <c r="M946" s="5"/>
      <c r="N946" s="5"/>
      <c r="O946" s="57"/>
      <c r="P946" s="5"/>
      <c r="Q946" s="5"/>
      <c r="R946" s="5"/>
      <c r="S946" s="5"/>
      <c r="T946" s="5"/>
      <c r="U946" s="5"/>
      <c r="V946" s="5"/>
      <c r="W946" s="5"/>
      <c r="X946" s="5"/>
      <c r="Y946" s="5"/>
      <c r="Z946" s="5"/>
    </row>
    <row r="947" spans="1:26" ht="12.75" customHeight="1">
      <c r="A947" s="5"/>
      <c r="B947" s="5"/>
      <c r="C947" s="5"/>
      <c r="D947" s="5"/>
      <c r="E947" s="5"/>
      <c r="F947" s="5"/>
      <c r="G947" s="5"/>
      <c r="H947" s="306"/>
      <c r="I947" s="5"/>
      <c r="J947" s="5"/>
      <c r="K947" s="5"/>
      <c r="L947" s="5"/>
      <c r="M947" s="5"/>
      <c r="N947" s="5"/>
      <c r="O947" s="57"/>
      <c r="P947" s="5"/>
      <c r="Q947" s="5"/>
      <c r="R947" s="5"/>
      <c r="S947" s="5"/>
      <c r="T947" s="5"/>
      <c r="U947" s="5"/>
      <c r="V947" s="5"/>
      <c r="W947" s="5"/>
      <c r="X947" s="5"/>
      <c r="Y947" s="5"/>
      <c r="Z947" s="5"/>
    </row>
    <row r="948" spans="1:26" ht="12.75" customHeight="1">
      <c r="A948" s="5"/>
      <c r="B948" s="5"/>
      <c r="C948" s="5"/>
      <c r="D948" s="5"/>
      <c r="E948" s="5"/>
      <c r="F948" s="5"/>
      <c r="G948" s="5"/>
      <c r="H948" s="306"/>
      <c r="I948" s="5"/>
      <c r="J948" s="5"/>
      <c r="K948" s="5"/>
      <c r="L948" s="5"/>
      <c r="M948" s="5"/>
      <c r="N948" s="5"/>
      <c r="O948" s="57"/>
      <c r="P948" s="5"/>
      <c r="Q948" s="5"/>
      <c r="R948" s="5"/>
      <c r="S948" s="5"/>
      <c r="T948" s="5"/>
      <c r="U948" s="5"/>
      <c r="V948" s="5"/>
      <c r="W948" s="5"/>
      <c r="X948" s="5"/>
      <c r="Y948" s="5"/>
      <c r="Z948" s="5"/>
    </row>
    <row r="949" spans="1:26" ht="12.75" customHeight="1">
      <c r="A949" s="5"/>
      <c r="B949" s="5"/>
      <c r="C949" s="5"/>
      <c r="D949" s="5"/>
      <c r="E949" s="5"/>
      <c r="F949" s="5"/>
      <c r="G949" s="5"/>
      <c r="H949" s="306"/>
      <c r="I949" s="5"/>
      <c r="J949" s="5"/>
      <c r="K949" s="5"/>
      <c r="L949" s="5"/>
      <c r="M949" s="5"/>
      <c r="N949" s="5"/>
      <c r="O949" s="57"/>
      <c r="P949" s="5"/>
      <c r="Q949" s="5"/>
      <c r="R949" s="5"/>
      <c r="S949" s="5"/>
      <c r="T949" s="5"/>
      <c r="U949" s="5"/>
      <c r="V949" s="5"/>
      <c r="W949" s="5"/>
      <c r="X949" s="5"/>
      <c r="Y949" s="5"/>
      <c r="Z949" s="5"/>
    </row>
    <row r="950" spans="1:26" ht="12.75" customHeight="1">
      <c r="A950" s="5"/>
      <c r="B950" s="5"/>
      <c r="C950" s="5"/>
      <c r="D950" s="5"/>
      <c r="E950" s="5"/>
      <c r="F950" s="5"/>
      <c r="G950" s="5"/>
      <c r="H950" s="306"/>
      <c r="I950" s="5"/>
      <c r="J950" s="5"/>
      <c r="K950" s="5"/>
      <c r="L950" s="5"/>
      <c r="M950" s="5"/>
      <c r="N950" s="5"/>
      <c r="O950" s="57"/>
      <c r="P950" s="5"/>
      <c r="Q950" s="5"/>
      <c r="R950" s="5"/>
      <c r="S950" s="5"/>
      <c r="T950" s="5"/>
      <c r="U950" s="5"/>
      <c r="V950" s="5"/>
      <c r="W950" s="5"/>
      <c r="X950" s="5"/>
      <c r="Y950" s="5"/>
      <c r="Z950" s="5"/>
    </row>
    <row r="951" spans="1:26" ht="12.75" customHeight="1">
      <c r="A951" s="5"/>
      <c r="B951" s="5"/>
      <c r="C951" s="5"/>
      <c r="D951" s="5"/>
      <c r="E951" s="5"/>
      <c r="F951" s="5"/>
      <c r="G951" s="5"/>
      <c r="H951" s="306"/>
      <c r="I951" s="5"/>
      <c r="J951" s="5"/>
      <c r="K951" s="5"/>
      <c r="L951" s="5"/>
      <c r="M951" s="5"/>
      <c r="N951" s="5"/>
      <c r="O951" s="57"/>
      <c r="P951" s="5"/>
      <c r="Q951" s="5"/>
      <c r="R951" s="5"/>
      <c r="S951" s="5"/>
      <c r="T951" s="5"/>
      <c r="U951" s="5"/>
      <c r="V951" s="5"/>
      <c r="W951" s="5"/>
      <c r="X951" s="5"/>
      <c r="Y951" s="5"/>
      <c r="Z951" s="5"/>
    </row>
    <row r="952" spans="1:26" ht="12.75" customHeight="1">
      <c r="A952" s="5"/>
      <c r="B952" s="5"/>
      <c r="C952" s="5"/>
      <c r="D952" s="5"/>
      <c r="E952" s="5"/>
      <c r="F952" s="5"/>
      <c r="G952" s="5"/>
      <c r="H952" s="306"/>
      <c r="I952" s="5"/>
      <c r="J952" s="5"/>
      <c r="K952" s="5"/>
      <c r="L952" s="5"/>
      <c r="M952" s="5"/>
      <c r="N952" s="5"/>
      <c r="O952" s="57"/>
      <c r="P952" s="5"/>
      <c r="Q952" s="5"/>
      <c r="R952" s="5"/>
      <c r="S952" s="5"/>
      <c r="T952" s="5"/>
      <c r="U952" s="5"/>
      <c r="V952" s="5"/>
      <c r="W952" s="5"/>
      <c r="X952" s="5"/>
      <c r="Y952" s="5"/>
      <c r="Z952" s="5"/>
    </row>
    <row r="953" spans="1:26" ht="12.75" customHeight="1">
      <c r="A953" s="5"/>
      <c r="B953" s="5"/>
      <c r="C953" s="5"/>
      <c r="D953" s="5"/>
      <c r="E953" s="5"/>
      <c r="F953" s="5"/>
      <c r="G953" s="5"/>
      <c r="H953" s="306"/>
      <c r="I953" s="5"/>
      <c r="J953" s="5"/>
      <c r="K953" s="5"/>
      <c r="L953" s="5"/>
      <c r="M953" s="5"/>
      <c r="N953" s="5"/>
      <c r="O953" s="57"/>
      <c r="P953" s="5"/>
      <c r="Q953" s="5"/>
      <c r="R953" s="5"/>
      <c r="S953" s="5"/>
      <c r="T953" s="5"/>
      <c r="U953" s="5"/>
      <c r="V953" s="5"/>
      <c r="W953" s="5"/>
      <c r="X953" s="5"/>
      <c r="Y953" s="5"/>
      <c r="Z953" s="5"/>
    </row>
    <row r="954" spans="1:26" ht="12.75" customHeight="1">
      <c r="A954" s="5"/>
      <c r="B954" s="5"/>
      <c r="C954" s="5"/>
      <c r="D954" s="5"/>
      <c r="E954" s="5"/>
      <c r="F954" s="5"/>
      <c r="G954" s="5"/>
      <c r="H954" s="306"/>
      <c r="I954" s="5"/>
      <c r="J954" s="5"/>
      <c r="K954" s="5"/>
      <c r="L954" s="5"/>
      <c r="M954" s="5"/>
      <c r="N954" s="5"/>
      <c r="O954" s="57"/>
      <c r="P954" s="5"/>
      <c r="Q954" s="5"/>
      <c r="R954" s="5"/>
      <c r="S954" s="5"/>
      <c r="T954" s="5"/>
      <c r="U954" s="5"/>
      <c r="V954" s="5"/>
      <c r="W954" s="5"/>
      <c r="X954" s="5"/>
      <c r="Y954" s="5"/>
      <c r="Z954" s="5"/>
    </row>
    <row r="955" spans="1:26" ht="12.75" customHeight="1">
      <c r="A955" s="5"/>
      <c r="B955" s="5"/>
      <c r="C955" s="5"/>
      <c r="D955" s="5"/>
      <c r="E955" s="5"/>
      <c r="F955" s="5"/>
      <c r="G955" s="5"/>
      <c r="H955" s="306"/>
      <c r="I955" s="5"/>
      <c r="J955" s="5"/>
      <c r="K955" s="5"/>
      <c r="L955" s="5"/>
      <c r="M955" s="5"/>
      <c r="N955" s="5"/>
      <c r="O955" s="57"/>
      <c r="P955" s="5"/>
      <c r="Q955" s="5"/>
      <c r="R955" s="5"/>
      <c r="S955" s="5"/>
      <c r="T955" s="5"/>
      <c r="U955" s="5"/>
      <c r="V955" s="5"/>
      <c r="W955" s="5"/>
      <c r="X955" s="5"/>
      <c r="Y955" s="5"/>
      <c r="Z955" s="5"/>
    </row>
    <row r="956" spans="1:26" ht="12.75" customHeight="1">
      <c r="A956" s="5"/>
      <c r="B956" s="5"/>
      <c r="C956" s="5"/>
      <c r="D956" s="5"/>
      <c r="E956" s="5"/>
      <c r="F956" s="5"/>
      <c r="G956" s="5"/>
      <c r="H956" s="306"/>
      <c r="I956" s="5"/>
      <c r="J956" s="5"/>
      <c r="K956" s="5"/>
      <c r="L956" s="5"/>
      <c r="M956" s="5"/>
      <c r="N956" s="5"/>
      <c r="O956" s="57"/>
      <c r="P956" s="5"/>
      <c r="Q956" s="5"/>
      <c r="R956" s="5"/>
      <c r="S956" s="5"/>
      <c r="T956" s="5"/>
      <c r="U956" s="5"/>
      <c r="V956" s="5"/>
      <c r="W956" s="5"/>
      <c r="X956" s="5"/>
      <c r="Y956" s="5"/>
      <c r="Z956" s="5"/>
    </row>
    <row r="957" spans="1:26" ht="12.75" customHeight="1">
      <c r="A957" s="5"/>
      <c r="B957" s="5"/>
      <c r="C957" s="5"/>
      <c r="D957" s="5"/>
      <c r="E957" s="5"/>
      <c r="F957" s="5"/>
      <c r="G957" s="5"/>
      <c r="H957" s="306"/>
      <c r="I957" s="5"/>
      <c r="J957" s="5"/>
      <c r="K957" s="5"/>
      <c r="L957" s="5"/>
      <c r="M957" s="5"/>
      <c r="N957" s="5"/>
      <c r="O957" s="57"/>
      <c r="P957" s="5"/>
      <c r="Q957" s="5"/>
      <c r="R957" s="5"/>
      <c r="S957" s="5"/>
      <c r="T957" s="5"/>
      <c r="U957" s="5"/>
      <c r="V957" s="5"/>
      <c r="W957" s="5"/>
      <c r="X957" s="5"/>
      <c r="Y957" s="5"/>
      <c r="Z957" s="5"/>
    </row>
    <row r="958" spans="1:26" ht="12.75" customHeight="1">
      <c r="A958" s="5"/>
      <c r="B958" s="5"/>
      <c r="C958" s="5"/>
      <c r="D958" s="5"/>
      <c r="E958" s="5"/>
      <c r="F958" s="5"/>
      <c r="G958" s="5"/>
      <c r="H958" s="306"/>
      <c r="I958" s="5"/>
      <c r="J958" s="5"/>
      <c r="K958" s="5"/>
      <c r="L958" s="5"/>
      <c r="M958" s="5"/>
      <c r="N958" s="5"/>
      <c r="O958" s="57"/>
      <c r="P958" s="5"/>
      <c r="Q958" s="5"/>
      <c r="R958" s="5"/>
      <c r="S958" s="5"/>
      <c r="T958" s="5"/>
      <c r="U958" s="5"/>
      <c r="V958" s="5"/>
      <c r="W958" s="5"/>
      <c r="X958" s="5"/>
      <c r="Y958" s="5"/>
      <c r="Z958" s="5"/>
    </row>
    <row r="959" spans="1:26" ht="12.75" customHeight="1">
      <c r="A959" s="5"/>
      <c r="B959" s="5"/>
      <c r="C959" s="5"/>
      <c r="D959" s="5"/>
      <c r="E959" s="5"/>
      <c r="F959" s="5"/>
      <c r="G959" s="5"/>
      <c r="H959" s="306"/>
      <c r="I959" s="5"/>
      <c r="J959" s="5"/>
      <c r="K959" s="5"/>
      <c r="L959" s="5"/>
      <c r="M959" s="5"/>
      <c r="N959" s="5"/>
      <c r="O959" s="57"/>
      <c r="P959" s="5"/>
      <c r="Q959" s="5"/>
      <c r="R959" s="5"/>
      <c r="S959" s="5"/>
      <c r="T959" s="5"/>
      <c r="U959" s="5"/>
      <c r="V959" s="5"/>
      <c r="W959" s="5"/>
      <c r="X959" s="5"/>
      <c r="Y959" s="5"/>
      <c r="Z959" s="5"/>
    </row>
    <row r="960" spans="1:26" ht="12.75" customHeight="1">
      <c r="A960" s="5"/>
      <c r="B960" s="5"/>
      <c r="C960" s="5"/>
      <c r="D960" s="5"/>
      <c r="E960" s="5"/>
      <c r="F960" s="5"/>
      <c r="G960" s="5"/>
      <c r="H960" s="306"/>
      <c r="I960" s="5"/>
      <c r="J960" s="5"/>
      <c r="K960" s="5"/>
      <c r="L960" s="5"/>
      <c r="M960" s="5"/>
      <c r="N960" s="5"/>
      <c r="O960" s="57"/>
      <c r="P960" s="5"/>
      <c r="Q960" s="5"/>
      <c r="R960" s="5"/>
      <c r="S960" s="5"/>
      <c r="T960" s="5"/>
      <c r="U960" s="5"/>
      <c r="V960" s="5"/>
      <c r="W960" s="5"/>
      <c r="X960" s="5"/>
      <c r="Y960" s="5"/>
      <c r="Z960" s="5"/>
    </row>
    <row r="961" spans="1:26" ht="12.75" customHeight="1">
      <c r="A961" s="5"/>
      <c r="B961" s="5"/>
      <c r="C961" s="5"/>
      <c r="D961" s="5"/>
      <c r="E961" s="5"/>
      <c r="F961" s="5"/>
      <c r="G961" s="5"/>
      <c r="H961" s="306"/>
      <c r="I961" s="5"/>
      <c r="J961" s="5"/>
      <c r="K961" s="5"/>
      <c r="L961" s="5"/>
      <c r="M961" s="5"/>
      <c r="N961" s="5"/>
      <c r="O961" s="57"/>
      <c r="P961" s="5"/>
      <c r="Q961" s="5"/>
      <c r="R961" s="5"/>
      <c r="S961" s="5"/>
      <c r="T961" s="5"/>
      <c r="U961" s="5"/>
      <c r="V961" s="5"/>
      <c r="W961" s="5"/>
      <c r="X961" s="5"/>
      <c r="Y961" s="5"/>
      <c r="Z961" s="5"/>
    </row>
    <row r="962" spans="1:26" ht="12.75" customHeight="1">
      <c r="A962" s="5"/>
      <c r="B962" s="5"/>
      <c r="C962" s="5"/>
      <c r="D962" s="5"/>
      <c r="E962" s="5"/>
      <c r="F962" s="5"/>
      <c r="G962" s="5"/>
      <c r="H962" s="306"/>
      <c r="I962" s="5"/>
      <c r="J962" s="5"/>
      <c r="K962" s="5"/>
      <c r="L962" s="5"/>
      <c r="M962" s="5"/>
      <c r="N962" s="5"/>
      <c r="O962" s="57"/>
      <c r="P962" s="5"/>
      <c r="Q962" s="5"/>
      <c r="R962" s="5"/>
      <c r="S962" s="5"/>
      <c r="T962" s="5"/>
      <c r="U962" s="5"/>
      <c r="V962" s="5"/>
      <c r="W962" s="5"/>
      <c r="X962" s="5"/>
      <c r="Y962" s="5"/>
      <c r="Z962" s="5"/>
    </row>
    <row r="963" spans="1:26" ht="12.75" customHeight="1">
      <c r="A963" s="5"/>
      <c r="B963" s="5"/>
      <c r="C963" s="5"/>
      <c r="D963" s="5"/>
      <c r="E963" s="5"/>
      <c r="F963" s="5"/>
      <c r="G963" s="5"/>
      <c r="H963" s="306"/>
      <c r="I963" s="5"/>
      <c r="J963" s="5"/>
      <c r="K963" s="5"/>
      <c r="L963" s="5"/>
      <c r="M963" s="5"/>
      <c r="N963" s="5"/>
      <c r="O963" s="57"/>
      <c r="P963" s="5"/>
      <c r="Q963" s="5"/>
      <c r="R963" s="5"/>
      <c r="S963" s="5"/>
      <c r="T963" s="5"/>
      <c r="U963" s="5"/>
      <c r="V963" s="5"/>
      <c r="W963" s="5"/>
      <c r="X963" s="5"/>
      <c r="Y963" s="5"/>
      <c r="Z963" s="5"/>
    </row>
    <row r="964" spans="1:26" ht="12.75" customHeight="1">
      <c r="A964" s="5"/>
      <c r="B964" s="5"/>
      <c r="C964" s="5"/>
      <c r="D964" s="5"/>
      <c r="E964" s="5"/>
      <c r="F964" s="5"/>
      <c r="G964" s="5"/>
      <c r="H964" s="306"/>
      <c r="I964" s="5"/>
      <c r="J964" s="5"/>
      <c r="K964" s="5"/>
      <c r="L964" s="5"/>
      <c r="M964" s="5"/>
      <c r="N964" s="5"/>
      <c r="O964" s="57"/>
      <c r="P964" s="5"/>
      <c r="Q964" s="5"/>
      <c r="R964" s="5"/>
      <c r="S964" s="5"/>
      <c r="T964" s="5"/>
      <c r="U964" s="5"/>
      <c r="V964" s="5"/>
      <c r="W964" s="5"/>
      <c r="X964" s="5"/>
      <c r="Y964" s="5"/>
      <c r="Z964" s="5"/>
    </row>
    <row r="965" spans="1:26" ht="12.75" customHeight="1">
      <c r="A965" s="5"/>
      <c r="B965" s="5"/>
      <c r="C965" s="5"/>
      <c r="D965" s="5"/>
      <c r="E965" s="5"/>
      <c r="F965" s="5"/>
      <c r="G965" s="5"/>
      <c r="H965" s="306"/>
      <c r="I965" s="5"/>
      <c r="J965" s="5"/>
      <c r="K965" s="5"/>
      <c r="L965" s="5"/>
      <c r="M965" s="5"/>
      <c r="N965" s="5"/>
      <c r="O965" s="57"/>
      <c r="P965" s="5"/>
      <c r="Q965" s="5"/>
      <c r="R965" s="5"/>
      <c r="S965" s="5"/>
      <c r="T965" s="5"/>
      <c r="U965" s="5"/>
      <c r="V965" s="5"/>
      <c r="W965" s="5"/>
      <c r="X965" s="5"/>
      <c r="Y965" s="5"/>
      <c r="Z965" s="5"/>
    </row>
    <row r="966" spans="1:26" ht="12.75" customHeight="1">
      <c r="A966" s="5"/>
      <c r="B966" s="5"/>
      <c r="C966" s="5"/>
      <c r="D966" s="5"/>
      <c r="E966" s="5"/>
      <c r="F966" s="5"/>
      <c r="G966" s="5"/>
      <c r="H966" s="306"/>
      <c r="I966" s="5"/>
      <c r="J966" s="5"/>
      <c r="K966" s="5"/>
      <c r="L966" s="5"/>
      <c r="M966" s="5"/>
      <c r="N966" s="5"/>
      <c r="O966" s="57"/>
      <c r="P966" s="5"/>
      <c r="Q966" s="5"/>
      <c r="R966" s="5"/>
      <c r="S966" s="5"/>
      <c r="T966" s="5"/>
      <c r="U966" s="5"/>
      <c r="V966" s="5"/>
      <c r="W966" s="5"/>
      <c r="X966" s="5"/>
      <c r="Y966" s="5"/>
      <c r="Z966" s="5"/>
    </row>
    <row r="967" spans="1:26" ht="12.75" customHeight="1">
      <c r="A967" s="5"/>
      <c r="B967" s="5"/>
      <c r="C967" s="5"/>
      <c r="D967" s="5"/>
      <c r="E967" s="5"/>
      <c r="F967" s="5"/>
      <c r="G967" s="5"/>
      <c r="H967" s="306"/>
      <c r="I967" s="5"/>
      <c r="J967" s="5"/>
      <c r="K967" s="5"/>
      <c r="L967" s="5"/>
      <c r="M967" s="5"/>
      <c r="N967" s="5"/>
      <c r="O967" s="57"/>
      <c r="P967" s="5"/>
      <c r="Q967" s="5"/>
      <c r="R967" s="5"/>
      <c r="S967" s="5"/>
      <c r="T967" s="5"/>
      <c r="U967" s="5"/>
      <c r="V967" s="5"/>
      <c r="W967" s="5"/>
      <c r="X967" s="5"/>
      <c r="Y967" s="5"/>
      <c r="Z967" s="5"/>
    </row>
    <row r="968" spans="1:26" ht="12.75" customHeight="1">
      <c r="A968" s="5"/>
      <c r="B968" s="5"/>
      <c r="C968" s="5"/>
      <c r="D968" s="5"/>
      <c r="E968" s="5"/>
      <c r="F968" s="5"/>
      <c r="G968" s="5"/>
      <c r="H968" s="306"/>
      <c r="I968" s="5"/>
      <c r="J968" s="5"/>
      <c r="K968" s="5"/>
      <c r="L968" s="5"/>
      <c r="M968" s="5"/>
      <c r="N968" s="5"/>
      <c r="O968" s="57"/>
      <c r="P968" s="5"/>
      <c r="Q968" s="5"/>
      <c r="R968" s="5"/>
      <c r="S968" s="5"/>
      <c r="T968" s="5"/>
      <c r="U968" s="5"/>
      <c r="V968" s="5"/>
      <c r="W968" s="5"/>
      <c r="X968" s="5"/>
      <c r="Y968" s="5"/>
      <c r="Z968" s="5"/>
    </row>
    <row r="969" spans="1:26" ht="12.75" customHeight="1">
      <c r="A969" s="5"/>
      <c r="B969" s="5"/>
      <c r="C969" s="5"/>
      <c r="D969" s="5"/>
      <c r="E969" s="5"/>
      <c r="F969" s="5"/>
      <c r="G969" s="5"/>
      <c r="H969" s="306"/>
      <c r="I969" s="5"/>
      <c r="J969" s="5"/>
      <c r="K969" s="5"/>
      <c r="L969" s="5"/>
      <c r="M969" s="5"/>
      <c r="N969" s="5"/>
      <c r="O969" s="57"/>
      <c r="P969" s="5"/>
      <c r="Q969" s="5"/>
      <c r="R969" s="5"/>
      <c r="S969" s="5"/>
      <c r="T969" s="5"/>
      <c r="U969" s="5"/>
      <c r="V969" s="5"/>
      <c r="W969" s="5"/>
      <c r="X969" s="5"/>
      <c r="Y969" s="5"/>
      <c r="Z969" s="5"/>
    </row>
    <row r="970" spans="1:26" ht="12.75" customHeight="1">
      <c r="A970" s="5"/>
      <c r="B970" s="5"/>
      <c r="C970" s="5"/>
      <c r="D970" s="5"/>
      <c r="E970" s="5"/>
      <c r="F970" s="5"/>
      <c r="G970" s="5"/>
      <c r="H970" s="306"/>
      <c r="I970" s="5"/>
      <c r="J970" s="5"/>
      <c r="K970" s="5"/>
      <c r="L970" s="5"/>
      <c r="M970" s="5"/>
      <c r="N970" s="5"/>
      <c r="O970" s="57"/>
      <c r="P970" s="5"/>
      <c r="Q970" s="5"/>
      <c r="R970" s="5"/>
      <c r="S970" s="5"/>
      <c r="T970" s="5"/>
      <c r="U970" s="5"/>
      <c r="V970" s="5"/>
      <c r="W970" s="5"/>
      <c r="X970" s="5"/>
      <c r="Y970" s="5"/>
      <c r="Z970" s="5"/>
    </row>
    <row r="971" spans="1:26" ht="12.75" customHeight="1">
      <c r="A971" s="5"/>
      <c r="B971" s="5"/>
      <c r="C971" s="5"/>
      <c r="D971" s="5"/>
      <c r="E971" s="5"/>
      <c r="F971" s="5"/>
      <c r="G971" s="5"/>
      <c r="H971" s="306"/>
      <c r="I971" s="5"/>
      <c r="J971" s="5"/>
      <c r="K971" s="5"/>
      <c r="L971" s="5"/>
      <c r="M971" s="5"/>
      <c r="N971" s="5"/>
      <c r="O971" s="57"/>
      <c r="P971" s="5"/>
      <c r="Q971" s="5"/>
      <c r="R971" s="5"/>
      <c r="S971" s="5"/>
      <c r="T971" s="5"/>
      <c r="U971" s="5"/>
      <c r="V971" s="5"/>
      <c r="W971" s="5"/>
      <c r="X971" s="5"/>
      <c r="Y971" s="5"/>
      <c r="Z971" s="5"/>
    </row>
    <row r="972" spans="1:26" ht="12.75" customHeight="1">
      <c r="A972" s="5"/>
      <c r="B972" s="5"/>
      <c r="C972" s="5"/>
      <c r="D972" s="5"/>
      <c r="E972" s="5"/>
      <c r="F972" s="5"/>
      <c r="G972" s="5"/>
      <c r="H972" s="306"/>
      <c r="I972" s="5"/>
      <c r="J972" s="5"/>
      <c r="K972" s="5"/>
      <c r="L972" s="5"/>
      <c r="M972" s="5"/>
      <c r="N972" s="5"/>
      <c r="O972" s="57"/>
      <c r="P972" s="5"/>
      <c r="Q972" s="5"/>
      <c r="R972" s="5"/>
      <c r="S972" s="5"/>
      <c r="T972" s="5"/>
      <c r="U972" s="5"/>
      <c r="V972" s="5"/>
      <c r="W972" s="5"/>
      <c r="X972" s="5"/>
      <c r="Y972" s="5"/>
      <c r="Z972" s="5"/>
    </row>
    <row r="973" spans="1:26" ht="12.75" customHeight="1">
      <c r="A973" s="5"/>
      <c r="B973" s="5"/>
      <c r="C973" s="5"/>
      <c r="D973" s="5"/>
      <c r="E973" s="5"/>
      <c r="F973" s="5"/>
      <c r="G973" s="5"/>
      <c r="H973" s="306"/>
      <c r="I973" s="5"/>
      <c r="J973" s="5"/>
      <c r="K973" s="5"/>
      <c r="L973" s="5"/>
      <c r="M973" s="5"/>
      <c r="N973" s="5"/>
      <c r="O973" s="57"/>
      <c r="P973" s="5"/>
      <c r="Q973" s="5"/>
      <c r="R973" s="5"/>
      <c r="S973" s="5"/>
      <c r="T973" s="5"/>
      <c r="U973" s="5"/>
      <c r="V973" s="5"/>
      <c r="W973" s="5"/>
      <c r="X973" s="5"/>
      <c r="Y973" s="5"/>
      <c r="Z973" s="5"/>
    </row>
    <row r="974" spans="1:26" ht="12.75" customHeight="1">
      <c r="A974" s="5"/>
      <c r="B974" s="5"/>
      <c r="C974" s="5"/>
      <c r="D974" s="5"/>
      <c r="E974" s="5"/>
      <c r="F974" s="5"/>
      <c r="G974" s="5"/>
      <c r="H974" s="306"/>
      <c r="I974" s="5"/>
      <c r="J974" s="5"/>
      <c r="K974" s="5"/>
      <c r="L974" s="5"/>
      <c r="M974" s="5"/>
      <c r="N974" s="5"/>
      <c r="O974" s="57"/>
      <c r="P974" s="5"/>
      <c r="Q974" s="5"/>
      <c r="R974" s="5"/>
      <c r="S974" s="5"/>
      <c r="T974" s="5"/>
      <c r="U974" s="5"/>
      <c r="V974" s="5"/>
      <c r="W974" s="5"/>
      <c r="X974" s="5"/>
      <c r="Y974" s="5"/>
      <c r="Z974" s="5"/>
    </row>
    <row r="975" spans="1:26" ht="12.75" customHeight="1">
      <c r="A975" s="5"/>
      <c r="B975" s="5"/>
      <c r="C975" s="5"/>
      <c r="D975" s="5"/>
      <c r="E975" s="5"/>
      <c r="F975" s="5"/>
      <c r="G975" s="5"/>
      <c r="H975" s="306"/>
      <c r="I975" s="5"/>
      <c r="J975" s="5"/>
      <c r="K975" s="5"/>
      <c r="L975" s="5"/>
      <c r="M975" s="5"/>
      <c r="N975" s="5"/>
      <c r="O975" s="57"/>
      <c r="P975" s="5"/>
      <c r="Q975" s="5"/>
      <c r="R975" s="5"/>
      <c r="S975" s="5"/>
      <c r="T975" s="5"/>
      <c r="U975" s="5"/>
      <c r="V975" s="5"/>
      <c r="W975" s="5"/>
      <c r="X975" s="5"/>
      <c r="Y975" s="5"/>
      <c r="Z975" s="5"/>
    </row>
    <row r="976" spans="1:26" ht="12.75" customHeight="1">
      <c r="A976" s="5"/>
      <c r="B976" s="5"/>
      <c r="C976" s="5"/>
      <c r="D976" s="5"/>
      <c r="E976" s="5"/>
      <c r="F976" s="5"/>
      <c r="G976" s="5"/>
      <c r="H976" s="306"/>
      <c r="I976" s="5"/>
      <c r="J976" s="5"/>
      <c r="K976" s="5"/>
      <c r="L976" s="5"/>
      <c r="M976" s="5"/>
      <c r="N976" s="5"/>
      <c r="O976" s="57"/>
      <c r="P976" s="5"/>
      <c r="Q976" s="5"/>
      <c r="R976" s="5"/>
      <c r="S976" s="5"/>
      <c r="T976" s="5"/>
      <c r="U976" s="5"/>
      <c r="V976" s="5"/>
      <c r="W976" s="5"/>
      <c r="X976" s="5"/>
      <c r="Y976" s="5"/>
      <c r="Z976" s="5"/>
    </row>
    <row r="977" spans="1:26" ht="12.75" customHeight="1">
      <c r="A977" s="5"/>
      <c r="B977" s="5"/>
      <c r="C977" s="5"/>
      <c r="D977" s="5"/>
      <c r="E977" s="5"/>
      <c r="F977" s="5"/>
      <c r="G977" s="5"/>
      <c r="H977" s="306"/>
      <c r="I977" s="5"/>
      <c r="J977" s="5"/>
      <c r="K977" s="5"/>
      <c r="L977" s="5"/>
      <c r="M977" s="5"/>
      <c r="N977" s="5"/>
      <c r="O977" s="57"/>
      <c r="P977" s="5"/>
      <c r="Q977" s="5"/>
      <c r="R977" s="5"/>
      <c r="S977" s="5"/>
      <c r="T977" s="5"/>
      <c r="U977" s="5"/>
      <c r="V977" s="5"/>
      <c r="W977" s="5"/>
      <c r="X977" s="5"/>
      <c r="Y977" s="5"/>
      <c r="Z977" s="5"/>
    </row>
    <row r="978" spans="1:26" ht="12.75" customHeight="1">
      <c r="A978" s="5"/>
      <c r="B978" s="5"/>
      <c r="C978" s="5"/>
      <c r="D978" s="5"/>
      <c r="E978" s="5"/>
      <c r="F978" s="5"/>
      <c r="G978" s="5"/>
      <c r="H978" s="306"/>
      <c r="I978" s="5"/>
      <c r="J978" s="5"/>
      <c r="K978" s="5"/>
      <c r="L978" s="5"/>
      <c r="M978" s="5"/>
      <c r="N978" s="5"/>
      <c r="O978" s="57"/>
      <c r="P978" s="5"/>
      <c r="Q978" s="5"/>
      <c r="R978" s="5"/>
      <c r="S978" s="5"/>
      <c r="T978" s="5"/>
      <c r="U978" s="5"/>
      <c r="V978" s="5"/>
      <c r="W978" s="5"/>
      <c r="X978" s="5"/>
      <c r="Y978" s="5"/>
      <c r="Z978" s="5"/>
    </row>
    <row r="979" spans="1:26" ht="12.75" customHeight="1">
      <c r="A979" s="5"/>
      <c r="B979" s="5"/>
      <c r="C979" s="5"/>
      <c r="D979" s="5"/>
      <c r="E979" s="5"/>
      <c r="F979" s="5"/>
      <c r="G979" s="5"/>
      <c r="H979" s="306"/>
      <c r="I979" s="5"/>
      <c r="J979" s="5"/>
      <c r="K979" s="5"/>
      <c r="L979" s="5"/>
      <c r="M979" s="5"/>
      <c r="N979" s="5"/>
      <c r="O979" s="57"/>
      <c r="P979" s="5"/>
      <c r="Q979" s="5"/>
      <c r="R979" s="5"/>
      <c r="S979" s="5"/>
      <c r="T979" s="5"/>
      <c r="U979" s="5"/>
      <c r="V979" s="5"/>
      <c r="W979" s="5"/>
      <c r="X979" s="5"/>
      <c r="Y979" s="5"/>
      <c r="Z979" s="5"/>
    </row>
    <row r="980" spans="1:26" ht="12.75" customHeight="1">
      <c r="A980" s="5"/>
      <c r="B980" s="5"/>
      <c r="C980" s="5"/>
      <c r="D980" s="5"/>
      <c r="E980" s="5"/>
      <c r="F980" s="5"/>
      <c r="G980" s="5"/>
      <c r="H980" s="306"/>
      <c r="I980" s="5"/>
      <c r="J980" s="5"/>
      <c r="K980" s="5"/>
      <c r="L980" s="5"/>
      <c r="M980" s="5"/>
      <c r="N980" s="5"/>
      <c r="O980" s="57"/>
      <c r="P980" s="5"/>
      <c r="Q980" s="5"/>
      <c r="R980" s="5"/>
      <c r="S980" s="5"/>
      <c r="T980" s="5"/>
      <c r="U980" s="5"/>
      <c r="V980" s="5"/>
      <c r="W980" s="5"/>
      <c r="X980" s="5"/>
      <c r="Y980" s="5"/>
      <c r="Z980" s="5"/>
    </row>
    <row r="981" spans="1:26" ht="12.75" customHeight="1">
      <c r="A981" s="5"/>
      <c r="B981" s="5"/>
      <c r="C981" s="5"/>
      <c r="D981" s="5"/>
      <c r="E981" s="5"/>
      <c r="F981" s="5"/>
      <c r="G981" s="5"/>
      <c r="H981" s="306"/>
      <c r="I981" s="5"/>
      <c r="J981" s="5"/>
      <c r="K981" s="5"/>
      <c r="L981" s="5"/>
      <c r="M981" s="5"/>
      <c r="N981" s="5"/>
      <c r="O981" s="57"/>
      <c r="P981" s="5"/>
      <c r="Q981" s="5"/>
      <c r="R981" s="5"/>
      <c r="S981" s="5"/>
      <c r="T981" s="5"/>
      <c r="U981" s="5"/>
      <c r="V981" s="5"/>
      <c r="W981" s="5"/>
      <c r="X981" s="5"/>
      <c r="Y981" s="5"/>
      <c r="Z981" s="5"/>
    </row>
    <row r="982" spans="1:26" ht="12.75" customHeight="1">
      <c r="A982" s="5"/>
      <c r="B982" s="5"/>
      <c r="C982" s="5"/>
      <c r="D982" s="5"/>
      <c r="E982" s="5"/>
      <c r="F982" s="5"/>
      <c r="G982" s="5"/>
      <c r="H982" s="306"/>
      <c r="I982" s="5"/>
      <c r="J982" s="5"/>
      <c r="K982" s="5"/>
      <c r="L982" s="5"/>
      <c r="M982" s="5"/>
      <c r="N982" s="5"/>
      <c r="O982" s="57"/>
      <c r="P982" s="5"/>
      <c r="Q982" s="5"/>
      <c r="R982" s="5"/>
      <c r="S982" s="5"/>
      <c r="T982" s="5"/>
      <c r="U982" s="5"/>
      <c r="V982" s="5"/>
      <c r="W982" s="5"/>
      <c r="X982" s="5"/>
      <c r="Y982" s="5"/>
      <c r="Z982" s="5"/>
    </row>
    <row r="983" spans="1:26" ht="12.75" customHeight="1">
      <c r="A983" s="5"/>
      <c r="B983" s="5"/>
      <c r="C983" s="5"/>
      <c r="D983" s="5"/>
      <c r="E983" s="5"/>
      <c r="F983" s="5"/>
      <c r="G983" s="5"/>
      <c r="H983" s="306"/>
      <c r="I983" s="5"/>
      <c r="J983" s="5"/>
      <c r="K983" s="5"/>
      <c r="L983" s="5"/>
      <c r="M983" s="5"/>
      <c r="N983" s="5"/>
      <c r="O983" s="57"/>
      <c r="P983" s="5"/>
      <c r="Q983" s="5"/>
      <c r="R983" s="5"/>
      <c r="S983" s="5"/>
      <c r="T983" s="5"/>
      <c r="U983" s="5"/>
      <c r="V983" s="5"/>
      <c r="W983" s="5"/>
      <c r="X983" s="5"/>
      <c r="Y983" s="5"/>
      <c r="Z983" s="5"/>
    </row>
    <row r="984" spans="1:26" ht="12.75" customHeight="1">
      <c r="A984" s="5"/>
      <c r="B984" s="5"/>
      <c r="C984" s="5"/>
      <c r="D984" s="5"/>
      <c r="E984" s="5"/>
      <c r="F984" s="5"/>
      <c r="G984" s="5"/>
      <c r="H984" s="306"/>
      <c r="I984" s="5"/>
      <c r="J984" s="5"/>
      <c r="K984" s="5"/>
      <c r="L984" s="5"/>
      <c r="M984" s="5"/>
      <c r="N984" s="5"/>
      <c r="O984" s="57"/>
      <c r="P984" s="5"/>
      <c r="Q984" s="5"/>
      <c r="R984" s="5"/>
      <c r="S984" s="5"/>
      <c r="T984" s="5"/>
      <c r="U984" s="5"/>
      <c r="V984" s="5"/>
      <c r="W984" s="5"/>
      <c r="X984" s="5"/>
      <c r="Y984" s="5"/>
      <c r="Z984" s="5"/>
    </row>
    <row r="985" spans="1:26" ht="12.75" customHeight="1">
      <c r="A985" s="5"/>
      <c r="B985" s="5"/>
      <c r="C985" s="5"/>
      <c r="D985" s="5"/>
      <c r="E985" s="5"/>
      <c r="F985" s="5"/>
      <c r="G985" s="5"/>
      <c r="H985" s="306"/>
      <c r="I985" s="5"/>
      <c r="J985" s="5"/>
      <c r="K985" s="5"/>
      <c r="L985" s="5"/>
      <c r="M985" s="5"/>
      <c r="N985" s="5"/>
      <c r="O985" s="57"/>
      <c r="P985" s="5"/>
      <c r="Q985" s="5"/>
      <c r="R985" s="5"/>
      <c r="S985" s="5"/>
      <c r="T985" s="5"/>
      <c r="U985" s="5"/>
      <c r="V985" s="5"/>
      <c r="W985" s="5"/>
      <c r="X985" s="5"/>
      <c r="Y985" s="5"/>
      <c r="Z985" s="5"/>
    </row>
    <row r="986" spans="1:26" ht="12.75" customHeight="1">
      <c r="A986" s="5"/>
      <c r="B986" s="5"/>
      <c r="C986" s="5"/>
      <c r="D986" s="5"/>
      <c r="E986" s="5"/>
      <c r="F986" s="5"/>
      <c r="G986" s="5"/>
      <c r="H986" s="306"/>
      <c r="I986" s="5"/>
      <c r="J986" s="5"/>
      <c r="K986" s="5"/>
      <c r="L986" s="5"/>
      <c r="M986" s="5"/>
      <c r="N986" s="5"/>
      <c r="O986" s="57"/>
      <c r="P986" s="5"/>
      <c r="Q986" s="5"/>
      <c r="R986" s="5"/>
      <c r="S986" s="5"/>
      <c r="T986" s="5"/>
      <c r="U986" s="5"/>
      <c r="V986" s="5"/>
      <c r="W986" s="5"/>
      <c r="X986" s="5"/>
      <c r="Y986" s="5"/>
      <c r="Z986" s="5"/>
    </row>
    <row r="987" spans="1:26" ht="12.75" customHeight="1">
      <c r="A987" s="5"/>
      <c r="B987" s="5"/>
      <c r="C987" s="5"/>
      <c r="D987" s="5"/>
      <c r="E987" s="5"/>
      <c r="F987" s="5"/>
      <c r="G987" s="5"/>
      <c r="H987" s="306"/>
      <c r="I987" s="5"/>
      <c r="J987" s="5"/>
      <c r="K987" s="5"/>
      <c r="L987" s="5"/>
      <c r="M987" s="5"/>
      <c r="N987" s="5"/>
      <c r="O987" s="57"/>
      <c r="P987" s="5"/>
      <c r="Q987" s="5"/>
      <c r="R987" s="5"/>
      <c r="S987" s="5"/>
      <c r="T987" s="5"/>
      <c r="U987" s="5"/>
      <c r="V987" s="5"/>
      <c r="W987" s="5"/>
      <c r="X987" s="5"/>
      <c r="Y987" s="5"/>
      <c r="Z987" s="5"/>
    </row>
    <row r="988" spans="1:26" ht="12.75" customHeight="1">
      <c r="A988" s="5"/>
      <c r="B988" s="5"/>
      <c r="C988" s="5"/>
      <c r="D988" s="5"/>
      <c r="E988" s="5"/>
      <c r="F988" s="5"/>
      <c r="G988" s="5"/>
      <c r="H988" s="306"/>
      <c r="I988" s="5"/>
      <c r="J988" s="5"/>
      <c r="K988" s="5"/>
      <c r="L988" s="5"/>
      <c r="M988" s="5"/>
      <c r="N988" s="5"/>
      <c r="O988" s="57"/>
      <c r="P988" s="5"/>
      <c r="Q988" s="5"/>
      <c r="R988" s="5"/>
      <c r="S988" s="5"/>
      <c r="T988" s="5"/>
      <c r="U988" s="5"/>
      <c r="V988" s="5"/>
      <c r="W988" s="5"/>
      <c r="X988" s="5"/>
      <c r="Y988" s="5"/>
      <c r="Z988" s="5"/>
    </row>
    <row r="989" spans="1:26" ht="12.75" customHeight="1">
      <c r="A989" s="5"/>
      <c r="B989" s="5"/>
      <c r="C989" s="5"/>
      <c r="D989" s="5"/>
      <c r="E989" s="5"/>
      <c r="F989" s="5"/>
      <c r="G989" s="5"/>
      <c r="H989" s="306"/>
      <c r="I989" s="5"/>
      <c r="J989" s="5"/>
      <c r="K989" s="5"/>
      <c r="L989" s="5"/>
      <c r="M989" s="5"/>
      <c r="N989" s="5"/>
      <c r="O989" s="57"/>
      <c r="P989" s="5"/>
      <c r="Q989" s="5"/>
      <c r="R989" s="5"/>
      <c r="S989" s="5"/>
      <c r="T989" s="5"/>
      <c r="U989" s="5"/>
      <c r="V989" s="5"/>
      <c r="W989" s="5"/>
      <c r="X989" s="5"/>
      <c r="Y989" s="5"/>
      <c r="Z989" s="5"/>
    </row>
    <row r="990" spans="1:26" ht="12.75" customHeight="1">
      <c r="A990" s="5"/>
      <c r="B990" s="5"/>
      <c r="C990" s="5"/>
      <c r="D990" s="5"/>
      <c r="E990" s="5"/>
      <c r="F990" s="5"/>
      <c r="G990" s="5"/>
      <c r="H990" s="306"/>
      <c r="I990" s="5"/>
      <c r="J990" s="5"/>
      <c r="K990" s="5"/>
      <c r="L990" s="5"/>
      <c r="M990" s="5"/>
      <c r="N990" s="5"/>
      <c r="O990" s="57"/>
      <c r="P990" s="5"/>
      <c r="Q990" s="5"/>
      <c r="R990" s="5"/>
      <c r="S990" s="5"/>
      <c r="T990" s="5"/>
      <c r="U990" s="5"/>
      <c r="V990" s="5"/>
      <c r="W990" s="5"/>
      <c r="X990" s="5"/>
      <c r="Y990" s="5"/>
      <c r="Z990" s="5"/>
    </row>
    <row r="991" spans="1:26" ht="12.75" customHeight="1">
      <c r="A991" s="5"/>
      <c r="B991" s="5"/>
      <c r="C991" s="5"/>
      <c r="D991" s="5"/>
      <c r="E991" s="5"/>
      <c r="F991" s="5"/>
      <c r="G991" s="5"/>
      <c r="H991" s="306"/>
      <c r="I991" s="5"/>
      <c r="J991" s="5"/>
      <c r="K991" s="5"/>
      <c r="L991" s="5"/>
      <c r="M991" s="5"/>
      <c r="N991" s="5"/>
      <c r="O991" s="57"/>
      <c r="P991" s="5"/>
      <c r="Q991" s="5"/>
      <c r="R991" s="5"/>
      <c r="S991" s="5"/>
      <c r="T991" s="5"/>
      <c r="U991" s="5"/>
      <c r="V991" s="5"/>
      <c r="W991" s="5"/>
      <c r="X991" s="5"/>
      <c r="Y991" s="5"/>
      <c r="Z991" s="5"/>
    </row>
    <row r="992" spans="1:26" ht="12.75" customHeight="1">
      <c r="A992" s="5"/>
      <c r="B992" s="5"/>
      <c r="C992" s="5"/>
      <c r="D992" s="5"/>
      <c r="E992" s="5"/>
      <c r="F992" s="5"/>
      <c r="G992" s="5"/>
      <c r="H992" s="306"/>
      <c r="I992" s="5"/>
      <c r="J992" s="5"/>
      <c r="K992" s="5"/>
      <c r="L992" s="5"/>
      <c r="M992" s="5"/>
      <c r="N992" s="5"/>
      <c r="O992" s="57"/>
      <c r="P992" s="5"/>
      <c r="Q992" s="5"/>
      <c r="R992" s="5"/>
      <c r="S992" s="5"/>
      <c r="T992" s="5"/>
      <c r="U992" s="5"/>
      <c r="V992" s="5"/>
      <c r="W992" s="5"/>
      <c r="X992" s="5"/>
      <c r="Y992" s="5"/>
      <c r="Z992" s="5"/>
    </row>
    <row r="993" spans="1:26" ht="12.75" customHeight="1">
      <c r="A993" s="5"/>
      <c r="B993" s="5"/>
      <c r="C993" s="5"/>
      <c r="D993" s="5"/>
      <c r="E993" s="5"/>
      <c r="F993" s="5"/>
      <c r="G993" s="5"/>
      <c r="H993" s="306"/>
      <c r="I993" s="5"/>
      <c r="J993" s="5"/>
      <c r="K993" s="5"/>
      <c r="L993" s="5"/>
      <c r="M993" s="5"/>
      <c r="N993" s="5"/>
      <c r="O993" s="57"/>
      <c r="P993" s="5"/>
      <c r="Q993" s="5"/>
      <c r="R993" s="5"/>
      <c r="S993" s="5"/>
      <c r="T993" s="5"/>
      <c r="U993" s="5"/>
      <c r="V993" s="5"/>
      <c r="W993" s="5"/>
      <c r="X993" s="5"/>
      <c r="Y993" s="5"/>
      <c r="Z993" s="5"/>
    </row>
    <row r="994" spans="1:26" ht="12.75" customHeight="1">
      <c r="A994" s="5"/>
      <c r="B994" s="5"/>
      <c r="C994" s="5"/>
      <c r="D994" s="5"/>
      <c r="E994" s="5"/>
      <c r="F994" s="5"/>
      <c r="G994" s="5"/>
      <c r="H994" s="306"/>
      <c r="I994" s="5"/>
      <c r="J994" s="5"/>
      <c r="K994" s="5"/>
      <c r="L994" s="5"/>
      <c r="M994" s="5"/>
      <c r="N994" s="5"/>
      <c r="O994" s="57"/>
      <c r="P994" s="5"/>
      <c r="Q994" s="5"/>
      <c r="R994" s="5"/>
      <c r="S994" s="5"/>
      <c r="T994" s="5"/>
      <c r="U994" s="5"/>
      <c r="V994" s="5"/>
      <c r="W994" s="5"/>
      <c r="X994" s="5"/>
      <c r="Y994" s="5"/>
      <c r="Z994" s="5"/>
    </row>
    <row r="995" spans="1:26" ht="12.75" customHeight="1">
      <c r="A995" s="5"/>
      <c r="B995" s="5"/>
      <c r="C995" s="5"/>
      <c r="D995" s="5"/>
      <c r="E995" s="5"/>
      <c r="F995" s="5"/>
      <c r="G995" s="5"/>
      <c r="H995" s="306"/>
      <c r="I995" s="5"/>
      <c r="J995" s="5"/>
      <c r="K995" s="5"/>
      <c r="L995" s="5"/>
      <c r="M995" s="5"/>
      <c r="N995" s="5"/>
      <c r="O995" s="57"/>
      <c r="P995" s="5"/>
      <c r="Q995" s="5"/>
      <c r="R995" s="5"/>
      <c r="S995" s="5"/>
      <c r="T995" s="5"/>
      <c r="U995" s="5"/>
      <c r="V995" s="5"/>
      <c r="W995" s="5"/>
      <c r="X995" s="5"/>
      <c r="Y995" s="5"/>
      <c r="Z995" s="5"/>
    </row>
    <row r="996" spans="1:26" ht="12.75" customHeight="1">
      <c r="A996" s="5"/>
      <c r="B996" s="5"/>
      <c r="C996" s="5"/>
      <c r="D996" s="5"/>
      <c r="E996" s="5"/>
      <c r="F996" s="5"/>
      <c r="G996" s="5"/>
      <c r="H996" s="306"/>
      <c r="I996" s="5"/>
      <c r="J996" s="5"/>
      <c r="K996" s="5"/>
      <c r="L996" s="5"/>
      <c r="M996" s="5"/>
      <c r="N996" s="5"/>
      <c r="O996" s="57"/>
      <c r="P996" s="5"/>
      <c r="Q996" s="5"/>
      <c r="R996" s="5"/>
      <c r="S996" s="5"/>
      <c r="T996" s="5"/>
      <c r="U996" s="5"/>
      <c r="V996" s="5"/>
      <c r="W996" s="5"/>
      <c r="X996" s="5"/>
      <c r="Y996" s="5"/>
      <c r="Z996" s="5"/>
    </row>
    <row r="997" spans="1:26" ht="12.75" customHeight="1">
      <c r="A997" s="5"/>
      <c r="B997" s="5"/>
      <c r="C997" s="5"/>
      <c r="D997" s="5"/>
      <c r="E997" s="5"/>
      <c r="F997" s="5"/>
      <c r="G997" s="5"/>
      <c r="H997" s="306"/>
      <c r="I997" s="5"/>
      <c r="J997" s="5"/>
      <c r="K997" s="5"/>
      <c r="L997" s="5"/>
      <c r="M997" s="5"/>
      <c r="N997" s="5"/>
      <c r="O997" s="57"/>
      <c r="P997" s="5"/>
      <c r="Q997" s="5"/>
      <c r="R997" s="5"/>
      <c r="S997" s="5"/>
      <c r="T997" s="5"/>
      <c r="U997" s="5"/>
      <c r="V997" s="5"/>
      <c r="W997" s="5"/>
      <c r="X997" s="5"/>
      <c r="Y997" s="5"/>
      <c r="Z997" s="5"/>
    </row>
    <row r="998" spans="1:26" ht="12.75" customHeight="1">
      <c r="A998" s="5"/>
      <c r="B998" s="5"/>
      <c r="C998" s="5"/>
      <c r="D998" s="5"/>
      <c r="E998" s="5"/>
      <c r="F998" s="5"/>
      <c r="G998" s="5"/>
      <c r="H998" s="306"/>
      <c r="I998" s="5"/>
      <c r="J998" s="5"/>
      <c r="K998" s="5"/>
      <c r="L998" s="5"/>
      <c r="M998" s="5"/>
      <c r="N998" s="5"/>
      <c r="O998" s="57"/>
      <c r="P998" s="5"/>
      <c r="Q998" s="5"/>
      <c r="R998" s="5"/>
      <c r="S998" s="5"/>
      <c r="T998" s="5"/>
      <c r="U998" s="5"/>
      <c r="V998" s="5"/>
      <c r="W998" s="5"/>
      <c r="X998" s="5"/>
      <c r="Y998" s="5"/>
      <c r="Z998" s="5"/>
    </row>
    <row r="999" spans="1:26" ht="12.75" customHeight="1">
      <c r="A999" s="5"/>
      <c r="B999" s="5"/>
      <c r="C999" s="5"/>
      <c r="D999" s="5"/>
      <c r="E999" s="5"/>
      <c r="F999" s="5"/>
      <c r="G999" s="5"/>
      <c r="H999" s="306"/>
      <c r="I999" s="5"/>
      <c r="J999" s="5"/>
      <c r="K999" s="5"/>
      <c r="L999" s="5"/>
      <c r="M999" s="5"/>
      <c r="N999" s="5"/>
      <c r="O999" s="57"/>
      <c r="P999" s="5"/>
      <c r="Q999" s="5"/>
      <c r="R999" s="5"/>
      <c r="S999" s="5"/>
      <c r="T999" s="5"/>
      <c r="U999" s="5"/>
      <c r="V999" s="5"/>
      <c r="W999" s="5"/>
      <c r="X999" s="5"/>
      <c r="Y999" s="5"/>
      <c r="Z999" s="5"/>
    </row>
    <row r="1000" spans="1:26" ht="12.75" customHeight="1">
      <c r="A1000" s="5"/>
      <c r="B1000" s="5"/>
      <c r="C1000" s="5"/>
      <c r="D1000" s="5"/>
      <c r="E1000" s="5"/>
      <c r="F1000" s="5"/>
      <c r="G1000" s="5"/>
      <c r="H1000" s="306"/>
      <c r="I1000" s="5"/>
      <c r="J1000" s="5"/>
      <c r="K1000" s="5"/>
      <c r="L1000" s="5"/>
      <c r="M1000" s="5"/>
      <c r="N1000" s="5"/>
      <c r="O1000" s="57"/>
      <c r="P1000" s="5"/>
      <c r="Q1000" s="5"/>
      <c r="R1000" s="5"/>
      <c r="S1000" s="5"/>
      <c r="T1000" s="5"/>
      <c r="U1000" s="5"/>
      <c r="V1000" s="5"/>
      <c r="W1000" s="5"/>
      <c r="X1000" s="5"/>
      <c r="Y1000" s="5"/>
      <c r="Z1000" s="5"/>
    </row>
  </sheetData>
  <mergeCells count="21">
    <mergeCell ref="K74:L74"/>
    <mergeCell ref="I78:J78"/>
    <mergeCell ref="K70:L70"/>
    <mergeCell ref="K73:L73"/>
    <mergeCell ref="K67:L67"/>
    <mergeCell ref="K68:L68"/>
    <mergeCell ref="K69:L69"/>
    <mergeCell ref="K71:L71"/>
    <mergeCell ref="K72:L72"/>
    <mergeCell ref="K65:L65"/>
    <mergeCell ref="K64:L64"/>
    <mergeCell ref="K63:L63"/>
    <mergeCell ref="K62:L62"/>
    <mergeCell ref="K66:L66"/>
    <mergeCell ref="D6:G6"/>
    <mergeCell ref="I6:L6"/>
    <mergeCell ref="B1:N1"/>
    <mergeCell ref="B2:N2"/>
    <mergeCell ref="B3:N3"/>
    <mergeCell ref="D5:L5"/>
    <mergeCell ref="M5:N5"/>
  </mergeCells>
  <conditionalFormatting sqref="M9:M58 M65:M74">
    <cfRule type="cellIs" dxfId="377" priority="3" stopIfTrue="1" operator="greaterThanOrEqual">
      <formula>0</formula>
    </cfRule>
    <cfRule type="cellIs" dxfId="376" priority="4" stopIfTrue="1" operator="lessThan">
      <formula>0</formula>
    </cfRule>
  </conditionalFormatting>
  <conditionalFormatting sqref="N9:N24 M25:N64 N65:N74">
    <cfRule type="cellIs" dxfId="375" priority="1" stopIfTrue="1" operator="greaterThan">
      <formula>$M$82</formula>
    </cfRule>
    <cfRule type="cellIs" dxfId="374" priority="2" stopIfTrue="1" operator="lessThanOrEqual">
      <formula>$M$82</formula>
    </cfRule>
  </conditionalFormatting>
  <conditionalFormatting sqref="N9:N45 N49:N51 N55:N57">
    <cfRule type="cellIs" dxfId="373" priority="5" stopIfTrue="1" operator="greaterThan">
      <formula>$M$76</formula>
    </cfRule>
    <cfRule type="cellIs" dxfId="372" priority="6" stopIfTrue="1" operator="lessThanOrEqual">
      <formula>$M$76</formula>
    </cfRule>
  </conditionalFormatting>
  <conditionalFormatting sqref="N10 N12:N13 N19:N45 N49:N51 N55:N57">
    <cfRule type="cellIs" dxfId="371" priority="7" stopIfTrue="1" operator="greaterThan">
      <formula>$M$77</formula>
    </cfRule>
    <cfRule type="cellIs" dxfId="370" priority="8" stopIfTrue="1" operator="lessThanOrEqual">
      <formula>$M$77</formula>
    </cfRule>
  </conditionalFormatting>
  <conditionalFormatting sqref="N40:N45">
    <cfRule type="cellIs" dxfId="369" priority="9" stopIfTrue="1" operator="greaterThan">
      <formula>$M$85</formula>
    </cfRule>
    <cfRule type="cellIs" dxfId="368" priority="10" stopIfTrue="1" operator="lessThanOrEqual">
      <formula>$M$85</formula>
    </cfRule>
  </conditionalFormatting>
  <conditionalFormatting sqref="O9:O10">
    <cfRule type="cellIs" dxfId="367" priority="13" stopIfTrue="1" operator="greaterThan">
      <formula>$N$42</formula>
    </cfRule>
    <cfRule type="cellIs" dxfId="366" priority="14" stopIfTrue="1" operator="lessThanOrEqual">
      <formula>$N$42</formula>
    </cfRule>
  </conditionalFormatting>
  <hyperlinks>
    <hyperlink ref="B86" r:id="rId1" xr:uid="{00000000-0004-0000-0C00-000000000000}"/>
    <hyperlink ref="B88" r:id="rId2" xr:uid="{00000000-0004-0000-0C00-000001000000}"/>
    <hyperlink ref="B93" r:id="rId3" xr:uid="{00000000-0004-0000-0C00-000002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4.28515625" defaultRowHeight="15" customHeight="1"/>
  <cols>
    <col min="1" max="1" width="3.28515625" customWidth="1"/>
    <col min="2" max="2" width="30.7109375" customWidth="1"/>
    <col min="3" max="3" width="6.7109375" customWidth="1"/>
    <col min="4" max="4" width="8" customWidth="1"/>
    <col min="5" max="5" width="10.28515625" customWidth="1"/>
    <col min="6" max="6" width="13.28515625" customWidth="1"/>
    <col min="7" max="7" width="12.28515625" customWidth="1"/>
    <col min="8" max="8" width="9.7109375" customWidth="1"/>
    <col min="9" max="9" width="10.7109375" customWidth="1"/>
    <col min="10" max="10" width="10" customWidth="1"/>
    <col min="11" max="11" width="13.7109375" customWidth="1"/>
    <col min="12" max="12" width="12.28515625" customWidth="1"/>
    <col min="13" max="13" width="8.28515625" customWidth="1"/>
    <col min="14" max="14" width="8" customWidth="1"/>
    <col min="15" max="16" width="13.28515625" customWidth="1"/>
    <col min="17" max="17" width="12.28515625" customWidth="1"/>
    <col min="18" max="18" width="10" customWidth="1"/>
    <col min="19" max="26" width="9.28515625" customWidth="1"/>
  </cols>
  <sheetData>
    <row r="1" spans="1:26" ht="12.75" customHeight="1">
      <c r="A1" s="309"/>
      <c r="B1" s="1984" t="s">
        <v>0</v>
      </c>
      <c r="C1" s="1985"/>
      <c r="D1" s="1985"/>
      <c r="E1" s="1985"/>
      <c r="F1" s="1985"/>
      <c r="G1" s="1985"/>
      <c r="H1" s="1985"/>
      <c r="I1" s="1985"/>
      <c r="J1" s="1985"/>
      <c r="K1" s="1985"/>
      <c r="L1" s="1985"/>
      <c r="M1" s="1985"/>
      <c r="N1" s="1985"/>
      <c r="O1" s="1162"/>
      <c r="P1" s="989"/>
      <c r="Q1" s="990"/>
      <c r="R1" s="990"/>
      <c r="S1" s="990"/>
      <c r="T1" s="1021"/>
      <c r="U1" s="5"/>
      <c r="V1" s="5"/>
      <c r="W1" s="5"/>
      <c r="X1" s="5"/>
      <c r="Y1" s="5"/>
      <c r="Z1" s="5"/>
    </row>
    <row r="2" spans="1:26" ht="12.75" customHeight="1">
      <c r="A2" s="309"/>
      <c r="B2" s="1986" t="s">
        <v>500</v>
      </c>
      <c r="C2" s="1985"/>
      <c r="D2" s="1985"/>
      <c r="E2" s="1985"/>
      <c r="F2" s="1985"/>
      <c r="G2" s="1985"/>
      <c r="H2" s="1985"/>
      <c r="I2" s="1985"/>
      <c r="J2" s="1985"/>
      <c r="K2" s="1985"/>
      <c r="L2" s="1985"/>
      <c r="M2" s="1985"/>
      <c r="N2" s="1985"/>
      <c r="O2" s="325"/>
      <c r="P2" s="991"/>
      <c r="Q2" s="345"/>
      <c r="R2" s="345"/>
      <c r="S2" s="345"/>
      <c r="T2" s="1022"/>
      <c r="U2" s="5"/>
      <c r="V2" s="5"/>
      <c r="W2" s="5"/>
      <c r="X2" s="5"/>
      <c r="Y2" s="5"/>
      <c r="Z2" s="5"/>
    </row>
    <row r="3" spans="1:26" ht="12.75" customHeight="1">
      <c r="A3" s="309"/>
      <c r="B3" s="2001"/>
      <c r="C3" s="1985"/>
      <c r="D3" s="1985"/>
      <c r="E3" s="1985"/>
      <c r="F3" s="1985"/>
      <c r="G3" s="1985"/>
      <c r="H3" s="1985"/>
      <c r="I3" s="1985"/>
      <c r="J3" s="1985"/>
      <c r="K3" s="1985"/>
      <c r="L3" s="1985"/>
      <c r="M3" s="1985"/>
      <c r="N3" s="1985"/>
      <c r="O3" s="325"/>
      <c r="P3" s="991"/>
      <c r="Q3" s="992"/>
      <c r="R3" s="992"/>
      <c r="S3" s="992"/>
      <c r="T3" s="1022"/>
      <c r="U3" s="5"/>
      <c r="V3" s="5"/>
      <c r="W3" s="5"/>
      <c r="X3" s="5"/>
      <c r="Y3" s="5"/>
      <c r="Z3" s="5"/>
    </row>
    <row r="4" spans="1:26" ht="12.75" customHeight="1">
      <c r="A4" s="309"/>
      <c r="B4" s="894"/>
      <c r="C4" s="894"/>
      <c r="D4" s="894"/>
      <c r="E4" s="894"/>
      <c r="F4" s="894"/>
      <c r="G4" s="894"/>
      <c r="H4" s="894"/>
      <c r="I4" s="894"/>
      <c r="J4" s="894"/>
      <c r="K4" s="894"/>
      <c r="L4" s="894"/>
      <c r="M4" s="894"/>
      <c r="N4" s="894"/>
      <c r="O4" s="1163"/>
      <c r="P4" s="994"/>
      <c r="Q4" s="933"/>
      <c r="R4" s="933"/>
      <c r="S4" s="933"/>
      <c r="T4" s="609"/>
      <c r="U4" s="5"/>
      <c r="V4" s="5"/>
      <c r="W4" s="5"/>
      <c r="X4" s="5"/>
      <c r="Y4" s="5"/>
      <c r="Z4" s="5"/>
    </row>
    <row r="5" spans="1:26" ht="12.75" customHeight="1">
      <c r="A5" s="897"/>
      <c r="B5" s="897"/>
      <c r="C5" s="1175"/>
      <c r="D5" s="1988" t="s">
        <v>3</v>
      </c>
      <c r="E5" s="1989"/>
      <c r="F5" s="1989"/>
      <c r="G5" s="1989"/>
      <c r="H5" s="1989"/>
      <c r="I5" s="1989"/>
      <c r="J5" s="1989"/>
      <c r="K5" s="1989"/>
      <c r="L5" s="1990"/>
      <c r="M5" s="1991"/>
      <c r="N5" s="1992"/>
      <c r="O5" s="1164"/>
      <c r="P5" s="995"/>
      <c r="Q5" s="309"/>
      <c r="R5" s="309"/>
      <c r="S5" s="309"/>
      <c r="T5" s="328"/>
      <c r="U5" s="5"/>
      <c r="V5" s="5"/>
      <c r="W5" s="5"/>
      <c r="X5" s="5"/>
      <c r="Y5" s="5"/>
      <c r="Z5" s="5"/>
    </row>
    <row r="6" spans="1:26" ht="12.75" customHeight="1">
      <c r="A6" s="1053"/>
      <c r="B6" s="900"/>
      <c r="C6" s="901"/>
      <c r="D6" s="2008">
        <v>42369</v>
      </c>
      <c r="E6" s="1981"/>
      <c r="F6" s="1981"/>
      <c r="G6" s="1981"/>
      <c r="H6" s="1195"/>
      <c r="I6" s="2003">
        <v>42735</v>
      </c>
      <c r="J6" s="1981"/>
      <c r="K6" s="1981"/>
      <c r="L6" s="1983"/>
      <c r="M6" s="544" t="s">
        <v>5</v>
      </c>
      <c r="N6" s="41" t="s">
        <v>6</v>
      </c>
      <c r="O6" s="1116"/>
      <c r="P6" s="1116"/>
      <c r="Q6" s="1116"/>
      <c r="R6" s="1116"/>
      <c r="S6" s="323"/>
      <c r="T6" s="327"/>
      <c r="U6" s="5"/>
      <c r="V6" s="5"/>
      <c r="W6" s="5"/>
      <c r="X6" s="5"/>
      <c r="Y6" s="5"/>
      <c r="Z6" s="5"/>
    </row>
    <row r="7" spans="1:26" ht="12.75" customHeight="1">
      <c r="A7" s="42"/>
      <c r="B7" s="905" t="s">
        <v>7</v>
      </c>
      <c r="C7" s="1176" t="s">
        <v>8</v>
      </c>
      <c r="D7" s="893" t="s">
        <v>9</v>
      </c>
      <c r="E7" s="113" t="s">
        <v>10</v>
      </c>
      <c r="F7" s="113" t="s">
        <v>11</v>
      </c>
      <c r="G7" s="113" t="s">
        <v>12</v>
      </c>
      <c r="H7" s="113"/>
      <c r="I7" s="113" t="s">
        <v>9</v>
      </c>
      <c r="J7" s="113" t="s">
        <v>10</v>
      </c>
      <c r="K7" s="114" t="s">
        <v>11</v>
      </c>
      <c r="L7" s="115" t="s">
        <v>12</v>
      </c>
      <c r="M7" s="113" t="s">
        <v>15</v>
      </c>
      <c r="N7" s="115" t="s">
        <v>15</v>
      </c>
      <c r="O7" s="544"/>
      <c r="P7" s="544"/>
      <c r="Q7" s="1116"/>
      <c r="R7" s="1116"/>
      <c r="S7" s="323"/>
      <c r="T7" s="327"/>
      <c r="U7" s="5"/>
      <c r="V7" s="5"/>
      <c r="W7" s="5"/>
      <c r="X7" s="5"/>
      <c r="Y7" s="5"/>
      <c r="Z7" s="5"/>
    </row>
    <row r="8" spans="1:26" ht="12.75" customHeight="1">
      <c r="A8" s="1177"/>
      <c r="B8" s="900" t="s">
        <v>360</v>
      </c>
      <c r="C8" s="1178"/>
      <c r="D8" s="544"/>
      <c r="E8" s="544"/>
      <c r="F8" s="544"/>
      <c r="G8" s="544"/>
      <c r="H8" s="544"/>
      <c r="I8" s="71"/>
      <c r="J8" s="71"/>
      <c r="K8" s="72"/>
      <c r="L8" s="71"/>
      <c r="M8" s="73"/>
      <c r="N8" s="1236"/>
      <c r="O8" s="882"/>
      <c r="P8" s="892"/>
      <c r="Q8" s="323"/>
      <c r="R8" s="323"/>
      <c r="S8" s="323"/>
      <c r="T8" s="327"/>
      <c r="U8" s="5"/>
      <c r="V8" s="5"/>
      <c r="W8" s="5"/>
      <c r="X8" s="5"/>
      <c r="Y8" s="5"/>
      <c r="Z8" s="5"/>
    </row>
    <row r="9" spans="1:26" ht="12.75" customHeight="1">
      <c r="A9" s="322">
        <v>1</v>
      </c>
      <c r="B9" s="334" t="s">
        <v>230</v>
      </c>
      <c r="C9" s="335" t="s">
        <v>231</v>
      </c>
      <c r="D9" s="547">
        <v>25</v>
      </c>
      <c r="E9" s="1055">
        <v>150.63999999999999</v>
      </c>
      <c r="F9" s="1147">
        <f>D9*E9</f>
        <v>3765.9999999999995</v>
      </c>
      <c r="G9" s="331">
        <f>F9/$F$71</f>
        <v>2.4752185912597331E-2</v>
      </c>
      <c r="H9" s="544"/>
      <c r="I9" s="306">
        <v>25</v>
      </c>
      <c r="J9" s="5">
        <v>178.57</v>
      </c>
      <c r="K9" s="142">
        <f t="shared" ref="K9:K37" si="0">I9*J9</f>
        <v>4464.25</v>
      </c>
      <c r="L9" s="353">
        <f t="shared" ref="L9:L38" si="1">K9/$K$71</f>
        <v>2.8836258793776746E-2</v>
      </c>
      <c r="M9" s="1237">
        <f>(J9-E9)/E9</f>
        <v>0.18540892193308556</v>
      </c>
      <c r="N9" s="356">
        <f>(J9-Transactions!C1395)/Transactions!C1395</f>
        <v>1.2800051072522984</v>
      </c>
      <c r="O9" s="336"/>
      <c r="P9" s="331"/>
      <c r="Q9" s="327"/>
      <c r="R9" s="327"/>
      <c r="S9" s="323"/>
      <c r="T9" s="327"/>
      <c r="U9" s="5"/>
      <c r="V9" s="5"/>
      <c r="W9" s="5"/>
      <c r="X9" s="5"/>
      <c r="Y9" s="5"/>
      <c r="Z9" s="5"/>
    </row>
    <row r="10" spans="1:26" ht="12.75" customHeight="1">
      <c r="A10" s="322">
        <v>2</v>
      </c>
      <c r="B10" s="334" t="s">
        <v>395</v>
      </c>
      <c r="C10" s="335" t="s">
        <v>396</v>
      </c>
      <c r="D10" s="547">
        <v>40</v>
      </c>
      <c r="E10" s="1055">
        <v>104.5</v>
      </c>
      <c r="F10" s="1147">
        <f>D10*E10</f>
        <v>4180</v>
      </c>
      <c r="G10" s="331">
        <f>F10/$F$71</f>
        <v>2.7473217502564221E-2</v>
      </c>
      <c r="H10" s="545"/>
      <c r="I10" s="306">
        <v>40</v>
      </c>
      <c r="J10" s="5">
        <v>117.13</v>
      </c>
      <c r="K10" s="142">
        <f t="shared" si="0"/>
        <v>4685.2</v>
      </c>
      <c r="L10" s="353">
        <f t="shared" si="1"/>
        <v>3.0263457400594232E-2</v>
      </c>
      <c r="M10" s="1237">
        <f>(J10-E10)/E10</f>
        <v>0.12086124401913871</v>
      </c>
      <c r="N10" s="1238">
        <f>(J10-Transactions!C937)/Transactions!C937</f>
        <v>0.4679784434139615</v>
      </c>
      <c r="O10" s="336"/>
      <c r="P10" s="331"/>
      <c r="Q10" s="327"/>
      <c r="R10" s="327"/>
      <c r="S10" s="323"/>
      <c r="T10" s="327"/>
      <c r="U10" s="5"/>
      <c r="V10" s="5"/>
      <c r="W10" s="5"/>
      <c r="X10" s="5"/>
      <c r="Y10" s="5"/>
      <c r="Z10" s="5"/>
    </row>
    <row r="11" spans="1:26" ht="12.75" customHeight="1">
      <c r="A11" s="322">
        <v>3</v>
      </c>
      <c r="B11" s="334" t="s">
        <v>501</v>
      </c>
      <c r="C11" s="335"/>
      <c r="D11" s="547">
        <v>30</v>
      </c>
      <c r="E11" s="1055"/>
      <c r="F11" s="1147"/>
      <c r="G11" s="331"/>
      <c r="H11" s="545"/>
      <c r="I11" s="306">
        <v>30</v>
      </c>
      <c r="J11" s="5">
        <v>36.11</v>
      </c>
      <c r="K11" s="142">
        <f t="shared" si="0"/>
        <v>1083.3</v>
      </c>
      <c r="L11" s="353">
        <f t="shared" si="1"/>
        <v>6.997439469406585E-3</v>
      </c>
      <c r="M11" s="1237"/>
      <c r="N11" s="1238">
        <f>(J11-Transactions!C766)/Transactions!C766</f>
        <v>-2.7685492801766368E-4</v>
      </c>
      <c r="O11" s="330"/>
      <c r="P11" s="331"/>
      <c r="Q11" s="327"/>
      <c r="R11" s="327"/>
      <c r="S11" s="323"/>
      <c r="T11" s="327"/>
      <c r="U11" s="5"/>
      <c r="V11" s="5"/>
      <c r="W11" s="5"/>
      <c r="X11" s="5"/>
      <c r="Y11" s="5"/>
      <c r="Z11" s="5"/>
    </row>
    <row r="12" spans="1:26" ht="12.75" customHeight="1">
      <c r="A12" s="322">
        <v>4</v>
      </c>
      <c r="B12" s="334" t="s">
        <v>341</v>
      </c>
      <c r="C12" s="335" t="s">
        <v>342</v>
      </c>
      <c r="D12" s="547">
        <v>10</v>
      </c>
      <c r="E12" s="1055">
        <v>130.11000000000001</v>
      </c>
      <c r="F12" s="1147">
        <f>D12*E12</f>
        <v>1301.1000000000001</v>
      </c>
      <c r="G12" s="331">
        <f>F12/$F$71</f>
        <v>8.5515318881785422E-3</v>
      </c>
      <c r="H12" s="544"/>
      <c r="I12" s="306">
        <v>10</v>
      </c>
      <c r="J12" s="5">
        <v>143.82</v>
      </c>
      <c r="K12" s="142">
        <f t="shared" si="0"/>
        <v>1438.1999999999998</v>
      </c>
      <c r="L12" s="353">
        <f t="shared" si="1"/>
        <v>9.2898711759443822E-3</v>
      </c>
      <c r="M12" s="1237">
        <f>(J12-E12)/E12</f>
        <v>0.10537237721927582</v>
      </c>
      <c r="N12" s="356">
        <f>(J12-Transactions!C1086)/Transactions!C1086</f>
        <v>0.7566874312935139</v>
      </c>
      <c r="O12" s="327"/>
      <c r="P12" s="331"/>
      <c r="Q12" s="327"/>
      <c r="R12" s="327"/>
      <c r="S12" s="323"/>
      <c r="T12" s="327"/>
      <c r="U12" s="5"/>
      <c r="V12" s="5"/>
      <c r="W12" s="5"/>
      <c r="X12" s="5"/>
      <c r="Y12" s="5"/>
      <c r="Z12" s="5"/>
    </row>
    <row r="13" spans="1:26" ht="12.75" customHeight="1">
      <c r="A13" s="322">
        <v>5</v>
      </c>
      <c r="B13" s="334" t="s">
        <v>502</v>
      </c>
      <c r="C13" s="335"/>
      <c r="D13" s="547"/>
      <c r="E13" s="1055"/>
      <c r="F13" s="1147"/>
      <c r="G13" s="331"/>
      <c r="H13" s="544"/>
      <c r="I13" s="306">
        <v>8</v>
      </c>
      <c r="J13" s="5">
        <v>749.87</v>
      </c>
      <c r="K13" s="142">
        <f t="shared" si="0"/>
        <v>5998.96</v>
      </c>
      <c r="L13" s="353">
        <f t="shared" si="1"/>
        <v>3.8749524120180311E-2</v>
      </c>
      <c r="M13" s="1237"/>
      <c r="N13" s="356">
        <f>(J13-Transactions!C742)/Transactions!C742</f>
        <v>0.29274557804365081</v>
      </c>
      <c r="O13" s="327"/>
      <c r="P13" s="331"/>
      <c r="Q13" s="327"/>
      <c r="R13" s="327"/>
      <c r="S13" s="323"/>
      <c r="T13" s="327"/>
      <c r="U13" s="5"/>
      <c r="V13" s="5"/>
      <c r="W13" s="5"/>
      <c r="X13" s="5"/>
      <c r="Y13" s="5"/>
      <c r="Z13" s="5"/>
    </row>
    <row r="14" spans="1:26" ht="12.75" customHeight="1">
      <c r="A14" s="322">
        <v>6</v>
      </c>
      <c r="B14" s="334" t="s">
        <v>398</v>
      </c>
      <c r="C14" s="335" t="s">
        <v>399</v>
      </c>
      <c r="D14" s="547">
        <v>20</v>
      </c>
      <c r="E14" s="1055">
        <v>96.95</v>
      </c>
      <c r="F14" s="1147">
        <f>D14*E14</f>
        <v>1939</v>
      </c>
      <c r="G14" s="331">
        <f>F14/$F$71</f>
        <v>1.2744155200352159E-2</v>
      </c>
      <c r="H14" s="546"/>
      <c r="I14" s="306">
        <v>20</v>
      </c>
      <c r="J14" s="5">
        <v>105.68</v>
      </c>
      <c r="K14" s="142">
        <f t="shared" si="0"/>
        <v>2113.6000000000004</v>
      </c>
      <c r="L14" s="353">
        <f t="shared" si="1"/>
        <v>1.365253213563903E-2</v>
      </c>
      <c r="M14" s="1237">
        <f>(J14-E14)/E14</f>
        <v>9.0046415678184666E-2</v>
      </c>
      <c r="N14" s="356">
        <f>(J14-Transactions!C884)/Transactions!C884</f>
        <v>3.0722715302838249E-2</v>
      </c>
      <c r="O14" s="327"/>
      <c r="P14" s="331"/>
      <c r="Q14" s="327"/>
      <c r="R14" s="327"/>
      <c r="S14" s="323"/>
      <c r="T14" s="327"/>
      <c r="U14" s="5"/>
      <c r="V14" s="5"/>
      <c r="W14" s="5"/>
      <c r="X14" s="5"/>
      <c r="Y14" s="5"/>
      <c r="Z14" s="5"/>
    </row>
    <row r="15" spans="1:26" ht="12.75" customHeight="1">
      <c r="A15" s="322">
        <v>7</v>
      </c>
      <c r="B15" s="334" t="s">
        <v>401</v>
      </c>
      <c r="C15" s="335" t="s">
        <v>402</v>
      </c>
      <c r="D15" s="547">
        <v>21</v>
      </c>
      <c r="E15" s="1055">
        <v>162.33000000000001</v>
      </c>
      <c r="F15" s="1147">
        <f>D15*E15</f>
        <v>3408.9300000000003</v>
      </c>
      <c r="G15" s="331">
        <f>F15/$F$71</f>
        <v>2.2405329028951256E-2</v>
      </c>
      <c r="H15" s="546"/>
      <c r="I15" s="306">
        <v>21</v>
      </c>
      <c r="J15" s="5">
        <v>146.21</v>
      </c>
      <c r="K15" s="142">
        <f t="shared" si="0"/>
        <v>3070.4100000000003</v>
      </c>
      <c r="L15" s="353">
        <f t="shared" si="1"/>
        <v>1.9832925432715476E-2</v>
      </c>
      <c r="M15" s="1237">
        <f>(J15-E15)/E15</f>
        <v>-9.9303887143473199E-2</v>
      </c>
      <c r="N15" s="356">
        <f>(J15-Transactions!C897)/Transactions!C897</f>
        <v>-9.8970851050717942E-2</v>
      </c>
      <c r="O15" s="327"/>
      <c r="P15" s="331"/>
      <c r="Q15" s="327"/>
      <c r="R15" s="327"/>
      <c r="S15" s="323"/>
      <c r="T15" s="327"/>
      <c r="U15" s="5"/>
      <c r="V15" s="5"/>
      <c r="W15" s="5"/>
      <c r="X15" s="5"/>
      <c r="Y15" s="5"/>
      <c r="Z15" s="5"/>
    </row>
    <row r="16" spans="1:26" ht="12.75" customHeight="1">
      <c r="A16" s="322">
        <v>8</v>
      </c>
      <c r="B16" s="334" t="s">
        <v>206</v>
      </c>
      <c r="C16" s="335" t="s">
        <v>207</v>
      </c>
      <c r="D16" s="547">
        <v>42</v>
      </c>
      <c r="E16" s="1055">
        <v>105.26</v>
      </c>
      <c r="F16" s="1147">
        <f>D16*E16</f>
        <v>4420.92</v>
      </c>
      <c r="G16" s="331">
        <f>F16/$F$71</f>
        <v>2.9056673856802922E-2</v>
      </c>
      <c r="H16" s="546"/>
      <c r="I16" s="306">
        <v>42</v>
      </c>
      <c r="J16" s="5">
        <v>115.82</v>
      </c>
      <c r="K16" s="142">
        <f t="shared" si="0"/>
        <v>4864.4399999999996</v>
      </c>
      <c r="L16" s="353">
        <f t="shared" si="1"/>
        <v>3.1421235532687317E-2</v>
      </c>
      <c r="M16" s="1237">
        <f>(J16-E16)/E16</f>
        <v>0.10032300969029059</v>
      </c>
      <c r="N16" s="356">
        <f>(J16-Transactions!C1433)/Transactions!C1433</f>
        <v>3.5724437425977102</v>
      </c>
      <c r="O16" s="327"/>
      <c r="P16" s="331"/>
      <c r="Q16" s="327"/>
      <c r="R16" s="327"/>
      <c r="S16" s="309"/>
      <c r="T16" s="328"/>
      <c r="U16" s="5"/>
      <c r="V16" s="5"/>
      <c r="W16" s="5"/>
      <c r="X16" s="5"/>
      <c r="Y16" s="5"/>
      <c r="Z16" s="5"/>
    </row>
    <row r="17" spans="1:26" ht="12.75" customHeight="1">
      <c r="A17" s="322">
        <v>9</v>
      </c>
      <c r="B17" s="334" t="s">
        <v>447</v>
      </c>
      <c r="C17" s="335" t="s">
        <v>448</v>
      </c>
      <c r="D17" s="547">
        <v>50</v>
      </c>
      <c r="E17" s="1055">
        <v>34.409999999999997</v>
      </c>
      <c r="F17" s="1147">
        <f>D17*E17</f>
        <v>1720.4999999999998</v>
      </c>
      <c r="G17" s="331">
        <f>F17/$F$71</f>
        <v>1.1308055194536299E-2</v>
      </c>
      <c r="H17" s="546"/>
      <c r="I17" s="306">
        <v>50</v>
      </c>
      <c r="J17" s="5">
        <v>42.53</v>
      </c>
      <c r="K17" s="142">
        <f t="shared" si="0"/>
        <v>2126.5</v>
      </c>
      <c r="L17" s="353">
        <f t="shared" si="1"/>
        <v>1.3735858055656885E-2</v>
      </c>
      <c r="M17" s="1237">
        <f>(J17-E17)/E17</f>
        <v>0.2359779133972684</v>
      </c>
      <c r="N17" s="356">
        <f>(J17-Transactions!C813)/Transactions!C813</f>
        <v>0.27832882476705734</v>
      </c>
      <c r="O17" s="327"/>
      <c r="P17" s="331"/>
      <c r="Q17" s="327"/>
      <c r="R17" s="327"/>
      <c r="S17" s="309"/>
      <c r="T17" s="328"/>
      <c r="U17" s="5"/>
      <c r="V17" s="5"/>
      <c r="W17" s="5"/>
      <c r="X17" s="5"/>
      <c r="Y17" s="5"/>
      <c r="Z17" s="5"/>
    </row>
    <row r="18" spans="1:26" ht="12.75" customHeight="1">
      <c r="A18" s="322">
        <v>10</v>
      </c>
      <c r="B18" s="334" t="s">
        <v>22</v>
      </c>
      <c r="C18" s="335"/>
      <c r="D18" s="547"/>
      <c r="E18" s="1055"/>
      <c r="F18" s="1147"/>
      <c r="G18" s="331"/>
      <c r="H18" s="547"/>
      <c r="I18" s="306">
        <v>148</v>
      </c>
      <c r="J18" s="5">
        <v>22.1</v>
      </c>
      <c r="K18" s="142">
        <f t="shared" si="0"/>
        <v>3270.8</v>
      </c>
      <c r="L18" s="353">
        <f t="shared" si="1"/>
        <v>2.1127319317395976E-2</v>
      </c>
      <c r="M18" s="1237"/>
      <c r="N18" s="356">
        <f>(J18-Transactions!C695)/Transactions!C695</f>
        <v>8.5995085995085985E-2</v>
      </c>
      <c r="O18" s="327"/>
      <c r="P18" s="331"/>
      <c r="Q18" s="327"/>
      <c r="R18" s="327"/>
      <c r="S18" s="309"/>
      <c r="T18" s="328"/>
      <c r="U18" s="5"/>
      <c r="V18" s="5"/>
      <c r="W18" s="5"/>
      <c r="X18" s="5"/>
      <c r="Y18" s="5"/>
      <c r="Z18" s="5"/>
    </row>
    <row r="19" spans="1:26" ht="12.75" customHeight="1">
      <c r="A19" s="322">
        <v>11</v>
      </c>
      <c r="B19" s="334" t="s">
        <v>451</v>
      </c>
      <c r="C19" s="335" t="s">
        <v>452</v>
      </c>
      <c r="D19" s="547">
        <v>25</v>
      </c>
      <c r="E19" s="1055">
        <v>72.180000000000007</v>
      </c>
      <c r="F19" s="1147">
        <f t="shared" ref="F19:F32" si="2">D19*E19</f>
        <v>1804.5000000000002</v>
      </c>
      <c r="G19" s="331">
        <f t="shared" ref="G19:G32" si="3">F19/$F$71</f>
        <v>1.186014856061654E-2</v>
      </c>
      <c r="H19" s="547"/>
      <c r="I19" s="306">
        <v>25</v>
      </c>
      <c r="J19" s="5">
        <v>87.24</v>
      </c>
      <c r="K19" s="142">
        <f t="shared" si="0"/>
        <v>2181</v>
      </c>
      <c r="L19" s="353">
        <f t="shared" si="1"/>
        <v>1.408789391929822E-2</v>
      </c>
      <c r="M19" s="1237">
        <f t="shared" ref="M19:M32" si="4">(J19-E19)/E19</f>
        <v>0.20864505403158751</v>
      </c>
      <c r="N19" s="356">
        <f>(J19-Transactions!C801)/Transactions!C801</f>
        <v>0.21436525612472149</v>
      </c>
      <c r="O19" s="327"/>
      <c r="P19" s="331"/>
      <c r="Q19" s="327"/>
      <c r="R19" s="327"/>
      <c r="S19" s="309"/>
      <c r="T19" s="328"/>
      <c r="U19" s="5"/>
      <c r="V19" s="5"/>
      <c r="W19" s="5"/>
      <c r="X19" s="5"/>
      <c r="Y19" s="5"/>
      <c r="Z19" s="5"/>
    </row>
    <row r="20" spans="1:26" ht="12.75" customHeight="1">
      <c r="A20" s="322">
        <v>12</v>
      </c>
      <c r="B20" s="334" t="s">
        <v>404</v>
      </c>
      <c r="C20" s="335" t="s">
        <v>405</v>
      </c>
      <c r="D20" s="547">
        <v>50</v>
      </c>
      <c r="E20" s="1055">
        <v>60.17</v>
      </c>
      <c r="F20" s="1147">
        <f t="shared" si="2"/>
        <v>3008.5</v>
      </c>
      <c r="G20" s="331">
        <f t="shared" si="3"/>
        <v>1.9773486807766617E-2</v>
      </c>
      <c r="H20" s="547"/>
      <c r="I20" s="306">
        <v>50</v>
      </c>
      <c r="J20" s="5">
        <v>47.37</v>
      </c>
      <c r="K20" s="142">
        <f t="shared" si="0"/>
        <v>2368.5</v>
      </c>
      <c r="L20" s="353">
        <f t="shared" si="1"/>
        <v>1.5299026477697311E-2</v>
      </c>
      <c r="M20" s="1237">
        <f t="shared" si="4"/>
        <v>-0.21273059664284533</v>
      </c>
      <c r="N20" s="1238">
        <f>(J20-Transactions!C921)/Transactions!C921</f>
        <v>-0.18914755220814797</v>
      </c>
      <c r="O20" s="327"/>
      <c r="P20" s="331"/>
      <c r="Q20" s="327"/>
      <c r="R20" s="327"/>
      <c r="S20" s="309"/>
      <c r="T20" s="328"/>
      <c r="U20" s="5"/>
      <c r="V20" s="5"/>
      <c r="W20" s="5"/>
      <c r="X20" s="5"/>
      <c r="Y20" s="5"/>
      <c r="Z20" s="5"/>
    </row>
    <row r="21" spans="1:26" ht="12.75" customHeight="1">
      <c r="A21" s="322">
        <v>13</v>
      </c>
      <c r="B21" s="334" t="s">
        <v>281</v>
      </c>
      <c r="C21" s="335" t="s">
        <v>152</v>
      </c>
      <c r="D21" s="547">
        <v>120</v>
      </c>
      <c r="E21" s="1055">
        <v>27.155000000000001</v>
      </c>
      <c r="F21" s="1147">
        <f t="shared" si="2"/>
        <v>3258.6000000000004</v>
      </c>
      <c r="G21" s="331">
        <f t="shared" si="3"/>
        <v>2.1417279079869803E-2</v>
      </c>
      <c r="H21" s="547"/>
      <c r="I21" s="306">
        <v>120</v>
      </c>
      <c r="J21" s="5">
        <v>30.22</v>
      </c>
      <c r="K21" s="142">
        <f t="shared" si="0"/>
        <v>3626.3999999999996</v>
      </c>
      <c r="L21" s="353">
        <f t="shared" si="1"/>
        <v>2.3424272585485129E-2</v>
      </c>
      <c r="M21" s="1237">
        <f t="shared" si="4"/>
        <v>0.11287055790830409</v>
      </c>
      <c r="N21" s="356">
        <f>(J21-Transactions!C1201)/Transactions!C1201</f>
        <v>0.61173333333333324</v>
      </c>
      <c r="O21" s="327"/>
      <c r="P21" s="331"/>
      <c r="Q21" s="327"/>
      <c r="R21" s="327"/>
      <c r="S21" s="309"/>
      <c r="T21" s="328"/>
      <c r="U21" s="5"/>
      <c r="V21" s="5"/>
      <c r="W21" s="5"/>
      <c r="X21" s="5"/>
      <c r="Y21" s="5"/>
      <c r="Z21" s="5"/>
    </row>
    <row r="22" spans="1:26" ht="12.75" customHeight="1">
      <c r="A22" s="322">
        <v>14</v>
      </c>
      <c r="B22" s="334" t="s">
        <v>153</v>
      </c>
      <c r="C22" s="335" t="s">
        <v>154</v>
      </c>
      <c r="D22" s="547">
        <v>70</v>
      </c>
      <c r="E22" s="1055">
        <v>42.96</v>
      </c>
      <c r="F22" s="1147">
        <f t="shared" si="2"/>
        <v>3007.2000000000003</v>
      </c>
      <c r="G22" s="331">
        <f t="shared" si="3"/>
        <v>1.9764942505672518E-2</v>
      </c>
      <c r="H22" s="547"/>
      <c r="I22" s="306">
        <v>70</v>
      </c>
      <c r="J22" s="5">
        <v>41.46</v>
      </c>
      <c r="K22" s="142">
        <f t="shared" si="0"/>
        <v>2902.2000000000003</v>
      </c>
      <c r="L22" s="353">
        <f t="shared" si="1"/>
        <v>1.8746394191924483E-2</v>
      </c>
      <c r="M22" s="1237">
        <f t="shared" si="4"/>
        <v>-3.4916201117318434E-2</v>
      </c>
      <c r="N22" s="356">
        <f>(J22-Transactions!C1375)/Transactions!C1375</f>
        <v>0.89142335766423342</v>
      </c>
      <c r="O22" s="327"/>
      <c r="P22" s="331"/>
      <c r="Q22" s="327"/>
      <c r="R22" s="327"/>
      <c r="S22" s="309"/>
      <c r="T22" s="328"/>
      <c r="U22" s="5"/>
      <c r="V22" s="5"/>
      <c r="W22" s="5"/>
      <c r="X22" s="5"/>
      <c r="Y22" s="5"/>
      <c r="Z22" s="5"/>
    </row>
    <row r="23" spans="1:26" ht="12.75" customHeight="1">
      <c r="A23" s="322">
        <v>15</v>
      </c>
      <c r="B23" s="334" t="s">
        <v>455</v>
      </c>
      <c r="C23" s="335" t="s">
        <v>456</v>
      </c>
      <c r="D23" s="547">
        <v>12</v>
      </c>
      <c r="E23" s="1055">
        <v>97.77</v>
      </c>
      <c r="F23" s="1147">
        <f t="shared" si="2"/>
        <v>1173.24</v>
      </c>
      <c r="G23" s="331">
        <f t="shared" si="3"/>
        <v>7.7111669145235517E-3</v>
      </c>
      <c r="H23" s="547"/>
      <c r="I23" s="306">
        <v>12</v>
      </c>
      <c r="J23" s="5">
        <v>78.91</v>
      </c>
      <c r="K23" s="142">
        <f t="shared" si="0"/>
        <v>946.92</v>
      </c>
      <c r="L23" s="353">
        <f t="shared" si="1"/>
        <v>6.1165100917294222E-3</v>
      </c>
      <c r="M23" s="1237">
        <f t="shared" si="4"/>
        <v>-0.19290170809041629</v>
      </c>
      <c r="N23" s="356">
        <f>(J23-Transactions!C826)/Transactions!C826</f>
        <v>-0.22239226471970752</v>
      </c>
      <c r="O23" s="327"/>
      <c r="P23" s="331"/>
      <c r="Q23" s="327"/>
      <c r="R23" s="327"/>
      <c r="S23" s="309"/>
      <c r="T23" s="328"/>
      <c r="U23" s="5"/>
      <c r="V23" s="5"/>
      <c r="W23" s="5"/>
      <c r="X23" s="5"/>
      <c r="Y23" s="5"/>
      <c r="Z23" s="5"/>
    </row>
    <row r="24" spans="1:26" ht="12.75" customHeight="1">
      <c r="A24" s="322">
        <v>16</v>
      </c>
      <c r="B24" s="334" t="s">
        <v>284</v>
      </c>
      <c r="C24" s="138" t="s">
        <v>285</v>
      </c>
      <c r="D24" s="1181">
        <v>28</v>
      </c>
      <c r="E24" s="1055">
        <v>77.95</v>
      </c>
      <c r="F24" s="1147">
        <f t="shared" si="2"/>
        <v>2182.6</v>
      </c>
      <c r="G24" s="331">
        <f t="shared" si="3"/>
        <v>1.4345225961984847E-2</v>
      </c>
      <c r="H24" s="548"/>
      <c r="I24" s="306">
        <v>28</v>
      </c>
      <c r="J24" s="5">
        <v>90.26</v>
      </c>
      <c r="K24" s="142">
        <f t="shared" si="0"/>
        <v>2527.2800000000002</v>
      </c>
      <c r="L24" s="353">
        <f t="shared" si="1"/>
        <v>1.6324645825017886E-2</v>
      </c>
      <c r="M24" s="1237">
        <f t="shared" si="4"/>
        <v>0.15792174470814627</v>
      </c>
      <c r="N24" s="356">
        <f>(J24-Transactions!C1403)/Transactions!C1403</f>
        <v>7.0699881376038054E-2</v>
      </c>
      <c r="O24" s="327"/>
      <c r="P24" s="331"/>
      <c r="Q24" s="327"/>
      <c r="R24" s="327"/>
      <c r="S24" s="309"/>
      <c r="T24" s="328"/>
      <c r="U24" s="5"/>
      <c r="V24" s="5"/>
      <c r="W24" s="5"/>
      <c r="X24" s="5"/>
      <c r="Y24" s="5"/>
      <c r="Z24" s="5"/>
    </row>
    <row r="25" spans="1:26" ht="12.75" customHeight="1">
      <c r="A25" s="322">
        <v>17</v>
      </c>
      <c r="B25" s="334" t="s">
        <v>410</v>
      </c>
      <c r="C25" s="138" t="s">
        <v>411</v>
      </c>
      <c r="D25" s="1181">
        <v>40</v>
      </c>
      <c r="E25" s="1055">
        <v>101.19</v>
      </c>
      <c r="F25" s="1147">
        <f t="shared" si="2"/>
        <v>4047.6</v>
      </c>
      <c r="G25" s="331">
        <f t="shared" si="3"/>
        <v>2.6603013196980607E-2</v>
      </c>
      <c r="H25" s="548"/>
      <c r="I25" s="306">
        <v>40</v>
      </c>
      <c r="J25" s="5">
        <v>71.61</v>
      </c>
      <c r="K25" s="142">
        <f t="shared" si="0"/>
        <v>2864.4</v>
      </c>
      <c r="L25" s="353">
        <f t="shared" si="1"/>
        <v>1.8502229868151226E-2</v>
      </c>
      <c r="M25" s="1237">
        <f t="shared" si="4"/>
        <v>-0.29232137563000293</v>
      </c>
      <c r="N25" s="356">
        <f>(J25-Transactions!C931)/Transactions!C931</f>
        <v>-5.0139275766016726E-2</v>
      </c>
      <c r="O25" s="327"/>
      <c r="P25" s="331"/>
      <c r="Q25" s="327"/>
      <c r="R25" s="327"/>
      <c r="S25" s="309"/>
      <c r="T25" s="328"/>
      <c r="U25" s="5"/>
      <c r="V25" s="5"/>
      <c r="W25" s="5"/>
      <c r="X25" s="5"/>
      <c r="Y25" s="5"/>
      <c r="Z25" s="5"/>
    </row>
    <row r="26" spans="1:26" ht="12.75" customHeight="1">
      <c r="A26" s="322">
        <v>18</v>
      </c>
      <c r="B26" s="1182" t="s">
        <v>459</v>
      </c>
      <c r="C26" s="138" t="s">
        <v>460</v>
      </c>
      <c r="D26" s="1181">
        <v>120</v>
      </c>
      <c r="E26" s="1055">
        <v>40.119999999999997</v>
      </c>
      <c r="F26" s="1147">
        <f t="shared" si="2"/>
        <v>4814.3999999999996</v>
      </c>
      <c r="G26" s="331">
        <f t="shared" si="3"/>
        <v>3.164283692448449E-2</v>
      </c>
      <c r="H26" s="548"/>
      <c r="I26" s="306">
        <v>120</v>
      </c>
      <c r="J26" s="5">
        <v>22.05</v>
      </c>
      <c r="K26" s="142">
        <f t="shared" si="0"/>
        <v>2646</v>
      </c>
      <c r="L26" s="353">
        <f t="shared" si="1"/>
        <v>1.7091502664127966E-2</v>
      </c>
      <c r="M26" s="1237">
        <f t="shared" si="4"/>
        <v>-0.45039880358923223</v>
      </c>
      <c r="N26" s="356">
        <f>(J26-Transactions!C789)/Transactions!C789</f>
        <v>-0.42905230450543752</v>
      </c>
      <c r="O26" s="327"/>
      <c r="P26" s="331"/>
      <c r="Q26" s="327"/>
      <c r="R26" s="327"/>
      <c r="S26" s="309"/>
      <c r="T26" s="328"/>
      <c r="U26" s="5"/>
      <c r="V26" s="5"/>
      <c r="W26" s="5"/>
      <c r="X26" s="5"/>
      <c r="Y26" s="5"/>
      <c r="Z26" s="5"/>
    </row>
    <row r="27" spans="1:26" ht="12.75" customHeight="1">
      <c r="A27" s="322">
        <v>19</v>
      </c>
      <c r="B27" s="334" t="s">
        <v>40</v>
      </c>
      <c r="C27" s="138" t="s">
        <v>41</v>
      </c>
      <c r="D27" s="1181">
        <v>75</v>
      </c>
      <c r="E27" s="1055">
        <v>55.48</v>
      </c>
      <c r="F27" s="1147">
        <f t="shared" si="2"/>
        <v>4161</v>
      </c>
      <c r="G27" s="331">
        <f t="shared" si="3"/>
        <v>2.7348339241188929E-2</v>
      </c>
      <c r="H27" s="548"/>
      <c r="I27" s="306">
        <v>75</v>
      </c>
      <c r="J27" s="5">
        <v>62.14</v>
      </c>
      <c r="K27" s="142">
        <f t="shared" si="0"/>
        <v>4660.5</v>
      </c>
      <c r="L27" s="353">
        <f t="shared" si="1"/>
        <v>3.0103910871567795E-2</v>
      </c>
      <c r="M27" s="1237">
        <f t="shared" si="4"/>
        <v>0.12004325883201161</v>
      </c>
      <c r="N27" s="356">
        <f>(J27-Transactions!C1774)/Transactions!C1774</f>
        <v>1.4406912804399057</v>
      </c>
      <c r="O27" s="327"/>
      <c r="P27" s="331"/>
      <c r="Q27" s="327"/>
      <c r="R27" s="327"/>
      <c r="S27" s="309"/>
      <c r="T27" s="328"/>
      <c r="U27" s="5"/>
      <c r="V27" s="5"/>
      <c r="W27" s="5"/>
      <c r="X27" s="5"/>
      <c r="Y27" s="5"/>
      <c r="Z27" s="5"/>
    </row>
    <row r="28" spans="1:26" ht="12.75" customHeight="1">
      <c r="A28" s="322">
        <v>20</v>
      </c>
      <c r="B28" s="334" t="s">
        <v>461</v>
      </c>
      <c r="C28" s="138" t="s">
        <v>462</v>
      </c>
      <c r="D28" s="1181">
        <v>60</v>
      </c>
      <c r="E28" s="1055">
        <v>34.979999999999997</v>
      </c>
      <c r="F28" s="1147">
        <f t="shared" si="2"/>
        <v>2098.7999999999997</v>
      </c>
      <c r="G28" s="331">
        <f t="shared" si="3"/>
        <v>1.3794447103919085E-2</v>
      </c>
      <c r="H28" s="548"/>
      <c r="I28" s="306">
        <v>60</v>
      </c>
      <c r="J28" s="5">
        <v>31.26</v>
      </c>
      <c r="K28" s="142">
        <f t="shared" si="0"/>
        <v>1875.6000000000001</v>
      </c>
      <c r="L28" s="353">
        <f t="shared" si="1"/>
        <v>1.2115201208177783E-2</v>
      </c>
      <c r="M28" s="1237">
        <f t="shared" si="4"/>
        <v>-0.10634648370497414</v>
      </c>
      <c r="N28" s="356">
        <f>(J28-Transactions!C797)/Transactions!C797</f>
        <v>-0.12067510548523196</v>
      </c>
      <c r="O28" s="327"/>
      <c r="P28" s="1055"/>
      <c r="Q28" s="327"/>
      <c r="R28" s="327"/>
      <c r="S28" s="309"/>
      <c r="T28" s="328"/>
      <c r="U28" s="5"/>
      <c r="V28" s="5"/>
      <c r="W28" s="5"/>
      <c r="X28" s="5"/>
      <c r="Y28" s="5"/>
      <c r="Z28" s="5"/>
    </row>
    <row r="29" spans="1:26" ht="12.75" customHeight="1">
      <c r="A29" s="322">
        <v>21</v>
      </c>
      <c r="B29" s="334" t="s">
        <v>256</v>
      </c>
      <c r="C29" s="138" t="s">
        <v>257</v>
      </c>
      <c r="D29" s="1181">
        <v>20</v>
      </c>
      <c r="E29" s="1055">
        <v>79.41</v>
      </c>
      <c r="F29" s="1147">
        <f t="shared" si="2"/>
        <v>1588.1999999999998</v>
      </c>
      <c r="G29" s="331">
        <f t="shared" si="3"/>
        <v>1.0438508142959926E-2</v>
      </c>
      <c r="H29" s="548"/>
      <c r="I29" s="306">
        <v>60</v>
      </c>
      <c r="J29" s="5">
        <v>84.08</v>
      </c>
      <c r="K29" s="142">
        <f t="shared" si="0"/>
        <v>5044.8</v>
      </c>
      <c r="L29" s="353">
        <f t="shared" si="1"/>
        <v>3.2586248163262568E-2</v>
      </c>
      <c r="M29" s="1237">
        <f t="shared" si="4"/>
        <v>5.8808714267724493E-2</v>
      </c>
      <c r="N29" s="356">
        <f>(J29-Transactions!C1315)/Transactions!C1315</f>
        <v>0.35965096685931625</v>
      </c>
      <c r="O29" s="327"/>
      <c r="P29" s="331"/>
      <c r="Q29" s="327"/>
      <c r="R29" s="327"/>
      <c r="S29" s="309"/>
      <c r="T29" s="328"/>
      <c r="U29" s="5"/>
      <c r="V29" s="5"/>
      <c r="W29" s="5"/>
      <c r="X29" s="5"/>
      <c r="Y29" s="5"/>
      <c r="Z29" s="5"/>
    </row>
    <row r="30" spans="1:26" ht="12.75" customHeight="1">
      <c r="A30" s="322">
        <v>22</v>
      </c>
      <c r="B30" s="334" t="s">
        <v>365</v>
      </c>
      <c r="C30" s="138" t="s">
        <v>80</v>
      </c>
      <c r="D30" s="1181">
        <v>60</v>
      </c>
      <c r="E30" s="1055">
        <v>38.69</v>
      </c>
      <c r="F30" s="1147">
        <f t="shared" si="2"/>
        <v>2321.3999999999996</v>
      </c>
      <c r="G30" s="331">
        <f t="shared" si="3"/>
        <v>1.5257494524031716E-2</v>
      </c>
      <c r="H30" s="548"/>
      <c r="I30" s="306">
        <v>60</v>
      </c>
      <c r="J30" s="5">
        <v>43.88</v>
      </c>
      <c r="K30" s="142">
        <f t="shared" si="0"/>
        <v>2632.8</v>
      </c>
      <c r="L30" s="353">
        <f t="shared" si="1"/>
        <v>1.7006238932016669E-2</v>
      </c>
      <c r="M30" s="1237">
        <f t="shared" si="4"/>
        <v>0.13414318945463957</v>
      </c>
      <c r="N30" s="356">
        <f>(J30-Transactions!C953)/Transactions!C953</f>
        <v>0.3224834237492466</v>
      </c>
      <c r="O30" s="327"/>
      <c r="P30" s="331"/>
      <c r="Q30" s="327"/>
      <c r="R30" s="327"/>
      <c r="S30" s="309"/>
      <c r="T30" s="328"/>
      <c r="U30" s="5"/>
      <c r="V30" s="5"/>
      <c r="W30" s="5"/>
      <c r="X30" s="5"/>
      <c r="Y30" s="5"/>
      <c r="Z30" s="5"/>
    </row>
    <row r="31" spans="1:26" ht="12.75" customHeight="1">
      <c r="A31" s="322">
        <v>23</v>
      </c>
      <c r="B31" s="334" t="s">
        <v>465</v>
      </c>
      <c r="C31" s="138" t="s">
        <v>466</v>
      </c>
      <c r="D31" s="1181">
        <v>22</v>
      </c>
      <c r="E31" s="1055">
        <v>49.71</v>
      </c>
      <c r="F31" s="1147">
        <f t="shared" si="2"/>
        <v>1093.6200000000001</v>
      </c>
      <c r="G31" s="1118">
        <f t="shared" si="3"/>
        <v>7.1878612739603555E-3</v>
      </c>
      <c r="H31" s="548"/>
      <c r="I31" s="306">
        <v>22</v>
      </c>
      <c r="J31" s="5">
        <v>58.84</v>
      </c>
      <c r="K31" s="142">
        <f t="shared" si="0"/>
        <v>1294.48</v>
      </c>
      <c r="L31" s="353">
        <f t="shared" si="1"/>
        <v>8.3615299957144253E-3</v>
      </c>
      <c r="M31" s="1237">
        <f t="shared" si="4"/>
        <v>0.18366525849929596</v>
      </c>
      <c r="N31" s="356">
        <f>(J31-Transactions!C817)/Transactions!C817</f>
        <v>-0.13913679590343805</v>
      </c>
      <c r="O31" s="327"/>
      <c r="P31" s="331"/>
      <c r="Q31" s="327"/>
      <c r="R31" s="327"/>
      <c r="S31" s="309"/>
      <c r="T31" s="328"/>
      <c r="U31" s="5"/>
      <c r="V31" s="5"/>
      <c r="W31" s="5"/>
      <c r="X31" s="5"/>
      <c r="Y31" s="5"/>
      <c r="Z31" s="5"/>
    </row>
    <row r="32" spans="1:26" ht="12.75" customHeight="1">
      <c r="A32" s="322">
        <v>24</v>
      </c>
      <c r="B32" s="334" t="s">
        <v>422</v>
      </c>
      <c r="C32" s="138" t="s">
        <v>173</v>
      </c>
      <c r="D32" s="1181">
        <v>60</v>
      </c>
      <c r="E32" s="1055">
        <v>117.64</v>
      </c>
      <c r="F32" s="1147">
        <f t="shared" si="2"/>
        <v>7058.4</v>
      </c>
      <c r="G32" s="1118">
        <f t="shared" si="3"/>
        <v>4.6391616846913702E-2</v>
      </c>
      <c r="H32" s="548"/>
      <c r="I32" s="306">
        <v>60</v>
      </c>
      <c r="J32" s="5">
        <v>160.04</v>
      </c>
      <c r="K32" s="142">
        <f t="shared" si="0"/>
        <v>9602.4</v>
      </c>
      <c r="L32" s="353">
        <f t="shared" si="1"/>
        <v>6.2025489486780938E-2</v>
      </c>
      <c r="M32" s="1237">
        <f t="shared" si="4"/>
        <v>0.36042162529751776</v>
      </c>
      <c r="N32" s="356">
        <f>(J32-Transactions!C1058)/Transactions!C1058</f>
        <v>1.7273346966598497</v>
      </c>
      <c r="O32" s="327"/>
      <c r="P32" s="331"/>
      <c r="Q32" s="327"/>
      <c r="R32" s="327"/>
      <c r="S32" s="309"/>
      <c r="T32" s="328"/>
      <c r="U32" s="5"/>
      <c r="V32" s="5"/>
      <c r="W32" s="5"/>
      <c r="X32" s="5"/>
      <c r="Y32" s="5"/>
      <c r="Z32" s="5"/>
    </row>
    <row r="33" spans="1:26" ht="12.75" customHeight="1">
      <c r="A33" s="322">
        <v>25</v>
      </c>
      <c r="B33" s="334" t="s">
        <v>503</v>
      </c>
      <c r="C33" s="138"/>
      <c r="D33" s="1181"/>
      <c r="E33" s="1055"/>
      <c r="F33" s="1147"/>
      <c r="G33" s="1118"/>
      <c r="H33" s="548"/>
      <c r="I33" s="306">
        <v>5</v>
      </c>
      <c r="J33" s="5">
        <v>28.07</v>
      </c>
      <c r="K33" s="142">
        <f t="shared" si="0"/>
        <v>140.35</v>
      </c>
      <c r="L33" s="353">
        <f t="shared" si="1"/>
        <v>9.0657309104699919E-4</v>
      </c>
      <c r="M33" s="1237"/>
      <c r="N33" s="356">
        <f>(J33-Transactions!C722)/Transactions!C722</f>
        <v>2.50000000000001E-3</v>
      </c>
      <c r="O33" s="327"/>
      <c r="P33" s="331"/>
      <c r="Q33" s="327"/>
      <c r="R33" s="327"/>
      <c r="S33" s="309"/>
      <c r="T33" s="328"/>
      <c r="U33" s="5"/>
      <c r="V33" s="5"/>
      <c r="W33" s="5"/>
      <c r="X33" s="5"/>
      <c r="Y33" s="5"/>
      <c r="Z33" s="5"/>
    </row>
    <row r="34" spans="1:26" ht="12.75" customHeight="1">
      <c r="A34" s="322">
        <v>26</v>
      </c>
      <c r="B34" s="334" t="s">
        <v>467</v>
      </c>
      <c r="C34" s="138" t="s">
        <v>468</v>
      </c>
      <c r="D34" s="1181">
        <v>40</v>
      </c>
      <c r="E34" s="1055">
        <v>77.55</v>
      </c>
      <c r="F34" s="1147">
        <f>D34*E34</f>
        <v>3102</v>
      </c>
      <c r="G34" s="1118">
        <f>F34/$F$71</f>
        <v>2.0388019304534499E-2</v>
      </c>
      <c r="H34" s="548"/>
      <c r="I34" s="306">
        <v>40</v>
      </c>
      <c r="J34" s="5">
        <v>78.02</v>
      </c>
      <c r="K34" s="142">
        <f t="shared" si="0"/>
        <v>3120.7999999999997</v>
      </c>
      <c r="L34" s="353">
        <f t="shared" si="1"/>
        <v>2.01584132706767E-2</v>
      </c>
      <c r="M34" s="1237">
        <f>(J34-E34)/E34</f>
        <v>6.0606060606060459E-3</v>
      </c>
      <c r="N34" s="356">
        <f>(J34-Transactions!C853)/Transactions!C853</f>
        <v>0.18842345773038827</v>
      </c>
      <c r="O34" s="327"/>
      <c r="P34" s="331"/>
      <c r="Q34" s="327"/>
      <c r="R34" s="327"/>
      <c r="S34" s="309"/>
      <c r="T34" s="328"/>
      <c r="U34" s="5"/>
      <c r="V34" s="5"/>
      <c r="W34" s="5"/>
      <c r="X34" s="5"/>
      <c r="Y34" s="5"/>
      <c r="Z34" s="5"/>
    </row>
    <row r="35" spans="1:26" ht="12.75" customHeight="1">
      <c r="A35" s="322">
        <v>27</v>
      </c>
      <c r="B35" s="334" t="s">
        <v>469</v>
      </c>
      <c r="C35" s="138" t="s">
        <v>470</v>
      </c>
      <c r="D35" s="1181">
        <v>19</v>
      </c>
      <c r="E35" s="1055">
        <v>105.08</v>
      </c>
      <c r="F35" s="1147">
        <f>D35*E35</f>
        <v>1996.52</v>
      </c>
      <c r="G35" s="1118">
        <f>F35/$F$71</f>
        <v>1.3122207705315674E-2</v>
      </c>
      <c r="H35" s="548"/>
      <c r="I35" s="306">
        <v>19</v>
      </c>
      <c r="J35" s="5">
        <v>104.22</v>
      </c>
      <c r="K35" s="142">
        <f t="shared" si="0"/>
        <v>1980.18</v>
      </c>
      <c r="L35" s="353">
        <f t="shared" si="1"/>
        <v>1.2790722503950459E-2</v>
      </c>
      <c r="M35" s="1237">
        <f>(J35-E35)/E35</f>
        <v>-8.1842405786067707E-3</v>
      </c>
      <c r="N35" s="356">
        <f>(J35-Transactions!C849)/Transactions!C849</f>
        <v>-1.7255084634686078E-2</v>
      </c>
      <c r="O35" s="327"/>
      <c r="P35" s="331"/>
      <c r="Q35" s="327"/>
      <c r="R35" s="327"/>
      <c r="S35" s="309"/>
      <c r="T35" s="328"/>
      <c r="U35" s="5"/>
      <c r="V35" s="5"/>
      <c r="W35" s="5"/>
      <c r="X35" s="5"/>
      <c r="Y35" s="5"/>
      <c r="Z35" s="5"/>
    </row>
    <row r="36" spans="1:26" ht="12.75" customHeight="1">
      <c r="A36" s="322">
        <v>28</v>
      </c>
      <c r="B36" s="334" t="s">
        <v>426</v>
      </c>
      <c r="C36" s="138" t="s">
        <v>310</v>
      </c>
      <c r="D36" s="1181">
        <v>30</v>
      </c>
      <c r="E36" s="1055">
        <v>54.36</v>
      </c>
      <c r="F36" s="1147">
        <f>D36*E36</f>
        <v>1630.8</v>
      </c>
      <c r="G36" s="1118">
        <f>F36/$F$71</f>
        <v>1.0718498350043475E-2</v>
      </c>
      <c r="H36" s="548"/>
      <c r="I36" s="306">
        <v>30</v>
      </c>
      <c r="J36" s="5">
        <v>55.11</v>
      </c>
      <c r="K36" s="142">
        <f t="shared" si="0"/>
        <v>1653.3</v>
      </c>
      <c r="L36" s="353">
        <f t="shared" si="1"/>
        <v>1.067928244693982E-2</v>
      </c>
      <c r="M36" s="1237">
        <f>(J36-E36)/E36</f>
        <v>1.379690949227373E-2</v>
      </c>
      <c r="N36" s="356">
        <f>(J36-Transactions!C938)/Transactions!C938</f>
        <v>0.12240325865580444</v>
      </c>
      <c r="O36" s="327"/>
      <c r="P36" s="331"/>
      <c r="Q36" s="327"/>
      <c r="R36" s="327"/>
      <c r="S36" s="309"/>
      <c r="T36" s="328"/>
      <c r="U36" s="5"/>
      <c r="V36" s="5"/>
      <c r="W36" s="5"/>
      <c r="X36" s="5"/>
      <c r="Y36" s="5"/>
      <c r="Z36" s="5"/>
    </row>
    <row r="37" spans="1:26" ht="12.75" customHeight="1">
      <c r="A37" s="322">
        <v>29</v>
      </c>
      <c r="B37" s="334" t="s">
        <v>471</v>
      </c>
      <c r="C37" s="138" t="s">
        <v>472</v>
      </c>
      <c r="D37" s="1181">
        <v>22</v>
      </c>
      <c r="E37" s="1055">
        <v>38.909999999999997</v>
      </c>
      <c r="F37" s="1147">
        <f>D37*E37</f>
        <v>856.02</v>
      </c>
      <c r="G37" s="1118">
        <f>F37/$F$71</f>
        <v>5.6262257527619668E-3</v>
      </c>
      <c r="H37" s="548"/>
      <c r="I37" s="306">
        <v>22</v>
      </c>
      <c r="J37" s="5">
        <v>55.6</v>
      </c>
      <c r="K37" s="142">
        <f t="shared" si="0"/>
        <v>1223.2</v>
      </c>
      <c r="L37" s="353">
        <f t="shared" si="1"/>
        <v>7.9011058423134276E-3</v>
      </c>
      <c r="M37" s="1237">
        <f>(J37-E37)/E37</f>
        <v>0.42893857620149078</v>
      </c>
      <c r="N37" s="356">
        <f>(J37-Transactions!C843)/Transactions!C843</f>
        <v>0.23008849557522118</v>
      </c>
      <c r="O37" s="327"/>
      <c r="P37" s="1055"/>
      <c r="Q37" s="327"/>
      <c r="R37" s="327"/>
      <c r="S37" s="309"/>
      <c r="T37" s="328"/>
      <c r="U37" s="5"/>
      <c r="V37" s="5"/>
      <c r="W37" s="5"/>
      <c r="X37" s="5"/>
      <c r="Y37" s="5"/>
      <c r="Z37" s="5"/>
    </row>
    <row r="38" spans="1:26" ht="12.75" customHeight="1">
      <c r="A38" s="322"/>
      <c r="B38" s="1183" t="s">
        <v>375</v>
      </c>
      <c r="C38" s="138"/>
      <c r="D38" s="1181"/>
      <c r="E38" s="1055"/>
      <c r="F38" s="1227">
        <f>SUM(F9:F37)</f>
        <v>69939.85000000002</v>
      </c>
      <c r="G38" s="1184">
        <f>F38/$F$71</f>
        <v>0.45968246678151115</v>
      </c>
      <c r="H38" s="548"/>
      <c r="I38" s="130"/>
      <c r="J38" s="74"/>
      <c r="K38" s="75">
        <f>SUM(K9:K37)</f>
        <v>86406.76999999999</v>
      </c>
      <c r="L38" s="131">
        <f t="shared" si="1"/>
        <v>0.55813361286987606</v>
      </c>
      <c r="M38" s="1237"/>
      <c r="N38" s="356"/>
      <c r="O38" s="882"/>
      <c r="P38" s="326"/>
      <c r="Q38" s="327"/>
      <c r="R38" s="328"/>
      <c r="S38" s="309"/>
      <c r="T38" s="328"/>
      <c r="U38" s="5"/>
      <c r="V38" s="5"/>
      <c r="W38" s="5"/>
      <c r="X38" s="5"/>
      <c r="Y38" s="5"/>
      <c r="Z38" s="5"/>
    </row>
    <row r="39" spans="1:26" ht="12.75" customHeight="1">
      <c r="A39" s="322"/>
      <c r="B39" s="913"/>
      <c r="C39" s="138"/>
      <c r="D39" s="1181"/>
      <c r="E39" s="1055"/>
      <c r="F39" s="327"/>
      <c r="G39" s="331"/>
      <c r="H39" s="548"/>
      <c r="I39" s="130"/>
      <c r="J39" s="74"/>
      <c r="K39" s="142"/>
      <c r="L39" s="121"/>
      <c r="M39" s="1237"/>
      <c r="N39" s="356"/>
      <c r="O39" s="882"/>
      <c r="P39" s="1055"/>
      <c r="Q39" s="327"/>
      <c r="R39" s="328"/>
      <c r="S39" s="309"/>
      <c r="T39" s="328"/>
      <c r="U39" s="5"/>
      <c r="V39" s="5"/>
      <c r="W39" s="5"/>
      <c r="X39" s="5"/>
      <c r="Y39" s="5"/>
      <c r="Z39" s="5"/>
    </row>
    <row r="40" spans="1:26" ht="12.75" customHeight="1">
      <c r="A40" s="322"/>
      <c r="B40" s="1239" t="s">
        <v>366</v>
      </c>
      <c r="C40" s="31"/>
      <c r="D40" s="1240"/>
      <c r="E40" s="1241"/>
      <c r="F40" s="1242"/>
      <c r="G40" s="1137"/>
      <c r="H40" s="1243"/>
      <c r="I40" s="1244"/>
      <c r="J40" s="1156"/>
      <c r="K40" s="1245"/>
      <c r="L40" s="1246"/>
      <c r="M40" s="76"/>
      <c r="N40" s="1247"/>
      <c r="O40" s="882"/>
      <c r="P40" s="326"/>
      <c r="Q40" s="327"/>
      <c r="R40" s="328"/>
      <c r="S40" s="309"/>
      <c r="T40" s="328"/>
      <c r="U40" s="5"/>
      <c r="V40" s="5"/>
      <c r="W40" s="5"/>
      <c r="X40" s="5"/>
      <c r="Y40" s="5"/>
      <c r="Z40" s="5"/>
    </row>
    <row r="41" spans="1:26" ht="12.75" customHeight="1">
      <c r="A41" s="322">
        <v>37</v>
      </c>
      <c r="B41" s="334" t="s">
        <v>367</v>
      </c>
      <c r="C41" s="138" t="s">
        <v>368</v>
      </c>
      <c r="D41" s="1181">
        <v>178</v>
      </c>
      <c r="E41" s="1055">
        <v>33.340000000000003</v>
      </c>
      <c r="F41" s="1147">
        <f>D41*E41</f>
        <v>5934.52</v>
      </c>
      <c r="G41" s="1118">
        <f>F41/$F$71</f>
        <v>3.900487051036302E-2</v>
      </c>
      <c r="H41" s="548"/>
      <c r="I41" s="130">
        <v>254</v>
      </c>
      <c r="J41" s="74">
        <v>39.18</v>
      </c>
      <c r="K41" s="142">
        <f>I41*J41</f>
        <v>9951.7199999999993</v>
      </c>
      <c r="L41" s="121">
        <f>K41/$K$71</f>
        <v>6.4281877888380773E-2</v>
      </c>
      <c r="M41" s="1237">
        <f>(J41-E41)/E41</f>
        <v>0.17516496700659856</v>
      </c>
      <c r="N41" s="356">
        <f>(J41-Transactions!C965)/Transactions!C965</f>
        <v>0.22936931283338557</v>
      </c>
      <c r="O41" s="327"/>
      <c r="P41" s="331"/>
      <c r="Q41" s="327"/>
      <c r="R41" s="327"/>
      <c r="S41" s="309"/>
      <c r="T41" s="328"/>
      <c r="U41" s="5"/>
      <c r="V41" s="5"/>
      <c r="W41" s="5"/>
      <c r="X41" s="5"/>
      <c r="Y41" s="5"/>
      <c r="Z41" s="5"/>
    </row>
    <row r="42" spans="1:26" ht="12.75" customHeight="1">
      <c r="A42" s="322">
        <v>39</v>
      </c>
      <c r="B42" s="334" t="s">
        <v>371</v>
      </c>
      <c r="C42" s="138" t="s">
        <v>372</v>
      </c>
      <c r="D42" s="1181">
        <v>81</v>
      </c>
      <c r="E42" s="1055">
        <v>66.75</v>
      </c>
      <c r="F42" s="1147">
        <f>D42*E42</f>
        <v>5406.75</v>
      </c>
      <c r="G42" s="1118">
        <f>F42/$F$71</f>
        <v>3.5536081036361029E-2</v>
      </c>
      <c r="H42" s="548"/>
      <c r="I42" s="130">
        <v>81</v>
      </c>
      <c r="J42" s="74">
        <v>75.77</v>
      </c>
      <c r="K42" s="142">
        <f>I42*J42</f>
        <v>6137.37</v>
      </c>
      <c r="L42" s="121">
        <f>K42/$K$71</f>
        <v>3.9643566026356401E-2</v>
      </c>
      <c r="M42" s="1237">
        <f>(J42-E42)/E42</f>
        <v>0.13513108614232203</v>
      </c>
      <c r="N42" s="356">
        <f>(J42-Transactions!C961)/Transactions!C961</f>
        <v>0.22963323596234989</v>
      </c>
      <c r="O42" s="327"/>
      <c r="P42" s="331"/>
      <c r="Q42" s="327"/>
      <c r="R42" s="327"/>
      <c r="S42" s="309"/>
      <c r="T42" s="328"/>
      <c r="U42" s="5"/>
      <c r="V42" s="5"/>
      <c r="W42" s="5"/>
      <c r="X42" s="5"/>
      <c r="Y42" s="5"/>
      <c r="Z42" s="5"/>
    </row>
    <row r="43" spans="1:26" ht="12.75" customHeight="1">
      <c r="A43" s="322"/>
      <c r="B43" s="1183" t="s">
        <v>375</v>
      </c>
      <c r="C43" s="138"/>
      <c r="D43" s="1181"/>
      <c r="E43" s="1055"/>
      <c r="F43" s="1096">
        <f>SUM(F41:F42)</f>
        <v>11341.27</v>
      </c>
      <c r="G43" s="1184">
        <f>F43/$F$71</f>
        <v>7.4540951546724049E-2</v>
      </c>
      <c r="H43" s="548"/>
      <c r="I43" s="130"/>
      <c r="J43" s="74"/>
      <c r="K43" s="75">
        <f>SUM(K41:K42)</f>
        <v>16089.09</v>
      </c>
      <c r="L43" s="131">
        <f>K43/$K$71</f>
        <v>0.1039254439147372</v>
      </c>
      <c r="M43" s="1237"/>
      <c r="N43" s="356"/>
      <c r="O43" s="327"/>
      <c r="P43" s="1229"/>
      <c r="Q43" s="327"/>
      <c r="R43" s="328"/>
      <c r="S43" s="309"/>
      <c r="T43" s="328"/>
      <c r="U43" s="5"/>
      <c r="V43" s="5"/>
      <c r="W43" s="5"/>
      <c r="X43" s="5"/>
      <c r="Y43" s="5"/>
      <c r="Z43" s="5"/>
    </row>
    <row r="44" spans="1:26" ht="12.75" customHeight="1">
      <c r="A44" s="322"/>
      <c r="B44" s="913"/>
      <c r="C44" s="138"/>
      <c r="D44" s="1181"/>
      <c r="E44" s="1055"/>
      <c r="F44" s="327"/>
      <c r="G44" s="331"/>
      <c r="H44" s="548"/>
      <c r="I44" s="130"/>
      <c r="J44" s="74"/>
      <c r="K44" s="142"/>
      <c r="L44" s="121"/>
      <c r="M44" s="1237"/>
      <c r="N44" s="356"/>
      <c r="O44" s="327"/>
      <c r="P44" s="326"/>
      <c r="Q44" s="327"/>
      <c r="R44" s="328"/>
      <c r="S44" s="309"/>
      <c r="T44" s="328"/>
      <c r="U44" s="5"/>
      <c r="V44" s="5"/>
      <c r="W44" s="5"/>
      <c r="X44" s="5"/>
      <c r="Y44" s="5"/>
      <c r="Z44" s="5"/>
    </row>
    <row r="45" spans="1:26" ht="12.75" customHeight="1">
      <c r="A45" s="322"/>
      <c r="B45" s="1239" t="s">
        <v>376</v>
      </c>
      <c r="C45" s="31"/>
      <c r="D45" s="1240"/>
      <c r="E45" s="1241"/>
      <c r="F45" s="1242"/>
      <c r="G45" s="1137"/>
      <c r="H45" s="1243"/>
      <c r="I45" s="1244"/>
      <c r="J45" s="1156"/>
      <c r="K45" s="1245"/>
      <c r="L45" s="1246"/>
      <c r="M45" s="1237"/>
      <c r="N45" s="356"/>
      <c r="O45" s="327"/>
      <c r="P45" s="326"/>
      <c r="Q45" s="327"/>
      <c r="R45" s="328"/>
      <c r="S45" s="309"/>
      <c r="T45" s="328"/>
      <c r="U45" s="5"/>
      <c r="V45" s="5"/>
      <c r="W45" s="5"/>
      <c r="X45" s="5"/>
      <c r="Y45" s="5"/>
      <c r="Z45" s="5"/>
    </row>
    <row r="46" spans="1:26" ht="12.75" customHeight="1">
      <c r="A46" s="322">
        <v>41</v>
      </c>
      <c r="B46" s="69" t="s">
        <v>473</v>
      </c>
      <c r="C46" s="335" t="s">
        <v>474</v>
      </c>
      <c r="D46" s="1181">
        <v>431.56400000000002</v>
      </c>
      <c r="E46" s="1055">
        <v>10.4</v>
      </c>
      <c r="F46" s="1147">
        <f>D46*E46</f>
        <v>4488.2656000000006</v>
      </c>
      <c r="G46" s="1248">
        <f>F46/$F$71</f>
        <v>2.9499305511501654E-2</v>
      </c>
      <c r="H46" s="548"/>
      <c r="I46" s="130">
        <v>435.69</v>
      </c>
      <c r="J46" s="74">
        <v>10.38</v>
      </c>
      <c r="K46" s="142">
        <f>I46*J46</f>
        <v>4522.4621999999999</v>
      </c>
      <c r="L46" s="121">
        <f>K46/$K$71</f>
        <v>2.921227314426229E-2</v>
      </c>
      <c r="M46" s="1237">
        <f>(J46-E46)/E46</f>
        <v>-1.923076923076882E-3</v>
      </c>
      <c r="N46" s="356">
        <f>(J46-Transactions!C831)/Transactions!C831</f>
        <v>-1.0486177311725398E-2</v>
      </c>
      <c r="O46" s="327"/>
      <c r="P46" s="331"/>
      <c r="Q46" s="327"/>
      <c r="R46" s="327"/>
      <c r="S46" s="309"/>
      <c r="T46" s="328"/>
      <c r="U46" s="5"/>
      <c r="V46" s="5"/>
      <c r="W46" s="5"/>
      <c r="X46" s="5"/>
      <c r="Y46" s="5"/>
      <c r="Z46" s="5"/>
    </row>
    <row r="47" spans="1:26" ht="12.75" customHeight="1">
      <c r="A47" s="322"/>
      <c r="B47" s="323" t="s">
        <v>504</v>
      </c>
      <c r="C47" s="335" t="s">
        <v>505</v>
      </c>
      <c r="D47" s="1181"/>
      <c r="E47" s="1055"/>
      <c r="F47" s="1147"/>
      <c r="G47" s="1118"/>
      <c r="H47" s="545"/>
      <c r="I47" s="130">
        <v>150</v>
      </c>
      <c r="J47" s="74">
        <v>52.29</v>
      </c>
      <c r="K47" s="142">
        <f>I47*J47</f>
        <v>7843.5</v>
      </c>
      <c r="L47" s="121">
        <f>K47/$K$71</f>
        <v>5.066409718295075E-2</v>
      </c>
      <c r="M47" s="1237"/>
      <c r="N47" s="356">
        <f>(J47-Transactions!C754)/Transactions!C754</f>
        <v>-2.2434099831744304E-2</v>
      </c>
      <c r="O47" s="327"/>
      <c r="P47" s="331"/>
      <c r="Q47" s="327"/>
      <c r="R47" s="327"/>
      <c r="S47" s="309"/>
      <c r="T47" s="328"/>
      <c r="U47" s="5"/>
      <c r="V47" s="5"/>
      <c r="W47" s="5"/>
      <c r="X47" s="5"/>
      <c r="Y47" s="5"/>
      <c r="Z47" s="5"/>
    </row>
    <row r="48" spans="1:26" ht="12.75" customHeight="1">
      <c r="A48" s="322"/>
      <c r="B48" s="323" t="s">
        <v>506</v>
      </c>
      <c r="C48" s="335" t="s">
        <v>507</v>
      </c>
      <c r="D48" s="1181"/>
      <c r="E48" s="1055"/>
      <c r="F48" s="1147"/>
      <c r="G48" s="1118"/>
      <c r="H48" s="545"/>
      <c r="I48" s="130">
        <v>450</v>
      </c>
      <c r="J48" s="74">
        <v>30.05</v>
      </c>
      <c r="K48" s="142">
        <f>I48*J48</f>
        <v>13522.5</v>
      </c>
      <c r="L48" s="121">
        <f>K48/$K$71</f>
        <v>8.7346880111742409E-2</v>
      </c>
      <c r="M48" s="1237"/>
      <c r="N48" s="356">
        <f>(J48-Transactions!C730)/Transactions!C730</f>
        <v>-9.5583388266314816E-3</v>
      </c>
      <c r="O48" s="327"/>
      <c r="P48" s="331"/>
      <c r="Q48" s="327"/>
      <c r="R48" s="327"/>
      <c r="S48" s="309"/>
      <c r="T48" s="328"/>
      <c r="U48" s="5"/>
      <c r="V48" s="5"/>
      <c r="W48" s="5"/>
      <c r="X48" s="5"/>
      <c r="Y48" s="5"/>
      <c r="Z48" s="5"/>
    </row>
    <row r="49" spans="1:26" ht="12.75" customHeight="1">
      <c r="A49" s="322"/>
      <c r="B49" s="1183" t="s">
        <v>375</v>
      </c>
      <c r="C49" s="138"/>
      <c r="D49" s="1181"/>
      <c r="E49" s="1055"/>
      <c r="F49" s="1096">
        <f>SUM(F46)</f>
        <v>4488.2656000000006</v>
      </c>
      <c r="G49" s="1184">
        <f>F49/$F$71</f>
        <v>2.9499305511501654E-2</v>
      </c>
      <c r="H49" s="545"/>
      <c r="I49" s="130"/>
      <c r="J49" s="74"/>
      <c r="K49" s="75">
        <f>SUM(K46:K48)</f>
        <v>25888.462200000002</v>
      </c>
      <c r="L49" s="131">
        <f>K49/$K$71</f>
        <v>0.16722325043895547</v>
      </c>
      <c r="M49" s="1237"/>
      <c r="N49" s="356"/>
      <c r="O49" s="327"/>
      <c r="P49" s="326"/>
      <c r="Q49" s="327"/>
      <c r="R49" s="328"/>
      <c r="S49" s="309"/>
      <c r="T49" s="328"/>
      <c r="U49" s="5"/>
      <c r="V49" s="5"/>
      <c r="W49" s="5"/>
      <c r="X49" s="5"/>
      <c r="Y49" s="5"/>
      <c r="Z49" s="5"/>
    </row>
    <row r="50" spans="1:26" ht="12.75" customHeight="1">
      <c r="A50" s="322"/>
      <c r="B50" s="323"/>
      <c r="C50" s="323"/>
      <c r="D50" s="946"/>
      <c r="E50" s="964"/>
      <c r="F50" s="948"/>
      <c r="G50" s="949"/>
      <c r="H50" s="545"/>
      <c r="I50" s="77"/>
      <c r="J50" s="78"/>
      <c r="K50" s="79"/>
      <c r="L50" s="80"/>
      <c r="M50" s="1249"/>
      <c r="N50" s="356"/>
      <c r="O50" s="325"/>
      <c r="P50" s="326"/>
      <c r="Q50" s="327"/>
      <c r="R50" s="309"/>
      <c r="S50" s="309"/>
      <c r="T50" s="328"/>
      <c r="U50" s="5"/>
      <c r="V50" s="5"/>
      <c r="W50" s="5"/>
      <c r="X50" s="5"/>
      <c r="Y50" s="5"/>
      <c r="Z50" s="5"/>
    </row>
    <row r="51" spans="1:26" ht="12.75" customHeight="1">
      <c r="A51" s="46"/>
      <c r="B51" s="1122" t="s">
        <v>52</v>
      </c>
      <c r="C51" s="1123"/>
      <c r="D51" s="1250"/>
      <c r="E51" s="1251"/>
      <c r="F51" s="1252"/>
      <c r="G51" s="1253"/>
      <c r="H51" s="1254"/>
      <c r="I51" s="81"/>
      <c r="J51" s="82"/>
      <c r="K51" s="83"/>
      <c r="L51" s="84"/>
      <c r="M51" s="85"/>
      <c r="N51" s="356"/>
      <c r="O51" s="325"/>
      <c r="P51" s="326"/>
      <c r="Q51" s="327"/>
      <c r="R51" s="309"/>
      <c r="S51" s="309"/>
      <c r="T51" s="328"/>
      <c r="U51" s="5"/>
      <c r="V51" s="5"/>
      <c r="W51" s="5"/>
      <c r="X51" s="5"/>
      <c r="Y51" s="5"/>
      <c r="Z51" s="5"/>
    </row>
    <row r="52" spans="1:26" ht="12.75" customHeight="1">
      <c r="A52" s="532"/>
      <c r="B52" s="334"/>
      <c r="C52" s="138"/>
      <c r="D52" s="1152" t="s">
        <v>9</v>
      </c>
      <c r="E52" s="1255" t="s">
        <v>436</v>
      </c>
      <c r="F52" s="127" t="s">
        <v>437</v>
      </c>
      <c r="G52" s="1255" t="s">
        <v>438</v>
      </c>
      <c r="H52" s="1256" t="s">
        <v>439</v>
      </c>
      <c r="I52" s="1257" t="s">
        <v>440</v>
      </c>
      <c r="J52" s="1257" t="s">
        <v>15</v>
      </c>
      <c r="K52" s="1258" t="s">
        <v>508</v>
      </c>
      <c r="L52" s="1259"/>
      <c r="M52" s="394"/>
      <c r="N52" s="1260"/>
      <c r="O52" s="325"/>
      <c r="P52" s="326"/>
      <c r="Q52" s="327"/>
      <c r="R52" s="309"/>
      <c r="S52" s="309"/>
      <c r="T52" s="328"/>
      <c r="U52" s="5"/>
      <c r="V52" s="5"/>
      <c r="W52" s="5"/>
      <c r="X52" s="5"/>
      <c r="Y52" s="5"/>
      <c r="Z52" s="5"/>
    </row>
    <row r="53" spans="1:26" ht="12.75" customHeight="1">
      <c r="A53" s="322">
        <v>1</v>
      </c>
      <c r="B53" s="323" t="s">
        <v>509</v>
      </c>
      <c r="C53" s="854" t="s">
        <v>458</v>
      </c>
      <c r="D53" s="1181">
        <v>81</v>
      </c>
      <c r="E53" s="127">
        <v>15.53</v>
      </c>
      <c r="F53" s="127">
        <v>80.540000000000006</v>
      </c>
      <c r="G53" s="127">
        <f t="shared" ref="G53:G67" si="5">(E53*D53)-9.99</f>
        <v>1247.9399999999998</v>
      </c>
      <c r="H53" s="127">
        <f t="shared" ref="H53:H67" si="6">(F53*D53)+9.99</f>
        <v>6533.7300000000005</v>
      </c>
      <c r="I53" s="86">
        <f t="shared" ref="I53:I67" si="7">G53-H53</f>
        <v>-5285.7900000000009</v>
      </c>
      <c r="J53" s="356">
        <f t="shared" ref="J53:J67" si="8">(E53-F53)/F53</f>
        <v>-0.80717655823193446</v>
      </c>
      <c r="K53" s="2021" t="s">
        <v>510</v>
      </c>
      <c r="L53" s="2000"/>
      <c r="M53" s="87"/>
      <c r="N53" s="356"/>
      <c r="O53" s="325"/>
      <c r="P53" s="326"/>
      <c r="Q53" s="327"/>
      <c r="R53" s="309"/>
      <c r="S53" s="309"/>
      <c r="T53" s="328"/>
      <c r="U53" s="5"/>
      <c r="V53" s="5"/>
      <c r="W53" s="5"/>
      <c r="X53" s="5"/>
      <c r="Y53" s="5"/>
      <c r="Z53" s="5"/>
    </row>
    <row r="54" spans="1:26" ht="12.75" customHeight="1">
      <c r="A54" s="322">
        <v>2</v>
      </c>
      <c r="B54" s="323" t="s">
        <v>511</v>
      </c>
      <c r="C54" s="854" t="s">
        <v>25</v>
      </c>
      <c r="D54" s="1181">
        <v>60</v>
      </c>
      <c r="E54" s="127">
        <v>95.2</v>
      </c>
      <c r="F54" s="127">
        <v>25.38</v>
      </c>
      <c r="G54" s="127">
        <f t="shared" si="5"/>
        <v>5702.01</v>
      </c>
      <c r="H54" s="127">
        <f t="shared" si="6"/>
        <v>1532.79</v>
      </c>
      <c r="I54" s="127">
        <f t="shared" si="7"/>
        <v>4169.22</v>
      </c>
      <c r="J54" s="356">
        <f t="shared" si="8"/>
        <v>2.7509850275807728</v>
      </c>
      <c r="K54" s="2021" t="s">
        <v>512</v>
      </c>
      <c r="L54" s="2000"/>
      <c r="M54" s="87"/>
      <c r="N54" s="356"/>
      <c r="O54" s="325"/>
      <c r="P54" s="326"/>
      <c r="Q54" s="327"/>
      <c r="R54" s="309"/>
      <c r="S54" s="309"/>
      <c r="T54" s="328"/>
      <c r="U54" s="5"/>
      <c r="V54" s="5"/>
      <c r="W54" s="5"/>
      <c r="X54" s="5"/>
      <c r="Y54" s="5"/>
      <c r="Z54" s="5"/>
    </row>
    <row r="55" spans="1:26" ht="12.75" customHeight="1">
      <c r="A55" s="322">
        <v>3</v>
      </c>
      <c r="B55" s="323" t="s">
        <v>416</v>
      </c>
      <c r="C55" s="854" t="s">
        <v>417</v>
      </c>
      <c r="D55" s="1181">
        <v>40</v>
      </c>
      <c r="E55" s="127">
        <v>78.45</v>
      </c>
      <c r="F55" s="127">
        <v>76.28</v>
      </c>
      <c r="G55" s="127">
        <f t="shared" si="5"/>
        <v>3128.01</v>
      </c>
      <c r="H55" s="127">
        <f t="shared" si="6"/>
        <v>3061.1899999999996</v>
      </c>
      <c r="I55" s="127">
        <f t="shared" si="7"/>
        <v>66.820000000000618</v>
      </c>
      <c r="J55" s="356">
        <f t="shared" si="8"/>
        <v>2.8447823807026765E-2</v>
      </c>
      <c r="K55" s="2021" t="s">
        <v>513</v>
      </c>
      <c r="L55" s="2000"/>
      <c r="M55" s="88"/>
      <c r="N55" s="356"/>
      <c r="O55" s="327"/>
      <c r="P55" s="331"/>
      <c r="Q55" s="327"/>
      <c r="R55" s="328"/>
      <c r="S55" s="309"/>
      <c r="T55" s="328"/>
      <c r="U55" s="5"/>
      <c r="V55" s="5"/>
      <c r="W55" s="5"/>
      <c r="X55" s="5"/>
      <c r="Y55" s="5"/>
      <c r="Z55" s="5"/>
    </row>
    <row r="56" spans="1:26" ht="12.75" customHeight="1">
      <c r="A56" s="322">
        <v>4</v>
      </c>
      <c r="B56" s="323" t="s">
        <v>494</v>
      </c>
      <c r="C56" s="854" t="s">
        <v>514</v>
      </c>
      <c r="D56" s="1181">
        <v>35</v>
      </c>
      <c r="E56" s="127">
        <v>72.34</v>
      </c>
      <c r="F56" s="127">
        <v>52.84</v>
      </c>
      <c r="G56" s="127">
        <f t="shared" si="5"/>
        <v>2521.9100000000003</v>
      </c>
      <c r="H56" s="127">
        <f t="shared" si="6"/>
        <v>1859.39</v>
      </c>
      <c r="I56" s="127">
        <f t="shared" si="7"/>
        <v>662.52000000000021</v>
      </c>
      <c r="J56" s="356">
        <f t="shared" si="8"/>
        <v>0.36903860711582132</v>
      </c>
      <c r="K56" s="2021" t="s">
        <v>515</v>
      </c>
      <c r="L56" s="2000"/>
      <c r="M56" s="88"/>
      <c r="N56" s="356"/>
      <c r="O56" s="327"/>
      <c r="P56" s="331"/>
      <c r="Q56" s="327"/>
      <c r="R56" s="328"/>
      <c r="S56" s="309"/>
      <c r="T56" s="328"/>
      <c r="U56" s="5"/>
      <c r="V56" s="5"/>
      <c r="W56" s="5"/>
      <c r="X56" s="5"/>
      <c r="Y56" s="5"/>
      <c r="Z56" s="5"/>
    </row>
    <row r="57" spans="1:26" ht="12.75" customHeight="1">
      <c r="A57" s="322">
        <v>5</v>
      </c>
      <c r="B57" s="985" t="s">
        <v>453</v>
      </c>
      <c r="C57" s="854" t="s">
        <v>454</v>
      </c>
      <c r="D57" s="547">
        <v>55</v>
      </c>
      <c r="E57" s="74">
        <v>27.95</v>
      </c>
      <c r="F57" s="89">
        <v>41.7</v>
      </c>
      <c r="G57" s="127">
        <f t="shared" si="5"/>
        <v>1527.26</v>
      </c>
      <c r="H57" s="127">
        <f t="shared" si="6"/>
        <v>2303.4899999999998</v>
      </c>
      <c r="I57" s="86">
        <f t="shared" si="7"/>
        <v>-776.22999999999979</v>
      </c>
      <c r="J57" s="356">
        <f t="shared" si="8"/>
        <v>-0.32973621103117512</v>
      </c>
      <c r="K57" s="2022" t="s">
        <v>516</v>
      </c>
      <c r="L57" s="2000"/>
      <c r="M57" s="88" t="s">
        <v>517</v>
      </c>
      <c r="N57" s="356"/>
      <c r="O57" s="327"/>
      <c r="P57" s="1055"/>
      <c r="Q57" s="327"/>
      <c r="R57" s="328"/>
      <c r="S57" s="309"/>
      <c r="T57" s="328"/>
      <c r="U57" s="5"/>
      <c r="V57" s="5"/>
      <c r="W57" s="5"/>
      <c r="X57" s="5"/>
      <c r="Y57" s="5"/>
      <c r="Z57" s="5"/>
    </row>
    <row r="58" spans="1:26" ht="12.75" customHeight="1">
      <c r="A58" s="322">
        <v>6</v>
      </c>
      <c r="B58" s="39" t="s">
        <v>433</v>
      </c>
      <c r="C58" s="854" t="s">
        <v>434</v>
      </c>
      <c r="D58" s="547">
        <v>281</v>
      </c>
      <c r="E58" s="74">
        <v>11.1</v>
      </c>
      <c r="F58" s="89">
        <v>10.85</v>
      </c>
      <c r="G58" s="127">
        <f t="shared" si="5"/>
        <v>3109.11</v>
      </c>
      <c r="H58" s="127">
        <f t="shared" si="6"/>
        <v>3058.8399999999997</v>
      </c>
      <c r="I58" s="127">
        <f t="shared" si="7"/>
        <v>50.270000000000437</v>
      </c>
      <c r="J58" s="356">
        <f t="shared" si="8"/>
        <v>2.3041474654377881E-2</v>
      </c>
      <c r="K58" s="2022" t="s">
        <v>518</v>
      </c>
      <c r="L58" s="2000"/>
      <c r="M58" s="88"/>
      <c r="N58" s="356"/>
      <c r="O58" s="327"/>
      <c r="P58" s="1055"/>
      <c r="Q58" s="327"/>
      <c r="R58" s="328"/>
      <c r="S58" s="309"/>
      <c r="T58" s="328"/>
      <c r="U58" s="5"/>
      <c r="V58" s="5"/>
      <c r="W58" s="5"/>
      <c r="X58" s="5"/>
      <c r="Y58" s="5"/>
      <c r="Z58" s="5"/>
    </row>
    <row r="59" spans="1:26" ht="12.75" customHeight="1">
      <c r="A59" s="322">
        <v>7</v>
      </c>
      <c r="B59" s="985" t="s">
        <v>430</v>
      </c>
      <c r="C59" s="854" t="s">
        <v>431</v>
      </c>
      <c r="D59" s="547">
        <v>15</v>
      </c>
      <c r="E59" s="74">
        <v>133.93</v>
      </c>
      <c r="F59" s="89">
        <v>126</v>
      </c>
      <c r="G59" s="127">
        <f t="shared" si="5"/>
        <v>1998.96</v>
      </c>
      <c r="H59" s="127">
        <f t="shared" si="6"/>
        <v>1899.99</v>
      </c>
      <c r="I59" s="127">
        <f t="shared" si="7"/>
        <v>98.970000000000027</v>
      </c>
      <c r="J59" s="356">
        <f t="shared" si="8"/>
        <v>6.2936507936507985E-2</v>
      </c>
      <c r="K59" s="2022" t="s">
        <v>519</v>
      </c>
      <c r="L59" s="2000"/>
      <c r="M59" s="88"/>
      <c r="N59" s="356"/>
      <c r="O59" s="327"/>
      <c r="P59" s="1055"/>
      <c r="Q59" s="327"/>
      <c r="R59" s="328"/>
      <c r="S59" s="309"/>
      <c r="T59" s="328"/>
      <c r="U59" s="5"/>
      <c r="V59" s="5"/>
      <c r="W59" s="5"/>
      <c r="X59" s="5"/>
      <c r="Y59" s="5"/>
      <c r="Z59" s="5"/>
    </row>
    <row r="60" spans="1:26" ht="12.75" customHeight="1">
      <c r="A60" s="322">
        <v>8</v>
      </c>
      <c r="B60" s="1023" t="s">
        <v>520</v>
      </c>
      <c r="C60" s="854" t="s">
        <v>464</v>
      </c>
      <c r="D60" s="547">
        <v>1</v>
      </c>
      <c r="E60" s="74">
        <v>27.34</v>
      </c>
      <c r="F60" s="89">
        <v>21</v>
      </c>
      <c r="G60" s="127">
        <f t="shared" si="5"/>
        <v>17.350000000000001</v>
      </c>
      <c r="H60" s="127">
        <f t="shared" si="6"/>
        <v>30.990000000000002</v>
      </c>
      <c r="I60" s="86">
        <f t="shared" si="7"/>
        <v>-13.64</v>
      </c>
      <c r="J60" s="356">
        <f t="shared" si="8"/>
        <v>0.3019047619047619</v>
      </c>
      <c r="K60" s="2022" t="s">
        <v>521</v>
      </c>
      <c r="L60" s="2000"/>
      <c r="M60" s="88"/>
      <c r="N60" s="356"/>
      <c r="O60" s="327"/>
      <c r="P60" s="1055"/>
      <c r="Q60" s="327"/>
      <c r="R60" s="328"/>
      <c r="S60" s="309"/>
      <c r="T60" s="328"/>
      <c r="U60" s="5"/>
      <c r="V60" s="5"/>
      <c r="W60" s="5"/>
      <c r="X60" s="5"/>
      <c r="Y60" s="5"/>
      <c r="Z60" s="5"/>
    </row>
    <row r="61" spans="1:26" ht="12.75" customHeight="1">
      <c r="A61" s="322">
        <v>9</v>
      </c>
      <c r="B61" s="1261" t="s">
        <v>522</v>
      </c>
      <c r="C61" s="853" t="s">
        <v>424</v>
      </c>
      <c r="D61" s="547">
        <v>25</v>
      </c>
      <c r="E61" s="74">
        <v>56.59</v>
      </c>
      <c r="F61" s="89">
        <v>68.430000000000007</v>
      </c>
      <c r="G61" s="127">
        <f t="shared" si="5"/>
        <v>1404.76</v>
      </c>
      <c r="H61" s="127">
        <f t="shared" si="6"/>
        <v>1720.7400000000002</v>
      </c>
      <c r="I61" s="86">
        <f t="shared" si="7"/>
        <v>-315.98000000000025</v>
      </c>
      <c r="J61" s="356">
        <f t="shared" si="8"/>
        <v>-0.17302352769253254</v>
      </c>
      <c r="K61" s="2022" t="s">
        <v>523</v>
      </c>
      <c r="L61" s="2000"/>
      <c r="M61" s="88"/>
      <c r="N61" s="356"/>
      <c r="O61" s="327"/>
      <c r="P61" s="1055"/>
      <c r="Q61" s="327"/>
      <c r="R61" s="328"/>
      <c r="S61" s="309"/>
      <c r="T61" s="328"/>
      <c r="U61" s="5"/>
      <c r="V61" s="5"/>
      <c r="W61" s="5"/>
      <c r="X61" s="5"/>
      <c r="Y61" s="5"/>
      <c r="Z61" s="5"/>
    </row>
    <row r="62" spans="1:26" ht="12.75" customHeight="1">
      <c r="A62" s="322">
        <v>10</v>
      </c>
      <c r="B62" s="1261" t="s">
        <v>524</v>
      </c>
      <c r="C62" s="853" t="s">
        <v>291</v>
      </c>
      <c r="D62" s="547">
        <v>100</v>
      </c>
      <c r="E62" s="74">
        <v>67.87</v>
      </c>
      <c r="F62" s="89">
        <v>21.4</v>
      </c>
      <c r="G62" s="127">
        <f t="shared" si="5"/>
        <v>6777.01</v>
      </c>
      <c r="H62" s="127">
        <f t="shared" si="6"/>
        <v>2149.9899999999998</v>
      </c>
      <c r="I62" s="127">
        <f t="shared" si="7"/>
        <v>4627.0200000000004</v>
      </c>
      <c r="J62" s="356">
        <f t="shared" si="8"/>
        <v>2.1714953271028041</v>
      </c>
      <c r="K62" s="2022" t="s">
        <v>523</v>
      </c>
      <c r="L62" s="2000"/>
      <c r="M62" s="88"/>
      <c r="N62" s="356"/>
      <c r="O62" s="327"/>
      <c r="P62" s="1055"/>
      <c r="Q62" s="327"/>
      <c r="R62" s="328"/>
      <c r="S62" s="309"/>
      <c r="T62" s="328"/>
      <c r="U62" s="5"/>
      <c r="V62" s="5"/>
      <c r="W62" s="5"/>
      <c r="X62" s="5"/>
      <c r="Y62" s="5"/>
      <c r="Z62" s="5"/>
    </row>
    <row r="63" spans="1:26" ht="12.75" customHeight="1">
      <c r="A63" s="322">
        <v>11</v>
      </c>
      <c r="B63" s="1261" t="s">
        <v>407</v>
      </c>
      <c r="C63" s="853" t="s">
        <v>408</v>
      </c>
      <c r="D63" s="547">
        <v>6</v>
      </c>
      <c r="E63" s="74">
        <v>405.33</v>
      </c>
      <c r="F63" s="89">
        <v>440</v>
      </c>
      <c r="G63" s="127">
        <f t="shared" si="5"/>
        <v>2421.9900000000002</v>
      </c>
      <c r="H63" s="127">
        <f t="shared" si="6"/>
        <v>2649.99</v>
      </c>
      <c r="I63" s="86">
        <f t="shared" si="7"/>
        <v>-227.99999999999955</v>
      </c>
      <c r="J63" s="356">
        <f t="shared" si="8"/>
        <v>-7.8795454545454585E-2</v>
      </c>
      <c r="K63" s="2022" t="s">
        <v>523</v>
      </c>
      <c r="L63" s="2000"/>
      <c r="M63" s="88"/>
      <c r="N63" s="356"/>
      <c r="O63" s="327"/>
      <c r="P63" s="1055"/>
      <c r="Q63" s="327"/>
      <c r="R63" s="328"/>
      <c r="S63" s="309"/>
      <c r="T63" s="328"/>
      <c r="U63" s="5"/>
      <c r="V63" s="5"/>
      <c r="W63" s="5"/>
      <c r="X63" s="5"/>
      <c r="Y63" s="5"/>
      <c r="Z63" s="5"/>
    </row>
    <row r="64" spans="1:26" ht="12.75" customHeight="1">
      <c r="A64" s="322">
        <v>12</v>
      </c>
      <c r="B64" s="1261" t="s">
        <v>525</v>
      </c>
      <c r="C64" s="854" t="s">
        <v>450</v>
      </c>
      <c r="D64" s="547">
        <v>50</v>
      </c>
      <c r="E64" s="74">
        <v>46.97</v>
      </c>
      <c r="F64" s="89">
        <v>36.53</v>
      </c>
      <c r="G64" s="127">
        <f t="shared" si="5"/>
        <v>2338.5100000000002</v>
      </c>
      <c r="H64" s="127">
        <f t="shared" si="6"/>
        <v>1836.49</v>
      </c>
      <c r="I64" s="127">
        <f t="shared" si="7"/>
        <v>502.02000000000021</v>
      </c>
      <c r="J64" s="356">
        <f t="shared" si="8"/>
        <v>0.28579249931563094</v>
      </c>
      <c r="K64" s="883" t="s">
        <v>526</v>
      </c>
      <c r="L64" s="375"/>
      <c r="M64" s="88"/>
      <c r="N64" s="356"/>
      <c r="O64" s="327"/>
      <c r="P64" s="1055"/>
      <c r="Q64" s="327"/>
      <c r="R64" s="328"/>
      <c r="S64" s="309"/>
      <c r="T64" s="328"/>
      <c r="U64" s="5"/>
      <c r="V64" s="5"/>
      <c r="W64" s="5"/>
      <c r="X64" s="5"/>
      <c r="Y64" s="5"/>
      <c r="Z64" s="5"/>
    </row>
    <row r="65" spans="1:26" ht="12.75" customHeight="1">
      <c r="A65" s="322">
        <v>13</v>
      </c>
      <c r="B65" s="1261" t="s">
        <v>527</v>
      </c>
      <c r="C65" s="854" t="s">
        <v>320</v>
      </c>
      <c r="D65" s="547">
        <v>15</v>
      </c>
      <c r="E65" s="74">
        <v>193.02</v>
      </c>
      <c r="F65" s="89">
        <v>83.38</v>
      </c>
      <c r="G65" s="127">
        <f t="shared" si="5"/>
        <v>2885.3100000000004</v>
      </c>
      <c r="H65" s="127">
        <f t="shared" si="6"/>
        <v>1260.6899999999998</v>
      </c>
      <c r="I65" s="127">
        <f t="shared" si="7"/>
        <v>1624.6200000000006</v>
      </c>
      <c r="J65" s="356">
        <f t="shared" si="8"/>
        <v>1.3149436315663232</v>
      </c>
      <c r="K65" s="883" t="s">
        <v>528</v>
      </c>
      <c r="L65" s="375"/>
      <c r="M65" s="88"/>
      <c r="N65" s="356"/>
      <c r="O65" s="327"/>
      <c r="P65" s="1055"/>
      <c r="Q65" s="327"/>
      <c r="R65" s="328"/>
      <c r="S65" s="309"/>
      <c r="T65" s="328"/>
      <c r="U65" s="5"/>
      <c r="V65" s="5"/>
      <c r="W65" s="5"/>
      <c r="X65" s="5"/>
      <c r="Y65" s="5"/>
      <c r="Z65" s="5"/>
    </row>
    <row r="66" spans="1:26" ht="12.75" customHeight="1">
      <c r="A66" s="322">
        <v>14</v>
      </c>
      <c r="B66" s="323" t="s">
        <v>373</v>
      </c>
      <c r="C66" s="854" t="s">
        <v>374</v>
      </c>
      <c r="D66" s="547">
        <v>38</v>
      </c>
      <c r="E66" s="74">
        <v>79.62</v>
      </c>
      <c r="F66" s="89">
        <v>65.23</v>
      </c>
      <c r="G66" s="127">
        <f t="shared" si="5"/>
        <v>3015.5700000000006</v>
      </c>
      <c r="H66" s="127">
        <f t="shared" si="6"/>
        <v>2488.73</v>
      </c>
      <c r="I66" s="127">
        <f t="shared" si="7"/>
        <v>526.8400000000006</v>
      </c>
      <c r="J66" s="356">
        <f t="shared" si="8"/>
        <v>0.22060401655679901</v>
      </c>
      <c r="K66" s="90" t="s">
        <v>529</v>
      </c>
      <c r="L66" s="375"/>
      <c r="M66" s="88"/>
      <c r="N66" s="356"/>
      <c r="O66" s="327"/>
      <c r="P66" s="1055"/>
      <c r="Q66" s="327"/>
      <c r="R66" s="328"/>
      <c r="S66" s="309"/>
      <c r="T66" s="328"/>
      <c r="U66" s="5"/>
      <c r="V66" s="5"/>
      <c r="W66" s="5"/>
      <c r="X66" s="5"/>
      <c r="Y66" s="5"/>
      <c r="Z66" s="5"/>
    </row>
    <row r="67" spans="1:26" ht="12.75" customHeight="1">
      <c r="A67" s="322">
        <v>15</v>
      </c>
      <c r="B67" s="1261" t="s">
        <v>530</v>
      </c>
      <c r="C67" s="854" t="s">
        <v>110</v>
      </c>
      <c r="D67" s="547">
        <v>140</v>
      </c>
      <c r="E67" s="74">
        <v>35.74</v>
      </c>
      <c r="F67" s="89">
        <v>21.37</v>
      </c>
      <c r="G67" s="127">
        <f t="shared" si="5"/>
        <v>4993.6100000000006</v>
      </c>
      <c r="H67" s="127">
        <f t="shared" si="6"/>
        <v>3001.79</v>
      </c>
      <c r="I67" s="127">
        <f t="shared" si="7"/>
        <v>1991.8200000000006</v>
      </c>
      <c r="J67" s="356">
        <f t="shared" si="8"/>
        <v>0.67243799719232566</v>
      </c>
      <c r="K67" s="883" t="s">
        <v>529</v>
      </c>
      <c r="L67" s="375"/>
      <c r="M67" s="88"/>
      <c r="N67" s="356"/>
      <c r="O67" s="327"/>
      <c r="P67" s="1055"/>
      <c r="Q67" s="327"/>
      <c r="R67" s="328"/>
      <c r="S67" s="309"/>
      <c r="T67" s="328"/>
      <c r="U67" s="5"/>
      <c r="V67" s="5"/>
      <c r="W67" s="5"/>
      <c r="X67" s="5"/>
      <c r="Y67" s="5"/>
      <c r="Z67" s="5"/>
    </row>
    <row r="68" spans="1:26" ht="12.75" customHeight="1">
      <c r="A68" s="46"/>
      <c r="B68" s="1262"/>
      <c r="C68" s="31"/>
      <c r="D68" s="1187"/>
      <c r="E68" s="1156"/>
      <c r="F68" s="1147"/>
      <c r="G68" s="1058"/>
      <c r="H68" s="1058"/>
      <c r="I68" s="91">
        <f>SUM(I53:I67)</f>
        <v>7700.4800000000041</v>
      </c>
      <c r="J68" s="92"/>
      <c r="K68" s="1087"/>
      <c r="L68" s="914"/>
      <c r="M68" s="1087"/>
      <c r="N68" s="400"/>
      <c r="O68" s="70"/>
      <c r="P68" s="3"/>
      <c r="Q68" s="327"/>
      <c r="R68" s="5"/>
      <c r="S68" s="5"/>
      <c r="T68" s="5"/>
      <c r="U68" s="5"/>
      <c r="V68" s="5"/>
      <c r="W68" s="5"/>
      <c r="X68" s="5"/>
      <c r="Y68" s="5"/>
      <c r="Z68" s="5"/>
    </row>
    <row r="69" spans="1:26" ht="12.75" customHeight="1">
      <c r="A69" s="344"/>
      <c r="B69" s="345" t="s">
        <v>63</v>
      </c>
      <c r="C69" s="345"/>
      <c r="D69" s="346"/>
      <c r="E69" s="782"/>
      <c r="F69" s="1263">
        <v>128201.81847999997</v>
      </c>
      <c r="G69" s="1264">
        <f>F69/$F$71</f>
        <v>0.84261158931227187</v>
      </c>
      <c r="H69" s="1185"/>
      <c r="I69" s="1265"/>
      <c r="J69" s="1266"/>
      <c r="K69" s="75">
        <f>K38+K43+K49</f>
        <v>128384.3222</v>
      </c>
      <c r="L69" s="410">
        <f>K69/$K$71</f>
        <v>0.82928230722356877</v>
      </c>
      <c r="M69" s="93"/>
      <c r="N69" s="419"/>
      <c r="O69" s="325"/>
      <c r="P69" s="326"/>
      <c r="Q69" s="327"/>
      <c r="R69" s="309"/>
      <c r="S69" s="309"/>
      <c r="T69" s="328"/>
      <c r="U69" s="5"/>
      <c r="V69" s="5"/>
      <c r="W69" s="5"/>
      <c r="X69" s="5"/>
      <c r="Y69" s="5"/>
      <c r="Z69" s="5"/>
    </row>
    <row r="70" spans="1:26" ht="12.75" customHeight="1">
      <c r="A70" s="49"/>
      <c r="B70" s="924" t="s">
        <v>497</v>
      </c>
      <c r="C70" s="924"/>
      <c r="D70" s="34"/>
      <c r="E70" s="1231"/>
      <c r="F70" s="1103">
        <v>23946.36</v>
      </c>
      <c r="G70" s="1101">
        <f>F70/$F$71</f>
        <v>0.15738841068772816</v>
      </c>
      <c r="H70" s="1267"/>
      <c r="I70" s="94"/>
      <c r="J70" s="95"/>
      <c r="K70" s="96">
        <v>26429.45</v>
      </c>
      <c r="L70" s="1268">
        <f>K70/$K$71</f>
        <v>0.17071769277643117</v>
      </c>
      <c r="M70" s="97"/>
      <c r="N70" s="1269"/>
      <c r="O70" s="325"/>
      <c r="P70" s="326"/>
      <c r="Q70" s="327"/>
      <c r="R70" s="309"/>
      <c r="S70" s="309"/>
      <c r="T70" s="328"/>
      <c r="U70" s="5"/>
      <c r="V70" s="5"/>
      <c r="W70" s="5"/>
      <c r="X70" s="5"/>
      <c r="Y70" s="5"/>
      <c r="Z70" s="5"/>
    </row>
    <row r="71" spans="1:26" ht="12.75" customHeight="1">
      <c r="A71" s="309"/>
      <c r="B71" s="345" t="s">
        <v>66</v>
      </c>
      <c r="C71" s="345"/>
      <c r="D71" s="1105"/>
      <c r="E71" s="1106"/>
      <c r="F71" s="1107">
        <f>SUM(F69:F70)</f>
        <v>152148.17847999997</v>
      </c>
      <c r="G71" s="1108">
        <f>SUM(G69:G70)</f>
        <v>1</v>
      </c>
      <c r="H71" s="1220"/>
      <c r="I71" s="2023"/>
      <c r="J71" s="2020"/>
      <c r="K71" s="1270">
        <f>SUM(K69:K70)</f>
        <v>154813.77220000001</v>
      </c>
      <c r="L71" s="1271">
        <f>SUM(L69:L70)</f>
        <v>1</v>
      </c>
      <c r="M71" s="549">
        <f>(K71-(F71-K73))/(F71-K73)</f>
        <v>5.209438403644203E-2</v>
      </c>
      <c r="N71" s="39"/>
      <c r="O71" s="327"/>
      <c r="P71" s="331"/>
      <c r="Q71" s="327"/>
      <c r="R71" s="309"/>
      <c r="S71" s="309"/>
      <c r="T71" s="328"/>
      <c r="U71" s="5"/>
      <c r="V71" s="5"/>
      <c r="W71" s="5"/>
      <c r="X71" s="5"/>
      <c r="Y71" s="5"/>
      <c r="Z71" s="5"/>
    </row>
    <row r="72" spans="1:26" ht="12.75" customHeight="1">
      <c r="A72" s="309"/>
      <c r="B72" s="345"/>
      <c r="C72" s="345"/>
      <c r="D72" s="782"/>
      <c r="E72" s="782"/>
      <c r="F72" s="1090"/>
      <c r="G72" s="1233"/>
      <c r="H72" s="1234"/>
      <c r="I72" s="98"/>
      <c r="J72" s="98"/>
      <c r="K72" s="75"/>
      <c r="L72" s="99"/>
      <c r="M72" s="100"/>
      <c r="N72" s="39"/>
      <c r="O72" s="327"/>
      <c r="P72" s="331"/>
      <c r="Q72" s="327"/>
      <c r="R72" s="309"/>
      <c r="S72" s="309"/>
      <c r="T72" s="328"/>
      <c r="U72" s="5"/>
      <c r="V72" s="5"/>
      <c r="W72" s="5"/>
      <c r="X72" s="5"/>
      <c r="Y72" s="5"/>
      <c r="Z72" s="5"/>
    </row>
    <row r="73" spans="1:26" ht="12.75" customHeight="1">
      <c r="A73" s="309"/>
      <c r="B73" s="309" t="s">
        <v>531</v>
      </c>
      <c r="C73" s="985"/>
      <c r="D73" s="1024"/>
      <c r="E73" s="1024"/>
      <c r="F73" s="1024"/>
      <c r="G73" s="1024"/>
      <c r="H73" s="546"/>
      <c r="I73" s="60"/>
      <c r="J73" s="60"/>
      <c r="K73" s="142">
        <v>5000</v>
      </c>
      <c r="L73" s="101"/>
      <c r="M73" s="100"/>
      <c r="N73" s="39"/>
      <c r="O73" s="325"/>
      <c r="P73" s="326"/>
      <c r="Q73" s="309"/>
      <c r="R73" s="309"/>
      <c r="S73" s="309"/>
      <c r="T73" s="328"/>
      <c r="U73" s="5"/>
      <c r="V73" s="5"/>
      <c r="W73" s="5"/>
      <c r="X73" s="5"/>
      <c r="Y73" s="5"/>
      <c r="Z73" s="5"/>
    </row>
    <row r="74" spans="1:26" ht="12.75" customHeight="1">
      <c r="A74" s="309"/>
      <c r="B74" s="309"/>
      <c r="C74" s="985"/>
      <c r="D74" s="1024"/>
      <c r="E74" s="1024"/>
      <c r="F74" s="1024"/>
      <c r="G74" s="1024"/>
      <c r="H74" s="546"/>
      <c r="I74" s="60"/>
      <c r="J74" s="60"/>
      <c r="K74" s="142"/>
      <c r="L74" s="101"/>
      <c r="M74" s="100"/>
      <c r="N74" s="39"/>
      <c r="O74" s="325"/>
      <c r="P74" s="326"/>
      <c r="Q74" s="309"/>
      <c r="R74" s="309"/>
      <c r="S74" s="309"/>
      <c r="T74" s="328"/>
      <c r="U74" s="5"/>
      <c r="V74" s="5"/>
      <c r="W74" s="5"/>
      <c r="X74" s="5"/>
      <c r="Y74" s="5"/>
      <c r="Z74" s="5"/>
    </row>
    <row r="75" spans="1:26" ht="12.75" customHeight="1">
      <c r="A75" s="309"/>
      <c r="B75" s="872"/>
      <c r="C75" s="873"/>
      <c r="D75" s="874"/>
      <c r="E75" s="875"/>
      <c r="F75" s="876"/>
      <c r="G75" s="877"/>
      <c r="H75" s="878"/>
      <c r="I75" s="102"/>
      <c r="J75" s="102"/>
      <c r="K75" s="103"/>
      <c r="L75" s="104"/>
      <c r="M75" s="105"/>
      <c r="N75" s="106"/>
      <c r="O75" s="1172"/>
      <c r="P75" s="1019"/>
      <c r="Q75" s="309"/>
      <c r="R75" s="309"/>
      <c r="S75" s="309"/>
      <c r="T75" s="328"/>
      <c r="U75" s="5"/>
      <c r="V75" s="5"/>
      <c r="W75" s="5"/>
      <c r="X75" s="5"/>
      <c r="Y75" s="5"/>
      <c r="Z75" s="5"/>
    </row>
    <row r="76" spans="1:26" ht="12.75" customHeight="1">
      <c r="A76" s="309"/>
      <c r="B76" s="345" t="s">
        <v>390</v>
      </c>
      <c r="C76" s="309"/>
      <c r="D76" s="323"/>
      <c r="E76" s="323"/>
      <c r="F76" s="1114"/>
      <c r="G76" s="323"/>
      <c r="H76" s="546"/>
      <c r="I76" s="5"/>
      <c r="J76" s="5"/>
      <c r="K76" s="107"/>
      <c r="L76" s="5"/>
      <c r="M76" s="100"/>
      <c r="N76" s="40"/>
      <c r="O76" s="325"/>
      <c r="P76" s="326"/>
      <c r="Q76" s="309"/>
      <c r="R76" s="309"/>
      <c r="S76" s="309"/>
      <c r="T76" s="328"/>
      <c r="U76" s="5"/>
      <c r="V76" s="5"/>
      <c r="W76" s="5"/>
      <c r="X76" s="5"/>
      <c r="Y76" s="5"/>
      <c r="Z76" s="5"/>
    </row>
    <row r="77" spans="1:26" ht="12.75" customHeight="1">
      <c r="A77" s="309"/>
      <c r="B77" s="309" t="s">
        <v>272</v>
      </c>
      <c r="C77" s="309"/>
      <c r="D77" s="323"/>
      <c r="E77" s="323"/>
      <c r="F77" s="1188">
        <v>2043.94</v>
      </c>
      <c r="G77" s="323"/>
      <c r="H77" s="546"/>
      <c r="I77" s="5"/>
      <c r="J77" s="5"/>
      <c r="K77" s="108">
        <v>2238.83</v>
      </c>
      <c r="L77" s="109"/>
      <c r="M77" s="100">
        <f>(K77-F77)/F77</f>
        <v>9.5350157049619785E-2</v>
      </c>
      <c r="N77" s="40"/>
      <c r="O77" s="1272" t="s">
        <v>532</v>
      </c>
      <c r="P77" s="326"/>
      <c r="Q77" s="309"/>
      <c r="R77" s="309"/>
      <c r="S77" s="309"/>
      <c r="T77" s="328"/>
      <c r="U77" s="5"/>
      <c r="V77" s="5"/>
      <c r="W77" s="5"/>
      <c r="X77" s="5"/>
      <c r="Y77" s="5"/>
      <c r="Z77" s="5"/>
    </row>
    <row r="78" spans="1:26" ht="12.75" customHeight="1">
      <c r="A78" s="309"/>
      <c r="B78" s="309" t="s">
        <v>273</v>
      </c>
      <c r="C78" s="309"/>
      <c r="D78" s="309"/>
      <c r="E78" s="309"/>
      <c r="F78" s="1146"/>
      <c r="G78" s="309"/>
      <c r="H78" s="546"/>
      <c r="I78" s="5"/>
      <c r="J78" s="5"/>
      <c r="K78" s="107"/>
      <c r="L78" s="109"/>
      <c r="M78" s="1273">
        <v>2.4199999999999999E-2</v>
      </c>
      <c r="N78" s="40"/>
      <c r="O78" s="1274" t="s">
        <v>533</v>
      </c>
      <c r="P78" s="326"/>
      <c r="Q78" s="309"/>
      <c r="R78" s="309"/>
      <c r="S78" s="309"/>
      <c r="T78" s="328"/>
      <c r="U78" s="5"/>
      <c r="V78" s="5"/>
      <c r="W78" s="5"/>
      <c r="X78" s="5"/>
      <c r="Y78" s="5"/>
      <c r="Z78" s="5"/>
    </row>
    <row r="79" spans="1:26" ht="12.75" customHeight="1">
      <c r="A79" s="309"/>
      <c r="B79" s="1235" t="s">
        <v>228</v>
      </c>
      <c r="C79" s="309"/>
      <c r="D79" s="309"/>
      <c r="E79" s="309"/>
      <c r="F79" s="1146"/>
      <c r="G79" s="309"/>
      <c r="H79" s="546"/>
      <c r="I79" s="5"/>
      <c r="J79" s="5"/>
      <c r="L79" s="109"/>
      <c r="M79" s="100">
        <f>M77+M78</f>
        <v>0.11955015704961978</v>
      </c>
      <c r="N79" s="40"/>
      <c r="O79" s="325"/>
      <c r="P79" s="326"/>
      <c r="Q79" s="309"/>
      <c r="R79" s="309"/>
      <c r="S79" s="309"/>
      <c r="T79" s="328"/>
      <c r="U79" s="5"/>
      <c r="V79" s="5"/>
      <c r="W79" s="5"/>
      <c r="X79" s="5"/>
      <c r="Y79" s="5"/>
      <c r="Z79" s="5"/>
    </row>
    <row r="80" spans="1:26" ht="12.75" customHeight="1">
      <c r="A80" s="309"/>
      <c r="B80" s="1235"/>
      <c r="C80" s="309"/>
      <c r="D80" s="309"/>
      <c r="E80" s="309"/>
      <c r="F80" s="1146"/>
      <c r="G80" s="309"/>
      <c r="H80" s="546"/>
      <c r="I80" s="5"/>
      <c r="J80" s="5"/>
      <c r="L80" s="109"/>
      <c r="M80" s="100"/>
      <c r="N80" s="40"/>
      <c r="O80" s="325"/>
      <c r="P80" s="326"/>
      <c r="Q80" s="309"/>
      <c r="R80" s="309"/>
      <c r="S80" s="309"/>
      <c r="T80" s="328"/>
      <c r="U80" s="5"/>
      <c r="V80" s="5"/>
      <c r="W80" s="5"/>
      <c r="X80" s="5"/>
      <c r="Y80" s="5"/>
      <c r="Z80" s="5"/>
    </row>
    <row r="81" spans="1:26" ht="14.25" customHeight="1">
      <c r="A81" s="309"/>
      <c r="B81" s="1235" t="s">
        <v>391</v>
      </c>
      <c r="C81" s="309"/>
      <c r="D81" s="309"/>
      <c r="E81" s="309"/>
      <c r="F81" s="309"/>
      <c r="G81" s="309"/>
      <c r="H81" s="546"/>
      <c r="I81" s="5"/>
      <c r="J81" s="5"/>
      <c r="L81" s="5"/>
      <c r="M81" s="100">
        <v>2.6499999999999999E-2</v>
      </c>
      <c r="N81" s="39"/>
      <c r="O81" s="325"/>
      <c r="P81" s="326"/>
      <c r="Q81" s="309"/>
      <c r="R81" s="309"/>
      <c r="S81" s="309"/>
      <c r="T81" s="328"/>
      <c r="U81" s="5"/>
      <c r="V81" s="5"/>
      <c r="W81" s="5"/>
      <c r="X81" s="5"/>
      <c r="Y81" s="5"/>
      <c r="Z81" s="5"/>
    </row>
    <row r="82" spans="1:26" ht="14.25" customHeight="1">
      <c r="A82" s="309"/>
      <c r="B82" s="1235"/>
      <c r="C82" s="309"/>
      <c r="D82" s="309"/>
      <c r="E82" s="309"/>
      <c r="F82" s="309"/>
      <c r="G82" s="309"/>
      <c r="H82" s="546"/>
      <c r="I82" s="5"/>
      <c r="J82" s="5"/>
      <c r="L82" s="5"/>
      <c r="M82" s="100"/>
      <c r="N82" s="39"/>
      <c r="O82" s="325"/>
      <c r="P82" s="326"/>
      <c r="Q82" s="309"/>
      <c r="R82" s="309"/>
      <c r="S82" s="309"/>
      <c r="T82" s="328"/>
      <c r="U82" s="5"/>
      <c r="V82" s="5"/>
      <c r="W82" s="5"/>
      <c r="X82" s="5"/>
      <c r="Y82" s="5"/>
      <c r="Z82" s="5"/>
    </row>
    <row r="83" spans="1:26" ht="14.25" customHeight="1">
      <c r="A83" s="309"/>
      <c r="B83" s="309" t="s">
        <v>392</v>
      </c>
      <c r="C83" s="309"/>
      <c r="D83" s="309"/>
      <c r="E83" s="309"/>
      <c r="F83" s="309"/>
      <c r="G83" s="309"/>
      <c r="H83" s="546"/>
      <c r="I83" s="5"/>
      <c r="J83" s="5"/>
      <c r="L83" s="5"/>
      <c r="M83" s="100">
        <f>0.8*M79+0.2*M81</f>
        <v>0.10094012563969583</v>
      </c>
      <c r="N83" s="39"/>
      <c r="O83" s="325"/>
      <c r="P83" s="326"/>
      <c r="Q83" s="309"/>
      <c r="R83" s="309"/>
      <c r="S83" s="309"/>
      <c r="T83" s="328"/>
      <c r="U83" s="5"/>
      <c r="V83" s="5"/>
      <c r="W83" s="5"/>
      <c r="X83" s="5"/>
      <c r="Y83" s="5"/>
      <c r="Z83" s="5"/>
    </row>
    <row r="84" spans="1:26" ht="12.75" customHeight="1">
      <c r="A84" s="5"/>
      <c r="B84" s="309"/>
      <c r="C84" s="5"/>
      <c r="D84" s="5"/>
      <c r="E84" s="5"/>
      <c r="F84" s="5"/>
      <c r="G84" s="5"/>
      <c r="H84" s="68"/>
      <c r="I84" s="5"/>
      <c r="J84" s="5"/>
      <c r="K84" s="5"/>
      <c r="L84" s="60" t="s">
        <v>393</v>
      </c>
      <c r="M84" s="61">
        <f>M71-M83</f>
        <v>-4.8845741603253799E-2</v>
      </c>
      <c r="N84" s="5"/>
      <c r="O84" s="57"/>
      <c r="P84" s="5"/>
      <c r="Q84" s="5"/>
      <c r="R84" s="5"/>
      <c r="S84" s="5"/>
      <c r="T84" s="5"/>
      <c r="U84" s="5"/>
      <c r="V84" s="5"/>
      <c r="W84" s="5"/>
      <c r="X84" s="5"/>
      <c r="Y84" s="5"/>
      <c r="Z84" s="5"/>
    </row>
    <row r="85" spans="1:26" ht="12.75" customHeight="1">
      <c r="A85" s="5"/>
      <c r="B85" s="309"/>
      <c r="C85" s="5"/>
      <c r="D85" s="5"/>
      <c r="E85" s="5"/>
      <c r="F85" s="5"/>
      <c r="G85" s="5"/>
      <c r="H85" s="68"/>
      <c r="I85" s="5"/>
      <c r="J85" s="5"/>
      <c r="K85" s="5"/>
      <c r="L85" s="60"/>
      <c r="M85" s="61"/>
      <c r="N85" s="5"/>
      <c r="O85" s="57"/>
      <c r="P85" s="5"/>
      <c r="Q85" s="5"/>
      <c r="R85" s="5"/>
      <c r="S85" s="5"/>
      <c r="T85" s="5"/>
      <c r="U85" s="5"/>
      <c r="V85" s="5"/>
      <c r="W85" s="5"/>
      <c r="X85" s="5"/>
      <c r="Y85" s="5"/>
      <c r="Z85" s="5"/>
    </row>
    <row r="86" spans="1:26" ht="12.75" customHeight="1">
      <c r="A86" s="5"/>
      <c r="B86" s="5"/>
      <c r="C86" s="5"/>
      <c r="D86" s="5"/>
      <c r="E86" s="5"/>
      <c r="F86" s="5"/>
      <c r="G86" s="5"/>
      <c r="H86" s="306"/>
      <c r="I86" s="5"/>
      <c r="J86" s="5"/>
      <c r="K86" s="5"/>
      <c r="L86" s="5"/>
      <c r="M86" s="5"/>
      <c r="N86" s="5"/>
      <c r="O86" s="57"/>
      <c r="P86" s="5"/>
      <c r="Q86" s="5"/>
      <c r="R86" s="5"/>
      <c r="S86" s="5"/>
      <c r="T86" s="5"/>
      <c r="U86" s="5"/>
      <c r="V86" s="5"/>
      <c r="W86" s="5"/>
      <c r="X86" s="5"/>
      <c r="Y86" s="5"/>
      <c r="Z86" s="5"/>
    </row>
    <row r="87" spans="1:26" ht="12.75" customHeight="1">
      <c r="A87" s="5"/>
      <c r="B87" s="5"/>
      <c r="C87" s="5"/>
      <c r="D87" s="5"/>
      <c r="E87" s="5"/>
      <c r="F87" s="5"/>
      <c r="G87" s="5"/>
      <c r="H87" s="306"/>
      <c r="I87" s="5"/>
      <c r="J87" s="5"/>
      <c r="K87" s="5"/>
      <c r="L87" s="5"/>
      <c r="M87" s="5"/>
      <c r="N87" s="5"/>
      <c r="O87" s="57"/>
      <c r="P87" s="5"/>
      <c r="Q87" s="5"/>
      <c r="R87" s="5"/>
      <c r="S87" s="5"/>
      <c r="T87" s="5"/>
      <c r="U87" s="5"/>
      <c r="V87" s="5"/>
      <c r="W87" s="5"/>
      <c r="X87" s="5"/>
      <c r="Y87" s="5"/>
      <c r="Z87" s="5"/>
    </row>
    <row r="88" spans="1:26" ht="12.75" customHeight="1">
      <c r="A88" s="5"/>
      <c r="B88" s="5"/>
      <c r="C88" s="5"/>
      <c r="D88" s="5"/>
      <c r="E88" s="5"/>
      <c r="F88" s="5"/>
      <c r="G88" s="5"/>
      <c r="H88" s="306"/>
      <c r="I88" s="5"/>
      <c r="J88" s="5"/>
      <c r="K88" s="5" t="s">
        <v>339</v>
      </c>
      <c r="L88" s="5"/>
      <c r="M88" s="5"/>
      <c r="N88" s="5"/>
      <c r="O88" s="57"/>
      <c r="P88" s="5"/>
      <c r="Q88" s="5"/>
      <c r="R88" s="5"/>
      <c r="S88" s="5"/>
      <c r="T88" s="5"/>
      <c r="U88" s="5"/>
      <c r="V88" s="5"/>
      <c r="W88" s="5"/>
      <c r="X88" s="5"/>
      <c r="Y88" s="5"/>
      <c r="Z88" s="5"/>
    </row>
    <row r="89" spans="1:26" ht="12.75" customHeight="1">
      <c r="A89" s="5"/>
      <c r="B89" s="5"/>
      <c r="C89" s="5"/>
      <c r="D89" s="5"/>
      <c r="E89" s="5"/>
      <c r="F89" s="5"/>
      <c r="G89" s="5"/>
      <c r="H89" s="306"/>
      <c r="I89" s="5"/>
      <c r="J89" s="5"/>
      <c r="K89" s="5"/>
      <c r="L89" s="5"/>
      <c r="M89" s="5"/>
      <c r="N89" s="5"/>
      <c r="O89" s="57"/>
      <c r="P89" s="5"/>
      <c r="Q89" s="5"/>
      <c r="R89" s="5"/>
      <c r="S89" s="5"/>
      <c r="T89" s="5"/>
      <c r="U89" s="5"/>
      <c r="V89" s="5"/>
      <c r="W89" s="5"/>
      <c r="X89" s="5"/>
      <c r="Y89" s="5"/>
      <c r="Z89" s="5"/>
    </row>
    <row r="90" spans="1:26" ht="12.75" customHeight="1">
      <c r="A90" s="5"/>
      <c r="B90" s="5"/>
      <c r="C90" s="5"/>
      <c r="D90" s="5"/>
      <c r="E90" s="5"/>
      <c r="F90" s="5"/>
      <c r="G90" s="5"/>
      <c r="H90" s="306"/>
      <c r="I90" s="5"/>
      <c r="J90" s="5"/>
      <c r="K90" s="5"/>
      <c r="L90" s="5"/>
      <c r="M90" s="5"/>
      <c r="N90" s="5"/>
      <c r="O90" s="57"/>
      <c r="P90" s="5"/>
      <c r="Q90" s="5"/>
      <c r="R90" s="5"/>
      <c r="S90" s="5"/>
      <c r="T90" s="5"/>
      <c r="U90" s="5"/>
      <c r="V90" s="5"/>
      <c r="W90" s="5"/>
      <c r="X90" s="5"/>
      <c r="Y90" s="5"/>
      <c r="Z90" s="5"/>
    </row>
    <row r="91" spans="1:26" ht="12.75" customHeight="1">
      <c r="A91" s="5"/>
      <c r="B91" s="5"/>
      <c r="C91" s="5"/>
      <c r="D91" s="5"/>
      <c r="E91" s="5"/>
      <c r="F91" s="5"/>
      <c r="G91" s="5"/>
      <c r="H91" s="306"/>
      <c r="I91" s="5"/>
      <c r="J91" s="5"/>
      <c r="K91" s="5"/>
      <c r="L91" s="5"/>
      <c r="M91" s="5"/>
      <c r="N91" s="5"/>
      <c r="O91" s="57"/>
      <c r="P91" s="5"/>
      <c r="Q91" s="5"/>
      <c r="R91" s="5"/>
      <c r="S91" s="5"/>
      <c r="T91" s="5"/>
      <c r="U91" s="5"/>
      <c r="V91" s="5"/>
      <c r="W91" s="5"/>
      <c r="X91" s="5"/>
      <c r="Y91" s="5"/>
      <c r="Z91" s="5"/>
    </row>
    <row r="92" spans="1:26" ht="12.75" customHeight="1">
      <c r="A92" s="5"/>
      <c r="B92" s="5"/>
      <c r="C92" s="5"/>
      <c r="D92" s="5"/>
      <c r="E92" s="5"/>
      <c r="F92" s="5"/>
      <c r="G92" s="5"/>
      <c r="H92" s="1226"/>
      <c r="I92" s="5"/>
      <c r="J92" s="5"/>
      <c r="K92" s="5"/>
      <c r="L92" s="5"/>
      <c r="M92" s="5"/>
      <c r="N92" s="5"/>
      <c r="O92" s="57"/>
      <c r="P92" s="5"/>
      <c r="Q92" s="5"/>
      <c r="R92" s="5"/>
      <c r="S92" s="5"/>
      <c r="T92" s="5"/>
      <c r="U92" s="5"/>
      <c r="V92" s="5"/>
      <c r="W92" s="5"/>
      <c r="X92" s="5"/>
      <c r="Y92" s="5"/>
      <c r="Z92" s="5"/>
    </row>
    <row r="93" spans="1:26" ht="12.75" customHeight="1">
      <c r="A93" s="5"/>
      <c r="B93" s="5"/>
      <c r="C93" s="5"/>
      <c r="D93" s="5"/>
      <c r="E93" s="5"/>
      <c r="F93" s="5"/>
      <c r="G93" s="5"/>
      <c r="H93" s="306"/>
      <c r="I93" s="5"/>
      <c r="J93" s="5"/>
      <c r="K93" s="5"/>
      <c r="L93" s="5"/>
      <c r="M93" s="5"/>
      <c r="N93" s="5"/>
      <c r="O93" s="57"/>
      <c r="P93" s="5"/>
      <c r="Q93" s="5"/>
      <c r="R93" s="5"/>
      <c r="S93" s="5"/>
      <c r="T93" s="5"/>
      <c r="U93" s="5"/>
      <c r="V93" s="5"/>
      <c r="W93" s="5"/>
      <c r="X93" s="5"/>
      <c r="Y93" s="5"/>
      <c r="Z93" s="5"/>
    </row>
    <row r="94" spans="1:26" ht="12.75" customHeight="1">
      <c r="A94" s="5"/>
      <c r="B94" s="5"/>
      <c r="C94" s="5"/>
      <c r="D94" s="5"/>
      <c r="E94" s="5"/>
      <c r="F94" s="5"/>
      <c r="G94" s="5"/>
      <c r="H94" s="306"/>
      <c r="I94" s="5"/>
      <c r="J94" s="5"/>
      <c r="K94" s="5"/>
      <c r="L94" s="5"/>
      <c r="M94" s="5"/>
      <c r="N94" s="5"/>
      <c r="O94" s="57"/>
      <c r="P94" s="5"/>
      <c r="Q94" s="5"/>
      <c r="R94" s="5"/>
      <c r="S94" s="5"/>
      <c r="T94" s="5"/>
      <c r="U94" s="5"/>
      <c r="V94" s="5"/>
      <c r="W94" s="5"/>
      <c r="X94" s="5"/>
      <c r="Y94" s="5"/>
      <c r="Z94" s="5"/>
    </row>
    <row r="95" spans="1:26" ht="12.75" customHeight="1">
      <c r="A95" s="5"/>
      <c r="B95" s="5"/>
      <c r="C95" s="5"/>
      <c r="D95" s="5"/>
      <c r="E95" s="5"/>
      <c r="F95" s="5"/>
      <c r="G95" s="5"/>
      <c r="H95" s="306"/>
      <c r="I95" s="5"/>
      <c r="J95" s="5"/>
      <c r="K95" s="5"/>
      <c r="L95" s="5"/>
      <c r="M95" s="5"/>
      <c r="N95" s="5"/>
      <c r="O95" s="57"/>
      <c r="P95" s="5"/>
      <c r="Q95" s="5"/>
      <c r="R95" s="5"/>
      <c r="S95" s="5"/>
      <c r="T95" s="5"/>
      <c r="U95" s="5"/>
      <c r="V95" s="5"/>
      <c r="W95" s="5"/>
      <c r="X95" s="5"/>
      <c r="Y95" s="5"/>
      <c r="Z95" s="5"/>
    </row>
    <row r="96" spans="1:26" ht="12.75" customHeight="1">
      <c r="A96" s="5"/>
      <c r="B96" s="5"/>
      <c r="C96" s="5"/>
      <c r="D96" s="5"/>
      <c r="E96" s="5"/>
      <c r="F96" s="5"/>
      <c r="G96" s="5"/>
      <c r="H96" s="306"/>
      <c r="I96" s="5"/>
      <c r="J96" s="5"/>
      <c r="K96" s="5"/>
      <c r="L96" s="5"/>
      <c r="M96" s="5"/>
      <c r="N96" s="5"/>
      <c r="O96" s="57"/>
      <c r="P96" s="5"/>
      <c r="Q96" s="5"/>
      <c r="R96" s="5"/>
      <c r="S96" s="5"/>
      <c r="T96" s="5"/>
      <c r="U96" s="5"/>
      <c r="V96" s="5"/>
      <c r="W96" s="5"/>
      <c r="X96" s="5"/>
      <c r="Y96" s="5"/>
      <c r="Z96" s="5"/>
    </row>
    <row r="97" spans="1:26" ht="12.75" customHeight="1">
      <c r="A97" s="5"/>
      <c r="B97" s="5"/>
      <c r="C97" s="5"/>
      <c r="D97" s="5"/>
      <c r="E97" s="5"/>
      <c r="F97" s="5"/>
      <c r="G97" s="5"/>
      <c r="H97" s="306"/>
      <c r="I97" s="5"/>
      <c r="J97" s="5"/>
      <c r="K97" s="5"/>
      <c r="L97" s="5"/>
      <c r="M97" s="5"/>
      <c r="N97" s="5"/>
      <c r="O97" s="57"/>
      <c r="P97" s="5"/>
      <c r="Q97" s="5"/>
      <c r="R97" s="5"/>
      <c r="S97" s="5"/>
      <c r="T97" s="5"/>
      <c r="U97" s="5"/>
      <c r="V97" s="5"/>
      <c r="W97" s="5"/>
      <c r="X97" s="5"/>
      <c r="Y97" s="5"/>
      <c r="Z97" s="5"/>
    </row>
    <row r="98" spans="1:26" ht="12.75" customHeight="1">
      <c r="A98" s="5"/>
      <c r="B98" s="5"/>
      <c r="C98" s="5"/>
      <c r="D98" s="5"/>
      <c r="E98" s="5"/>
      <c r="F98" s="5"/>
      <c r="G98" s="5"/>
      <c r="H98" s="306"/>
      <c r="I98" s="5"/>
      <c r="J98" s="5"/>
      <c r="K98" s="5"/>
      <c r="L98" s="5"/>
      <c r="M98" s="5"/>
      <c r="N98" s="5"/>
      <c r="O98" s="57"/>
      <c r="P98" s="5"/>
      <c r="Q98" s="5"/>
      <c r="R98" s="5"/>
      <c r="S98" s="5"/>
      <c r="T98" s="5"/>
      <c r="U98" s="5"/>
      <c r="V98" s="5"/>
      <c r="W98" s="5"/>
      <c r="X98" s="5"/>
      <c r="Y98" s="5"/>
      <c r="Z98" s="5"/>
    </row>
    <row r="99" spans="1:26" ht="12.75" customHeight="1">
      <c r="A99" s="5"/>
      <c r="B99" s="5"/>
      <c r="C99" s="5"/>
      <c r="D99" s="5"/>
      <c r="E99" s="5"/>
      <c r="F99" s="5"/>
      <c r="G99" s="5"/>
      <c r="H99" s="306"/>
      <c r="I99" s="5"/>
      <c r="J99" s="5"/>
      <c r="K99" s="5"/>
      <c r="L99" s="5"/>
      <c r="M99" s="5"/>
      <c r="N99" s="5"/>
      <c r="O99" s="57"/>
      <c r="P99" s="5"/>
      <c r="Q99" s="5"/>
      <c r="R99" s="5"/>
      <c r="S99" s="5"/>
      <c r="T99" s="5"/>
      <c r="U99" s="5"/>
      <c r="V99" s="5"/>
      <c r="W99" s="5"/>
      <c r="X99" s="5"/>
      <c r="Y99" s="5"/>
      <c r="Z99" s="5"/>
    </row>
    <row r="100" spans="1:26" ht="12.75" customHeight="1">
      <c r="A100" s="5"/>
      <c r="B100" s="5"/>
      <c r="C100" s="5"/>
      <c r="D100" s="5"/>
      <c r="E100" s="5"/>
      <c r="F100" s="5"/>
      <c r="G100" s="5"/>
      <c r="H100" s="306"/>
      <c r="I100" s="5"/>
      <c r="J100" s="5"/>
      <c r="K100" s="5"/>
      <c r="L100" s="5"/>
      <c r="M100" s="5"/>
      <c r="N100" s="5"/>
      <c r="O100" s="57"/>
      <c r="P100" s="5"/>
      <c r="Q100" s="5"/>
      <c r="R100" s="5"/>
      <c r="S100" s="5"/>
      <c r="T100" s="5"/>
      <c r="U100" s="5"/>
      <c r="V100" s="5"/>
      <c r="W100" s="5"/>
      <c r="X100" s="5"/>
      <c r="Y100" s="5"/>
      <c r="Z100" s="5"/>
    </row>
    <row r="101" spans="1:26" ht="12.75" customHeight="1">
      <c r="A101" s="5"/>
      <c r="B101" s="5"/>
      <c r="C101" s="5"/>
      <c r="D101" s="5"/>
      <c r="E101" s="5"/>
      <c r="F101" s="5"/>
      <c r="G101" s="5"/>
      <c r="H101" s="306"/>
      <c r="I101" s="5"/>
      <c r="J101" s="5"/>
      <c r="K101" s="5"/>
      <c r="L101" s="5"/>
      <c r="M101" s="5"/>
      <c r="N101" s="5"/>
      <c r="O101" s="57"/>
      <c r="P101" s="5"/>
      <c r="Q101" s="5"/>
      <c r="R101" s="5"/>
      <c r="S101" s="5"/>
      <c r="T101" s="5"/>
      <c r="U101" s="5"/>
      <c r="V101" s="5"/>
      <c r="W101" s="5"/>
      <c r="X101" s="5"/>
      <c r="Y101" s="5"/>
      <c r="Z101" s="5"/>
    </row>
    <row r="102" spans="1:26" ht="12.75" customHeight="1">
      <c r="A102" s="5"/>
      <c r="B102" s="5"/>
      <c r="C102" s="5"/>
      <c r="D102" s="5"/>
      <c r="E102" s="5"/>
      <c r="F102" s="5"/>
      <c r="G102" s="5"/>
      <c r="H102" s="306"/>
      <c r="I102" s="5"/>
      <c r="J102" s="5"/>
      <c r="K102" s="5"/>
      <c r="L102" s="5"/>
      <c r="M102" s="5"/>
      <c r="N102" s="5"/>
      <c r="O102" s="57"/>
      <c r="P102" s="5"/>
      <c r="Q102" s="5"/>
      <c r="R102" s="5"/>
      <c r="S102" s="5"/>
      <c r="T102" s="5"/>
      <c r="U102" s="5"/>
      <c r="V102" s="5"/>
      <c r="W102" s="5"/>
      <c r="X102" s="5"/>
      <c r="Y102" s="5"/>
      <c r="Z102" s="5"/>
    </row>
    <row r="103" spans="1:26" ht="12.75" customHeight="1">
      <c r="A103" s="5"/>
      <c r="B103" s="5"/>
      <c r="C103" s="5"/>
      <c r="D103" s="5"/>
      <c r="E103" s="5"/>
      <c r="F103" s="5"/>
      <c r="G103" s="5"/>
      <c r="H103" s="306"/>
      <c r="I103" s="5"/>
      <c r="J103" s="5"/>
      <c r="K103" s="5"/>
      <c r="L103" s="5"/>
      <c r="M103" s="5"/>
      <c r="N103" s="5"/>
      <c r="O103" s="57"/>
      <c r="P103" s="5"/>
      <c r="Q103" s="5"/>
      <c r="R103" s="5"/>
      <c r="S103" s="5"/>
      <c r="T103" s="5"/>
      <c r="U103" s="5"/>
      <c r="V103" s="5"/>
      <c r="W103" s="5"/>
      <c r="X103" s="5"/>
      <c r="Y103" s="5"/>
      <c r="Z103" s="5"/>
    </row>
    <row r="104" spans="1:26" ht="12.75" customHeight="1">
      <c r="A104" s="5"/>
      <c r="B104" s="5"/>
      <c r="C104" s="5"/>
      <c r="D104" s="5"/>
      <c r="E104" s="5"/>
      <c r="F104" s="5"/>
      <c r="G104" s="5"/>
      <c r="H104" s="306"/>
      <c r="I104" s="5"/>
      <c r="J104" s="5"/>
      <c r="K104" s="5"/>
      <c r="L104" s="5"/>
      <c r="M104" s="5"/>
      <c r="N104" s="5"/>
      <c r="O104" s="57"/>
      <c r="P104" s="5"/>
      <c r="Q104" s="5"/>
      <c r="R104" s="5"/>
      <c r="S104" s="5"/>
      <c r="T104" s="5"/>
      <c r="U104" s="5"/>
      <c r="V104" s="5"/>
      <c r="W104" s="5"/>
      <c r="X104" s="5"/>
      <c r="Y104" s="5"/>
      <c r="Z104" s="5"/>
    </row>
    <row r="105" spans="1:26" ht="12.75" customHeight="1">
      <c r="A105" s="5"/>
      <c r="B105" s="5"/>
      <c r="C105" s="5"/>
      <c r="D105" s="5"/>
      <c r="E105" s="5"/>
      <c r="F105" s="5"/>
      <c r="G105" s="5"/>
      <c r="H105" s="306"/>
      <c r="I105" s="5"/>
      <c r="J105" s="5"/>
      <c r="K105" s="5"/>
      <c r="L105" s="5"/>
      <c r="M105" s="5"/>
      <c r="N105" s="5"/>
      <c r="O105" s="57"/>
      <c r="P105" s="5"/>
      <c r="Q105" s="5"/>
      <c r="R105" s="5"/>
      <c r="S105" s="5"/>
      <c r="T105" s="5"/>
      <c r="U105" s="5"/>
      <c r="V105" s="5"/>
      <c r="W105" s="5"/>
      <c r="X105" s="5"/>
      <c r="Y105" s="5"/>
      <c r="Z105" s="5"/>
    </row>
    <row r="106" spans="1:26" ht="12.75" customHeight="1">
      <c r="A106" s="5"/>
      <c r="B106" s="5"/>
      <c r="C106" s="5"/>
      <c r="D106" s="5"/>
      <c r="E106" s="5"/>
      <c r="F106" s="5"/>
      <c r="G106" s="5"/>
      <c r="H106" s="306"/>
      <c r="I106" s="5"/>
      <c r="J106" s="5"/>
      <c r="K106" s="5"/>
      <c r="L106" s="5"/>
      <c r="M106" s="5"/>
      <c r="N106" s="5"/>
      <c r="O106" s="57"/>
      <c r="P106" s="5"/>
      <c r="Q106" s="5"/>
      <c r="R106" s="5"/>
      <c r="S106" s="5"/>
      <c r="T106" s="5"/>
      <c r="U106" s="5"/>
      <c r="V106" s="5"/>
      <c r="W106" s="5"/>
      <c r="X106" s="5"/>
      <c r="Y106" s="5"/>
      <c r="Z106" s="5"/>
    </row>
    <row r="107" spans="1:26" ht="12.75" customHeight="1">
      <c r="A107" s="5"/>
      <c r="B107" s="5"/>
      <c r="C107" s="5"/>
      <c r="D107" s="5"/>
      <c r="E107" s="5"/>
      <c r="F107" s="5"/>
      <c r="G107" s="5"/>
      <c r="H107" s="306"/>
      <c r="I107" s="5"/>
      <c r="J107" s="5"/>
      <c r="K107" s="5"/>
      <c r="L107" s="5"/>
      <c r="M107" s="5"/>
      <c r="N107" s="5"/>
      <c r="O107" s="57"/>
      <c r="P107" s="5"/>
      <c r="Q107" s="5"/>
      <c r="R107" s="5"/>
      <c r="S107" s="5"/>
      <c r="T107" s="5"/>
      <c r="U107" s="5"/>
      <c r="V107" s="5"/>
      <c r="W107" s="5"/>
      <c r="X107" s="5"/>
      <c r="Y107" s="5"/>
      <c r="Z107" s="5"/>
    </row>
    <row r="108" spans="1:26" ht="12.75" customHeight="1">
      <c r="A108" s="5"/>
      <c r="B108" s="5"/>
      <c r="C108" s="5"/>
      <c r="D108" s="5"/>
      <c r="E108" s="5"/>
      <c r="F108" s="5"/>
      <c r="G108" s="5"/>
      <c r="H108" s="306"/>
      <c r="I108" s="5"/>
      <c r="J108" s="5"/>
      <c r="K108" s="5"/>
      <c r="L108" s="5"/>
      <c r="M108" s="5"/>
      <c r="N108" s="5"/>
      <c r="O108" s="57"/>
      <c r="P108" s="5"/>
      <c r="Q108" s="5"/>
      <c r="R108" s="5"/>
      <c r="S108" s="5"/>
      <c r="T108" s="5"/>
      <c r="U108" s="5"/>
      <c r="V108" s="5"/>
      <c r="W108" s="5"/>
      <c r="X108" s="5"/>
      <c r="Y108" s="5"/>
      <c r="Z108" s="5"/>
    </row>
    <row r="109" spans="1:26" ht="12.75" customHeight="1">
      <c r="A109" s="5"/>
      <c r="B109" s="5"/>
      <c r="C109" s="5"/>
      <c r="D109" s="5"/>
      <c r="E109" s="5"/>
      <c r="F109" s="5"/>
      <c r="G109" s="5"/>
      <c r="H109" s="306"/>
      <c r="I109" s="5"/>
      <c r="J109" s="5"/>
      <c r="K109" s="5"/>
      <c r="L109" s="5"/>
      <c r="M109" s="5"/>
      <c r="N109" s="5"/>
      <c r="O109" s="57"/>
      <c r="P109" s="5"/>
      <c r="Q109" s="5"/>
      <c r="R109" s="5"/>
      <c r="S109" s="5"/>
      <c r="T109" s="5"/>
      <c r="U109" s="5"/>
      <c r="V109" s="5"/>
      <c r="W109" s="5"/>
      <c r="X109" s="5"/>
      <c r="Y109" s="5"/>
      <c r="Z109" s="5"/>
    </row>
    <row r="110" spans="1:26" ht="12.75" customHeight="1">
      <c r="A110" s="5"/>
      <c r="B110" s="5"/>
      <c r="C110" s="5"/>
      <c r="D110" s="5"/>
      <c r="E110" s="5"/>
      <c r="F110" s="5"/>
      <c r="G110" s="5"/>
      <c r="H110" s="306"/>
      <c r="I110" s="5"/>
      <c r="J110" s="5"/>
      <c r="K110" s="5"/>
      <c r="L110" s="5"/>
      <c r="M110" s="5"/>
      <c r="N110" s="5"/>
      <c r="O110" s="57"/>
      <c r="P110" s="5"/>
      <c r="Q110" s="5"/>
      <c r="R110" s="5"/>
      <c r="S110" s="5"/>
      <c r="T110" s="5"/>
      <c r="U110" s="5"/>
      <c r="V110" s="5"/>
      <c r="W110" s="5"/>
      <c r="X110" s="5"/>
      <c r="Y110" s="5"/>
      <c r="Z110" s="5"/>
    </row>
    <row r="111" spans="1:26" ht="12.75" customHeight="1">
      <c r="A111" s="5"/>
      <c r="B111" s="5"/>
      <c r="C111" s="5"/>
      <c r="D111" s="5"/>
      <c r="E111" s="5"/>
      <c r="F111" s="5"/>
      <c r="G111" s="5"/>
      <c r="H111" s="306"/>
      <c r="I111" s="5"/>
      <c r="J111" s="5"/>
      <c r="K111" s="5"/>
      <c r="L111" s="5"/>
      <c r="M111" s="5"/>
      <c r="N111" s="5"/>
      <c r="O111" s="57"/>
      <c r="P111" s="5"/>
      <c r="Q111" s="5"/>
      <c r="R111" s="5"/>
      <c r="S111" s="5"/>
      <c r="T111" s="5"/>
      <c r="U111" s="5"/>
      <c r="V111" s="5"/>
      <c r="W111" s="5"/>
      <c r="X111" s="5"/>
      <c r="Y111" s="5"/>
      <c r="Z111" s="5"/>
    </row>
    <row r="112" spans="1:26" ht="12.75" customHeight="1">
      <c r="A112" s="5"/>
      <c r="B112" s="5"/>
      <c r="C112" s="5"/>
      <c r="D112" s="5"/>
      <c r="E112" s="5"/>
      <c r="F112" s="5"/>
      <c r="G112" s="5"/>
      <c r="H112" s="306"/>
      <c r="I112" s="5"/>
      <c r="J112" s="5"/>
      <c r="K112" s="5"/>
      <c r="L112" s="5"/>
      <c r="M112" s="5"/>
      <c r="N112" s="5"/>
      <c r="O112" s="57"/>
      <c r="P112" s="5"/>
      <c r="Q112" s="5"/>
      <c r="R112" s="5"/>
      <c r="S112" s="5"/>
      <c r="T112" s="5"/>
      <c r="U112" s="5"/>
      <c r="V112" s="5"/>
      <c r="W112" s="5"/>
      <c r="X112" s="5"/>
      <c r="Y112" s="5"/>
      <c r="Z112" s="5"/>
    </row>
    <row r="113" spans="1:26" ht="12.75" customHeight="1">
      <c r="A113" s="5"/>
      <c r="B113" s="5"/>
      <c r="C113" s="5"/>
      <c r="D113" s="5"/>
      <c r="E113" s="5"/>
      <c r="F113" s="5"/>
      <c r="G113" s="5"/>
      <c r="H113" s="306"/>
      <c r="I113" s="5"/>
      <c r="J113" s="5"/>
      <c r="K113" s="5"/>
      <c r="L113" s="5"/>
      <c r="M113" s="5"/>
      <c r="N113" s="5"/>
      <c r="O113" s="57"/>
      <c r="P113" s="5"/>
      <c r="Q113" s="5"/>
      <c r="R113" s="5"/>
      <c r="S113" s="5"/>
      <c r="T113" s="5"/>
      <c r="U113" s="5"/>
      <c r="V113" s="5"/>
      <c r="W113" s="5"/>
      <c r="X113" s="5"/>
      <c r="Y113" s="5"/>
      <c r="Z113" s="5"/>
    </row>
    <row r="114" spans="1:26" ht="12.75" customHeight="1">
      <c r="A114" s="5"/>
      <c r="B114" s="5"/>
      <c r="C114" s="5"/>
      <c r="D114" s="5"/>
      <c r="E114" s="5"/>
      <c r="F114" s="5"/>
      <c r="G114" s="5"/>
      <c r="H114" s="306"/>
      <c r="I114" s="5"/>
      <c r="J114" s="5"/>
      <c r="K114" s="5"/>
      <c r="L114" s="5"/>
      <c r="M114" s="5"/>
      <c r="N114" s="5"/>
      <c r="O114" s="57"/>
      <c r="P114" s="5"/>
      <c r="Q114" s="5"/>
      <c r="R114" s="5"/>
      <c r="S114" s="5"/>
      <c r="T114" s="5"/>
      <c r="U114" s="5"/>
      <c r="V114" s="5"/>
      <c r="W114" s="5"/>
      <c r="X114" s="5"/>
      <c r="Y114" s="5"/>
      <c r="Z114" s="5"/>
    </row>
    <row r="115" spans="1:26" ht="12.75" customHeight="1">
      <c r="A115" s="5"/>
      <c r="B115" s="5"/>
      <c r="C115" s="5"/>
      <c r="D115" s="5"/>
      <c r="E115" s="5"/>
      <c r="F115" s="5"/>
      <c r="G115" s="5"/>
      <c r="H115" s="306"/>
      <c r="I115" s="5"/>
      <c r="J115" s="5"/>
      <c r="K115" s="5"/>
      <c r="L115" s="5"/>
      <c r="M115" s="5"/>
      <c r="N115" s="5"/>
      <c r="O115" s="57"/>
      <c r="P115" s="5"/>
      <c r="Q115" s="5"/>
      <c r="R115" s="5"/>
      <c r="S115" s="5"/>
      <c r="T115" s="5"/>
      <c r="U115" s="5"/>
      <c r="V115" s="5"/>
      <c r="W115" s="5"/>
      <c r="X115" s="5"/>
      <c r="Y115" s="5"/>
      <c r="Z115" s="5"/>
    </row>
    <row r="116" spans="1:26" ht="12.75" customHeight="1">
      <c r="A116" s="5"/>
      <c r="B116" s="5"/>
      <c r="C116" s="5"/>
      <c r="D116" s="5"/>
      <c r="E116" s="5"/>
      <c r="F116" s="5"/>
      <c r="G116" s="5"/>
      <c r="H116" s="306"/>
      <c r="I116" s="5"/>
      <c r="J116" s="5"/>
      <c r="K116" s="5"/>
      <c r="L116" s="5"/>
      <c r="M116" s="5"/>
      <c r="N116" s="5"/>
      <c r="O116" s="57"/>
      <c r="P116" s="5"/>
      <c r="Q116" s="5"/>
      <c r="R116" s="5"/>
      <c r="S116" s="5"/>
      <c r="T116" s="5"/>
      <c r="U116" s="5"/>
      <c r="V116" s="5"/>
      <c r="W116" s="5"/>
      <c r="X116" s="5"/>
      <c r="Y116" s="5"/>
      <c r="Z116" s="5"/>
    </row>
    <row r="117" spans="1:26" ht="12.75" customHeight="1">
      <c r="A117" s="5"/>
      <c r="B117" s="5"/>
      <c r="C117" s="5"/>
      <c r="D117" s="5"/>
      <c r="E117" s="5"/>
      <c r="F117" s="5"/>
      <c r="G117" s="5"/>
      <c r="H117" s="306"/>
      <c r="I117" s="5"/>
      <c r="J117" s="5"/>
      <c r="K117" s="5"/>
      <c r="L117" s="5"/>
      <c r="M117" s="5"/>
      <c r="N117" s="5"/>
      <c r="O117" s="57"/>
      <c r="P117" s="5"/>
      <c r="Q117" s="5"/>
      <c r="R117" s="5"/>
      <c r="S117" s="5"/>
      <c r="T117" s="5"/>
      <c r="U117" s="5"/>
      <c r="V117" s="5"/>
      <c r="W117" s="5"/>
      <c r="X117" s="5"/>
      <c r="Y117" s="5"/>
      <c r="Z117" s="5"/>
    </row>
    <row r="118" spans="1:26" ht="12.75" customHeight="1">
      <c r="A118" s="5"/>
      <c r="B118" s="5"/>
      <c r="C118" s="5"/>
      <c r="D118" s="5"/>
      <c r="E118" s="5"/>
      <c r="F118" s="5"/>
      <c r="G118" s="5"/>
      <c r="H118" s="306"/>
      <c r="I118" s="5"/>
      <c r="J118" s="5"/>
      <c r="K118" s="5"/>
      <c r="L118" s="5"/>
      <c r="M118" s="5"/>
      <c r="N118" s="5"/>
      <c r="O118" s="57"/>
      <c r="P118" s="5"/>
      <c r="Q118" s="5"/>
      <c r="R118" s="5"/>
      <c r="S118" s="5"/>
      <c r="T118" s="5"/>
      <c r="U118" s="5"/>
      <c r="V118" s="5"/>
      <c r="W118" s="5"/>
      <c r="X118" s="5"/>
      <c r="Y118" s="5"/>
      <c r="Z118" s="5"/>
    </row>
    <row r="119" spans="1:26" ht="12.75" customHeight="1">
      <c r="A119" s="5"/>
      <c r="B119" s="5"/>
      <c r="C119" s="5"/>
      <c r="D119" s="5"/>
      <c r="E119" s="5"/>
      <c r="F119" s="5"/>
      <c r="G119" s="5"/>
      <c r="H119" s="306"/>
      <c r="I119" s="5"/>
      <c r="J119" s="5"/>
      <c r="K119" s="5"/>
      <c r="L119" s="5"/>
      <c r="M119" s="5"/>
      <c r="N119" s="5"/>
      <c r="O119" s="57"/>
      <c r="P119" s="5"/>
      <c r="Q119" s="5"/>
      <c r="R119" s="5"/>
      <c r="S119" s="5"/>
      <c r="T119" s="5"/>
      <c r="U119" s="5"/>
      <c r="V119" s="5"/>
      <c r="W119" s="5"/>
      <c r="X119" s="5"/>
      <c r="Y119" s="5"/>
      <c r="Z119" s="5"/>
    </row>
    <row r="120" spans="1:26" ht="12.75" customHeight="1">
      <c r="A120" s="5"/>
      <c r="B120" s="5"/>
      <c r="C120" s="5"/>
      <c r="D120" s="5"/>
      <c r="E120" s="5"/>
      <c r="F120" s="5"/>
      <c r="G120" s="5"/>
      <c r="H120" s="306"/>
      <c r="I120" s="5"/>
      <c r="J120" s="5"/>
      <c r="K120" s="5"/>
      <c r="L120" s="5"/>
      <c r="M120" s="5"/>
      <c r="N120" s="5"/>
      <c r="O120" s="57"/>
      <c r="P120" s="5"/>
      <c r="Q120" s="5"/>
      <c r="R120" s="5"/>
      <c r="S120" s="5"/>
      <c r="T120" s="5"/>
      <c r="U120" s="5"/>
      <c r="V120" s="5"/>
      <c r="W120" s="5"/>
      <c r="X120" s="5"/>
      <c r="Y120" s="5"/>
      <c r="Z120" s="5"/>
    </row>
    <row r="121" spans="1:26" ht="12.75" customHeight="1">
      <c r="A121" s="5"/>
      <c r="B121" s="5"/>
      <c r="C121" s="5"/>
      <c r="D121" s="5"/>
      <c r="E121" s="5"/>
      <c r="F121" s="5"/>
      <c r="G121" s="5"/>
      <c r="H121" s="306"/>
      <c r="I121" s="5"/>
      <c r="J121" s="5"/>
      <c r="K121" s="5"/>
      <c r="L121" s="5"/>
      <c r="M121" s="5"/>
      <c r="N121" s="5"/>
      <c r="O121" s="57"/>
      <c r="P121" s="5"/>
      <c r="Q121" s="5"/>
      <c r="R121" s="5"/>
      <c r="S121" s="5"/>
      <c r="T121" s="5"/>
      <c r="U121" s="5"/>
      <c r="V121" s="5"/>
      <c r="W121" s="5"/>
      <c r="X121" s="5"/>
      <c r="Y121" s="5"/>
      <c r="Z121" s="5"/>
    </row>
    <row r="122" spans="1:26" ht="12.75" customHeight="1">
      <c r="A122" s="5"/>
      <c r="B122" s="5"/>
      <c r="C122" s="5"/>
      <c r="D122" s="5"/>
      <c r="E122" s="5"/>
      <c r="F122" s="5"/>
      <c r="G122" s="5"/>
      <c r="H122" s="306"/>
      <c r="I122" s="5"/>
      <c r="J122" s="5"/>
      <c r="K122" s="5"/>
      <c r="L122" s="5"/>
      <c r="M122" s="5"/>
      <c r="N122" s="5"/>
      <c r="O122" s="57"/>
      <c r="P122" s="5"/>
      <c r="Q122" s="5"/>
      <c r="R122" s="5"/>
      <c r="S122" s="5"/>
      <c r="T122" s="5"/>
      <c r="U122" s="5"/>
      <c r="V122" s="5"/>
      <c r="W122" s="5"/>
      <c r="X122" s="5"/>
      <c r="Y122" s="5"/>
      <c r="Z122" s="5"/>
    </row>
    <row r="123" spans="1:26" ht="12.75" customHeight="1">
      <c r="A123" s="5"/>
      <c r="B123" s="5"/>
      <c r="C123" s="5"/>
      <c r="D123" s="5"/>
      <c r="E123" s="5"/>
      <c r="F123" s="5"/>
      <c r="G123" s="5"/>
      <c r="H123" s="306"/>
      <c r="I123" s="5"/>
      <c r="J123" s="5"/>
      <c r="K123" s="5"/>
      <c r="L123" s="5"/>
      <c r="M123" s="5"/>
      <c r="N123" s="5"/>
      <c r="O123" s="57"/>
      <c r="P123" s="5"/>
      <c r="Q123" s="5"/>
      <c r="R123" s="5"/>
      <c r="S123" s="5"/>
      <c r="T123" s="5"/>
      <c r="U123" s="5"/>
      <c r="V123" s="5"/>
      <c r="W123" s="5"/>
      <c r="X123" s="5"/>
      <c r="Y123" s="5"/>
      <c r="Z123" s="5"/>
    </row>
    <row r="124" spans="1:26" ht="12.75" customHeight="1">
      <c r="A124" s="5"/>
      <c r="B124" s="5"/>
      <c r="C124" s="5"/>
      <c r="D124" s="5"/>
      <c r="E124" s="5"/>
      <c r="F124" s="5"/>
      <c r="G124" s="5"/>
      <c r="H124" s="306"/>
      <c r="I124" s="5"/>
      <c r="J124" s="5"/>
      <c r="K124" s="5"/>
      <c r="L124" s="5"/>
      <c r="M124" s="5"/>
      <c r="N124" s="5"/>
      <c r="O124" s="57"/>
      <c r="P124" s="5"/>
      <c r="Q124" s="5"/>
      <c r="R124" s="5"/>
      <c r="S124" s="5"/>
      <c r="T124" s="5"/>
      <c r="U124" s="5"/>
      <c r="V124" s="5"/>
      <c r="W124" s="5"/>
      <c r="X124" s="5"/>
      <c r="Y124" s="5"/>
      <c r="Z124" s="5"/>
    </row>
    <row r="125" spans="1:26" ht="12.75" customHeight="1">
      <c r="A125" s="5"/>
      <c r="B125" s="5"/>
      <c r="C125" s="5"/>
      <c r="D125" s="5"/>
      <c r="E125" s="5"/>
      <c r="F125" s="5"/>
      <c r="G125" s="5"/>
      <c r="H125" s="306"/>
      <c r="I125" s="5"/>
      <c r="J125" s="5"/>
      <c r="K125" s="5"/>
      <c r="L125" s="5"/>
      <c r="M125" s="5"/>
      <c r="N125" s="5"/>
      <c r="O125" s="57"/>
      <c r="P125" s="5"/>
      <c r="Q125" s="5"/>
      <c r="R125" s="5"/>
      <c r="S125" s="5"/>
      <c r="T125" s="5"/>
      <c r="U125" s="5"/>
      <c r="V125" s="5"/>
      <c r="W125" s="5"/>
      <c r="X125" s="5"/>
      <c r="Y125" s="5"/>
      <c r="Z125" s="5"/>
    </row>
    <row r="126" spans="1:26" ht="12.75" customHeight="1">
      <c r="A126" s="5"/>
      <c r="B126" s="5"/>
      <c r="C126" s="5"/>
      <c r="D126" s="5"/>
      <c r="E126" s="5"/>
      <c r="F126" s="5"/>
      <c r="G126" s="5"/>
      <c r="H126" s="306"/>
      <c r="I126" s="5"/>
      <c r="J126" s="5"/>
      <c r="K126" s="5"/>
      <c r="L126" s="5"/>
      <c r="M126" s="5"/>
      <c r="N126" s="5"/>
      <c r="O126" s="57"/>
      <c r="P126" s="5"/>
      <c r="Q126" s="5"/>
      <c r="R126" s="5"/>
      <c r="S126" s="5"/>
      <c r="T126" s="5"/>
      <c r="U126" s="5"/>
      <c r="V126" s="5"/>
      <c r="W126" s="5"/>
      <c r="X126" s="5"/>
      <c r="Y126" s="5"/>
      <c r="Z126" s="5"/>
    </row>
    <row r="127" spans="1:26" ht="12.75" customHeight="1">
      <c r="A127" s="5"/>
      <c r="B127" s="5"/>
      <c r="C127" s="5"/>
      <c r="D127" s="5"/>
      <c r="E127" s="5"/>
      <c r="F127" s="5"/>
      <c r="G127" s="5"/>
      <c r="H127" s="306"/>
      <c r="I127" s="5"/>
      <c r="J127" s="5"/>
      <c r="K127" s="5"/>
      <c r="L127" s="5"/>
      <c r="M127" s="5"/>
      <c r="N127" s="5"/>
      <c r="O127" s="57"/>
      <c r="P127" s="5"/>
      <c r="Q127" s="5"/>
      <c r="R127" s="5"/>
      <c r="S127" s="5"/>
      <c r="T127" s="5"/>
      <c r="U127" s="5"/>
      <c r="V127" s="5"/>
      <c r="W127" s="5"/>
      <c r="X127" s="5"/>
      <c r="Y127" s="5"/>
      <c r="Z127" s="5"/>
    </row>
    <row r="128" spans="1:26" ht="12.75" customHeight="1">
      <c r="A128" s="5"/>
      <c r="B128" s="5"/>
      <c r="C128" s="5"/>
      <c r="D128" s="5"/>
      <c r="E128" s="5"/>
      <c r="F128" s="5"/>
      <c r="G128" s="5"/>
      <c r="H128" s="306"/>
      <c r="I128" s="5"/>
      <c r="J128" s="5"/>
      <c r="K128" s="5"/>
      <c r="L128" s="5"/>
      <c r="M128" s="5"/>
      <c r="N128" s="5"/>
      <c r="O128" s="57"/>
      <c r="P128" s="5"/>
      <c r="Q128" s="5"/>
      <c r="R128" s="5"/>
      <c r="S128" s="5"/>
      <c r="T128" s="5"/>
      <c r="U128" s="5"/>
      <c r="V128" s="5"/>
      <c r="W128" s="5"/>
      <c r="X128" s="5"/>
      <c r="Y128" s="5"/>
      <c r="Z128" s="5"/>
    </row>
    <row r="129" spans="1:26" ht="12.75" customHeight="1">
      <c r="A129" s="5"/>
      <c r="B129" s="5"/>
      <c r="C129" s="5"/>
      <c r="D129" s="5"/>
      <c r="E129" s="5"/>
      <c r="F129" s="5"/>
      <c r="G129" s="5"/>
      <c r="H129" s="306"/>
      <c r="I129" s="5"/>
      <c r="J129" s="5"/>
      <c r="K129" s="5"/>
      <c r="L129" s="5"/>
      <c r="M129" s="5"/>
      <c r="N129" s="5"/>
      <c r="O129" s="57"/>
      <c r="P129" s="5"/>
      <c r="Q129" s="5"/>
      <c r="R129" s="5"/>
      <c r="S129" s="5"/>
      <c r="T129" s="5"/>
      <c r="U129" s="5"/>
      <c r="V129" s="5"/>
      <c r="W129" s="5"/>
      <c r="X129" s="5"/>
      <c r="Y129" s="5"/>
      <c r="Z129" s="5"/>
    </row>
    <row r="130" spans="1:26" ht="12.75" customHeight="1">
      <c r="A130" s="5"/>
      <c r="B130" s="5"/>
      <c r="C130" s="5"/>
      <c r="D130" s="5"/>
      <c r="E130" s="5"/>
      <c r="F130" s="5"/>
      <c r="G130" s="5"/>
      <c r="H130" s="306"/>
      <c r="I130" s="5"/>
      <c r="J130" s="5"/>
      <c r="K130" s="5"/>
      <c r="L130" s="5"/>
      <c r="M130" s="5"/>
      <c r="N130" s="5"/>
      <c r="O130" s="57"/>
      <c r="P130" s="5"/>
      <c r="Q130" s="5"/>
      <c r="R130" s="5"/>
      <c r="S130" s="5"/>
      <c r="T130" s="5"/>
      <c r="U130" s="5"/>
      <c r="V130" s="5"/>
      <c r="W130" s="5"/>
      <c r="X130" s="5"/>
      <c r="Y130" s="5"/>
      <c r="Z130" s="5"/>
    </row>
    <row r="131" spans="1:26" ht="12.75" customHeight="1">
      <c r="A131" s="5"/>
      <c r="B131" s="5"/>
      <c r="C131" s="5"/>
      <c r="D131" s="5"/>
      <c r="E131" s="5"/>
      <c r="F131" s="5"/>
      <c r="G131" s="5"/>
      <c r="H131" s="306"/>
      <c r="I131" s="5"/>
      <c r="J131" s="5"/>
      <c r="K131" s="5"/>
      <c r="L131" s="5"/>
      <c r="M131" s="5"/>
      <c r="N131" s="5"/>
      <c r="O131" s="57"/>
      <c r="P131" s="5"/>
      <c r="Q131" s="5"/>
      <c r="R131" s="5"/>
      <c r="S131" s="5"/>
      <c r="T131" s="5"/>
      <c r="U131" s="5"/>
      <c r="V131" s="5"/>
      <c r="W131" s="5"/>
      <c r="X131" s="5"/>
      <c r="Y131" s="5"/>
      <c r="Z131" s="5"/>
    </row>
    <row r="132" spans="1:26" ht="12.75" customHeight="1">
      <c r="A132" s="5"/>
      <c r="B132" s="5"/>
      <c r="C132" s="5"/>
      <c r="D132" s="5"/>
      <c r="E132" s="5"/>
      <c r="F132" s="5"/>
      <c r="G132" s="5"/>
      <c r="H132" s="306"/>
      <c r="I132" s="5"/>
      <c r="J132" s="5"/>
      <c r="K132" s="5"/>
      <c r="L132" s="5"/>
      <c r="M132" s="5"/>
      <c r="N132" s="5"/>
      <c r="O132" s="57"/>
      <c r="P132" s="5"/>
      <c r="Q132" s="5"/>
      <c r="R132" s="5"/>
      <c r="S132" s="5"/>
      <c r="T132" s="5"/>
      <c r="U132" s="5"/>
      <c r="V132" s="5"/>
      <c r="W132" s="5"/>
      <c r="X132" s="5"/>
      <c r="Y132" s="5"/>
      <c r="Z132" s="5"/>
    </row>
    <row r="133" spans="1:26" ht="12.75" customHeight="1">
      <c r="A133" s="5"/>
      <c r="B133" s="5"/>
      <c r="C133" s="5"/>
      <c r="D133" s="5"/>
      <c r="E133" s="5"/>
      <c r="F133" s="5"/>
      <c r="G133" s="5"/>
      <c r="H133" s="306"/>
      <c r="I133" s="5"/>
      <c r="J133" s="5"/>
      <c r="K133" s="5"/>
      <c r="L133" s="5"/>
      <c r="M133" s="5"/>
      <c r="N133" s="5"/>
      <c r="O133" s="57"/>
      <c r="P133" s="5"/>
      <c r="Q133" s="5"/>
      <c r="R133" s="5"/>
      <c r="S133" s="5"/>
      <c r="T133" s="5"/>
      <c r="U133" s="5"/>
      <c r="V133" s="5"/>
      <c r="W133" s="5"/>
      <c r="X133" s="5"/>
      <c r="Y133" s="5"/>
      <c r="Z133" s="5"/>
    </row>
    <row r="134" spans="1:26" ht="12.75" customHeight="1">
      <c r="A134" s="5"/>
      <c r="B134" s="5"/>
      <c r="C134" s="5"/>
      <c r="D134" s="5"/>
      <c r="E134" s="5"/>
      <c r="F134" s="5"/>
      <c r="G134" s="5"/>
      <c r="H134" s="306"/>
      <c r="I134" s="5"/>
      <c r="J134" s="5"/>
      <c r="K134" s="5"/>
      <c r="L134" s="5"/>
      <c r="M134" s="5"/>
      <c r="N134" s="5"/>
      <c r="O134" s="57"/>
      <c r="P134" s="5"/>
      <c r="Q134" s="5"/>
      <c r="R134" s="5"/>
      <c r="S134" s="5"/>
      <c r="T134" s="5"/>
      <c r="U134" s="5"/>
      <c r="V134" s="5"/>
      <c r="W134" s="5"/>
      <c r="X134" s="5"/>
      <c r="Y134" s="5"/>
      <c r="Z134" s="5"/>
    </row>
    <row r="135" spans="1:26" ht="12.75" customHeight="1">
      <c r="A135" s="5"/>
      <c r="B135" s="5"/>
      <c r="C135" s="5"/>
      <c r="D135" s="5"/>
      <c r="E135" s="5"/>
      <c r="F135" s="5"/>
      <c r="G135" s="5"/>
      <c r="H135" s="306"/>
      <c r="I135" s="5"/>
      <c r="J135" s="5"/>
      <c r="K135" s="5"/>
      <c r="L135" s="5"/>
      <c r="M135" s="5"/>
      <c r="N135" s="5"/>
      <c r="O135" s="57"/>
      <c r="P135" s="5"/>
      <c r="Q135" s="5"/>
      <c r="R135" s="5"/>
      <c r="S135" s="5"/>
      <c r="T135" s="5"/>
      <c r="U135" s="5"/>
      <c r="V135" s="5"/>
      <c r="W135" s="5"/>
      <c r="X135" s="5"/>
      <c r="Y135" s="5"/>
      <c r="Z135" s="5"/>
    </row>
    <row r="136" spans="1:26" ht="12.75" customHeight="1">
      <c r="A136" s="5"/>
      <c r="B136" s="5"/>
      <c r="C136" s="5"/>
      <c r="D136" s="5"/>
      <c r="E136" s="5"/>
      <c r="F136" s="5"/>
      <c r="G136" s="5"/>
      <c r="H136" s="306"/>
      <c r="I136" s="5"/>
      <c r="J136" s="5"/>
      <c r="K136" s="5"/>
      <c r="L136" s="5"/>
      <c r="M136" s="5"/>
      <c r="N136" s="5"/>
      <c r="O136" s="57"/>
      <c r="P136" s="5"/>
      <c r="Q136" s="5"/>
      <c r="R136" s="5"/>
      <c r="S136" s="5"/>
      <c r="T136" s="5"/>
      <c r="U136" s="5"/>
      <c r="V136" s="5"/>
      <c r="W136" s="5"/>
      <c r="X136" s="5"/>
      <c r="Y136" s="5"/>
      <c r="Z136" s="5"/>
    </row>
    <row r="137" spans="1:26" ht="12.75" customHeight="1">
      <c r="A137" s="5"/>
      <c r="B137" s="5"/>
      <c r="C137" s="5"/>
      <c r="D137" s="5"/>
      <c r="E137" s="5"/>
      <c r="F137" s="5"/>
      <c r="G137" s="5"/>
      <c r="H137" s="306"/>
      <c r="I137" s="5"/>
      <c r="J137" s="5"/>
      <c r="K137" s="5"/>
      <c r="L137" s="5"/>
      <c r="M137" s="5"/>
      <c r="N137" s="5"/>
      <c r="O137" s="57"/>
      <c r="P137" s="5"/>
      <c r="Q137" s="5"/>
      <c r="R137" s="5"/>
      <c r="S137" s="5"/>
      <c r="T137" s="5"/>
      <c r="U137" s="5"/>
      <c r="V137" s="5"/>
      <c r="W137" s="5"/>
      <c r="X137" s="5"/>
      <c r="Y137" s="5"/>
      <c r="Z137" s="5"/>
    </row>
    <row r="138" spans="1:26" ht="12.75" customHeight="1">
      <c r="A138" s="5"/>
      <c r="B138" s="5"/>
      <c r="C138" s="5"/>
      <c r="D138" s="5"/>
      <c r="E138" s="5"/>
      <c r="F138" s="5"/>
      <c r="G138" s="5"/>
      <c r="H138" s="306"/>
      <c r="I138" s="5"/>
      <c r="J138" s="5"/>
      <c r="K138" s="5"/>
      <c r="L138" s="5"/>
      <c r="M138" s="5"/>
      <c r="N138" s="5"/>
      <c r="O138" s="57"/>
      <c r="P138" s="5"/>
      <c r="Q138" s="5"/>
      <c r="R138" s="5"/>
      <c r="S138" s="5"/>
      <c r="T138" s="5"/>
      <c r="U138" s="5"/>
      <c r="V138" s="5"/>
      <c r="W138" s="5"/>
      <c r="X138" s="5"/>
      <c r="Y138" s="5"/>
      <c r="Z138" s="5"/>
    </row>
    <row r="139" spans="1:26" ht="12.75" customHeight="1">
      <c r="A139" s="5"/>
      <c r="B139" s="5"/>
      <c r="C139" s="5"/>
      <c r="D139" s="5"/>
      <c r="E139" s="5"/>
      <c r="F139" s="5"/>
      <c r="G139" s="5"/>
      <c r="H139" s="306"/>
      <c r="I139" s="5"/>
      <c r="J139" s="5"/>
      <c r="K139" s="5"/>
      <c r="L139" s="5"/>
      <c r="M139" s="5"/>
      <c r="N139" s="5"/>
      <c r="O139" s="57"/>
      <c r="P139" s="5"/>
      <c r="Q139" s="5"/>
      <c r="R139" s="5"/>
      <c r="S139" s="5"/>
      <c r="T139" s="5"/>
      <c r="U139" s="5"/>
      <c r="V139" s="5"/>
      <c r="W139" s="5"/>
      <c r="X139" s="5"/>
      <c r="Y139" s="5"/>
      <c r="Z139" s="5"/>
    </row>
    <row r="140" spans="1:26" ht="12.75" customHeight="1">
      <c r="A140" s="5"/>
      <c r="B140" s="5"/>
      <c r="C140" s="5"/>
      <c r="D140" s="5"/>
      <c r="E140" s="5"/>
      <c r="F140" s="5"/>
      <c r="G140" s="5"/>
      <c r="H140" s="306"/>
      <c r="I140" s="5"/>
      <c r="J140" s="5"/>
      <c r="K140" s="5"/>
      <c r="L140" s="5"/>
      <c r="M140" s="5"/>
      <c r="N140" s="5"/>
      <c r="O140" s="57"/>
      <c r="P140" s="5"/>
      <c r="Q140" s="5"/>
      <c r="R140" s="5"/>
      <c r="S140" s="5"/>
      <c r="T140" s="5"/>
      <c r="U140" s="5"/>
      <c r="V140" s="5"/>
      <c r="W140" s="5"/>
      <c r="X140" s="5"/>
      <c r="Y140" s="5"/>
      <c r="Z140" s="5"/>
    </row>
    <row r="141" spans="1:26" ht="12.75" customHeight="1">
      <c r="A141" s="5"/>
      <c r="B141" s="5"/>
      <c r="C141" s="5"/>
      <c r="D141" s="5"/>
      <c r="E141" s="5"/>
      <c r="F141" s="5"/>
      <c r="G141" s="5"/>
      <c r="H141" s="306"/>
      <c r="I141" s="5"/>
      <c r="J141" s="5"/>
      <c r="K141" s="5"/>
      <c r="L141" s="5"/>
      <c r="M141" s="5"/>
      <c r="N141" s="5"/>
      <c r="O141" s="57"/>
      <c r="P141" s="5"/>
      <c r="Q141" s="5"/>
      <c r="R141" s="5"/>
      <c r="S141" s="5"/>
      <c r="T141" s="5"/>
      <c r="U141" s="5"/>
      <c r="V141" s="5"/>
      <c r="W141" s="5"/>
      <c r="X141" s="5"/>
      <c r="Y141" s="5"/>
      <c r="Z141" s="5"/>
    </row>
    <row r="142" spans="1:26" ht="12.75" customHeight="1">
      <c r="A142" s="5"/>
      <c r="B142" s="5"/>
      <c r="C142" s="5"/>
      <c r="D142" s="5"/>
      <c r="E142" s="5"/>
      <c r="F142" s="5"/>
      <c r="G142" s="5"/>
      <c r="H142" s="306"/>
      <c r="I142" s="5"/>
      <c r="J142" s="5"/>
      <c r="K142" s="5"/>
      <c r="L142" s="5"/>
      <c r="M142" s="5"/>
      <c r="N142" s="5"/>
      <c r="O142" s="57"/>
      <c r="P142" s="5"/>
      <c r="Q142" s="5"/>
      <c r="R142" s="5"/>
      <c r="S142" s="5"/>
      <c r="T142" s="5"/>
      <c r="U142" s="5"/>
      <c r="V142" s="5"/>
      <c r="W142" s="5"/>
      <c r="X142" s="5"/>
      <c r="Y142" s="5"/>
      <c r="Z142" s="5"/>
    </row>
    <row r="143" spans="1:26" ht="12.75" customHeight="1">
      <c r="A143" s="5"/>
      <c r="B143" s="5"/>
      <c r="C143" s="5"/>
      <c r="D143" s="5"/>
      <c r="E143" s="5"/>
      <c r="F143" s="5"/>
      <c r="G143" s="5"/>
      <c r="H143" s="306"/>
      <c r="I143" s="5"/>
      <c r="J143" s="5"/>
      <c r="K143" s="5"/>
      <c r="L143" s="5"/>
      <c r="M143" s="5"/>
      <c r="N143" s="5"/>
      <c r="O143" s="57"/>
      <c r="P143" s="5"/>
      <c r="Q143" s="5"/>
      <c r="R143" s="5"/>
      <c r="S143" s="5"/>
      <c r="T143" s="5"/>
      <c r="U143" s="5"/>
      <c r="V143" s="5"/>
      <c r="W143" s="5"/>
      <c r="X143" s="5"/>
      <c r="Y143" s="5"/>
      <c r="Z143" s="5"/>
    </row>
    <row r="144" spans="1:26" ht="12.75" customHeight="1">
      <c r="A144" s="5"/>
      <c r="B144" s="5"/>
      <c r="C144" s="5"/>
      <c r="D144" s="5"/>
      <c r="E144" s="5"/>
      <c r="F144" s="5"/>
      <c r="G144" s="5"/>
      <c r="H144" s="306"/>
      <c r="I144" s="5"/>
      <c r="J144" s="5"/>
      <c r="K144" s="5"/>
      <c r="L144" s="5"/>
      <c r="M144" s="5"/>
      <c r="N144" s="5"/>
      <c r="O144" s="57"/>
      <c r="P144" s="5"/>
      <c r="Q144" s="5"/>
      <c r="R144" s="5"/>
      <c r="S144" s="5"/>
      <c r="T144" s="5"/>
      <c r="U144" s="5"/>
      <c r="V144" s="5"/>
      <c r="W144" s="5"/>
      <c r="X144" s="5"/>
      <c r="Y144" s="5"/>
      <c r="Z144" s="5"/>
    </row>
    <row r="145" spans="1:26" ht="12.75" customHeight="1">
      <c r="A145" s="5"/>
      <c r="B145" s="5"/>
      <c r="C145" s="5"/>
      <c r="D145" s="5"/>
      <c r="E145" s="5"/>
      <c r="F145" s="5"/>
      <c r="G145" s="5"/>
      <c r="H145" s="306"/>
      <c r="I145" s="5"/>
      <c r="J145" s="5"/>
      <c r="K145" s="5"/>
      <c r="L145" s="5"/>
      <c r="M145" s="5"/>
      <c r="N145" s="5"/>
      <c r="O145" s="57"/>
      <c r="P145" s="5"/>
      <c r="Q145" s="5"/>
      <c r="R145" s="5"/>
      <c r="S145" s="5"/>
      <c r="T145" s="5"/>
      <c r="U145" s="5"/>
      <c r="V145" s="5"/>
      <c r="W145" s="5"/>
      <c r="X145" s="5"/>
      <c r="Y145" s="5"/>
      <c r="Z145" s="5"/>
    </row>
    <row r="146" spans="1:26" ht="12.75" customHeight="1">
      <c r="A146" s="5"/>
      <c r="B146" s="5"/>
      <c r="C146" s="5"/>
      <c r="D146" s="5"/>
      <c r="E146" s="5"/>
      <c r="F146" s="5"/>
      <c r="G146" s="5"/>
      <c r="H146" s="306"/>
      <c r="I146" s="5"/>
      <c r="J146" s="5"/>
      <c r="K146" s="5"/>
      <c r="L146" s="5"/>
      <c r="M146" s="5"/>
      <c r="N146" s="5"/>
      <c r="O146" s="57"/>
      <c r="P146" s="5"/>
      <c r="Q146" s="5"/>
      <c r="R146" s="5"/>
      <c r="S146" s="5"/>
      <c r="T146" s="5"/>
      <c r="U146" s="5"/>
      <c r="V146" s="5"/>
      <c r="W146" s="5"/>
      <c r="X146" s="5"/>
      <c r="Y146" s="5"/>
      <c r="Z146" s="5"/>
    </row>
    <row r="147" spans="1:26" ht="12.75" customHeight="1">
      <c r="A147" s="5"/>
      <c r="B147" s="5"/>
      <c r="C147" s="5"/>
      <c r="D147" s="5"/>
      <c r="E147" s="5"/>
      <c r="F147" s="5"/>
      <c r="G147" s="5"/>
      <c r="H147" s="306"/>
      <c r="I147" s="5"/>
      <c r="J147" s="5"/>
      <c r="K147" s="5"/>
      <c r="L147" s="5"/>
      <c r="M147" s="5"/>
      <c r="N147" s="5"/>
      <c r="O147" s="57"/>
      <c r="P147" s="5"/>
      <c r="Q147" s="5"/>
      <c r="R147" s="5"/>
      <c r="S147" s="5"/>
      <c r="T147" s="5"/>
      <c r="U147" s="5"/>
      <c r="V147" s="5"/>
      <c r="W147" s="5"/>
      <c r="X147" s="5"/>
      <c r="Y147" s="5"/>
      <c r="Z147" s="5"/>
    </row>
    <row r="148" spans="1:26" ht="12.75" customHeight="1">
      <c r="A148" s="5"/>
      <c r="B148" s="5"/>
      <c r="C148" s="5"/>
      <c r="D148" s="5"/>
      <c r="E148" s="5"/>
      <c r="F148" s="5"/>
      <c r="G148" s="5"/>
      <c r="H148" s="306"/>
      <c r="I148" s="5"/>
      <c r="J148" s="5"/>
      <c r="K148" s="5"/>
      <c r="L148" s="5"/>
      <c r="M148" s="5"/>
      <c r="N148" s="5"/>
      <c r="O148" s="57"/>
      <c r="P148" s="5"/>
      <c r="Q148" s="5"/>
      <c r="R148" s="5"/>
      <c r="S148" s="5"/>
      <c r="T148" s="5"/>
      <c r="U148" s="5"/>
      <c r="V148" s="5"/>
      <c r="W148" s="5"/>
      <c r="X148" s="5"/>
      <c r="Y148" s="5"/>
      <c r="Z148" s="5"/>
    </row>
    <row r="149" spans="1:26" ht="12.75" customHeight="1">
      <c r="A149" s="5"/>
      <c r="B149" s="5"/>
      <c r="C149" s="5"/>
      <c r="D149" s="5"/>
      <c r="E149" s="5"/>
      <c r="F149" s="5"/>
      <c r="G149" s="5"/>
      <c r="H149" s="306"/>
      <c r="I149" s="5"/>
      <c r="J149" s="5"/>
      <c r="K149" s="5"/>
      <c r="L149" s="5"/>
      <c r="M149" s="5"/>
      <c r="N149" s="5"/>
      <c r="O149" s="57"/>
      <c r="P149" s="5"/>
      <c r="Q149" s="5"/>
      <c r="R149" s="5"/>
      <c r="S149" s="5"/>
      <c r="T149" s="5"/>
      <c r="U149" s="5"/>
      <c r="V149" s="5"/>
      <c r="W149" s="5"/>
      <c r="X149" s="5"/>
      <c r="Y149" s="5"/>
      <c r="Z149" s="5"/>
    </row>
    <row r="150" spans="1:26" ht="12.75" customHeight="1">
      <c r="A150" s="5"/>
      <c r="B150" s="5"/>
      <c r="C150" s="5"/>
      <c r="D150" s="5"/>
      <c r="E150" s="5"/>
      <c r="F150" s="5"/>
      <c r="G150" s="5"/>
      <c r="H150" s="306"/>
      <c r="I150" s="5"/>
      <c r="J150" s="5"/>
      <c r="K150" s="5"/>
      <c r="L150" s="5"/>
      <c r="M150" s="5"/>
      <c r="N150" s="5"/>
      <c r="O150" s="57"/>
      <c r="P150" s="5"/>
      <c r="Q150" s="5"/>
      <c r="R150" s="5"/>
      <c r="S150" s="5"/>
      <c r="T150" s="5"/>
      <c r="U150" s="5"/>
      <c r="V150" s="5"/>
      <c r="W150" s="5"/>
      <c r="X150" s="5"/>
      <c r="Y150" s="5"/>
      <c r="Z150" s="5"/>
    </row>
    <row r="151" spans="1:26" ht="12.75" customHeight="1">
      <c r="A151" s="5"/>
      <c r="B151" s="5"/>
      <c r="C151" s="5"/>
      <c r="D151" s="5"/>
      <c r="E151" s="5"/>
      <c r="F151" s="5"/>
      <c r="G151" s="5"/>
      <c r="H151" s="306"/>
      <c r="I151" s="5"/>
      <c r="J151" s="5"/>
      <c r="K151" s="5"/>
      <c r="L151" s="5"/>
      <c r="M151" s="5"/>
      <c r="N151" s="5"/>
      <c r="O151" s="57"/>
      <c r="P151" s="5"/>
      <c r="Q151" s="5"/>
      <c r="R151" s="5"/>
      <c r="S151" s="5"/>
      <c r="T151" s="5"/>
      <c r="U151" s="5"/>
      <c r="V151" s="5"/>
      <c r="W151" s="5"/>
      <c r="X151" s="5"/>
      <c r="Y151" s="5"/>
      <c r="Z151" s="5"/>
    </row>
    <row r="152" spans="1:26" ht="12.75" customHeight="1">
      <c r="A152" s="5"/>
      <c r="B152" s="5"/>
      <c r="C152" s="5"/>
      <c r="D152" s="5"/>
      <c r="E152" s="5"/>
      <c r="F152" s="5"/>
      <c r="G152" s="5"/>
      <c r="H152" s="306"/>
      <c r="I152" s="5"/>
      <c r="J152" s="5"/>
      <c r="K152" s="5"/>
      <c r="L152" s="5"/>
      <c r="M152" s="5"/>
      <c r="N152" s="5"/>
      <c r="O152" s="57"/>
      <c r="P152" s="5"/>
      <c r="Q152" s="5"/>
      <c r="R152" s="5"/>
      <c r="S152" s="5"/>
      <c r="T152" s="5"/>
      <c r="U152" s="5"/>
      <c r="V152" s="5"/>
      <c r="W152" s="5"/>
      <c r="X152" s="5"/>
      <c r="Y152" s="5"/>
      <c r="Z152" s="5"/>
    </row>
    <row r="153" spans="1:26" ht="12.75" customHeight="1">
      <c r="A153" s="5"/>
      <c r="B153" s="5"/>
      <c r="C153" s="5"/>
      <c r="D153" s="5"/>
      <c r="E153" s="5"/>
      <c r="F153" s="5"/>
      <c r="G153" s="5"/>
      <c r="H153" s="306"/>
      <c r="I153" s="5"/>
      <c r="J153" s="5"/>
      <c r="K153" s="5"/>
      <c r="L153" s="5"/>
      <c r="M153" s="5"/>
      <c r="N153" s="5"/>
      <c r="O153" s="57"/>
      <c r="P153" s="5"/>
      <c r="Q153" s="5"/>
      <c r="R153" s="5"/>
      <c r="S153" s="5"/>
      <c r="T153" s="5"/>
      <c r="U153" s="5"/>
      <c r="V153" s="5"/>
      <c r="W153" s="5"/>
      <c r="X153" s="5"/>
      <c r="Y153" s="5"/>
      <c r="Z153" s="5"/>
    </row>
    <row r="154" spans="1:26" ht="12.75" customHeight="1">
      <c r="A154" s="5"/>
      <c r="B154" s="5"/>
      <c r="C154" s="5"/>
      <c r="D154" s="5"/>
      <c r="E154" s="5"/>
      <c r="F154" s="5"/>
      <c r="G154" s="5"/>
      <c r="H154" s="306"/>
      <c r="I154" s="5"/>
      <c r="J154" s="5"/>
      <c r="K154" s="5"/>
      <c r="L154" s="5"/>
      <c r="M154" s="5"/>
      <c r="N154" s="5"/>
      <c r="O154" s="57"/>
      <c r="P154" s="5"/>
      <c r="Q154" s="5"/>
      <c r="R154" s="5"/>
      <c r="S154" s="5"/>
      <c r="T154" s="5"/>
      <c r="U154" s="5"/>
      <c r="V154" s="5"/>
      <c r="W154" s="5"/>
      <c r="X154" s="5"/>
      <c r="Y154" s="5"/>
      <c r="Z154" s="5"/>
    </row>
    <row r="155" spans="1:26" ht="12.75" customHeight="1">
      <c r="A155" s="5"/>
      <c r="B155" s="5"/>
      <c r="C155" s="5"/>
      <c r="D155" s="5"/>
      <c r="E155" s="5"/>
      <c r="F155" s="5"/>
      <c r="G155" s="5"/>
      <c r="H155" s="306"/>
      <c r="I155" s="5"/>
      <c r="J155" s="5"/>
      <c r="K155" s="5"/>
      <c r="L155" s="5"/>
      <c r="M155" s="5"/>
      <c r="N155" s="5"/>
      <c r="O155" s="57"/>
      <c r="P155" s="5"/>
      <c r="Q155" s="5"/>
      <c r="R155" s="5"/>
      <c r="S155" s="5"/>
      <c r="T155" s="5"/>
      <c r="U155" s="5"/>
      <c r="V155" s="5"/>
      <c r="W155" s="5"/>
      <c r="X155" s="5"/>
      <c r="Y155" s="5"/>
      <c r="Z155" s="5"/>
    </row>
    <row r="156" spans="1:26" ht="12.75" customHeight="1">
      <c r="A156" s="5"/>
      <c r="B156" s="5"/>
      <c r="C156" s="5"/>
      <c r="D156" s="5"/>
      <c r="E156" s="5"/>
      <c r="F156" s="5"/>
      <c r="G156" s="5"/>
      <c r="H156" s="306"/>
      <c r="I156" s="5"/>
      <c r="J156" s="5"/>
      <c r="K156" s="5"/>
      <c r="L156" s="5"/>
      <c r="M156" s="5"/>
      <c r="N156" s="5"/>
      <c r="O156" s="57"/>
      <c r="P156" s="5"/>
      <c r="Q156" s="5"/>
      <c r="R156" s="5"/>
      <c r="S156" s="5"/>
      <c r="T156" s="5"/>
      <c r="U156" s="5"/>
      <c r="V156" s="5"/>
      <c r="W156" s="5"/>
      <c r="X156" s="5"/>
      <c r="Y156" s="5"/>
      <c r="Z156" s="5"/>
    </row>
    <row r="157" spans="1:26" ht="12.75" customHeight="1">
      <c r="A157" s="5"/>
      <c r="B157" s="5"/>
      <c r="C157" s="5"/>
      <c r="D157" s="5"/>
      <c r="E157" s="5"/>
      <c r="F157" s="5"/>
      <c r="G157" s="5"/>
      <c r="H157" s="306"/>
      <c r="I157" s="5"/>
      <c r="J157" s="5"/>
      <c r="K157" s="5"/>
      <c r="L157" s="5"/>
      <c r="M157" s="5"/>
      <c r="N157" s="5"/>
      <c r="O157" s="57"/>
      <c r="P157" s="5"/>
      <c r="Q157" s="5"/>
      <c r="R157" s="5"/>
      <c r="S157" s="5"/>
      <c r="T157" s="5"/>
      <c r="U157" s="5"/>
      <c r="V157" s="5"/>
      <c r="W157" s="5"/>
      <c r="X157" s="5"/>
      <c r="Y157" s="5"/>
      <c r="Z157" s="5"/>
    </row>
    <row r="158" spans="1:26" ht="12.75" customHeight="1">
      <c r="A158" s="5"/>
      <c r="B158" s="5"/>
      <c r="C158" s="5"/>
      <c r="D158" s="5"/>
      <c r="E158" s="5"/>
      <c r="F158" s="5"/>
      <c r="G158" s="5"/>
      <c r="H158" s="306"/>
      <c r="I158" s="5"/>
      <c r="J158" s="5"/>
      <c r="K158" s="5"/>
      <c r="L158" s="5"/>
      <c r="M158" s="5"/>
      <c r="N158" s="5"/>
      <c r="O158" s="57"/>
      <c r="P158" s="5"/>
      <c r="Q158" s="5"/>
      <c r="R158" s="5"/>
      <c r="S158" s="5"/>
      <c r="T158" s="5"/>
      <c r="U158" s="5"/>
      <c r="V158" s="5"/>
      <c r="W158" s="5"/>
      <c r="X158" s="5"/>
      <c r="Y158" s="5"/>
      <c r="Z158" s="5"/>
    </row>
    <row r="159" spans="1:26" ht="12.75" customHeight="1">
      <c r="A159" s="5"/>
      <c r="B159" s="5"/>
      <c r="C159" s="5"/>
      <c r="D159" s="5"/>
      <c r="E159" s="5"/>
      <c r="F159" s="5"/>
      <c r="G159" s="5"/>
      <c r="H159" s="306"/>
      <c r="I159" s="5"/>
      <c r="J159" s="5"/>
      <c r="K159" s="5"/>
      <c r="L159" s="5"/>
      <c r="M159" s="5"/>
      <c r="N159" s="5"/>
      <c r="O159" s="57"/>
      <c r="P159" s="5"/>
      <c r="Q159" s="5"/>
      <c r="R159" s="5"/>
      <c r="S159" s="5"/>
      <c r="T159" s="5"/>
      <c r="U159" s="5"/>
      <c r="V159" s="5"/>
      <c r="W159" s="5"/>
      <c r="X159" s="5"/>
      <c r="Y159" s="5"/>
      <c r="Z159" s="5"/>
    </row>
    <row r="160" spans="1:26" ht="12.75" customHeight="1">
      <c r="A160" s="5"/>
      <c r="B160" s="5"/>
      <c r="C160" s="5"/>
      <c r="D160" s="5"/>
      <c r="E160" s="5"/>
      <c r="F160" s="5"/>
      <c r="G160" s="5"/>
      <c r="H160" s="306"/>
      <c r="I160" s="5"/>
      <c r="J160" s="5"/>
      <c r="K160" s="5"/>
      <c r="L160" s="5"/>
      <c r="M160" s="5"/>
      <c r="N160" s="5"/>
      <c r="O160" s="57"/>
      <c r="P160" s="5"/>
      <c r="Q160" s="5"/>
      <c r="R160" s="5"/>
      <c r="S160" s="5"/>
      <c r="T160" s="5"/>
      <c r="U160" s="5"/>
      <c r="V160" s="5"/>
      <c r="W160" s="5"/>
      <c r="X160" s="5"/>
      <c r="Y160" s="5"/>
      <c r="Z160" s="5"/>
    </row>
    <row r="161" spans="1:26" ht="12.75" customHeight="1">
      <c r="A161" s="5"/>
      <c r="B161" s="5"/>
      <c r="C161" s="5"/>
      <c r="D161" s="5"/>
      <c r="E161" s="5"/>
      <c r="F161" s="5"/>
      <c r="G161" s="5"/>
      <c r="H161" s="306"/>
      <c r="I161" s="5"/>
      <c r="J161" s="5"/>
      <c r="K161" s="5"/>
      <c r="L161" s="5"/>
      <c r="M161" s="5"/>
      <c r="N161" s="5"/>
      <c r="O161" s="57"/>
      <c r="P161" s="5"/>
      <c r="Q161" s="5"/>
      <c r="R161" s="5"/>
      <c r="S161" s="5"/>
      <c r="T161" s="5"/>
      <c r="U161" s="5"/>
      <c r="V161" s="5"/>
      <c r="W161" s="5"/>
      <c r="X161" s="5"/>
      <c r="Y161" s="5"/>
      <c r="Z161" s="5"/>
    </row>
    <row r="162" spans="1:26" ht="12.75" customHeight="1">
      <c r="A162" s="5"/>
      <c r="B162" s="5"/>
      <c r="C162" s="5"/>
      <c r="D162" s="5"/>
      <c r="E162" s="5"/>
      <c r="F162" s="5"/>
      <c r="G162" s="5"/>
      <c r="H162" s="306"/>
      <c r="I162" s="5"/>
      <c r="J162" s="5"/>
      <c r="K162" s="5"/>
      <c r="L162" s="5"/>
      <c r="M162" s="5"/>
      <c r="N162" s="5"/>
      <c r="O162" s="57"/>
      <c r="P162" s="5"/>
      <c r="Q162" s="5"/>
      <c r="R162" s="5"/>
      <c r="S162" s="5"/>
      <c r="T162" s="5"/>
      <c r="U162" s="5"/>
      <c r="V162" s="5"/>
      <c r="W162" s="5"/>
      <c r="X162" s="5"/>
      <c r="Y162" s="5"/>
      <c r="Z162" s="5"/>
    </row>
    <row r="163" spans="1:26" ht="12.75" customHeight="1">
      <c r="A163" s="5"/>
      <c r="B163" s="5"/>
      <c r="C163" s="5"/>
      <c r="D163" s="5"/>
      <c r="E163" s="5"/>
      <c r="F163" s="5"/>
      <c r="G163" s="5"/>
      <c r="H163" s="306"/>
      <c r="I163" s="5"/>
      <c r="J163" s="5"/>
      <c r="K163" s="5"/>
      <c r="L163" s="5"/>
      <c r="M163" s="5"/>
      <c r="N163" s="5"/>
      <c r="O163" s="57"/>
      <c r="P163" s="5"/>
      <c r="Q163" s="5"/>
      <c r="R163" s="5"/>
      <c r="S163" s="5"/>
      <c r="T163" s="5"/>
      <c r="U163" s="5"/>
      <c r="V163" s="5"/>
      <c r="W163" s="5"/>
      <c r="X163" s="5"/>
      <c r="Y163" s="5"/>
      <c r="Z163" s="5"/>
    </row>
    <row r="164" spans="1:26" ht="12.75" customHeight="1">
      <c r="A164" s="5"/>
      <c r="B164" s="5"/>
      <c r="C164" s="5"/>
      <c r="D164" s="5"/>
      <c r="E164" s="5"/>
      <c r="F164" s="5"/>
      <c r="G164" s="5"/>
      <c r="H164" s="306"/>
      <c r="I164" s="5"/>
      <c r="J164" s="5"/>
      <c r="K164" s="5"/>
      <c r="L164" s="5"/>
      <c r="M164" s="5"/>
      <c r="N164" s="5"/>
      <c r="O164" s="57"/>
      <c r="P164" s="5"/>
      <c r="Q164" s="5"/>
      <c r="R164" s="5"/>
      <c r="S164" s="5"/>
      <c r="T164" s="5"/>
      <c r="U164" s="5"/>
      <c r="V164" s="5"/>
      <c r="W164" s="5"/>
      <c r="X164" s="5"/>
      <c r="Y164" s="5"/>
      <c r="Z164" s="5"/>
    </row>
    <row r="165" spans="1:26" ht="12.75" customHeight="1">
      <c r="A165" s="5"/>
      <c r="B165" s="5"/>
      <c r="C165" s="5"/>
      <c r="D165" s="5"/>
      <c r="E165" s="5"/>
      <c r="F165" s="5"/>
      <c r="G165" s="5"/>
      <c r="H165" s="306"/>
      <c r="I165" s="5"/>
      <c r="J165" s="5"/>
      <c r="K165" s="5"/>
      <c r="L165" s="5"/>
      <c r="M165" s="5"/>
      <c r="N165" s="5"/>
      <c r="O165" s="57"/>
      <c r="P165" s="5"/>
      <c r="Q165" s="5"/>
      <c r="R165" s="5"/>
      <c r="S165" s="5"/>
      <c r="T165" s="5"/>
      <c r="U165" s="5"/>
      <c r="V165" s="5"/>
      <c r="W165" s="5"/>
      <c r="X165" s="5"/>
      <c r="Y165" s="5"/>
      <c r="Z165" s="5"/>
    </row>
    <row r="166" spans="1:26" ht="12.75" customHeight="1">
      <c r="A166" s="5"/>
      <c r="B166" s="5"/>
      <c r="C166" s="5"/>
      <c r="D166" s="5"/>
      <c r="E166" s="5"/>
      <c r="F166" s="5"/>
      <c r="G166" s="5"/>
      <c r="H166" s="306"/>
      <c r="I166" s="5"/>
      <c r="J166" s="5"/>
      <c r="K166" s="5"/>
      <c r="L166" s="5"/>
      <c r="M166" s="5"/>
      <c r="N166" s="5"/>
      <c r="O166" s="57"/>
      <c r="P166" s="5"/>
      <c r="Q166" s="5"/>
      <c r="R166" s="5"/>
      <c r="S166" s="5"/>
      <c r="T166" s="5"/>
      <c r="U166" s="5"/>
      <c r="V166" s="5"/>
      <c r="W166" s="5"/>
      <c r="X166" s="5"/>
      <c r="Y166" s="5"/>
      <c r="Z166" s="5"/>
    </row>
    <row r="167" spans="1:26" ht="12.75" customHeight="1">
      <c r="A167" s="5"/>
      <c r="B167" s="5"/>
      <c r="C167" s="5"/>
      <c r="D167" s="5"/>
      <c r="E167" s="5"/>
      <c r="F167" s="5"/>
      <c r="G167" s="5"/>
      <c r="H167" s="306"/>
      <c r="I167" s="5"/>
      <c r="J167" s="5"/>
      <c r="K167" s="5"/>
      <c r="L167" s="5"/>
      <c r="M167" s="5"/>
      <c r="N167" s="5"/>
      <c r="O167" s="57"/>
      <c r="P167" s="5"/>
      <c r="Q167" s="5"/>
      <c r="R167" s="5"/>
      <c r="S167" s="5"/>
      <c r="T167" s="5"/>
      <c r="U167" s="5"/>
      <c r="V167" s="5"/>
      <c r="W167" s="5"/>
      <c r="X167" s="5"/>
      <c r="Y167" s="5"/>
      <c r="Z167" s="5"/>
    </row>
    <row r="168" spans="1:26" ht="12.75" customHeight="1">
      <c r="A168" s="5"/>
      <c r="B168" s="5"/>
      <c r="C168" s="5"/>
      <c r="D168" s="5"/>
      <c r="E168" s="5"/>
      <c r="F168" s="5"/>
      <c r="G168" s="5"/>
      <c r="H168" s="306"/>
      <c r="I168" s="5"/>
      <c r="J168" s="5"/>
      <c r="K168" s="5"/>
      <c r="L168" s="5"/>
      <c r="M168" s="5"/>
      <c r="N168" s="5"/>
      <c r="O168" s="57"/>
      <c r="P168" s="5"/>
      <c r="Q168" s="5"/>
      <c r="R168" s="5"/>
      <c r="S168" s="5"/>
      <c r="T168" s="5"/>
      <c r="U168" s="5"/>
      <c r="V168" s="5"/>
      <c r="W168" s="5"/>
      <c r="X168" s="5"/>
      <c r="Y168" s="5"/>
      <c r="Z168" s="5"/>
    </row>
    <row r="169" spans="1:26" ht="12.75" customHeight="1">
      <c r="A169" s="5"/>
      <c r="B169" s="5"/>
      <c r="C169" s="5"/>
      <c r="D169" s="5"/>
      <c r="E169" s="5"/>
      <c r="F169" s="5"/>
      <c r="G169" s="5"/>
      <c r="H169" s="306"/>
      <c r="I169" s="5"/>
      <c r="J169" s="5"/>
      <c r="K169" s="5"/>
      <c r="L169" s="5"/>
      <c r="M169" s="5"/>
      <c r="N169" s="5"/>
      <c r="O169" s="57"/>
      <c r="P169" s="5"/>
      <c r="Q169" s="5"/>
      <c r="R169" s="5"/>
      <c r="S169" s="5"/>
      <c r="T169" s="5"/>
      <c r="U169" s="5"/>
      <c r="V169" s="5"/>
      <c r="W169" s="5"/>
      <c r="X169" s="5"/>
      <c r="Y169" s="5"/>
      <c r="Z169" s="5"/>
    </row>
    <row r="170" spans="1:26" ht="12.75" customHeight="1">
      <c r="A170" s="5"/>
      <c r="B170" s="5"/>
      <c r="C170" s="5"/>
      <c r="D170" s="5"/>
      <c r="E170" s="5"/>
      <c r="F170" s="5"/>
      <c r="G170" s="5"/>
      <c r="H170" s="306"/>
      <c r="I170" s="5"/>
      <c r="J170" s="5"/>
      <c r="K170" s="5"/>
      <c r="L170" s="5"/>
      <c r="M170" s="5"/>
      <c r="N170" s="5"/>
      <c r="O170" s="57"/>
      <c r="P170" s="5"/>
      <c r="Q170" s="5"/>
      <c r="R170" s="5"/>
      <c r="S170" s="5"/>
      <c r="T170" s="5"/>
      <c r="U170" s="5"/>
      <c r="V170" s="5"/>
      <c r="W170" s="5"/>
      <c r="X170" s="5"/>
      <c r="Y170" s="5"/>
      <c r="Z170" s="5"/>
    </row>
    <row r="171" spans="1:26" ht="12.75" customHeight="1">
      <c r="A171" s="5"/>
      <c r="B171" s="5"/>
      <c r="C171" s="5"/>
      <c r="D171" s="5"/>
      <c r="E171" s="5"/>
      <c r="F171" s="5"/>
      <c r="G171" s="5"/>
      <c r="H171" s="306"/>
      <c r="I171" s="5"/>
      <c r="J171" s="5"/>
      <c r="K171" s="5"/>
      <c r="L171" s="5"/>
      <c r="M171" s="5"/>
      <c r="N171" s="5"/>
      <c r="O171" s="57"/>
      <c r="P171" s="5"/>
      <c r="Q171" s="5"/>
      <c r="R171" s="5"/>
      <c r="S171" s="5"/>
      <c r="T171" s="5"/>
      <c r="U171" s="5"/>
      <c r="V171" s="5"/>
      <c r="W171" s="5"/>
      <c r="X171" s="5"/>
      <c r="Y171" s="5"/>
      <c r="Z171" s="5"/>
    </row>
    <row r="172" spans="1:26" ht="12.75" customHeight="1">
      <c r="A172" s="5"/>
      <c r="B172" s="5"/>
      <c r="C172" s="5"/>
      <c r="D172" s="5"/>
      <c r="E172" s="5"/>
      <c r="F172" s="5"/>
      <c r="G172" s="5"/>
      <c r="H172" s="306"/>
      <c r="I172" s="5"/>
      <c r="J172" s="5"/>
      <c r="K172" s="5"/>
      <c r="L172" s="5"/>
      <c r="M172" s="5"/>
      <c r="N172" s="5"/>
      <c r="O172" s="57"/>
      <c r="P172" s="5"/>
      <c r="Q172" s="5"/>
      <c r="R172" s="5"/>
      <c r="S172" s="5"/>
      <c r="T172" s="5"/>
      <c r="U172" s="5"/>
      <c r="V172" s="5"/>
      <c r="W172" s="5"/>
      <c r="X172" s="5"/>
      <c r="Y172" s="5"/>
      <c r="Z172" s="5"/>
    </row>
    <row r="173" spans="1:26" ht="12.75" customHeight="1">
      <c r="A173" s="5"/>
      <c r="B173" s="5"/>
      <c r="C173" s="5"/>
      <c r="D173" s="5"/>
      <c r="E173" s="5"/>
      <c r="F173" s="5"/>
      <c r="G173" s="5"/>
      <c r="H173" s="306"/>
      <c r="I173" s="5"/>
      <c r="J173" s="5"/>
      <c r="K173" s="5"/>
      <c r="L173" s="5"/>
      <c r="M173" s="5"/>
      <c r="N173" s="5"/>
      <c r="O173" s="57"/>
      <c r="P173" s="5"/>
      <c r="Q173" s="5"/>
      <c r="R173" s="5"/>
      <c r="S173" s="5"/>
      <c r="T173" s="5"/>
      <c r="U173" s="5"/>
      <c r="V173" s="5"/>
      <c r="W173" s="5"/>
      <c r="X173" s="5"/>
      <c r="Y173" s="5"/>
      <c r="Z173" s="5"/>
    </row>
    <row r="174" spans="1:26" ht="12.75" customHeight="1">
      <c r="A174" s="5"/>
      <c r="B174" s="5"/>
      <c r="C174" s="5"/>
      <c r="D174" s="5"/>
      <c r="E174" s="5"/>
      <c r="F174" s="5"/>
      <c r="G174" s="5"/>
      <c r="H174" s="306"/>
      <c r="I174" s="5"/>
      <c r="J174" s="5"/>
      <c r="K174" s="5"/>
      <c r="L174" s="5"/>
      <c r="M174" s="5"/>
      <c r="N174" s="5"/>
      <c r="O174" s="57"/>
      <c r="P174" s="5"/>
      <c r="Q174" s="5"/>
      <c r="R174" s="5"/>
      <c r="S174" s="5"/>
      <c r="T174" s="5"/>
      <c r="U174" s="5"/>
      <c r="V174" s="5"/>
      <c r="W174" s="5"/>
      <c r="X174" s="5"/>
      <c r="Y174" s="5"/>
      <c r="Z174" s="5"/>
    </row>
    <row r="175" spans="1:26" ht="12.75" customHeight="1">
      <c r="A175" s="5"/>
      <c r="B175" s="5"/>
      <c r="C175" s="5"/>
      <c r="D175" s="5"/>
      <c r="E175" s="5"/>
      <c r="F175" s="5"/>
      <c r="G175" s="5"/>
      <c r="H175" s="306"/>
      <c r="I175" s="5"/>
      <c r="J175" s="5"/>
      <c r="K175" s="5"/>
      <c r="L175" s="5"/>
      <c r="M175" s="5"/>
      <c r="N175" s="5"/>
      <c r="O175" s="57"/>
      <c r="P175" s="5"/>
      <c r="Q175" s="5"/>
      <c r="R175" s="5"/>
      <c r="S175" s="5"/>
      <c r="T175" s="5"/>
      <c r="U175" s="5"/>
      <c r="V175" s="5"/>
      <c r="W175" s="5"/>
      <c r="X175" s="5"/>
      <c r="Y175" s="5"/>
      <c r="Z175" s="5"/>
    </row>
    <row r="176" spans="1:26" ht="12.75" customHeight="1">
      <c r="A176" s="5"/>
      <c r="B176" s="5"/>
      <c r="C176" s="5"/>
      <c r="D176" s="5"/>
      <c r="E176" s="5"/>
      <c r="F176" s="5"/>
      <c r="G176" s="5"/>
      <c r="H176" s="306"/>
      <c r="I176" s="5"/>
      <c r="J176" s="5"/>
      <c r="K176" s="5"/>
      <c r="L176" s="5"/>
      <c r="M176" s="5"/>
      <c r="N176" s="5"/>
      <c r="O176" s="57"/>
      <c r="P176" s="5"/>
      <c r="Q176" s="5"/>
      <c r="R176" s="5"/>
      <c r="S176" s="5"/>
      <c r="T176" s="5"/>
      <c r="U176" s="5"/>
      <c r="V176" s="5"/>
      <c r="W176" s="5"/>
      <c r="X176" s="5"/>
      <c r="Y176" s="5"/>
      <c r="Z176" s="5"/>
    </row>
    <row r="177" spans="1:26" ht="12.75" customHeight="1">
      <c r="A177" s="5"/>
      <c r="B177" s="5"/>
      <c r="C177" s="5"/>
      <c r="D177" s="5"/>
      <c r="E177" s="5"/>
      <c r="F177" s="5"/>
      <c r="G177" s="5"/>
      <c r="H177" s="306"/>
      <c r="I177" s="5"/>
      <c r="J177" s="5"/>
      <c r="K177" s="5"/>
      <c r="L177" s="5"/>
      <c r="M177" s="5"/>
      <c r="N177" s="5"/>
      <c r="O177" s="57"/>
      <c r="P177" s="5"/>
      <c r="Q177" s="5"/>
      <c r="R177" s="5"/>
      <c r="S177" s="5"/>
      <c r="T177" s="5"/>
      <c r="U177" s="5"/>
      <c r="V177" s="5"/>
      <c r="W177" s="5"/>
      <c r="X177" s="5"/>
      <c r="Y177" s="5"/>
      <c r="Z177" s="5"/>
    </row>
    <row r="178" spans="1:26" ht="12.75" customHeight="1">
      <c r="A178" s="5"/>
      <c r="B178" s="5"/>
      <c r="C178" s="5"/>
      <c r="D178" s="5"/>
      <c r="E178" s="5"/>
      <c r="F178" s="5"/>
      <c r="G178" s="5"/>
      <c r="H178" s="306"/>
      <c r="I178" s="5"/>
      <c r="J178" s="5"/>
      <c r="K178" s="5"/>
      <c r="L178" s="5"/>
      <c r="M178" s="5"/>
      <c r="N178" s="5"/>
      <c r="O178" s="57"/>
      <c r="P178" s="5"/>
      <c r="Q178" s="5"/>
      <c r="R178" s="5"/>
      <c r="S178" s="5"/>
      <c r="T178" s="5"/>
      <c r="U178" s="5"/>
      <c r="V178" s="5"/>
      <c r="W178" s="5"/>
      <c r="X178" s="5"/>
      <c r="Y178" s="5"/>
      <c r="Z178" s="5"/>
    </row>
    <row r="179" spans="1:26" ht="12.75" customHeight="1">
      <c r="A179" s="5"/>
      <c r="B179" s="5"/>
      <c r="C179" s="5"/>
      <c r="D179" s="5"/>
      <c r="E179" s="5"/>
      <c r="F179" s="5"/>
      <c r="G179" s="5"/>
      <c r="H179" s="306"/>
      <c r="I179" s="5"/>
      <c r="J179" s="5"/>
      <c r="K179" s="5"/>
      <c r="L179" s="5"/>
      <c r="M179" s="5"/>
      <c r="N179" s="5"/>
      <c r="O179" s="57"/>
      <c r="P179" s="5"/>
      <c r="Q179" s="5"/>
      <c r="R179" s="5"/>
      <c r="S179" s="5"/>
      <c r="T179" s="5"/>
      <c r="U179" s="5"/>
      <c r="V179" s="5"/>
      <c r="W179" s="5"/>
      <c r="X179" s="5"/>
      <c r="Y179" s="5"/>
      <c r="Z179" s="5"/>
    </row>
    <row r="180" spans="1:26" ht="12.75" customHeight="1">
      <c r="A180" s="5"/>
      <c r="B180" s="5"/>
      <c r="C180" s="5"/>
      <c r="D180" s="5"/>
      <c r="E180" s="5"/>
      <c r="F180" s="5"/>
      <c r="G180" s="5"/>
      <c r="H180" s="306"/>
      <c r="I180" s="5"/>
      <c r="J180" s="5"/>
      <c r="K180" s="5"/>
      <c r="L180" s="5"/>
      <c r="M180" s="5"/>
      <c r="N180" s="5"/>
      <c r="O180" s="57"/>
      <c r="P180" s="5"/>
      <c r="Q180" s="5"/>
      <c r="R180" s="5"/>
      <c r="S180" s="5"/>
      <c r="T180" s="5"/>
      <c r="U180" s="5"/>
      <c r="V180" s="5"/>
      <c r="W180" s="5"/>
      <c r="X180" s="5"/>
      <c r="Y180" s="5"/>
      <c r="Z180" s="5"/>
    </row>
    <row r="181" spans="1:26" ht="12.75" customHeight="1">
      <c r="A181" s="5"/>
      <c r="B181" s="5"/>
      <c r="C181" s="5"/>
      <c r="D181" s="5"/>
      <c r="E181" s="5"/>
      <c r="F181" s="5"/>
      <c r="G181" s="5"/>
      <c r="H181" s="306"/>
      <c r="I181" s="5"/>
      <c r="J181" s="5"/>
      <c r="K181" s="5"/>
      <c r="L181" s="5"/>
      <c r="M181" s="5"/>
      <c r="N181" s="5"/>
      <c r="O181" s="57"/>
      <c r="P181" s="5"/>
      <c r="Q181" s="5"/>
      <c r="R181" s="5"/>
      <c r="S181" s="5"/>
      <c r="T181" s="5"/>
      <c r="U181" s="5"/>
      <c r="V181" s="5"/>
      <c r="W181" s="5"/>
      <c r="X181" s="5"/>
      <c r="Y181" s="5"/>
      <c r="Z181" s="5"/>
    </row>
    <row r="182" spans="1:26" ht="12.75" customHeight="1">
      <c r="A182" s="5"/>
      <c r="B182" s="5"/>
      <c r="C182" s="5"/>
      <c r="D182" s="5"/>
      <c r="E182" s="5"/>
      <c r="F182" s="5"/>
      <c r="G182" s="5"/>
      <c r="H182" s="306"/>
      <c r="I182" s="5"/>
      <c r="J182" s="5"/>
      <c r="K182" s="5"/>
      <c r="L182" s="5"/>
      <c r="M182" s="5"/>
      <c r="N182" s="5"/>
      <c r="O182" s="57"/>
      <c r="P182" s="5"/>
      <c r="Q182" s="5"/>
      <c r="R182" s="5"/>
      <c r="S182" s="5"/>
      <c r="T182" s="5"/>
      <c r="U182" s="5"/>
      <c r="V182" s="5"/>
      <c r="W182" s="5"/>
      <c r="X182" s="5"/>
      <c r="Y182" s="5"/>
      <c r="Z182" s="5"/>
    </row>
    <row r="183" spans="1:26" ht="12.75" customHeight="1">
      <c r="A183" s="5"/>
      <c r="B183" s="5"/>
      <c r="C183" s="5"/>
      <c r="D183" s="5"/>
      <c r="E183" s="5"/>
      <c r="F183" s="5"/>
      <c r="G183" s="5"/>
      <c r="H183" s="306"/>
      <c r="I183" s="5"/>
      <c r="J183" s="5"/>
      <c r="K183" s="5"/>
      <c r="L183" s="5"/>
      <c r="M183" s="5"/>
      <c r="N183" s="5"/>
      <c r="O183" s="57"/>
      <c r="P183" s="5"/>
      <c r="Q183" s="5"/>
      <c r="R183" s="5"/>
      <c r="S183" s="5"/>
      <c r="T183" s="5"/>
      <c r="U183" s="5"/>
      <c r="V183" s="5"/>
      <c r="W183" s="5"/>
      <c r="X183" s="5"/>
      <c r="Y183" s="5"/>
      <c r="Z183" s="5"/>
    </row>
    <row r="184" spans="1:26" ht="12.75" customHeight="1">
      <c r="A184" s="5"/>
      <c r="B184" s="5"/>
      <c r="C184" s="5"/>
      <c r="D184" s="5"/>
      <c r="E184" s="5"/>
      <c r="F184" s="5"/>
      <c r="G184" s="5"/>
      <c r="H184" s="306"/>
      <c r="I184" s="5"/>
      <c r="J184" s="5"/>
      <c r="K184" s="5"/>
      <c r="L184" s="5"/>
      <c r="M184" s="5"/>
      <c r="N184" s="5"/>
      <c r="O184" s="57"/>
      <c r="P184" s="5"/>
      <c r="Q184" s="5"/>
      <c r="R184" s="5"/>
      <c r="S184" s="5"/>
      <c r="T184" s="5"/>
      <c r="U184" s="5"/>
      <c r="V184" s="5"/>
      <c r="W184" s="5"/>
      <c r="X184" s="5"/>
      <c r="Y184" s="5"/>
      <c r="Z184" s="5"/>
    </row>
    <row r="185" spans="1:26" ht="12.75" customHeight="1">
      <c r="A185" s="5"/>
      <c r="B185" s="5"/>
      <c r="C185" s="5"/>
      <c r="D185" s="5"/>
      <c r="E185" s="5"/>
      <c r="F185" s="5"/>
      <c r="G185" s="5"/>
      <c r="H185" s="306"/>
      <c r="I185" s="5"/>
      <c r="J185" s="5"/>
      <c r="K185" s="5"/>
      <c r="L185" s="5"/>
      <c r="M185" s="5"/>
      <c r="N185" s="5"/>
      <c r="O185" s="57"/>
      <c r="P185" s="5"/>
      <c r="Q185" s="5"/>
      <c r="R185" s="5"/>
      <c r="S185" s="5"/>
      <c r="T185" s="5"/>
      <c r="U185" s="5"/>
      <c r="V185" s="5"/>
      <c r="W185" s="5"/>
      <c r="X185" s="5"/>
      <c r="Y185" s="5"/>
      <c r="Z185" s="5"/>
    </row>
    <row r="186" spans="1:26" ht="12.75" customHeight="1">
      <c r="A186" s="5"/>
      <c r="B186" s="5"/>
      <c r="C186" s="5"/>
      <c r="D186" s="5"/>
      <c r="E186" s="5"/>
      <c r="F186" s="5"/>
      <c r="G186" s="5"/>
      <c r="H186" s="306"/>
      <c r="I186" s="5"/>
      <c r="J186" s="5"/>
      <c r="K186" s="5"/>
      <c r="L186" s="5"/>
      <c r="M186" s="5"/>
      <c r="N186" s="5"/>
      <c r="O186" s="57"/>
      <c r="P186" s="5"/>
      <c r="Q186" s="5"/>
      <c r="R186" s="5"/>
      <c r="S186" s="5"/>
      <c r="T186" s="5"/>
      <c r="U186" s="5"/>
      <c r="V186" s="5"/>
      <c r="W186" s="5"/>
      <c r="X186" s="5"/>
      <c r="Y186" s="5"/>
      <c r="Z186" s="5"/>
    </row>
    <row r="187" spans="1:26" ht="12.75" customHeight="1">
      <c r="A187" s="5"/>
      <c r="B187" s="5"/>
      <c r="C187" s="5"/>
      <c r="D187" s="5"/>
      <c r="E187" s="5"/>
      <c r="F187" s="5"/>
      <c r="G187" s="5"/>
      <c r="H187" s="306"/>
      <c r="I187" s="5"/>
      <c r="J187" s="5"/>
      <c r="K187" s="5"/>
      <c r="L187" s="5"/>
      <c r="M187" s="5"/>
      <c r="N187" s="5"/>
      <c r="O187" s="57"/>
      <c r="P187" s="5"/>
      <c r="Q187" s="5"/>
      <c r="R187" s="5"/>
      <c r="S187" s="5"/>
      <c r="T187" s="5"/>
      <c r="U187" s="5"/>
      <c r="V187" s="5"/>
      <c r="W187" s="5"/>
      <c r="X187" s="5"/>
      <c r="Y187" s="5"/>
      <c r="Z187" s="5"/>
    </row>
    <row r="188" spans="1:26" ht="12.75" customHeight="1">
      <c r="A188" s="5"/>
      <c r="B188" s="5"/>
      <c r="C188" s="5"/>
      <c r="D188" s="5"/>
      <c r="E188" s="5"/>
      <c r="F188" s="5"/>
      <c r="G188" s="5"/>
      <c r="H188" s="306"/>
      <c r="I188" s="5"/>
      <c r="J188" s="5"/>
      <c r="K188" s="5"/>
      <c r="L188" s="5"/>
      <c r="M188" s="5"/>
      <c r="N188" s="5"/>
      <c r="O188" s="57"/>
      <c r="P188" s="5"/>
      <c r="Q188" s="5"/>
      <c r="R188" s="5"/>
      <c r="S188" s="5"/>
      <c r="T188" s="5"/>
      <c r="U188" s="5"/>
      <c r="V188" s="5"/>
      <c r="W188" s="5"/>
      <c r="X188" s="5"/>
      <c r="Y188" s="5"/>
      <c r="Z188" s="5"/>
    </row>
    <row r="189" spans="1:26" ht="12.75" customHeight="1">
      <c r="A189" s="5"/>
      <c r="B189" s="5"/>
      <c r="C189" s="5"/>
      <c r="D189" s="5"/>
      <c r="E189" s="5"/>
      <c r="F189" s="5"/>
      <c r="G189" s="5"/>
      <c r="H189" s="306"/>
      <c r="I189" s="5"/>
      <c r="J189" s="5"/>
      <c r="K189" s="5"/>
      <c r="L189" s="5"/>
      <c r="M189" s="5"/>
      <c r="N189" s="5"/>
      <c r="O189" s="57"/>
      <c r="P189" s="5"/>
      <c r="Q189" s="5"/>
      <c r="R189" s="5"/>
      <c r="S189" s="5"/>
      <c r="T189" s="5"/>
      <c r="U189" s="5"/>
      <c r="V189" s="5"/>
      <c r="W189" s="5"/>
      <c r="X189" s="5"/>
      <c r="Y189" s="5"/>
      <c r="Z189" s="5"/>
    </row>
    <row r="190" spans="1:26" ht="12.75" customHeight="1">
      <c r="A190" s="5"/>
      <c r="B190" s="5"/>
      <c r="C190" s="5"/>
      <c r="D190" s="5"/>
      <c r="E190" s="5"/>
      <c r="F190" s="5"/>
      <c r="G190" s="5"/>
      <c r="H190" s="306"/>
      <c r="I190" s="5"/>
      <c r="J190" s="5"/>
      <c r="K190" s="5"/>
      <c r="L190" s="5"/>
      <c r="M190" s="5"/>
      <c r="N190" s="5"/>
      <c r="O190" s="57"/>
      <c r="P190" s="5"/>
      <c r="Q190" s="5"/>
      <c r="R190" s="5"/>
      <c r="S190" s="5"/>
      <c r="T190" s="5"/>
      <c r="U190" s="5"/>
      <c r="V190" s="5"/>
      <c r="W190" s="5"/>
      <c r="X190" s="5"/>
      <c r="Y190" s="5"/>
      <c r="Z190" s="5"/>
    </row>
    <row r="191" spans="1:26" ht="12.75" customHeight="1">
      <c r="A191" s="5"/>
      <c r="B191" s="5"/>
      <c r="C191" s="5"/>
      <c r="D191" s="5"/>
      <c r="E191" s="5"/>
      <c r="F191" s="5"/>
      <c r="G191" s="5"/>
      <c r="H191" s="306"/>
      <c r="I191" s="5"/>
      <c r="J191" s="5"/>
      <c r="K191" s="5"/>
      <c r="L191" s="5"/>
      <c r="M191" s="5"/>
      <c r="N191" s="5"/>
      <c r="O191" s="57"/>
      <c r="P191" s="5"/>
      <c r="Q191" s="5"/>
      <c r="R191" s="5"/>
      <c r="S191" s="5"/>
      <c r="T191" s="5"/>
      <c r="U191" s="5"/>
      <c r="V191" s="5"/>
      <c r="W191" s="5"/>
      <c r="X191" s="5"/>
      <c r="Y191" s="5"/>
      <c r="Z191" s="5"/>
    </row>
    <row r="192" spans="1:26" ht="12.75" customHeight="1">
      <c r="A192" s="5"/>
      <c r="B192" s="5"/>
      <c r="C192" s="5"/>
      <c r="D192" s="5"/>
      <c r="E192" s="5"/>
      <c r="F192" s="5"/>
      <c r="G192" s="5"/>
      <c r="H192" s="306"/>
      <c r="I192" s="5"/>
      <c r="J192" s="5"/>
      <c r="K192" s="5"/>
      <c r="L192" s="5"/>
      <c r="M192" s="5"/>
      <c r="N192" s="5"/>
      <c r="O192" s="57"/>
      <c r="P192" s="5"/>
      <c r="Q192" s="5"/>
      <c r="R192" s="5"/>
      <c r="S192" s="5"/>
      <c r="T192" s="5"/>
      <c r="U192" s="5"/>
      <c r="V192" s="5"/>
      <c r="W192" s="5"/>
      <c r="X192" s="5"/>
      <c r="Y192" s="5"/>
      <c r="Z192" s="5"/>
    </row>
    <row r="193" spans="1:26" ht="12.75" customHeight="1">
      <c r="A193" s="5"/>
      <c r="B193" s="5"/>
      <c r="C193" s="5"/>
      <c r="D193" s="5"/>
      <c r="E193" s="5"/>
      <c r="F193" s="5"/>
      <c r="G193" s="5"/>
      <c r="H193" s="306"/>
      <c r="I193" s="5"/>
      <c r="J193" s="5"/>
      <c r="K193" s="5"/>
      <c r="L193" s="5"/>
      <c r="M193" s="5"/>
      <c r="N193" s="5"/>
      <c r="O193" s="57"/>
      <c r="P193" s="5"/>
      <c r="Q193" s="5"/>
      <c r="R193" s="5"/>
      <c r="S193" s="5"/>
      <c r="T193" s="5"/>
      <c r="U193" s="5"/>
      <c r="V193" s="5"/>
      <c r="W193" s="5"/>
      <c r="X193" s="5"/>
      <c r="Y193" s="5"/>
      <c r="Z193" s="5"/>
    </row>
    <row r="194" spans="1:26" ht="12.75" customHeight="1">
      <c r="A194" s="5"/>
      <c r="B194" s="5"/>
      <c r="C194" s="5"/>
      <c r="D194" s="5"/>
      <c r="E194" s="5"/>
      <c r="F194" s="5"/>
      <c r="G194" s="5"/>
      <c r="H194" s="306"/>
      <c r="I194" s="5"/>
      <c r="J194" s="5"/>
      <c r="K194" s="5"/>
      <c r="L194" s="5"/>
      <c r="M194" s="5"/>
      <c r="N194" s="5"/>
      <c r="O194" s="57"/>
      <c r="P194" s="5"/>
      <c r="Q194" s="5"/>
      <c r="R194" s="5"/>
      <c r="S194" s="5"/>
      <c r="T194" s="5"/>
      <c r="U194" s="5"/>
      <c r="V194" s="5"/>
      <c r="W194" s="5"/>
      <c r="X194" s="5"/>
      <c r="Y194" s="5"/>
      <c r="Z194" s="5"/>
    </row>
    <row r="195" spans="1:26" ht="12.75" customHeight="1">
      <c r="A195" s="5"/>
      <c r="B195" s="5"/>
      <c r="C195" s="5"/>
      <c r="D195" s="5"/>
      <c r="E195" s="5"/>
      <c r="F195" s="5"/>
      <c r="G195" s="5"/>
      <c r="H195" s="306"/>
      <c r="I195" s="5"/>
      <c r="J195" s="5"/>
      <c r="K195" s="5"/>
      <c r="L195" s="5"/>
      <c r="M195" s="5"/>
      <c r="N195" s="5"/>
      <c r="O195" s="57"/>
      <c r="P195" s="5"/>
      <c r="Q195" s="5"/>
      <c r="R195" s="5"/>
      <c r="S195" s="5"/>
      <c r="T195" s="5"/>
      <c r="U195" s="5"/>
      <c r="V195" s="5"/>
      <c r="W195" s="5"/>
      <c r="X195" s="5"/>
      <c r="Y195" s="5"/>
      <c r="Z195" s="5"/>
    </row>
    <row r="196" spans="1:26" ht="12.75" customHeight="1">
      <c r="A196" s="5"/>
      <c r="B196" s="5"/>
      <c r="C196" s="5"/>
      <c r="D196" s="5"/>
      <c r="E196" s="5"/>
      <c r="F196" s="5"/>
      <c r="G196" s="5"/>
      <c r="H196" s="306"/>
      <c r="I196" s="5"/>
      <c r="J196" s="5"/>
      <c r="K196" s="5"/>
      <c r="L196" s="5"/>
      <c r="M196" s="5"/>
      <c r="N196" s="5"/>
      <c r="O196" s="57"/>
      <c r="P196" s="5"/>
      <c r="Q196" s="5"/>
      <c r="R196" s="5"/>
      <c r="S196" s="5"/>
      <c r="T196" s="5"/>
      <c r="U196" s="5"/>
      <c r="V196" s="5"/>
      <c r="W196" s="5"/>
      <c r="X196" s="5"/>
      <c r="Y196" s="5"/>
      <c r="Z196" s="5"/>
    </row>
    <row r="197" spans="1:26" ht="12.75" customHeight="1">
      <c r="A197" s="5"/>
      <c r="B197" s="5"/>
      <c r="C197" s="5"/>
      <c r="D197" s="5"/>
      <c r="E197" s="5"/>
      <c r="F197" s="5"/>
      <c r="G197" s="5"/>
      <c r="H197" s="306"/>
      <c r="I197" s="5"/>
      <c r="J197" s="5"/>
      <c r="K197" s="5"/>
      <c r="L197" s="5"/>
      <c r="M197" s="5"/>
      <c r="N197" s="5"/>
      <c r="O197" s="57"/>
      <c r="P197" s="5"/>
      <c r="Q197" s="5"/>
      <c r="R197" s="5"/>
      <c r="S197" s="5"/>
      <c r="T197" s="5"/>
      <c r="U197" s="5"/>
      <c r="V197" s="5"/>
      <c r="W197" s="5"/>
      <c r="X197" s="5"/>
      <c r="Y197" s="5"/>
      <c r="Z197" s="5"/>
    </row>
    <row r="198" spans="1:26" ht="12.75" customHeight="1">
      <c r="A198" s="5"/>
      <c r="B198" s="5"/>
      <c r="C198" s="5"/>
      <c r="D198" s="5"/>
      <c r="E198" s="5"/>
      <c r="F198" s="5"/>
      <c r="G198" s="5"/>
      <c r="H198" s="306"/>
      <c r="I198" s="5"/>
      <c r="J198" s="5"/>
      <c r="K198" s="5"/>
      <c r="L198" s="5"/>
      <c r="M198" s="5"/>
      <c r="N198" s="5"/>
      <c r="O198" s="57"/>
      <c r="P198" s="5"/>
      <c r="Q198" s="5"/>
      <c r="R198" s="5"/>
      <c r="S198" s="5"/>
      <c r="T198" s="5"/>
      <c r="U198" s="5"/>
      <c r="V198" s="5"/>
      <c r="W198" s="5"/>
      <c r="X198" s="5"/>
      <c r="Y198" s="5"/>
      <c r="Z198" s="5"/>
    </row>
    <row r="199" spans="1:26" ht="12.75" customHeight="1">
      <c r="A199" s="5"/>
      <c r="B199" s="5"/>
      <c r="C199" s="5"/>
      <c r="D199" s="5"/>
      <c r="E199" s="5"/>
      <c r="F199" s="5"/>
      <c r="G199" s="5"/>
      <c r="H199" s="306"/>
      <c r="I199" s="5"/>
      <c r="J199" s="5"/>
      <c r="K199" s="5"/>
      <c r="L199" s="5"/>
      <c r="M199" s="5"/>
      <c r="N199" s="5"/>
      <c r="O199" s="57"/>
      <c r="P199" s="5"/>
      <c r="Q199" s="5"/>
      <c r="R199" s="5"/>
      <c r="S199" s="5"/>
      <c r="T199" s="5"/>
      <c r="U199" s="5"/>
      <c r="V199" s="5"/>
      <c r="W199" s="5"/>
      <c r="X199" s="5"/>
      <c r="Y199" s="5"/>
      <c r="Z199" s="5"/>
    </row>
    <row r="200" spans="1:26" ht="12.75" customHeight="1">
      <c r="A200" s="5"/>
      <c r="B200" s="5"/>
      <c r="C200" s="5"/>
      <c r="D200" s="5"/>
      <c r="E200" s="5"/>
      <c r="F200" s="5"/>
      <c r="G200" s="5"/>
      <c r="H200" s="306"/>
      <c r="I200" s="5"/>
      <c r="J200" s="5"/>
      <c r="K200" s="5"/>
      <c r="L200" s="5"/>
      <c r="M200" s="5"/>
      <c r="N200" s="5"/>
      <c r="O200" s="57"/>
      <c r="P200" s="5"/>
      <c r="Q200" s="5"/>
      <c r="R200" s="5"/>
      <c r="S200" s="5"/>
      <c r="T200" s="5"/>
      <c r="U200" s="5"/>
      <c r="V200" s="5"/>
      <c r="W200" s="5"/>
      <c r="X200" s="5"/>
      <c r="Y200" s="5"/>
      <c r="Z200" s="5"/>
    </row>
    <row r="201" spans="1:26" ht="12.75" customHeight="1">
      <c r="A201" s="5"/>
      <c r="B201" s="5"/>
      <c r="C201" s="5"/>
      <c r="D201" s="5"/>
      <c r="E201" s="5"/>
      <c r="F201" s="5"/>
      <c r="G201" s="5"/>
      <c r="H201" s="306"/>
      <c r="I201" s="5"/>
      <c r="J201" s="5"/>
      <c r="K201" s="5"/>
      <c r="L201" s="5"/>
      <c r="M201" s="5"/>
      <c r="N201" s="5"/>
      <c r="O201" s="57"/>
      <c r="P201" s="5"/>
      <c r="Q201" s="5"/>
      <c r="R201" s="5"/>
      <c r="S201" s="5"/>
      <c r="T201" s="5"/>
      <c r="U201" s="5"/>
      <c r="V201" s="5"/>
      <c r="W201" s="5"/>
      <c r="X201" s="5"/>
      <c r="Y201" s="5"/>
      <c r="Z201" s="5"/>
    </row>
    <row r="202" spans="1:26" ht="12.75" customHeight="1">
      <c r="A202" s="5"/>
      <c r="B202" s="5"/>
      <c r="C202" s="5"/>
      <c r="D202" s="5"/>
      <c r="E202" s="5"/>
      <c r="F202" s="5"/>
      <c r="G202" s="5"/>
      <c r="H202" s="306"/>
      <c r="I202" s="5"/>
      <c r="J202" s="5"/>
      <c r="K202" s="5"/>
      <c r="L202" s="5"/>
      <c r="M202" s="5"/>
      <c r="N202" s="5"/>
      <c r="O202" s="57"/>
      <c r="P202" s="5"/>
      <c r="Q202" s="5"/>
      <c r="R202" s="5"/>
      <c r="S202" s="5"/>
      <c r="T202" s="5"/>
      <c r="U202" s="5"/>
      <c r="V202" s="5"/>
      <c r="W202" s="5"/>
      <c r="X202" s="5"/>
      <c r="Y202" s="5"/>
      <c r="Z202" s="5"/>
    </row>
    <row r="203" spans="1:26" ht="12.75" customHeight="1">
      <c r="A203" s="5"/>
      <c r="B203" s="5"/>
      <c r="C203" s="5"/>
      <c r="D203" s="5"/>
      <c r="E203" s="5"/>
      <c r="F203" s="5"/>
      <c r="G203" s="5"/>
      <c r="H203" s="306"/>
      <c r="I203" s="5"/>
      <c r="J203" s="5"/>
      <c r="K203" s="5"/>
      <c r="L203" s="5"/>
      <c r="M203" s="5"/>
      <c r="N203" s="5"/>
      <c r="O203" s="57"/>
      <c r="P203" s="5"/>
      <c r="Q203" s="5"/>
      <c r="R203" s="5"/>
      <c r="S203" s="5"/>
      <c r="T203" s="5"/>
      <c r="U203" s="5"/>
      <c r="V203" s="5"/>
      <c r="W203" s="5"/>
      <c r="X203" s="5"/>
      <c r="Y203" s="5"/>
      <c r="Z203" s="5"/>
    </row>
    <row r="204" spans="1:26" ht="12.75" customHeight="1">
      <c r="A204" s="5"/>
      <c r="B204" s="5"/>
      <c r="C204" s="5"/>
      <c r="D204" s="5"/>
      <c r="E204" s="5"/>
      <c r="F204" s="5"/>
      <c r="G204" s="5"/>
      <c r="H204" s="306"/>
      <c r="I204" s="5"/>
      <c r="J204" s="5"/>
      <c r="K204" s="5"/>
      <c r="L204" s="5"/>
      <c r="M204" s="5"/>
      <c r="N204" s="5"/>
      <c r="O204" s="57"/>
      <c r="P204" s="5"/>
      <c r="Q204" s="5"/>
      <c r="R204" s="5"/>
      <c r="S204" s="5"/>
      <c r="T204" s="5"/>
      <c r="U204" s="5"/>
      <c r="V204" s="5"/>
      <c r="W204" s="5"/>
      <c r="X204" s="5"/>
      <c r="Y204" s="5"/>
      <c r="Z204" s="5"/>
    </row>
    <row r="205" spans="1:26" ht="12.75" customHeight="1">
      <c r="A205" s="5"/>
      <c r="B205" s="5"/>
      <c r="C205" s="5"/>
      <c r="D205" s="5"/>
      <c r="E205" s="5"/>
      <c r="F205" s="5"/>
      <c r="G205" s="5"/>
      <c r="H205" s="306"/>
      <c r="I205" s="5"/>
      <c r="J205" s="5"/>
      <c r="K205" s="5"/>
      <c r="L205" s="5"/>
      <c r="M205" s="5"/>
      <c r="N205" s="5"/>
      <c r="O205" s="57"/>
      <c r="P205" s="5"/>
      <c r="Q205" s="5"/>
      <c r="R205" s="5"/>
      <c r="S205" s="5"/>
      <c r="T205" s="5"/>
      <c r="U205" s="5"/>
      <c r="V205" s="5"/>
      <c r="W205" s="5"/>
      <c r="X205" s="5"/>
      <c r="Y205" s="5"/>
      <c r="Z205" s="5"/>
    </row>
    <row r="206" spans="1:26" ht="12.75" customHeight="1">
      <c r="A206" s="5"/>
      <c r="B206" s="5"/>
      <c r="C206" s="5"/>
      <c r="D206" s="5"/>
      <c r="E206" s="5"/>
      <c r="F206" s="5"/>
      <c r="G206" s="5"/>
      <c r="H206" s="306"/>
      <c r="I206" s="5"/>
      <c r="J206" s="5"/>
      <c r="K206" s="5"/>
      <c r="L206" s="5"/>
      <c r="M206" s="5"/>
      <c r="N206" s="5"/>
      <c r="O206" s="57"/>
      <c r="P206" s="5"/>
      <c r="Q206" s="5"/>
      <c r="R206" s="5"/>
      <c r="S206" s="5"/>
      <c r="T206" s="5"/>
      <c r="U206" s="5"/>
      <c r="V206" s="5"/>
      <c r="W206" s="5"/>
      <c r="X206" s="5"/>
      <c r="Y206" s="5"/>
      <c r="Z206" s="5"/>
    </row>
    <row r="207" spans="1:26" ht="12.75" customHeight="1">
      <c r="A207" s="5"/>
      <c r="B207" s="5"/>
      <c r="C207" s="5"/>
      <c r="D207" s="5"/>
      <c r="E207" s="5"/>
      <c r="F207" s="5"/>
      <c r="G207" s="5"/>
      <c r="H207" s="306"/>
      <c r="I207" s="5"/>
      <c r="J207" s="5"/>
      <c r="K207" s="5"/>
      <c r="L207" s="5"/>
      <c r="M207" s="5"/>
      <c r="N207" s="5"/>
      <c r="O207" s="57"/>
      <c r="P207" s="5"/>
      <c r="Q207" s="5"/>
      <c r="R207" s="5"/>
      <c r="S207" s="5"/>
      <c r="T207" s="5"/>
      <c r="U207" s="5"/>
      <c r="V207" s="5"/>
      <c r="W207" s="5"/>
      <c r="X207" s="5"/>
      <c r="Y207" s="5"/>
      <c r="Z207" s="5"/>
    </row>
    <row r="208" spans="1:26" ht="12.75" customHeight="1">
      <c r="A208" s="5"/>
      <c r="B208" s="5"/>
      <c r="C208" s="5"/>
      <c r="D208" s="5"/>
      <c r="E208" s="5"/>
      <c r="F208" s="5"/>
      <c r="G208" s="5"/>
      <c r="H208" s="306"/>
      <c r="I208" s="5"/>
      <c r="J208" s="5"/>
      <c r="K208" s="5"/>
      <c r="L208" s="5"/>
      <c r="M208" s="5"/>
      <c r="N208" s="5"/>
      <c r="O208" s="57"/>
      <c r="P208" s="5"/>
      <c r="Q208" s="5"/>
      <c r="R208" s="5"/>
      <c r="S208" s="5"/>
      <c r="T208" s="5"/>
      <c r="U208" s="5"/>
      <c r="V208" s="5"/>
      <c r="W208" s="5"/>
      <c r="X208" s="5"/>
      <c r="Y208" s="5"/>
      <c r="Z208" s="5"/>
    </row>
    <row r="209" spans="1:26" ht="12.75" customHeight="1">
      <c r="A209" s="5"/>
      <c r="B209" s="5"/>
      <c r="C209" s="5"/>
      <c r="D209" s="5"/>
      <c r="E209" s="5"/>
      <c r="F209" s="5"/>
      <c r="G209" s="5"/>
      <c r="H209" s="306"/>
      <c r="I209" s="5"/>
      <c r="J209" s="5"/>
      <c r="K209" s="5"/>
      <c r="L209" s="5"/>
      <c r="M209" s="5"/>
      <c r="N209" s="5"/>
      <c r="O209" s="57"/>
      <c r="P209" s="5"/>
      <c r="Q209" s="5"/>
      <c r="R209" s="5"/>
      <c r="S209" s="5"/>
      <c r="T209" s="5"/>
      <c r="U209" s="5"/>
      <c r="V209" s="5"/>
      <c r="W209" s="5"/>
      <c r="X209" s="5"/>
      <c r="Y209" s="5"/>
      <c r="Z209" s="5"/>
    </row>
    <row r="210" spans="1:26" ht="12.75" customHeight="1">
      <c r="A210" s="5"/>
      <c r="B210" s="5"/>
      <c r="C210" s="5"/>
      <c r="D210" s="5"/>
      <c r="E210" s="5"/>
      <c r="F210" s="5"/>
      <c r="G210" s="5"/>
      <c r="H210" s="306"/>
      <c r="I210" s="5"/>
      <c r="J210" s="5"/>
      <c r="K210" s="5"/>
      <c r="L210" s="5"/>
      <c r="M210" s="5"/>
      <c r="N210" s="5"/>
      <c r="O210" s="57"/>
      <c r="P210" s="5"/>
      <c r="Q210" s="5"/>
      <c r="R210" s="5"/>
      <c r="S210" s="5"/>
      <c r="T210" s="5"/>
      <c r="U210" s="5"/>
      <c r="V210" s="5"/>
      <c r="W210" s="5"/>
      <c r="X210" s="5"/>
      <c r="Y210" s="5"/>
      <c r="Z210" s="5"/>
    </row>
    <row r="211" spans="1:26" ht="12.75" customHeight="1">
      <c r="A211" s="5"/>
      <c r="B211" s="5"/>
      <c r="C211" s="5"/>
      <c r="D211" s="5"/>
      <c r="E211" s="5"/>
      <c r="F211" s="5"/>
      <c r="G211" s="5"/>
      <c r="H211" s="306"/>
      <c r="I211" s="5"/>
      <c r="J211" s="5"/>
      <c r="K211" s="5"/>
      <c r="L211" s="5"/>
      <c r="M211" s="5"/>
      <c r="N211" s="5"/>
      <c r="O211" s="57"/>
      <c r="P211" s="5"/>
      <c r="Q211" s="5"/>
      <c r="R211" s="5"/>
      <c r="S211" s="5"/>
      <c r="T211" s="5"/>
      <c r="U211" s="5"/>
      <c r="V211" s="5"/>
      <c r="W211" s="5"/>
      <c r="X211" s="5"/>
      <c r="Y211" s="5"/>
      <c r="Z211" s="5"/>
    </row>
    <row r="212" spans="1:26" ht="12.75" customHeight="1">
      <c r="A212" s="5"/>
      <c r="B212" s="5"/>
      <c r="C212" s="5"/>
      <c r="D212" s="5"/>
      <c r="E212" s="5"/>
      <c r="F212" s="5"/>
      <c r="G212" s="5"/>
      <c r="H212" s="306"/>
      <c r="I212" s="5"/>
      <c r="J212" s="5"/>
      <c r="K212" s="5"/>
      <c r="L212" s="5"/>
      <c r="M212" s="5"/>
      <c r="N212" s="5"/>
      <c r="O212" s="57"/>
      <c r="P212" s="5"/>
      <c r="Q212" s="5"/>
      <c r="R212" s="5"/>
      <c r="S212" s="5"/>
      <c r="T212" s="5"/>
      <c r="U212" s="5"/>
      <c r="V212" s="5"/>
      <c r="W212" s="5"/>
      <c r="X212" s="5"/>
      <c r="Y212" s="5"/>
      <c r="Z212" s="5"/>
    </row>
    <row r="213" spans="1:26" ht="12.75" customHeight="1">
      <c r="A213" s="5"/>
      <c r="B213" s="5"/>
      <c r="C213" s="5"/>
      <c r="D213" s="5"/>
      <c r="E213" s="5"/>
      <c r="F213" s="5"/>
      <c r="G213" s="5"/>
      <c r="H213" s="306"/>
      <c r="I213" s="5"/>
      <c r="J213" s="5"/>
      <c r="K213" s="5"/>
      <c r="L213" s="5"/>
      <c r="M213" s="5"/>
      <c r="N213" s="5"/>
      <c r="O213" s="57"/>
      <c r="P213" s="5"/>
      <c r="Q213" s="5"/>
      <c r="R213" s="5"/>
      <c r="S213" s="5"/>
      <c r="T213" s="5"/>
      <c r="U213" s="5"/>
      <c r="V213" s="5"/>
      <c r="W213" s="5"/>
      <c r="X213" s="5"/>
      <c r="Y213" s="5"/>
      <c r="Z213" s="5"/>
    </row>
    <row r="214" spans="1:26" ht="12.75" customHeight="1">
      <c r="A214" s="5"/>
      <c r="B214" s="5"/>
      <c r="C214" s="5"/>
      <c r="D214" s="5"/>
      <c r="E214" s="5"/>
      <c r="F214" s="5"/>
      <c r="G214" s="5"/>
      <c r="H214" s="306"/>
      <c r="I214" s="5"/>
      <c r="J214" s="5"/>
      <c r="K214" s="5"/>
      <c r="L214" s="5"/>
      <c r="M214" s="5"/>
      <c r="N214" s="5"/>
      <c r="O214" s="57"/>
      <c r="P214" s="5"/>
      <c r="Q214" s="5"/>
      <c r="R214" s="5"/>
      <c r="S214" s="5"/>
      <c r="T214" s="5"/>
      <c r="U214" s="5"/>
      <c r="V214" s="5"/>
      <c r="W214" s="5"/>
      <c r="X214" s="5"/>
      <c r="Y214" s="5"/>
      <c r="Z214" s="5"/>
    </row>
    <row r="215" spans="1:26" ht="12.75" customHeight="1">
      <c r="A215" s="5"/>
      <c r="B215" s="5"/>
      <c r="C215" s="5"/>
      <c r="D215" s="5"/>
      <c r="E215" s="5"/>
      <c r="F215" s="5"/>
      <c r="G215" s="5"/>
      <c r="H215" s="306"/>
      <c r="I215" s="5"/>
      <c r="J215" s="5"/>
      <c r="K215" s="5"/>
      <c r="L215" s="5"/>
      <c r="M215" s="5"/>
      <c r="N215" s="5"/>
      <c r="O215" s="57"/>
      <c r="P215" s="5"/>
      <c r="Q215" s="5"/>
      <c r="R215" s="5"/>
      <c r="S215" s="5"/>
      <c r="T215" s="5"/>
      <c r="U215" s="5"/>
      <c r="V215" s="5"/>
      <c r="W215" s="5"/>
      <c r="X215" s="5"/>
      <c r="Y215" s="5"/>
      <c r="Z215" s="5"/>
    </row>
    <row r="216" spans="1:26" ht="12.75" customHeight="1">
      <c r="A216" s="5"/>
      <c r="B216" s="5"/>
      <c r="C216" s="5"/>
      <c r="D216" s="5"/>
      <c r="E216" s="5"/>
      <c r="F216" s="5"/>
      <c r="G216" s="5"/>
      <c r="H216" s="306"/>
      <c r="I216" s="5"/>
      <c r="J216" s="5"/>
      <c r="K216" s="5"/>
      <c r="L216" s="5"/>
      <c r="M216" s="5"/>
      <c r="N216" s="5"/>
      <c r="O216" s="57"/>
      <c r="P216" s="5"/>
      <c r="Q216" s="5"/>
      <c r="R216" s="5"/>
      <c r="S216" s="5"/>
      <c r="T216" s="5"/>
      <c r="U216" s="5"/>
      <c r="V216" s="5"/>
      <c r="W216" s="5"/>
      <c r="X216" s="5"/>
      <c r="Y216" s="5"/>
      <c r="Z216" s="5"/>
    </row>
    <row r="217" spans="1:26" ht="12.75" customHeight="1">
      <c r="A217" s="5"/>
      <c r="B217" s="5"/>
      <c r="C217" s="5"/>
      <c r="D217" s="5"/>
      <c r="E217" s="5"/>
      <c r="F217" s="5"/>
      <c r="G217" s="5"/>
      <c r="H217" s="306"/>
      <c r="I217" s="5"/>
      <c r="J217" s="5"/>
      <c r="K217" s="5"/>
      <c r="L217" s="5"/>
      <c r="M217" s="5"/>
      <c r="N217" s="5"/>
      <c r="O217" s="57"/>
      <c r="P217" s="5"/>
      <c r="Q217" s="5"/>
      <c r="R217" s="5"/>
      <c r="S217" s="5"/>
      <c r="T217" s="5"/>
      <c r="U217" s="5"/>
      <c r="V217" s="5"/>
      <c r="W217" s="5"/>
      <c r="X217" s="5"/>
      <c r="Y217" s="5"/>
      <c r="Z217" s="5"/>
    </row>
    <row r="218" spans="1:26" ht="12.75" customHeight="1">
      <c r="A218" s="5"/>
      <c r="B218" s="5"/>
      <c r="C218" s="5"/>
      <c r="D218" s="5"/>
      <c r="E218" s="5"/>
      <c r="F218" s="5"/>
      <c r="G218" s="5"/>
      <c r="H218" s="306"/>
      <c r="I218" s="5"/>
      <c r="J218" s="5"/>
      <c r="K218" s="5"/>
      <c r="L218" s="5"/>
      <c r="M218" s="5"/>
      <c r="N218" s="5"/>
      <c r="O218" s="57"/>
      <c r="P218" s="5"/>
      <c r="Q218" s="5"/>
      <c r="R218" s="5"/>
      <c r="S218" s="5"/>
      <c r="T218" s="5"/>
      <c r="U218" s="5"/>
      <c r="V218" s="5"/>
      <c r="W218" s="5"/>
      <c r="X218" s="5"/>
      <c r="Y218" s="5"/>
      <c r="Z218" s="5"/>
    </row>
    <row r="219" spans="1:26" ht="12.75" customHeight="1">
      <c r="A219" s="5"/>
      <c r="B219" s="5"/>
      <c r="C219" s="5"/>
      <c r="D219" s="5"/>
      <c r="E219" s="5"/>
      <c r="F219" s="5"/>
      <c r="G219" s="5"/>
      <c r="H219" s="306"/>
      <c r="I219" s="5"/>
      <c r="J219" s="5"/>
      <c r="K219" s="5"/>
      <c r="L219" s="5"/>
      <c r="M219" s="5"/>
      <c r="N219" s="5"/>
      <c r="O219" s="57"/>
      <c r="P219" s="5"/>
      <c r="Q219" s="5"/>
      <c r="R219" s="5"/>
      <c r="S219" s="5"/>
      <c r="T219" s="5"/>
      <c r="U219" s="5"/>
      <c r="V219" s="5"/>
      <c r="W219" s="5"/>
      <c r="X219" s="5"/>
      <c r="Y219" s="5"/>
      <c r="Z219" s="5"/>
    </row>
    <row r="220" spans="1:26" ht="12.75" customHeight="1">
      <c r="A220" s="5"/>
      <c r="B220" s="5"/>
      <c r="C220" s="5"/>
      <c r="D220" s="5"/>
      <c r="E220" s="5"/>
      <c r="F220" s="5"/>
      <c r="G220" s="5"/>
      <c r="H220" s="306"/>
      <c r="I220" s="5"/>
      <c r="J220" s="5"/>
      <c r="K220" s="5"/>
      <c r="L220" s="5"/>
      <c r="M220" s="5"/>
      <c r="N220" s="5"/>
      <c r="O220" s="57"/>
      <c r="P220" s="5"/>
      <c r="Q220" s="5"/>
      <c r="R220" s="5"/>
      <c r="S220" s="5"/>
      <c r="T220" s="5"/>
      <c r="U220" s="5"/>
      <c r="V220" s="5"/>
      <c r="W220" s="5"/>
      <c r="X220" s="5"/>
      <c r="Y220" s="5"/>
      <c r="Z220" s="5"/>
    </row>
    <row r="221" spans="1:26" ht="12.75" customHeight="1">
      <c r="A221" s="5"/>
      <c r="B221" s="5"/>
      <c r="C221" s="5"/>
      <c r="D221" s="5"/>
      <c r="E221" s="5"/>
      <c r="F221" s="5"/>
      <c r="G221" s="5"/>
      <c r="H221" s="306"/>
      <c r="I221" s="5"/>
      <c r="J221" s="5"/>
      <c r="K221" s="5"/>
      <c r="L221" s="5"/>
      <c r="M221" s="5"/>
      <c r="N221" s="5"/>
      <c r="O221" s="57"/>
      <c r="P221" s="5"/>
      <c r="Q221" s="5"/>
      <c r="R221" s="5"/>
      <c r="S221" s="5"/>
      <c r="T221" s="5"/>
      <c r="U221" s="5"/>
      <c r="V221" s="5"/>
      <c r="W221" s="5"/>
      <c r="X221" s="5"/>
      <c r="Y221" s="5"/>
      <c r="Z221" s="5"/>
    </row>
    <row r="222" spans="1:26" ht="12.75" customHeight="1">
      <c r="A222" s="5"/>
      <c r="B222" s="5"/>
      <c r="C222" s="5"/>
      <c r="D222" s="5"/>
      <c r="E222" s="5"/>
      <c r="F222" s="5"/>
      <c r="G222" s="5"/>
      <c r="H222" s="306"/>
      <c r="I222" s="5"/>
      <c r="J222" s="5"/>
      <c r="K222" s="5"/>
      <c r="L222" s="5"/>
      <c r="M222" s="5"/>
      <c r="N222" s="5"/>
      <c r="O222" s="57"/>
      <c r="P222" s="5"/>
      <c r="Q222" s="5"/>
      <c r="R222" s="5"/>
      <c r="S222" s="5"/>
      <c r="T222" s="5"/>
      <c r="U222" s="5"/>
      <c r="V222" s="5"/>
      <c r="W222" s="5"/>
      <c r="X222" s="5"/>
      <c r="Y222" s="5"/>
      <c r="Z222" s="5"/>
    </row>
    <row r="223" spans="1:26" ht="12.75" customHeight="1">
      <c r="A223" s="5"/>
      <c r="B223" s="5"/>
      <c r="C223" s="5"/>
      <c r="D223" s="5"/>
      <c r="E223" s="5"/>
      <c r="F223" s="5"/>
      <c r="G223" s="5"/>
      <c r="H223" s="306"/>
      <c r="I223" s="5"/>
      <c r="J223" s="5"/>
      <c r="K223" s="5"/>
      <c r="L223" s="5"/>
      <c r="M223" s="5"/>
      <c r="N223" s="5"/>
      <c r="O223" s="57"/>
      <c r="P223" s="5"/>
      <c r="Q223" s="5"/>
      <c r="R223" s="5"/>
      <c r="S223" s="5"/>
      <c r="T223" s="5"/>
      <c r="U223" s="5"/>
      <c r="V223" s="5"/>
      <c r="W223" s="5"/>
      <c r="X223" s="5"/>
      <c r="Y223" s="5"/>
      <c r="Z223" s="5"/>
    </row>
    <row r="224" spans="1:26" ht="12.75" customHeight="1">
      <c r="A224" s="5"/>
      <c r="B224" s="5"/>
      <c r="C224" s="5"/>
      <c r="D224" s="5"/>
      <c r="E224" s="5"/>
      <c r="F224" s="5"/>
      <c r="G224" s="5"/>
      <c r="H224" s="306"/>
      <c r="I224" s="5"/>
      <c r="J224" s="5"/>
      <c r="K224" s="5"/>
      <c r="L224" s="5"/>
      <c r="M224" s="5"/>
      <c r="N224" s="5"/>
      <c r="O224" s="57"/>
      <c r="P224" s="5"/>
      <c r="Q224" s="5"/>
      <c r="R224" s="5"/>
      <c r="S224" s="5"/>
      <c r="T224" s="5"/>
      <c r="U224" s="5"/>
      <c r="V224" s="5"/>
      <c r="W224" s="5"/>
      <c r="X224" s="5"/>
      <c r="Y224" s="5"/>
      <c r="Z224" s="5"/>
    </row>
    <row r="225" spans="1:26" ht="12.75" customHeight="1">
      <c r="A225" s="5"/>
      <c r="B225" s="5"/>
      <c r="C225" s="5"/>
      <c r="D225" s="5"/>
      <c r="E225" s="5"/>
      <c r="F225" s="5"/>
      <c r="G225" s="5"/>
      <c r="H225" s="306"/>
      <c r="I225" s="5"/>
      <c r="J225" s="5"/>
      <c r="K225" s="5"/>
      <c r="L225" s="5"/>
      <c r="M225" s="5"/>
      <c r="N225" s="5"/>
      <c r="O225" s="57"/>
      <c r="P225" s="5"/>
      <c r="Q225" s="5"/>
      <c r="R225" s="5"/>
      <c r="S225" s="5"/>
      <c r="T225" s="5"/>
      <c r="U225" s="5"/>
      <c r="V225" s="5"/>
      <c r="W225" s="5"/>
      <c r="X225" s="5"/>
      <c r="Y225" s="5"/>
      <c r="Z225" s="5"/>
    </row>
    <row r="226" spans="1:26" ht="12.75" customHeight="1">
      <c r="A226" s="5"/>
      <c r="B226" s="5"/>
      <c r="C226" s="5"/>
      <c r="D226" s="5"/>
      <c r="E226" s="5"/>
      <c r="F226" s="5"/>
      <c r="G226" s="5"/>
      <c r="H226" s="306"/>
      <c r="I226" s="5"/>
      <c r="J226" s="5"/>
      <c r="K226" s="5"/>
      <c r="L226" s="5"/>
      <c r="M226" s="5"/>
      <c r="N226" s="5"/>
      <c r="O226" s="57"/>
      <c r="P226" s="5"/>
      <c r="Q226" s="5"/>
      <c r="R226" s="5"/>
      <c r="S226" s="5"/>
      <c r="T226" s="5"/>
      <c r="U226" s="5"/>
      <c r="V226" s="5"/>
      <c r="W226" s="5"/>
      <c r="X226" s="5"/>
      <c r="Y226" s="5"/>
      <c r="Z226" s="5"/>
    </row>
    <row r="227" spans="1:26" ht="12.75" customHeight="1">
      <c r="A227" s="5"/>
      <c r="B227" s="5"/>
      <c r="C227" s="5"/>
      <c r="D227" s="5"/>
      <c r="E227" s="5"/>
      <c r="F227" s="5"/>
      <c r="G227" s="5"/>
      <c r="H227" s="306"/>
      <c r="I227" s="5"/>
      <c r="J227" s="5"/>
      <c r="K227" s="5"/>
      <c r="L227" s="5"/>
      <c r="M227" s="5"/>
      <c r="N227" s="5"/>
      <c r="O227" s="57"/>
      <c r="P227" s="5"/>
      <c r="Q227" s="5"/>
      <c r="R227" s="5"/>
      <c r="S227" s="5"/>
      <c r="T227" s="5"/>
      <c r="U227" s="5"/>
      <c r="V227" s="5"/>
      <c r="W227" s="5"/>
      <c r="X227" s="5"/>
      <c r="Y227" s="5"/>
      <c r="Z227" s="5"/>
    </row>
    <row r="228" spans="1:26" ht="12.75" customHeight="1">
      <c r="A228" s="5"/>
      <c r="B228" s="5"/>
      <c r="C228" s="5"/>
      <c r="D228" s="5"/>
      <c r="E228" s="5"/>
      <c r="F228" s="5"/>
      <c r="G228" s="5"/>
      <c r="H228" s="306"/>
      <c r="I228" s="5"/>
      <c r="J228" s="5"/>
      <c r="K228" s="5"/>
      <c r="L228" s="5"/>
      <c r="M228" s="5"/>
      <c r="N228" s="5"/>
      <c r="O228" s="57"/>
      <c r="P228" s="5"/>
      <c r="Q228" s="5"/>
      <c r="R228" s="5"/>
      <c r="S228" s="5"/>
      <c r="T228" s="5"/>
      <c r="U228" s="5"/>
      <c r="V228" s="5"/>
      <c r="W228" s="5"/>
      <c r="X228" s="5"/>
      <c r="Y228" s="5"/>
      <c r="Z228" s="5"/>
    </row>
    <row r="229" spans="1:26" ht="12.75" customHeight="1">
      <c r="A229" s="5"/>
      <c r="B229" s="5"/>
      <c r="C229" s="5"/>
      <c r="D229" s="5"/>
      <c r="E229" s="5"/>
      <c r="F229" s="5"/>
      <c r="G229" s="5"/>
      <c r="H229" s="306"/>
      <c r="I229" s="5"/>
      <c r="J229" s="5"/>
      <c r="K229" s="5"/>
      <c r="L229" s="5"/>
      <c r="M229" s="5"/>
      <c r="N229" s="5"/>
      <c r="O229" s="57"/>
      <c r="P229" s="5"/>
      <c r="Q229" s="5"/>
      <c r="R229" s="5"/>
      <c r="S229" s="5"/>
      <c r="T229" s="5"/>
      <c r="U229" s="5"/>
      <c r="V229" s="5"/>
      <c r="W229" s="5"/>
      <c r="X229" s="5"/>
      <c r="Y229" s="5"/>
      <c r="Z229" s="5"/>
    </row>
    <row r="230" spans="1:26" ht="12.75" customHeight="1">
      <c r="A230" s="5"/>
      <c r="B230" s="5"/>
      <c r="C230" s="5"/>
      <c r="D230" s="5"/>
      <c r="E230" s="5"/>
      <c r="F230" s="5"/>
      <c r="G230" s="5"/>
      <c r="H230" s="306"/>
      <c r="I230" s="5"/>
      <c r="J230" s="5"/>
      <c r="K230" s="5"/>
      <c r="L230" s="5"/>
      <c r="M230" s="5"/>
      <c r="N230" s="5"/>
      <c r="O230" s="57"/>
      <c r="P230" s="5"/>
      <c r="Q230" s="5"/>
      <c r="R230" s="5"/>
      <c r="S230" s="5"/>
      <c r="T230" s="5"/>
      <c r="U230" s="5"/>
      <c r="V230" s="5"/>
      <c r="W230" s="5"/>
      <c r="X230" s="5"/>
      <c r="Y230" s="5"/>
      <c r="Z230" s="5"/>
    </row>
    <row r="231" spans="1:26" ht="12.75" customHeight="1">
      <c r="A231" s="5"/>
      <c r="B231" s="5"/>
      <c r="C231" s="5"/>
      <c r="D231" s="5"/>
      <c r="E231" s="5"/>
      <c r="F231" s="5"/>
      <c r="G231" s="5"/>
      <c r="H231" s="306"/>
      <c r="I231" s="5"/>
      <c r="J231" s="5"/>
      <c r="K231" s="5"/>
      <c r="L231" s="5"/>
      <c r="M231" s="5"/>
      <c r="N231" s="5"/>
      <c r="O231" s="57"/>
      <c r="P231" s="5"/>
      <c r="Q231" s="5"/>
      <c r="R231" s="5"/>
      <c r="S231" s="5"/>
      <c r="T231" s="5"/>
      <c r="U231" s="5"/>
      <c r="V231" s="5"/>
      <c r="W231" s="5"/>
      <c r="X231" s="5"/>
      <c r="Y231" s="5"/>
      <c r="Z231" s="5"/>
    </row>
    <row r="232" spans="1:26" ht="12.75" customHeight="1">
      <c r="A232" s="5"/>
      <c r="B232" s="5"/>
      <c r="C232" s="5"/>
      <c r="D232" s="5"/>
      <c r="E232" s="5"/>
      <c r="F232" s="5"/>
      <c r="G232" s="5"/>
      <c r="H232" s="306"/>
      <c r="I232" s="5"/>
      <c r="J232" s="5"/>
      <c r="K232" s="5"/>
      <c r="L232" s="5"/>
      <c r="M232" s="5"/>
      <c r="N232" s="5"/>
      <c r="O232" s="57"/>
      <c r="P232" s="5"/>
      <c r="Q232" s="5"/>
      <c r="R232" s="5"/>
      <c r="S232" s="5"/>
      <c r="T232" s="5"/>
      <c r="U232" s="5"/>
      <c r="V232" s="5"/>
      <c r="W232" s="5"/>
      <c r="X232" s="5"/>
      <c r="Y232" s="5"/>
      <c r="Z232" s="5"/>
    </row>
    <row r="233" spans="1:26" ht="12.75" customHeight="1">
      <c r="A233" s="5"/>
      <c r="B233" s="5"/>
      <c r="C233" s="5"/>
      <c r="D233" s="5"/>
      <c r="E233" s="5"/>
      <c r="F233" s="5"/>
      <c r="G233" s="5"/>
      <c r="H233" s="306"/>
      <c r="I233" s="5"/>
      <c r="J233" s="5"/>
      <c r="K233" s="5"/>
      <c r="L233" s="5"/>
      <c r="M233" s="5"/>
      <c r="N233" s="5"/>
      <c r="O233" s="57"/>
      <c r="P233" s="5"/>
      <c r="Q233" s="5"/>
      <c r="R233" s="5"/>
      <c r="S233" s="5"/>
      <c r="T233" s="5"/>
      <c r="U233" s="5"/>
      <c r="V233" s="5"/>
      <c r="W233" s="5"/>
      <c r="X233" s="5"/>
      <c r="Y233" s="5"/>
      <c r="Z233" s="5"/>
    </row>
    <row r="234" spans="1:26" ht="12.75" customHeight="1">
      <c r="A234" s="5"/>
      <c r="B234" s="5"/>
      <c r="C234" s="5"/>
      <c r="D234" s="5"/>
      <c r="E234" s="5"/>
      <c r="F234" s="5"/>
      <c r="G234" s="5"/>
      <c r="H234" s="306"/>
      <c r="I234" s="5"/>
      <c r="J234" s="5"/>
      <c r="K234" s="5"/>
      <c r="L234" s="5"/>
      <c r="M234" s="5"/>
      <c r="N234" s="5"/>
      <c r="O234" s="57"/>
      <c r="P234" s="5"/>
      <c r="Q234" s="5"/>
      <c r="R234" s="5"/>
      <c r="S234" s="5"/>
      <c r="T234" s="5"/>
      <c r="U234" s="5"/>
      <c r="V234" s="5"/>
      <c r="W234" s="5"/>
      <c r="X234" s="5"/>
      <c r="Y234" s="5"/>
      <c r="Z234" s="5"/>
    </row>
    <row r="235" spans="1:26" ht="12.75" customHeight="1">
      <c r="A235" s="5"/>
      <c r="B235" s="5"/>
      <c r="C235" s="5"/>
      <c r="D235" s="5"/>
      <c r="E235" s="5"/>
      <c r="F235" s="5"/>
      <c r="G235" s="5"/>
      <c r="H235" s="306"/>
      <c r="I235" s="5"/>
      <c r="J235" s="5"/>
      <c r="K235" s="5"/>
      <c r="L235" s="5"/>
      <c r="M235" s="5"/>
      <c r="N235" s="5"/>
      <c r="O235" s="57"/>
      <c r="P235" s="5"/>
      <c r="Q235" s="5"/>
      <c r="R235" s="5"/>
      <c r="S235" s="5"/>
      <c r="T235" s="5"/>
      <c r="U235" s="5"/>
      <c r="V235" s="5"/>
      <c r="W235" s="5"/>
      <c r="X235" s="5"/>
      <c r="Y235" s="5"/>
      <c r="Z235" s="5"/>
    </row>
    <row r="236" spans="1:26" ht="12.75" customHeight="1">
      <c r="A236" s="5"/>
      <c r="B236" s="5"/>
      <c r="C236" s="5"/>
      <c r="D236" s="5"/>
      <c r="E236" s="5"/>
      <c r="F236" s="5"/>
      <c r="G236" s="5"/>
      <c r="H236" s="306"/>
      <c r="I236" s="5"/>
      <c r="J236" s="5"/>
      <c r="K236" s="5"/>
      <c r="L236" s="5"/>
      <c r="M236" s="5"/>
      <c r="N236" s="5"/>
      <c r="O236" s="57"/>
      <c r="P236" s="5"/>
      <c r="Q236" s="5"/>
      <c r="R236" s="5"/>
      <c r="S236" s="5"/>
      <c r="T236" s="5"/>
      <c r="U236" s="5"/>
      <c r="V236" s="5"/>
      <c r="W236" s="5"/>
      <c r="X236" s="5"/>
      <c r="Y236" s="5"/>
      <c r="Z236" s="5"/>
    </row>
    <row r="237" spans="1:26" ht="12.75" customHeight="1">
      <c r="A237" s="5"/>
      <c r="B237" s="5"/>
      <c r="C237" s="5"/>
      <c r="D237" s="5"/>
      <c r="E237" s="5"/>
      <c r="F237" s="5"/>
      <c r="G237" s="5"/>
      <c r="H237" s="306"/>
      <c r="I237" s="5"/>
      <c r="J237" s="5"/>
      <c r="K237" s="5"/>
      <c r="L237" s="5"/>
      <c r="M237" s="5"/>
      <c r="N237" s="5"/>
      <c r="O237" s="57"/>
      <c r="P237" s="5"/>
      <c r="Q237" s="5"/>
      <c r="R237" s="5"/>
      <c r="S237" s="5"/>
      <c r="T237" s="5"/>
      <c r="U237" s="5"/>
      <c r="V237" s="5"/>
      <c r="W237" s="5"/>
      <c r="X237" s="5"/>
      <c r="Y237" s="5"/>
      <c r="Z237" s="5"/>
    </row>
    <row r="238" spans="1:26" ht="12.75" customHeight="1">
      <c r="A238" s="5"/>
      <c r="B238" s="5"/>
      <c r="C238" s="5"/>
      <c r="D238" s="5"/>
      <c r="E238" s="5"/>
      <c r="F238" s="5"/>
      <c r="G238" s="5"/>
      <c r="H238" s="306"/>
      <c r="I238" s="5"/>
      <c r="J238" s="5"/>
      <c r="K238" s="5"/>
      <c r="L238" s="5"/>
      <c r="M238" s="5"/>
      <c r="N238" s="5"/>
      <c r="O238" s="57"/>
      <c r="P238" s="5"/>
      <c r="Q238" s="5"/>
      <c r="R238" s="5"/>
      <c r="S238" s="5"/>
      <c r="T238" s="5"/>
      <c r="U238" s="5"/>
      <c r="V238" s="5"/>
      <c r="W238" s="5"/>
      <c r="X238" s="5"/>
      <c r="Y238" s="5"/>
      <c r="Z238" s="5"/>
    </row>
    <row r="239" spans="1:26" ht="12.75" customHeight="1">
      <c r="A239" s="5"/>
      <c r="B239" s="5"/>
      <c r="C239" s="5"/>
      <c r="D239" s="5"/>
      <c r="E239" s="5"/>
      <c r="F239" s="5"/>
      <c r="G239" s="5"/>
      <c r="H239" s="306"/>
      <c r="I239" s="5"/>
      <c r="J239" s="5"/>
      <c r="K239" s="5"/>
      <c r="L239" s="5"/>
      <c r="M239" s="5"/>
      <c r="N239" s="5"/>
      <c r="O239" s="57"/>
      <c r="P239" s="5"/>
      <c r="Q239" s="5"/>
      <c r="R239" s="5"/>
      <c r="S239" s="5"/>
      <c r="T239" s="5"/>
      <c r="U239" s="5"/>
      <c r="V239" s="5"/>
      <c r="W239" s="5"/>
      <c r="X239" s="5"/>
      <c r="Y239" s="5"/>
      <c r="Z239" s="5"/>
    </row>
    <row r="240" spans="1:26" ht="12.75" customHeight="1">
      <c r="A240" s="5"/>
      <c r="B240" s="5"/>
      <c r="C240" s="5"/>
      <c r="D240" s="5"/>
      <c r="E240" s="5"/>
      <c r="F240" s="5"/>
      <c r="G240" s="5"/>
      <c r="H240" s="306"/>
      <c r="I240" s="5"/>
      <c r="J240" s="5"/>
      <c r="K240" s="5"/>
      <c r="L240" s="5"/>
      <c r="M240" s="5"/>
      <c r="N240" s="5"/>
      <c r="O240" s="57"/>
      <c r="P240" s="5"/>
      <c r="Q240" s="5"/>
      <c r="R240" s="5"/>
      <c r="S240" s="5"/>
      <c r="T240" s="5"/>
      <c r="U240" s="5"/>
      <c r="V240" s="5"/>
      <c r="W240" s="5"/>
      <c r="X240" s="5"/>
      <c r="Y240" s="5"/>
      <c r="Z240" s="5"/>
    </row>
    <row r="241" spans="1:26" ht="12.75" customHeight="1">
      <c r="A241" s="5"/>
      <c r="B241" s="5"/>
      <c r="C241" s="5"/>
      <c r="D241" s="5"/>
      <c r="E241" s="5"/>
      <c r="F241" s="5"/>
      <c r="G241" s="5"/>
      <c r="H241" s="306"/>
      <c r="I241" s="5"/>
      <c r="J241" s="5"/>
      <c r="K241" s="5"/>
      <c r="L241" s="5"/>
      <c r="M241" s="5"/>
      <c r="N241" s="5"/>
      <c r="O241" s="57"/>
      <c r="P241" s="5"/>
      <c r="Q241" s="5"/>
      <c r="R241" s="5"/>
      <c r="S241" s="5"/>
      <c r="T241" s="5"/>
      <c r="U241" s="5"/>
      <c r="V241" s="5"/>
      <c r="W241" s="5"/>
      <c r="X241" s="5"/>
      <c r="Y241" s="5"/>
      <c r="Z241" s="5"/>
    </row>
    <row r="242" spans="1:26" ht="12.75" customHeight="1">
      <c r="A242" s="5"/>
      <c r="B242" s="5"/>
      <c r="C242" s="5"/>
      <c r="D242" s="5"/>
      <c r="E242" s="5"/>
      <c r="F242" s="5"/>
      <c r="G242" s="5"/>
      <c r="H242" s="306"/>
      <c r="I242" s="5"/>
      <c r="J242" s="5"/>
      <c r="K242" s="5"/>
      <c r="L242" s="5"/>
      <c r="M242" s="5"/>
      <c r="N242" s="5"/>
      <c r="O242" s="57"/>
      <c r="P242" s="5"/>
      <c r="Q242" s="5"/>
      <c r="R242" s="5"/>
      <c r="S242" s="5"/>
      <c r="T242" s="5"/>
      <c r="U242" s="5"/>
      <c r="V242" s="5"/>
      <c r="W242" s="5"/>
      <c r="X242" s="5"/>
      <c r="Y242" s="5"/>
      <c r="Z242" s="5"/>
    </row>
    <row r="243" spans="1:26" ht="12.75" customHeight="1">
      <c r="A243" s="5"/>
      <c r="B243" s="5"/>
      <c r="C243" s="5"/>
      <c r="D243" s="5"/>
      <c r="E243" s="5"/>
      <c r="F243" s="5"/>
      <c r="G243" s="5"/>
      <c r="H243" s="306"/>
      <c r="I243" s="5"/>
      <c r="J243" s="5"/>
      <c r="K243" s="5"/>
      <c r="L243" s="5"/>
      <c r="M243" s="5"/>
      <c r="N243" s="5"/>
      <c r="O243" s="57"/>
      <c r="P243" s="5"/>
      <c r="Q243" s="5"/>
      <c r="R243" s="5"/>
      <c r="S243" s="5"/>
      <c r="T243" s="5"/>
      <c r="U243" s="5"/>
      <c r="V243" s="5"/>
      <c r="W243" s="5"/>
      <c r="X243" s="5"/>
      <c r="Y243" s="5"/>
      <c r="Z243" s="5"/>
    </row>
    <row r="244" spans="1:26" ht="12.75" customHeight="1">
      <c r="A244" s="5"/>
      <c r="B244" s="5"/>
      <c r="C244" s="5"/>
      <c r="D244" s="5"/>
      <c r="E244" s="5"/>
      <c r="F244" s="5"/>
      <c r="G244" s="5"/>
      <c r="H244" s="306"/>
      <c r="I244" s="5"/>
      <c r="J244" s="5"/>
      <c r="K244" s="5"/>
      <c r="L244" s="5"/>
      <c r="M244" s="5"/>
      <c r="N244" s="5"/>
      <c r="O244" s="57"/>
      <c r="P244" s="5"/>
      <c r="Q244" s="5"/>
      <c r="R244" s="5"/>
      <c r="S244" s="5"/>
      <c r="T244" s="5"/>
      <c r="U244" s="5"/>
      <c r="V244" s="5"/>
      <c r="W244" s="5"/>
      <c r="X244" s="5"/>
      <c r="Y244" s="5"/>
      <c r="Z244" s="5"/>
    </row>
    <row r="245" spans="1:26" ht="12.75" customHeight="1">
      <c r="A245" s="5"/>
      <c r="B245" s="5"/>
      <c r="C245" s="5"/>
      <c r="D245" s="5"/>
      <c r="E245" s="5"/>
      <c r="F245" s="5"/>
      <c r="G245" s="5"/>
      <c r="H245" s="306"/>
      <c r="I245" s="5"/>
      <c r="J245" s="5"/>
      <c r="K245" s="5"/>
      <c r="L245" s="5"/>
      <c r="M245" s="5"/>
      <c r="N245" s="5"/>
      <c r="O245" s="57"/>
      <c r="P245" s="5"/>
      <c r="Q245" s="5"/>
      <c r="R245" s="5"/>
      <c r="S245" s="5"/>
      <c r="T245" s="5"/>
      <c r="U245" s="5"/>
      <c r="V245" s="5"/>
      <c r="W245" s="5"/>
      <c r="X245" s="5"/>
      <c r="Y245" s="5"/>
      <c r="Z245" s="5"/>
    </row>
    <row r="246" spans="1:26" ht="12.75" customHeight="1">
      <c r="A246" s="5"/>
      <c r="B246" s="5"/>
      <c r="C246" s="5"/>
      <c r="D246" s="5"/>
      <c r="E246" s="5"/>
      <c r="F246" s="5"/>
      <c r="G246" s="5"/>
      <c r="H246" s="306"/>
      <c r="I246" s="5"/>
      <c r="J246" s="5"/>
      <c r="K246" s="5"/>
      <c r="L246" s="5"/>
      <c r="M246" s="5"/>
      <c r="N246" s="5"/>
      <c r="O246" s="57"/>
      <c r="P246" s="5"/>
      <c r="Q246" s="5"/>
      <c r="R246" s="5"/>
      <c r="S246" s="5"/>
      <c r="T246" s="5"/>
      <c r="U246" s="5"/>
      <c r="V246" s="5"/>
      <c r="W246" s="5"/>
      <c r="X246" s="5"/>
      <c r="Y246" s="5"/>
      <c r="Z246" s="5"/>
    </row>
    <row r="247" spans="1:26" ht="12.75" customHeight="1">
      <c r="A247" s="5"/>
      <c r="B247" s="5"/>
      <c r="C247" s="5"/>
      <c r="D247" s="5"/>
      <c r="E247" s="5"/>
      <c r="F247" s="5"/>
      <c r="G247" s="5"/>
      <c r="H247" s="306"/>
      <c r="I247" s="5"/>
      <c r="J247" s="5"/>
      <c r="K247" s="5"/>
      <c r="L247" s="5"/>
      <c r="M247" s="5"/>
      <c r="N247" s="5"/>
      <c r="O247" s="57"/>
      <c r="P247" s="5"/>
      <c r="Q247" s="5"/>
      <c r="R247" s="5"/>
      <c r="S247" s="5"/>
      <c r="T247" s="5"/>
      <c r="U247" s="5"/>
      <c r="V247" s="5"/>
      <c r="W247" s="5"/>
      <c r="X247" s="5"/>
      <c r="Y247" s="5"/>
      <c r="Z247" s="5"/>
    </row>
    <row r="248" spans="1:26" ht="12.75" customHeight="1">
      <c r="A248" s="5"/>
      <c r="B248" s="5"/>
      <c r="C248" s="5"/>
      <c r="D248" s="5"/>
      <c r="E248" s="5"/>
      <c r="F248" s="5"/>
      <c r="G248" s="5"/>
      <c r="H248" s="306"/>
      <c r="I248" s="5"/>
      <c r="J248" s="5"/>
      <c r="K248" s="5"/>
      <c r="L248" s="5"/>
      <c r="M248" s="5"/>
      <c r="N248" s="5"/>
      <c r="O248" s="57"/>
      <c r="P248" s="5"/>
      <c r="Q248" s="5"/>
      <c r="R248" s="5"/>
      <c r="S248" s="5"/>
      <c r="T248" s="5"/>
      <c r="U248" s="5"/>
      <c r="V248" s="5"/>
      <c r="W248" s="5"/>
      <c r="X248" s="5"/>
      <c r="Y248" s="5"/>
      <c r="Z248" s="5"/>
    </row>
    <row r="249" spans="1:26" ht="12.75" customHeight="1">
      <c r="A249" s="5"/>
      <c r="B249" s="5"/>
      <c r="C249" s="5"/>
      <c r="D249" s="5"/>
      <c r="E249" s="5"/>
      <c r="F249" s="5"/>
      <c r="G249" s="5"/>
      <c r="H249" s="306"/>
      <c r="I249" s="5"/>
      <c r="J249" s="5"/>
      <c r="K249" s="5"/>
      <c r="L249" s="5"/>
      <c r="M249" s="5"/>
      <c r="N249" s="5"/>
      <c r="O249" s="57"/>
      <c r="P249" s="5"/>
      <c r="Q249" s="5"/>
      <c r="R249" s="5"/>
      <c r="S249" s="5"/>
      <c r="T249" s="5"/>
      <c r="U249" s="5"/>
      <c r="V249" s="5"/>
      <c r="W249" s="5"/>
      <c r="X249" s="5"/>
      <c r="Y249" s="5"/>
      <c r="Z249" s="5"/>
    </row>
    <row r="250" spans="1:26" ht="12.75" customHeight="1">
      <c r="A250" s="5"/>
      <c r="B250" s="5"/>
      <c r="C250" s="5"/>
      <c r="D250" s="5"/>
      <c r="E250" s="5"/>
      <c r="F250" s="5"/>
      <c r="G250" s="5"/>
      <c r="H250" s="306"/>
      <c r="I250" s="5"/>
      <c r="J250" s="5"/>
      <c r="K250" s="5"/>
      <c r="L250" s="5"/>
      <c r="M250" s="5"/>
      <c r="N250" s="5"/>
      <c r="O250" s="57"/>
      <c r="P250" s="5"/>
      <c r="Q250" s="5"/>
      <c r="R250" s="5"/>
      <c r="S250" s="5"/>
      <c r="T250" s="5"/>
      <c r="U250" s="5"/>
      <c r="V250" s="5"/>
      <c r="W250" s="5"/>
      <c r="X250" s="5"/>
      <c r="Y250" s="5"/>
      <c r="Z250" s="5"/>
    </row>
    <row r="251" spans="1:26" ht="12.75" customHeight="1">
      <c r="A251" s="5"/>
      <c r="B251" s="5"/>
      <c r="C251" s="5"/>
      <c r="D251" s="5"/>
      <c r="E251" s="5"/>
      <c r="F251" s="5"/>
      <c r="G251" s="5"/>
      <c r="H251" s="306"/>
      <c r="I251" s="5"/>
      <c r="J251" s="5"/>
      <c r="K251" s="5"/>
      <c r="L251" s="5"/>
      <c r="M251" s="5"/>
      <c r="N251" s="5"/>
      <c r="O251" s="57"/>
      <c r="P251" s="5"/>
      <c r="Q251" s="5"/>
      <c r="R251" s="5"/>
      <c r="S251" s="5"/>
      <c r="T251" s="5"/>
      <c r="U251" s="5"/>
      <c r="V251" s="5"/>
      <c r="W251" s="5"/>
      <c r="X251" s="5"/>
      <c r="Y251" s="5"/>
      <c r="Z251" s="5"/>
    </row>
    <row r="252" spans="1:26" ht="12.75" customHeight="1">
      <c r="A252" s="5"/>
      <c r="B252" s="5"/>
      <c r="C252" s="5"/>
      <c r="D252" s="5"/>
      <c r="E252" s="5"/>
      <c r="F252" s="5"/>
      <c r="G252" s="5"/>
      <c r="H252" s="306"/>
      <c r="I252" s="5"/>
      <c r="J252" s="5"/>
      <c r="K252" s="5"/>
      <c r="L252" s="5"/>
      <c r="M252" s="5"/>
      <c r="N252" s="5"/>
      <c r="O252" s="57"/>
      <c r="P252" s="5"/>
      <c r="Q252" s="5"/>
      <c r="R252" s="5"/>
      <c r="S252" s="5"/>
      <c r="T252" s="5"/>
      <c r="U252" s="5"/>
      <c r="V252" s="5"/>
      <c r="W252" s="5"/>
      <c r="X252" s="5"/>
      <c r="Y252" s="5"/>
      <c r="Z252" s="5"/>
    </row>
    <row r="253" spans="1:26" ht="12.75" customHeight="1">
      <c r="A253" s="5"/>
      <c r="B253" s="5"/>
      <c r="C253" s="5"/>
      <c r="D253" s="5"/>
      <c r="E253" s="5"/>
      <c r="F253" s="5"/>
      <c r="G253" s="5"/>
      <c r="H253" s="306"/>
      <c r="I253" s="5"/>
      <c r="J253" s="5"/>
      <c r="K253" s="5"/>
      <c r="L253" s="5"/>
      <c r="M253" s="5"/>
      <c r="N253" s="5"/>
      <c r="O253" s="57"/>
      <c r="P253" s="5"/>
      <c r="Q253" s="5"/>
      <c r="R253" s="5"/>
      <c r="S253" s="5"/>
      <c r="T253" s="5"/>
      <c r="U253" s="5"/>
      <c r="V253" s="5"/>
      <c r="W253" s="5"/>
      <c r="X253" s="5"/>
      <c r="Y253" s="5"/>
      <c r="Z253" s="5"/>
    </row>
    <row r="254" spans="1:26" ht="12.75" customHeight="1">
      <c r="A254" s="5"/>
      <c r="B254" s="5"/>
      <c r="C254" s="5"/>
      <c r="D254" s="5"/>
      <c r="E254" s="5"/>
      <c r="F254" s="5"/>
      <c r="G254" s="5"/>
      <c r="H254" s="306"/>
      <c r="I254" s="5"/>
      <c r="J254" s="5"/>
      <c r="K254" s="5"/>
      <c r="L254" s="5"/>
      <c r="M254" s="5"/>
      <c r="N254" s="5"/>
      <c r="O254" s="57"/>
      <c r="P254" s="5"/>
      <c r="Q254" s="5"/>
      <c r="R254" s="5"/>
      <c r="S254" s="5"/>
      <c r="T254" s="5"/>
      <c r="U254" s="5"/>
      <c r="V254" s="5"/>
      <c r="W254" s="5"/>
      <c r="X254" s="5"/>
      <c r="Y254" s="5"/>
      <c r="Z254" s="5"/>
    </row>
    <row r="255" spans="1:26" ht="12.75" customHeight="1">
      <c r="A255" s="5"/>
      <c r="B255" s="5"/>
      <c r="C255" s="5"/>
      <c r="D255" s="5"/>
      <c r="E255" s="5"/>
      <c r="F255" s="5"/>
      <c r="G255" s="5"/>
      <c r="H255" s="306"/>
      <c r="I255" s="5"/>
      <c r="J255" s="5"/>
      <c r="K255" s="5"/>
      <c r="L255" s="5"/>
      <c r="M255" s="5"/>
      <c r="N255" s="5"/>
      <c r="O255" s="57"/>
      <c r="P255" s="5"/>
      <c r="Q255" s="5"/>
      <c r="R255" s="5"/>
      <c r="S255" s="5"/>
      <c r="T255" s="5"/>
      <c r="U255" s="5"/>
      <c r="V255" s="5"/>
      <c r="W255" s="5"/>
      <c r="X255" s="5"/>
      <c r="Y255" s="5"/>
      <c r="Z255" s="5"/>
    </row>
    <row r="256" spans="1:26" ht="12.75" customHeight="1">
      <c r="A256" s="5"/>
      <c r="B256" s="5"/>
      <c r="C256" s="5"/>
      <c r="D256" s="5"/>
      <c r="E256" s="5"/>
      <c r="F256" s="5"/>
      <c r="G256" s="5"/>
      <c r="H256" s="306"/>
      <c r="I256" s="5"/>
      <c r="J256" s="5"/>
      <c r="K256" s="5"/>
      <c r="L256" s="5"/>
      <c r="M256" s="5"/>
      <c r="N256" s="5"/>
      <c r="O256" s="57"/>
      <c r="P256" s="5"/>
      <c r="Q256" s="5"/>
      <c r="R256" s="5"/>
      <c r="S256" s="5"/>
      <c r="T256" s="5"/>
      <c r="U256" s="5"/>
      <c r="V256" s="5"/>
      <c r="W256" s="5"/>
      <c r="X256" s="5"/>
      <c r="Y256" s="5"/>
      <c r="Z256" s="5"/>
    </row>
    <row r="257" spans="1:26" ht="12.75" customHeight="1">
      <c r="A257" s="5"/>
      <c r="B257" s="5"/>
      <c r="C257" s="5"/>
      <c r="D257" s="5"/>
      <c r="E257" s="5"/>
      <c r="F257" s="5"/>
      <c r="G257" s="5"/>
      <c r="H257" s="306"/>
      <c r="I257" s="5"/>
      <c r="J257" s="5"/>
      <c r="K257" s="5"/>
      <c r="L257" s="5"/>
      <c r="M257" s="5"/>
      <c r="N257" s="5"/>
      <c r="O257" s="57"/>
      <c r="P257" s="5"/>
      <c r="Q257" s="5"/>
      <c r="R257" s="5"/>
      <c r="S257" s="5"/>
      <c r="T257" s="5"/>
      <c r="U257" s="5"/>
      <c r="V257" s="5"/>
      <c r="W257" s="5"/>
      <c r="X257" s="5"/>
      <c r="Y257" s="5"/>
      <c r="Z257" s="5"/>
    </row>
    <row r="258" spans="1:26" ht="12.75" customHeight="1">
      <c r="A258" s="5"/>
      <c r="B258" s="5"/>
      <c r="C258" s="5"/>
      <c r="D258" s="5"/>
      <c r="E258" s="5"/>
      <c r="F258" s="5"/>
      <c r="G258" s="5"/>
      <c r="H258" s="306"/>
      <c r="I258" s="5"/>
      <c r="J258" s="5"/>
      <c r="K258" s="5"/>
      <c r="L258" s="5"/>
      <c r="M258" s="5"/>
      <c r="N258" s="5"/>
      <c r="O258" s="57"/>
      <c r="P258" s="5"/>
      <c r="Q258" s="5"/>
      <c r="R258" s="5"/>
      <c r="S258" s="5"/>
      <c r="T258" s="5"/>
      <c r="U258" s="5"/>
      <c r="V258" s="5"/>
      <c r="W258" s="5"/>
      <c r="X258" s="5"/>
      <c r="Y258" s="5"/>
      <c r="Z258" s="5"/>
    </row>
    <row r="259" spans="1:26" ht="12.75" customHeight="1">
      <c r="A259" s="5"/>
      <c r="B259" s="5"/>
      <c r="C259" s="5"/>
      <c r="D259" s="5"/>
      <c r="E259" s="5"/>
      <c r="F259" s="5"/>
      <c r="G259" s="5"/>
      <c r="H259" s="306"/>
      <c r="I259" s="5"/>
      <c r="J259" s="5"/>
      <c r="K259" s="5"/>
      <c r="L259" s="5"/>
      <c r="M259" s="5"/>
      <c r="N259" s="5"/>
      <c r="O259" s="57"/>
      <c r="P259" s="5"/>
      <c r="Q259" s="5"/>
      <c r="R259" s="5"/>
      <c r="S259" s="5"/>
      <c r="T259" s="5"/>
      <c r="U259" s="5"/>
      <c r="V259" s="5"/>
      <c r="W259" s="5"/>
      <c r="X259" s="5"/>
      <c r="Y259" s="5"/>
      <c r="Z259" s="5"/>
    </row>
    <row r="260" spans="1:26" ht="12.75" customHeight="1">
      <c r="A260" s="5"/>
      <c r="B260" s="5"/>
      <c r="C260" s="5"/>
      <c r="D260" s="5"/>
      <c r="E260" s="5"/>
      <c r="F260" s="5"/>
      <c r="G260" s="5"/>
      <c r="H260" s="306"/>
      <c r="I260" s="5"/>
      <c r="J260" s="5"/>
      <c r="K260" s="5"/>
      <c r="L260" s="5"/>
      <c r="M260" s="5"/>
      <c r="N260" s="5"/>
      <c r="O260" s="57"/>
      <c r="P260" s="5"/>
      <c r="Q260" s="5"/>
      <c r="R260" s="5"/>
      <c r="S260" s="5"/>
      <c r="T260" s="5"/>
      <c r="U260" s="5"/>
      <c r="V260" s="5"/>
      <c r="W260" s="5"/>
      <c r="X260" s="5"/>
      <c r="Y260" s="5"/>
      <c r="Z260" s="5"/>
    </row>
    <row r="261" spans="1:26" ht="12.75" customHeight="1">
      <c r="A261" s="5"/>
      <c r="B261" s="5"/>
      <c r="C261" s="5"/>
      <c r="D261" s="5"/>
      <c r="E261" s="5"/>
      <c r="F261" s="5"/>
      <c r="G261" s="5"/>
      <c r="H261" s="306"/>
      <c r="I261" s="5"/>
      <c r="J261" s="5"/>
      <c r="K261" s="5"/>
      <c r="L261" s="5"/>
      <c r="M261" s="5"/>
      <c r="N261" s="5"/>
      <c r="O261" s="57"/>
      <c r="P261" s="5"/>
      <c r="Q261" s="5"/>
      <c r="R261" s="5"/>
      <c r="S261" s="5"/>
      <c r="T261" s="5"/>
      <c r="U261" s="5"/>
      <c r="V261" s="5"/>
      <c r="W261" s="5"/>
      <c r="X261" s="5"/>
      <c r="Y261" s="5"/>
      <c r="Z261" s="5"/>
    </row>
    <row r="262" spans="1:26" ht="12.75" customHeight="1">
      <c r="A262" s="5"/>
      <c r="B262" s="5"/>
      <c r="C262" s="5"/>
      <c r="D262" s="5"/>
      <c r="E262" s="5"/>
      <c r="F262" s="5"/>
      <c r="G262" s="5"/>
      <c r="H262" s="306"/>
      <c r="I262" s="5"/>
      <c r="J262" s="5"/>
      <c r="K262" s="5"/>
      <c r="L262" s="5"/>
      <c r="M262" s="5"/>
      <c r="N262" s="5"/>
      <c r="O262" s="57"/>
      <c r="P262" s="5"/>
      <c r="Q262" s="5"/>
      <c r="R262" s="5"/>
      <c r="S262" s="5"/>
      <c r="T262" s="5"/>
      <c r="U262" s="5"/>
      <c r="V262" s="5"/>
      <c r="W262" s="5"/>
      <c r="X262" s="5"/>
      <c r="Y262" s="5"/>
      <c r="Z262" s="5"/>
    </row>
    <row r="263" spans="1:26" ht="12.75" customHeight="1">
      <c r="A263" s="5"/>
      <c r="B263" s="5"/>
      <c r="C263" s="5"/>
      <c r="D263" s="5"/>
      <c r="E263" s="5"/>
      <c r="F263" s="5"/>
      <c r="G263" s="5"/>
      <c r="H263" s="306"/>
      <c r="I263" s="5"/>
      <c r="J263" s="5"/>
      <c r="K263" s="5"/>
      <c r="L263" s="5"/>
      <c r="M263" s="5"/>
      <c r="N263" s="5"/>
      <c r="O263" s="57"/>
      <c r="P263" s="5"/>
      <c r="Q263" s="5"/>
      <c r="R263" s="5"/>
      <c r="S263" s="5"/>
      <c r="T263" s="5"/>
      <c r="U263" s="5"/>
      <c r="V263" s="5"/>
      <c r="W263" s="5"/>
      <c r="X263" s="5"/>
      <c r="Y263" s="5"/>
      <c r="Z263" s="5"/>
    </row>
    <row r="264" spans="1:26" ht="12.75" customHeight="1">
      <c r="A264" s="5"/>
      <c r="B264" s="5"/>
      <c r="C264" s="5"/>
      <c r="D264" s="5"/>
      <c r="E264" s="5"/>
      <c r="F264" s="5"/>
      <c r="G264" s="5"/>
      <c r="H264" s="306"/>
      <c r="I264" s="5"/>
      <c r="J264" s="5"/>
      <c r="K264" s="5"/>
      <c r="L264" s="5"/>
      <c r="M264" s="5"/>
      <c r="N264" s="5"/>
      <c r="O264" s="57"/>
      <c r="P264" s="5"/>
      <c r="Q264" s="5"/>
      <c r="R264" s="5"/>
      <c r="S264" s="5"/>
      <c r="T264" s="5"/>
      <c r="U264" s="5"/>
      <c r="V264" s="5"/>
      <c r="W264" s="5"/>
      <c r="X264" s="5"/>
      <c r="Y264" s="5"/>
      <c r="Z264" s="5"/>
    </row>
    <row r="265" spans="1:26" ht="12.75" customHeight="1">
      <c r="A265" s="5"/>
      <c r="B265" s="5"/>
      <c r="C265" s="5"/>
      <c r="D265" s="5"/>
      <c r="E265" s="5"/>
      <c r="F265" s="5"/>
      <c r="G265" s="5"/>
      <c r="H265" s="306"/>
      <c r="I265" s="5"/>
      <c r="J265" s="5"/>
      <c r="K265" s="5"/>
      <c r="L265" s="5"/>
      <c r="M265" s="5"/>
      <c r="N265" s="5"/>
      <c r="O265" s="57"/>
      <c r="P265" s="5"/>
      <c r="Q265" s="5"/>
      <c r="R265" s="5"/>
      <c r="S265" s="5"/>
      <c r="T265" s="5"/>
      <c r="U265" s="5"/>
      <c r="V265" s="5"/>
      <c r="W265" s="5"/>
      <c r="X265" s="5"/>
      <c r="Y265" s="5"/>
      <c r="Z265" s="5"/>
    </row>
    <row r="266" spans="1:26" ht="12.75" customHeight="1">
      <c r="A266" s="5"/>
      <c r="B266" s="5"/>
      <c r="C266" s="5"/>
      <c r="D266" s="5"/>
      <c r="E266" s="5"/>
      <c r="F266" s="5"/>
      <c r="G266" s="5"/>
      <c r="H266" s="306"/>
      <c r="I266" s="5"/>
      <c r="J266" s="5"/>
      <c r="K266" s="5"/>
      <c r="L266" s="5"/>
      <c r="M266" s="5"/>
      <c r="N266" s="5"/>
      <c r="O266" s="57"/>
      <c r="P266" s="5"/>
      <c r="Q266" s="5"/>
      <c r="R266" s="5"/>
      <c r="S266" s="5"/>
      <c r="T266" s="5"/>
      <c r="U266" s="5"/>
      <c r="V266" s="5"/>
      <c r="W266" s="5"/>
      <c r="X266" s="5"/>
      <c r="Y266" s="5"/>
      <c r="Z266" s="5"/>
    </row>
    <row r="267" spans="1:26" ht="12.75" customHeight="1">
      <c r="A267" s="5"/>
      <c r="B267" s="5"/>
      <c r="C267" s="5"/>
      <c r="D267" s="5"/>
      <c r="E267" s="5"/>
      <c r="F267" s="5"/>
      <c r="G267" s="5"/>
      <c r="H267" s="306"/>
      <c r="I267" s="5"/>
      <c r="J267" s="5"/>
      <c r="K267" s="5"/>
      <c r="L267" s="5"/>
      <c r="M267" s="5"/>
      <c r="N267" s="5"/>
      <c r="O267" s="57"/>
      <c r="P267" s="5"/>
      <c r="Q267" s="5"/>
      <c r="R267" s="5"/>
      <c r="S267" s="5"/>
      <c r="T267" s="5"/>
      <c r="U267" s="5"/>
      <c r="V267" s="5"/>
      <c r="W267" s="5"/>
      <c r="X267" s="5"/>
      <c r="Y267" s="5"/>
      <c r="Z267" s="5"/>
    </row>
    <row r="268" spans="1:26" ht="12.75" customHeight="1">
      <c r="A268" s="5"/>
      <c r="B268" s="5"/>
      <c r="C268" s="5"/>
      <c r="D268" s="5"/>
      <c r="E268" s="5"/>
      <c r="F268" s="5"/>
      <c r="G268" s="5"/>
      <c r="H268" s="306"/>
      <c r="I268" s="5"/>
      <c r="J268" s="5"/>
      <c r="K268" s="5"/>
      <c r="L268" s="5"/>
      <c r="M268" s="5"/>
      <c r="N268" s="5"/>
      <c r="O268" s="57"/>
      <c r="P268" s="5"/>
      <c r="Q268" s="5"/>
      <c r="R268" s="5"/>
      <c r="S268" s="5"/>
      <c r="T268" s="5"/>
      <c r="U268" s="5"/>
      <c r="V268" s="5"/>
      <c r="W268" s="5"/>
      <c r="X268" s="5"/>
      <c r="Y268" s="5"/>
      <c r="Z268" s="5"/>
    </row>
    <row r="269" spans="1:26" ht="12.75" customHeight="1">
      <c r="A269" s="5"/>
      <c r="B269" s="5"/>
      <c r="C269" s="5"/>
      <c r="D269" s="5"/>
      <c r="E269" s="5"/>
      <c r="F269" s="5"/>
      <c r="G269" s="5"/>
      <c r="H269" s="306"/>
      <c r="I269" s="5"/>
      <c r="J269" s="5"/>
      <c r="K269" s="5"/>
      <c r="L269" s="5"/>
      <c r="M269" s="5"/>
      <c r="N269" s="5"/>
      <c r="O269" s="57"/>
      <c r="P269" s="5"/>
      <c r="Q269" s="5"/>
      <c r="R269" s="5"/>
      <c r="S269" s="5"/>
      <c r="T269" s="5"/>
      <c r="U269" s="5"/>
      <c r="V269" s="5"/>
      <c r="W269" s="5"/>
      <c r="X269" s="5"/>
      <c r="Y269" s="5"/>
      <c r="Z269" s="5"/>
    </row>
    <row r="270" spans="1:26" ht="12.75" customHeight="1">
      <c r="A270" s="5"/>
      <c r="B270" s="5"/>
      <c r="C270" s="5"/>
      <c r="D270" s="5"/>
      <c r="E270" s="5"/>
      <c r="F270" s="5"/>
      <c r="G270" s="5"/>
      <c r="H270" s="306"/>
      <c r="I270" s="5"/>
      <c r="J270" s="5"/>
      <c r="K270" s="5"/>
      <c r="L270" s="5"/>
      <c r="M270" s="5"/>
      <c r="N270" s="5"/>
      <c r="O270" s="57"/>
      <c r="P270" s="5"/>
      <c r="Q270" s="5"/>
      <c r="R270" s="5"/>
      <c r="S270" s="5"/>
      <c r="T270" s="5"/>
      <c r="U270" s="5"/>
      <c r="V270" s="5"/>
      <c r="W270" s="5"/>
      <c r="X270" s="5"/>
      <c r="Y270" s="5"/>
      <c r="Z270" s="5"/>
    </row>
    <row r="271" spans="1:26" ht="12.75" customHeight="1">
      <c r="A271" s="5"/>
      <c r="B271" s="5"/>
      <c r="C271" s="5"/>
      <c r="D271" s="5"/>
      <c r="E271" s="5"/>
      <c r="F271" s="5"/>
      <c r="G271" s="5"/>
      <c r="H271" s="306"/>
      <c r="I271" s="5"/>
      <c r="J271" s="5"/>
      <c r="K271" s="5"/>
      <c r="L271" s="5"/>
      <c r="M271" s="5"/>
      <c r="N271" s="5"/>
      <c r="O271" s="57"/>
      <c r="P271" s="5"/>
      <c r="Q271" s="5"/>
      <c r="R271" s="5"/>
      <c r="S271" s="5"/>
      <c r="T271" s="5"/>
      <c r="U271" s="5"/>
      <c r="V271" s="5"/>
      <c r="W271" s="5"/>
      <c r="X271" s="5"/>
      <c r="Y271" s="5"/>
      <c r="Z271" s="5"/>
    </row>
    <row r="272" spans="1:26" ht="12.75" customHeight="1">
      <c r="A272" s="5"/>
      <c r="B272" s="5"/>
      <c r="C272" s="5"/>
      <c r="D272" s="5"/>
      <c r="E272" s="5"/>
      <c r="F272" s="5"/>
      <c r="G272" s="5"/>
      <c r="H272" s="306"/>
      <c r="I272" s="5"/>
      <c r="J272" s="5"/>
      <c r="K272" s="5"/>
      <c r="L272" s="5"/>
      <c r="M272" s="5"/>
      <c r="N272" s="5"/>
      <c r="O272" s="57"/>
      <c r="P272" s="5"/>
      <c r="Q272" s="5"/>
      <c r="R272" s="5"/>
      <c r="S272" s="5"/>
      <c r="T272" s="5"/>
      <c r="U272" s="5"/>
      <c r="V272" s="5"/>
      <c r="W272" s="5"/>
      <c r="X272" s="5"/>
      <c r="Y272" s="5"/>
      <c r="Z272" s="5"/>
    </row>
    <row r="273" spans="1:26" ht="12.75" customHeight="1">
      <c r="A273" s="5"/>
      <c r="B273" s="5"/>
      <c r="C273" s="5"/>
      <c r="D273" s="5"/>
      <c r="E273" s="5"/>
      <c r="F273" s="5"/>
      <c r="G273" s="5"/>
      <c r="H273" s="306"/>
      <c r="I273" s="5"/>
      <c r="J273" s="5"/>
      <c r="K273" s="5"/>
      <c r="L273" s="5"/>
      <c r="M273" s="5"/>
      <c r="N273" s="5"/>
      <c r="O273" s="57"/>
      <c r="P273" s="5"/>
      <c r="Q273" s="5"/>
      <c r="R273" s="5"/>
      <c r="S273" s="5"/>
      <c r="T273" s="5"/>
      <c r="U273" s="5"/>
      <c r="V273" s="5"/>
      <c r="W273" s="5"/>
      <c r="X273" s="5"/>
      <c r="Y273" s="5"/>
      <c r="Z273" s="5"/>
    </row>
    <row r="274" spans="1:26" ht="12.75" customHeight="1">
      <c r="A274" s="5"/>
      <c r="B274" s="5"/>
      <c r="C274" s="5"/>
      <c r="D274" s="5"/>
      <c r="E274" s="5"/>
      <c r="F274" s="5"/>
      <c r="G274" s="5"/>
      <c r="H274" s="306"/>
      <c r="I274" s="5"/>
      <c r="J274" s="5"/>
      <c r="K274" s="5"/>
      <c r="L274" s="5"/>
      <c r="M274" s="5"/>
      <c r="N274" s="5"/>
      <c r="O274" s="57"/>
      <c r="P274" s="5"/>
      <c r="Q274" s="5"/>
      <c r="R274" s="5"/>
      <c r="S274" s="5"/>
      <c r="T274" s="5"/>
      <c r="U274" s="5"/>
      <c r="V274" s="5"/>
      <c r="W274" s="5"/>
      <c r="X274" s="5"/>
      <c r="Y274" s="5"/>
      <c r="Z274" s="5"/>
    </row>
    <row r="275" spans="1:26" ht="12.75" customHeight="1">
      <c r="A275" s="5"/>
      <c r="B275" s="5"/>
      <c r="C275" s="5"/>
      <c r="D275" s="5"/>
      <c r="E275" s="5"/>
      <c r="F275" s="5"/>
      <c r="G275" s="5"/>
      <c r="H275" s="306"/>
      <c r="I275" s="5"/>
      <c r="J275" s="5"/>
      <c r="K275" s="5"/>
      <c r="L275" s="5"/>
      <c r="M275" s="5"/>
      <c r="N275" s="5"/>
      <c r="O275" s="57"/>
      <c r="P275" s="5"/>
      <c r="Q275" s="5"/>
      <c r="R275" s="5"/>
      <c r="S275" s="5"/>
      <c r="T275" s="5"/>
      <c r="U275" s="5"/>
      <c r="V275" s="5"/>
      <c r="W275" s="5"/>
      <c r="X275" s="5"/>
      <c r="Y275" s="5"/>
      <c r="Z275" s="5"/>
    </row>
    <row r="276" spans="1:26" ht="12.75" customHeight="1">
      <c r="A276" s="5"/>
      <c r="B276" s="5"/>
      <c r="C276" s="5"/>
      <c r="D276" s="5"/>
      <c r="E276" s="5"/>
      <c r="F276" s="5"/>
      <c r="G276" s="5"/>
      <c r="H276" s="306"/>
      <c r="I276" s="5"/>
      <c r="J276" s="5"/>
      <c r="K276" s="5"/>
      <c r="L276" s="5"/>
      <c r="M276" s="5"/>
      <c r="N276" s="5"/>
      <c r="O276" s="57"/>
      <c r="P276" s="5"/>
      <c r="Q276" s="5"/>
      <c r="R276" s="5"/>
      <c r="S276" s="5"/>
      <c r="T276" s="5"/>
      <c r="U276" s="5"/>
      <c r="V276" s="5"/>
      <c r="W276" s="5"/>
      <c r="X276" s="5"/>
      <c r="Y276" s="5"/>
      <c r="Z276" s="5"/>
    </row>
    <row r="277" spans="1:26" ht="12.75" customHeight="1">
      <c r="A277" s="5"/>
      <c r="B277" s="5"/>
      <c r="C277" s="5"/>
      <c r="D277" s="5"/>
      <c r="E277" s="5"/>
      <c r="F277" s="5"/>
      <c r="G277" s="5"/>
      <c r="H277" s="306"/>
      <c r="I277" s="5"/>
      <c r="J277" s="5"/>
      <c r="K277" s="5"/>
      <c r="L277" s="5"/>
      <c r="M277" s="5"/>
      <c r="N277" s="5"/>
      <c r="O277" s="57"/>
      <c r="P277" s="5"/>
      <c r="Q277" s="5"/>
      <c r="R277" s="5"/>
      <c r="S277" s="5"/>
      <c r="T277" s="5"/>
      <c r="U277" s="5"/>
      <c r="V277" s="5"/>
      <c r="W277" s="5"/>
      <c r="X277" s="5"/>
      <c r="Y277" s="5"/>
      <c r="Z277" s="5"/>
    </row>
    <row r="278" spans="1:26" ht="12.75" customHeight="1">
      <c r="A278" s="5"/>
      <c r="B278" s="5"/>
      <c r="C278" s="5"/>
      <c r="D278" s="5"/>
      <c r="E278" s="5"/>
      <c r="F278" s="5"/>
      <c r="G278" s="5"/>
      <c r="H278" s="306"/>
      <c r="I278" s="5"/>
      <c r="J278" s="5"/>
      <c r="K278" s="5"/>
      <c r="L278" s="5"/>
      <c r="M278" s="5"/>
      <c r="N278" s="5"/>
      <c r="O278" s="57"/>
      <c r="P278" s="5"/>
      <c r="Q278" s="5"/>
      <c r="R278" s="5"/>
      <c r="S278" s="5"/>
      <c r="T278" s="5"/>
      <c r="U278" s="5"/>
      <c r="V278" s="5"/>
      <c r="W278" s="5"/>
      <c r="X278" s="5"/>
      <c r="Y278" s="5"/>
      <c r="Z278" s="5"/>
    </row>
    <row r="279" spans="1:26" ht="12.75" customHeight="1">
      <c r="A279" s="5"/>
      <c r="B279" s="5"/>
      <c r="C279" s="5"/>
      <c r="D279" s="5"/>
      <c r="E279" s="5"/>
      <c r="F279" s="5"/>
      <c r="G279" s="5"/>
      <c r="H279" s="306"/>
      <c r="I279" s="5"/>
      <c r="J279" s="5"/>
      <c r="K279" s="5"/>
      <c r="L279" s="5"/>
      <c r="M279" s="5"/>
      <c r="N279" s="5"/>
      <c r="O279" s="57"/>
      <c r="P279" s="5"/>
      <c r="Q279" s="5"/>
      <c r="R279" s="5"/>
      <c r="S279" s="5"/>
      <c r="T279" s="5"/>
      <c r="U279" s="5"/>
      <c r="V279" s="5"/>
      <c r="W279" s="5"/>
      <c r="X279" s="5"/>
      <c r="Y279" s="5"/>
      <c r="Z279" s="5"/>
    </row>
    <row r="280" spans="1:26" ht="12.75" customHeight="1">
      <c r="A280" s="5"/>
      <c r="B280" s="5"/>
      <c r="C280" s="5"/>
      <c r="D280" s="5"/>
      <c r="E280" s="5"/>
      <c r="F280" s="5"/>
      <c r="G280" s="5"/>
      <c r="H280" s="306"/>
      <c r="I280" s="5"/>
      <c r="J280" s="5"/>
      <c r="K280" s="5"/>
      <c r="L280" s="5"/>
      <c r="M280" s="5"/>
      <c r="N280" s="5"/>
      <c r="O280" s="57"/>
      <c r="P280" s="5"/>
      <c r="Q280" s="5"/>
      <c r="R280" s="5"/>
      <c r="S280" s="5"/>
      <c r="T280" s="5"/>
      <c r="U280" s="5"/>
      <c r="V280" s="5"/>
      <c r="W280" s="5"/>
      <c r="X280" s="5"/>
      <c r="Y280" s="5"/>
      <c r="Z280" s="5"/>
    </row>
    <row r="281" spans="1:26" ht="12.75" customHeight="1">
      <c r="A281" s="5"/>
      <c r="B281" s="5"/>
      <c r="C281" s="5"/>
      <c r="D281" s="5"/>
      <c r="E281" s="5"/>
      <c r="F281" s="5"/>
      <c r="G281" s="5"/>
      <c r="H281" s="306"/>
      <c r="I281" s="5"/>
      <c r="J281" s="5"/>
      <c r="K281" s="5"/>
      <c r="L281" s="5"/>
      <c r="M281" s="5"/>
      <c r="N281" s="5"/>
      <c r="O281" s="57"/>
      <c r="P281" s="5"/>
      <c r="Q281" s="5"/>
      <c r="R281" s="5"/>
      <c r="S281" s="5"/>
      <c r="T281" s="5"/>
      <c r="U281" s="5"/>
      <c r="V281" s="5"/>
      <c r="W281" s="5"/>
      <c r="X281" s="5"/>
      <c r="Y281" s="5"/>
      <c r="Z281" s="5"/>
    </row>
    <row r="282" spans="1:26" ht="12.75" customHeight="1">
      <c r="A282" s="5"/>
      <c r="B282" s="5"/>
      <c r="C282" s="5"/>
      <c r="D282" s="5"/>
      <c r="E282" s="5"/>
      <c r="F282" s="5"/>
      <c r="G282" s="5"/>
      <c r="H282" s="306"/>
      <c r="I282" s="5"/>
      <c r="J282" s="5"/>
      <c r="K282" s="5"/>
      <c r="L282" s="5"/>
      <c r="M282" s="5"/>
      <c r="N282" s="5"/>
      <c r="O282" s="57"/>
      <c r="P282" s="5"/>
      <c r="Q282" s="5"/>
      <c r="R282" s="5"/>
      <c r="S282" s="5"/>
      <c r="T282" s="5"/>
      <c r="U282" s="5"/>
      <c r="V282" s="5"/>
      <c r="W282" s="5"/>
      <c r="X282" s="5"/>
      <c r="Y282" s="5"/>
      <c r="Z282" s="5"/>
    </row>
    <row r="283" spans="1:26" ht="12.75" customHeight="1">
      <c r="A283" s="5"/>
      <c r="B283" s="5"/>
      <c r="C283" s="5"/>
      <c r="D283" s="5"/>
      <c r="E283" s="5"/>
      <c r="F283" s="5"/>
      <c r="G283" s="5"/>
      <c r="H283" s="306"/>
      <c r="I283" s="5"/>
      <c r="J283" s="5"/>
      <c r="K283" s="5"/>
      <c r="L283" s="5"/>
      <c r="M283" s="5"/>
      <c r="N283" s="5"/>
      <c r="O283" s="57"/>
      <c r="P283" s="5"/>
      <c r="Q283" s="5"/>
      <c r="R283" s="5"/>
      <c r="S283" s="5"/>
      <c r="T283" s="5"/>
      <c r="U283" s="5"/>
      <c r="V283" s="5"/>
      <c r="W283" s="5"/>
      <c r="X283" s="5"/>
      <c r="Y283" s="5"/>
      <c r="Z283" s="5"/>
    </row>
    <row r="284" spans="1:26" ht="12.75" customHeight="1">
      <c r="A284" s="5"/>
      <c r="B284" s="5"/>
      <c r="C284" s="5"/>
      <c r="D284" s="5"/>
      <c r="E284" s="5"/>
      <c r="F284" s="5"/>
      <c r="G284" s="5"/>
      <c r="H284" s="306"/>
      <c r="I284" s="5"/>
      <c r="J284" s="5"/>
      <c r="K284" s="5"/>
      <c r="L284" s="5"/>
      <c r="M284" s="5"/>
      <c r="N284" s="5"/>
      <c r="O284" s="57"/>
      <c r="P284" s="5"/>
      <c r="Q284" s="5"/>
      <c r="R284" s="5"/>
      <c r="S284" s="5"/>
      <c r="T284" s="5"/>
      <c r="U284" s="5"/>
      <c r="V284" s="5"/>
      <c r="W284" s="5"/>
      <c r="X284" s="5"/>
      <c r="Y284" s="5"/>
      <c r="Z284" s="5"/>
    </row>
    <row r="285" spans="1:26" ht="12.75" customHeight="1">
      <c r="A285" s="5"/>
      <c r="B285" s="5"/>
      <c r="C285" s="5"/>
      <c r="D285" s="5"/>
      <c r="E285" s="5"/>
      <c r="F285" s="5"/>
      <c r="G285" s="5"/>
      <c r="H285" s="306"/>
      <c r="I285" s="5"/>
      <c r="J285" s="5"/>
      <c r="K285" s="5"/>
      <c r="L285" s="5"/>
      <c r="M285" s="5"/>
      <c r="N285" s="5"/>
      <c r="O285" s="57"/>
      <c r="P285" s="5"/>
      <c r="Q285" s="5"/>
      <c r="R285" s="5"/>
      <c r="S285" s="5"/>
      <c r="T285" s="5"/>
      <c r="U285" s="5"/>
      <c r="V285" s="5"/>
      <c r="W285" s="5"/>
      <c r="X285" s="5"/>
      <c r="Y285" s="5"/>
      <c r="Z285" s="5"/>
    </row>
    <row r="286" spans="1:26" ht="12.75" customHeight="1">
      <c r="A286" s="5"/>
      <c r="B286" s="5"/>
      <c r="C286" s="5"/>
      <c r="D286" s="5"/>
      <c r="E286" s="5"/>
      <c r="F286" s="5"/>
      <c r="G286" s="5"/>
      <c r="H286" s="306"/>
      <c r="I286" s="5"/>
      <c r="J286" s="5"/>
      <c r="K286" s="5"/>
      <c r="L286" s="5"/>
      <c r="M286" s="5"/>
      <c r="N286" s="5"/>
      <c r="O286" s="57"/>
      <c r="P286" s="5"/>
      <c r="Q286" s="5"/>
      <c r="R286" s="5"/>
      <c r="S286" s="5"/>
      <c r="T286" s="5"/>
      <c r="U286" s="5"/>
      <c r="V286" s="5"/>
      <c r="W286" s="5"/>
      <c r="X286" s="5"/>
      <c r="Y286" s="5"/>
      <c r="Z286" s="5"/>
    </row>
    <row r="287" spans="1:26" ht="12.75" customHeight="1">
      <c r="A287" s="5"/>
      <c r="B287" s="5"/>
      <c r="C287" s="5"/>
      <c r="D287" s="5"/>
      <c r="E287" s="5"/>
      <c r="F287" s="5"/>
      <c r="G287" s="5"/>
      <c r="H287" s="306"/>
      <c r="I287" s="5"/>
      <c r="J287" s="5"/>
      <c r="K287" s="5"/>
      <c r="L287" s="5"/>
      <c r="M287" s="5"/>
      <c r="N287" s="5"/>
      <c r="O287" s="57"/>
      <c r="P287" s="5"/>
      <c r="Q287" s="5"/>
      <c r="R287" s="5"/>
      <c r="S287" s="5"/>
      <c r="T287" s="5"/>
      <c r="U287" s="5"/>
      <c r="V287" s="5"/>
      <c r="W287" s="5"/>
      <c r="X287" s="5"/>
      <c r="Y287" s="5"/>
      <c r="Z287" s="5"/>
    </row>
    <row r="288" spans="1:26" ht="12.75" customHeight="1">
      <c r="A288" s="5"/>
      <c r="B288" s="5"/>
      <c r="C288" s="5"/>
      <c r="D288" s="5"/>
      <c r="E288" s="5"/>
      <c r="F288" s="5"/>
      <c r="G288" s="5"/>
      <c r="H288" s="306"/>
      <c r="I288" s="5"/>
      <c r="J288" s="5"/>
      <c r="K288" s="5"/>
      <c r="L288" s="5"/>
      <c r="M288" s="5"/>
      <c r="N288" s="5"/>
      <c r="O288" s="57"/>
      <c r="P288" s="5"/>
      <c r="Q288" s="5"/>
      <c r="R288" s="5"/>
      <c r="S288" s="5"/>
      <c r="T288" s="5"/>
      <c r="U288" s="5"/>
      <c r="V288" s="5"/>
      <c r="W288" s="5"/>
      <c r="X288" s="5"/>
      <c r="Y288" s="5"/>
      <c r="Z288" s="5"/>
    </row>
    <row r="289" spans="1:26" ht="12.75" customHeight="1">
      <c r="A289" s="5"/>
      <c r="B289" s="5"/>
      <c r="C289" s="5"/>
      <c r="D289" s="5"/>
      <c r="E289" s="5"/>
      <c r="F289" s="5"/>
      <c r="G289" s="5"/>
      <c r="H289" s="306"/>
      <c r="I289" s="5"/>
      <c r="J289" s="5"/>
      <c r="K289" s="5"/>
      <c r="L289" s="5"/>
      <c r="M289" s="5"/>
      <c r="N289" s="5"/>
      <c r="O289" s="57"/>
      <c r="P289" s="5"/>
      <c r="Q289" s="5"/>
      <c r="R289" s="5"/>
      <c r="S289" s="5"/>
      <c r="T289" s="5"/>
      <c r="U289" s="5"/>
      <c r="V289" s="5"/>
      <c r="W289" s="5"/>
      <c r="X289" s="5"/>
      <c r="Y289" s="5"/>
      <c r="Z289" s="5"/>
    </row>
    <row r="290" spans="1:26" ht="12.75" customHeight="1">
      <c r="A290" s="5"/>
      <c r="B290" s="5"/>
      <c r="C290" s="5"/>
      <c r="D290" s="5"/>
      <c r="E290" s="5"/>
      <c r="F290" s="5"/>
      <c r="G290" s="5"/>
      <c r="H290" s="306"/>
      <c r="I290" s="5"/>
      <c r="J290" s="5"/>
      <c r="K290" s="5"/>
      <c r="L290" s="5"/>
      <c r="M290" s="5"/>
      <c r="N290" s="5"/>
      <c r="O290" s="57"/>
      <c r="P290" s="5"/>
      <c r="Q290" s="5"/>
      <c r="R290" s="5"/>
      <c r="S290" s="5"/>
      <c r="T290" s="5"/>
      <c r="U290" s="5"/>
      <c r="V290" s="5"/>
      <c r="W290" s="5"/>
      <c r="X290" s="5"/>
      <c r="Y290" s="5"/>
      <c r="Z290" s="5"/>
    </row>
    <row r="291" spans="1:26" ht="12.75" customHeight="1">
      <c r="A291" s="5"/>
      <c r="B291" s="5"/>
      <c r="C291" s="5"/>
      <c r="D291" s="5"/>
      <c r="E291" s="5"/>
      <c r="F291" s="5"/>
      <c r="G291" s="5"/>
      <c r="H291" s="306"/>
      <c r="I291" s="5"/>
      <c r="J291" s="5"/>
      <c r="K291" s="5"/>
      <c r="L291" s="5"/>
      <c r="M291" s="5"/>
      <c r="N291" s="5"/>
      <c r="O291" s="57"/>
      <c r="P291" s="5"/>
      <c r="Q291" s="5"/>
      <c r="R291" s="5"/>
      <c r="S291" s="5"/>
      <c r="T291" s="5"/>
      <c r="U291" s="5"/>
      <c r="V291" s="5"/>
      <c r="W291" s="5"/>
      <c r="X291" s="5"/>
      <c r="Y291" s="5"/>
      <c r="Z291" s="5"/>
    </row>
    <row r="292" spans="1:26" ht="12.75" customHeight="1">
      <c r="A292" s="5"/>
      <c r="B292" s="5"/>
      <c r="C292" s="5"/>
      <c r="D292" s="5"/>
      <c r="E292" s="5"/>
      <c r="F292" s="5"/>
      <c r="G292" s="5"/>
      <c r="H292" s="306"/>
      <c r="I292" s="5"/>
      <c r="J292" s="5"/>
      <c r="K292" s="5"/>
      <c r="L292" s="5"/>
      <c r="M292" s="5"/>
      <c r="N292" s="5"/>
      <c r="O292" s="57"/>
      <c r="P292" s="5"/>
      <c r="Q292" s="5"/>
      <c r="R292" s="5"/>
      <c r="S292" s="5"/>
      <c r="T292" s="5"/>
      <c r="U292" s="5"/>
      <c r="V292" s="5"/>
      <c r="W292" s="5"/>
      <c r="X292" s="5"/>
      <c r="Y292" s="5"/>
      <c r="Z292" s="5"/>
    </row>
    <row r="293" spans="1:26" ht="12.75" customHeight="1">
      <c r="A293" s="5"/>
      <c r="B293" s="5"/>
      <c r="C293" s="5"/>
      <c r="D293" s="5"/>
      <c r="E293" s="5"/>
      <c r="F293" s="5"/>
      <c r="G293" s="5"/>
      <c r="H293" s="306"/>
      <c r="I293" s="5"/>
      <c r="J293" s="5"/>
      <c r="K293" s="5"/>
      <c r="L293" s="5"/>
      <c r="M293" s="5"/>
      <c r="N293" s="5"/>
      <c r="O293" s="57"/>
      <c r="P293" s="5"/>
      <c r="Q293" s="5"/>
      <c r="R293" s="5"/>
      <c r="S293" s="5"/>
      <c r="T293" s="5"/>
      <c r="U293" s="5"/>
      <c r="V293" s="5"/>
      <c r="W293" s="5"/>
      <c r="X293" s="5"/>
      <c r="Y293" s="5"/>
      <c r="Z293" s="5"/>
    </row>
    <row r="294" spans="1:26" ht="12.75" customHeight="1">
      <c r="A294" s="5"/>
      <c r="B294" s="5"/>
      <c r="C294" s="5"/>
      <c r="D294" s="5"/>
      <c r="E294" s="5"/>
      <c r="F294" s="5"/>
      <c r="G294" s="5"/>
      <c r="H294" s="306"/>
      <c r="I294" s="5"/>
      <c r="J294" s="5"/>
      <c r="K294" s="5"/>
      <c r="L294" s="5"/>
      <c r="M294" s="5"/>
      <c r="N294" s="5"/>
      <c r="O294" s="57"/>
      <c r="P294" s="5"/>
      <c r="Q294" s="5"/>
      <c r="R294" s="5"/>
      <c r="S294" s="5"/>
      <c r="T294" s="5"/>
      <c r="U294" s="5"/>
      <c r="V294" s="5"/>
      <c r="W294" s="5"/>
      <c r="X294" s="5"/>
      <c r="Y294" s="5"/>
      <c r="Z294" s="5"/>
    </row>
    <row r="295" spans="1:26" ht="12.75" customHeight="1">
      <c r="A295" s="5"/>
      <c r="B295" s="5"/>
      <c r="C295" s="5"/>
      <c r="D295" s="5"/>
      <c r="E295" s="5"/>
      <c r="F295" s="5"/>
      <c r="G295" s="5"/>
      <c r="H295" s="306"/>
      <c r="I295" s="5"/>
      <c r="J295" s="5"/>
      <c r="K295" s="5"/>
      <c r="L295" s="5"/>
      <c r="M295" s="5"/>
      <c r="N295" s="5"/>
      <c r="O295" s="57"/>
      <c r="P295" s="5"/>
      <c r="Q295" s="5"/>
      <c r="R295" s="5"/>
      <c r="S295" s="5"/>
      <c r="T295" s="5"/>
      <c r="U295" s="5"/>
      <c r="V295" s="5"/>
      <c r="W295" s="5"/>
      <c r="X295" s="5"/>
      <c r="Y295" s="5"/>
      <c r="Z295" s="5"/>
    </row>
    <row r="296" spans="1:26" ht="12.75" customHeight="1">
      <c r="A296" s="5"/>
      <c r="B296" s="5"/>
      <c r="C296" s="5"/>
      <c r="D296" s="5"/>
      <c r="E296" s="5"/>
      <c r="F296" s="5"/>
      <c r="G296" s="5"/>
      <c r="H296" s="306"/>
      <c r="I296" s="5"/>
      <c r="J296" s="5"/>
      <c r="K296" s="5"/>
      <c r="L296" s="5"/>
      <c r="M296" s="5"/>
      <c r="N296" s="5"/>
      <c r="O296" s="57"/>
      <c r="P296" s="5"/>
      <c r="Q296" s="5"/>
      <c r="R296" s="5"/>
      <c r="S296" s="5"/>
      <c r="T296" s="5"/>
      <c r="U296" s="5"/>
      <c r="V296" s="5"/>
      <c r="W296" s="5"/>
      <c r="X296" s="5"/>
      <c r="Y296" s="5"/>
      <c r="Z296" s="5"/>
    </row>
    <row r="297" spans="1:26" ht="12.75" customHeight="1">
      <c r="A297" s="5"/>
      <c r="B297" s="5"/>
      <c r="C297" s="5"/>
      <c r="D297" s="5"/>
      <c r="E297" s="5"/>
      <c r="F297" s="5"/>
      <c r="G297" s="5"/>
      <c r="H297" s="306"/>
      <c r="I297" s="5"/>
      <c r="J297" s="5"/>
      <c r="K297" s="5"/>
      <c r="L297" s="5"/>
      <c r="M297" s="5"/>
      <c r="N297" s="5"/>
      <c r="O297" s="57"/>
      <c r="P297" s="5"/>
      <c r="Q297" s="5"/>
      <c r="R297" s="5"/>
      <c r="S297" s="5"/>
      <c r="T297" s="5"/>
      <c r="U297" s="5"/>
      <c r="V297" s="5"/>
      <c r="W297" s="5"/>
      <c r="X297" s="5"/>
      <c r="Y297" s="5"/>
      <c r="Z297" s="5"/>
    </row>
    <row r="298" spans="1:26" ht="12.75" customHeight="1">
      <c r="A298" s="5"/>
      <c r="B298" s="5"/>
      <c r="C298" s="5"/>
      <c r="D298" s="5"/>
      <c r="E298" s="5"/>
      <c r="F298" s="5"/>
      <c r="G298" s="5"/>
      <c r="H298" s="306"/>
      <c r="I298" s="5"/>
      <c r="J298" s="5"/>
      <c r="K298" s="5"/>
      <c r="L298" s="5"/>
      <c r="M298" s="5"/>
      <c r="N298" s="5"/>
      <c r="O298" s="57"/>
      <c r="P298" s="5"/>
      <c r="Q298" s="5"/>
      <c r="R298" s="5"/>
      <c r="S298" s="5"/>
      <c r="T298" s="5"/>
      <c r="U298" s="5"/>
      <c r="V298" s="5"/>
      <c r="W298" s="5"/>
      <c r="X298" s="5"/>
      <c r="Y298" s="5"/>
      <c r="Z298" s="5"/>
    </row>
    <row r="299" spans="1:26" ht="12.75" customHeight="1">
      <c r="A299" s="5"/>
      <c r="B299" s="5"/>
      <c r="C299" s="5"/>
      <c r="D299" s="5"/>
      <c r="E299" s="5"/>
      <c r="F299" s="5"/>
      <c r="G299" s="5"/>
      <c r="H299" s="306"/>
      <c r="I299" s="5"/>
      <c r="J299" s="5"/>
      <c r="K299" s="5"/>
      <c r="L299" s="5"/>
      <c r="M299" s="5"/>
      <c r="N299" s="5"/>
      <c r="O299" s="57"/>
      <c r="P299" s="5"/>
      <c r="Q299" s="5"/>
      <c r="R299" s="5"/>
      <c r="S299" s="5"/>
      <c r="T299" s="5"/>
      <c r="U299" s="5"/>
      <c r="V299" s="5"/>
      <c r="W299" s="5"/>
      <c r="X299" s="5"/>
      <c r="Y299" s="5"/>
      <c r="Z299" s="5"/>
    </row>
    <row r="300" spans="1:26" ht="12.75" customHeight="1">
      <c r="A300" s="5"/>
      <c r="B300" s="5"/>
      <c r="C300" s="5"/>
      <c r="D300" s="5"/>
      <c r="E300" s="5"/>
      <c r="F300" s="5"/>
      <c r="G300" s="5"/>
      <c r="H300" s="306"/>
      <c r="I300" s="5"/>
      <c r="J300" s="5"/>
      <c r="K300" s="5"/>
      <c r="L300" s="5"/>
      <c r="M300" s="5"/>
      <c r="N300" s="5"/>
      <c r="O300" s="57"/>
      <c r="P300" s="5"/>
      <c r="Q300" s="5"/>
      <c r="R300" s="5"/>
      <c r="S300" s="5"/>
      <c r="T300" s="5"/>
      <c r="U300" s="5"/>
      <c r="V300" s="5"/>
      <c r="W300" s="5"/>
      <c r="X300" s="5"/>
      <c r="Y300" s="5"/>
      <c r="Z300" s="5"/>
    </row>
    <row r="301" spans="1:26" ht="12.75" customHeight="1">
      <c r="A301" s="5"/>
      <c r="B301" s="5"/>
      <c r="C301" s="5"/>
      <c r="D301" s="5"/>
      <c r="E301" s="5"/>
      <c r="F301" s="5"/>
      <c r="G301" s="5"/>
      <c r="H301" s="306"/>
      <c r="I301" s="5"/>
      <c r="J301" s="5"/>
      <c r="K301" s="5"/>
      <c r="L301" s="5"/>
      <c r="M301" s="5"/>
      <c r="N301" s="5"/>
      <c r="O301" s="57"/>
      <c r="P301" s="5"/>
      <c r="Q301" s="5"/>
      <c r="R301" s="5"/>
      <c r="S301" s="5"/>
      <c r="T301" s="5"/>
      <c r="U301" s="5"/>
      <c r="V301" s="5"/>
      <c r="W301" s="5"/>
      <c r="X301" s="5"/>
      <c r="Y301" s="5"/>
      <c r="Z301" s="5"/>
    </row>
    <row r="302" spans="1:26" ht="12.75" customHeight="1">
      <c r="A302" s="5"/>
      <c r="B302" s="5"/>
      <c r="C302" s="5"/>
      <c r="D302" s="5"/>
      <c r="E302" s="5"/>
      <c r="F302" s="5"/>
      <c r="G302" s="5"/>
      <c r="H302" s="306"/>
      <c r="I302" s="5"/>
      <c r="J302" s="5"/>
      <c r="K302" s="5"/>
      <c r="L302" s="5"/>
      <c r="M302" s="5"/>
      <c r="N302" s="5"/>
      <c r="O302" s="57"/>
      <c r="P302" s="5"/>
      <c r="Q302" s="5"/>
      <c r="R302" s="5"/>
      <c r="S302" s="5"/>
      <c r="T302" s="5"/>
      <c r="U302" s="5"/>
      <c r="V302" s="5"/>
      <c r="W302" s="5"/>
      <c r="X302" s="5"/>
      <c r="Y302" s="5"/>
      <c r="Z302" s="5"/>
    </row>
    <row r="303" spans="1:26" ht="12.75" customHeight="1">
      <c r="A303" s="5"/>
      <c r="B303" s="5"/>
      <c r="C303" s="5"/>
      <c r="D303" s="5"/>
      <c r="E303" s="5"/>
      <c r="F303" s="5"/>
      <c r="G303" s="5"/>
      <c r="H303" s="306"/>
      <c r="I303" s="5"/>
      <c r="J303" s="5"/>
      <c r="K303" s="5"/>
      <c r="L303" s="5"/>
      <c r="M303" s="5"/>
      <c r="N303" s="5"/>
      <c r="O303" s="57"/>
      <c r="P303" s="5"/>
      <c r="Q303" s="5"/>
      <c r="R303" s="5"/>
      <c r="S303" s="5"/>
      <c r="T303" s="5"/>
      <c r="U303" s="5"/>
      <c r="V303" s="5"/>
      <c r="W303" s="5"/>
      <c r="X303" s="5"/>
      <c r="Y303" s="5"/>
      <c r="Z303" s="5"/>
    </row>
    <row r="304" spans="1:26" ht="12.75" customHeight="1">
      <c r="A304" s="5"/>
      <c r="B304" s="5"/>
      <c r="C304" s="5"/>
      <c r="D304" s="5"/>
      <c r="E304" s="5"/>
      <c r="F304" s="5"/>
      <c r="G304" s="5"/>
      <c r="H304" s="306"/>
      <c r="I304" s="5"/>
      <c r="J304" s="5"/>
      <c r="K304" s="5"/>
      <c r="L304" s="5"/>
      <c r="M304" s="5"/>
      <c r="N304" s="5"/>
      <c r="O304" s="57"/>
      <c r="P304" s="5"/>
      <c r="Q304" s="5"/>
      <c r="R304" s="5"/>
      <c r="S304" s="5"/>
      <c r="T304" s="5"/>
      <c r="U304" s="5"/>
      <c r="V304" s="5"/>
      <c r="W304" s="5"/>
      <c r="X304" s="5"/>
      <c r="Y304" s="5"/>
      <c r="Z304" s="5"/>
    </row>
    <row r="305" spans="1:26" ht="12.75" customHeight="1">
      <c r="A305" s="5"/>
      <c r="B305" s="5"/>
      <c r="C305" s="5"/>
      <c r="D305" s="5"/>
      <c r="E305" s="5"/>
      <c r="F305" s="5"/>
      <c r="G305" s="5"/>
      <c r="H305" s="306"/>
      <c r="I305" s="5"/>
      <c r="J305" s="5"/>
      <c r="K305" s="5"/>
      <c r="L305" s="5"/>
      <c r="M305" s="5"/>
      <c r="N305" s="5"/>
      <c r="O305" s="57"/>
      <c r="P305" s="5"/>
      <c r="Q305" s="5"/>
      <c r="R305" s="5"/>
      <c r="S305" s="5"/>
      <c r="T305" s="5"/>
      <c r="U305" s="5"/>
      <c r="V305" s="5"/>
      <c r="W305" s="5"/>
      <c r="X305" s="5"/>
      <c r="Y305" s="5"/>
      <c r="Z305" s="5"/>
    </row>
    <row r="306" spans="1:26" ht="12.75" customHeight="1">
      <c r="A306" s="5"/>
      <c r="B306" s="5"/>
      <c r="C306" s="5"/>
      <c r="D306" s="5"/>
      <c r="E306" s="5"/>
      <c r="F306" s="5"/>
      <c r="G306" s="5"/>
      <c r="H306" s="306"/>
      <c r="I306" s="5"/>
      <c r="J306" s="5"/>
      <c r="K306" s="5"/>
      <c r="L306" s="5"/>
      <c r="M306" s="5"/>
      <c r="N306" s="5"/>
      <c r="O306" s="57"/>
      <c r="P306" s="5"/>
      <c r="Q306" s="5"/>
      <c r="R306" s="5"/>
      <c r="S306" s="5"/>
      <c r="T306" s="5"/>
      <c r="U306" s="5"/>
      <c r="V306" s="5"/>
      <c r="W306" s="5"/>
      <c r="X306" s="5"/>
      <c r="Y306" s="5"/>
      <c r="Z306" s="5"/>
    </row>
    <row r="307" spans="1:26" ht="12.75" customHeight="1">
      <c r="A307" s="5"/>
      <c r="B307" s="5"/>
      <c r="C307" s="5"/>
      <c r="D307" s="5"/>
      <c r="E307" s="5"/>
      <c r="F307" s="5"/>
      <c r="G307" s="5"/>
      <c r="H307" s="306"/>
      <c r="I307" s="5"/>
      <c r="J307" s="5"/>
      <c r="K307" s="5"/>
      <c r="L307" s="5"/>
      <c r="M307" s="5"/>
      <c r="N307" s="5"/>
      <c r="O307" s="57"/>
      <c r="P307" s="5"/>
      <c r="Q307" s="5"/>
      <c r="R307" s="5"/>
      <c r="S307" s="5"/>
      <c r="T307" s="5"/>
      <c r="U307" s="5"/>
      <c r="V307" s="5"/>
      <c r="W307" s="5"/>
      <c r="X307" s="5"/>
      <c r="Y307" s="5"/>
      <c r="Z307" s="5"/>
    </row>
    <row r="308" spans="1:26" ht="12.75" customHeight="1">
      <c r="A308" s="5"/>
      <c r="B308" s="5"/>
      <c r="C308" s="5"/>
      <c r="D308" s="5"/>
      <c r="E308" s="5"/>
      <c r="F308" s="5"/>
      <c r="G308" s="5"/>
      <c r="H308" s="306"/>
      <c r="I308" s="5"/>
      <c r="J308" s="5"/>
      <c r="K308" s="5"/>
      <c r="L308" s="5"/>
      <c r="M308" s="5"/>
      <c r="N308" s="5"/>
      <c r="O308" s="57"/>
      <c r="P308" s="5"/>
      <c r="Q308" s="5"/>
      <c r="R308" s="5"/>
      <c r="S308" s="5"/>
      <c r="T308" s="5"/>
      <c r="U308" s="5"/>
      <c r="V308" s="5"/>
      <c r="W308" s="5"/>
      <c r="X308" s="5"/>
      <c r="Y308" s="5"/>
      <c r="Z308" s="5"/>
    </row>
    <row r="309" spans="1:26" ht="12.75" customHeight="1">
      <c r="A309" s="5"/>
      <c r="B309" s="5"/>
      <c r="C309" s="5"/>
      <c r="D309" s="5"/>
      <c r="E309" s="5"/>
      <c r="F309" s="5"/>
      <c r="G309" s="5"/>
      <c r="H309" s="306"/>
      <c r="I309" s="5"/>
      <c r="J309" s="5"/>
      <c r="K309" s="5"/>
      <c r="L309" s="5"/>
      <c r="M309" s="5"/>
      <c r="N309" s="5"/>
      <c r="O309" s="57"/>
      <c r="P309" s="5"/>
      <c r="Q309" s="5"/>
      <c r="R309" s="5"/>
      <c r="S309" s="5"/>
      <c r="T309" s="5"/>
      <c r="U309" s="5"/>
      <c r="V309" s="5"/>
      <c r="W309" s="5"/>
      <c r="X309" s="5"/>
      <c r="Y309" s="5"/>
      <c r="Z309" s="5"/>
    </row>
    <row r="310" spans="1:26" ht="12.75" customHeight="1">
      <c r="A310" s="5"/>
      <c r="B310" s="5"/>
      <c r="C310" s="5"/>
      <c r="D310" s="5"/>
      <c r="E310" s="5"/>
      <c r="F310" s="5"/>
      <c r="G310" s="5"/>
      <c r="H310" s="306"/>
      <c r="I310" s="5"/>
      <c r="J310" s="5"/>
      <c r="K310" s="5"/>
      <c r="L310" s="5"/>
      <c r="M310" s="5"/>
      <c r="N310" s="5"/>
      <c r="O310" s="57"/>
      <c r="P310" s="5"/>
      <c r="Q310" s="5"/>
      <c r="R310" s="5"/>
      <c r="S310" s="5"/>
      <c r="T310" s="5"/>
      <c r="U310" s="5"/>
      <c r="V310" s="5"/>
      <c r="W310" s="5"/>
      <c r="X310" s="5"/>
      <c r="Y310" s="5"/>
      <c r="Z310" s="5"/>
    </row>
    <row r="311" spans="1:26" ht="12.75" customHeight="1">
      <c r="A311" s="5"/>
      <c r="B311" s="5"/>
      <c r="C311" s="5"/>
      <c r="D311" s="5"/>
      <c r="E311" s="5"/>
      <c r="F311" s="5"/>
      <c r="G311" s="5"/>
      <c r="H311" s="306"/>
      <c r="I311" s="5"/>
      <c r="J311" s="5"/>
      <c r="K311" s="5"/>
      <c r="L311" s="5"/>
      <c r="M311" s="5"/>
      <c r="N311" s="5"/>
      <c r="O311" s="57"/>
      <c r="P311" s="5"/>
      <c r="Q311" s="5"/>
      <c r="R311" s="5"/>
      <c r="S311" s="5"/>
      <c r="T311" s="5"/>
      <c r="U311" s="5"/>
      <c r="V311" s="5"/>
      <c r="W311" s="5"/>
      <c r="X311" s="5"/>
      <c r="Y311" s="5"/>
      <c r="Z311" s="5"/>
    </row>
    <row r="312" spans="1:26" ht="12.75" customHeight="1">
      <c r="A312" s="5"/>
      <c r="B312" s="5"/>
      <c r="C312" s="5"/>
      <c r="D312" s="5"/>
      <c r="E312" s="5"/>
      <c r="F312" s="5"/>
      <c r="G312" s="5"/>
      <c r="H312" s="306"/>
      <c r="I312" s="5"/>
      <c r="J312" s="5"/>
      <c r="K312" s="5"/>
      <c r="L312" s="5"/>
      <c r="M312" s="5"/>
      <c r="N312" s="5"/>
      <c r="O312" s="57"/>
      <c r="P312" s="5"/>
      <c r="Q312" s="5"/>
      <c r="R312" s="5"/>
      <c r="S312" s="5"/>
      <c r="T312" s="5"/>
      <c r="U312" s="5"/>
      <c r="V312" s="5"/>
      <c r="W312" s="5"/>
      <c r="X312" s="5"/>
      <c r="Y312" s="5"/>
      <c r="Z312" s="5"/>
    </row>
    <row r="313" spans="1:26" ht="12.75" customHeight="1">
      <c r="A313" s="5"/>
      <c r="B313" s="5"/>
      <c r="C313" s="5"/>
      <c r="D313" s="5"/>
      <c r="E313" s="5"/>
      <c r="F313" s="5"/>
      <c r="G313" s="5"/>
      <c r="H313" s="306"/>
      <c r="I313" s="5"/>
      <c r="J313" s="5"/>
      <c r="K313" s="5"/>
      <c r="L313" s="5"/>
      <c r="M313" s="5"/>
      <c r="N313" s="5"/>
      <c r="O313" s="57"/>
      <c r="P313" s="5"/>
      <c r="Q313" s="5"/>
      <c r="R313" s="5"/>
      <c r="S313" s="5"/>
      <c r="T313" s="5"/>
      <c r="U313" s="5"/>
      <c r="V313" s="5"/>
      <c r="W313" s="5"/>
      <c r="X313" s="5"/>
      <c r="Y313" s="5"/>
      <c r="Z313" s="5"/>
    </row>
    <row r="314" spans="1:26" ht="12.75" customHeight="1">
      <c r="A314" s="5"/>
      <c r="B314" s="5"/>
      <c r="C314" s="5"/>
      <c r="D314" s="5"/>
      <c r="E314" s="5"/>
      <c r="F314" s="5"/>
      <c r="G314" s="5"/>
      <c r="H314" s="306"/>
      <c r="I314" s="5"/>
      <c r="J314" s="5"/>
      <c r="K314" s="5"/>
      <c r="L314" s="5"/>
      <c r="M314" s="5"/>
      <c r="N314" s="5"/>
      <c r="O314" s="57"/>
      <c r="P314" s="5"/>
      <c r="Q314" s="5"/>
      <c r="R314" s="5"/>
      <c r="S314" s="5"/>
      <c r="T314" s="5"/>
      <c r="U314" s="5"/>
      <c r="V314" s="5"/>
      <c r="W314" s="5"/>
      <c r="X314" s="5"/>
      <c r="Y314" s="5"/>
      <c r="Z314" s="5"/>
    </row>
    <row r="315" spans="1:26" ht="12.75" customHeight="1">
      <c r="A315" s="5"/>
      <c r="B315" s="5"/>
      <c r="C315" s="5"/>
      <c r="D315" s="5"/>
      <c r="E315" s="5"/>
      <c r="F315" s="5"/>
      <c r="G315" s="5"/>
      <c r="H315" s="306"/>
      <c r="I315" s="5"/>
      <c r="J315" s="5"/>
      <c r="K315" s="5"/>
      <c r="L315" s="5"/>
      <c r="M315" s="5"/>
      <c r="N315" s="5"/>
      <c r="O315" s="57"/>
      <c r="P315" s="5"/>
      <c r="Q315" s="5"/>
      <c r="R315" s="5"/>
      <c r="S315" s="5"/>
      <c r="T315" s="5"/>
      <c r="U315" s="5"/>
      <c r="V315" s="5"/>
      <c r="W315" s="5"/>
      <c r="X315" s="5"/>
      <c r="Y315" s="5"/>
      <c r="Z315" s="5"/>
    </row>
    <row r="316" spans="1:26" ht="12.75" customHeight="1">
      <c r="A316" s="5"/>
      <c r="B316" s="5"/>
      <c r="C316" s="5"/>
      <c r="D316" s="5"/>
      <c r="E316" s="5"/>
      <c r="F316" s="5"/>
      <c r="G316" s="5"/>
      <c r="H316" s="306"/>
      <c r="I316" s="5"/>
      <c r="J316" s="5"/>
      <c r="K316" s="5"/>
      <c r="L316" s="5"/>
      <c r="M316" s="5"/>
      <c r="N316" s="5"/>
      <c r="O316" s="57"/>
      <c r="P316" s="5"/>
      <c r="Q316" s="5"/>
      <c r="R316" s="5"/>
      <c r="S316" s="5"/>
      <c r="T316" s="5"/>
      <c r="U316" s="5"/>
      <c r="V316" s="5"/>
      <c r="W316" s="5"/>
      <c r="X316" s="5"/>
      <c r="Y316" s="5"/>
      <c r="Z316" s="5"/>
    </row>
    <row r="317" spans="1:26" ht="12.75" customHeight="1">
      <c r="A317" s="5"/>
      <c r="B317" s="5"/>
      <c r="C317" s="5"/>
      <c r="D317" s="5"/>
      <c r="E317" s="5"/>
      <c r="F317" s="5"/>
      <c r="G317" s="5"/>
      <c r="H317" s="306"/>
      <c r="I317" s="5"/>
      <c r="J317" s="5"/>
      <c r="K317" s="5"/>
      <c r="L317" s="5"/>
      <c r="M317" s="5"/>
      <c r="N317" s="5"/>
      <c r="O317" s="57"/>
      <c r="P317" s="5"/>
      <c r="Q317" s="5"/>
      <c r="R317" s="5"/>
      <c r="S317" s="5"/>
      <c r="T317" s="5"/>
      <c r="U317" s="5"/>
      <c r="V317" s="5"/>
      <c r="W317" s="5"/>
      <c r="X317" s="5"/>
      <c r="Y317" s="5"/>
      <c r="Z317" s="5"/>
    </row>
    <row r="318" spans="1:26" ht="12.75" customHeight="1">
      <c r="A318" s="5"/>
      <c r="B318" s="5"/>
      <c r="C318" s="5"/>
      <c r="D318" s="5"/>
      <c r="E318" s="5"/>
      <c r="F318" s="5"/>
      <c r="G318" s="5"/>
      <c r="H318" s="306"/>
      <c r="I318" s="5"/>
      <c r="J318" s="5"/>
      <c r="K318" s="5"/>
      <c r="L318" s="5"/>
      <c r="M318" s="5"/>
      <c r="N318" s="5"/>
      <c r="O318" s="57"/>
      <c r="P318" s="5"/>
      <c r="Q318" s="5"/>
      <c r="R318" s="5"/>
      <c r="S318" s="5"/>
      <c r="T318" s="5"/>
      <c r="U318" s="5"/>
      <c r="V318" s="5"/>
      <c r="W318" s="5"/>
      <c r="X318" s="5"/>
      <c r="Y318" s="5"/>
      <c r="Z318" s="5"/>
    </row>
    <row r="319" spans="1:26" ht="12.75" customHeight="1">
      <c r="A319" s="5"/>
      <c r="B319" s="5"/>
      <c r="C319" s="5"/>
      <c r="D319" s="5"/>
      <c r="E319" s="5"/>
      <c r="F319" s="5"/>
      <c r="G319" s="5"/>
      <c r="H319" s="306"/>
      <c r="I319" s="5"/>
      <c r="J319" s="5"/>
      <c r="K319" s="5"/>
      <c r="L319" s="5"/>
      <c r="M319" s="5"/>
      <c r="N319" s="5"/>
      <c r="O319" s="57"/>
      <c r="P319" s="5"/>
      <c r="Q319" s="5"/>
      <c r="R319" s="5"/>
      <c r="S319" s="5"/>
      <c r="T319" s="5"/>
      <c r="U319" s="5"/>
      <c r="V319" s="5"/>
      <c r="W319" s="5"/>
      <c r="X319" s="5"/>
      <c r="Y319" s="5"/>
      <c r="Z319" s="5"/>
    </row>
    <row r="320" spans="1:26" ht="12.75" customHeight="1">
      <c r="A320" s="5"/>
      <c r="B320" s="5"/>
      <c r="C320" s="5"/>
      <c r="D320" s="5"/>
      <c r="E320" s="5"/>
      <c r="F320" s="5"/>
      <c r="G320" s="5"/>
      <c r="H320" s="306"/>
      <c r="I320" s="5"/>
      <c r="J320" s="5"/>
      <c r="K320" s="5"/>
      <c r="L320" s="5"/>
      <c r="M320" s="5"/>
      <c r="N320" s="5"/>
      <c r="O320" s="57"/>
      <c r="P320" s="5"/>
      <c r="Q320" s="5"/>
      <c r="R320" s="5"/>
      <c r="S320" s="5"/>
      <c r="T320" s="5"/>
      <c r="U320" s="5"/>
      <c r="V320" s="5"/>
      <c r="W320" s="5"/>
      <c r="X320" s="5"/>
      <c r="Y320" s="5"/>
      <c r="Z320" s="5"/>
    </row>
    <row r="321" spans="1:26" ht="12.75" customHeight="1">
      <c r="A321" s="5"/>
      <c r="B321" s="5"/>
      <c r="C321" s="5"/>
      <c r="D321" s="5"/>
      <c r="E321" s="5"/>
      <c r="F321" s="5"/>
      <c r="G321" s="5"/>
      <c r="H321" s="306"/>
      <c r="I321" s="5"/>
      <c r="J321" s="5"/>
      <c r="K321" s="5"/>
      <c r="L321" s="5"/>
      <c r="M321" s="5"/>
      <c r="N321" s="5"/>
      <c r="O321" s="57"/>
      <c r="P321" s="5"/>
      <c r="Q321" s="5"/>
      <c r="R321" s="5"/>
      <c r="S321" s="5"/>
      <c r="T321" s="5"/>
      <c r="U321" s="5"/>
      <c r="V321" s="5"/>
      <c r="W321" s="5"/>
      <c r="X321" s="5"/>
      <c r="Y321" s="5"/>
      <c r="Z321" s="5"/>
    </row>
    <row r="322" spans="1:26" ht="12.75" customHeight="1">
      <c r="A322" s="5"/>
      <c r="B322" s="5"/>
      <c r="C322" s="5"/>
      <c r="D322" s="5"/>
      <c r="E322" s="5"/>
      <c r="F322" s="5"/>
      <c r="G322" s="5"/>
      <c r="H322" s="306"/>
      <c r="I322" s="5"/>
      <c r="J322" s="5"/>
      <c r="K322" s="5"/>
      <c r="L322" s="5"/>
      <c r="M322" s="5"/>
      <c r="N322" s="5"/>
      <c r="O322" s="57"/>
      <c r="P322" s="5"/>
      <c r="Q322" s="5"/>
      <c r="R322" s="5"/>
      <c r="S322" s="5"/>
      <c r="T322" s="5"/>
      <c r="U322" s="5"/>
      <c r="V322" s="5"/>
      <c r="W322" s="5"/>
      <c r="X322" s="5"/>
      <c r="Y322" s="5"/>
      <c r="Z322" s="5"/>
    </row>
    <row r="323" spans="1:26" ht="12.75" customHeight="1">
      <c r="A323" s="5"/>
      <c r="B323" s="5"/>
      <c r="C323" s="5"/>
      <c r="D323" s="5"/>
      <c r="E323" s="5"/>
      <c r="F323" s="5"/>
      <c r="G323" s="5"/>
      <c r="H323" s="306"/>
      <c r="I323" s="5"/>
      <c r="J323" s="5"/>
      <c r="K323" s="5"/>
      <c r="L323" s="5"/>
      <c r="M323" s="5"/>
      <c r="N323" s="5"/>
      <c r="O323" s="57"/>
      <c r="P323" s="5"/>
      <c r="Q323" s="5"/>
      <c r="R323" s="5"/>
      <c r="S323" s="5"/>
      <c r="T323" s="5"/>
      <c r="U323" s="5"/>
      <c r="V323" s="5"/>
      <c r="W323" s="5"/>
      <c r="X323" s="5"/>
      <c r="Y323" s="5"/>
      <c r="Z323" s="5"/>
    </row>
    <row r="324" spans="1:26" ht="12.75" customHeight="1">
      <c r="A324" s="5"/>
      <c r="B324" s="5"/>
      <c r="C324" s="5"/>
      <c r="D324" s="5"/>
      <c r="E324" s="5"/>
      <c r="F324" s="5"/>
      <c r="G324" s="5"/>
      <c r="H324" s="306"/>
      <c r="I324" s="5"/>
      <c r="J324" s="5"/>
      <c r="K324" s="5"/>
      <c r="L324" s="5"/>
      <c r="M324" s="5"/>
      <c r="N324" s="5"/>
      <c r="O324" s="57"/>
      <c r="P324" s="5"/>
      <c r="Q324" s="5"/>
      <c r="R324" s="5"/>
      <c r="S324" s="5"/>
      <c r="T324" s="5"/>
      <c r="U324" s="5"/>
      <c r="V324" s="5"/>
      <c r="W324" s="5"/>
      <c r="X324" s="5"/>
      <c r="Y324" s="5"/>
      <c r="Z324" s="5"/>
    </row>
    <row r="325" spans="1:26" ht="12.75" customHeight="1">
      <c r="A325" s="5"/>
      <c r="B325" s="5"/>
      <c r="C325" s="5"/>
      <c r="D325" s="5"/>
      <c r="E325" s="5"/>
      <c r="F325" s="5"/>
      <c r="G325" s="5"/>
      <c r="H325" s="306"/>
      <c r="I325" s="5"/>
      <c r="J325" s="5"/>
      <c r="K325" s="5"/>
      <c r="L325" s="5"/>
      <c r="M325" s="5"/>
      <c r="N325" s="5"/>
      <c r="O325" s="57"/>
      <c r="P325" s="5"/>
      <c r="Q325" s="5"/>
      <c r="R325" s="5"/>
      <c r="S325" s="5"/>
      <c r="T325" s="5"/>
      <c r="U325" s="5"/>
      <c r="V325" s="5"/>
      <c r="W325" s="5"/>
      <c r="X325" s="5"/>
      <c r="Y325" s="5"/>
      <c r="Z325" s="5"/>
    </row>
    <row r="326" spans="1:26" ht="12.75" customHeight="1">
      <c r="A326" s="5"/>
      <c r="B326" s="5"/>
      <c r="C326" s="5"/>
      <c r="D326" s="5"/>
      <c r="E326" s="5"/>
      <c r="F326" s="5"/>
      <c r="G326" s="5"/>
      <c r="H326" s="306"/>
      <c r="I326" s="5"/>
      <c r="J326" s="5"/>
      <c r="K326" s="5"/>
      <c r="L326" s="5"/>
      <c r="M326" s="5"/>
      <c r="N326" s="5"/>
      <c r="O326" s="57"/>
      <c r="P326" s="5"/>
      <c r="Q326" s="5"/>
      <c r="R326" s="5"/>
      <c r="S326" s="5"/>
      <c r="T326" s="5"/>
      <c r="U326" s="5"/>
      <c r="V326" s="5"/>
      <c r="W326" s="5"/>
      <c r="X326" s="5"/>
      <c r="Y326" s="5"/>
      <c r="Z326" s="5"/>
    </row>
    <row r="327" spans="1:26" ht="12.75" customHeight="1">
      <c r="A327" s="5"/>
      <c r="B327" s="5"/>
      <c r="C327" s="5"/>
      <c r="D327" s="5"/>
      <c r="E327" s="5"/>
      <c r="F327" s="5"/>
      <c r="G327" s="5"/>
      <c r="H327" s="306"/>
      <c r="I327" s="5"/>
      <c r="J327" s="5"/>
      <c r="K327" s="5"/>
      <c r="L327" s="5"/>
      <c r="M327" s="5"/>
      <c r="N327" s="5"/>
      <c r="O327" s="57"/>
      <c r="P327" s="5"/>
      <c r="Q327" s="5"/>
      <c r="R327" s="5"/>
      <c r="S327" s="5"/>
      <c r="T327" s="5"/>
      <c r="U327" s="5"/>
      <c r="V327" s="5"/>
      <c r="W327" s="5"/>
      <c r="X327" s="5"/>
      <c r="Y327" s="5"/>
      <c r="Z327" s="5"/>
    </row>
    <row r="328" spans="1:26" ht="12.75" customHeight="1">
      <c r="A328" s="5"/>
      <c r="B328" s="5"/>
      <c r="C328" s="5"/>
      <c r="D328" s="5"/>
      <c r="E328" s="5"/>
      <c r="F328" s="5"/>
      <c r="G328" s="5"/>
      <c r="H328" s="306"/>
      <c r="I328" s="5"/>
      <c r="J328" s="5"/>
      <c r="K328" s="5"/>
      <c r="L328" s="5"/>
      <c r="M328" s="5"/>
      <c r="N328" s="5"/>
      <c r="O328" s="57"/>
      <c r="P328" s="5"/>
      <c r="Q328" s="5"/>
      <c r="R328" s="5"/>
      <c r="S328" s="5"/>
      <c r="T328" s="5"/>
      <c r="U328" s="5"/>
      <c r="V328" s="5"/>
      <c r="W328" s="5"/>
      <c r="X328" s="5"/>
      <c r="Y328" s="5"/>
      <c r="Z328" s="5"/>
    </row>
    <row r="329" spans="1:26" ht="12.75" customHeight="1">
      <c r="A329" s="5"/>
      <c r="B329" s="5"/>
      <c r="C329" s="5"/>
      <c r="D329" s="5"/>
      <c r="E329" s="5"/>
      <c r="F329" s="5"/>
      <c r="G329" s="5"/>
      <c r="H329" s="306"/>
      <c r="I329" s="5"/>
      <c r="J329" s="5"/>
      <c r="K329" s="5"/>
      <c r="L329" s="5"/>
      <c r="M329" s="5"/>
      <c r="N329" s="5"/>
      <c r="O329" s="57"/>
      <c r="P329" s="5"/>
      <c r="Q329" s="5"/>
      <c r="R329" s="5"/>
      <c r="S329" s="5"/>
      <c r="T329" s="5"/>
      <c r="U329" s="5"/>
      <c r="V329" s="5"/>
      <c r="W329" s="5"/>
      <c r="X329" s="5"/>
      <c r="Y329" s="5"/>
      <c r="Z329" s="5"/>
    </row>
    <row r="330" spans="1:26" ht="12.75" customHeight="1">
      <c r="A330" s="5"/>
      <c r="B330" s="5"/>
      <c r="C330" s="5"/>
      <c r="D330" s="5"/>
      <c r="E330" s="5"/>
      <c r="F330" s="5"/>
      <c r="G330" s="5"/>
      <c r="H330" s="306"/>
      <c r="I330" s="5"/>
      <c r="J330" s="5"/>
      <c r="K330" s="5"/>
      <c r="L330" s="5"/>
      <c r="M330" s="5"/>
      <c r="N330" s="5"/>
      <c r="O330" s="57"/>
      <c r="P330" s="5"/>
      <c r="Q330" s="5"/>
      <c r="R330" s="5"/>
      <c r="S330" s="5"/>
      <c r="T330" s="5"/>
      <c r="U330" s="5"/>
      <c r="V330" s="5"/>
      <c r="W330" s="5"/>
      <c r="X330" s="5"/>
      <c r="Y330" s="5"/>
      <c r="Z330" s="5"/>
    </row>
    <row r="331" spans="1:26" ht="12.75" customHeight="1">
      <c r="A331" s="5"/>
      <c r="B331" s="5"/>
      <c r="C331" s="5"/>
      <c r="D331" s="5"/>
      <c r="E331" s="5"/>
      <c r="F331" s="5"/>
      <c r="G331" s="5"/>
      <c r="H331" s="306"/>
      <c r="I331" s="5"/>
      <c r="J331" s="5"/>
      <c r="K331" s="5"/>
      <c r="L331" s="5"/>
      <c r="M331" s="5"/>
      <c r="N331" s="5"/>
      <c r="O331" s="57"/>
      <c r="P331" s="5"/>
      <c r="Q331" s="5"/>
      <c r="R331" s="5"/>
      <c r="S331" s="5"/>
      <c r="T331" s="5"/>
      <c r="U331" s="5"/>
      <c r="V331" s="5"/>
      <c r="W331" s="5"/>
      <c r="X331" s="5"/>
      <c r="Y331" s="5"/>
      <c r="Z331" s="5"/>
    </row>
    <row r="332" spans="1:26" ht="12.75" customHeight="1">
      <c r="A332" s="5"/>
      <c r="B332" s="5"/>
      <c r="C332" s="5"/>
      <c r="D332" s="5"/>
      <c r="E332" s="5"/>
      <c r="F332" s="5"/>
      <c r="G332" s="5"/>
      <c r="H332" s="306"/>
      <c r="I332" s="5"/>
      <c r="J332" s="5"/>
      <c r="K332" s="5"/>
      <c r="L332" s="5"/>
      <c r="M332" s="5"/>
      <c r="N332" s="5"/>
      <c r="O332" s="57"/>
      <c r="P332" s="5"/>
      <c r="Q332" s="5"/>
      <c r="R332" s="5"/>
      <c r="S332" s="5"/>
      <c r="T332" s="5"/>
      <c r="U332" s="5"/>
      <c r="V332" s="5"/>
      <c r="W332" s="5"/>
      <c r="X332" s="5"/>
      <c r="Y332" s="5"/>
      <c r="Z332" s="5"/>
    </row>
    <row r="333" spans="1:26" ht="12.75" customHeight="1">
      <c r="A333" s="5"/>
      <c r="B333" s="5"/>
      <c r="C333" s="5"/>
      <c r="D333" s="5"/>
      <c r="E333" s="5"/>
      <c r="F333" s="5"/>
      <c r="G333" s="5"/>
      <c r="H333" s="306"/>
      <c r="I333" s="5"/>
      <c r="J333" s="5"/>
      <c r="K333" s="5"/>
      <c r="L333" s="5"/>
      <c r="M333" s="5"/>
      <c r="N333" s="5"/>
      <c r="O333" s="57"/>
      <c r="P333" s="5"/>
      <c r="Q333" s="5"/>
      <c r="R333" s="5"/>
      <c r="S333" s="5"/>
      <c r="T333" s="5"/>
      <c r="U333" s="5"/>
      <c r="V333" s="5"/>
      <c r="W333" s="5"/>
      <c r="X333" s="5"/>
      <c r="Y333" s="5"/>
      <c r="Z333" s="5"/>
    </row>
    <row r="334" spans="1:26" ht="12.75" customHeight="1">
      <c r="A334" s="5"/>
      <c r="B334" s="5"/>
      <c r="C334" s="5"/>
      <c r="D334" s="5"/>
      <c r="E334" s="5"/>
      <c r="F334" s="5"/>
      <c r="G334" s="5"/>
      <c r="H334" s="306"/>
      <c r="I334" s="5"/>
      <c r="J334" s="5"/>
      <c r="K334" s="5"/>
      <c r="L334" s="5"/>
      <c r="M334" s="5"/>
      <c r="N334" s="5"/>
      <c r="O334" s="57"/>
      <c r="P334" s="5"/>
      <c r="Q334" s="5"/>
      <c r="R334" s="5"/>
      <c r="S334" s="5"/>
      <c r="T334" s="5"/>
      <c r="U334" s="5"/>
      <c r="V334" s="5"/>
      <c r="W334" s="5"/>
      <c r="X334" s="5"/>
      <c r="Y334" s="5"/>
      <c r="Z334" s="5"/>
    </row>
    <row r="335" spans="1:26" ht="12.75" customHeight="1">
      <c r="A335" s="5"/>
      <c r="B335" s="5"/>
      <c r="C335" s="5"/>
      <c r="D335" s="5"/>
      <c r="E335" s="5"/>
      <c r="F335" s="5"/>
      <c r="G335" s="5"/>
      <c r="H335" s="306"/>
      <c r="I335" s="5"/>
      <c r="J335" s="5"/>
      <c r="K335" s="5"/>
      <c r="L335" s="5"/>
      <c r="M335" s="5"/>
      <c r="N335" s="5"/>
      <c r="O335" s="57"/>
      <c r="P335" s="5"/>
      <c r="Q335" s="5"/>
      <c r="R335" s="5"/>
      <c r="S335" s="5"/>
      <c r="T335" s="5"/>
      <c r="U335" s="5"/>
      <c r="V335" s="5"/>
      <c r="W335" s="5"/>
      <c r="X335" s="5"/>
      <c r="Y335" s="5"/>
      <c r="Z335" s="5"/>
    </row>
    <row r="336" spans="1:26" ht="12.75" customHeight="1">
      <c r="A336" s="5"/>
      <c r="B336" s="5"/>
      <c r="C336" s="5"/>
      <c r="D336" s="5"/>
      <c r="E336" s="5"/>
      <c r="F336" s="5"/>
      <c r="G336" s="5"/>
      <c r="H336" s="306"/>
      <c r="I336" s="5"/>
      <c r="J336" s="5"/>
      <c r="K336" s="5"/>
      <c r="L336" s="5"/>
      <c r="M336" s="5"/>
      <c r="N336" s="5"/>
      <c r="O336" s="57"/>
      <c r="P336" s="5"/>
      <c r="Q336" s="5"/>
      <c r="R336" s="5"/>
      <c r="S336" s="5"/>
      <c r="T336" s="5"/>
      <c r="U336" s="5"/>
      <c r="V336" s="5"/>
      <c r="W336" s="5"/>
      <c r="X336" s="5"/>
      <c r="Y336" s="5"/>
      <c r="Z336" s="5"/>
    </row>
    <row r="337" spans="1:26" ht="12.75" customHeight="1">
      <c r="A337" s="5"/>
      <c r="B337" s="5"/>
      <c r="C337" s="5"/>
      <c r="D337" s="5"/>
      <c r="E337" s="5"/>
      <c r="F337" s="5"/>
      <c r="G337" s="5"/>
      <c r="H337" s="306"/>
      <c r="I337" s="5"/>
      <c r="J337" s="5"/>
      <c r="K337" s="5"/>
      <c r="L337" s="5"/>
      <c r="M337" s="5"/>
      <c r="N337" s="5"/>
      <c r="O337" s="57"/>
      <c r="P337" s="5"/>
      <c r="Q337" s="5"/>
      <c r="R337" s="5"/>
      <c r="S337" s="5"/>
      <c r="T337" s="5"/>
      <c r="U337" s="5"/>
      <c r="V337" s="5"/>
      <c r="W337" s="5"/>
      <c r="X337" s="5"/>
      <c r="Y337" s="5"/>
      <c r="Z337" s="5"/>
    </row>
    <row r="338" spans="1:26" ht="12.75" customHeight="1">
      <c r="A338" s="5"/>
      <c r="B338" s="5"/>
      <c r="C338" s="5"/>
      <c r="D338" s="5"/>
      <c r="E338" s="5"/>
      <c r="F338" s="5"/>
      <c r="G338" s="5"/>
      <c r="H338" s="306"/>
      <c r="I338" s="5"/>
      <c r="J338" s="5"/>
      <c r="K338" s="5"/>
      <c r="L338" s="5"/>
      <c r="M338" s="5"/>
      <c r="N338" s="5"/>
      <c r="O338" s="57"/>
      <c r="P338" s="5"/>
      <c r="Q338" s="5"/>
      <c r="R338" s="5"/>
      <c r="S338" s="5"/>
      <c r="T338" s="5"/>
      <c r="U338" s="5"/>
      <c r="V338" s="5"/>
      <c r="W338" s="5"/>
      <c r="X338" s="5"/>
      <c r="Y338" s="5"/>
      <c r="Z338" s="5"/>
    </row>
    <row r="339" spans="1:26" ht="12.75" customHeight="1">
      <c r="A339" s="5"/>
      <c r="B339" s="5"/>
      <c r="C339" s="5"/>
      <c r="D339" s="5"/>
      <c r="E339" s="5"/>
      <c r="F339" s="5"/>
      <c r="G339" s="5"/>
      <c r="H339" s="306"/>
      <c r="I339" s="5"/>
      <c r="J339" s="5"/>
      <c r="K339" s="5"/>
      <c r="L339" s="5"/>
      <c r="M339" s="5"/>
      <c r="N339" s="5"/>
      <c r="O339" s="57"/>
      <c r="P339" s="5"/>
      <c r="Q339" s="5"/>
      <c r="R339" s="5"/>
      <c r="S339" s="5"/>
      <c r="T339" s="5"/>
      <c r="U339" s="5"/>
      <c r="V339" s="5"/>
      <c r="W339" s="5"/>
      <c r="X339" s="5"/>
      <c r="Y339" s="5"/>
      <c r="Z339" s="5"/>
    </row>
    <row r="340" spans="1:26" ht="12.75" customHeight="1">
      <c r="A340" s="5"/>
      <c r="B340" s="5"/>
      <c r="C340" s="5"/>
      <c r="D340" s="5"/>
      <c r="E340" s="5"/>
      <c r="F340" s="5"/>
      <c r="G340" s="5"/>
      <c r="H340" s="306"/>
      <c r="I340" s="5"/>
      <c r="J340" s="5"/>
      <c r="K340" s="5"/>
      <c r="L340" s="5"/>
      <c r="M340" s="5"/>
      <c r="N340" s="5"/>
      <c r="O340" s="57"/>
      <c r="P340" s="5"/>
      <c r="Q340" s="5"/>
      <c r="R340" s="5"/>
      <c r="S340" s="5"/>
      <c r="T340" s="5"/>
      <c r="U340" s="5"/>
      <c r="V340" s="5"/>
      <c r="W340" s="5"/>
      <c r="X340" s="5"/>
      <c r="Y340" s="5"/>
      <c r="Z340" s="5"/>
    </row>
    <row r="341" spans="1:26" ht="12.75" customHeight="1">
      <c r="A341" s="5"/>
      <c r="B341" s="5"/>
      <c r="C341" s="5"/>
      <c r="D341" s="5"/>
      <c r="E341" s="5"/>
      <c r="F341" s="5"/>
      <c r="G341" s="5"/>
      <c r="H341" s="306"/>
      <c r="I341" s="5"/>
      <c r="J341" s="5"/>
      <c r="K341" s="5"/>
      <c r="L341" s="5"/>
      <c r="M341" s="5"/>
      <c r="N341" s="5"/>
      <c r="O341" s="57"/>
      <c r="P341" s="5"/>
      <c r="Q341" s="5"/>
      <c r="R341" s="5"/>
      <c r="S341" s="5"/>
      <c r="T341" s="5"/>
      <c r="U341" s="5"/>
      <c r="V341" s="5"/>
      <c r="W341" s="5"/>
      <c r="X341" s="5"/>
      <c r="Y341" s="5"/>
      <c r="Z341" s="5"/>
    </row>
    <row r="342" spans="1:26" ht="12.75" customHeight="1">
      <c r="A342" s="5"/>
      <c r="B342" s="5"/>
      <c r="C342" s="5"/>
      <c r="D342" s="5"/>
      <c r="E342" s="5"/>
      <c r="F342" s="5"/>
      <c r="G342" s="5"/>
      <c r="H342" s="306"/>
      <c r="I342" s="5"/>
      <c r="J342" s="5"/>
      <c r="K342" s="5"/>
      <c r="L342" s="5"/>
      <c r="M342" s="5"/>
      <c r="N342" s="5"/>
      <c r="O342" s="57"/>
      <c r="P342" s="5"/>
      <c r="Q342" s="5"/>
      <c r="R342" s="5"/>
      <c r="S342" s="5"/>
      <c r="T342" s="5"/>
      <c r="U342" s="5"/>
      <c r="V342" s="5"/>
      <c r="W342" s="5"/>
      <c r="X342" s="5"/>
      <c r="Y342" s="5"/>
      <c r="Z342" s="5"/>
    </row>
    <row r="343" spans="1:26" ht="12.75" customHeight="1">
      <c r="A343" s="5"/>
      <c r="B343" s="5"/>
      <c r="C343" s="5"/>
      <c r="D343" s="5"/>
      <c r="E343" s="5"/>
      <c r="F343" s="5"/>
      <c r="G343" s="5"/>
      <c r="H343" s="306"/>
      <c r="I343" s="5"/>
      <c r="J343" s="5"/>
      <c r="K343" s="5"/>
      <c r="L343" s="5"/>
      <c r="M343" s="5"/>
      <c r="N343" s="5"/>
      <c r="O343" s="57"/>
      <c r="P343" s="5"/>
      <c r="Q343" s="5"/>
      <c r="R343" s="5"/>
      <c r="S343" s="5"/>
      <c r="T343" s="5"/>
      <c r="U343" s="5"/>
      <c r="V343" s="5"/>
      <c r="W343" s="5"/>
      <c r="X343" s="5"/>
      <c r="Y343" s="5"/>
      <c r="Z343" s="5"/>
    </row>
    <row r="344" spans="1:26" ht="12.75" customHeight="1">
      <c r="A344" s="5"/>
      <c r="B344" s="5"/>
      <c r="C344" s="5"/>
      <c r="D344" s="5"/>
      <c r="E344" s="5"/>
      <c r="F344" s="5"/>
      <c r="G344" s="5"/>
      <c r="H344" s="306"/>
      <c r="I344" s="5"/>
      <c r="J344" s="5"/>
      <c r="K344" s="5"/>
      <c r="L344" s="5"/>
      <c r="M344" s="5"/>
      <c r="N344" s="5"/>
      <c r="O344" s="57"/>
      <c r="P344" s="5"/>
      <c r="Q344" s="5"/>
      <c r="R344" s="5"/>
      <c r="S344" s="5"/>
      <c r="T344" s="5"/>
      <c r="U344" s="5"/>
      <c r="V344" s="5"/>
      <c r="W344" s="5"/>
      <c r="X344" s="5"/>
      <c r="Y344" s="5"/>
      <c r="Z344" s="5"/>
    </row>
    <row r="345" spans="1:26" ht="12.75" customHeight="1">
      <c r="A345" s="5"/>
      <c r="B345" s="5"/>
      <c r="C345" s="5"/>
      <c r="D345" s="5"/>
      <c r="E345" s="5"/>
      <c r="F345" s="5"/>
      <c r="G345" s="5"/>
      <c r="H345" s="306"/>
      <c r="I345" s="5"/>
      <c r="J345" s="5"/>
      <c r="K345" s="5"/>
      <c r="L345" s="5"/>
      <c r="M345" s="5"/>
      <c r="N345" s="5"/>
      <c r="O345" s="57"/>
      <c r="P345" s="5"/>
      <c r="Q345" s="5"/>
      <c r="R345" s="5"/>
      <c r="S345" s="5"/>
      <c r="T345" s="5"/>
      <c r="U345" s="5"/>
      <c r="V345" s="5"/>
      <c r="W345" s="5"/>
      <c r="X345" s="5"/>
      <c r="Y345" s="5"/>
      <c r="Z345" s="5"/>
    </row>
    <row r="346" spans="1:26" ht="12.75" customHeight="1">
      <c r="A346" s="5"/>
      <c r="B346" s="5"/>
      <c r="C346" s="5"/>
      <c r="D346" s="5"/>
      <c r="E346" s="5"/>
      <c r="F346" s="5"/>
      <c r="G346" s="5"/>
      <c r="H346" s="306"/>
      <c r="I346" s="5"/>
      <c r="J346" s="5"/>
      <c r="K346" s="5"/>
      <c r="L346" s="5"/>
      <c r="M346" s="5"/>
      <c r="N346" s="5"/>
      <c r="O346" s="57"/>
      <c r="P346" s="5"/>
      <c r="Q346" s="5"/>
      <c r="R346" s="5"/>
      <c r="S346" s="5"/>
      <c r="T346" s="5"/>
      <c r="U346" s="5"/>
      <c r="V346" s="5"/>
      <c r="W346" s="5"/>
      <c r="X346" s="5"/>
      <c r="Y346" s="5"/>
      <c r="Z346" s="5"/>
    </row>
    <row r="347" spans="1:26" ht="12.75" customHeight="1">
      <c r="A347" s="5"/>
      <c r="B347" s="5"/>
      <c r="C347" s="5"/>
      <c r="D347" s="5"/>
      <c r="E347" s="5"/>
      <c r="F347" s="5"/>
      <c r="G347" s="5"/>
      <c r="H347" s="306"/>
      <c r="I347" s="5"/>
      <c r="J347" s="5"/>
      <c r="K347" s="5"/>
      <c r="L347" s="5"/>
      <c r="M347" s="5"/>
      <c r="N347" s="5"/>
      <c r="O347" s="57"/>
      <c r="P347" s="5"/>
      <c r="Q347" s="5"/>
      <c r="R347" s="5"/>
      <c r="S347" s="5"/>
      <c r="T347" s="5"/>
      <c r="U347" s="5"/>
      <c r="V347" s="5"/>
      <c r="W347" s="5"/>
      <c r="X347" s="5"/>
      <c r="Y347" s="5"/>
      <c r="Z347" s="5"/>
    </row>
    <row r="348" spans="1:26" ht="12.75" customHeight="1">
      <c r="A348" s="5"/>
      <c r="B348" s="5"/>
      <c r="C348" s="5"/>
      <c r="D348" s="5"/>
      <c r="E348" s="5"/>
      <c r="F348" s="5"/>
      <c r="G348" s="5"/>
      <c r="H348" s="306"/>
      <c r="I348" s="5"/>
      <c r="J348" s="5"/>
      <c r="K348" s="5"/>
      <c r="L348" s="5"/>
      <c r="M348" s="5"/>
      <c r="N348" s="5"/>
      <c r="O348" s="57"/>
      <c r="P348" s="5"/>
      <c r="Q348" s="5"/>
      <c r="R348" s="5"/>
      <c r="S348" s="5"/>
      <c r="T348" s="5"/>
      <c r="U348" s="5"/>
      <c r="V348" s="5"/>
      <c r="W348" s="5"/>
      <c r="X348" s="5"/>
      <c r="Y348" s="5"/>
      <c r="Z348" s="5"/>
    </row>
    <row r="349" spans="1:26" ht="12.75" customHeight="1">
      <c r="A349" s="5"/>
      <c r="B349" s="5"/>
      <c r="C349" s="5"/>
      <c r="D349" s="5"/>
      <c r="E349" s="5"/>
      <c r="F349" s="5"/>
      <c r="G349" s="5"/>
      <c r="H349" s="306"/>
      <c r="I349" s="5"/>
      <c r="J349" s="5"/>
      <c r="K349" s="5"/>
      <c r="L349" s="5"/>
      <c r="M349" s="5"/>
      <c r="N349" s="5"/>
      <c r="O349" s="57"/>
      <c r="P349" s="5"/>
      <c r="Q349" s="5"/>
      <c r="R349" s="5"/>
      <c r="S349" s="5"/>
      <c r="T349" s="5"/>
      <c r="U349" s="5"/>
      <c r="V349" s="5"/>
      <c r="W349" s="5"/>
      <c r="X349" s="5"/>
      <c r="Y349" s="5"/>
      <c r="Z349" s="5"/>
    </row>
    <row r="350" spans="1:26" ht="12.75" customHeight="1">
      <c r="A350" s="5"/>
      <c r="B350" s="5"/>
      <c r="C350" s="5"/>
      <c r="D350" s="5"/>
      <c r="E350" s="5"/>
      <c r="F350" s="5"/>
      <c r="G350" s="5"/>
      <c r="H350" s="306"/>
      <c r="I350" s="5"/>
      <c r="J350" s="5"/>
      <c r="K350" s="5"/>
      <c r="L350" s="5"/>
      <c r="M350" s="5"/>
      <c r="N350" s="5"/>
      <c r="O350" s="57"/>
      <c r="P350" s="5"/>
      <c r="Q350" s="5"/>
      <c r="R350" s="5"/>
      <c r="S350" s="5"/>
      <c r="T350" s="5"/>
      <c r="U350" s="5"/>
      <c r="V350" s="5"/>
      <c r="W350" s="5"/>
      <c r="X350" s="5"/>
      <c r="Y350" s="5"/>
      <c r="Z350" s="5"/>
    </row>
    <row r="351" spans="1:26" ht="12.75" customHeight="1">
      <c r="A351" s="5"/>
      <c r="B351" s="5"/>
      <c r="C351" s="5"/>
      <c r="D351" s="5"/>
      <c r="E351" s="5"/>
      <c r="F351" s="5"/>
      <c r="G351" s="5"/>
      <c r="H351" s="306"/>
      <c r="I351" s="5"/>
      <c r="J351" s="5"/>
      <c r="K351" s="5"/>
      <c r="L351" s="5"/>
      <c r="M351" s="5"/>
      <c r="N351" s="5"/>
      <c r="O351" s="57"/>
      <c r="P351" s="5"/>
      <c r="Q351" s="5"/>
      <c r="R351" s="5"/>
      <c r="S351" s="5"/>
      <c r="T351" s="5"/>
      <c r="U351" s="5"/>
      <c r="V351" s="5"/>
      <c r="W351" s="5"/>
      <c r="X351" s="5"/>
      <c r="Y351" s="5"/>
      <c r="Z351" s="5"/>
    </row>
    <row r="352" spans="1:26" ht="12.75" customHeight="1">
      <c r="A352" s="5"/>
      <c r="B352" s="5"/>
      <c r="C352" s="5"/>
      <c r="D352" s="5"/>
      <c r="E352" s="5"/>
      <c r="F352" s="5"/>
      <c r="G352" s="5"/>
      <c r="H352" s="306"/>
      <c r="I352" s="5"/>
      <c r="J352" s="5"/>
      <c r="K352" s="5"/>
      <c r="L352" s="5"/>
      <c r="M352" s="5"/>
      <c r="N352" s="5"/>
      <c r="O352" s="57"/>
      <c r="P352" s="5"/>
      <c r="Q352" s="5"/>
      <c r="R352" s="5"/>
      <c r="S352" s="5"/>
      <c r="T352" s="5"/>
      <c r="U352" s="5"/>
      <c r="V352" s="5"/>
      <c r="W352" s="5"/>
      <c r="X352" s="5"/>
      <c r="Y352" s="5"/>
      <c r="Z352" s="5"/>
    </row>
    <row r="353" spans="1:26" ht="12.75" customHeight="1">
      <c r="A353" s="5"/>
      <c r="B353" s="5"/>
      <c r="C353" s="5"/>
      <c r="D353" s="5"/>
      <c r="E353" s="5"/>
      <c r="F353" s="5"/>
      <c r="G353" s="5"/>
      <c r="H353" s="306"/>
      <c r="I353" s="5"/>
      <c r="J353" s="5"/>
      <c r="K353" s="5"/>
      <c r="L353" s="5"/>
      <c r="M353" s="5"/>
      <c r="N353" s="5"/>
      <c r="O353" s="57"/>
      <c r="P353" s="5"/>
      <c r="Q353" s="5"/>
      <c r="R353" s="5"/>
      <c r="S353" s="5"/>
      <c r="T353" s="5"/>
      <c r="U353" s="5"/>
      <c r="V353" s="5"/>
      <c r="W353" s="5"/>
      <c r="X353" s="5"/>
      <c r="Y353" s="5"/>
      <c r="Z353" s="5"/>
    </row>
    <row r="354" spans="1:26" ht="12.75" customHeight="1">
      <c r="A354" s="5"/>
      <c r="B354" s="5"/>
      <c r="C354" s="5"/>
      <c r="D354" s="5"/>
      <c r="E354" s="5"/>
      <c r="F354" s="5"/>
      <c r="G354" s="5"/>
      <c r="H354" s="306"/>
      <c r="I354" s="5"/>
      <c r="J354" s="5"/>
      <c r="K354" s="5"/>
      <c r="L354" s="5"/>
      <c r="M354" s="5"/>
      <c r="N354" s="5"/>
      <c r="O354" s="57"/>
      <c r="P354" s="5"/>
      <c r="Q354" s="5"/>
      <c r="R354" s="5"/>
      <c r="S354" s="5"/>
      <c r="T354" s="5"/>
      <c r="U354" s="5"/>
      <c r="V354" s="5"/>
      <c r="W354" s="5"/>
      <c r="X354" s="5"/>
      <c r="Y354" s="5"/>
      <c r="Z354" s="5"/>
    </row>
    <row r="355" spans="1:26" ht="12.75" customHeight="1">
      <c r="A355" s="5"/>
      <c r="B355" s="5"/>
      <c r="C355" s="5"/>
      <c r="D355" s="5"/>
      <c r="E355" s="5"/>
      <c r="F355" s="5"/>
      <c r="G355" s="5"/>
      <c r="H355" s="306"/>
      <c r="I355" s="5"/>
      <c r="J355" s="5"/>
      <c r="K355" s="5"/>
      <c r="L355" s="5"/>
      <c r="M355" s="5"/>
      <c r="N355" s="5"/>
      <c r="O355" s="57"/>
      <c r="P355" s="5"/>
      <c r="Q355" s="5"/>
      <c r="R355" s="5"/>
      <c r="S355" s="5"/>
      <c r="T355" s="5"/>
      <c r="U355" s="5"/>
      <c r="V355" s="5"/>
      <c r="W355" s="5"/>
      <c r="X355" s="5"/>
      <c r="Y355" s="5"/>
      <c r="Z355" s="5"/>
    </row>
    <row r="356" spans="1:26" ht="12.75" customHeight="1">
      <c r="A356" s="5"/>
      <c r="B356" s="5"/>
      <c r="C356" s="5"/>
      <c r="D356" s="5"/>
      <c r="E356" s="5"/>
      <c r="F356" s="5"/>
      <c r="G356" s="5"/>
      <c r="H356" s="306"/>
      <c r="I356" s="5"/>
      <c r="J356" s="5"/>
      <c r="K356" s="5"/>
      <c r="L356" s="5"/>
      <c r="M356" s="5"/>
      <c r="N356" s="5"/>
      <c r="O356" s="57"/>
      <c r="P356" s="5"/>
      <c r="Q356" s="5"/>
      <c r="R356" s="5"/>
      <c r="S356" s="5"/>
      <c r="T356" s="5"/>
      <c r="U356" s="5"/>
      <c r="V356" s="5"/>
      <c r="W356" s="5"/>
      <c r="X356" s="5"/>
      <c r="Y356" s="5"/>
      <c r="Z356" s="5"/>
    </row>
    <row r="357" spans="1:26" ht="12.75" customHeight="1">
      <c r="A357" s="5"/>
      <c r="B357" s="5"/>
      <c r="C357" s="5"/>
      <c r="D357" s="5"/>
      <c r="E357" s="5"/>
      <c r="F357" s="5"/>
      <c r="G357" s="5"/>
      <c r="H357" s="306"/>
      <c r="I357" s="5"/>
      <c r="J357" s="5"/>
      <c r="K357" s="5"/>
      <c r="L357" s="5"/>
      <c r="M357" s="5"/>
      <c r="N357" s="5"/>
      <c r="O357" s="57"/>
      <c r="P357" s="5"/>
      <c r="Q357" s="5"/>
      <c r="R357" s="5"/>
      <c r="S357" s="5"/>
      <c r="T357" s="5"/>
      <c r="U357" s="5"/>
      <c r="V357" s="5"/>
      <c r="W357" s="5"/>
      <c r="X357" s="5"/>
      <c r="Y357" s="5"/>
      <c r="Z357" s="5"/>
    </row>
    <row r="358" spans="1:26" ht="12.75" customHeight="1">
      <c r="A358" s="5"/>
      <c r="B358" s="5"/>
      <c r="C358" s="5"/>
      <c r="D358" s="5"/>
      <c r="E358" s="5"/>
      <c r="F358" s="5"/>
      <c r="G358" s="5"/>
      <c r="H358" s="306"/>
      <c r="I358" s="5"/>
      <c r="J358" s="5"/>
      <c r="K358" s="5"/>
      <c r="L358" s="5"/>
      <c r="M358" s="5"/>
      <c r="N358" s="5"/>
      <c r="O358" s="57"/>
      <c r="P358" s="5"/>
      <c r="Q358" s="5"/>
      <c r="R358" s="5"/>
      <c r="S358" s="5"/>
      <c r="T358" s="5"/>
      <c r="U358" s="5"/>
      <c r="V358" s="5"/>
      <c r="W358" s="5"/>
      <c r="X358" s="5"/>
      <c r="Y358" s="5"/>
      <c r="Z358" s="5"/>
    </row>
    <row r="359" spans="1:26" ht="12.75" customHeight="1">
      <c r="A359" s="5"/>
      <c r="B359" s="5"/>
      <c r="C359" s="5"/>
      <c r="D359" s="5"/>
      <c r="E359" s="5"/>
      <c r="F359" s="5"/>
      <c r="G359" s="5"/>
      <c r="H359" s="306"/>
      <c r="I359" s="5"/>
      <c r="J359" s="5"/>
      <c r="K359" s="5"/>
      <c r="L359" s="5"/>
      <c r="M359" s="5"/>
      <c r="N359" s="5"/>
      <c r="O359" s="57"/>
      <c r="P359" s="5"/>
      <c r="Q359" s="5"/>
      <c r="R359" s="5"/>
      <c r="S359" s="5"/>
      <c r="T359" s="5"/>
      <c r="U359" s="5"/>
      <c r="V359" s="5"/>
      <c r="W359" s="5"/>
      <c r="X359" s="5"/>
      <c r="Y359" s="5"/>
      <c r="Z359" s="5"/>
    </row>
    <row r="360" spans="1:26" ht="12.75" customHeight="1">
      <c r="A360" s="5"/>
      <c r="B360" s="5"/>
      <c r="C360" s="5"/>
      <c r="D360" s="5"/>
      <c r="E360" s="5"/>
      <c r="F360" s="5"/>
      <c r="G360" s="5"/>
      <c r="H360" s="306"/>
      <c r="I360" s="5"/>
      <c r="J360" s="5"/>
      <c r="K360" s="5"/>
      <c r="L360" s="5"/>
      <c r="M360" s="5"/>
      <c r="N360" s="5"/>
      <c r="O360" s="57"/>
      <c r="P360" s="5"/>
      <c r="Q360" s="5"/>
      <c r="R360" s="5"/>
      <c r="S360" s="5"/>
      <c r="T360" s="5"/>
      <c r="U360" s="5"/>
      <c r="V360" s="5"/>
      <c r="W360" s="5"/>
      <c r="X360" s="5"/>
      <c r="Y360" s="5"/>
      <c r="Z360" s="5"/>
    </row>
    <row r="361" spans="1:26" ht="12.75" customHeight="1">
      <c r="A361" s="5"/>
      <c r="B361" s="5"/>
      <c r="C361" s="5"/>
      <c r="D361" s="5"/>
      <c r="E361" s="5"/>
      <c r="F361" s="5"/>
      <c r="G361" s="5"/>
      <c r="H361" s="306"/>
      <c r="I361" s="5"/>
      <c r="J361" s="5"/>
      <c r="K361" s="5"/>
      <c r="L361" s="5"/>
      <c r="M361" s="5"/>
      <c r="N361" s="5"/>
      <c r="O361" s="57"/>
      <c r="P361" s="5"/>
      <c r="Q361" s="5"/>
      <c r="R361" s="5"/>
      <c r="S361" s="5"/>
      <c r="T361" s="5"/>
      <c r="U361" s="5"/>
      <c r="V361" s="5"/>
      <c r="W361" s="5"/>
      <c r="X361" s="5"/>
      <c r="Y361" s="5"/>
      <c r="Z361" s="5"/>
    </row>
    <row r="362" spans="1:26" ht="12.75" customHeight="1">
      <c r="A362" s="5"/>
      <c r="B362" s="5"/>
      <c r="C362" s="5"/>
      <c r="D362" s="5"/>
      <c r="E362" s="5"/>
      <c r="F362" s="5"/>
      <c r="G362" s="5"/>
      <c r="H362" s="306"/>
      <c r="I362" s="5"/>
      <c r="J362" s="5"/>
      <c r="K362" s="5"/>
      <c r="L362" s="5"/>
      <c r="M362" s="5"/>
      <c r="N362" s="5"/>
      <c r="O362" s="57"/>
      <c r="P362" s="5"/>
      <c r="Q362" s="5"/>
      <c r="R362" s="5"/>
      <c r="S362" s="5"/>
      <c r="T362" s="5"/>
      <c r="U362" s="5"/>
      <c r="V362" s="5"/>
      <c r="W362" s="5"/>
      <c r="X362" s="5"/>
      <c r="Y362" s="5"/>
      <c r="Z362" s="5"/>
    </row>
    <row r="363" spans="1:26" ht="12.75" customHeight="1">
      <c r="A363" s="5"/>
      <c r="B363" s="5"/>
      <c r="C363" s="5"/>
      <c r="D363" s="5"/>
      <c r="E363" s="5"/>
      <c r="F363" s="5"/>
      <c r="G363" s="5"/>
      <c r="H363" s="306"/>
      <c r="I363" s="5"/>
      <c r="J363" s="5"/>
      <c r="K363" s="5"/>
      <c r="L363" s="5"/>
      <c r="M363" s="5"/>
      <c r="N363" s="5"/>
      <c r="O363" s="57"/>
      <c r="P363" s="5"/>
      <c r="Q363" s="5"/>
      <c r="R363" s="5"/>
      <c r="S363" s="5"/>
      <c r="T363" s="5"/>
      <c r="U363" s="5"/>
      <c r="V363" s="5"/>
      <c r="W363" s="5"/>
      <c r="X363" s="5"/>
      <c r="Y363" s="5"/>
      <c r="Z363" s="5"/>
    </row>
    <row r="364" spans="1:26" ht="12.75" customHeight="1">
      <c r="A364" s="5"/>
      <c r="B364" s="5"/>
      <c r="C364" s="5"/>
      <c r="D364" s="5"/>
      <c r="E364" s="5"/>
      <c r="F364" s="5"/>
      <c r="G364" s="5"/>
      <c r="H364" s="306"/>
      <c r="I364" s="5"/>
      <c r="J364" s="5"/>
      <c r="K364" s="5"/>
      <c r="L364" s="5"/>
      <c r="M364" s="5"/>
      <c r="N364" s="5"/>
      <c r="O364" s="57"/>
      <c r="P364" s="5"/>
      <c r="Q364" s="5"/>
      <c r="R364" s="5"/>
      <c r="S364" s="5"/>
      <c r="T364" s="5"/>
      <c r="U364" s="5"/>
      <c r="V364" s="5"/>
      <c r="W364" s="5"/>
      <c r="X364" s="5"/>
      <c r="Y364" s="5"/>
      <c r="Z364" s="5"/>
    </row>
    <row r="365" spans="1:26" ht="12.75" customHeight="1">
      <c r="A365" s="5"/>
      <c r="B365" s="5"/>
      <c r="C365" s="5"/>
      <c r="D365" s="5"/>
      <c r="E365" s="5"/>
      <c r="F365" s="5"/>
      <c r="G365" s="5"/>
      <c r="H365" s="306"/>
      <c r="I365" s="5"/>
      <c r="J365" s="5"/>
      <c r="K365" s="5"/>
      <c r="L365" s="5"/>
      <c r="M365" s="5"/>
      <c r="N365" s="5"/>
      <c r="O365" s="57"/>
      <c r="P365" s="5"/>
      <c r="Q365" s="5"/>
      <c r="R365" s="5"/>
      <c r="S365" s="5"/>
      <c r="T365" s="5"/>
      <c r="U365" s="5"/>
      <c r="V365" s="5"/>
      <c r="W365" s="5"/>
      <c r="X365" s="5"/>
      <c r="Y365" s="5"/>
      <c r="Z365" s="5"/>
    </row>
    <row r="366" spans="1:26" ht="12.75" customHeight="1">
      <c r="A366" s="5"/>
      <c r="B366" s="5"/>
      <c r="C366" s="5"/>
      <c r="D366" s="5"/>
      <c r="E366" s="5"/>
      <c r="F366" s="5"/>
      <c r="G366" s="5"/>
      <c r="H366" s="306"/>
      <c r="I366" s="5"/>
      <c r="J366" s="5"/>
      <c r="K366" s="5"/>
      <c r="L366" s="5"/>
      <c r="M366" s="5"/>
      <c r="N366" s="5"/>
      <c r="O366" s="57"/>
      <c r="P366" s="5"/>
      <c r="Q366" s="5"/>
      <c r="R366" s="5"/>
      <c r="S366" s="5"/>
      <c r="T366" s="5"/>
      <c r="U366" s="5"/>
      <c r="V366" s="5"/>
      <c r="W366" s="5"/>
      <c r="X366" s="5"/>
      <c r="Y366" s="5"/>
      <c r="Z366" s="5"/>
    </row>
    <row r="367" spans="1:26" ht="12.75" customHeight="1">
      <c r="A367" s="5"/>
      <c r="B367" s="5"/>
      <c r="C367" s="5"/>
      <c r="D367" s="5"/>
      <c r="E367" s="5"/>
      <c r="F367" s="5"/>
      <c r="G367" s="5"/>
      <c r="H367" s="306"/>
      <c r="I367" s="5"/>
      <c r="J367" s="5"/>
      <c r="K367" s="5"/>
      <c r="L367" s="5"/>
      <c r="M367" s="5"/>
      <c r="N367" s="5"/>
      <c r="O367" s="57"/>
      <c r="P367" s="5"/>
      <c r="Q367" s="5"/>
      <c r="R367" s="5"/>
      <c r="S367" s="5"/>
      <c r="T367" s="5"/>
      <c r="U367" s="5"/>
      <c r="V367" s="5"/>
      <c r="W367" s="5"/>
      <c r="X367" s="5"/>
      <c r="Y367" s="5"/>
      <c r="Z367" s="5"/>
    </row>
    <row r="368" spans="1:26" ht="12.75" customHeight="1">
      <c r="A368" s="5"/>
      <c r="B368" s="5"/>
      <c r="C368" s="5"/>
      <c r="D368" s="5"/>
      <c r="E368" s="5"/>
      <c r="F368" s="5"/>
      <c r="G368" s="5"/>
      <c r="H368" s="306"/>
      <c r="I368" s="5"/>
      <c r="J368" s="5"/>
      <c r="K368" s="5"/>
      <c r="L368" s="5"/>
      <c r="M368" s="5"/>
      <c r="N368" s="5"/>
      <c r="O368" s="57"/>
      <c r="P368" s="5"/>
      <c r="Q368" s="5"/>
      <c r="R368" s="5"/>
      <c r="S368" s="5"/>
      <c r="T368" s="5"/>
      <c r="U368" s="5"/>
      <c r="V368" s="5"/>
      <c r="W368" s="5"/>
      <c r="X368" s="5"/>
      <c r="Y368" s="5"/>
      <c r="Z368" s="5"/>
    </row>
    <row r="369" spans="1:26" ht="12.75" customHeight="1">
      <c r="A369" s="5"/>
      <c r="B369" s="5"/>
      <c r="C369" s="5"/>
      <c r="D369" s="5"/>
      <c r="E369" s="5"/>
      <c r="F369" s="5"/>
      <c r="G369" s="5"/>
      <c r="H369" s="306"/>
      <c r="I369" s="5"/>
      <c r="J369" s="5"/>
      <c r="K369" s="5"/>
      <c r="L369" s="5"/>
      <c r="M369" s="5"/>
      <c r="N369" s="5"/>
      <c r="O369" s="57"/>
      <c r="P369" s="5"/>
      <c r="Q369" s="5"/>
      <c r="R369" s="5"/>
      <c r="S369" s="5"/>
      <c r="T369" s="5"/>
      <c r="U369" s="5"/>
      <c r="V369" s="5"/>
      <c r="W369" s="5"/>
      <c r="X369" s="5"/>
      <c r="Y369" s="5"/>
      <c r="Z369" s="5"/>
    </row>
    <row r="370" spans="1:26" ht="12.75" customHeight="1">
      <c r="A370" s="5"/>
      <c r="B370" s="5"/>
      <c r="C370" s="5"/>
      <c r="D370" s="5"/>
      <c r="E370" s="5"/>
      <c r="F370" s="5"/>
      <c r="G370" s="5"/>
      <c r="H370" s="306"/>
      <c r="I370" s="5"/>
      <c r="J370" s="5"/>
      <c r="K370" s="5"/>
      <c r="L370" s="5"/>
      <c r="M370" s="5"/>
      <c r="N370" s="5"/>
      <c r="O370" s="57"/>
      <c r="P370" s="5"/>
      <c r="Q370" s="5"/>
      <c r="R370" s="5"/>
      <c r="S370" s="5"/>
      <c r="T370" s="5"/>
      <c r="U370" s="5"/>
      <c r="V370" s="5"/>
      <c r="W370" s="5"/>
      <c r="X370" s="5"/>
      <c r="Y370" s="5"/>
      <c r="Z370" s="5"/>
    </row>
    <row r="371" spans="1:26" ht="12.75" customHeight="1">
      <c r="A371" s="5"/>
      <c r="B371" s="5"/>
      <c r="C371" s="5"/>
      <c r="D371" s="5"/>
      <c r="E371" s="5"/>
      <c r="F371" s="5"/>
      <c r="G371" s="5"/>
      <c r="H371" s="306"/>
      <c r="I371" s="5"/>
      <c r="J371" s="5"/>
      <c r="K371" s="5"/>
      <c r="L371" s="5"/>
      <c r="M371" s="5"/>
      <c r="N371" s="5"/>
      <c r="O371" s="57"/>
      <c r="P371" s="5"/>
      <c r="Q371" s="5"/>
      <c r="R371" s="5"/>
      <c r="S371" s="5"/>
      <c r="T371" s="5"/>
      <c r="U371" s="5"/>
      <c r="V371" s="5"/>
      <c r="W371" s="5"/>
      <c r="X371" s="5"/>
      <c r="Y371" s="5"/>
      <c r="Z371" s="5"/>
    </row>
    <row r="372" spans="1:26" ht="12.75" customHeight="1">
      <c r="A372" s="5"/>
      <c r="B372" s="5"/>
      <c r="C372" s="5"/>
      <c r="D372" s="5"/>
      <c r="E372" s="5"/>
      <c r="F372" s="5"/>
      <c r="G372" s="5"/>
      <c r="H372" s="306"/>
      <c r="I372" s="5"/>
      <c r="J372" s="5"/>
      <c r="K372" s="5"/>
      <c r="L372" s="5"/>
      <c r="M372" s="5"/>
      <c r="N372" s="5"/>
      <c r="O372" s="57"/>
      <c r="P372" s="5"/>
      <c r="Q372" s="5"/>
      <c r="R372" s="5"/>
      <c r="S372" s="5"/>
      <c r="T372" s="5"/>
      <c r="U372" s="5"/>
      <c r="V372" s="5"/>
      <c r="W372" s="5"/>
      <c r="X372" s="5"/>
      <c r="Y372" s="5"/>
      <c r="Z372" s="5"/>
    </row>
    <row r="373" spans="1:26" ht="12.75" customHeight="1">
      <c r="A373" s="5"/>
      <c r="B373" s="5"/>
      <c r="C373" s="5"/>
      <c r="D373" s="5"/>
      <c r="E373" s="5"/>
      <c r="F373" s="5"/>
      <c r="G373" s="5"/>
      <c r="H373" s="306"/>
      <c r="I373" s="5"/>
      <c r="J373" s="5"/>
      <c r="K373" s="5"/>
      <c r="L373" s="5"/>
      <c r="M373" s="5"/>
      <c r="N373" s="5"/>
      <c r="O373" s="57"/>
      <c r="P373" s="5"/>
      <c r="Q373" s="5"/>
      <c r="R373" s="5"/>
      <c r="S373" s="5"/>
      <c r="T373" s="5"/>
      <c r="U373" s="5"/>
      <c r="V373" s="5"/>
      <c r="W373" s="5"/>
      <c r="X373" s="5"/>
      <c r="Y373" s="5"/>
      <c r="Z373" s="5"/>
    </row>
    <row r="374" spans="1:26" ht="12.75" customHeight="1">
      <c r="A374" s="5"/>
      <c r="B374" s="5"/>
      <c r="C374" s="5"/>
      <c r="D374" s="5"/>
      <c r="E374" s="5"/>
      <c r="F374" s="5"/>
      <c r="G374" s="5"/>
      <c r="H374" s="306"/>
      <c r="I374" s="5"/>
      <c r="J374" s="5"/>
      <c r="K374" s="5"/>
      <c r="L374" s="5"/>
      <c r="M374" s="5"/>
      <c r="N374" s="5"/>
      <c r="O374" s="57"/>
      <c r="P374" s="5"/>
      <c r="Q374" s="5"/>
      <c r="R374" s="5"/>
      <c r="S374" s="5"/>
      <c r="T374" s="5"/>
      <c r="U374" s="5"/>
      <c r="V374" s="5"/>
      <c r="W374" s="5"/>
      <c r="X374" s="5"/>
      <c r="Y374" s="5"/>
      <c r="Z374" s="5"/>
    </row>
    <row r="375" spans="1:26" ht="12.75" customHeight="1">
      <c r="A375" s="5"/>
      <c r="B375" s="5"/>
      <c r="C375" s="5"/>
      <c r="D375" s="5"/>
      <c r="E375" s="5"/>
      <c r="F375" s="5"/>
      <c r="G375" s="5"/>
      <c r="H375" s="306"/>
      <c r="I375" s="5"/>
      <c r="J375" s="5"/>
      <c r="K375" s="5"/>
      <c r="L375" s="5"/>
      <c r="M375" s="5"/>
      <c r="N375" s="5"/>
      <c r="O375" s="57"/>
      <c r="P375" s="5"/>
      <c r="Q375" s="5"/>
      <c r="R375" s="5"/>
      <c r="S375" s="5"/>
      <c r="T375" s="5"/>
      <c r="U375" s="5"/>
      <c r="V375" s="5"/>
      <c r="W375" s="5"/>
      <c r="X375" s="5"/>
      <c r="Y375" s="5"/>
      <c r="Z375" s="5"/>
    </row>
    <row r="376" spans="1:26" ht="12.75" customHeight="1">
      <c r="A376" s="5"/>
      <c r="B376" s="5"/>
      <c r="C376" s="5"/>
      <c r="D376" s="5"/>
      <c r="E376" s="5"/>
      <c r="F376" s="5"/>
      <c r="G376" s="5"/>
      <c r="H376" s="306"/>
      <c r="I376" s="5"/>
      <c r="J376" s="5"/>
      <c r="K376" s="5"/>
      <c r="L376" s="5"/>
      <c r="M376" s="5"/>
      <c r="N376" s="5"/>
      <c r="O376" s="57"/>
      <c r="P376" s="5"/>
      <c r="Q376" s="5"/>
      <c r="R376" s="5"/>
      <c r="S376" s="5"/>
      <c r="T376" s="5"/>
      <c r="U376" s="5"/>
      <c r="V376" s="5"/>
      <c r="W376" s="5"/>
      <c r="X376" s="5"/>
      <c r="Y376" s="5"/>
      <c r="Z376" s="5"/>
    </row>
    <row r="377" spans="1:26" ht="12.75" customHeight="1">
      <c r="A377" s="5"/>
      <c r="B377" s="5"/>
      <c r="C377" s="5"/>
      <c r="D377" s="5"/>
      <c r="E377" s="5"/>
      <c r="F377" s="5"/>
      <c r="G377" s="5"/>
      <c r="H377" s="306"/>
      <c r="I377" s="5"/>
      <c r="J377" s="5"/>
      <c r="K377" s="5"/>
      <c r="L377" s="5"/>
      <c r="M377" s="5"/>
      <c r="N377" s="5"/>
      <c r="O377" s="57"/>
      <c r="P377" s="5"/>
      <c r="Q377" s="5"/>
      <c r="R377" s="5"/>
      <c r="S377" s="5"/>
      <c r="T377" s="5"/>
      <c r="U377" s="5"/>
      <c r="V377" s="5"/>
      <c r="W377" s="5"/>
      <c r="X377" s="5"/>
      <c r="Y377" s="5"/>
      <c r="Z377" s="5"/>
    </row>
    <row r="378" spans="1:26" ht="12.75" customHeight="1">
      <c r="A378" s="5"/>
      <c r="B378" s="5"/>
      <c r="C378" s="5"/>
      <c r="D378" s="5"/>
      <c r="E378" s="5"/>
      <c r="F378" s="5"/>
      <c r="G378" s="5"/>
      <c r="H378" s="306"/>
      <c r="I378" s="5"/>
      <c r="J378" s="5"/>
      <c r="K378" s="5"/>
      <c r="L378" s="5"/>
      <c r="M378" s="5"/>
      <c r="N378" s="5"/>
      <c r="O378" s="57"/>
      <c r="P378" s="5"/>
      <c r="Q378" s="5"/>
      <c r="R378" s="5"/>
      <c r="S378" s="5"/>
      <c r="T378" s="5"/>
      <c r="U378" s="5"/>
      <c r="V378" s="5"/>
      <c r="W378" s="5"/>
      <c r="X378" s="5"/>
      <c r="Y378" s="5"/>
      <c r="Z378" s="5"/>
    </row>
    <row r="379" spans="1:26" ht="12.75" customHeight="1">
      <c r="A379" s="5"/>
      <c r="B379" s="5"/>
      <c r="C379" s="5"/>
      <c r="D379" s="5"/>
      <c r="E379" s="5"/>
      <c r="F379" s="5"/>
      <c r="G379" s="5"/>
      <c r="H379" s="306"/>
      <c r="I379" s="5"/>
      <c r="J379" s="5"/>
      <c r="K379" s="5"/>
      <c r="L379" s="5"/>
      <c r="M379" s="5"/>
      <c r="N379" s="5"/>
      <c r="O379" s="57"/>
      <c r="P379" s="5"/>
      <c r="Q379" s="5"/>
      <c r="R379" s="5"/>
      <c r="S379" s="5"/>
      <c r="T379" s="5"/>
      <c r="U379" s="5"/>
      <c r="V379" s="5"/>
      <c r="W379" s="5"/>
      <c r="X379" s="5"/>
      <c r="Y379" s="5"/>
      <c r="Z379" s="5"/>
    </row>
    <row r="380" spans="1:26" ht="12.75" customHeight="1">
      <c r="A380" s="5"/>
      <c r="B380" s="5"/>
      <c r="C380" s="5"/>
      <c r="D380" s="5"/>
      <c r="E380" s="5"/>
      <c r="F380" s="5"/>
      <c r="G380" s="5"/>
      <c r="H380" s="306"/>
      <c r="I380" s="5"/>
      <c r="J380" s="5"/>
      <c r="K380" s="5"/>
      <c r="L380" s="5"/>
      <c r="M380" s="5"/>
      <c r="N380" s="5"/>
      <c r="O380" s="57"/>
      <c r="P380" s="5"/>
      <c r="Q380" s="5"/>
      <c r="R380" s="5"/>
      <c r="S380" s="5"/>
      <c r="T380" s="5"/>
      <c r="U380" s="5"/>
      <c r="V380" s="5"/>
      <c r="W380" s="5"/>
      <c r="X380" s="5"/>
      <c r="Y380" s="5"/>
      <c r="Z380" s="5"/>
    </row>
    <row r="381" spans="1:26" ht="12.75" customHeight="1">
      <c r="A381" s="5"/>
      <c r="B381" s="5"/>
      <c r="C381" s="5"/>
      <c r="D381" s="5"/>
      <c r="E381" s="5"/>
      <c r="F381" s="5"/>
      <c r="G381" s="5"/>
      <c r="H381" s="306"/>
      <c r="I381" s="5"/>
      <c r="J381" s="5"/>
      <c r="K381" s="5"/>
      <c r="L381" s="5"/>
      <c r="M381" s="5"/>
      <c r="N381" s="5"/>
      <c r="O381" s="57"/>
      <c r="P381" s="5"/>
      <c r="Q381" s="5"/>
      <c r="R381" s="5"/>
      <c r="S381" s="5"/>
      <c r="T381" s="5"/>
      <c r="U381" s="5"/>
      <c r="V381" s="5"/>
      <c r="W381" s="5"/>
      <c r="X381" s="5"/>
      <c r="Y381" s="5"/>
      <c r="Z381" s="5"/>
    </row>
    <row r="382" spans="1:26" ht="12.75" customHeight="1">
      <c r="A382" s="5"/>
      <c r="B382" s="5"/>
      <c r="C382" s="5"/>
      <c r="D382" s="5"/>
      <c r="E382" s="5"/>
      <c r="F382" s="5"/>
      <c r="G382" s="5"/>
      <c r="H382" s="306"/>
      <c r="I382" s="5"/>
      <c r="J382" s="5"/>
      <c r="K382" s="5"/>
      <c r="L382" s="5"/>
      <c r="M382" s="5"/>
      <c r="N382" s="5"/>
      <c r="O382" s="57"/>
      <c r="P382" s="5"/>
      <c r="Q382" s="5"/>
      <c r="R382" s="5"/>
      <c r="S382" s="5"/>
      <c r="T382" s="5"/>
      <c r="U382" s="5"/>
      <c r="V382" s="5"/>
      <c r="W382" s="5"/>
      <c r="X382" s="5"/>
      <c r="Y382" s="5"/>
      <c r="Z382" s="5"/>
    </row>
    <row r="383" spans="1:26" ht="12.75" customHeight="1">
      <c r="A383" s="5"/>
      <c r="B383" s="5"/>
      <c r="C383" s="5"/>
      <c r="D383" s="5"/>
      <c r="E383" s="5"/>
      <c r="F383" s="5"/>
      <c r="G383" s="5"/>
      <c r="H383" s="306"/>
      <c r="I383" s="5"/>
      <c r="J383" s="5"/>
      <c r="K383" s="5"/>
      <c r="L383" s="5"/>
      <c r="M383" s="5"/>
      <c r="N383" s="5"/>
      <c r="O383" s="57"/>
      <c r="P383" s="5"/>
      <c r="Q383" s="5"/>
      <c r="R383" s="5"/>
      <c r="S383" s="5"/>
      <c r="T383" s="5"/>
      <c r="U383" s="5"/>
      <c r="V383" s="5"/>
      <c r="W383" s="5"/>
      <c r="X383" s="5"/>
      <c r="Y383" s="5"/>
      <c r="Z383" s="5"/>
    </row>
    <row r="384" spans="1:26" ht="12.75" customHeight="1">
      <c r="A384" s="5"/>
      <c r="B384" s="5"/>
      <c r="C384" s="5"/>
      <c r="D384" s="5"/>
      <c r="E384" s="5"/>
      <c r="F384" s="5"/>
      <c r="G384" s="5"/>
      <c r="H384" s="306"/>
      <c r="I384" s="5"/>
      <c r="J384" s="5"/>
      <c r="K384" s="5"/>
      <c r="L384" s="5"/>
      <c r="M384" s="5"/>
      <c r="N384" s="5"/>
      <c r="O384" s="57"/>
      <c r="P384" s="5"/>
      <c r="Q384" s="5"/>
      <c r="R384" s="5"/>
      <c r="S384" s="5"/>
      <c r="T384" s="5"/>
      <c r="U384" s="5"/>
      <c r="V384" s="5"/>
      <c r="W384" s="5"/>
      <c r="X384" s="5"/>
      <c r="Y384" s="5"/>
      <c r="Z384" s="5"/>
    </row>
    <row r="385" spans="1:26" ht="12.75" customHeight="1">
      <c r="A385" s="5"/>
      <c r="B385" s="5"/>
      <c r="C385" s="5"/>
      <c r="D385" s="5"/>
      <c r="E385" s="5"/>
      <c r="F385" s="5"/>
      <c r="G385" s="5"/>
      <c r="H385" s="306"/>
      <c r="I385" s="5"/>
      <c r="J385" s="5"/>
      <c r="K385" s="5"/>
      <c r="L385" s="5"/>
      <c r="M385" s="5"/>
      <c r="N385" s="5"/>
      <c r="O385" s="57"/>
      <c r="P385" s="5"/>
      <c r="Q385" s="5"/>
      <c r="R385" s="5"/>
      <c r="S385" s="5"/>
      <c r="T385" s="5"/>
      <c r="U385" s="5"/>
      <c r="V385" s="5"/>
      <c r="W385" s="5"/>
      <c r="X385" s="5"/>
      <c r="Y385" s="5"/>
      <c r="Z385" s="5"/>
    </row>
    <row r="386" spans="1:26" ht="12.75" customHeight="1">
      <c r="A386" s="5"/>
      <c r="B386" s="5"/>
      <c r="C386" s="5"/>
      <c r="D386" s="5"/>
      <c r="E386" s="5"/>
      <c r="F386" s="5"/>
      <c r="G386" s="5"/>
      <c r="H386" s="306"/>
      <c r="I386" s="5"/>
      <c r="J386" s="5"/>
      <c r="K386" s="5"/>
      <c r="L386" s="5"/>
      <c r="M386" s="5"/>
      <c r="N386" s="5"/>
      <c r="O386" s="57"/>
      <c r="P386" s="5"/>
      <c r="Q386" s="5"/>
      <c r="R386" s="5"/>
      <c r="S386" s="5"/>
      <c r="T386" s="5"/>
      <c r="U386" s="5"/>
      <c r="V386" s="5"/>
      <c r="W386" s="5"/>
      <c r="X386" s="5"/>
      <c r="Y386" s="5"/>
      <c r="Z386" s="5"/>
    </row>
    <row r="387" spans="1:26" ht="12.75" customHeight="1">
      <c r="A387" s="5"/>
      <c r="B387" s="5"/>
      <c r="C387" s="5"/>
      <c r="D387" s="5"/>
      <c r="E387" s="5"/>
      <c r="F387" s="5"/>
      <c r="G387" s="5"/>
      <c r="H387" s="306"/>
      <c r="I387" s="5"/>
      <c r="J387" s="5"/>
      <c r="K387" s="5"/>
      <c r="L387" s="5"/>
      <c r="M387" s="5"/>
      <c r="N387" s="5"/>
      <c r="O387" s="57"/>
      <c r="P387" s="5"/>
      <c r="Q387" s="5"/>
      <c r="R387" s="5"/>
      <c r="S387" s="5"/>
      <c r="T387" s="5"/>
      <c r="U387" s="5"/>
      <c r="V387" s="5"/>
      <c r="W387" s="5"/>
      <c r="X387" s="5"/>
      <c r="Y387" s="5"/>
      <c r="Z387" s="5"/>
    </row>
    <row r="388" spans="1:26" ht="12.75" customHeight="1">
      <c r="A388" s="5"/>
      <c r="B388" s="5"/>
      <c r="C388" s="5"/>
      <c r="D388" s="5"/>
      <c r="E388" s="5"/>
      <c r="F388" s="5"/>
      <c r="G388" s="5"/>
      <c r="H388" s="306"/>
      <c r="I388" s="5"/>
      <c r="J388" s="5"/>
      <c r="K388" s="5"/>
      <c r="L388" s="5"/>
      <c r="M388" s="5"/>
      <c r="N388" s="5"/>
      <c r="O388" s="57"/>
      <c r="P388" s="5"/>
      <c r="Q388" s="5"/>
      <c r="R388" s="5"/>
      <c r="S388" s="5"/>
      <c r="T388" s="5"/>
      <c r="U388" s="5"/>
      <c r="V388" s="5"/>
      <c r="W388" s="5"/>
      <c r="X388" s="5"/>
      <c r="Y388" s="5"/>
      <c r="Z388" s="5"/>
    </row>
    <row r="389" spans="1:26" ht="12.75" customHeight="1">
      <c r="A389" s="5"/>
      <c r="B389" s="5"/>
      <c r="C389" s="5"/>
      <c r="D389" s="5"/>
      <c r="E389" s="5"/>
      <c r="F389" s="5"/>
      <c r="G389" s="5"/>
      <c r="H389" s="306"/>
      <c r="I389" s="5"/>
      <c r="J389" s="5"/>
      <c r="K389" s="5"/>
      <c r="L389" s="5"/>
      <c r="M389" s="5"/>
      <c r="N389" s="5"/>
      <c r="O389" s="57"/>
      <c r="P389" s="5"/>
      <c r="Q389" s="5"/>
      <c r="R389" s="5"/>
      <c r="S389" s="5"/>
      <c r="T389" s="5"/>
      <c r="U389" s="5"/>
      <c r="V389" s="5"/>
      <c r="W389" s="5"/>
      <c r="X389" s="5"/>
      <c r="Y389" s="5"/>
      <c r="Z389" s="5"/>
    </row>
    <row r="390" spans="1:26" ht="12.75" customHeight="1">
      <c r="A390" s="5"/>
      <c r="B390" s="5"/>
      <c r="C390" s="5"/>
      <c r="D390" s="5"/>
      <c r="E390" s="5"/>
      <c r="F390" s="5"/>
      <c r="G390" s="5"/>
      <c r="H390" s="306"/>
      <c r="I390" s="5"/>
      <c r="J390" s="5"/>
      <c r="K390" s="5"/>
      <c r="L390" s="5"/>
      <c r="M390" s="5"/>
      <c r="N390" s="5"/>
      <c r="O390" s="57"/>
      <c r="P390" s="5"/>
      <c r="Q390" s="5"/>
      <c r="R390" s="5"/>
      <c r="S390" s="5"/>
      <c r="T390" s="5"/>
      <c r="U390" s="5"/>
      <c r="V390" s="5"/>
      <c r="W390" s="5"/>
      <c r="X390" s="5"/>
      <c r="Y390" s="5"/>
      <c r="Z390" s="5"/>
    </row>
    <row r="391" spans="1:26" ht="12.75" customHeight="1">
      <c r="A391" s="5"/>
      <c r="B391" s="5"/>
      <c r="C391" s="5"/>
      <c r="D391" s="5"/>
      <c r="E391" s="5"/>
      <c r="F391" s="5"/>
      <c r="G391" s="5"/>
      <c r="H391" s="306"/>
      <c r="I391" s="5"/>
      <c r="J391" s="5"/>
      <c r="K391" s="5"/>
      <c r="L391" s="5"/>
      <c r="M391" s="5"/>
      <c r="N391" s="5"/>
      <c r="O391" s="57"/>
      <c r="P391" s="5"/>
      <c r="Q391" s="5"/>
      <c r="R391" s="5"/>
      <c r="S391" s="5"/>
      <c r="T391" s="5"/>
      <c r="U391" s="5"/>
      <c r="V391" s="5"/>
      <c r="W391" s="5"/>
      <c r="X391" s="5"/>
      <c r="Y391" s="5"/>
      <c r="Z391" s="5"/>
    </row>
    <row r="392" spans="1:26" ht="12.75" customHeight="1">
      <c r="A392" s="5"/>
      <c r="B392" s="5"/>
      <c r="C392" s="5"/>
      <c r="D392" s="5"/>
      <c r="E392" s="5"/>
      <c r="F392" s="5"/>
      <c r="G392" s="5"/>
      <c r="H392" s="306"/>
      <c r="I392" s="5"/>
      <c r="J392" s="5"/>
      <c r="K392" s="5"/>
      <c r="L392" s="5"/>
      <c r="M392" s="5"/>
      <c r="N392" s="5"/>
      <c r="O392" s="57"/>
      <c r="P392" s="5"/>
      <c r="Q392" s="5"/>
      <c r="R392" s="5"/>
      <c r="S392" s="5"/>
      <c r="T392" s="5"/>
      <c r="U392" s="5"/>
      <c r="V392" s="5"/>
      <c r="W392" s="5"/>
      <c r="X392" s="5"/>
      <c r="Y392" s="5"/>
      <c r="Z392" s="5"/>
    </row>
    <row r="393" spans="1:26" ht="12.75" customHeight="1">
      <c r="A393" s="5"/>
      <c r="B393" s="5"/>
      <c r="C393" s="5"/>
      <c r="D393" s="5"/>
      <c r="E393" s="5"/>
      <c r="F393" s="5"/>
      <c r="G393" s="5"/>
      <c r="H393" s="306"/>
      <c r="I393" s="5"/>
      <c r="J393" s="5"/>
      <c r="K393" s="5"/>
      <c r="L393" s="5"/>
      <c r="M393" s="5"/>
      <c r="N393" s="5"/>
      <c r="O393" s="57"/>
      <c r="P393" s="5"/>
      <c r="Q393" s="5"/>
      <c r="R393" s="5"/>
      <c r="S393" s="5"/>
      <c r="T393" s="5"/>
      <c r="U393" s="5"/>
      <c r="V393" s="5"/>
      <c r="W393" s="5"/>
      <c r="X393" s="5"/>
      <c r="Y393" s="5"/>
      <c r="Z393" s="5"/>
    </row>
    <row r="394" spans="1:26" ht="12.75" customHeight="1">
      <c r="A394" s="5"/>
      <c r="B394" s="5"/>
      <c r="C394" s="5"/>
      <c r="D394" s="5"/>
      <c r="E394" s="5"/>
      <c r="F394" s="5"/>
      <c r="G394" s="5"/>
      <c r="H394" s="306"/>
      <c r="I394" s="5"/>
      <c r="J394" s="5"/>
      <c r="K394" s="5"/>
      <c r="L394" s="5"/>
      <c r="M394" s="5"/>
      <c r="N394" s="5"/>
      <c r="O394" s="57"/>
      <c r="P394" s="5"/>
      <c r="Q394" s="5"/>
      <c r="R394" s="5"/>
      <c r="S394" s="5"/>
      <c r="T394" s="5"/>
      <c r="U394" s="5"/>
      <c r="V394" s="5"/>
      <c r="W394" s="5"/>
      <c r="X394" s="5"/>
      <c r="Y394" s="5"/>
      <c r="Z394" s="5"/>
    </row>
    <row r="395" spans="1:26" ht="12.75" customHeight="1">
      <c r="A395" s="5"/>
      <c r="B395" s="5"/>
      <c r="C395" s="5"/>
      <c r="D395" s="5"/>
      <c r="E395" s="5"/>
      <c r="F395" s="5"/>
      <c r="G395" s="5"/>
      <c r="H395" s="306"/>
      <c r="I395" s="5"/>
      <c r="J395" s="5"/>
      <c r="K395" s="5"/>
      <c r="L395" s="5"/>
      <c r="M395" s="5"/>
      <c r="N395" s="5"/>
      <c r="O395" s="57"/>
      <c r="P395" s="5"/>
      <c r="Q395" s="5"/>
      <c r="R395" s="5"/>
      <c r="S395" s="5"/>
      <c r="T395" s="5"/>
      <c r="U395" s="5"/>
      <c r="V395" s="5"/>
      <c r="W395" s="5"/>
      <c r="X395" s="5"/>
      <c r="Y395" s="5"/>
      <c r="Z395" s="5"/>
    </row>
    <row r="396" spans="1:26" ht="12.75" customHeight="1">
      <c r="A396" s="5"/>
      <c r="B396" s="5"/>
      <c r="C396" s="5"/>
      <c r="D396" s="5"/>
      <c r="E396" s="5"/>
      <c r="F396" s="5"/>
      <c r="G396" s="5"/>
      <c r="H396" s="306"/>
      <c r="I396" s="5"/>
      <c r="J396" s="5"/>
      <c r="K396" s="5"/>
      <c r="L396" s="5"/>
      <c r="M396" s="5"/>
      <c r="N396" s="5"/>
      <c r="O396" s="57"/>
      <c r="P396" s="5"/>
      <c r="Q396" s="5"/>
      <c r="R396" s="5"/>
      <c r="S396" s="5"/>
      <c r="T396" s="5"/>
      <c r="U396" s="5"/>
      <c r="V396" s="5"/>
      <c r="W396" s="5"/>
      <c r="X396" s="5"/>
      <c r="Y396" s="5"/>
      <c r="Z396" s="5"/>
    </row>
    <row r="397" spans="1:26" ht="12.75" customHeight="1">
      <c r="A397" s="5"/>
      <c r="B397" s="5"/>
      <c r="C397" s="5"/>
      <c r="D397" s="5"/>
      <c r="E397" s="5"/>
      <c r="F397" s="5"/>
      <c r="G397" s="5"/>
      <c r="H397" s="306"/>
      <c r="I397" s="5"/>
      <c r="J397" s="5"/>
      <c r="K397" s="5"/>
      <c r="L397" s="5"/>
      <c r="M397" s="5"/>
      <c r="N397" s="5"/>
      <c r="O397" s="57"/>
      <c r="P397" s="5"/>
      <c r="Q397" s="5"/>
      <c r="R397" s="5"/>
      <c r="S397" s="5"/>
      <c r="T397" s="5"/>
      <c r="U397" s="5"/>
      <c r="V397" s="5"/>
      <c r="W397" s="5"/>
      <c r="X397" s="5"/>
      <c r="Y397" s="5"/>
      <c r="Z397" s="5"/>
    </row>
    <row r="398" spans="1:26" ht="12.75" customHeight="1">
      <c r="A398" s="5"/>
      <c r="B398" s="5"/>
      <c r="C398" s="5"/>
      <c r="D398" s="5"/>
      <c r="E398" s="5"/>
      <c r="F398" s="5"/>
      <c r="G398" s="5"/>
      <c r="H398" s="306"/>
      <c r="I398" s="5"/>
      <c r="J398" s="5"/>
      <c r="K398" s="5"/>
      <c r="L398" s="5"/>
      <c r="M398" s="5"/>
      <c r="N398" s="5"/>
      <c r="O398" s="57"/>
      <c r="P398" s="5"/>
      <c r="Q398" s="5"/>
      <c r="R398" s="5"/>
      <c r="S398" s="5"/>
      <c r="T398" s="5"/>
      <c r="U398" s="5"/>
      <c r="V398" s="5"/>
      <c r="W398" s="5"/>
      <c r="X398" s="5"/>
      <c r="Y398" s="5"/>
      <c r="Z398" s="5"/>
    </row>
    <row r="399" spans="1:26" ht="12.75" customHeight="1">
      <c r="A399" s="5"/>
      <c r="B399" s="5"/>
      <c r="C399" s="5"/>
      <c r="D399" s="5"/>
      <c r="E399" s="5"/>
      <c r="F399" s="5"/>
      <c r="G399" s="5"/>
      <c r="H399" s="306"/>
      <c r="I399" s="5"/>
      <c r="J399" s="5"/>
      <c r="K399" s="5"/>
      <c r="L399" s="5"/>
      <c r="M399" s="5"/>
      <c r="N399" s="5"/>
      <c r="O399" s="57"/>
      <c r="P399" s="5"/>
      <c r="Q399" s="5"/>
      <c r="R399" s="5"/>
      <c r="S399" s="5"/>
      <c r="T399" s="5"/>
      <c r="U399" s="5"/>
      <c r="V399" s="5"/>
      <c r="W399" s="5"/>
      <c r="X399" s="5"/>
      <c r="Y399" s="5"/>
      <c r="Z399" s="5"/>
    </row>
    <row r="400" spans="1:26" ht="12.75" customHeight="1">
      <c r="A400" s="5"/>
      <c r="B400" s="5"/>
      <c r="C400" s="5"/>
      <c r="D400" s="5"/>
      <c r="E400" s="5"/>
      <c r="F400" s="5"/>
      <c r="G400" s="5"/>
      <c r="H400" s="306"/>
      <c r="I400" s="5"/>
      <c r="J400" s="5"/>
      <c r="K400" s="5"/>
      <c r="L400" s="5"/>
      <c r="M400" s="5"/>
      <c r="N400" s="5"/>
      <c r="O400" s="57"/>
      <c r="P400" s="5"/>
      <c r="Q400" s="5"/>
      <c r="R400" s="5"/>
      <c r="S400" s="5"/>
      <c r="T400" s="5"/>
      <c r="U400" s="5"/>
      <c r="V400" s="5"/>
      <c r="W400" s="5"/>
      <c r="X400" s="5"/>
      <c r="Y400" s="5"/>
      <c r="Z400" s="5"/>
    </row>
    <row r="401" spans="1:26" ht="12.75" customHeight="1">
      <c r="A401" s="5"/>
      <c r="B401" s="5"/>
      <c r="C401" s="5"/>
      <c r="D401" s="5"/>
      <c r="E401" s="5"/>
      <c r="F401" s="5"/>
      <c r="G401" s="5"/>
      <c r="H401" s="306"/>
      <c r="I401" s="5"/>
      <c r="J401" s="5"/>
      <c r="K401" s="5"/>
      <c r="L401" s="5"/>
      <c r="M401" s="5"/>
      <c r="N401" s="5"/>
      <c r="O401" s="57"/>
      <c r="P401" s="5"/>
      <c r="Q401" s="5"/>
      <c r="R401" s="5"/>
      <c r="S401" s="5"/>
      <c r="T401" s="5"/>
      <c r="U401" s="5"/>
      <c r="V401" s="5"/>
      <c r="W401" s="5"/>
      <c r="X401" s="5"/>
      <c r="Y401" s="5"/>
      <c r="Z401" s="5"/>
    </row>
    <row r="402" spans="1:26" ht="12.75" customHeight="1">
      <c r="A402" s="5"/>
      <c r="B402" s="5"/>
      <c r="C402" s="5"/>
      <c r="D402" s="5"/>
      <c r="E402" s="5"/>
      <c r="F402" s="5"/>
      <c r="G402" s="5"/>
      <c r="H402" s="306"/>
      <c r="I402" s="5"/>
      <c r="J402" s="5"/>
      <c r="K402" s="5"/>
      <c r="L402" s="5"/>
      <c r="M402" s="5"/>
      <c r="N402" s="5"/>
      <c r="O402" s="57"/>
      <c r="P402" s="5"/>
      <c r="Q402" s="5"/>
      <c r="R402" s="5"/>
      <c r="S402" s="5"/>
      <c r="T402" s="5"/>
      <c r="U402" s="5"/>
      <c r="V402" s="5"/>
      <c r="W402" s="5"/>
      <c r="X402" s="5"/>
      <c r="Y402" s="5"/>
      <c r="Z402" s="5"/>
    </row>
    <row r="403" spans="1:26" ht="12.75" customHeight="1">
      <c r="A403" s="5"/>
      <c r="B403" s="5"/>
      <c r="C403" s="5"/>
      <c r="D403" s="5"/>
      <c r="E403" s="5"/>
      <c r="F403" s="5"/>
      <c r="G403" s="5"/>
      <c r="H403" s="306"/>
      <c r="I403" s="5"/>
      <c r="J403" s="5"/>
      <c r="K403" s="5"/>
      <c r="L403" s="5"/>
      <c r="M403" s="5"/>
      <c r="N403" s="5"/>
      <c r="O403" s="57"/>
      <c r="P403" s="5"/>
      <c r="Q403" s="5"/>
      <c r="R403" s="5"/>
      <c r="S403" s="5"/>
      <c r="T403" s="5"/>
      <c r="U403" s="5"/>
      <c r="V403" s="5"/>
      <c r="W403" s="5"/>
      <c r="X403" s="5"/>
      <c r="Y403" s="5"/>
      <c r="Z403" s="5"/>
    </row>
    <row r="404" spans="1:26" ht="12.75" customHeight="1">
      <c r="A404" s="5"/>
      <c r="B404" s="5"/>
      <c r="C404" s="5"/>
      <c r="D404" s="5"/>
      <c r="E404" s="5"/>
      <c r="F404" s="5"/>
      <c r="G404" s="5"/>
      <c r="H404" s="306"/>
      <c r="I404" s="5"/>
      <c r="J404" s="5"/>
      <c r="K404" s="5"/>
      <c r="L404" s="5"/>
      <c r="M404" s="5"/>
      <c r="N404" s="5"/>
      <c r="O404" s="57"/>
      <c r="P404" s="5"/>
      <c r="Q404" s="5"/>
      <c r="R404" s="5"/>
      <c r="S404" s="5"/>
      <c r="T404" s="5"/>
      <c r="U404" s="5"/>
      <c r="V404" s="5"/>
      <c r="W404" s="5"/>
      <c r="X404" s="5"/>
      <c r="Y404" s="5"/>
      <c r="Z404" s="5"/>
    </row>
    <row r="405" spans="1:26" ht="12.75" customHeight="1">
      <c r="A405" s="5"/>
      <c r="B405" s="5"/>
      <c r="C405" s="5"/>
      <c r="D405" s="5"/>
      <c r="E405" s="5"/>
      <c r="F405" s="5"/>
      <c r="G405" s="5"/>
      <c r="H405" s="306"/>
      <c r="I405" s="5"/>
      <c r="J405" s="5"/>
      <c r="K405" s="5"/>
      <c r="L405" s="5"/>
      <c r="M405" s="5"/>
      <c r="N405" s="5"/>
      <c r="O405" s="57"/>
      <c r="P405" s="5"/>
      <c r="Q405" s="5"/>
      <c r="R405" s="5"/>
      <c r="S405" s="5"/>
      <c r="T405" s="5"/>
      <c r="U405" s="5"/>
      <c r="V405" s="5"/>
      <c r="W405" s="5"/>
      <c r="X405" s="5"/>
      <c r="Y405" s="5"/>
      <c r="Z405" s="5"/>
    </row>
    <row r="406" spans="1:26" ht="12.75" customHeight="1">
      <c r="A406" s="5"/>
      <c r="B406" s="5"/>
      <c r="C406" s="5"/>
      <c r="D406" s="5"/>
      <c r="E406" s="5"/>
      <c r="F406" s="5"/>
      <c r="G406" s="5"/>
      <c r="H406" s="306"/>
      <c r="I406" s="5"/>
      <c r="J406" s="5"/>
      <c r="K406" s="5"/>
      <c r="L406" s="5"/>
      <c r="M406" s="5"/>
      <c r="N406" s="5"/>
      <c r="O406" s="57"/>
      <c r="P406" s="5"/>
      <c r="Q406" s="5"/>
      <c r="R406" s="5"/>
      <c r="S406" s="5"/>
      <c r="T406" s="5"/>
      <c r="U406" s="5"/>
      <c r="V406" s="5"/>
      <c r="W406" s="5"/>
      <c r="X406" s="5"/>
      <c r="Y406" s="5"/>
      <c r="Z406" s="5"/>
    </row>
    <row r="407" spans="1:26" ht="12.75" customHeight="1">
      <c r="A407" s="5"/>
      <c r="B407" s="5"/>
      <c r="C407" s="5"/>
      <c r="D407" s="5"/>
      <c r="E407" s="5"/>
      <c r="F407" s="5"/>
      <c r="G407" s="5"/>
      <c r="H407" s="306"/>
      <c r="I407" s="5"/>
      <c r="J407" s="5"/>
      <c r="K407" s="5"/>
      <c r="L407" s="5"/>
      <c r="M407" s="5"/>
      <c r="N407" s="5"/>
      <c r="O407" s="57"/>
      <c r="P407" s="5"/>
      <c r="Q407" s="5"/>
      <c r="R407" s="5"/>
      <c r="S407" s="5"/>
      <c r="T407" s="5"/>
      <c r="U407" s="5"/>
      <c r="V407" s="5"/>
      <c r="W407" s="5"/>
      <c r="X407" s="5"/>
      <c r="Y407" s="5"/>
      <c r="Z407" s="5"/>
    </row>
    <row r="408" spans="1:26" ht="12.75" customHeight="1">
      <c r="A408" s="5"/>
      <c r="B408" s="5"/>
      <c r="C408" s="5"/>
      <c r="D408" s="5"/>
      <c r="E408" s="5"/>
      <c r="F408" s="5"/>
      <c r="G408" s="5"/>
      <c r="H408" s="306"/>
      <c r="I408" s="5"/>
      <c r="J408" s="5"/>
      <c r="K408" s="5"/>
      <c r="L408" s="5"/>
      <c r="M408" s="5"/>
      <c r="N408" s="5"/>
      <c r="O408" s="57"/>
      <c r="P408" s="5"/>
      <c r="Q408" s="5"/>
      <c r="R408" s="5"/>
      <c r="S408" s="5"/>
      <c r="T408" s="5"/>
      <c r="U408" s="5"/>
      <c r="V408" s="5"/>
      <c r="W408" s="5"/>
      <c r="X408" s="5"/>
      <c r="Y408" s="5"/>
      <c r="Z408" s="5"/>
    </row>
    <row r="409" spans="1:26" ht="12.75" customHeight="1">
      <c r="A409" s="5"/>
      <c r="B409" s="5"/>
      <c r="C409" s="5"/>
      <c r="D409" s="5"/>
      <c r="E409" s="5"/>
      <c r="F409" s="5"/>
      <c r="G409" s="5"/>
      <c r="H409" s="306"/>
      <c r="I409" s="5"/>
      <c r="J409" s="5"/>
      <c r="K409" s="5"/>
      <c r="L409" s="5"/>
      <c r="M409" s="5"/>
      <c r="N409" s="5"/>
      <c r="O409" s="57"/>
      <c r="P409" s="5"/>
      <c r="Q409" s="5"/>
      <c r="R409" s="5"/>
      <c r="S409" s="5"/>
      <c r="T409" s="5"/>
      <c r="U409" s="5"/>
      <c r="V409" s="5"/>
      <c r="W409" s="5"/>
      <c r="X409" s="5"/>
      <c r="Y409" s="5"/>
      <c r="Z409" s="5"/>
    </row>
    <row r="410" spans="1:26" ht="12.75" customHeight="1">
      <c r="A410" s="5"/>
      <c r="B410" s="5"/>
      <c r="C410" s="5"/>
      <c r="D410" s="5"/>
      <c r="E410" s="5"/>
      <c r="F410" s="5"/>
      <c r="G410" s="5"/>
      <c r="H410" s="306"/>
      <c r="I410" s="5"/>
      <c r="J410" s="5"/>
      <c r="K410" s="5"/>
      <c r="L410" s="5"/>
      <c r="M410" s="5"/>
      <c r="N410" s="5"/>
      <c r="O410" s="57"/>
      <c r="P410" s="5"/>
      <c r="Q410" s="5"/>
      <c r="R410" s="5"/>
      <c r="S410" s="5"/>
      <c r="T410" s="5"/>
      <c r="U410" s="5"/>
      <c r="V410" s="5"/>
      <c r="W410" s="5"/>
      <c r="X410" s="5"/>
      <c r="Y410" s="5"/>
      <c r="Z410" s="5"/>
    </row>
    <row r="411" spans="1:26" ht="12.75" customHeight="1">
      <c r="A411" s="5"/>
      <c r="B411" s="5"/>
      <c r="C411" s="5"/>
      <c r="D411" s="5"/>
      <c r="E411" s="5"/>
      <c r="F411" s="5"/>
      <c r="G411" s="5"/>
      <c r="H411" s="306"/>
      <c r="I411" s="5"/>
      <c r="J411" s="5"/>
      <c r="K411" s="5"/>
      <c r="L411" s="5"/>
      <c r="M411" s="5"/>
      <c r="N411" s="5"/>
      <c r="O411" s="57"/>
      <c r="P411" s="5"/>
      <c r="Q411" s="5"/>
      <c r="R411" s="5"/>
      <c r="S411" s="5"/>
      <c r="T411" s="5"/>
      <c r="U411" s="5"/>
      <c r="V411" s="5"/>
      <c r="W411" s="5"/>
      <c r="X411" s="5"/>
      <c r="Y411" s="5"/>
      <c r="Z411" s="5"/>
    </row>
    <row r="412" spans="1:26" ht="12.75" customHeight="1">
      <c r="A412" s="5"/>
      <c r="B412" s="5"/>
      <c r="C412" s="5"/>
      <c r="D412" s="5"/>
      <c r="E412" s="5"/>
      <c r="F412" s="5"/>
      <c r="G412" s="5"/>
      <c r="H412" s="306"/>
      <c r="I412" s="5"/>
      <c r="J412" s="5"/>
      <c r="K412" s="5"/>
      <c r="L412" s="5"/>
      <c r="M412" s="5"/>
      <c r="N412" s="5"/>
      <c r="O412" s="57"/>
      <c r="P412" s="5"/>
      <c r="Q412" s="5"/>
      <c r="R412" s="5"/>
      <c r="S412" s="5"/>
      <c r="T412" s="5"/>
      <c r="U412" s="5"/>
      <c r="V412" s="5"/>
      <c r="W412" s="5"/>
      <c r="X412" s="5"/>
      <c r="Y412" s="5"/>
      <c r="Z412" s="5"/>
    </row>
    <row r="413" spans="1:26" ht="12.75" customHeight="1">
      <c r="A413" s="5"/>
      <c r="B413" s="5"/>
      <c r="C413" s="5"/>
      <c r="D413" s="5"/>
      <c r="E413" s="5"/>
      <c r="F413" s="5"/>
      <c r="G413" s="5"/>
      <c r="H413" s="306"/>
      <c r="I413" s="5"/>
      <c r="J413" s="5"/>
      <c r="K413" s="5"/>
      <c r="L413" s="5"/>
      <c r="M413" s="5"/>
      <c r="N413" s="5"/>
      <c r="O413" s="57"/>
      <c r="P413" s="5"/>
      <c r="Q413" s="5"/>
      <c r="R413" s="5"/>
      <c r="S413" s="5"/>
      <c r="T413" s="5"/>
      <c r="U413" s="5"/>
      <c r="V413" s="5"/>
      <c r="W413" s="5"/>
      <c r="X413" s="5"/>
      <c r="Y413" s="5"/>
      <c r="Z413" s="5"/>
    </row>
    <row r="414" spans="1:26" ht="12.75" customHeight="1">
      <c r="A414" s="5"/>
      <c r="B414" s="5"/>
      <c r="C414" s="5"/>
      <c r="D414" s="5"/>
      <c r="E414" s="5"/>
      <c r="F414" s="5"/>
      <c r="G414" s="5"/>
      <c r="H414" s="306"/>
      <c r="I414" s="5"/>
      <c r="J414" s="5"/>
      <c r="K414" s="5"/>
      <c r="L414" s="5"/>
      <c r="M414" s="5"/>
      <c r="N414" s="5"/>
      <c r="O414" s="57"/>
      <c r="P414" s="5"/>
      <c r="Q414" s="5"/>
      <c r="R414" s="5"/>
      <c r="S414" s="5"/>
      <c r="T414" s="5"/>
      <c r="U414" s="5"/>
      <c r="V414" s="5"/>
      <c r="W414" s="5"/>
      <c r="X414" s="5"/>
      <c r="Y414" s="5"/>
      <c r="Z414" s="5"/>
    </row>
    <row r="415" spans="1:26" ht="12.75" customHeight="1">
      <c r="A415" s="5"/>
      <c r="B415" s="5"/>
      <c r="C415" s="5"/>
      <c r="D415" s="5"/>
      <c r="E415" s="5"/>
      <c r="F415" s="5"/>
      <c r="G415" s="5"/>
      <c r="H415" s="306"/>
      <c r="I415" s="5"/>
      <c r="J415" s="5"/>
      <c r="K415" s="5"/>
      <c r="L415" s="5"/>
      <c r="M415" s="5"/>
      <c r="N415" s="5"/>
      <c r="O415" s="57"/>
      <c r="P415" s="5"/>
      <c r="Q415" s="5"/>
      <c r="R415" s="5"/>
      <c r="S415" s="5"/>
      <c r="T415" s="5"/>
      <c r="U415" s="5"/>
      <c r="V415" s="5"/>
      <c r="W415" s="5"/>
      <c r="X415" s="5"/>
      <c r="Y415" s="5"/>
      <c r="Z415" s="5"/>
    </row>
    <row r="416" spans="1:26" ht="12.75" customHeight="1">
      <c r="A416" s="5"/>
      <c r="B416" s="5"/>
      <c r="C416" s="5"/>
      <c r="D416" s="5"/>
      <c r="E416" s="5"/>
      <c r="F416" s="5"/>
      <c r="G416" s="5"/>
      <c r="H416" s="306"/>
      <c r="I416" s="5"/>
      <c r="J416" s="5"/>
      <c r="K416" s="5"/>
      <c r="L416" s="5"/>
      <c r="M416" s="5"/>
      <c r="N416" s="5"/>
      <c r="O416" s="57"/>
      <c r="P416" s="5"/>
      <c r="Q416" s="5"/>
      <c r="R416" s="5"/>
      <c r="S416" s="5"/>
      <c r="T416" s="5"/>
      <c r="U416" s="5"/>
      <c r="V416" s="5"/>
      <c r="W416" s="5"/>
      <c r="X416" s="5"/>
      <c r="Y416" s="5"/>
      <c r="Z416" s="5"/>
    </row>
    <row r="417" spans="1:26" ht="12.75" customHeight="1">
      <c r="A417" s="5"/>
      <c r="B417" s="5"/>
      <c r="C417" s="5"/>
      <c r="D417" s="5"/>
      <c r="E417" s="5"/>
      <c r="F417" s="5"/>
      <c r="G417" s="5"/>
      <c r="H417" s="306"/>
      <c r="I417" s="5"/>
      <c r="J417" s="5"/>
      <c r="K417" s="5"/>
      <c r="L417" s="5"/>
      <c r="M417" s="5"/>
      <c r="N417" s="5"/>
      <c r="O417" s="57"/>
      <c r="P417" s="5"/>
      <c r="Q417" s="5"/>
      <c r="R417" s="5"/>
      <c r="S417" s="5"/>
      <c r="T417" s="5"/>
      <c r="U417" s="5"/>
      <c r="V417" s="5"/>
      <c r="W417" s="5"/>
      <c r="X417" s="5"/>
      <c r="Y417" s="5"/>
      <c r="Z417" s="5"/>
    </row>
    <row r="418" spans="1:26" ht="12.75" customHeight="1">
      <c r="A418" s="5"/>
      <c r="B418" s="5"/>
      <c r="C418" s="5"/>
      <c r="D418" s="5"/>
      <c r="E418" s="5"/>
      <c r="F418" s="5"/>
      <c r="G418" s="5"/>
      <c r="H418" s="306"/>
      <c r="I418" s="5"/>
      <c r="J418" s="5"/>
      <c r="K418" s="5"/>
      <c r="L418" s="5"/>
      <c r="M418" s="5"/>
      <c r="N418" s="5"/>
      <c r="O418" s="57"/>
      <c r="P418" s="5"/>
      <c r="Q418" s="5"/>
      <c r="R418" s="5"/>
      <c r="S418" s="5"/>
      <c r="T418" s="5"/>
      <c r="U418" s="5"/>
      <c r="V418" s="5"/>
      <c r="W418" s="5"/>
      <c r="X418" s="5"/>
      <c r="Y418" s="5"/>
      <c r="Z418" s="5"/>
    </row>
    <row r="419" spans="1:26" ht="12.75" customHeight="1">
      <c r="A419" s="5"/>
      <c r="B419" s="5"/>
      <c r="C419" s="5"/>
      <c r="D419" s="5"/>
      <c r="E419" s="5"/>
      <c r="F419" s="5"/>
      <c r="G419" s="5"/>
      <c r="H419" s="306"/>
      <c r="I419" s="5"/>
      <c r="J419" s="5"/>
      <c r="K419" s="5"/>
      <c r="L419" s="5"/>
      <c r="M419" s="5"/>
      <c r="N419" s="5"/>
      <c r="O419" s="57"/>
      <c r="P419" s="5"/>
      <c r="Q419" s="5"/>
      <c r="R419" s="5"/>
      <c r="S419" s="5"/>
      <c r="T419" s="5"/>
      <c r="U419" s="5"/>
      <c r="V419" s="5"/>
      <c r="W419" s="5"/>
      <c r="X419" s="5"/>
      <c r="Y419" s="5"/>
      <c r="Z419" s="5"/>
    </row>
    <row r="420" spans="1:26" ht="12.75" customHeight="1">
      <c r="A420" s="5"/>
      <c r="B420" s="5"/>
      <c r="C420" s="5"/>
      <c r="D420" s="5"/>
      <c r="E420" s="5"/>
      <c r="F420" s="5"/>
      <c r="G420" s="5"/>
      <c r="H420" s="306"/>
      <c r="I420" s="5"/>
      <c r="J420" s="5"/>
      <c r="K420" s="5"/>
      <c r="L420" s="5"/>
      <c r="M420" s="5"/>
      <c r="N420" s="5"/>
      <c r="O420" s="57"/>
      <c r="P420" s="5"/>
      <c r="Q420" s="5"/>
      <c r="R420" s="5"/>
      <c r="S420" s="5"/>
      <c r="T420" s="5"/>
      <c r="U420" s="5"/>
      <c r="V420" s="5"/>
      <c r="W420" s="5"/>
      <c r="X420" s="5"/>
      <c r="Y420" s="5"/>
      <c r="Z420" s="5"/>
    </row>
    <row r="421" spans="1:26" ht="12.75" customHeight="1">
      <c r="A421" s="5"/>
      <c r="B421" s="5"/>
      <c r="C421" s="5"/>
      <c r="D421" s="5"/>
      <c r="E421" s="5"/>
      <c r="F421" s="5"/>
      <c r="G421" s="5"/>
      <c r="H421" s="306"/>
      <c r="I421" s="5"/>
      <c r="J421" s="5"/>
      <c r="K421" s="5"/>
      <c r="L421" s="5"/>
      <c r="M421" s="5"/>
      <c r="N421" s="5"/>
      <c r="O421" s="57"/>
      <c r="P421" s="5"/>
      <c r="Q421" s="5"/>
      <c r="R421" s="5"/>
      <c r="S421" s="5"/>
      <c r="T421" s="5"/>
      <c r="U421" s="5"/>
      <c r="V421" s="5"/>
      <c r="W421" s="5"/>
      <c r="X421" s="5"/>
      <c r="Y421" s="5"/>
      <c r="Z421" s="5"/>
    </row>
    <row r="422" spans="1:26" ht="12.75" customHeight="1">
      <c r="A422" s="5"/>
      <c r="B422" s="5"/>
      <c r="C422" s="5"/>
      <c r="D422" s="5"/>
      <c r="E422" s="5"/>
      <c r="F422" s="5"/>
      <c r="G422" s="5"/>
      <c r="H422" s="306"/>
      <c r="I422" s="5"/>
      <c r="J422" s="5"/>
      <c r="K422" s="5"/>
      <c r="L422" s="5"/>
      <c r="M422" s="5"/>
      <c r="N422" s="5"/>
      <c r="O422" s="57"/>
      <c r="P422" s="5"/>
      <c r="Q422" s="5"/>
      <c r="R422" s="5"/>
      <c r="S422" s="5"/>
      <c r="T422" s="5"/>
      <c r="U422" s="5"/>
      <c r="V422" s="5"/>
      <c r="W422" s="5"/>
      <c r="X422" s="5"/>
      <c r="Y422" s="5"/>
      <c r="Z422" s="5"/>
    </row>
    <row r="423" spans="1:26" ht="12.75" customHeight="1">
      <c r="A423" s="5"/>
      <c r="B423" s="5"/>
      <c r="C423" s="5"/>
      <c r="D423" s="5"/>
      <c r="E423" s="5"/>
      <c r="F423" s="5"/>
      <c r="G423" s="5"/>
      <c r="H423" s="306"/>
      <c r="I423" s="5"/>
      <c r="J423" s="5"/>
      <c r="K423" s="5"/>
      <c r="L423" s="5"/>
      <c r="M423" s="5"/>
      <c r="N423" s="5"/>
      <c r="O423" s="57"/>
      <c r="P423" s="5"/>
      <c r="Q423" s="5"/>
      <c r="R423" s="5"/>
      <c r="S423" s="5"/>
      <c r="T423" s="5"/>
      <c r="U423" s="5"/>
      <c r="V423" s="5"/>
      <c r="W423" s="5"/>
      <c r="X423" s="5"/>
      <c r="Y423" s="5"/>
      <c r="Z423" s="5"/>
    </row>
    <row r="424" spans="1:26" ht="12.75" customHeight="1">
      <c r="A424" s="5"/>
      <c r="B424" s="5"/>
      <c r="C424" s="5"/>
      <c r="D424" s="5"/>
      <c r="E424" s="5"/>
      <c r="F424" s="5"/>
      <c r="G424" s="5"/>
      <c r="H424" s="306"/>
      <c r="I424" s="5"/>
      <c r="J424" s="5"/>
      <c r="K424" s="5"/>
      <c r="L424" s="5"/>
      <c r="M424" s="5"/>
      <c r="N424" s="5"/>
      <c r="O424" s="57"/>
      <c r="P424" s="5"/>
      <c r="Q424" s="5"/>
      <c r="R424" s="5"/>
      <c r="S424" s="5"/>
      <c r="T424" s="5"/>
      <c r="U424" s="5"/>
      <c r="V424" s="5"/>
      <c r="W424" s="5"/>
      <c r="X424" s="5"/>
      <c r="Y424" s="5"/>
      <c r="Z424" s="5"/>
    </row>
    <row r="425" spans="1:26" ht="12.75" customHeight="1">
      <c r="A425" s="5"/>
      <c r="B425" s="5"/>
      <c r="C425" s="5"/>
      <c r="D425" s="5"/>
      <c r="E425" s="5"/>
      <c r="F425" s="5"/>
      <c r="G425" s="5"/>
      <c r="H425" s="306"/>
      <c r="I425" s="5"/>
      <c r="J425" s="5"/>
      <c r="K425" s="5"/>
      <c r="L425" s="5"/>
      <c r="M425" s="5"/>
      <c r="N425" s="5"/>
      <c r="O425" s="57"/>
      <c r="P425" s="5"/>
      <c r="Q425" s="5"/>
      <c r="R425" s="5"/>
      <c r="S425" s="5"/>
      <c r="T425" s="5"/>
      <c r="U425" s="5"/>
      <c r="V425" s="5"/>
      <c r="W425" s="5"/>
      <c r="X425" s="5"/>
      <c r="Y425" s="5"/>
      <c r="Z425" s="5"/>
    </row>
    <row r="426" spans="1:26" ht="12.75" customHeight="1">
      <c r="A426" s="5"/>
      <c r="B426" s="5"/>
      <c r="C426" s="5"/>
      <c r="D426" s="5"/>
      <c r="E426" s="5"/>
      <c r="F426" s="5"/>
      <c r="G426" s="5"/>
      <c r="H426" s="306"/>
      <c r="I426" s="5"/>
      <c r="J426" s="5"/>
      <c r="K426" s="5"/>
      <c r="L426" s="5"/>
      <c r="M426" s="5"/>
      <c r="N426" s="5"/>
      <c r="O426" s="57"/>
      <c r="P426" s="5"/>
      <c r="Q426" s="5"/>
      <c r="R426" s="5"/>
      <c r="S426" s="5"/>
      <c r="T426" s="5"/>
      <c r="U426" s="5"/>
      <c r="V426" s="5"/>
      <c r="W426" s="5"/>
      <c r="X426" s="5"/>
      <c r="Y426" s="5"/>
      <c r="Z426" s="5"/>
    </row>
    <row r="427" spans="1:26" ht="12.75" customHeight="1">
      <c r="A427" s="5"/>
      <c r="B427" s="5"/>
      <c r="C427" s="5"/>
      <c r="D427" s="5"/>
      <c r="E427" s="5"/>
      <c r="F427" s="5"/>
      <c r="G427" s="5"/>
      <c r="H427" s="306"/>
      <c r="I427" s="5"/>
      <c r="J427" s="5"/>
      <c r="K427" s="5"/>
      <c r="L427" s="5"/>
      <c r="M427" s="5"/>
      <c r="N427" s="5"/>
      <c r="O427" s="57"/>
      <c r="P427" s="5"/>
      <c r="Q427" s="5"/>
      <c r="R427" s="5"/>
      <c r="S427" s="5"/>
      <c r="T427" s="5"/>
      <c r="U427" s="5"/>
      <c r="V427" s="5"/>
      <c r="W427" s="5"/>
      <c r="X427" s="5"/>
      <c r="Y427" s="5"/>
      <c r="Z427" s="5"/>
    </row>
    <row r="428" spans="1:26" ht="12.75" customHeight="1">
      <c r="A428" s="5"/>
      <c r="B428" s="5"/>
      <c r="C428" s="5"/>
      <c r="D428" s="5"/>
      <c r="E428" s="5"/>
      <c r="F428" s="5"/>
      <c r="G428" s="5"/>
      <c r="H428" s="306"/>
      <c r="I428" s="5"/>
      <c r="J428" s="5"/>
      <c r="K428" s="5"/>
      <c r="L428" s="5"/>
      <c r="M428" s="5"/>
      <c r="N428" s="5"/>
      <c r="O428" s="57"/>
      <c r="P428" s="5"/>
      <c r="Q428" s="5"/>
      <c r="R428" s="5"/>
      <c r="S428" s="5"/>
      <c r="T428" s="5"/>
      <c r="U428" s="5"/>
      <c r="V428" s="5"/>
      <c r="W428" s="5"/>
      <c r="X428" s="5"/>
      <c r="Y428" s="5"/>
      <c r="Z428" s="5"/>
    </row>
    <row r="429" spans="1:26" ht="12.75" customHeight="1">
      <c r="A429" s="5"/>
      <c r="B429" s="5"/>
      <c r="C429" s="5"/>
      <c r="D429" s="5"/>
      <c r="E429" s="5"/>
      <c r="F429" s="5"/>
      <c r="G429" s="5"/>
      <c r="H429" s="306"/>
      <c r="I429" s="5"/>
      <c r="J429" s="5"/>
      <c r="K429" s="5"/>
      <c r="L429" s="5"/>
      <c r="M429" s="5"/>
      <c r="N429" s="5"/>
      <c r="O429" s="57"/>
      <c r="P429" s="5"/>
      <c r="Q429" s="5"/>
      <c r="R429" s="5"/>
      <c r="S429" s="5"/>
      <c r="T429" s="5"/>
      <c r="U429" s="5"/>
      <c r="V429" s="5"/>
      <c r="W429" s="5"/>
      <c r="X429" s="5"/>
      <c r="Y429" s="5"/>
      <c r="Z429" s="5"/>
    </row>
    <row r="430" spans="1:26" ht="12.75" customHeight="1">
      <c r="A430" s="5"/>
      <c r="B430" s="5"/>
      <c r="C430" s="5"/>
      <c r="D430" s="5"/>
      <c r="E430" s="5"/>
      <c r="F430" s="5"/>
      <c r="G430" s="5"/>
      <c r="H430" s="306"/>
      <c r="I430" s="5"/>
      <c r="J430" s="5"/>
      <c r="K430" s="5"/>
      <c r="L430" s="5"/>
      <c r="M430" s="5"/>
      <c r="N430" s="5"/>
      <c r="O430" s="57"/>
      <c r="P430" s="5"/>
      <c r="Q430" s="5"/>
      <c r="R430" s="5"/>
      <c r="S430" s="5"/>
      <c r="T430" s="5"/>
      <c r="U430" s="5"/>
      <c r="V430" s="5"/>
      <c r="W430" s="5"/>
      <c r="X430" s="5"/>
      <c r="Y430" s="5"/>
      <c r="Z430" s="5"/>
    </row>
    <row r="431" spans="1:26" ht="12.75" customHeight="1">
      <c r="A431" s="5"/>
      <c r="B431" s="5"/>
      <c r="C431" s="5"/>
      <c r="D431" s="5"/>
      <c r="E431" s="5"/>
      <c r="F431" s="5"/>
      <c r="G431" s="5"/>
      <c r="H431" s="306"/>
      <c r="I431" s="5"/>
      <c r="J431" s="5"/>
      <c r="K431" s="5"/>
      <c r="L431" s="5"/>
      <c r="M431" s="5"/>
      <c r="N431" s="5"/>
      <c r="O431" s="57"/>
      <c r="P431" s="5"/>
      <c r="Q431" s="5"/>
      <c r="R431" s="5"/>
      <c r="S431" s="5"/>
      <c r="T431" s="5"/>
      <c r="U431" s="5"/>
      <c r="V431" s="5"/>
      <c r="W431" s="5"/>
      <c r="X431" s="5"/>
      <c r="Y431" s="5"/>
      <c r="Z431" s="5"/>
    </row>
    <row r="432" spans="1:26" ht="12.75" customHeight="1">
      <c r="A432" s="5"/>
      <c r="B432" s="5"/>
      <c r="C432" s="5"/>
      <c r="D432" s="5"/>
      <c r="E432" s="5"/>
      <c r="F432" s="5"/>
      <c r="G432" s="5"/>
      <c r="H432" s="306"/>
      <c r="I432" s="5"/>
      <c r="J432" s="5"/>
      <c r="K432" s="5"/>
      <c r="L432" s="5"/>
      <c r="M432" s="5"/>
      <c r="N432" s="5"/>
      <c r="O432" s="57"/>
      <c r="P432" s="5"/>
      <c r="Q432" s="5"/>
      <c r="R432" s="5"/>
      <c r="S432" s="5"/>
      <c r="T432" s="5"/>
      <c r="U432" s="5"/>
      <c r="V432" s="5"/>
      <c r="W432" s="5"/>
      <c r="X432" s="5"/>
      <c r="Y432" s="5"/>
      <c r="Z432" s="5"/>
    </row>
    <row r="433" spans="1:26" ht="12.75" customHeight="1">
      <c r="A433" s="5"/>
      <c r="B433" s="5"/>
      <c r="C433" s="5"/>
      <c r="D433" s="5"/>
      <c r="E433" s="5"/>
      <c r="F433" s="5"/>
      <c r="G433" s="5"/>
      <c r="H433" s="306"/>
      <c r="I433" s="5"/>
      <c r="J433" s="5"/>
      <c r="K433" s="5"/>
      <c r="L433" s="5"/>
      <c r="M433" s="5"/>
      <c r="N433" s="5"/>
      <c r="O433" s="57"/>
      <c r="P433" s="5"/>
      <c r="Q433" s="5"/>
      <c r="R433" s="5"/>
      <c r="S433" s="5"/>
      <c r="T433" s="5"/>
      <c r="U433" s="5"/>
      <c r="V433" s="5"/>
      <c r="W433" s="5"/>
      <c r="X433" s="5"/>
      <c r="Y433" s="5"/>
      <c r="Z433" s="5"/>
    </row>
    <row r="434" spans="1:26" ht="12.75" customHeight="1">
      <c r="A434" s="5"/>
      <c r="B434" s="5"/>
      <c r="C434" s="5"/>
      <c r="D434" s="5"/>
      <c r="E434" s="5"/>
      <c r="F434" s="5"/>
      <c r="G434" s="5"/>
      <c r="H434" s="306"/>
      <c r="I434" s="5"/>
      <c r="J434" s="5"/>
      <c r="K434" s="5"/>
      <c r="L434" s="5"/>
      <c r="M434" s="5"/>
      <c r="N434" s="5"/>
      <c r="O434" s="57"/>
      <c r="P434" s="5"/>
      <c r="Q434" s="5"/>
      <c r="R434" s="5"/>
      <c r="S434" s="5"/>
      <c r="T434" s="5"/>
      <c r="U434" s="5"/>
      <c r="V434" s="5"/>
      <c r="W434" s="5"/>
      <c r="X434" s="5"/>
      <c r="Y434" s="5"/>
      <c r="Z434" s="5"/>
    </row>
    <row r="435" spans="1:26" ht="12.75" customHeight="1">
      <c r="A435" s="5"/>
      <c r="B435" s="5"/>
      <c r="C435" s="5"/>
      <c r="D435" s="5"/>
      <c r="E435" s="5"/>
      <c r="F435" s="5"/>
      <c r="G435" s="5"/>
      <c r="H435" s="306"/>
      <c r="I435" s="5"/>
      <c r="J435" s="5"/>
      <c r="K435" s="5"/>
      <c r="L435" s="5"/>
      <c r="M435" s="5"/>
      <c r="N435" s="5"/>
      <c r="O435" s="57"/>
      <c r="P435" s="5"/>
      <c r="Q435" s="5"/>
      <c r="R435" s="5"/>
      <c r="S435" s="5"/>
      <c r="T435" s="5"/>
      <c r="U435" s="5"/>
      <c r="V435" s="5"/>
      <c r="W435" s="5"/>
      <c r="X435" s="5"/>
      <c r="Y435" s="5"/>
      <c r="Z435" s="5"/>
    </row>
    <row r="436" spans="1:26" ht="12.75" customHeight="1">
      <c r="A436" s="5"/>
      <c r="B436" s="5"/>
      <c r="C436" s="5"/>
      <c r="D436" s="5"/>
      <c r="E436" s="5"/>
      <c r="F436" s="5"/>
      <c r="G436" s="5"/>
      <c r="H436" s="306"/>
      <c r="I436" s="5"/>
      <c r="J436" s="5"/>
      <c r="K436" s="5"/>
      <c r="L436" s="5"/>
      <c r="M436" s="5"/>
      <c r="N436" s="5"/>
      <c r="O436" s="57"/>
      <c r="P436" s="5"/>
      <c r="Q436" s="5"/>
      <c r="R436" s="5"/>
      <c r="S436" s="5"/>
      <c r="T436" s="5"/>
      <c r="U436" s="5"/>
      <c r="V436" s="5"/>
      <c r="W436" s="5"/>
      <c r="X436" s="5"/>
      <c r="Y436" s="5"/>
      <c r="Z436" s="5"/>
    </row>
    <row r="437" spans="1:26" ht="12.75" customHeight="1">
      <c r="A437" s="5"/>
      <c r="B437" s="5"/>
      <c r="C437" s="5"/>
      <c r="D437" s="5"/>
      <c r="E437" s="5"/>
      <c r="F437" s="5"/>
      <c r="G437" s="5"/>
      <c r="H437" s="306"/>
      <c r="I437" s="5"/>
      <c r="J437" s="5"/>
      <c r="K437" s="5"/>
      <c r="L437" s="5"/>
      <c r="M437" s="5"/>
      <c r="N437" s="5"/>
      <c r="O437" s="57"/>
      <c r="P437" s="5"/>
      <c r="Q437" s="5"/>
      <c r="R437" s="5"/>
      <c r="S437" s="5"/>
      <c r="T437" s="5"/>
      <c r="U437" s="5"/>
      <c r="V437" s="5"/>
      <c r="W437" s="5"/>
      <c r="X437" s="5"/>
      <c r="Y437" s="5"/>
      <c r="Z437" s="5"/>
    </row>
    <row r="438" spans="1:26" ht="12.75" customHeight="1">
      <c r="A438" s="5"/>
      <c r="B438" s="5"/>
      <c r="C438" s="5"/>
      <c r="D438" s="5"/>
      <c r="E438" s="5"/>
      <c r="F438" s="5"/>
      <c r="G438" s="5"/>
      <c r="H438" s="306"/>
      <c r="I438" s="5"/>
      <c r="J438" s="5"/>
      <c r="K438" s="5"/>
      <c r="L438" s="5"/>
      <c r="M438" s="5"/>
      <c r="N438" s="5"/>
      <c r="O438" s="57"/>
      <c r="P438" s="5"/>
      <c r="Q438" s="5"/>
      <c r="R438" s="5"/>
      <c r="S438" s="5"/>
      <c r="T438" s="5"/>
      <c r="U438" s="5"/>
      <c r="V438" s="5"/>
      <c r="W438" s="5"/>
      <c r="X438" s="5"/>
      <c r="Y438" s="5"/>
      <c r="Z438" s="5"/>
    </row>
    <row r="439" spans="1:26" ht="12.75" customHeight="1">
      <c r="A439" s="5"/>
      <c r="B439" s="5"/>
      <c r="C439" s="5"/>
      <c r="D439" s="5"/>
      <c r="E439" s="5"/>
      <c r="F439" s="5"/>
      <c r="G439" s="5"/>
      <c r="H439" s="306"/>
      <c r="I439" s="5"/>
      <c r="J439" s="5"/>
      <c r="K439" s="5"/>
      <c r="L439" s="5"/>
      <c r="M439" s="5"/>
      <c r="N439" s="5"/>
      <c r="O439" s="57"/>
      <c r="P439" s="5"/>
      <c r="Q439" s="5"/>
      <c r="R439" s="5"/>
      <c r="S439" s="5"/>
      <c r="T439" s="5"/>
      <c r="U439" s="5"/>
      <c r="V439" s="5"/>
      <c r="W439" s="5"/>
      <c r="X439" s="5"/>
      <c r="Y439" s="5"/>
      <c r="Z439" s="5"/>
    </row>
    <row r="440" spans="1:26" ht="12.75" customHeight="1">
      <c r="A440" s="5"/>
      <c r="B440" s="5"/>
      <c r="C440" s="5"/>
      <c r="D440" s="5"/>
      <c r="E440" s="5"/>
      <c r="F440" s="5"/>
      <c r="G440" s="5"/>
      <c r="H440" s="306"/>
      <c r="I440" s="5"/>
      <c r="J440" s="5"/>
      <c r="K440" s="5"/>
      <c r="L440" s="5"/>
      <c r="M440" s="5"/>
      <c r="N440" s="5"/>
      <c r="O440" s="57"/>
      <c r="P440" s="5"/>
      <c r="Q440" s="5"/>
      <c r="R440" s="5"/>
      <c r="S440" s="5"/>
      <c r="T440" s="5"/>
      <c r="U440" s="5"/>
      <c r="V440" s="5"/>
      <c r="W440" s="5"/>
      <c r="X440" s="5"/>
      <c r="Y440" s="5"/>
      <c r="Z440" s="5"/>
    </row>
    <row r="441" spans="1:26" ht="12.75" customHeight="1">
      <c r="A441" s="5"/>
      <c r="B441" s="5"/>
      <c r="C441" s="5"/>
      <c r="D441" s="5"/>
      <c r="E441" s="5"/>
      <c r="F441" s="5"/>
      <c r="G441" s="5"/>
      <c r="H441" s="306"/>
      <c r="I441" s="5"/>
      <c r="J441" s="5"/>
      <c r="K441" s="5"/>
      <c r="L441" s="5"/>
      <c r="M441" s="5"/>
      <c r="N441" s="5"/>
      <c r="O441" s="57"/>
      <c r="P441" s="5"/>
      <c r="Q441" s="5"/>
      <c r="R441" s="5"/>
      <c r="S441" s="5"/>
      <c r="T441" s="5"/>
      <c r="U441" s="5"/>
      <c r="V441" s="5"/>
      <c r="W441" s="5"/>
      <c r="X441" s="5"/>
      <c r="Y441" s="5"/>
      <c r="Z441" s="5"/>
    </row>
    <row r="442" spans="1:26" ht="12.75" customHeight="1">
      <c r="A442" s="5"/>
      <c r="B442" s="5"/>
      <c r="C442" s="5"/>
      <c r="D442" s="5"/>
      <c r="E442" s="5"/>
      <c r="F442" s="5"/>
      <c r="G442" s="5"/>
      <c r="H442" s="306"/>
      <c r="I442" s="5"/>
      <c r="J442" s="5"/>
      <c r="K442" s="5"/>
      <c r="L442" s="5"/>
      <c r="M442" s="5"/>
      <c r="N442" s="5"/>
      <c r="O442" s="57"/>
      <c r="P442" s="5"/>
      <c r="Q442" s="5"/>
      <c r="R442" s="5"/>
      <c r="S442" s="5"/>
      <c r="T442" s="5"/>
      <c r="U442" s="5"/>
      <c r="V442" s="5"/>
      <c r="W442" s="5"/>
      <c r="X442" s="5"/>
      <c r="Y442" s="5"/>
      <c r="Z442" s="5"/>
    </row>
    <row r="443" spans="1:26" ht="12.75" customHeight="1">
      <c r="A443" s="5"/>
      <c r="B443" s="5"/>
      <c r="C443" s="5"/>
      <c r="D443" s="5"/>
      <c r="E443" s="5"/>
      <c r="F443" s="5"/>
      <c r="G443" s="5"/>
      <c r="H443" s="306"/>
      <c r="I443" s="5"/>
      <c r="J443" s="5"/>
      <c r="K443" s="5"/>
      <c r="L443" s="5"/>
      <c r="M443" s="5"/>
      <c r="N443" s="5"/>
      <c r="O443" s="57"/>
      <c r="P443" s="5"/>
      <c r="Q443" s="5"/>
      <c r="R443" s="5"/>
      <c r="S443" s="5"/>
      <c r="T443" s="5"/>
      <c r="U443" s="5"/>
      <c r="V443" s="5"/>
      <c r="W443" s="5"/>
      <c r="X443" s="5"/>
      <c r="Y443" s="5"/>
      <c r="Z443" s="5"/>
    </row>
    <row r="444" spans="1:26" ht="12.75" customHeight="1">
      <c r="A444" s="5"/>
      <c r="B444" s="5"/>
      <c r="C444" s="5"/>
      <c r="D444" s="5"/>
      <c r="E444" s="5"/>
      <c r="F444" s="5"/>
      <c r="G444" s="5"/>
      <c r="H444" s="306"/>
      <c r="I444" s="5"/>
      <c r="J444" s="5"/>
      <c r="K444" s="5"/>
      <c r="L444" s="5"/>
      <c r="M444" s="5"/>
      <c r="N444" s="5"/>
      <c r="O444" s="57"/>
      <c r="P444" s="5"/>
      <c r="Q444" s="5"/>
      <c r="R444" s="5"/>
      <c r="S444" s="5"/>
      <c r="T444" s="5"/>
      <c r="U444" s="5"/>
      <c r="V444" s="5"/>
      <c r="W444" s="5"/>
      <c r="X444" s="5"/>
      <c r="Y444" s="5"/>
      <c r="Z444" s="5"/>
    </row>
    <row r="445" spans="1:26" ht="12.75" customHeight="1">
      <c r="A445" s="5"/>
      <c r="B445" s="5"/>
      <c r="C445" s="5"/>
      <c r="D445" s="5"/>
      <c r="E445" s="5"/>
      <c r="F445" s="5"/>
      <c r="G445" s="5"/>
      <c r="H445" s="306"/>
      <c r="I445" s="5"/>
      <c r="J445" s="5"/>
      <c r="K445" s="5"/>
      <c r="L445" s="5"/>
      <c r="M445" s="5"/>
      <c r="N445" s="5"/>
      <c r="O445" s="57"/>
      <c r="P445" s="5"/>
      <c r="Q445" s="5"/>
      <c r="R445" s="5"/>
      <c r="S445" s="5"/>
      <c r="T445" s="5"/>
      <c r="U445" s="5"/>
      <c r="V445" s="5"/>
      <c r="W445" s="5"/>
      <c r="X445" s="5"/>
      <c r="Y445" s="5"/>
      <c r="Z445" s="5"/>
    </row>
    <row r="446" spans="1:26" ht="12.75" customHeight="1">
      <c r="A446" s="5"/>
      <c r="B446" s="5"/>
      <c r="C446" s="5"/>
      <c r="D446" s="5"/>
      <c r="E446" s="5"/>
      <c r="F446" s="5"/>
      <c r="G446" s="5"/>
      <c r="H446" s="306"/>
      <c r="I446" s="5"/>
      <c r="J446" s="5"/>
      <c r="K446" s="5"/>
      <c r="L446" s="5"/>
      <c r="M446" s="5"/>
      <c r="N446" s="5"/>
      <c r="O446" s="57"/>
      <c r="P446" s="5"/>
      <c r="Q446" s="5"/>
      <c r="R446" s="5"/>
      <c r="S446" s="5"/>
      <c r="T446" s="5"/>
      <c r="U446" s="5"/>
      <c r="V446" s="5"/>
      <c r="W446" s="5"/>
      <c r="X446" s="5"/>
      <c r="Y446" s="5"/>
      <c r="Z446" s="5"/>
    </row>
    <row r="447" spans="1:26" ht="12.75" customHeight="1">
      <c r="A447" s="5"/>
      <c r="B447" s="5"/>
      <c r="C447" s="5"/>
      <c r="D447" s="5"/>
      <c r="E447" s="5"/>
      <c r="F447" s="5"/>
      <c r="G447" s="5"/>
      <c r="H447" s="306"/>
      <c r="I447" s="5"/>
      <c r="J447" s="5"/>
      <c r="K447" s="5"/>
      <c r="L447" s="5"/>
      <c r="M447" s="5"/>
      <c r="N447" s="5"/>
      <c r="O447" s="57"/>
      <c r="P447" s="5"/>
      <c r="Q447" s="5"/>
      <c r="R447" s="5"/>
      <c r="S447" s="5"/>
      <c r="T447" s="5"/>
      <c r="U447" s="5"/>
      <c r="V447" s="5"/>
      <c r="W447" s="5"/>
      <c r="X447" s="5"/>
      <c r="Y447" s="5"/>
      <c r="Z447" s="5"/>
    </row>
    <row r="448" spans="1:26" ht="12.75" customHeight="1">
      <c r="A448" s="5"/>
      <c r="B448" s="5"/>
      <c r="C448" s="5"/>
      <c r="D448" s="5"/>
      <c r="E448" s="5"/>
      <c r="F448" s="5"/>
      <c r="G448" s="5"/>
      <c r="H448" s="306"/>
      <c r="I448" s="5"/>
      <c r="J448" s="5"/>
      <c r="K448" s="5"/>
      <c r="L448" s="5"/>
      <c r="M448" s="5"/>
      <c r="N448" s="5"/>
      <c r="O448" s="57"/>
      <c r="P448" s="5"/>
      <c r="Q448" s="5"/>
      <c r="R448" s="5"/>
      <c r="S448" s="5"/>
      <c r="T448" s="5"/>
      <c r="U448" s="5"/>
      <c r="V448" s="5"/>
      <c r="W448" s="5"/>
      <c r="X448" s="5"/>
      <c r="Y448" s="5"/>
      <c r="Z448" s="5"/>
    </row>
    <row r="449" spans="1:26" ht="12.75" customHeight="1">
      <c r="A449" s="5"/>
      <c r="B449" s="5"/>
      <c r="C449" s="5"/>
      <c r="D449" s="5"/>
      <c r="E449" s="5"/>
      <c r="F449" s="5"/>
      <c r="G449" s="5"/>
      <c r="H449" s="306"/>
      <c r="I449" s="5"/>
      <c r="J449" s="5"/>
      <c r="K449" s="5"/>
      <c r="L449" s="5"/>
      <c r="M449" s="5"/>
      <c r="N449" s="5"/>
      <c r="O449" s="57"/>
      <c r="P449" s="5"/>
      <c r="Q449" s="5"/>
      <c r="R449" s="5"/>
      <c r="S449" s="5"/>
      <c r="T449" s="5"/>
      <c r="U449" s="5"/>
      <c r="V449" s="5"/>
      <c r="W449" s="5"/>
      <c r="X449" s="5"/>
      <c r="Y449" s="5"/>
      <c r="Z449" s="5"/>
    </row>
    <row r="450" spans="1:26" ht="12.75" customHeight="1">
      <c r="A450" s="5"/>
      <c r="B450" s="5"/>
      <c r="C450" s="5"/>
      <c r="D450" s="5"/>
      <c r="E450" s="5"/>
      <c r="F450" s="5"/>
      <c r="G450" s="5"/>
      <c r="H450" s="306"/>
      <c r="I450" s="5"/>
      <c r="J450" s="5"/>
      <c r="K450" s="5"/>
      <c r="L450" s="5"/>
      <c r="M450" s="5"/>
      <c r="N450" s="5"/>
      <c r="O450" s="57"/>
      <c r="P450" s="5"/>
      <c r="Q450" s="5"/>
      <c r="R450" s="5"/>
      <c r="S450" s="5"/>
      <c r="T450" s="5"/>
      <c r="U450" s="5"/>
      <c r="V450" s="5"/>
      <c r="W450" s="5"/>
      <c r="X450" s="5"/>
      <c r="Y450" s="5"/>
      <c r="Z450" s="5"/>
    </row>
    <row r="451" spans="1:26" ht="12.75" customHeight="1">
      <c r="A451" s="5"/>
      <c r="B451" s="5"/>
      <c r="C451" s="5"/>
      <c r="D451" s="5"/>
      <c r="E451" s="5"/>
      <c r="F451" s="5"/>
      <c r="G451" s="5"/>
      <c r="H451" s="306"/>
      <c r="I451" s="5"/>
      <c r="J451" s="5"/>
      <c r="K451" s="5"/>
      <c r="L451" s="5"/>
      <c r="M451" s="5"/>
      <c r="N451" s="5"/>
      <c r="O451" s="57"/>
      <c r="P451" s="5"/>
      <c r="Q451" s="5"/>
      <c r="R451" s="5"/>
      <c r="S451" s="5"/>
      <c r="T451" s="5"/>
      <c r="U451" s="5"/>
      <c r="V451" s="5"/>
      <c r="W451" s="5"/>
      <c r="X451" s="5"/>
      <c r="Y451" s="5"/>
      <c r="Z451" s="5"/>
    </row>
    <row r="452" spans="1:26" ht="12.75" customHeight="1">
      <c r="A452" s="5"/>
      <c r="B452" s="5"/>
      <c r="C452" s="5"/>
      <c r="D452" s="5"/>
      <c r="E452" s="5"/>
      <c r="F452" s="5"/>
      <c r="G452" s="5"/>
      <c r="H452" s="306"/>
      <c r="I452" s="5"/>
      <c r="J452" s="5"/>
      <c r="K452" s="5"/>
      <c r="L452" s="5"/>
      <c r="M452" s="5"/>
      <c r="N452" s="5"/>
      <c r="O452" s="57"/>
      <c r="P452" s="5"/>
      <c r="Q452" s="5"/>
      <c r="R452" s="5"/>
      <c r="S452" s="5"/>
      <c r="T452" s="5"/>
      <c r="U452" s="5"/>
      <c r="V452" s="5"/>
      <c r="W452" s="5"/>
      <c r="X452" s="5"/>
      <c r="Y452" s="5"/>
      <c r="Z452" s="5"/>
    </row>
    <row r="453" spans="1:26" ht="12.75" customHeight="1">
      <c r="A453" s="5"/>
      <c r="B453" s="5"/>
      <c r="C453" s="5"/>
      <c r="D453" s="5"/>
      <c r="E453" s="5"/>
      <c r="F453" s="5"/>
      <c r="G453" s="5"/>
      <c r="H453" s="306"/>
      <c r="I453" s="5"/>
      <c r="J453" s="5"/>
      <c r="K453" s="5"/>
      <c r="L453" s="5"/>
      <c r="M453" s="5"/>
      <c r="N453" s="5"/>
      <c r="O453" s="57"/>
      <c r="P453" s="5"/>
      <c r="Q453" s="5"/>
      <c r="R453" s="5"/>
      <c r="S453" s="5"/>
      <c r="T453" s="5"/>
      <c r="U453" s="5"/>
      <c r="V453" s="5"/>
      <c r="W453" s="5"/>
      <c r="X453" s="5"/>
      <c r="Y453" s="5"/>
      <c r="Z453" s="5"/>
    </row>
    <row r="454" spans="1:26" ht="12.75" customHeight="1">
      <c r="A454" s="5"/>
      <c r="B454" s="5"/>
      <c r="C454" s="5"/>
      <c r="D454" s="5"/>
      <c r="E454" s="5"/>
      <c r="F454" s="5"/>
      <c r="G454" s="5"/>
      <c r="H454" s="306"/>
      <c r="I454" s="5"/>
      <c r="J454" s="5"/>
      <c r="K454" s="5"/>
      <c r="L454" s="5"/>
      <c r="M454" s="5"/>
      <c r="N454" s="5"/>
      <c r="O454" s="57"/>
      <c r="P454" s="5"/>
      <c r="Q454" s="5"/>
      <c r="R454" s="5"/>
      <c r="S454" s="5"/>
      <c r="T454" s="5"/>
      <c r="U454" s="5"/>
      <c r="V454" s="5"/>
      <c r="W454" s="5"/>
      <c r="X454" s="5"/>
      <c r="Y454" s="5"/>
      <c r="Z454" s="5"/>
    </row>
    <row r="455" spans="1:26" ht="12.75" customHeight="1">
      <c r="A455" s="5"/>
      <c r="B455" s="5"/>
      <c r="C455" s="5"/>
      <c r="D455" s="5"/>
      <c r="E455" s="5"/>
      <c r="F455" s="5"/>
      <c r="G455" s="5"/>
      <c r="H455" s="306"/>
      <c r="I455" s="5"/>
      <c r="J455" s="5"/>
      <c r="K455" s="5"/>
      <c r="L455" s="5"/>
      <c r="M455" s="5"/>
      <c r="N455" s="5"/>
      <c r="O455" s="57"/>
      <c r="P455" s="5"/>
      <c r="Q455" s="5"/>
      <c r="R455" s="5"/>
      <c r="S455" s="5"/>
      <c r="T455" s="5"/>
      <c r="U455" s="5"/>
      <c r="V455" s="5"/>
      <c r="W455" s="5"/>
      <c r="X455" s="5"/>
      <c r="Y455" s="5"/>
      <c r="Z455" s="5"/>
    </row>
    <row r="456" spans="1:26" ht="12.75" customHeight="1">
      <c r="A456" s="5"/>
      <c r="B456" s="5"/>
      <c r="C456" s="5"/>
      <c r="D456" s="5"/>
      <c r="E456" s="5"/>
      <c r="F456" s="5"/>
      <c r="G456" s="5"/>
      <c r="H456" s="306"/>
      <c r="I456" s="5"/>
      <c r="J456" s="5"/>
      <c r="K456" s="5"/>
      <c r="L456" s="5"/>
      <c r="M456" s="5"/>
      <c r="N456" s="5"/>
      <c r="O456" s="57"/>
      <c r="P456" s="5"/>
      <c r="Q456" s="5"/>
      <c r="R456" s="5"/>
      <c r="S456" s="5"/>
      <c r="T456" s="5"/>
      <c r="U456" s="5"/>
      <c r="V456" s="5"/>
      <c r="W456" s="5"/>
      <c r="X456" s="5"/>
      <c r="Y456" s="5"/>
      <c r="Z456" s="5"/>
    </row>
    <row r="457" spans="1:26" ht="12.75" customHeight="1">
      <c r="A457" s="5"/>
      <c r="B457" s="5"/>
      <c r="C457" s="5"/>
      <c r="D457" s="5"/>
      <c r="E457" s="5"/>
      <c r="F457" s="5"/>
      <c r="G457" s="5"/>
      <c r="H457" s="306"/>
      <c r="I457" s="5"/>
      <c r="J457" s="5"/>
      <c r="K457" s="5"/>
      <c r="L457" s="5"/>
      <c r="M457" s="5"/>
      <c r="N457" s="5"/>
      <c r="O457" s="57"/>
      <c r="P457" s="5"/>
      <c r="Q457" s="5"/>
      <c r="R457" s="5"/>
      <c r="S457" s="5"/>
      <c r="T457" s="5"/>
      <c r="U457" s="5"/>
      <c r="V457" s="5"/>
      <c r="W457" s="5"/>
      <c r="X457" s="5"/>
      <c r="Y457" s="5"/>
      <c r="Z457" s="5"/>
    </row>
    <row r="458" spans="1:26" ht="12.75" customHeight="1">
      <c r="A458" s="5"/>
      <c r="B458" s="5"/>
      <c r="C458" s="5"/>
      <c r="D458" s="5"/>
      <c r="E458" s="5"/>
      <c r="F458" s="5"/>
      <c r="G458" s="5"/>
      <c r="H458" s="306"/>
      <c r="I458" s="5"/>
      <c r="J458" s="5"/>
      <c r="K458" s="5"/>
      <c r="L458" s="5"/>
      <c r="M458" s="5"/>
      <c r="N458" s="5"/>
      <c r="O458" s="57"/>
      <c r="P458" s="5"/>
      <c r="Q458" s="5"/>
      <c r="R458" s="5"/>
      <c r="S458" s="5"/>
      <c r="T458" s="5"/>
      <c r="U458" s="5"/>
      <c r="V458" s="5"/>
      <c r="W458" s="5"/>
      <c r="X458" s="5"/>
      <c r="Y458" s="5"/>
      <c r="Z458" s="5"/>
    </row>
    <row r="459" spans="1:26" ht="12.75" customHeight="1">
      <c r="A459" s="5"/>
      <c r="B459" s="5"/>
      <c r="C459" s="5"/>
      <c r="D459" s="5"/>
      <c r="E459" s="5"/>
      <c r="F459" s="5"/>
      <c r="G459" s="5"/>
      <c r="H459" s="306"/>
      <c r="I459" s="5"/>
      <c r="J459" s="5"/>
      <c r="K459" s="5"/>
      <c r="L459" s="5"/>
      <c r="M459" s="5"/>
      <c r="N459" s="5"/>
      <c r="O459" s="57"/>
      <c r="P459" s="5"/>
      <c r="Q459" s="5"/>
      <c r="R459" s="5"/>
      <c r="S459" s="5"/>
      <c r="T459" s="5"/>
      <c r="U459" s="5"/>
      <c r="V459" s="5"/>
      <c r="W459" s="5"/>
      <c r="X459" s="5"/>
      <c r="Y459" s="5"/>
      <c r="Z459" s="5"/>
    </row>
    <row r="460" spans="1:26" ht="12.75" customHeight="1">
      <c r="A460" s="5"/>
      <c r="B460" s="5"/>
      <c r="C460" s="5"/>
      <c r="D460" s="5"/>
      <c r="E460" s="5"/>
      <c r="F460" s="5"/>
      <c r="G460" s="5"/>
      <c r="H460" s="306"/>
      <c r="I460" s="5"/>
      <c r="J460" s="5"/>
      <c r="K460" s="5"/>
      <c r="L460" s="5"/>
      <c r="M460" s="5"/>
      <c r="N460" s="5"/>
      <c r="O460" s="57"/>
      <c r="P460" s="5"/>
      <c r="Q460" s="5"/>
      <c r="R460" s="5"/>
      <c r="S460" s="5"/>
      <c r="T460" s="5"/>
      <c r="U460" s="5"/>
      <c r="V460" s="5"/>
      <c r="W460" s="5"/>
      <c r="X460" s="5"/>
      <c r="Y460" s="5"/>
      <c r="Z460" s="5"/>
    </row>
    <row r="461" spans="1:26" ht="12.75" customHeight="1">
      <c r="A461" s="5"/>
      <c r="B461" s="5"/>
      <c r="C461" s="5"/>
      <c r="D461" s="5"/>
      <c r="E461" s="5"/>
      <c r="F461" s="5"/>
      <c r="G461" s="5"/>
      <c r="H461" s="306"/>
      <c r="I461" s="5"/>
      <c r="J461" s="5"/>
      <c r="K461" s="5"/>
      <c r="L461" s="5"/>
      <c r="M461" s="5"/>
      <c r="N461" s="5"/>
      <c r="O461" s="57"/>
      <c r="P461" s="5"/>
      <c r="Q461" s="5"/>
      <c r="R461" s="5"/>
      <c r="S461" s="5"/>
      <c r="T461" s="5"/>
      <c r="U461" s="5"/>
      <c r="V461" s="5"/>
      <c r="W461" s="5"/>
      <c r="X461" s="5"/>
      <c r="Y461" s="5"/>
      <c r="Z461" s="5"/>
    </row>
    <row r="462" spans="1:26" ht="12.75" customHeight="1">
      <c r="A462" s="5"/>
      <c r="B462" s="5"/>
      <c r="C462" s="5"/>
      <c r="D462" s="5"/>
      <c r="E462" s="5"/>
      <c r="F462" s="5"/>
      <c r="G462" s="5"/>
      <c r="H462" s="306"/>
      <c r="I462" s="5"/>
      <c r="J462" s="5"/>
      <c r="K462" s="5"/>
      <c r="L462" s="5"/>
      <c r="M462" s="5"/>
      <c r="N462" s="5"/>
      <c r="O462" s="57"/>
      <c r="P462" s="5"/>
      <c r="Q462" s="5"/>
      <c r="R462" s="5"/>
      <c r="S462" s="5"/>
      <c r="T462" s="5"/>
      <c r="U462" s="5"/>
      <c r="V462" s="5"/>
      <c r="W462" s="5"/>
      <c r="X462" s="5"/>
      <c r="Y462" s="5"/>
      <c r="Z462" s="5"/>
    </row>
    <row r="463" spans="1:26" ht="12.75" customHeight="1">
      <c r="A463" s="5"/>
      <c r="B463" s="5"/>
      <c r="C463" s="5"/>
      <c r="D463" s="5"/>
      <c r="E463" s="5"/>
      <c r="F463" s="5"/>
      <c r="G463" s="5"/>
      <c r="H463" s="306"/>
      <c r="I463" s="5"/>
      <c r="J463" s="5"/>
      <c r="K463" s="5"/>
      <c r="L463" s="5"/>
      <c r="M463" s="5"/>
      <c r="N463" s="5"/>
      <c r="O463" s="57"/>
      <c r="P463" s="5"/>
      <c r="Q463" s="5"/>
      <c r="R463" s="5"/>
      <c r="S463" s="5"/>
      <c r="T463" s="5"/>
      <c r="U463" s="5"/>
      <c r="V463" s="5"/>
      <c r="W463" s="5"/>
      <c r="X463" s="5"/>
      <c r="Y463" s="5"/>
      <c r="Z463" s="5"/>
    </row>
    <row r="464" spans="1:26" ht="12.75" customHeight="1">
      <c r="A464" s="5"/>
      <c r="B464" s="5"/>
      <c r="C464" s="5"/>
      <c r="D464" s="5"/>
      <c r="E464" s="5"/>
      <c r="F464" s="5"/>
      <c r="G464" s="5"/>
      <c r="H464" s="306"/>
      <c r="I464" s="5"/>
      <c r="J464" s="5"/>
      <c r="K464" s="5"/>
      <c r="L464" s="5"/>
      <c r="M464" s="5"/>
      <c r="N464" s="5"/>
      <c r="O464" s="57"/>
      <c r="P464" s="5"/>
      <c r="Q464" s="5"/>
      <c r="R464" s="5"/>
      <c r="S464" s="5"/>
      <c r="T464" s="5"/>
      <c r="U464" s="5"/>
      <c r="V464" s="5"/>
      <c r="W464" s="5"/>
      <c r="X464" s="5"/>
      <c r="Y464" s="5"/>
      <c r="Z464" s="5"/>
    </row>
    <row r="465" spans="1:26" ht="12.75" customHeight="1">
      <c r="A465" s="5"/>
      <c r="B465" s="5"/>
      <c r="C465" s="5"/>
      <c r="D465" s="5"/>
      <c r="E465" s="5"/>
      <c r="F465" s="5"/>
      <c r="G465" s="5"/>
      <c r="H465" s="306"/>
      <c r="I465" s="5"/>
      <c r="J465" s="5"/>
      <c r="K465" s="5"/>
      <c r="L465" s="5"/>
      <c r="M465" s="5"/>
      <c r="N465" s="5"/>
      <c r="O465" s="57"/>
      <c r="P465" s="5"/>
      <c r="Q465" s="5"/>
      <c r="R465" s="5"/>
      <c r="S465" s="5"/>
      <c r="T465" s="5"/>
      <c r="U465" s="5"/>
      <c r="V465" s="5"/>
      <c r="W465" s="5"/>
      <c r="X465" s="5"/>
      <c r="Y465" s="5"/>
      <c r="Z465" s="5"/>
    </row>
    <row r="466" spans="1:26" ht="12.75" customHeight="1">
      <c r="A466" s="5"/>
      <c r="B466" s="5"/>
      <c r="C466" s="5"/>
      <c r="D466" s="5"/>
      <c r="E466" s="5"/>
      <c r="F466" s="5"/>
      <c r="G466" s="5"/>
      <c r="H466" s="306"/>
      <c r="I466" s="5"/>
      <c r="J466" s="5"/>
      <c r="K466" s="5"/>
      <c r="L466" s="5"/>
      <c r="M466" s="5"/>
      <c r="N466" s="5"/>
      <c r="O466" s="57"/>
      <c r="P466" s="5"/>
      <c r="Q466" s="5"/>
      <c r="R466" s="5"/>
      <c r="S466" s="5"/>
      <c r="T466" s="5"/>
      <c r="U466" s="5"/>
      <c r="V466" s="5"/>
      <c r="W466" s="5"/>
      <c r="X466" s="5"/>
      <c r="Y466" s="5"/>
      <c r="Z466" s="5"/>
    </row>
    <row r="467" spans="1:26" ht="12.75" customHeight="1">
      <c r="A467" s="5"/>
      <c r="B467" s="5"/>
      <c r="C467" s="5"/>
      <c r="D467" s="5"/>
      <c r="E467" s="5"/>
      <c r="F467" s="5"/>
      <c r="G467" s="5"/>
      <c r="H467" s="306"/>
      <c r="I467" s="5"/>
      <c r="J467" s="5"/>
      <c r="K467" s="5"/>
      <c r="L467" s="5"/>
      <c r="M467" s="5"/>
      <c r="N467" s="5"/>
      <c r="O467" s="57"/>
      <c r="P467" s="5"/>
      <c r="Q467" s="5"/>
      <c r="R467" s="5"/>
      <c r="S467" s="5"/>
      <c r="T467" s="5"/>
      <c r="U467" s="5"/>
      <c r="V467" s="5"/>
      <c r="W467" s="5"/>
      <c r="X467" s="5"/>
      <c r="Y467" s="5"/>
      <c r="Z467" s="5"/>
    </row>
    <row r="468" spans="1:26" ht="12.75" customHeight="1">
      <c r="A468" s="5"/>
      <c r="B468" s="5"/>
      <c r="C468" s="5"/>
      <c r="D468" s="5"/>
      <c r="E468" s="5"/>
      <c r="F468" s="5"/>
      <c r="G468" s="5"/>
      <c r="H468" s="306"/>
      <c r="I468" s="5"/>
      <c r="J468" s="5"/>
      <c r="K468" s="5"/>
      <c r="L468" s="5"/>
      <c r="M468" s="5"/>
      <c r="N468" s="5"/>
      <c r="O468" s="57"/>
      <c r="P468" s="5"/>
      <c r="Q468" s="5"/>
      <c r="R468" s="5"/>
      <c r="S468" s="5"/>
      <c r="T468" s="5"/>
      <c r="U468" s="5"/>
      <c r="V468" s="5"/>
      <c r="W468" s="5"/>
      <c r="X468" s="5"/>
      <c r="Y468" s="5"/>
      <c r="Z468" s="5"/>
    </row>
    <row r="469" spans="1:26" ht="12.75" customHeight="1">
      <c r="A469" s="5"/>
      <c r="B469" s="5"/>
      <c r="C469" s="5"/>
      <c r="D469" s="5"/>
      <c r="E469" s="5"/>
      <c r="F469" s="5"/>
      <c r="G469" s="5"/>
      <c r="H469" s="306"/>
      <c r="I469" s="5"/>
      <c r="J469" s="5"/>
      <c r="K469" s="5"/>
      <c r="L469" s="5"/>
      <c r="M469" s="5"/>
      <c r="N469" s="5"/>
      <c r="O469" s="57"/>
      <c r="P469" s="5"/>
      <c r="Q469" s="5"/>
      <c r="R469" s="5"/>
      <c r="S469" s="5"/>
      <c r="T469" s="5"/>
      <c r="U469" s="5"/>
      <c r="V469" s="5"/>
      <c r="W469" s="5"/>
      <c r="X469" s="5"/>
      <c r="Y469" s="5"/>
      <c r="Z469" s="5"/>
    </row>
    <row r="470" spans="1:26" ht="12.75" customHeight="1">
      <c r="A470" s="5"/>
      <c r="B470" s="5"/>
      <c r="C470" s="5"/>
      <c r="D470" s="5"/>
      <c r="E470" s="5"/>
      <c r="F470" s="5"/>
      <c r="G470" s="5"/>
      <c r="H470" s="306"/>
      <c r="I470" s="5"/>
      <c r="J470" s="5"/>
      <c r="K470" s="5"/>
      <c r="L470" s="5"/>
      <c r="M470" s="5"/>
      <c r="N470" s="5"/>
      <c r="O470" s="57"/>
      <c r="P470" s="5"/>
      <c r="Q470" s="5"/>
      <c r="R470" s="5"/>
      <c r="S470" s="5"/>
      <c r="T470" s="5"/>
      <c r="U470" s="5"/>
      <c r="V470" s="5"/>
      <c r="W470" s="5"/>
      <c r="X470" s="5"/>
      <c r="Y470" s="5"/>
      <c r="Z470" s="5"/>
    </row>
    <row r="471" spans="1:26" ht="12.75" customHeight="1">
      <c r="A471" s="5"/>
      <c r="B471" s="5"/>
      <c r="C471" s="5"/>
      <c r="D471" s="5"/>
      <c r="E471" s="5"/>
      <c r="F471" s="5"/>
      <c r="G471" s="5"/>
      <c r="H471" s="306"/>
      <c r="I471" s="5"/>
      <c r="J471" s="5"/>
      <c r="K471" s="5"/>
      <c r="L471" s="5"/>
      <c r="M471" s="5"/>
      <c r="N471" s="5"/>
      <c r="O471" s="57"/>
      <c r="P471" s="5"/>
      <c r="Q471" s="5"/>
      <c r="R471" s="5"/>
      <c r="S471" s="5"/>
      <c r="T471" s="5"/>
      <c r="U471" s="5"/>
      <c r="V471" s="5"/>
      <c r="W471" s="5"/>
      <c r="X471" s="5"/>
      <c r="Y471" s="5"/>
      <c r="Z471" s="5"/>
    </row>
    <row r="472" spans="1:26" ht="12.75" customHeight="1">
      <c r="A472" s="5"/>
      <c r="B472" s="5"/>
      <c r="C472" s="5"/>
      <c r="D472" s="5"/>
      <c r="E472" s="5"/>
      <c r="F472" s="5"/>
      <c r="G472" s="5"/>
      <c r="H472" s="306"/>
      <c r="I472" s="5"/>
      <c r="J472" s="5"/>
      <c r="K472" s="5"/>
      <c r="L472" s="5"/>
      <c r="M472" s="5"/>
      <c r="N472" s="5"/>
      <c r="O472" s="57"/>
      <c r="P472" s="5"/>
      <c r="Q472" s="5"/>
      <c r="R472" s="5"/>
      <c r="S472" s="5"/>
      <c r="T472" s="5"/>
      <c r="U472" s="5"/>
      <c r="V472" s="5"/>
      <c r="W472" s="5"/>
      <c r="X472" s="5"/>
      <c r="Y472" s="5"/>
      <c r="Z472" s="5"/>
    </row>
    <row r="473" spans="1:26" ht="12.75" customHeight="1">
      <c r="A473" s="5"/>
      <c r="B473" s="5"/>
      <c r="C473" s="5"/>
      <c r="D473" s="5"/>
      <c r="E473" s="5"/>
      <c r="F473" s="5"/>
      <c r="G473" s="5"/>
      <c r="H473" s="306"/>
      <c r="I473" s="5"/>
      <c r="J473" s="5"/>
      <c r="K473" s="5"/>
      <c r="L473" s="5"/>
      <c r="M473" s="5"/>
      <c r="N473" s="5"/>
      <c r="O473" s="57"/>
      <c r="P473" s="5"/>
      <c r="Q473" s="5"/>
      <c r="R473" s="5"/>
      <c r="S473" s="5"/>
      <c r="T473" s="5"/>
      <c r="U473" s="5"/>
      <c r="V473" s="5"/>
      <c r="W473" s="5"/>
      <c r="X473" s="5"/>
      <c r="Y473" s="5"/>
      <c r="Z473" s="5"/>
    </row>
    <row r="474" spans="1:26" ht="12.75" customHeight="1">
      <c r="A474" s="5"/>
      <c r="B474" s="5"/>
      <c r="C474" s="5"/>
      <c r="D474" s="5"/>
      <c r="E474" s="5"/>
      <c r="F474" s="5"/>
      <c r="G474" s="5"/>
      <c r="H474" s="306"/>
      <c r="I474" s="5"/>
      <c r="J474" s="5"/>
      <c r="K474" s="5"/>
      <c r="L474" s="5"/>
      <c r="M474" s="5"/>
      <c r="N474" s="5"/>
      <c r="O474" s="57"/>
      <c r="P474" s="5"/>
      <c r="Q474" s="5"/>
      <c r="R474" s="5"/>
      <c r="S474" s="5"/>
      <c r="T474" s="5"/>
      <c r="U474" s="5"/>
      <c r="V474" s="5"/>
      <c r="W474" s="5"/>
      <c r="X474" s="5"/>
      <c r="Y474" s="5"/>
      <c r="Z474" s="5"/>
    </row>
    <row r="475" spans="1:26" ht="12.75" customHeight="1">
      <c r="A475" s="5"/>
      <c r="B475" s="5"/>
      <c r="C475" s="5"/>
      <c r="D475" s="5"/>
      <c r="E475" s="5"/>
      <c r="F475" s="5"/>
      <c r="G475" s="5"/>
      <c r="H475" s="306"/>
      <c r="I475" s="5"/>
      <c r="J475" s="5"/>
      <c r="K475" s="5"/>
      <c r="L475" s="5"/>
      <c r="M475" s="5"/>
      <c r="N475" s="5"/>
      <c r="O475" s="57"/>
      <c r="P475" s="5"/>
      <c r="Q475" s="5"/>
      <c r="R475" s="5"/>
      <c r="S475" s="5"/>
      <c r="T475" s="5"/>
      <c r="U475" s="5"/>
      <c r="V475" s="5"/>
      <c r="W475" s="5"/>
      <c r="X475" s="5"/>
      <c r="Y475" s="5"/>
      <c r="Z475" s="5"/>
    </row>
    <row r="476" spans="1:26" ht="12.75" customHeight="1">
      <c r="A476" s="5"/>
      <c r="B476" s="5"/>
      <c r="C476" s="5"/>
      <c r="D476" s="5"/>
      <c r="E476" s="5"/>
      <c r="F476" s="5"/>
      <c r="G476" s="5"/>
      <c r="H476" s="306"/>
      <c r="I476" s="5"/>
      <c r="J476" s="5"/>
      <c r="K476" s="5"/>
      <c r="L476" s="5"/>
      <c r="M476" s="5"/>
      <c r="N476" s="5"/>
      <c r="O476" s="57"/>
      <c r="P476" s="5"/>
      <c r="Q476" s="5"/>
      <c r="R476" s="5"/>
      <c r="S476" s="5"/>
      <c r="T476" s="5"/>
      <c r="U476" s="5"/>
      <c r="V476" s="5"/>
      <c r="W476" s="5"/>
      <c r="X476" s="5"/>
      <c r="Y476" s="5"/>
      <c r="Z476" s="5"/>
    </row>
    <row r="477" spans="1:26" ht="12.75" customHeight="1">
      <c r="A477" s="5"/>
      <c r="B477" s="5"/>
      <c r="C477" s="5"/>
      <c r="D477" s="5"/>
      <c r="E477" s="5"/>
      <c r="F477" s="5"/>
      <c r="G477" s="5"/>
      <c r="H477" s="306"/>
      <c r="I477" s="5"/>
      <c r="J477" s="5"/>
      <c r="K477" s="5"/>
      <c r="L477" s="5"/>
      <c r="M477" s="5"/>
      <c r="N477" s="5"/>
      <c r="O477" s="57"/>
      <c r="P477" s="5"/>
      <c r="Q477" s="5"/>
      <c r="R477" s="5"/>
      <c r="S477" s="5"/>
      <c r="T477" s="5"/>
      <c r="U477" s="5"/>
      <c r="V477" s="5"/>
      <c r="W477" s="5"/>
      <c r="X477" s="5"/>
      <c r="Y477" s="5"/>
      <c r="Z477" s="5"/>
    </row>
    <row r="478" spans="1:26" ht="12.75" customHeight="1">
      <c r="A478" s="5"/>
      <c r="B478" s="5"/>
      <c r="C478" s="5"/>
      <c r="D478" s="5"/>
      <c r="E478" s="5"/>
      <c r="F478" s="5"/>
      <c r="G478" s="5"/>
      <c r="H478" s="306"/>
      <c r="I478" s="5"/>
      <c r="J478" s="5"/>
      <c r="K478" s="5"/>
      <c r="L478" s="5"/>
      <c r="M478" s="5"/>
      <c r="N478" s="5"/>
      <c r="O478" s="57"/>
      <c r="P478" s="5"/>
      <c r="Q478" s="5"/>
      <c r="R478" s="5"/>
      <c r="S478" s="5"/>
      <c r="T478" s="5"/>
      <c r="U478" s="5"/>
      <c r="V478" s="5"/>
      <c r="W478" s="5"/>
      <c r="X478" s="5"/>
      <c r="Y478" s="5"/>
      <c r="Z478" s="5"/>
    </row>
    <row r="479" spans="1:26" ht="12.75" customHeight="1">
      <c r="A479" s="5"/>
      <c r="B479" s="5"/>
      <c r="C479" s="5"/>
      <c r="D479" s="5"/>
      <c r="E479" s="5"/>
      <c r="F479" s="5"/>
      <c r="G479" s="5"/>
      <c r="H479" s="306"/>
      <c r="I479" s="5"/>
      <c r="J479" s="5"/>
      <c r="K479" s="5"/>
      <c r="L479" s="5"/>
      <c r="M479" s="5"/>
      <c r="N479" s="5"/>
      <c r="O479" s="57"/>
      <c r="P479" s="5"/>
      <c r="Q479" s="5"/>
      <c r="R479" s="5"/>
      <c r="S479" s="5"/>
      <c r="T479" s="5"/>
      <c r="U479" s="5"/>
      <c r="V479" s="5"/>
      <c r="W479" s="5"/>
      <c r="X479" s="5"/>
      <c r="Y479" s="5"/>
      <c r="Z479" s="5"/>
    </row>
    <row r="480" spans="1:26" ht="12.75" customHeight="1">
      <c r="A480" s="5"/>
      <c r="B480" s="5"/>
      <c r="C480" s="5"/>
      <c r="D480" s="5"/>
      <c r="E480" s="5"/>
      <c r="F480" s="5"/>
      <c r="G480" s="5"/>
      <c r="H480" s="306"/>
      <c r="I480" s="5"/>
      <c r="J480" s="5"/>
      <c r="K480" s="5"/>
      <c r="L480" s="5"/>
      <c r="M480" s="5"/>
      <c r="N480" s="5"/>
      <c r="O480" s="57"/>
      <c r="P480" s="5"/>
      <c r="Q480" s="5"/>
      <c r="R480" s="5"/>
      <c r="S480" s="5"/>
      <c r="T480" s="5"/>
      <c r="U480" s="5"/>
      <c r="V480" s="5"/>
      <c r="W480" s="5"/>
      <c r="X480" s="5"/>
      <c r="Y480" s="5"/>
      <c r="Z480" s="5"/>
    </row>
    <row r="481" spans="1:26" ht="12.75" customHeight="1">
      <c r="A481" s="5"/>
      <c r="B481" s="5"/>
      <c r="C481" s="5"/>
      <c r="D481" s="5"/>
      <c r="E481" s="5"/>
      <c r="F481" s="5"/>
      <c r="G481" s="5"/>
      <c r="H481" s="306"/>
      <c r="I481" s="5"/>
      <c r="J481" s="5"/>
      <c r="K481" s="5"/>
      <c r="L481" s="5"/>
      <c r="M481" s="5"/>
      <c r="N481" s="5"/>
      <c r="O481" s="57"/>
      <c r="P481" s="5"/>
      <c r="Q481" s="5"/>
      <c r="R481" s="5"/>
      <c r="S481" s="5"/>
      <c r="T481" s="5"/>
      <c r="U481" s="5"/>
      <c r="V481" s="5"/>
      <c r="W481" s="5"/>
      <c r="X481" s="5"/>
      <c r="Y481" s="5"/>
      <c r="Z481" s="5"/>
    </row>
    <row r="482" spans="1:26" ht="12.75" customHeight="1">
      <c r="A482" s="5"/>
      <c r="B482" s="5"/>
      <c r="C482" s="5"/>
      <c r="D482" s="5"/>
      <c r="E482" s="5"/>
      <c r="F482" s="5"/>
      <c r="G482" s="5"/>
      <c r="H482" s="306"/>
      <c r="I482" s="5"/>
      <c r="J482" s="5"/>
      <c r="K482" s="5"/>
      <c r="L482" s="5"/>
      <c r="M482" s="5"/>
      <c r="N482" s="5"/>
      <c r="O482" s="57"/>
      <c r="P482" s="5"/>
      <c r="Q482" s="5"/>
      <c r="R482" s="5"/>
      <c r="S482" s="5"/>
      <c r="T482" s="5"/>
      <c r="U482" s="5"/>
      <c r="V482" s="5"/>
      <c r="W482" s="5"/>
      <c r="X482" s="5"/>
      <c r="Y482" s="5"/>
      <c r="Z482" s="5"/>
    </row>
    <row r="483" spans="1:26" ht="12.75" customHeight="1">
      <c r="A483" s="5"/>
      <c r="B483" s="5"/>
      <c r="C483" s="5"/>
      <c r="D483" s="5"/>
      <c r="E483" s="5"/>
      <c r="F483" s="5"/>
      <c r="G483" s="5"/>
      <c r="H483" s="306"/>
      <c r="I483" s="5"/>
      <c r="J483" s="5"/>
      <c r="K483" s="5"/>
      <c r="L483" s="5"/>
      <c r="M483" s="5"/>
      <c r="N483" s="5"/>
      <c r="O483" s="57"/>
      <c r="P483" s="5"/>
      <c r="Q483" s="5"/>
      <c r="R483" s="5"/>
      <c r="S483" s="5"/>
      <c r="T483" s="5"/>
      <c r="U483" s="5"/>
      <c r="V483" s="5"/>
      <c r="W483" s="5"/>
      <c r="X483" s="5"/>
      <c r="Y483" s="5"/>
      <c r="Z483" s="5"/>
    </row>
    <row r="484" spans="1:26" ht="12.75" customHeight="1">
      <c r="A484" s="5"/>
      <c r="B484" s="5"/>
      <c r="C484" s="5"/>
      <c r="D484" s="5"/>
      <c r="E484" s="5"/>
      <c r="F484" s="5"/>
      <c r="G484" s="5"/>
      <c r="H484" s="306"/>
      <c r="I484" s="5"/>
      <c r="J484" s="5"/>
      <c r="K484" s="5"/>
      <c r="L484" s="5"/>
      <c r="M484" s="5"/>
      <c r="N484" s="5"/>
      <c r="O484" s="57"/>
      <c r="P484" s="5"/>
      <c r="Q484" s="5"/>
      <c r="R484" s="5"/>
      <c r="S484" s="5"/>
      <c r="T484" s="5"/>
      <c r="U484" s="5"/>
      <c r="V484" s="5"/>
      <c r="W484" s="5"/>
      <c r="X484" s="5"/>
      <c r="Y484" s="5"/>
      <c r="Z484" s="5"/>
    </row>
    <row r="485" spans="1:26" ht="12.75" customHeight="1">
      <c r="A485" s="5"/>
      <c r="B485" s="5"/>
      <c r="C485" s="5"/>
      <c r="D485" s="5"/>
      <c r="E485" s="5"/>
      <c r="F485" s="5"/>
      <c r="G485" s="5"/>
      <c r="H485" s="306"/>
      <c r="I485" s="5"/>
      <c r="J485" s="5"/>
      <c r="K485" s="5"/>
      <c r="L485" s="5"/>
      <c r="M485" s="5"/>
      <c r="N485" s="5"/>
      <c r="O485" s="57"/>
      <c r="P485" s="5"/>
      <c r="Q485" s="5"/>
      <c r="R485" s="5"/>
      <c r="S485" s="5"/>
      <c r="T485" s="5"/>
      <c r="U485" s="5"/>
      <c r="V485" s="5"/>
      <c r="W485" s="5"/>
      <c r="X485" s="5"/>
      <c r="Y485" s="5"/>
      <c r="Z485" s="5"/>
    </row>
    <row r="486" spans="1:26" ht="12.75" customHeight="1">
      <c r="A486" s="5"/>
      <c r="B486" s="5"/>
      <c r="C486" s="5"/>
      <c r="D486" s="5"/>
      <c r="E486" s="5"/>
      <c r="F486" s="5"/>
      <c r="G486" s="5"/>
      <c r="H486" s="306"/>
      <c r="I486" s="5"/>
      <c r="J486" s="5"/>
      <c r="K486" s="5"/>
      <c r="L486" s="5"/>
      <c r="M486" s="5"/>
      <c r="N486" s="5"/>
      <c r="O486" s="57"/>
      <c r="P486" s="5"/>
      <c r="Q486" s="5"/>
      <c r="R486" s="5"/>
      <c r="S486" s="5"/>
      <c r="T486" s="5"/>
      <c r="U486" s="5"/>
      <c r="V486" s="5"/>
      <c r="W486" s="5"/>
      <c r="X486" s="5"/>
      <c r="Y486" s="5"/>
      <c r="Z486" s="5"/>
    </row>
    <row r="487" spans="1:26" ht="12.75" customHeight="1">
      <c r="A487" s="5"/>
      <c r="B487" s="5"/>
      <c r="C487" s="5"/>
      <c r="D487" s="5"/>
      <c r="E487" s="5"/>
      <c r="F487" s="5"/>
      <c r="G487" s="5"/>
      <c r="H487" s="306"/>
      <c r="I487" s="5"/>
      <c r="J487" s="5"/>
      <c r="K487" s="5"/>
      <c r="L487" s="5"/>
      <c r="M487" s="5"/>
      <c r="N487" s="5"/>
      <c r="O487" s="57"/>
      <c r="P487" s="5"/>
      <c r="Q487" s="5"/>
      <c r="R487" s="5"/>
      <c r="S487" s="5"/>
      <c r="T487" s="5"/>
      <c r="U487" s="5"/>
      <c r="V487" s="5"/>
      <c r="W487" s="5"/>
      <c r="X487" s="5"/>
      <c r="Y487" s="5"/>
      <c r="Z487" s="5"/>
    </row>
    <row r="488" spans="1:26" ht="12.75" customHeight="1">
      <c r="A488" s="5"/>
      <c r="B488" s="5"/>
      <c r="C488" s="5"/>
      <c r="D488" s="5"/>
      <c r="E488" s="5"/>
      <c r="F488" s="5"/>
      <c r="G488" s="5"/>
      <c r="H488" s="306"/>
      <c r="I488" s="5"/>
      <c r="J488" s="5"/>
      <c r="K488" s="5"/>
      <c r="L488" s="5"/>
      <c r="M488" s="5"/>
      <c r="N488" s="5"/>
      <c r="O488" s="57"/>
      <c r="P488" s="5"/>
      <c r="Q488" s="5"/>
      <c r="R488" s="5"/>
      <c r="S488" s="5"/>
      <c r="T488" s="5"/>
      <c r="U488" s="5"/>
      <c r="V488" s="5"/>
      <c r="W488" s="5"/>
      <c r="X488" s="5"/>
      <c r="Y488" s="5"/>
      <c r="Z488" s="5"/>
    </row>
    <row r="489" spans="1:26" ht="12.75" customHeight="1">
      <c r="A489" s="5"/>
      <c r="B489" s="5"/>
      <c r="C489" s="5"/>
      <c r="D489" s="5"/>
      <c r="E489" s="5"/>
      <c r="F489" s="5"/>
      <c r="G489" s="5"/>
      <c r="H489" s="306"/>
      <c r="I489" s="5"/>
      <c r="J489" s="5"/>
      <c r="K489" s="5"/>
      <c r="L489" s="5"/>
      <c r="M489" s="5"/>
      <c r="N489" s="5"/>
      <c r="O489" s="57"/>
      <c r="P489" s="5"/>
      <c r="Q489" s="5"/>
      <c r="R489" s="5"/>
      <c r="S489" s="5"/>
      <c r="T489" s="5"/>
      <c r="U489" s="5"/>
      <c r="V489" s="5"/>
      <c r="W489" s="5"/>
      <c r="X489" s="5"/>
      <c r="Y489" s="5"/>
      <c r="Z489" s="5"/>
    </row>
    <row r="490" spans="1:26" ht="12.75" customHeight="1">
      <c r="A490" s="5"/>
      <c r="B490" s="5"/>
      <c r="C490" s="5"/>
      <c r="D490" s="5"/>
      <c r="E490" s="5"/>
      <c r="F490" s="5"/>
      <c r="G490" s="5"/>
      <c r="H490" s="306"/>
      <c r="I490" s="5"/>
      <c r="J490" s="5"/>
      <c r="K490" s="5"/>
      <c r="L490" s="5"/>
      <c r="M490" s="5"/>
      <c r="N490" s="5"/>
      <c r="O490" s="57"/>
      <c r="P490" s="5"/>
      <c r="Q490" s="5"/>
      <c r="R490" s="5"/>
      <c r="S490" s="5"/>
      <c r="T490" s="5"/>
      <c r="U490" s="5"/>
      <c r="V490" s="5"/>
      <c r="W490" s="5"/>
      <c r="X490" s="5"/>
      <c r="Y490" s="5"/>
      <c r="Z490" s="5"/>
    </row>
    <row r="491" spans="1:26" ht="12.75" customHeight="1">
      <c r="A491" s="5"/>
      <c r="B491" s="5"/>
      <c r="C491" s="5"/>
      <c r="D491" s="5"/>
      <c r="E491" s="5"/>
      <c r="F491" s="5"/>
      <c r="G491" s="5"/>
      <c r="H491" s="306"/>
      <c r="I491" s="5"/>
      <c r="J491" s="5"/>
      <c r="K491" s="5"/>
      <c r="L491" s="5"/>
      <c r="M491" s="5"/>
      <c r="N491" s="5"/>
      <c r="O491" s="57"/>
      <c r="P491" s="5"/>
      <c r="Q491" s="5"/>
      <c r="R491" s="5"/>
      <c r="S491" s="5"/>
      <c r="T491" s="5"/>
      <c r="U491" s="5"/>
      <c r="V491" s="5"/>
      <c r="W491" s="5"/>
      <c r="X491" s="5"/>
      <c r="Y491" s="5"/>
      <c r="Z491" s="5"/>
    </row>
    <row r="492" spans="1:26" ht="12.75" customHeight="1">
      <c r="A492" s="5"/>
      <c r="B492" s="5"/>
      <c r="C492" s="5"/>
      <c r="D492" s="5"/>
      <c r="E492" s="5"/>
      <c r="F492" s="5"/>
      <c r="G492" s="5"/>
      <c r="H492" s="306"/>
      <c r="I492" s="5"/>
      <c r="J492" s="5"/>
      <c r="K492" s="5"/>
      <c r="L492" s="5"/>
      <c r="M492" s="5"/>
      <c r="N492" s="5"/>
      <c r="O492" s="57"/>
      <c r="P492" s="5"/>
      <c r="Q492" s="5"/>
      <c r="R492" s="5"/>
      <c r="S492" s="5"/>
      <c r="T492" s="5"/>
      <c r="U492" s="5"/>
      <c r="V492" s="5"/>
      <c r="W492" s="5"/>
      <c r="X492" s="5"/>
      <c r="Y492" s="5"/>
      <c r="Z492" s="5"/>
    </row>
    <row r="493" spans="1:26" ht="12.75" customHeight="1">
      <c r="A493" s="5"/>
      <c r="B493" s="5"/>
      <c r="C493" s="5"/>
      <c r="D493" s="5"/>
      <c r="E493" s="5"/>
      <c r="F493" s="5"/>
      <c r="G493" s="5"/>
      <c r="H493" s="306"/>
      <c r="I493" s="5"/>
      <c r="J493" s="5"/>
      <c r="K493" s="5"/>
      <c r="L493" s="5"/>
      <c r="M493" s="5"/>
      <c r="N493" s="5"/>
      <c r="O493" s="57"/>
      <c r="P493" s="5"/>
      <c r="Q493" s="5"/>
      <c r="R493" s="5"/>
      <c r="S493" s="5"/>
      <c r="T493" s="5"/>
      <c r="U493" s="5"/>
      <c r="V493" s="5"/>
      <c r="W493" s="5"/>
      <c r="X493" s="5"/>
      <c r="Y493" s="5"/>
      <c r="Z493" s="5"/>
    </row>
    <row r="494" spans="1:26" ht="12.75" customHeight="1">
      <c r="A494" s="5"/>
      <c r="B494" s="5"/>
      <c r="C494" s="5"/>
      <c r="D494" s="5"/>
      <c r="E494" s="5"/>
      <c r="F494" s="5"/>
      <c r="G494" s="5"/>
      <c r="H494" s="306"/>
      <c r="I494" s="5"/>
      <c r="J494" s="5"/>
      <c r="K494" s="5"/>
      <c r="L494" s="5"/>
      <c r="M494" s="5"/>
      <c r="N494" s="5"/>
      <c r="O494" s="57"/>
      <c r="P494" s="5"/>
      <c r="Q494" s="5"/>
      <c r="R494" s="5"/>
      <c r="S494" s="5"/>
      <c r="T494" s="5"/>
      <c r="U494" s="5"/>
      <c r="V494" s="5"/>
      <c r="W494" s="5"/>
      <c r="X494" s="5"/>
      <c r="Y494" s="5"/>
      <c r="Z494" s="5"/>
    </row>
    <row r="495" spans="1:26" ht="12.75" customHeight="1">
      <c r="A495" s="5"/>
      <c r="B495" s="5"/>
      <c r="C495" s="5"/>
      <c r="D495" s="5"/>
      <c r="E495" s="5"/>
      <c r="F495" s="5"/>
      <c r="G495" s="5"/>
      <c r="H495" s="306"/>
      <c r="I495" s="5"/>
      <c r="J495" s="5"/>
      <c r="K495" s="5"/>
      <c r="L495" s="5"/>
      <c r="M495" s="5"/>
      <c r="N495" s="5"/>
      <c r="O495" s="57"/>
      <c r="P495" s="5"/>
      <c r="Q495" s="5"/>
      <c r="R495" s="5"/>
      <c r="S495" s="5"/>
      <c r="T495" s="5"/>
      <c r="U495" s="5"/>
      <c r="V495" s="5"/>
      <c r="W495" s="5"/>
      <c r="X495" s="5"/>
      <c r="Y495" s="5"/>
      <c r="Z495" s="5"/>
    </row>
    <row r="496" spans="1:26" ht="12.75" customHeight="1">
      <c r="A496" s="5"/>
      <c r="B496" s="5"/>
      <c r="C496" s="5"/>
      <c r="D496" s="5"/>
      <c r="E496" s="5"/>
      <c r="F496" s="5"/>
      <c r="G496" s="5"/>
      <c r="H496" s="306"/>
      <c r="I496" s="5"/>
      <c r="J496" s="5"/>
      <c r="K496" s="5"/>
      <c r="L496" s="5"/>
      <c r="M496" s="5"/>
      <c r="N496" s="5"/>
      <c r="O496" s="57"/>
      <c r="P496" s="5"/>
      <c r="Q496" s="5"/>
      <c r="R496" s="5"/>
      <c r="S496" s="5"/>
      <c r="T496" s="5"/>
      <c r="U496" s="5"/>
      <c r="V496" s="5"/>
      <c r="W496" s="5"/>
      <c r="X496" s="5"/>
      <c r="Y496" s="5"/>
      <c r="Z496" s="5"/>
    </row>
    <row r="497" spans="1:26" ht="12.75" customHeight="1">
      <c r="A497" s="5"/>
      <c r="B497" s="5"/>
      <c r="C497" s="5"/>
      <c r="D497" s="5"/>
      <c r="E497" s="5"/>
      <c r="F497" s="5"/>
      <c r="G497" s="5"/>
      <c r="H497" s="306"/>
      <c r="I497" s="5"/>
      <c r="J497" s="5"/>
      <c r="K497" s="5"/>
      <c r="L497" s="5"/>
      <c r="M497" s="5"/>
      <c r="N497" s="5"/>
      <c r="O497" s="57"/>
      <c r="P497" s="5"/>
      <c r="Q497" s="5"/>
      <c r="R497" s="5"/>
      <c r="S497" s="5"/>
      <c r="T497" s="5"/>
      <c r="U497" s="5"/>
      <c r="V497" s="5"/>
      <c r="W497" s="5"/>
      <c r="X497" s="5"/>
      <c r="Y497" s="5"/>
      <c r="Z497" s="5"/>
    </row>
    <row r="498" spans="1:26" ht="12.75" customHeight="1">
      <c r="A498" s="5"/>
      <c r="B498" s="5"/>
      <c r="C498" s="5"/>
      <c r="D498" s="5"/>
      <c r="E498" s="5"/>
      <c r="F498" s="5"/>
      <c r="G498" s="5"/>
      <c r="H498" s="306"/>
      <c r="I498" s="5"/>
      <c r="J498" s="5"/>
      <c r="K498" s="5"/>
      <c r="L498" s="5"/>
      <c r="M498" s="5"/>
      <c r="N498" s="5"/>
      <c r="O498" s="57"/>
      <c r="P498" s="5"/>
      <c r="Q498" s="5"/>
      <c r="R498" s="5"/>
      <c r="S498" s="5"/>
      <c r="T498" s="5"/>
      <c r="U498" s="5"/>
      <c r="V498" s="5"/>
      <c r="W498" s="5"/>
      <c r="X498" s="5"/>
      <c r="Y498" s="5"/>
      <c r="Z498" s="5"/>
    </row>
    <row r="499" spans="1:26" ht="12.75" customHeight="1">
      <c r="A499" s="5"/>
      <c r="B499" s="5"/>
      <c r="C499" s="5"/>
      <c r="D499" s="5"/>
      <c r="E499" s="5"/>
      <c r="F499" s="5"/>
      <c r="G499" s="5"/>
      <c r="H499" s="306"/>
      <c r="I499" s="5"/>
      <c r="J499" s="5"/>
      <c r="K499" s="5"/>
      <c r="L499" s="5"/>
      <c r="M499" s="5"/>
      <c r="N499" s="5"/>
      <c r="O499" s="57"/>
      <c r="P499" s="5"/>
      <c r="Q499" s="5"/>
      <c r="R499" s="5"/>
      <c r="S499" s="5"/>
      <c r="T499" s="5"/>
      <c r="U499" s="5"/>
      <c r="V499" s="5"/>
      <c r="W499" s="5"/>
      <c r="X499" s="5"/>
      <c r="Y499" s="5"/>
      <c r="Z499" s="5"/>
    </row>
    <row r="500" spans="1:26" ht="12.75" customHeight="1">
      <c r="A500" s="5"/>
      <c r="B500" s="5"/>
      <c r="C500" s="5"/>
      <c r="D500" s="5"/>
      <c r="E500" s="5"/>
      <c r="F500" s="5"/>
      <c r="G500" s="5"/>
      <c r="H500" s="306"/>
      <c r="I500" s="5"/>
      <c r="J500" s="5"/>
      <c r="K500" s="5"/>
      <c r="L500" s="5"/>
      <c r="M500" s="5"/>
      <c r="N500" s="5"/>
      <c r="O500" s="57"/>
      <c r="P500" s="5"/>
      <c r="Q500" s="5"/>
      <c r="R500" s="5"/>
      <c r="S500" s="5"/>
      <c r="T500" s="5"/>
      <c r="U500" s="5"/>
      <c r="V500" s="5"/>
      <c r="W500" s="5"/>
      <c r="X500" s="5"/>
      <c r="Y500" s="5"/>
      <c r="Z500" s="5"/>
    </row>
    <row r="501" spans="1:26" ht="12.75" customHeight="1">
      <c r="A501" s="5"/>
      <c r="B501" s="5"/>
      <c r="C501" s="5"/>
      <c r="D501" s="5"/>
      <c r="E501" s="5"/>
      <c r="F501" s="5"/>
      <c r="G501" s="5"/>
      <c r="H501" s="306"/>
      <c r="I501" s="5"/>
      <c r="J501" s="5"/>
      <c r="K501" s="5"/>
      <c r="L501" s="5"/>
      <c r="M501" s="5"/>
      <c r="N501" s="5"/>
      <c r="O501" s="57"/>
      <c r="P501" s="5"/>
      <c r="Q501" s="5"/>
      <c r="R501" s="5"/>
      <c r="S501" s="5"/>
      <c r="T501" s="5"/>
      <c r="U501" s="5"/>
      <c r="V501" s="5"/>
      <c r="W501" s="5"/>
      <c r="X501" s="5"/>
      <c r="Y501" s="5"/>
      <c r="Z501" s="5"/>
    </row>
    <row r="502" spans="1:26" ht="12.75" customHeight="1">
      <c r="A502" s="5"/>
      <c r="B502" s="5"/>
      <c r="C502" s="5"/>
      <c r="D502" s="5"/>
      <c r="E502" s="5"/>
      <c r="F502" s="5"/>
      <c r="G502" s="5"/>
      <c r="H502" s="306"/>
      <c r="I502" s="5"/>
      <c r="J502" s="5"/>
      <c r="K502" s="5"/>
      <c r="L502" s="5"/>
      <c r="M502" s="5"/>
      <c r="N502" s="5"/>
      <c r="O502" s="57"/>
      <c r="P502" s="5"/>
      <c r="Q502" s="5"/>
      <c r="R502" s="5"/>
      <c r="S502" s="5"/>
      <c r="T502" s="5"/>
      <c r="U502" s="5"/>
      <c r="V502" s="5"/>
      <c r="W502" s="5"/>
      <c r="X502" s="5"/>
      <c r="Y502" s="5"/>
      <c r="Z502" s="5"/>
    </row>
    <row r="503" spans="1:26" ht="12.75" customHeight="1">
      <c r="A503" s="5"/>
      <c r="B503" s="5"/>
      <c r="C503" s="5"/>
      <c r="D503" s="5"/>
      <c r="E503" s="5"/>
      <c r="F503" s="5"/>
      <c r="G503" s="5"/>
      <c r="H503" s="306"/>
      <c r="I503" s="5"/>
      <c r="J503" s="5"/>
      <c r="K503" s="5"/>
      <c r="L503" s="5"/>
      <c r="M503" s="5"/>
      <c r="N503" s="5"/>
      <c r="O503" s="57"/>
      <c r="P503" s="5"/>
      <c r="Q503" s="5"/>
      <c r="R503" s="5"/>
      <c r="S503" s="5"/>
      <c r="T503" s="5"/>
      <c r="U503" s="5"/>
      <c r="V503" s="5"/>
      <c r="W503" s="5"/>
      <c r="X503" s="5"/>
      <c r="Y503" s="5"/>
      <c r="Z503" s="5"/>
    </row>
    <row r="504" spans="1:26" ht="12.75" customHeight="1">
      <c r="A504" s="5"/>
      <c r="B504" s="5"/>
      <c r="C504" s="5"/>
      <c r="D504" s="5"/>
      <c r="E504" s="5"/>
      <c r="F504" s="5"/>
      <c r="G504" s="5"/>
      <c r="H504" s="306"/>
      <c r="I504" s="5"/>
      <c r="J504" s="5"/>
      <c r="K504" s="5"/>
      <c r="L504" s="5"/>
      <c r="M504" s="5"/>
      <c r="N504" s="5"/>
      <c r="O504" s="57"/>
      <c r="P504" s="5"/>
      <c r="Q504" s="5"/>
      <c r="R504" s="5"/>
      <c r="S504" s="5"/>
      <c r="T504" s="5"/>
      <c r="U504" s="5"/>
      <c r="V504" s="5"/>
      <c r="W504" s="5"/>
      <c r="X504" s="5"/>
      <c r="Y504" s="5"/>
      <c r="Z504" s="5"/>
    </row>
    <row r="505" spans="1:26" ht="12.75" customHeight="1">
      <c r="A505" s="5"/>
      <c r="B505" s="5"/>
      <c r="C505" s="5"/>
      <c r="D505" s="5"/>
      <c r="E505" s="5"/>
      <c r="F505" s="5"/>
      <c r="G505" s="5"/>
      <c r="H505" s="306"/>
      <c r="I505" s="5"/>
      <c r="J505" s="5"/>
      <c r="K505" s="5"/>
      <c r="L505" s="5"/>
      <c r="M505" s="5"/>
      <c r="N505" s="5"/>
      <c r="O505" s="57"/>
      <c r="P505" s="5"/>
      <c r="Q505" s="5"/>
      <c r="R505" s="5"/>
      <c r="S505" s="5"/>
      <c r="T505" s="5"/>
      <c r="U505" s="5"/>
      <c r="V505" s="5"/>
      <c r="W505" s="5"/>
      <c r="X505" s="5"/>
      <c r="Y505" s="5"/>
      <c r="Z505" s="5"/>
    </row>
    <row r="506" spans="1:26" ht="12.75" customHeight="1">
      <c r="A506" s="5"/>
      <c r="B506" s="5"/>
      <c r="C506" s="5"/>
      <c r="D506" s="5"/>
      <c r="E506" s="5"/>
      <c r="F506" s="5"/>
      <c r="G506" s="5"/>
      <c r="H506" s="306"/>
      <c r="I506" s="5"/>
      <c r="J506" s="5"/>
      <c r="K506" s="5"/>
      <c r="L506" s="5"/>
      <c r="M506" s="5"/>
      <c r="N506" s="5"/>
      <c r="O506" s="57"/>
      <c r="P506" s="5"/>
      <c r="Q506" s="5"/>
      <c r="R506" s="5"/>
      <c r="S506" s="5"/>
      <c r="T506" s="5"/>
      <c r="U506" s="5"/>
      <c r="V506" s="5"/>
      <c r="W506" s="5"/>
      <c r="X506" s="5"/>
      <c r="Y506" s="5"/>
      <c r="Z506" s="5"/>
    </row>
    <row r="507" spans="1:26" ht="12.75" customHeight="1">
      <c r="A507" s="5"/>
      <c r="B507" s="5"/>
      <c r="C507" s="5"/>
      <c r="D507" s="5"/>
      <c r="E507" s="5"/>
      <c r="F507" s="5"/>
      <c r="G507" s="5"/>
      <c r="H507" s="306"/>
      <c r="I507" s="5"/>
      <c r="J507" s="5"/>
      <c r="K507" s="5"/>
      <c r="L507" s="5"/>
      <c r="M507" s="5"/>
      <c r="N507" s="5"/>
      <c r="O507" s="57"/>
      <c r="P507" s="5"/>
      <c r="Q507" s="5"/>
      <c r="R507" s="5"/>
      <c r="S507" s="5"/>
      <c r="T507" s="5"/>
      <c r="U507" s="5"/>
      <c r="V507" s="5"/>
      <c r="W507" s="5"/>
      <c r="X507" s="5"/>
      <c r="Y507" s="5"/>
      <c r="Z507" s="5"/>
    </row>
    <row r="508" spans="1:26" ht="12.75" customHeight="1">
      <c r="A508" s="5"/>
      <c r="B508" s="5"/>
      <c r="C508" s="5"/>
      <c r="D508" s="5"/>
      <c r="E508" s="5"/>
      <c r="F508" s="5"/>
      <c r="G508" s="5"/>
      <c r="H508" s="306"/>
      <c r="I508" s="5"/>
      <c r="J508" s="5"/>
      <c r="K508" s="5"/>
      <c r="L508" s="5"/>
      <c r="M508" s="5"/>
      <c r="N508" s="5"/>
      <c r="O508" s="57"/>
      <c r="P508" s="5"/>
      <c r="Q508" s="5"/>
      <c r="R508" s="5"/>
      <c r="S508" s="5"/>
      <c r="T508" s="5"/>
      <c r="U508" s="5"/>
      <c r="V508" s="5"/>
      <c r="W508" s="5"/>
      <c r="X508" s="5"/>
      <c r="Y508" s="5"/>
      <c r="Z508" s="5"/>
    </row>
    <row r="509" spans="1:26" ht="12.75" customHeight="1">
      <c r="A509" s="5"/>
      <c r="B509" s="5"/>
      <c r="C509" s="5"/>
      <c r="D509" s="5"/>
      <c r="E509" s="5"/>
      <c r="F509" s="5"/>
      <c r="G509" s="5"/>
      <c r="H509" s="306"/>
      <c r="I509" s="5"/>
      <c r="J509" s="5"/>
      <c r="K509" s="5"/>
      <c r="L509" s="5"/>
      <c r="M509" s="5"/>
      <c r="N509" s="5"/>
      <c r="O509" s="57"/>
      <c r="P509" s="5"/>
      <c r="Q509" s="5"/>
      <c r="R509" s="5"/>
      <c r="S509" s="5"/>
      <c r="T509" s="5"/>
      <c r="U509" s="5"/>
      <c r="V509" s="5"/>
      <c r="W509" s="5"/>
      <c r="X509" s="5"/>
      <c r="Y509" s="5"/>
      <c r="Z509" s="5"/>
    </row>
    <row r="510" spans="1:26" ht="12.75" customHeight="1">
      <c r="A510" s="5"/>
      <c r="B510" s="5"/>
      <c r="C510" s="5"/>
      <c r="D510" s="5"/>
      <c r="E510" s="5"/>
      <c r="F510" s="5"/>
      <c r="G510" s="5"/>
      <c r="H510" s="306"/>
      <c r="I510" s="5"/>
      <c r="J510" s="5"/>
      <c r="K510" s="5"/>
      <c r="L510" s="5"/>
      <c r="M510" s="5"/>
      <c r="N510" s="5"/>
      <c r="O510" s="57"/>
      <c r="P510" s="5"/>
      <c r="Q510" s="5"/>
      <c r="R510" s="5"/>
      <c r="S510" s="5"/>
      <c r="T510" s="5"/>
      <c r="U510" s="5"/>
      <c r="V510" s="5"/>
      <c r="W510" s="5"/>
      <c r="X510" s="5"/>
      <c r="Y510" s="5"/>
      <c r="Z510" s="5"/>
    </row>
    <row r="511" spans="1:26" ht="12.75" customHeight="1">
      <c r="A511" s="5"/>
      <c r="B511" s="5"/>
      <c r="C511" s="5"/>
      <c r="D511" s="5"/>
      <c r="E511" s="5"/>
      <c r="F511" s="5"/>
      <c r="G511" s="5"/>
      <c r="H511" s="306"/>
      <c r="I511" s="5"/>
      <c r="J511" s="5"/>
      <c r="K511" s="5"/>
      <c r="L511" s="5"/>
      <c r="M511" s="5"/>
      <c r="N511" s="5"/>
      <c r="O511" s="57"/>
      <c r="P511" s="5"/>
      <c r="Q511" s="5"/>
      <c r="R511" s="5"/>
      <c r="S511" s="5"/>
      <c r="T511" s="5"/>
      <c r="U511" s="5"/>
      <c r="V511" s="5"/>
      <c r="W511" s="5"/>
      <c r="X511" s="5"/>
      <c r="Y511" s="5"/>
      <c r="Z511" s="5"/>
    </row>
    <row r="512" spans="1:26" ht="12.75" customHeight="1">
      <c r="A512" s="5"/>
      <c r="B512" s="5"/>
      <c r="C512" s="5"/>
      <c r="D512" s="5"/>
      <c r="E512" s="5"/>
      <c r="F512" s="5"/>
      <c r="G512" s="5"/>
      <c r="H512" s="306"/>
      <c r="I512" s="5"/>
      <c r="J512" s="5"/>
      <c r="K512" s="5"/>
      <c r="L512" s="5"/>
      <c r="M512" s="5"/>
      <c r="N512" s="5"/>
      <c r="O512" s="57"/>
      <c r="P512" s="5"/>
      <c r="Q512" s="5"/>
      <c r="R512" s="5"/>
      <c r="S512" s="5"/>
      <c r="T512" s="5"/>
      <c r="U512" s="5"/>
      <c r="V512" s="5"/>
      <c r="W512" s="5"/>
      <c r="X512" s="5"/>
      <c r="Y512" s="5"/>
      <c r="Z512" s="5"/>
    </row>
    <row r="513" spans="1:26" ht="12.75" customHeight="1">
      <c r="A513" s="5"/>
      <c r="B513" s="5"/>
      <c r="C513" s="5"/>
      <c r="D513" s="5"/>
      <c r="E513" s="5"/>
      <c r="F513" s="5"/>
      <c r="G513" s="5"/>
      <c r="H513" s="306"/>
      <c r="I513" s="5"/>
      <c r="J513" s="5"/>
      <c r="K513" s="5"/>
      <c r="L513" s="5"/>
      <c r="M513" s="5"/>
      <c r="N513" s="5"/>
      <c r="O513" s="57"/>
      <c r="P513" s="5"/>
      <c r="Q513" s="5"/>
      <c r="R513" s="5"/>
      <c r="S513" s="5"/>
      <c r="T513" s="5"/>
      <c r="U513" s="5"/>
      <c r="V513" s="5"/>
      <c r="W513" s="5"/>
      <c r="X513" s="5"/>
      <c r="Y513" s="5"/>
      <c r="Z513" s="5"/>
    </row>
    <row r="514" spans="1:26" ht="12.75" customHeight="1">
      <c r="A514" s="5"/>
      <c r="B514" s="5"/>
      <c r="C514" s="5"/>
      <c r="D514" s="5"/>
      <c r="E514" s="5"/>
      <c r="F514" s="5"/>
      <c r="G514" s="5"/>
      <c r="H514" s="306"/>
      <c r="I514" s="5"/>
      <c r="J514" s="5"/>
      <c r="K514" s="5"/>
      <c r="L514" s="5"/>
      <c r="M514" s="5"/>
      <c r="N514" s="5"/>
      <c r="O514" s="57"/>
      <c r="P514" s="5"/>
      <c r="Q514" s="5"/>
      <c r="R514" s="5"/>
      <c r="S514" s="5"/>
      <c r="T514" s="5"/>
      <c r="U514" s="5"/>
      <c r="V514" s="5"/>
      <c r="W514" s="5"/>
      <c r="X514" s="5"/>
      <c r="Y514" s="5"/>
      <c r="Z514" s="5"/>
    </row>
    <row r="515" spans="1:26" ht="12.75" customHeight="1">
      <c r="A515" s="5"/>
      <c r="B515" s="5"/>
      <c r="C515" s="5"/>
      <c r="D515" s="5"/>
      <c r="E515" s="5"/>
      <c r="F515" s="5"/>
      <c r="G515" s="5"/>
      <c r="H515" s="306"/>
      <c r="I515" s="5"/>
      <c r="J515" s="5"/>
      <c r="K515" s="5"/>
      <c r="L515" s="5"/>
      <c r="M515" s="5"/>
      <c r="N515" s="5"/>
      <c r="O515" s="57"/>
      <c r="P515" s="5"/>
      <c r="Q515" s="5"/>
      <c r="R515" s="5"/>
      <c r="S515" s="5"/>
      <c r="T515" s="5"/>
      <c r="U515" s="5"/>
      <c r="V515" s="5"/>
      <c r="W515" s="5"/>
      <c r="X515" s="5"/>
      <c r="Y515" s="5"/>
      <c r="Z515" s="5"/>
    </row>
    <row r="516" spans="1:26" ht="12.75" customHeight="1">
      <c r="A516" s="5"/>
      <c r="B516" s="5"/>
      <c r="C516" s="5"/>
      <c r="D516" s="5"/>
      <c r="E516" s="5"/>
      <c r="F516" s="5"/>
      <c r="G516" s="5"/>
      <c r="H516" s="306"/>
      <c r="I516" s="5"/>
      <c r="J516" s="5"/>
      <c r="K516" s="5"/>
      <c r="L516" s="5"/>
      <c r="M516" s="5"/>
      <c r="N516" s="5"/>
      <c r="O516" s="57"/>
      <c r="P516" s="5"/>
      <c r="Q516" s="5"/>
      <c r="R516" s="5"/>
      <c r="S516" s="5"/>
      <c r="T516" s="5"/>
      <c r="U516" s="5"/>
      <c r="V516" s="5"/>
      <c r="W516" s="5"/>
      <c r="X516" s="5"/>
      <c r="Y516" s="5"/>
      <c r="Z516" s="5"/>
    </row>
    <row r="517" spans="1:26" ht="12.75" customHeight="1">
      <c r="A517" s="5"/>
      <c r="B517" s="5"/>
      <c r="C517" s="5"/>
      <c r="D517" s="5"/>
      <c r="E517" s="5"/>
      <c r="F517" s="5"/>
      <c r="G517" s="5"/>
      <c r="H517" s="306"/>
      <c r="I517" s="5"/>
      <c r="J517" s="5"/>
      <c r="K517" s="5"/>
      <c r="L517" s="5"/>
      <c r="M517" s="5"/>
      <c r="N517" s="5"/>
      <c r="O517" s="57"/>
      <c r="P517" s="5"/>
      <c r="Q517" s="5"/>
      <c r="R517" s="5"/>
      <c r="S517" s="5"/>
      <c r="T517" s="5"/>
      <c r="U517" s="5"/>
      <c r="V517" s="5"/>
      <c r="W517" s="5"/>
      <c r="X517" s="5"/>
      <c r="Y517" s="5"/>
      <c r="Z517" s="5"/>
    </row>
    <row r="518" spans="1:26" ht="12.75" customHeight="1">
      <c r="A518" s="5"/>
      <c r="B518" s="5"/>
      <c r="C518" s="5"/>
      <c r="D518" s="5"/>
      <c r="E518" s="5"/>
      <c r="F518" s="5"/>
      <c r="G518" s="5"/>
      <c r="H518" s="306"/>
      <c r="I518" s="5"/>
      <c r="J518" s="5"/>
      <c r="K518" s="5"/>
      <c r="L518" s="5"/>
      <c r="M518" s="5"/>
      <c r="N518" s="5"/>
      <c r="O518" s="57"/>
      <c r="P518" s="5"/>
      <c r="Q518" s="5"/>
      <c r="R518" s="5"/>
      <c r="S518" s="5"/>
      <c r="T518" s="5"/>
      <c r="U518" s="5"/>
      <c r="V518" s="5"/>
      <c r="W518" s="5"/>
      <c r="X518" s="5"/>
      <c r="Y518" s="5"/>
      <c r="Z518" s="5"/>
    </row>
    <row r="519" spans="1:26" ht="12.75" customHeight="1">
      <c r="A519" s="5"/>
      <c r="B519" s="5"/>
      <c r="C519" s="5"/>
      <c r="D519" s="5"/>
      <c r="E519" s="5"/>
      <c r="F519" s="5"/>
      <c r="G519" s="5"/>
      <c r="H519" s="306"/>
      <c r="I519" s="5"/>
      <c r="J519" s="5"/>
      <c r="K519" s="5"/>
      <c r="L519" s="5"/>
      <c r="M519" s="5"/>
      <c r="N519" s="5"/>
      <c r="O519" s="57"/>
      <c r="P519" s="5"/>
      <c r="Q519" s="5"/>
      <c r="R519" s="5"/>
      <c r="S519" s="5"/>
      <c r="T519" s="5"/>
      <c r="U519" s="5"/>
      <c r="V519" s="5"/>
      <c r="W519" s="5"/>
      <c r="X519" s="5"/>
      <c r="Y519" s="5"/>
      <c r="Z519" s="5"/>
    </row>
    <row r="520" spans="1:26" ht="12.75" customHeight="1">
      <c r="A520" s="5"/>
      <c r="B520" s="5"/>
      <c r="C520" s="5"/>
      <c r="D520" s="5"/>
      <c r="E520" s="5"/>
      <c r="F520" s="5"/>
      <c r="G520" s="5"/>
      <c r="H520" s="306"/>
      <c r="I520" s="5"/>
      <c r="J520" s="5"/>
      <c r="K520" s="5"/>
      <c r="L520" s="5"/>
      <c r="M520" s="5"/>
      <c r="N520" s="5"/>
      <c r="O520" s="57"/>
      <c r="P520" s="5"/>
      <c r="Q520" s="5"/>
      <c r="R520" s="5"/>
      <c r="S520" s="5"/>
      <c r="T520" s="5"/>
      <c r="U520" s="5"/>
      <c r="V520" s="5"/>
      <c r="W520" s="5"/>
      <c r="X520" s="5"/>
      <c r="Y520" s="5"/>
      <c r="Z520" s="5"/>
    </row>
    <row r="521" spans="1:26" ht="12.75" customHeight="1">
      <c r="A521" s="5"/>
      <c r="B521" s="5"/>
      <c r="C521" s="5"/>
      <c r="D521" s="5"/>
      <c r="E521" s="5"/>
      <c r="F521" s="5"/>
      <c r="G521" s="5"/>
      <c r="H521" s="306"/>
      <c r="I521" s="5"/>
      <c r="J521" s="5"/>
      <c r="K521" s="5"/>
      <c r="L521" s="5"/>
      <c r="M521" s="5"/>
      <c r="N521" s="5"/>
      <c r="O521" s="57"/>
      <c r="P521" s="5"/>
      <c r="Q521" s="5"/>
      <c r="R521" s="5"/>
      <c r="S521" s="5"/>
      <c r="T521" s="5"/>
      <c r="U521" s="5"/>
      <c r="V521" s="5"/>
      <c r="W521" s="5"/>
      <c r="X521" s="5"/>
      <c r="Y521" s="5"/>
      <c r="Z521" s="5"/>
    </row>
    <row r="522" spans="1:26" ht="12.75" customHeight="1">
      <c r="A522" s="5"/>
      <c r="B522" s="5"/>
      <c r="C522" s="5"/>
      <c r="D522" s="5"/>
      <c r="E522" s="5"/>
      <c r="F522" s="5"/>
      <c r="G522" s="5"/>
      <c r="H522" s="306"/>
      <c r="I522" s="5"/>
      <c r="J522" s="5"/>
      <c r="K522" s="5"/>
      <c r="L522" s="5"/>
      <c r="M522" s="5"/>
      <c r="N522" s="5"/>
      <c r="O522" s="57"/>
      <c r="P522" s="5"/>
      <c r="Q522" s="5"/>
      <c r="R522" s="5"/>
      <c r="S522" s="5"/>
      <c r="T522" s="5"/>
      <c r="U522" s="5"/>
      <c r="V522" s="5"/>
      <c r="W522" s="5"/>
      <c r="X522" s="5"/>
      <c r="Y522" s="5"/>
      <c r="Z522" s="5"/>
    </row>
    <row r="523" spans="1:26" ht="12.75" customHeight="1">
      <c r="A523" s="5"/>
      <c r="B523" s="5"/>
      <c r="C523" s="5"/>
      <c r="D523" s="5"/>
      <c r="E523" s="5"/>
      <c r="F523" s="5"/>
      <c r="G523" s="5"/>
      <c r="H523" s="306"/>
      <c r="I523" s="5"/>
      <c r="J523" s="5"/>
      <c r="K523" s="5"/>
      <c r="L523" s="5"/>
      <c r="M523" s="5"/>
      <c r="N523" s="5"/>
      <c r="O523" s="57"/>
      <c r="P523" s="5"/>
      <c r="Q523" s="5"/>
      <c r="R523" s="5"/>
      <c r="S523" s="5"/>
      <c r="T523" s="5"/>
      <c r="U523" s="5"/>
      <c r="V523" s="5"/>
      <c r="W523" s="5"/>
      <c r="X523" s="5"/>
      <c r="Y523" s="5"/>
      <c r="Z523" s="5"/>
    </row>
    <row r="524" spans="1:26" ht="12.75" customHeight="1">
      <c r="A524" s="5"/>
      <c r="B524" s="5"/>
      <c r="C524" s="5"/>
      <c r="D524" s="5"/>
      <c r="E524" s="5"/>
      <c r="F524" s="5"/>
      <c r="G524" s="5"/>
      <c r="H524" s="306"/>
      <c r="I524" s="5"/>
      <c r="J524" s="5"/>
      <c r="K524" s="5"/>
      <c r="L524" s="5"/>
      <c r="M524" s="5"/>
      <c r="N524" s="5"/>
      <c r="O524" s="57"/>
      <c r="P524" s="5"/>
      <c r="Q524" s="5"/>
      <c r="R524" s="5"/>
      <c r="S524" s="5"/>
      <c r="T524" s="5"/>
      <c r="U524" s="5"/>
      <c r="V524" s="5"/>
      <c r="W524" s="5"/>
      <c r="X524" s="5"/>
      <c r="Y524" s="5"/>
      <c r="Z524" s="5"/>
    </row>
    <row r="525" spans="1:26" ht="12.75" customHeight="1">
      <c r="A525" s="5"/>
      <c r="B525" s="5"/>
      <c r="C525" s="5"/>
      <c r="D525" s="5"/>
      <c r="E525" s="5"/>
      <c r="F525" s="5"/>
      <c r="G525" s="5"/>
      <c r="H525" s="306"/>
      <c r="I525" s="5"/>
      <c r="J525" s="5"/>
      <c r="K525" s="5"/>
      <c r="L525" s="5"/>
      <c r="M525" s="5"/>
      <c r="N525" s="5"/>
      <c r="O525" s="57"/>
      <c r="P525" s="5"/>
      <c r="Q525" s="5"/>
      <c r="R525" s="5"/>
      <c r="S525" s="5"/>
      <c r="T525" s="5"/>
      <c r="U525" s="5"/>
      <c r="V525" s="5"/>
      <c r="W525" s="5"/>
      <c r="X525" s="5"/>
      <c r="Y525" s="5"/>
      <c r="Z525" s="5"/>
    </row>
    <row r="526" spans="1:26" ht="12.75" customHeight="1">
      <c r="A526" s="5"/>
      <c r="B526" s="5"/>
      <c r="C526" s="5"/>
      <c r="D526" s="5"/>
      <c r="E526" s="5"/>
      <c r="F526" s="5"/>
      <c r="G526" s="5"/>
      <c r="H526" s="306"/>
      <c r="I526" s="5"/>
      <c r="J526" s="5"/>
      <c r="K526" s="5"/>
      <c r="L526" s="5"/>
      <c r="M526" s="5"/>
      <c r="N526" s="5"/>
      <c r="O526" s="57"/>
      <c r="P526" s="5"/>
      <c r="Q526" s="5"/>
      <c r="R526" s="5"/>
      <c r="S526" s="5"/>
      <c r="T526" s="5"/>
      <c r="U526" s="5"/>
      <c r="V526" s="5"/>
      <c r="W526" s="5"/>
      <c r="X526" s="5"/>
      <c r="Y526" s="5"/>
      <c r="Z526" s="5"/>
    </row>
    <row r="527" spans="1:26" ht="12.75" customHeight="1">
      <c r="A527" s="5"/>
      <c r="B527" s="5"/>
      <c r="C527" s="5"/>
      <c r="D527" s="5"/>
      <c r="E527" s="5"/>
      <c r="F527" s="5"/>
      <c r="G527" s="5"/>
      <c r="H527" s="306"/>
      <c r="I527" s="5"/>
      <c r="J527" s="5"/>
      <c r="K527" s="5"/>
      <c r="L527" s="5"/>
      <c r="M527" s="5"/>
      <c r="N527" s="5"/>
      <c r="O527" s="57"/>
      <c r="P527" s="5"/>
      <c r="Q527" s="5"/>
      <c r="R527" s="5"/>
      <c r="S527" s="5"/>
      <c r="T527" s="5"/>
      <c r="U527" s="5"/>
      <c r="V527" s="5"/>
      <c r="W527" s="5"/>
      <c r="X527" s="5"/>
      <c r="Y527" s="5"/>
      <c r="Z527" s="5"/>
    </row>
    <row r="528" spans="1:26" ht="12.75" customHeight="1">
      <c r="A528" s="5"/>
      <c r="B528" s="5"/>
      <c r="C528" s="5"/>
      <c r="D528" s="5"/>
      <c r="E528" s="5"/>
      <c r="F528" s="5"/>
      <c r="G528" s="5"/>
      <c r="H528" s="306"/>
      <c r="I528" s="5"/>
      <c r="J528" s="5"/>
      <c r="K528" s="5"/>
      <c r="L528" s="5"/>
      <c r="M528" s="5"/>
      <c r="N528" s="5"/>
      <c r="O528" s="57"/>
      <c r="P528" s="5"/>
      <c r="Q528" s="5"/>
      <c r="R528" s="5"/>
      <c r="S528" s="5"/>
      <c r="T528" s="5"/>
      <c r="U528" s="5"/>
      <c r="V528" s="5"/>
      <c r="W528" s="5"/>
      <c r="X528" s="5"/>
      <c r="Y528" s="5"/>
      <c r="Z528" s="5"/>
    </row>
    <row r="529" spans="1:26" ht="12.75" customHeight="1">
      <c r="A529" s="5"/>
      <c r="B529" s="5"/>
      <c r="C529" s="5"/>
      <c r="D529" s="5"/>
      <c r="E529" s="5"/>
      <c r="F529" s="5"/>
      <c r="G529" s="5"/>
      <c r="H529" s="306"/>
      <c r="I529" s="5"/>
      <c r="J529" s="5"/>
      <c r="K529" s="5"/>
      <c r="L529" s="5"/>
      <c r="M529" s="5"/>
      <c r="N529" s="5"/>
      <c r="O529" s="57"/>
      <c r="P529" s="5"/>
      <c r="Q529" s="5"/>
      <c r="R529" s="5"/>
      <c r="S529" s="5"/>
      <c r="T529" s="5"/>
      <c r="U529" s="5"/>
      <c r="V529" s="5"/>
      <c r="W529" s="5"/>
      <c r="X529" s="5"/>
      <c r="Y529" s="5"/>
      <c r="Z529" s="5"/>
    </row>
    <row r="530" spans="1:26" ht="12.75" customHeight="1">
      <c r="A530" s="5"/>
      <c r="B530" s="5"/>
      <c r="C530" s="5"/>
      <c r="D530" s="5"/>
      <c r="E530" s="5"/>
      <c r="F530" s="5"/>
      <c r="G530" s="5"/>
      <c r="H530" s="306"/>
      <c r="I530" s="5"/>
      <c r="J530" s="5"/>
      <c r="K530" s="5"/>
      <c r="L530" s="5"/>
      <c r="M530" s="5"/>
      <c r="N530" s="5"/>
      <c r="O530" s="57"/>
      <c r="P530" s="5"/>
      <c r="Q530" s="5"/>
      <c r="R530" s="5"/>
      <c r="S530" s="5"/>
      <c r="T530" s="5"/>
      <c r="U530" s="5"/>
      <c r="V530" s="5"/>
      <c r="W530" s="5"/>
      <c r="X530" s="5"/>
      <c r="Y530" s="5"/>
      <c r="Z530" s="5"/>
    </row>
    <row r="531" spans="1:26" ht="12.75" customHeight="1">
      <c r="A531" s="5"/>
      <c r="B531" s="5"/>
      <c r="C531" s="5"/>
      <c r="D531" s="5"/>
      <c r="E531" s="5"/>
      <c r="F531" s="5"/>
      <c r="G531" s="5"/>
      <c r="H531" s="306"/>
      <c r="I531" s="5"/>
      <c r="J531" s="5"/>
      <c r="K531" s="5"/>
      <c r="L531" s="5"/>
      <c r="M531" s="5"/>
      <c r="N531" s="5"/>
      <c r="O531" s="57"/>
      <c r="P531" s="5"/>
      <c r="Q531" s="5"/>
      <c r="R531" s="5"/>
      <c r="S531" s="5"/>
      <c r="T531" s="5"/>
      <c r="U531" s="5"/>
      <c r="V531" s="5"/>
      <c r="W531" s="5"/>
      <c r="X531" s="5"/>
      <c r="Y531" s="5"/>
      <c r="Z531" s="5"/>
    </row>
    <row r="532" spans="1:26" ht="12.75" customHeight="1">
      <c r="A532" s="5"/>
      <c r="B532" s="5"/>
      <c r="C532" s="5"/>
      <c r="D532" s="5"/>
      <c r="E532" s="5"/>
      <c r="F532" s="5"/>
      <c r="G532" s="5"/>
      <c r="H532" s="306"/>
      <c r="I532" s="5"/>
      <c r="J532" s="5"/>
      <c r="K532" s="5"/>
      <c r="L532" s="5"/>
      <c r="M532" s="5"/>
      <c r="N532" s="5"/>
      <c r="O532" s="57"/>
      <c r="P532" s="5"/>
      <c r="Q532" s="5"/>
      <c r="R532" s="5"/>
      <c r="S532" s="5"/>
      <c r="T532" s="5"/>
      <c r="U532" s="5"/>
      <c r="V532" s="5"/>
      <c r="W532" s="5"/>
      <c r="X532" s="5"/>
      <c r="Y532" s="5"/>
      <c r="Z532" s="5"/>
    </row>
    <row r="533" spans="1:26" ht="12.75" customHeight="1">
      <c r="A533" s="5"/>
      <c r="B533" s="5"/>
      <c r="C533" s="5"/>
      <c r="D533" s="5"/>
      <c r="E533" s="5"/>
      <c r="F533" s="5"/>
      <c r="G533" s="5"/>
      <c r="H533" s="306"/>
      <c r="I533" s="5"/>
      <c r="J533" s="5"/>
      <c r="K533" s="5"/>
      <c r="L533" s="5"/>
      <c r="M533" s="5"/>
      <c r="N533" s="5"/>
      <c r="O533" s="57"/>
      <c r="P533" s="5"/>
      <c r="Q533" s="5"/>
      <c r="R533" s="5"/>
      <c r="S533" s="5"/>
      <c r="T533" s="5"/>
      <c r="U533" s="5"/>
      <c r="V533" s="5"/>
      <c r="W533" s="5"/>
      <c r="X533" s="5"/>
      <c r="Y533" s="5"/>
      <c r="Z533" s="5"/>
    </row>
    <row r="534" spans="1:26" ht="12.75" customHeight="1">
      <c r="A534" s="5"/>
      <c r="B534" s="5"/>
      <c r="C534" s="5"/>
      <c r="D534" s="5"/>
      <c r="E534" s="5"/>
      <c r="F534" s="5"/>
      <c r="G534" s="5"/>
      <c r="H534" s="306"/>
      <c r="I534" s="5"/>
      <c r="J534" s="5"/>
      <c r="K534" s="5"/>
      <c r="L534" s="5"/>
      <c r="M534" s="5"/>
      <c r="N534" s="5"/>
      <c r="O534" s="57"/>
      <c r="P534" s="5"/>
      <c r="Q534" s="5"/>
      <c r="R534" s="5"/>
      <c r="S534" s="5"/>
      <c r="T534" s="5"/>
      <c r="U534" s="5"/>
      <c r="V534" s="5"/>
      <c r="W534" s="5"/>
      <c r="X534" s="5"/>
      <c r="Y534" s="5"/>
      <c r="Z534" s="5"/>
    </row>
    <row r="535" spans="1:26" ht="12.75" customHeight="1">
      <c r="A535" s="5"/>
      <c r="B535" s="5"/>
      <c r="C535" s="5"/>
      <c r="D535" s="5"/>
      <c r="E535" s="5"/>
      <c r="F535" s="5"/>
      <c r="G535" s="5"/>
      <c r="H535" s="306"/>
      <c r="I535" s="5"/>
      <c r="J535" s="5"/>
      <c r="K535" s="5"/>
      <c r="L535" s="5"/>
      <c r="M535" s="5"/>
      <c r="N535" s="5"/>
      <c r="O535" s="57"/>
      <c r="P535" s="5"/>
      <c r="Q535" s="5"/>
      <c r="R535" s="5"/>
      <c r="S535" s="5"/>
      <c r="T535" s="5"/>
      <c r="U535" s="5"/>
      <c r="V535" s="5"/>
      <c r="W535" s="5"/>
      <c r="X535" s="5"/>
      <c r="Y535" s="5"/>
      <c r="Z535" s="5"/>
    </row>
    <row r="536" spans="1:26" ht="12.75" customHeight="1">
      <c r="A536" s="5"/>
      <c r="B536" s="5"/>
      <c r="C536" s="5"/>
      <c r="D536" s="5"/>
      <c r="E536" s="5"/>
      <c r="F536" s="5"/>
      <c r="G536" s="5"/>
      <c r="H536" s="306"/>
      <c r="I536" s="5"/>
      <c r="J536" s="5"/>
      <c r="K536" s="5"/>
      <c r="L536" s="5"/>
      <c r="M536" s="5"/>
      <c r="N536" s="5"/>
      <c r="O536" s="57"/>
      <c r="P536" s="5"/>
      <c r="Q536" s="5"/>
      <c r="R536" s="5"/>
      <c r="S536" s="5"/>
      <c r="T536" s="5"/>
      <c r="U536" s="5"/>
      <c r="V536" s="5"/>
      <c r="W536" s="5"/>
      <c r="X536" s="5"/>
      <c r="Y536" s="5"/>
      <c r="Z536" s="5"/>
    </row>
    <row r="537" spans="1:26" ht="12.75" customHeight="1">
      <c r="A537" s="5"/>
      <c r="B537" s="5"/>
      <c r="C537" s="5"/>
      <c r="D537" s="5"/>
      <c r="E537" s="5"/>
      <c r="F537" s="5"/>
      <c r="G537" s="5"/>
      <c r="H537" s="306"/>
      <c r="I537" s="5"/>
      <c r="J537" s="5"/>
      <c r="K537" s="5"/>
      <c r="L537" s="5"/>
      <c r="M537" s="5"/>
      <c r="N537" s="5"/>
      <c r="O537" s="57"/>
      <c r="P537" s="5"/>
      <c r="Q537" s="5"/>
      <c r="R537" s="5"/>
      <c r="S537" s="5"/>
      <c r="T537" s="5"/>
      <c r="U537" s="5"/>
      <c r="V537" s="5"/>
      <c r="W537" s="5"/>
      <c r="X537" s="5"/>
      <c r="Y537" s="5"/>
      <c r="Z537" s="5"/>
    </row>
    <row r="538" spans="1:26" ht="12.75" customHeight="1">
      <c r="A538" s="5"/>
      <c r="B538" s="5"/>
      <c r="C538" s="5"/>
      <c r="D538" s="5"/>
      <c r="E538" s="5"/>
      <c r="F538" s="5"/>
      <c r="G538" s="5"/>
      <c r="H538" s="306"/>
      <c r="I538" s="5"/>
      <c r="J538" s="5"/>
      <c r="K538" s="5"/>
      <c r="L538" s="5"/>
      <c r="M538" s="5"/>
      <c r="N538" s="5"/>
      <c r="O538" s="57"/>
      <c r="P538" s="5"/>
      <c r="Q538" s="5"/>
      <c r="R538" s="5"/>
      <c r="S538" s="5"/>
      <c r="T538" s="5"/>
      <c r="U538" s="5"/>
      <c r="V538" s="5"/>
      <c r="W538" s="5"/>
      <c r="X538" s="5"/>
      <c r="Y538" s="5"/>
      <c r="Z538" s="5"/>
    </row>
    <row r="539" spans="1:26" ht="12.75" customHeight="1">
      <c r="A539" s="5"/>
      <c r="B539" s="5"/>
      <c r="C539" s="5"/>
      <c r="D539" s="5"/>
      <c r="E539" s="5"/>
      <c r="F539" s="5"/>
      <c r="G539" s="5"/>
      <c r="H539" s="306"/>
      <c r="I539" s="5"/>
      <c r="J539" s="5"/>
      <c r="K539" s="5"/>
      <c r="L539" s="5"/>
      <c r="M539" s="5"/>
      <c r="N539" s="5"/>
      <c r="O539" s="57"/>
      <c r="P539" s="5"/>
      <c r="Q539" s="5"/>
      <c r="R539" s="5"/>
      <c r="S539" s="5"/>
      <c r="T539" s="5"/>
      <c r="U539" s="5"/>
      <c r="V539" s="5"/>
      <c r="W539" s="5"/>
      <c r="X539" s="5"/>
      <c r="Y539" s="5"/>
      <c r="Z539" s="5"/>
    </row>
    <row r="540" spans="1:26" ht="12.75" customHeight="1">
      <c r="A540" s="5"/>
      <c r="B540" s="5"/>
      <c r="C540" s="5"/>
      <c r="D540" s="5"/>
      <c r="E540" s="5"/>
      <c r="F540" s="5"/>
      <c r="G540" s="5"/>
      <c r="H540" s="306"/>
      <c r="I540" s="5"/>
      <c r="J540" s="5"/>
      <c r="K540" s="5"/>
      <c r="L540" s="5"/>
      <c r="M540" s="5"/>
      <c r="N540" s="5"/>
      <c r="O540" s="57"/>
      <c r="P540" s="5"/>
      <c r="Q540" s="5"/>
      <c r="R540" s="5"/>
      <c r="S540" s="5"/>
      <c r="T540" s="5"/>
      <c r="U540" s="5"/>
      <c r="V540" s="5"/>
      <c r="W540" s="5"/>
      <c r="X540" s="5"/>
      <c r="Y540" s="5"/>
      <c r="Z540" s="5"/>
    </row>
    <row r="541" spans="1:26" ht="12.75" customHeight="1">
      <c r="A541" s="5"/>
      <c r="B541" s="5"/>
      <c r="C541" s="5"/>
      <c r="D541" s="5"/>
      <c r="E541" s="5"/>
      <c r="F541" s="5"/>
      <c r="G541" s="5"/>
      <c r="H541" s="306"/>
      <c r="I541" s="5"/>
      <c r="J541" s="5"/>
      <c r="K541" s="5"/>
      <c r="L541" s="5"/>
      <c r="M541" s="5"/>
      <c r="N541" s="5"/>
      <c r="O541" s="57"/>
      <c r="P541" s="5"/>
      <c r="Q541" s="5"/>
      <c r="R541" s="5"/>
      <c r="S541" s="5"/>
      <c r="T541" s="5"/>
      <c r="U541" s="5"/>
      <c r="V541" s="5"/>
      <c r="W541" s="5"/>
      <c r="X541" s="5"/>
      <c r="Y541" s="5"/>
      <c r="Z541" s="5"/>
    </row>
    <row r="542" spans="1:26" ht="12.75" customHeight="1">
      <c r="A542" s="5"/>
      <c r="B542" s="5"/>
      <c r="C542" s="5"/>
      <c r="D542" s="5"/>
      <c r="E542" s="5"/>
      <c r="F542" s="5"/>
      <c r="G542" s="5"/>
      <c r="H542" s="306"/>
      <c r="I542" s="5"/>
      <c r="J542" s="5"/>
      <c r="K542" s="5"/>
      <c r="L542" s="5"/>
      <c r="M542" s="5"/>
      <c r="N542" s="5"/>
      <c r="O542" s="57"/>
      <c r="P542" s="5"/>
      <c r="Q542" s="5"/>
      <c r="R542" s="5"/>
      <c r="S542" s="5"/>
      <c r="T542" s="5"/>
      <c r="U542" s="5"/>
      <c r="V542" s="5"/>
      <c r="W542" s="5"/>
      <c r="X542" s="5"/>
      <c r="Y542" s="5"/>
      <c r="Z542" s="5"/>
    </row>
    <row r="543" spans="1:26" ht="12.75" customHeight="1">
      <c r="A543" s="5"/>
      <c r="B543" s="5"/>
      <c r="C543" s="5"/>
      <c r="D543" s="5"/>
      <c r="E543" s="5"/>
      <c r="F543" s="5"/>
      <c r="G543" s="5"/>
      <c r="H543" s="306"/>
      <c r="I543" s="5"/>
      <c r="J543" s="5"/>
      <c r="K543" s="5"/>
      <c r="L543" s="5"/>
      <c r="M543" s="5"/>
      <c r="N543" s="5"/>
      <c r="O543" s="57"/>
      <c r="P543" s="5"/>
      <c r="Q543" s="5"/>
      <c r="R543" s="5"/>
      <c r="S543" s="5"/>
      <c r="T543" s="5"/>
      <c r="U543" s="5"/>
      <c r="V543" s="5"/>
      <c r="W543" s="5"/>
      <c r="X543" s="5"/>
      <c r="Y543" s="5"/>
      <c r="Z543" s="5"/>
    </row>
    <row r="544" spans="1:26" ht="12.75" customHeight="1">
      <c r="A544" s="5"/>
      <c r="B544" s="5"/>
      <c r="C544" s="5"/>
      <c r="D544" s="5"/>
      <c r="E544" s="5"/>
      <c r="F544" s="5"/>
      <c r="G544" s="5"/>
      <c r="H544" s="306"/>
      <c r="I544" s="5"/>
      <c r="J544" s="5"/>
      <c r="K544" s="5"/>
      <c r="L544" s="5"/>
      <c r="M544" s="5"/>
      <c r="N544" s="5"/>
      <c r="O544" s="57"/>
      <c r="P544" s="5"/>
      <c r="Q544" s="5"/>
      <c r="R544" s="5"/>
      <c r="S544" s="5"/>
      <c r="T544" s="5"/>
      <c r="U544" s="5"/>
      <c r="V544" s="5"/>
      <c r="W544" s="5"/>
      <c r="X544" s="5"/>
      <c r="Y544" s="5"/>
      <c r="Z544" s="5"/>
    </row>
    <row r="545" spans="1:26" ht="12.75" customHeight="1">
      <c r="A545" s="5"/>
      <c r="B545" s="5"/>
      <c r="C545" s="5"/>
      <c r="D545" s="5"/>
      <c r="E545" s="5"/>
      <c r="F545" s="5"/>
      <c r="G545" s="5"/>
      <c r="H545" s="306"/>
      <c r="I545" s="5"/>
      <c r="J545" s="5"/>
      <c r="K545" s="5"/>
      <c r="L545" s="5"/>
      <c r="M545" s="5"/>
      <c r="N545" s="5"/>
      <c r="O545" s="57"/>
      <c r="P545" s="5"/>
      <c r="Q545" s="5"/>
      <c r="R545" s="5"/>
      <c r="S545" s="5"/>
      <c r="T545" s="5"/>
      <c r="U545" s="5"/>
      <c r="V545" s="5"/>
      <c r="W545" s="5"/>
      <c r="X545" s="5"/>
      <c r="Y545" s="5"/>
      <c r="Z545" s="5"/>
    </row>
    <row r="546" spans="1:26" ht="12.75" customHeight="1">
      <c r="A546" s="5"/>
      <c r="B546" s="5"/>
      <c r="C546" s="5"/>
      <c r="D546" s="5"/>
      <c r="E546" s="5"/>
      <c r="F546" s="5"/>
      <c r="G546" s="5"/>
      <c r="H546" s="306"/>
      <c r="I546" s="5"/>
      <c r="J546" s="5"/>
      <c r="K546" s="5"/>
      <c r="L546" s="5"/>
      <c r="M546" s="5"/>
      <c r="N546" s="5"/>
      <c r="O546" s="57"/>
      <c r="P546" s="5"/>
      <c r="Q546" s="5"/>
      <c r="R546" s="5"/>
      <c r="S546" s="5"/>
      <c r="T546" s="5"/>
      <c r="U546" s="5"/>
      <c r="V546" s="5"/>
      <c r="W546" s="5"/>
      <c r="X546" s="5"/>
      <c r="Y546" s="5"/>
      <c r="Z546" s="5"/>
    </row>
    <row r="547" spans="1:26" ht="12.75" customHeight="1">
      <c r="A547" s="5"/>
      <c r="B547" s="5"/>
      <c r="C547" s="5"/>
      <c r="D547" s="5"/>
      <c r="E547" s="5"/>
      <c r="F547" s="5"/>
      <c r="G547" s="5"/>
      <c r="H547" s="306"/>
      <c r="I547" s="5"/>
      <c r="J547" s="5"/>
      <c r="K547" s="5"/>
      <c r="L547" s="5"/>
      <c r="M547" s="5"/>
      <c r="N547" s="5"/>
      <c r="O547" s="57"/>
      <c r="P547" s="5"/>
      <c r="Q547" s="5"/>
      <c r="R547" s="5"/>
      <c r="S547" s="5"/>
      <c r="T547" s="5"/>
      <c r="U547" s="5"/>
      <c r="V547" s="5"/>
      <c r="W547" s="5"/>
      <c r="X547" s="5"/>
      <c r="Y547" s="5"/>
      <c r="Z547" s="5"/>
    </row>
    <row r="548" spans="1:26" ht="12.75" customHeight="1">
      <c r="A548" s="5"/>
      <c r="B548" s="5"/>
      <c r="C548" s="5"/>
      <c r="D548" s="5"/>
      <c r="E548" s="5"/>
      <c r="F548" s="5"/>
      <c r="G548" s="5"/>
      <c r="H548" s="306"/>
      <c r="I548" s="5"/>
      <c r="J548" s="5"/>
      <c r="K548" s="5"/>
      <c r="L548" s="5"/>
      <c r="M548" s="5"/>
      <c r="N548" s="5"/>
      <c r="O548" s="57"/>
      <c r="P548" s="5"/>
      <c r="Q548" s="5"/>
      <c r="R548" s="5"/>
      <c r="S548" s="5"/>
      <c r="T548" s="5"/>
      <c r="U548" s="5"/>
      <c r="V548" s="5"/>
      <c r="W548" s="5"/>
      <c r="X548" s="5"/>
      <c r="Y548" s="5"/>
      <c r="Z548" s="5"/>
    </row>
    <row r="549" spans="1:26" ht="12.75" customHeight="1">
      <c r="A549" s="5"/>
      <c r="B549" s="5"/>
      <c r="C549" s="5"/>
      <c r="D549" s="5"/>
      <c r="E549" s="5"/>
      <c r="F549" s="5"/>
      <c r="G549" s="5"/>
      <c r="H549" s="306"/>
      <c r="I549" s="5"/>
      <c r="J549" s="5"/>
      <c r="K549" s="5"/>
      <c r="L549" s="5"/>
      <c r="M549" s="5"/>
      <c r="N549" s="5"/>
      <c r="O549" s="57"/>
      <c r="P549" s="5"/>
      <c r="Q549" s="5"/>
      <c r="R549" s="5"/>
      <c r="S549" s="5"/>
      <c r="T549" s="5"/>
      <c r="U549" s="5"/>
      <c r="V549" s="5"/>
      <c r="W549" s="5"/>
      <c r="X549" s="5"/>
      <c r="Y549" s="5"/>
      <c r="Z549" s="5"/>
    </row>
    <row r="550" spans="1:26" ht="12.75" customHeight="1">
      <c r="A550" s="5"/>
      <c r="B550" s="5"/>
      <c r="C550" s="5"/>
      <c r="D550" s="5"/>
      <c r="E550" s="5"/>
      <c r="F550" s="5"/>
      <c r="G550" s="5"/>
      <c r="H550" s="306"/>
      <c r="I550" s="5"/>
      <c r="J550" s="5"/>
      <c r="K550" s="5"/>
      <c r="L550" s="5"/>
      <c r="M550" s="5"/>
      <c r="N550" s="5"/>
      <c r="O550" s="57"/>
      <c r="P550" s="5"/>
      <c r="Q550" s="5"/>
      <c r="R550" s="5"/>
      <c r="S550" s="5"/>
      <c r="T550" s="5"/>
      <c r="U550" s="5"/>
      <c r="V550" s="5"/>
      <c r="W550" s="5"/>
      <c r="X550" s="5"/>
      <c r="Y550" s="5"/>
      <c r="Z550" s="5"/>
    </row>
    <row r="551" spans="1:26" ht="12.75" customHeight="1">
      <c r="A551" s="5"/>
      <c r="B551" s="5"/>
      <c r="C551" s="5"/>
      <c r="D551" s="5"/>
      <c r="E551" s="5"/>
      <c r="F551" s="5"/>
      <c r="G551" s="5"/>
      <c r="H551" s="306"/>
      <c r="I551" s="5"/>
      <c r="J551" s="5"/>
      <c r="K551" s="5"/>
      <c r="L551" s="5"/>
      <c r="M551" s="5"/>
      <c r="N551" s="5"/>
      <c r="O551" s="57"/>
      <c r="P551" s="5"/>
      <c r="Q551" s="5"/>
      <c r="R551" s="5"/>
      <c r="S551" s="5"/>
      <c r="T551" s="5"/>
      <c r="U551" s="5"/>
      <c r="V551" s="5"/>
      <c r="W551" s="5"/>
      <c r="X551" s="5"/>
      <c r="Y551" s="5"/>
      <c r="Z551" s="5"/>
    </row>
    <row r="552" spans="1:26" ht="12.75" customHeight="1">
      <c r="A552" s="5"/>
      <c r="B552" s="5"/>
      <c r="C552" s="5"/>
      <c r="D552" s="5"/>
      <c r="E552" s="5"/>
      <c r="F552" s="5"/>
      <c r="G552" s="5"/>
      <c r="H552" s="306"/>
      <c r="I552" s="5"/>
      <c r="J552" s="5"/>
      <c r="K552" s="5"/>
      <c r="L552" s="5"/>
      <c r="M552" s="5"/>
      <c r="N552" s="5"/>
      <c r="O552" s="57"/>
      <c r="P552" s="5"/>
      <c r="Q552" s="5"/>
      <c r="R552" s="5"/>
      <c r="S552" s="5"/>
      <c r="T552" s="5"/>
      <c r="U552" s="5"/>
      <c r="V552" s="5"/>
      <c r="W552" s="5"/>
      <c r="X552" s="5"/>
      <c r="Y552" s="5"/>
      <c r="Z552" s="5"/>
    </row>
    <row r="553" spans="1:26" ht="12.75" customHeight="1">
      <c r="A553" s="5"/>
      <c r="B553" s="5"/>
      <c r="C553" s="5"/>
      <c r="D553" s="5"/>
      <c r="E553" s="5"/>
      <c r="F553" s="5"/>
      <c r="G553" s="5"/>
      <c r="H553" s="306"/>
      <c r="I553" s="5"/>
      <c r="J553" s="5"/>
      <c r="K553" s="5"/>
      <c r="L553" s="5"/>
      <c r="M553" s="5"/>
      <c r="N553" s="5"/>
      <c r="O553" s="57"/>
      <c r="P553" s="5"/>
      <c r="Q553" s="5"/>
      <c r="R553" s="5"/>
      <c r="S553" s="5"/>
      <c r="T553" s="5"/>
      <c r="U553" s="5"/>
      <c r="V553" s="5"/>
      <c r="W553" s="5"/>
      <c r="X553" s="5"/>
      <c r="Y553" s="5"/>
      <c r="Z553" s="5"/>
    </row>
    <row r="554" spans="1:26" ht="12.75" customHeight="1">
      <c r="A554" s="5"/>
      <c r="B554" s="5"/>
      <c r="C554" s="5"/>
      <c r="D554" s="5"/>
      <c r="E554" s="5"/>
      <c r="F554" s="5"/>
      <c r="G554" s="5"/>
      <c r="H554" s="306"/>
      <c r="I554" s="5"/>
      <c r="J554" s="5"/>
      <c r="K554" s="5"/>
      <c r="L554" s="5"/>
      <c r="M554" s="5"/>
      <c r="N554" s="5"/>
      <c r="O554" s="57"/>
      <c r="P554" s="5"/>
      <c r="Q554" s="5"/>
      <c r="R554" s="5"/>
      <c r="S554" s="5"/>
      <c r="T554" s="5"/>
      <c r="U554" s="5"/>
      <c r="V554" s="5"/>
      <c r="W554" s="5"/>
      <c r="X554" s="5"/>
      <c r="Y554" s="5"/>
      <c r="Z554" s="5"/>
    </row>
    <row r="555" spans="1:26" ht="12.75" customHeight="1">
      <c r="A555" s="5"/>
      <c r="B555" s="5"/>
      <c r="C555" s="5"/>
      <c r="D555" s="5"/>
      <c r="E555" s="5"/>
      <c r="F555" s="5"/>
      <c r="G555" s="5"/>
      <c r="H555" s="306"/>
      <c r="I555" s="5"/>
      <c r="J555" s="5"/>
      <c r="K555" s="5"/>
      <c r="L555" s="5"/>
      <c r="M555" s="5"/>
      <c r="N555" s="5"/>
      <c r="O555" s="57"/>
      <c r="P555" s="5"/>
      <c r="Q555" s="5"/>
      <c r="R555" s="5"/>
      <c r="S555" s="5"/>
      <c r="T555" s="5"/>
      <c r="U555" s="5"/>
      <c r="V555" s="5"/>
      <c r="W555" s="5"/>
      <c r="X555" s="5"/>
      <c r="Y555" s="5"/>
      <c r="Z555" s="5"/>
    </row>
    <row r="556" spans="1:26" ht="12.75" customHeight="1">
      <c r="A556" s="5"/>
      <c r="B556" s="5"/>
      <c r="C556" s="5"/>
      <c r="D556" s="5"/>
      <c r="E556" s="5"/>
      <c r="F556" s="5"/>
      <c r="G556" s="5"/>
      <c r="H556" s="306"/>
      <c r="I556" s="5"/>
      <c r="J556" s="5"/>
      <c r="K556" s="5"/>
      <c r="L556" s="5"/>
      <c r="M556" s="5"/>
      <c r="N556" s="5"/>
      <c r="O556" s="57"/>
      <c r="P556" s="5"/>
      <c r="Q556" s="5"/>
      <c r="R556" s="5"/>
      <c r="S556" s="5"/>
      <c r="T556" s="5"/>
      <c r="U556" s="5"/>
      <c r="V556" s="5"/>
      <c r="W556" s="5"/>
      <c r="X556" s="5"/>
      <c r="Y556" s="5"/>
      <c r="Z556" s="5"/>
    </row>
    <row r="557" spans="1:26" ht="12.75" customHeight="1">
      <c r="A557" s="5"/>
      <c r="B557" s="5"/>
      <c r="C557" s="5"/>
      <c r="D557" s="5"/>
      <c r="E557" s="5"/>
      <c r="F557" s="5"/>
      <c r="G557" s="5"/>
      <c r="H557" s="306"/>
      <c r="I557" s="5"/>
      <c r="J557" s="5"/>
      <c r="K557" s="5"/>
      <c r="L557" s="5"/>
      <c r="M557" s="5"/>
      <c r="N557" s="5"/>
      <c r="O557" s="57"/>
      <c r="P557" s="5"/>
      <c r="Q557" s="5"/>
      <c r="R557" s="5"/>
      <c r="S557" s="5"/>
      <c r="T557" s="5"/>
      <c r="U557" s="5"/>
      <c r="V557" s="5"/>
      <c r="W557" s="5"/>
      <c r="X557" s="5"/>
      <c r="Y557" s="5"/>
      <c r="Z557" s="5"/>
    </row>
    <row r="558" spans="1:26" ht="12.75" customHeight="1">
      <c r="A558" s="5"/>
      <c r="B558" s="5"/>
      <c r="C558" s="5"/>
      <c r="D558" s="5"/>
      <c r="E558" s="5"/>
      <c r="F558" s="5"/>
      <c r="G558" s="5"/>
      <c r="H558" s="306"/>
      <c r="I558" s="5"/>
      <c r="J558" s="5"/>
      <c r="K558" s="5"/>
      <c r="L558" s="5"/>
      <c r="M558" s="5"/>
      <c r="N558" s="5"/>
      <c r="O558" s="57"/>
      <c r="P558" s="5"/>
      <c r="Q558" s="5"/>
      <c r="R558" s="5"/>
      <c r="S558" s="5"/>
      <c r="T558" s="5"/>
      <c r="U558" s="5"/>
      <c r="V558" s="5"/>
      <c r="W558" s="5"/>
      <c r="X558" s="5"/>
      <c r="Y558" s="5"/>
      <c r="Z558" s="5"/>
    </row>
    <row r="559" spans="1:26" ht="12.75" customHeight="1">
      <c r="A559" s="5"/>
      <c r="B559" s="5"/>
      <c r="C559" s="5"/>
      <c r="D559" s="5"/>
      <c r="E559" s="5"/>
      <c r="F559" s="5"/>
      <c r="G559" s="5"/>
      <c r="H559" s="306"/>
      <c r="I559" s="5"/>
      <c r="J559" s="5"/>
      <c r="K559" s="5"/>
      <c r="L559" s="5"/>
      <c r="M559" s="5"/>
      <c r="N559" s="5"/>
      <c r="O559" s="57"/>
      <c r="P559" s="5"/>
      <c r="Q559" s="5"/>
      <c r="R559" s="5"/>
      <c r="S559" s="5"/>
      <c r="T559" s="5"/>
      <c r="U559" s="5"/>
      <c r="V559" s="5"/>
      <c r="W559" s="5"/>
      <c r="X559" s="5"/>
      <c r="Y559" s="5"/>
      <c r="Z559" s="5"/>
    </row>
    <row r="560" spans="1:26" ht="12.75" customHeight="1">
      <c r="A560" s="5"/>
      <c r="B560" s="5"/>
      <c r="C560" s="5"/>
      <c r="D560" s="5"/>
      <c r="E560" s="5"/>
      <c r="F560" s="5"/>
      <c r="G560" s="5"/>
      <c r="H560" s="306"/>
      <c r="I560" s="5"/>
      <c r="J560" s="5"/>
      <c r="K560" s="5"/>
      <c r="L560" s="5"/>
      <c r="M560" s="5"/>
      <c r="N560" s="5"/>
      <c r="O560" s="57"/>
      <c r="P560" s="5"/>
      <c r="Q560" s="5"/>
      <c r="R560" s="5"/>
      <c r="S560" s="5"/>
      <c r="T560" s="5"/>
      <c r="U560" s="5"/>
      <c r="V560" s="5"/>
      <c r="W560" s="5"/>
      <c r="X560" s="5"/>
      <c r="Y560" s="5"/>
      <c r="Z560" s="5"/>
    </row>
    <row r="561" spans="1:26" ht="12.75" customHeight="1">
      <c r="A561" s="5"/>
      <c r="B561" s="5"/>
      <c r="C561" s="5"/>
      <c r="D561" s="5"/>
      <c r="E561" s="5"/>
      <c r="F561" s="5"/>
      <c r="G561" s="5"/>
      <c r="H561" s="306"/>
      <c r="I561" s="5"/>
      <c r="J561" s="5"/>
      <c r="K561" s="5"/>
      <c r="L561" s="5"/>
      <c r="M561" s="5"/>
      <c r="N561" s="5"/>
      <c r="O561" s="57"/>
      <c r="P561" s="5"/>
      <c r="Q561" s="5"/>
      <c r="R561" s="5"/>
      <c r="S561" s="5"/>
      <c r="T561" s="5"/>
      <c r="U561" s="5"/>
      <c r="V561" s="5"/>
      <c r="W561" s="5"/>
      <c r="X561" s="5"/>
      <c r="Y561" s="5"/>
      <c r="Z561" s="5"/>
    </row>
    <row r="562" spans="1:26" ht="12.75" customHeight="1">
      <c r="A562" s="5"/>
      <c r="B562" s="5"/>
      <c r="C562" s="5"/>
      <c r="D562" s="5"/>
      <c r="E562" s="5"/>
      <c r="F562" s="5"/>
      <c r="G562" s="5"/>
      <c r="H562" s="306"/>
      <c r="I562" s="5"/>
      <c r="J562" s="5"/>
      <c r="K562" s="5"/>
      <c r="L562" s="5"/>
      <c r="M562" s="5"/>
      <c r="N562" s="5"/>
      <c r="O562" s="57"/>
      <c r="P562" s="5"/>
      <c r="Q562" s="5"/>
      <c r="R562" s="5"/>
      <c r="S562" s="5"/>
      <c r="T562" s="5"/>
      <c r="U562" s="5"/>
      <c r="V562" s="5"/>
      <c r="W562" s="5"/>
      <c r="X562" s="5"/>
      <c r="Y562" s="5"/>
      <c r="Z562" s="5"/>
    </row>
    <row r="563" spans="1:26" ht="12.75" customHeight="1">
      <c r="A563" s="5"/>
      <c r="B563" s="5"/>
      <c r="C563" s="5"/>
      <c r="D563" s="5"/>
      <c r="E563" s="5"/>
      <c r="F563" s="5"/>
      <c r="G563" s="5"/>
      <c r="H563" s="306"/>
      <c r="I563" s="5"/>
      <c r="J563" s="5"/>
      <c r="K563" s="5"/>
      <c r="L563" s="5"/>
      <c r="M563" s="5"/>
      <c r="N563" s="5"/>
      <c r="O563" s="57"/>
      <c r="P563" s="5"/>
      <c r="Q563" s="5"/>
      <c r="R563" s="5"/>
      <c r="S563" s="5"/>
      <c r="T563" s="5"/>
      <c r="U563" s="5"/>
      <c r="V563" s="5"/>
      <c r="W563" s="5"/>
      <c r="X563" s="5"/>
      <c r="Y563" s="5"/>
      <c r="Z563" s="5"/>
    </row>
    <row r="564" spans="1:26" ht="12.75" customHeight="1">
      <c r="A564" s="5"/>
      <c r="B564" s="5"/>
      <c r="C564" s="5"/>
      <c r="D564" s="5"/>
      <c r="E564" s="5"/>
      <c r="F564" s="5"/>
      <c r="G564" s="5"/>
      <c r="H564" s="306"/>
      <c r="I564" s="5"/>
      <c r="J564" s="5"/>
      <c r="K564" s="5"/>
      <c r="L564" s="5"/>
      <c r="M564" s="5"/>
      <c r="N564" s="5"/>
      <c r="O564" s="57"/>
      <c r="P564" s="5"/>
      <c r="Q564" s="5"/>
      <c r="R564" s="5"/>
      <c r="S564" s="5"/>
      <c r="T564" s="5"/>
      <c r="U564" s="5"/>
      <c r="V564" s="5"/>
      <c r="W564" s="5"/>
      <c r="X564" s="5"/>
      <c r="Y564" s="5"/>
      <c r="Z564" s="5"/>
    </row>
    <row r="565" spans="1:26" ht="12.75" customHeight="1">
      <c r="A565" s="5"/>
      <c r="B565" s="5"/>
      <c r="C565" s="5"/>
      <c r="D565" s="5"/>
      <c r="E565" s="5"/>
      <c r="F565" s="5"/>
      <c r="G565" s="5"/>
      <c r="H565" s="306"/>
      <c r="I565" s="5"/>
      <c r="J565" s="5"/>
      <c r="K565" s="5"/>
      <c r="L565" s="5"/>
      <c r="M565" s="5"/>
      <c r="N565" s="5"/>
      <c r="O565" s="57"/>
      <c r="P565" s="5"/>
      <c r="Q565" s="5"/>
      <c r="R565" s="5"/>
      <c r="S565" s="5"/>
      <c r="T565" s="5"/>
      <c r="U565" s="5"/>
      <c r="V565" s="5"/>
      <c r="W565" s="5"/>
      <c r="X565" s="5"/>
      <c r="Y565" s="5"/>
      <c r="Z565" s="5"/>
    </row>
    <row r="566" spans="1:26" ht="12.75" customHeight="1">
      <c r="A566" s="5"/>
      <c r="B566" s="5"/>
      <c r="C566" s="5"/>
      <c r="D566" s="5"/>
      <c r="E566" s="5"/>
      <c r="F566" s="5"/>
      <c r="G566" s="5"/>
      <c r="H566" s="306"/>
      <c r="I566" s="5"/>
      <c r="J566" s="5"/>
      <c r="K566" s="5"/>
      <c r="L566" s="5"/>
      <c r="M566" s="5"/>
      <c r="N566" s="5"/>
      <c r="O566" s="57"/>
      <c r="P566" s="5"/>
      <c r="Q566" s="5"/>
      <c r="R566" s="5"/>
      <c r="S566" s="5"/>
      <c r="T566" s="5"/>
      <c r="U566" s="5"/>
      <c r="V566" s="5"/>
      <c r="W566" s="5"/>
      <c r="X566" s="5"/>
      <c r="Y566" s="5"/>
      <c r="Z566" s="5"/>
    </row>
    <row r="567" spans="1:26" ht="12.75" customHeight="1">
      <c r="A567" s="5"/>
      <c r="B567" s="5"/>
      <c r="C567" s="5"/>
      <c r="D567" s="5"/>
      <c r="E567" s="5"/>
      <c r="F567" s="5"/>
      <c r="G567" s="5"/>
      <c r="H567" s="306"/>
      <c r="I567" s="5"/>
      <c r="J567" s="5"/>
      <c r="K567" s="5"/>
      <c r="L567" s="5"/>
      <c r="M567" s="5"/>
      <c r="N567" s="5"/>
      <c r="O567" s="57"/>
      <c r="P567" s="5"/>
      <c r="Q567" s="5"/>
      <c r="R567" s="5"/>
      <c r="S567" s="5"/>
      <c r="T567" s="5"/>
      <c r="U567" s="5"/>
      <c r="V567" s="5"/>
      <c r="W567" s="5"/>
      <c r="X567" s="5"/>
      <c r="Y567" s="5"/>
      <c r="Z567" s="5"/>
    </row>
    <row r="568" spans="1:26" ht="12.75" customHeight="1">
      <c r="A568" s="5"/>
      <c r="B568" s="5"/>
      <c r="C568" s="5"/>
      <c r="D568" s="5"/>
      <c r="E568" s="5"/>
      <c r="F568" s="5"/>
      <c r="G568" s="5"/>
      <c r="H568" s="306"/>
      <c r="I568" s="5"/>
      <c r="J568" s="5"/>
      <c r="K568" s="5"/>
      <c r="L568" s="5"/>
      <c r="M568" s="5"/>
      <c r="N568" s="5"/>
      <c r="O568" s="57"/>
      <c r="P568" s="5"/>
      <c r="Q568" s="5"/>
      <c r="R568" s="5"/>
      <c r="S568" s="5"/>
      <c r="T568" s="5"/>
      <c r="U568" s="5"/>
      <c r="V568" s="5"/>
      <c r="W568" s="5"/>
      <c r="X568" s="5"/>
      <c r="Y568" s="5"/>
      <c r="Z568" s="5"/>
    </row>
    <row r="569" spans="1:26" ht="12.75" customHeight="1">
      <c r="A569" s="5"/>
      <c r="B569" s="5"/>
      <c r="C569" s="5"/>
      <c r="D569" s="5"/>
      <c r="E569" s="5"/>
      <c r="F569" s="5"/>
      <c r="G569" s="5"/>
      <c r="H569" s="306"/>
      <c r="I569" s="5"/>
      <c r="J569" s="5"/>
      <c r="K569" s="5"/>
      <c r="L569" s="5"/>
      <c r="M569" s="5"/>
      <c r="N569" s="5"/>
      <c r="O569" s="57"/>
      <c r="P569" s="5"/>
      <c r="Q569" s="5"/>
      <c r="R569" s="5"/>
      <c r="S569" s="5"/>
      <c r="T569" s="5"/>
      <c r="U569" s="5"/>
      <c r="V569" s="5"/>
      <c r="W569" s="5"/>
      <c r="X569" s="5"/>
      <c r="Y569" s="5"/>
      <c r="Z569" s="5"/>
    </row>
    <row r="570" spans="1:26" ht="12.75" customHeight="1">
      <c r="A570" s="5"/>
      <c r="B570" s="5"/>
      <c r="C570" s="5"/>
      <c r="D570" s="5"/>
      <c r="E570" s="5"/>
      <c r="F570" s="5"/>
      <c r="G570" s="5"/>
      <c r="H570" s="306"/>
      <c r="I570" s="5"/>
      <c r="J570" s="5"/>
      <c r="K570" s="5"/>
      <c r="L570" s="5"/>
      <c r="M570" s="5"/>
      <c r="N570" s="5"/>
      <c r="O570" s="57"/>
      <c r="P570" s="5"/>
      <c r="Q570" s="5"/>
      <c r="R570" s="5"/>
      <c r="S570" s="5"/>
      <c r="T570" s="5"/>
      <c r="U570" s="5"/>
      <c r="V570" s="5"/>
      <c r="W570" s="5"/>
      <c r="X570" s="5"/>
      <c r="Y570" s="5"/>
      <c r="Z570" s="5"/>
    </row>
    <row r="571" spans="1:26" ht="12.75" customHeight="1">
      <c r="A571" s="5"/>
      <c r="B571" s="5"/>
      <c r="C571" s="5"/>
      <c r="D571" s="5"/>
      <c r="E571" s="5"/>
      <c r="F571" s="5"/>
      <c r="G571" s="5"/>
      <c r="H571" s="306"/>
      <c r="I571" s="5"/>
      <c r="J571" s="5"/>
      <c r="K571" s="5"/>
      <c r="L571" s="5"/>
      <c r="M571" s="5"/>
      <c r="N571" s="5"/>
      <c r="O571" s="57"/>
      <c r="P571" s="5"/>
      <c r="Q571" s="5"/>
      <c r="R571" s="5"/>
      <c r="S571" s="5"/>
      <c r="T571" s="5"/>
      <c r="U571" s="5"/>
      <c r="V571" s="5"/>
      <c r="W571" s="5"/>
      <c r="X571" s="5"/>
      <c r="Y571" s="5"/>
      <c r="Z571" s="5"/>
    </row>
    <row r="572" spans="1:26" ht="12.75" customHeight="1">
      <c r="A572" s="5"/>
      <c r="B572" s="5"/>
      <c r="C572" s="5"/>
      <c r="D572" s="5"/>
      <c r="E572" s="5"/>
      <c r="F572" s="5"/>
      <c r="G572" s="5"/>
      <c r="H572" s="306"/>
      <c r="I572" s="5"/>
      <c r="J572" s="5"/>
      <c r="K572" s="5"/>
      <c r="L572" s="5"/>
      <c r="M572" s="5"/>
      <c r="N572" s="5"/>
      <c r="O572" s="57"/>
      <c r="P572" s="5"/>
      <c r="Q572" s="5"/>
      <c r="R572" s="5"/>
      <c r="S572" s="5"/>
      <c r="T572" s="5"/>
      <c r="U572" s="5"/>
      <c r="V572" s="5"/>
      <c r="W572" s="5"/>
      <c r="X572" s="5"/>
      <c r="Y572" s="5"/>
      <c r="Z572" s="5"/>
    </row>
    <row r="573" spans="1:26" ht="12.75" customHeight="1">
      <c r="A573" s="5"/>
      <c r="B573" s="5"/>
      <c r="C573" s="5"/>
      <c r="D573" s="5"/>
      <c r="E573" s="5"/>
      <c r="F573" s="5"/>
      <c r="G573" s="5"/>
      <c r="H573" s="306"/>
      <c r="I573" s="5"/>
      <c r="J573" s="5"/>
      <c r="K573" s="5"/>
      <c r="L573" s="5"/>
      <c r="M573" s="5"/>
      <c r="N573" s="5"/>
      <c r="O573" s="57"/>
      <c r="P573" s="5"/>
      <c r="Q573" s="5"/>
      <c r="R573" s="5"/>
      <c r="S573" s="5"/>
      <c r="T573" s="5"/>
      <c r="U573" s="5"/>
      <c r="V573" s="5"/>
      <c r="W573" s="5"/>
      <c r="X573" s="5"/>
      <c r="Y573" s="5"/>
      <c r="Z573" s="5"/>
    </row>
    <row r="574" spans="1:26" ht="12.75" customHeight="1">
      <c r="A574" s="5"/>
      <c r="B574" s="5"/>
      <c r="C574" s="5"/>
      <c r="D574" s="5"/>
      <c r="E574" s="5"/>
      <c r="F574" s="5"/>
      <c r="G574" s="5"/>
      <c r="H574" s="306"/>
      <c r="I574" s="5"/>
      <c r="J574" s="5"/>
      <c r="K574" s="5"/>
      <c r="L574" s="5"/>
      <c r="M574" s="5"/>
      <c r="N574" s="5"/>
      <c r="O574" s="57"/>
      <c r="P574" s="5"/>
      <c r="Q574" s="5"/>
      <c r="R574" s="5"/>
      <c r="S574" s="5"/>
      <c r="T574" s="5"/>
      <c r="U574" s="5"/>
      <c r="V574" s="5"/>
      <c r="W574" s="5"/>
      <c r="X574" s="5"/>
      <c r="Y574" s="5"/>
      <c r="Z574" s="5"/>
    </row>
    <row r="575" spans="1:26" ht="12.75" customHeight="1">
      <c r="A575" s="5"/>
      <c r="B575" s="5"/>
      <c r="C575" s="5"/>
      <c r="D575" s="5"/>
      <c r="E575" s="5"/>
      <c r="F575" s="5"/>
      <c r="G575" s="5"/>
      <c r="H575" s="306"/>
      <c r="I575" s="5"/>
      <c r="J575" s="5"/>
      <c r="K575" s="5"/>
      <c r="L575" s="5"/>
      <c r="M575" s="5"/>
      <c r="N575" s="5"/>
      <c r="O575" s="57"/>
      <c r="P575" s="5"/>
      <c r="Q575" s="5"/>
      <c r="R575" s="5"/>
      <c r="S575" s="5"/>
      <c r="T575" s="5"/>
      <c r="U575" s="5"/>
      <c r="V575" s="5"/>
      <c r="W575" s="5"/>
      <c r="X575" s="5"/>
      <c r="Y575" s="5"/>
      <c r="Z575" s="5"/>
    </row>
    <row r="576" spans="1:26" ht="12.75" customHeight="1">
      <c r="A576" s="5"/>
      <c r="B576" s="5"/>
      <c r="C576" s="5"/>
      <c r="D576" s="5"/>
      <c r="E576" s="5"/>
      <c r="F576" s="5"/>
      <c r="G576" s="5"/>
      <c r="H576" s="306"/>
      <c r="I576" s="5"/>
      <c r="J576" s="5"/>
      <c r="K576" s="5"/>
      <c r="L576" s="5"/>
      <c r="M576" s="5"/>
      <c r="N576" s="5"/>
      <c r="O576" s="57"/>
      <c r="P576" s="5"/>
      <c r="Q576" s="5"/>
      <c r="R576" s="5"/>
      <c r="S576" s="5"/>
      <c r="T576" s="5"/>
      <c r="U576" s="5"/>
      <c r="V576" s="5"/>
      <c r="W576" s="5"/>
      <c r="X576" s="5"/>
      <c r="Y576" s="5"/>
      <c r="Z576" s="5"/>
    </row>
    <row r="577" spans="1:26" ht="12.75" customHeight="1">
      <c r="A577" s="5"/>
      <c r="B577" s="5"/>
      <c r="C577" s="5"/>
      <c r="D577" s="5"/>
      <c r="E577" s="5"/>
      <c r="F577" s="5"/>
      <c r="G577" s="5"/>
      <c r="H577" s="306"/>
      <c r="I577" s="5"/>
      <c r="J577" s="5"/>
      <c r="K577" s="5"/>
      <c r="L577" s="5"/>
      <c r="M577" s="5"/>
      <c r="N577" s="5"/>
      <c r="O577" s="57"/>
      <c r="P577" s="5"/>
      <c r="Q577" s="5"/>
      <c r="R577" s="5"/>
      <c r="S577" s="5"/>
      <c r="T577" s="5"/>
      <c r="U577" s="5"/>
      <c r="V577" s="5"/>
      <c r="W577" s="5"/>
      <c r="X577" s="5"/>
      <c r="Y577" s="5"/>
      <c r="Z577" s="5"/>
    </row>
    <row r="578" spans="1:26" ht="12.75" customHeight="1">
      <c r="A578" s="5"/>
      <c r="B578" s="5"/>
      <c r="C578" s="5"/>
      <c r="D578" s="5"/>
      <c r="E578" s="5"/>
      <c r="F578" s="5"/>
      <c r="G578" s="5"/>
      <c r="H578" s="306"/>
      <c r="I578" s="5"/>
      <c r="J578" s="5"/>
      <c r="K578" s="5"/>
      <c r="L578" s="5"/>
      <c r="M578" s="5"/>
      <c r="N578" s="5"/>
      <c r="O578" s="57"/>
      <c r="P578" s="5"/>
      <c r="Q578" s="5"/>
      <c r="R578" s="5"/>
      <c r="S578" s="5"/>
      <c r="T578" s="5"/>
      <c r="U578" s="5"/>
      <c r="V578" s="5"/>
      <c r="W578" s="5"/>
      <c r="X578" s="5"/>
      <c r="Y578" s="5"/>
      <c r="Z578" s="5"/>
    </row>
    <row r="579" spans="1:26" ht="12.75" customHeight="1">
      <c r="A579" s="5"/>
      <c r="B579" s="5"/>
      <c r="C579" s="5"/>
      <c r="D579" s="5"/>
      <c r="E579" s="5"/>
      <c r="F579" s="5"/>
      <c r="G579" s="5"/>
      <c r="H579" s="306"/>
      <c r="I579" s="5"/>
      <c r="J579" s="5"/>
      <c r="K579" s="5"/>
      <c r="L579" s="5"/>
      <c r="M579" s="5"/>
      <c r="N579" s="5"/>
      <c r="O579" s="57"/>
      <c r="P579" s="5"/>
      <c r="Q579" s="5"/>
      <c r="R579" s="5"/>
      <c r="S579" s="5"/>
      <c r="T579" s="5"/>
      <c r="U579" s="5"/>
      <c r="V579" s="5"/>
      <c r="W579" s="5"/>
      <c r="X579" s="5"/>
      <c r="Y579" s="5"/>
      <c r="Z579" s="5"/>
    </row>
    <row r="580" spans="1:26" ht="12.75" customHeight="1">
      <c r="A580" s="5"/>
      <c r="B580" s="5"/>
      <c r="C580" s="5"/>
      <c r="D580" s="5"/>
      <c r="E580" s="5"/>
      <c r="F580" s="5"/>
      <c r="G580" s="5"/>
      <c r="H580" s="306"/>
      <c r="I580" s="5"/>
      <c r="J580" s="5"/>
      <c r="K580" s="5"/>
      <c r="L580" s="5"/>
      <c r="M580" s="5"/>
      <c r="N580" s="5"/>
      <c r="O580" s="57"/>
      <c r="P580" s="5"/>
      <c r="Q580" s="5"/>
      <c r="R580" s="5"/>
      <c r="S580" s="5"/>
      <c r="T580" s="5"/>
      <c r="U580" s="5"/>
      <c r="V580" s="5"/>
      <c r="W580" s="5"/>
      <c r="X580" s="5"/>
      <c r="Y580" s="5"/>
      <c r="Z580" s="5"/>
    </row>
    <row r="581" spans="1:26" ht="12.75" customHeight="1">
      <c r="A581" s="5"/>
      <c r="B581" s="5"/>
      <c r="C581" s="5"/>
      <c r="D581" s="5"/>
      <c r="E581" s="5"/>
      <c r="F581" s="5"/>
      <c r="G581" s="5"/>
      <c r="H581" s="306"/>
      <c r="I581" s="5"/>
      <c r="J581" s="5"/>
      <c r="K581" s="5"/>
      <c r="L581" s="5"/>
      <c r="M581" s="5"/>
      <c r="N581" s="5"/>
      <c r="O581" s="57"/>
      <c r="P581" s="5"/>
      <c r="Q581" s="5"/>
      <c r="R581" s="5"/>
      <c r="S581" s="5"/>
      <c r="T581" s="5"/>
      <c r="U581" s="5"/>
      <c r="V581" s="5"/>
      <c r="W581" s="5"/>
      <c r="X581" s="5"/>
      <c r="Y581" s="5"/>
      <c r="Z581" s="5"/>
    </row>
    <row r="582" spans="1:26" ht="12.75" customHeight="1">
      <c r="A582" s="5"/>
      <c r="B582" s="5"/>
      <c r="C582" s="5"/>
      <c r="D582" s="5"/>
      <c r="E582" s="5"/>
      <c r="F582" s="5"/>
      <c r="G582" s="5"/>
      <c r="H582" s="306"/>
      <c r="I582" s="5"/>
      <c r="J582" s="5"/>
      <c r="K582" s="5"/>
      <c r="L582" s="5"/>
      <c r="M582" s="5"/>
      <c r="N582" s="5"/>
      <c r="O582" s="57"/>
      <c r="P582" s="5"/>
      <c r="Q582" s="5"/>
      <c r="R582" s="5"/>
      <c r="S582" s="5"/>
      <c r="T582" s="5"/>
      <c r="U582" s="5"/>
      <c r="V582" s="5"/>
      <c r="W582" s="5"/>
      <c r="X582" s="5"/>
      <c r="Y582" s="5"/>
      <c r="Z582" s="5"/>
    </row>
    <row r="583" spans="1:26" ht="12.75" customHeight="1">
      <c r="A583" s="5"/>
      <c r="B583" s="5"/>
      <c r="C583" s="5"/>
      <c r="D583" s="5"/>
      <c r="E583" s="5"/>
      <c r="F583" s="5"/>
      <c r="G583" s="5"/>
      <c r="H583" s="306"/>
      <c r="I583" s="5"/>
      <c r="J583" s="5"/>
      <c r="K583" s="5"/>
      <c r="L583" s="5"/>
      <c r="M583" s="5"/>
      <c r="N583" s="5"/>
      <c r="O583" s="57"/>
      <c r="P583" s="5"/>
      <c r="Q583" s="5"/>
      <c r="R583" s="5"/>
      <c r="S583" s="5"/>
      <c r="T583" s="5"/>
      <c r="U583" s="5"/>
      <c r="V583" s="5"/>
      <c r="W583" s="5"/>
      <c r="X583" s="5"/>
      <c r="Y583" s="5"/>
      <c r="Z583" s="5"/>
    </row>
    <row r="584" spans="1:26" ht="12.75" customHeight="1">
      <c r="A584" s="5"/>
      <c r="B584" s="5"/>
      <c r="C584" s="5"/>
      <c r="D584" s="5"/>
      <c r="E584" s="5"/>
      <c r="F584" s="5"/>
      <c r="G584" s="5"/>
      <c r="H584" s="306"/>
      <c r="I584" s="5"/>
      <c r="J584" s="5"/>
      <c r="K584" s="5"/>
      <c r="L584" s="5"/>
      <c r="M584" s="5"/>
      <c r="N584" s="5"/>
      <c r="O584" s="57"/>
      <c r="P584" s="5"/>
      <c r="Q584" s="5"/>
      <c r="R584" s="5"/>
      <c r="S584" s="5"/>
      <c r="T584" s="5"/>
      <c r="U584" s="5"/>
      <c r="V584" s="5"/>
      <c r="W584" s="5"/>
      <c r="X584" s="5"/>
      <c r="Y584" s="5"/>
      <c r="Z584" s="5"/>
    </row>
    <row r="585" spans="1:26" ht="12.75" customHeight="1">
      <c r="A585" s="5"/>
      <c r="B585" s="5"/>
      <c r="C585" s="5"/>
      <c r="D585" s="5"/>
      <c r="E585" s="5"/>
      <c r="F585" s="5"/>
      <c r="G585" s="5"/>
      <c r="H585" s="306"/>
      <c r="I585" s="5"/>
      <c r="J585" s="5"/>
      <c r="K585" s="5"/>
      <c r="L585" s="5"/>
      <c r="M585" s="5"/>
      <c r="N585" s="5"/>
      <c r="O585" s="57"/>
      <c r="P585" s="5"/>
      <c r="Q585" s="5"/>
      <c r="R585" s="5"/>
      <c r="S585" s="5"/>
      <c r="T585" s="5"/>
      <c r="U585" s="5"/>
      <c r="V585" s="5"/>
      <c r="W585" s="5"/>
      <c r="X585" s="5"/>
      <c r="Y585" s="5"/>
      <c r="Z585" s="5"/>
    </row>
    <row r="586" spans="1:26" ht="12.75" customHeight="1">
      <c r="A586" s="5"/>
      <c r="B586" s="5"/>
      <c r="C586" s="5"/>
      <c r="D586" s="5"/>
      <c r="E586" s="5"/>
      <c r="F586" s="5"/>
      <c r="G586" s="5"/>
      <c r="H586" s="306"/>
      <c r="I586" s="5"/>
      <c r="J586" s="5"/>
      <c r="K586" s="5"/>
      <c r="L586" s="5"/>
      <c r="M586" s="5"/>
      <c r="N586" s="5"/>
      <c r="O586" s="57"/>
      <c r="P586" s="5"/>
      <c r="Q586" s="5"/>
      <c r="R586" s="5"/>
      <c r="S586" s="5"/>
      <c r="T586" s="5"/>
      <c r="U586" s="5"/>
      <c r="V586" s="5"/>
      <c r="W586" s="5"/>
      <c r="X586" s="5"/>
      <c r="Y586" s="5"/>
      <c r="Z586" s="5"/>
    </row>
    <row r="587" spans="1:26" ht="12.75" customHeight="1">
      <c r="A587" s="5"/>
      <c r="B587" s="5"/>
      <c r="C587" s="5"/>
      <c r="D587" s="5"/>
      <c r="E587" s="5"/>
      <c r="F587" s="5"/>
      <c r="G587" s="5"/>
      <c r="H587" s="306"/>
      <c r="I587" s="5"/>
      <c r="J587" s="5"/>
      <c r="K587" s="5"/>
      <c r="L587" s="5"/>
      <c r="M587" s="5"/>
      <c r="N587" s="5"/>
      <c r="O587" s="57"/>
      <c r="P587" s="5"/>
      <c r="Q587" s="5"/>
      <c r="R587" s="5"/>
      <c r="S587" s="5"/>
      <c r="T587" s="5"/>
      <c r="U587" s="5"/>
      <c r="V587" s="5"/>
      <c r="W587" s="5"/>
      <c r="X587" s="5"/>
      <c r="Y587" s="5"/>
      <c r="Z587" s="5"/>
    </row>
    <row r="588" spans="1:26" ht="12.75" customHeight="1">
      <c r="A588" s="5"/>
      <c r="B588" s="5"/>
      <c r="C588" s="5"/>
      <c r="D588" s="5"/>
      <c r="E588" s="5"/>
      <c r="F588" s="5"/>
      <c r="G588" s="5"/>
      <c r="H588" s="306"/>
      <c r="I588" s="5"/>
      <c r="J588" s="5"/>
      <c r="K588" s="5"/>
      <c r="L588" s="5"/>
      <c r="M588" s="5"/>
      <c r="N588" s="5"/>
      <c r="O588" s="57"/>
      <c r="P588" s="5"/>
      <c r="Q588" s="5"/>
      <c r="R588" s="5"/>
      <c r="S588" s="5"/>
      <c r="T588" s="5"/>
      <c r="U588" s="5"/>
      <c r="V588" s="5"/>
      <c r="W588" s="5"/>
      <c r="X588" s="5"/>
      <c r="Y588" s="5"/>
      <c r="Z588" s="5"/>
    </row>
    <row r="589" spans="1:26" ht="12.75" customHeight="1">
      <c r="A589" s="5"/>
      <c r="B589" s="5"/>
      <c r="C589" s="5"/>
      <c r="D589" s="5"/>
      <c r="E589" s="5"/>
      <c r="F589" s="5"/>
      <c r="G589" s="5"/>
      <c r="H589" s="306"/>
      <c r="I589" s="5"/>
      <c r="J589" s="5"/>
      <c r="K589" s="5"/>
      <c r="L589" s="5"/>
      <c r="M589" s="5"/>
      <c r="N589" s="5"/>
      <c r="O589" s="57"/>
      <c r="P589" s="5"/>
      <c r="Q589" s="5"/>
      <c r="R589" s="5"/>
      <c r="S589" s="5"/>
      <c r="T589" s="5"/>
      <c r="U589" s="5"/>
      <c r="V589" s="5"/>
      <c r="W589" s="5"/>
      <c r="X589" s="5"/>
      <c r="Y589" s="5"/>
      <c r="Z589" s="5"/>
    </row>
    <row r="590" spans="1:26" ht="12.75" customHeight="1">
      <c r="A590" s="5"/>
      <c r="B590" s="5"/>
      <c r="C590" s="5"/>
      <c r="D590" s="5"/>
      <c r="E590" s="5"/>
      <c r="F590" s="5"/>
      <c r="G590" s="5"/>
      <c r="H590" s="306"/>
      <c r="I590" s="5"/>
      <c r="J590" s="5"/>
      <c r="K590" s="5"/>
      <c r="L590" s="5"/>
      <c r="M590" s="5"/>
      <c r="N590" s="5"/>
      <c r="O590" s="57"/>
      <c r="P590" s="5"/>
      <c r="Q590" s="5"/>
      <c r="R590" s="5"/>
      <c r="S590" s="5"/>
      <c r="T590" s="5"/>
      <c r="U590" s="5"/>
      <c r="V590" s="5"/>
      <c r="W590" s="5"/>
      <c r="X590" s="5"/>
      <c r="Y590" s="5"/>
      <c r="Z590" s="5"/>
    </row>
    <row r="591" spans="1:26" ht="12.75" customHeight="1">
      <c r="A591" s="5"/>
      <c r="B591" s="5"/>
      <c r="C591" s="5"/>
      <c r="D591" s="5"/>
      <c r="E591" s="5"/>
      <c r="F591" s="5"/>
      <c r="G591" s="5"/>
      <c r="H591" s="306"/>
      <c r="I591" s="5"/>
      <c r="J591" s="5"/>
      <c r="K591" s="5"/>
      <c r="L591" s="5"/>
      <c r="M591" s="5"/>
      <c r="N591" s="5"/>
      <c r="O591" s="57"/>
      <c r="P591" s="5"/>
      <c r="Q591" s="5"/>
      <c r="R591" s="5"/>
      <c r="S591" s="5"/>
      <c r="T591" s="5"/>
      <c r="U591" s="5"/>
      <c r="V591" s="5"/>
      <c r="W591" s="5"/>
      <c r="X591" s="5"/>
      <c r="Y591" s="5"/>
      <c r="Z591" s="5"/>
    </row>
    <row r="592" spans="1:26" ht="12.75" customHeight="1">
      <c r="A592" s="5"/>
      <c r="B592" s="5"/>
      <c r="C592" s="5"/>
      <c r="D592" s="5"/>
      <c r="E592" s="5"/>
      <c r="F592" s="5"/>
      <c r="G592" s="5"/>
      <c r="H592" s="306"/>
      <c r="I592" s="5"/>
      <c r="J592" s="5"/>
      <c r="K592" s="5"/>
      <c r="L592" s="5"/>
      <c r="M592" s="5"/>
      <c r="N592" s="5"/>
      <c r="O592" s="57"/>
      <c r="P592" s="5"/>
      <c r="Q592" s="5"/>
      <c r="R592" s="5"/>
      <c r="S592" s="5"/>
      <c r="T592" s="5"/>
      <c r="U592" s="5"/>
      <c r="V592" s="5"/>
      <c r="W592" s="5"/>
      <c r="X592" s="5"/>
      <c r="Y592" s="5"/>
      <c r="Z592" s="5"/>
    </row>
    <row r="593" spans="1:26" ht="12.75" customHeight="1">
      <c r="A593" s="5"/>
      <c r="B593" s="5"/>
      <c r="C593" s="5"/>
      <c r="D593" s="5"/>
      <c r="E593" s="5"/>
      <c r="F593" s="5"/>
      <c r="G593" s="5"/>
      <c r="H593" s="306"/>
      <c r="I593" s="5"/>
      <c r="J593" s="5"/>
      <c r="K593" s="5"/>
      <c r="L593" s="5"/>
      <c r="M593" s="5"/>
      <c r="N593" s="5"/>
      <c r="O593" s="57"/>
      <c r="P593" s="5"/>
      <c r="Q593" s="5"/>
      <c r="R593" s="5"/>
      <c r="S593" s="5"/>
      <c r="T593" s="5"/>
      <c r="U593" s="5"/>
      <c r="V593" s="5"/>
      <c r="W593" s="5"/>
      <c r="X593" s="5"/>
      <c r="Y593" s="5"/>
      <c r="Z593" s="5"/>
    </row>
    <row r="594" spans="1:26" ht="12.75" customHeight="1">
      <c r="A594" s="5"/>
      <c r="B594" s="5"/>
      <c r="C594" s="5"/>
      <c r="D594" s="5"/>
      <c r="E594" s="5"/>
      <c r="F594" s="5"/>
      <c r="G594" s="5"/>
      <c r="H594" s="306"/>
      <c r="I594" s="5"/>
      <c r="J594" s="5"/>
      <c r="K594" s="5"/>
      <c r="L594" s="5"/>
      <c r="M594" s="5"/>
      <c r="N594" s="5"/>
      <c r="O594" s="57"/>
      <c r="P594" s="5"/>
      <c r="Q594" s="5"/>
      <c r="R594" s="5"/>
      <c r="S594" s="5"/>
      <c r="T594" s="5"/>
      <c r="U594" s="5"/>
      <c r="V594" s="5"/>
      <c r="W594" s="5"/>
      <c r="X594" s="5"/>
      <c r="Y594" s="5"/>
      <c r="Z594" s="5"/>
    </row>
    <row r="595" spans="1:26" ht="12.75" customHeight="1">
      <c r="A595" s="5"/>
      <c r="B595" s="5"/>
      <c r="C595" s="5"/>
      <c r="D595" s="5"/>
      <c r="E595" s="5"/>
      <c r="F595" s="5"/>
      <c r="G595" s="5"/>
      <c r="H595" s="306"/>
      <c r="I595" s="5"/>
      <c r="J595" s="5"/>
      <c r="K595" s="5"/>
      <c r="L595" s="5"/>
      <c r="M595" s="5"/>
      <c r="N595" s="5"/>
      <c r="O595" s="57"/>
      <c r="P595" s="5"/>
      <c r="Q595" s="5"/>
      <c r="R595" s="5"/>
      <c r="S595" s="5"/>
      <c r="T595" s="5"/>
      <c r="U595" s="5"/>
      <c r="V595" s="5"/>
      <c r="W595" s="5"/>
      <c r="X595" s="5"/>
      <c r="Y595" s="5"/>
      <c r="Z595" s="5"/>
    </row>
    <row r="596" spans="1:26" ht="12.75" customHeight="1">
      <c r="A596" s="5"/>
      <c r="B596" s="5"/>
      <c r="C596" s="5"/>
      <c r="D596" s="5"/>
      <c r="E596" s="5"/>
      <c r="F596" s="5"/>
      <c r="G596" s="5"/>
      <c r="H596" s="306"/>
      <c r="I596" s="5"/>
      <c r="J596" s="5"/>
      <c r="K596" s="5"/>
      <c r="L596" s="5"/>
      <c r="M596" s="5"/>
      <c r="N596" s="5"/>
      <c r="O596" s="57"/>
      <c r="P596" s="5"/>
      <c r="Q596" s="5"/>
      <c r="R596" s="5"/>
      <c r="S596" s="5"/>
      <c r="T596" s="5"/>
      <c r="U596" s="5"/>
      <c r="V596" s="5"/>
      <c r="W596" s="5"/>
      <c r="X596" s="5"/>
      <c r="Y596" s="5"/>
      <c r="Z596" s="5"/>
    </row>
    <row r="597" spans="1:26" ht="12.75" customHeight="1">
      <c r="A597" s="5"/>
      <c r="B597" s="5"/>
      <c r="C597" s="5"/>
      <c r="D597" s="5"/>
      <c r="E597" s="5"/>
      <c r="F597" s="5"/>
      <c r="G597" s="5"/>
      <c r="H597" s="306"/>
      <c r="I597" s="5"/>
      <c r="J597" s="5"/>
      <c r="K597" s="5"/>
      <c r="L597" s="5"/>
      <c r="M597" s="5"/>
      <c r="N597" s="5"/>
      <c r="O597" s="57"/>
      <c r="P597" s="5"/>
      <c r="Q597" s="5"/>
      <c r="R597" s="5"/>
      <c r="S597" s="5"/>
      <c r="T597" s="5"/>
      <c r="U597" s="5"/>
      <c r="V597" s="5"/>
      <c r="W597" s="5"/>
      <c r="X597" s="5"/>
      <c r="Y597" s="5"/>
      <c r="Z597" s="5"/>
    </row>
    <row r="598" spans="1:26" ht="12.75" customHeight="1">
      <c r="A598" s="5"/>
      <c r="B598" s="5"/>
      <c r="C598" s="5"/>
      <c r="D598" s="5"/>
      <c r="E598" s="5"/>
      <c r="F598" s="5"/>
      <c r="G598" s="5"/>
      <c r="H598" s="306"/>
      <c r="I598" s="5"/>
      <c r="J598" s="5"/>
      <c r="K598" s="5"/>
      <c r="L598" s="5"/>
      <c r="M598" s="5"/>
      <c r="N598" s="5"/>
      <c r="O598" s="57"/>
      <c r="P598" s="5"/>
      <c r="Q598" s="5"/>
      <c r="R598" s="5"/>
      <c r="S598" s="5"/>
      <c r="T598" s="5"/>
      <c r="U598" s="5"/>
      <c r="V598" s="5"/>
      <c r="W598" s="5"/>
      <c r="X598" s="5"/>
      <c r="Y598" s="5"/>
      <c r="Z598" s="5"/>
    </row>
    <row r="599" spans="1:26" ht="12.75" customHeight="1">
      <c r="A599" s="5"/>
      <c r="B599" s="5"/>
      <c r="C599" s="5"/>
      <c r="D599" s="5"/>
      <c r="E599" s="5"/>
      <c r="F599" s="5"/>
      <c r="G599" s="5"/>
      <c r="H599" s="306"/>
      <c r="I599" s="5"/>
      <c r="J599" s="5"/>
      <c r="K599" s="5"/>
      <c r="L599" s="5"/>
      <c r="M599" s="5"/>
      <c r="N599" s="5"/>
      <c r="O599" s="57"/>
      <c r="P599" s="5"/>
      <c r="Q599" s="5"/>
      <c r="R599" s="5"/>
      <c r="S599" s="5"/>
      <c r="T599" s="5"/>
      <c r="U599" s="5"/>
      <c r="V599" s="5"/>
      <c r="W599" s="5"/>
      <c r="X599" s="5"/>
      <c r="Y599" s="5"/>
      <c r="Z599" s="5"/>
    </row>
    <row r="600" spans="1:26" ht="12.75" customHeight="1">
      <c r="A600" s="5"/>
      <c r="B600" s="5"/>
      <c r="C600" s="5"/>
      <c r="D600" s="5"/>
      <c r="E600" s="5"/>
      <c r="F600" s="5"/>
      <c r="G600" s="5"/>
      <c r="H600" s="306"/>
      <c r="I600" s="5"/>
      <c r="J600" s="5"/>
      <c r="K600" s="5"/>
      <c r="L600" s="5"/>
      <c r="M600" s="5"/>
      <c r="N600" s="5"/>
      <c r="O600" s="57"/>
      <c r="P600" s="5"/>
      <c r="Q600" s="5"/>
      <c r="R600" s="5"/>
      <c r="S600" s="5"/>
      <c r="T600" s="5"/>
      <c r="U600" s="5"/>
      <c r="V600" s="5"/>
      <c r="W600" s="5"/>
      <c r="X600" s="5"/>
      <c r="Y600" s="5"/>
      <c r="Z600" s="5"/>
    </row>
    <row r="601" spans="1:26" ht="12.75" customHeight="1">
      <c r="A601" s="5"/>
      <c r="B601" s="5"/>
      <c r="C601" s="5"/>
      <c r="D601" s="5"/>
      <c r="E601" s="5"/>
      <c r="F601" s="5"/>
      <c r="G601" s="5"/>
      <c r="H601" s="306"/>
      <c r="I601" s="5"/>
      <c r="J601" s="5"/>
      <c r="K601" s="5"/>
      <c r="L601" s="5"/>
      <c r="M601" s="5"/>
      <c r="N601" s="5"/>
      <c r="O601" s="57"/>
      <c r="P601" s="5"/>
      <c r="Q601" s="5"/>
      <c r="R601" s="5"/>
      <c r="S601" s="5"/>
      <c r="T601" s="5"/>
      <c r="U601" s="5"/>
      <c r="V601" s="5"/>
      <c r="W601" s="5"/>
      <c r="X601" s="5"/>
      <c r="Y601" s="5"/>
      <c r="Z601" s="5"/>
    </row>
    <row r="602" spans="1:26" ht="12.75" customHeight="1">
      <c r="A602" s="5"/>
      <c r="B602" s="5"/>
      <c r="C602" s="5"/>
      <c r="D602" s="5"/>
      <c r="E602" s="5"/>
      <c r="F602" s="5"/>
      <c r="G602" s="5"/>
      <c r="H602" s="306"/>
      <c r="I602" s="5"/>
      <c r="J602" s="5"/>
      <c r="K602" s="5"/>
      <c r="L602" s="5"/>
      <c r="M602" s="5"/>
      <c r="N602" s="5"/>
      <c r="O602" s="57"/>
      <c r="P602" s="5"/>
      <c r="Q602" s="5"/>
      <c r="R602" s="5"/>
      <c r="S602" s="5"/>
      <c r="T602" s="5"/>
      <c r="U602" s="5"/>
      <c r="V602" s="5"/>
      <c r="W602" s="5"/>
      <c r="X602" s="5"/>
      <c r="Y602" s="5"/>
      <c r="Z602" s="5"/>
    </row>
    <row r="603" spans="1:26" ht="12.75" customHeight="1">
      <c r="A603" s="5"/>
      <c r="B603" s="5"/>
      <c r="C603" s="5"/>
      <c r="D603" s="5"/>
      <c r="E603" s="5"/>
      <c r="F603" s="5"/>
      <c r="G603" s="5"/>
      <c r="H603" s="306"/>
      <c r="I603" s="5"/>
      <c r="J603" s="5"/>
      <c r="K603" s="5"/>
      <c r="L603" s="5"/>
      <c r="M603" s="5"/>
      <c r="N603" s="5"/>
      <c r="O603" s="57"/>
      <c r="P603" s="5"/>
      <c r="Q603" s="5"/>
      <c r="R603" s="5"/>
      <c r="S603" s="5"/>
      <c r="T603" s="5"/>
      <c r="U603" s="5"/>
      <c r="V603" s="5"/>
      <c r="W603" s="5"/>
      <c r="X603" s="5"/>
      <c r="Y603" s="5"/>
      <c r="Z603" s="5"/>
    </row>
    <row r="604" spans="1:26" ht="12.75" customHeight="1">
      <c r="A604" s="5"/>
      <c r="B604" s="5"/>
      <c r="C604" s="5"/>
      <c r="D604" s="5"/>
      <c r="E604" s="5"/>
      <c r="F604" s="5"/>
      <c r="G604" s="5"/>
      <c r="H604" s="306"/>
      <c r="I604" s="5"/>
      <c r="J604" s="5"/>
      <c r="K604" s="5"/>
      <c r="L604" s="5"/>
      <c r="M604" s="5"/>
      <c r="N604" s="5"/>
      <c r="O604" s="57"/>
      <c r="P604" s="5"/>
      <c r="Q604" s="5"/>
      <c r="R604" s="5"/>
      <c r="S604" s="5"/>
      <c r="T604" s="5"/>
      <c r="U604" s="5"/>
      <c r="V604" s="5"/>
      <c r="W604" s="5"/>
      <c r="X604" s="5"/>
      <c r="Y604" s="5"/>
      <c r="Z604" s="5"/>
    </row>
    <row r="605" spans="1:26" ht="12.75" customHeight="1">
      <c r="A605" s="5"/>
      <c r="B605" s="5"/>
      <c r="C605" s="5"/>
      <c r="D605" s="5"/>
      <c r="E605" s="5"/>
      <c r="F605" s="5"/>
      <c r="G605" s="5"/>
      <c r="H605" s="306"/>
      <c r="I605" s="5"/>
      <c r="J605" s="5"/>
      <c r="K605" s="5"/>
      <c r="L605" s="5"/>
      <c r="M605" s="5"/>
      <c r="N605" s="5"/>
      <c r="O605" s="57"/>
      <c r="P605" s="5"/>
      <c r="Q605" s="5"/>
      <c r="R605" s="5"/>
      <c r="S605" s="5"/>
      <c r="T605" s="5"/>
      <c r="U605" s="5"/>
      <c r="V605" s="5"/>
      <c r="W605" s="5"/>
      <c r="X605" s="5"/>
      <c r="Y605" s="5"/>
      <c r="Z605" s="5"/>
    </row>
    <row r="606" spans="1:26" ht="12.75" customHeight="1">
      <c r="A606" s="5"/>
      <c r="B606" s="5"/>
      <c r="C606" s="5"/>
      <c r="D606" s="5"/>
      <c r="E606" s="5"/>
      <c r="F606" s="5"/>
      <c r="G606" s="5"/>
      <c r="H606" s="306"/>
      <c r="I606" s="5"/>
      <c r="J606" s="5"/>
      <c r="K606" s="5"/>
      <c r="L606" s="5"/>
      <c r="M606" s="5"/>
      <c r="N606" s="5"/>
      <c r="O606" s="57"/>
      <c r="P606" s="5"/>
      <c r="Q606" s="5"/>
      <c r="R606" s="5"/>
      <c r="S606" s="5"/>
      <c r="T606" s="5"/>
      <c r="U606" s="5"/>
      <c r="V606" s="5"/>
      <c r="W606" s="5"/>
      <c r="X606" s="5"/>
      <c r="Y606" s="5"/>
      <c r="Z606" s="5"/>
    </row>
    <row r="607" spans="1:26" ht="12.75" customHeight="1">
      <c r="A607" s="5"/>
      <c r="B607" s="5"/>
      <c r="C607" s="5"/>
      <c r="D607" s="5"/>
      <c r="E607" s="5"/>
      <c r="F607" s="5"/>
      <c r="G607" s="5"/>
      <c r="H607" s="306"/>
      <c r="I607" s="5"/>
      <c r="J607" s="5"/>
      <c r="K607" s="5"/>
      <c r="L607" s="5"/>
      <c r="M607" s="5"/>
      <c r="N607" s="5"/>
      <c r="O607" s="57"/>
      <c r="P607" s="5"/>
      <c r="Q607" s="5"/>
      <c r="R607" s="5"/>
      <c r="S607" s="5"/>
      <c r="T607" s="5"/>
      <c r="U607" s="5"/>
      <c r="V607" s="5"/>
      <c r="W607" s="5"/>
      <c r="X607" s="5"/>
      <c r="Y607" s="5"/>
      <c r="Z607" s="5"/>
    </row>
    <row r="608" spans="1:26" ht="12.75" customHeight="1">
      <c r="A608" s="5"/>
      <c r="B608" s="5"/>
      <c r="C608" s="5"/>
      <c r="D608" s="5"/>
      <c r="E608" s="5"/>
      <c r="F608" s="5"/>
      <c r="G608" s="5"/>
      <c r="H608" s="306"/>
      <c r="I608" s="5"/>
      <c r="J608" s="5"/>
      <c r="K608" s="5"/>
      <c r="L608" s="5"/>
      <c r="M608" s="5"/>
      <c r="N608" s="5"/>
      <c r="O608" s="57"/>
      <c r="P608" s="5"/>
      <c r="Q608" s="5"/>
      <c r="R608" s="5"/>
      <c r="S608" s="5"/>
      <c r="T608" s="5"/>
      <c r="U608" s="5"/>
      <c r="V608" s="5"/>
      <c r="W608" s="5"/>
      <c r="X608" s="5"/>
      <c r="Y608" s="5"/>
      <c r="Z608" s="5"/>
    </row>
    <row r="609" spans="1:26" ht="12.75" customHeight="1">
      <c r="A609" s="5"/>
      <c r="B609" s="5"/>
      <c r="C609" s="5"/>
      <c r="D609" s="5"/>
      <c r="E609" s="5"/>
      <c r="F609" s="5"/>
      <c r="G609" s="5"/>
      <c r="H609" s="306"/>
      <c r="I609" s="5"/>
      <c r="J609" s="5"/>
      <c r="K609" s="5"/>
      <c r="L609" s="5"/>
      <c r="M609" s="5"/>
      <c r="N609" s="5"/>
      <c r="O609" s="57"/>
      <c r="P609" s="5"/>
      <c r="Q609" s="5"/>
      <c r="R609" s="5"/>
      <c r="S609" s="5"/>
      <c r="T609" s="5"/>
      <c r="U609" s="5"/>
      <c r="V609" s="5"/>
      <c r="W609" s="5"/>
      <c r="X609" s="5"/>
      <c r="Y609" s="5"/>
      <c r="Z609" s="5"/>
    </row>
    <row r="610" spans="1:26" ht="12.75" customHeight="1">
      <c r="A610" s="5"/>
      <c r="B610" s="5"/>
      <c r="C610" s="5"/>
      <c r="D610" s="5"/>
      <c r="E610" s="5"/>
      <c r="F610" s="5"/>
      <c r="G610" s="5"/>
      <c r="H610" s="306"/>
      <c r="I610" s="5"/>
      <c r="J610" s="5"/>
      <c r="K610" s="5"/>
      <c r="L610" s="5"/>
      <c r="M610" s="5"/>
      <c r="N610" s="5"/>
      <c r="O610" s="57"/>
      <c r="P610" s="5"/>
      <c r="Q610" s="5"/>
      <c r="R610" s="5"/>
      <c r="S610" s="5"/>
      <c r="T610" s="5"/>
      <c r="U610" s="5"/>
      <c r="V610" s="5"/>
      <c r="W610" s="5"/>
      <c r="X610" s="5"/>
      <c r="Y610" s="5"/>
      <c r="Z610" s="5"/>
    </row>
    <row r="611" spans="1:26" ht="12.75" customHeight="1">
      <c r="A611" s="5"/>
      <c r="B611" s="5"/>
      <c r="C611" s="5"/>
      <c r="D611" s="5"/>
      <c r="E611" s="5"/>
      <c r="F611" s="5"/>
      <c r="G611" s="5"/>
      <c r="H611" s="306"/>
      <c r="I611" s="5"/>
      <c r="J611" s="5"/>
      <c r="K611" s="5"/>
      <c r="L611" s="5"/>
      <c r="M611" s="5"/>
      <c r="N611" s="5"/>
      <c r="O611" s="57"/>
      <c r="P611" s="5"/>
      <c r="Q611" s="5"/>
      <c r="R611" s="5"/>
      <c r="S611" s="5"/>
      <c r="T611" s="5"/>
      <c r="U611" s="5"/>
      <c r="V611" s="5"/>
      <c r="W611" s="5"/>
      <c r="X611" s="5"/>
      <c r="Y611" s="5"/>
      <c r="Z611" s="5"/>
    </row>
    <row r="612" spans="1:26" ht="12.75" customHeight="1">
      <c r="A612" s="5"/>
      <c r="B612" s="5"/>
      <c r="C612" s="5"/>
      <c r="D612" s="5"/>
      <c r="E612" s="5"/>
      <c r="F612" s="5"/>
      <c r="G612" s="5"/>
      <c r="H612" s="306"/>
      <c r="I612" s="5"/>
      <c r="J612" s="5"/>
      <c r="K612" s="5"/>
      <c r="L612" s="5"/>
      <c r="M612" s="5"/>
      <c r="N612" s="5"/>
      <c r="O612" s="57"/>
      <c r="P612" s="5"/>
      <c r="Q612" s="5"/>
      <c r="R612" s="5"/>
      <c r="S612" s="5"/>
      <c r="T612" s="5"/>
      <c r="U612" s="5"/>
      <c r="V612" s="5"/>
      <c r="W612" s="5"/>
      <c r="X612" s="5"/>
      <c r="Y612" s="5"/>
      <c r="Z612" s="5"/>
    </row>
    <row r="613" spans="1:26" ht="12.75" customHeight="1">
      <c r="A613" s="5"/>
      <c r="B613" s="5"/>
      <c r="C613" s="5"/>
      <c r="D613" s="5"/>
      <c r="E613" s="5"/>
      <c r="F613" s="5"/>
      <c r="G613" s="5"/>
      <c r="H613" s="306"/>
      <c r="I613" s="5"/>
      <c r="J613" s="5"/>
      <c r="K613" s="5"/>
      <c r="L613" s="5"/>
      <c r="M613" s="5"/>
      <c r="N613" s="5"/>
      <c r="O613" s="57"/>
      <c r="P613" s="5"/>
      <c r="Q613" s="5"/>
      <c r="R613" s="5"/>
      <c r="S613" s="5"/>
      <c r="T613" s="5"/>
      <c r="U613" s="5"/>
      <c r="V613" s="5"/>
      <c r="W613" s="5"/>
      <c r="X613" s="5"/>
      <c r="Y613" s="5"/>
      <c r="Z613" s="5"/>
    </row>
    <row r="614" spans="1:26" ht="12.75" customHeight="1">
      <c r="A614" s="5"/>
      <c r="B614" s="5"/>
      <c r="C614" s="5"/>
      <c r="D614" s="5"/>
      <c r="E614" s="5"/>
      <c r="F614" s="5"/>
      <c r="G614" s="5"/>
      <c r="H614" s="306"/>
      <c r="I614" s="5"/>
      <c r="J614" s="5"/>
      <c r="K614" s="5"/>
      <c r="L614" s="5"/>
      <c r="M614" s="5"/>
      <c r="N614" s="5"/>
      <c r="O614" s="57"/>
      <c r="P614" s="5"/>
      <c r="Q614" s="5"/>
      <c r="R614" s="5"/>
      <c r="S614" s="5"/>
      <c r="T614" s="5"/>
      <c r="U614" s="5"/>
      <c r="V614" s="5"/>
      <c r="W614" s="5"/>
      <c r="X614" s="5"/>
      <c r="Y614" s="5"/>
      <c r="Z614" s="5"/>
    </row>
    <row r="615" spans="1:26" ht="12.75" customHeight="1">
      <c r="A615" s="5"/>
      <c r="B615" s="5"/>
      <c r="C615" s="5"/>
      <c r="D615" s="5"/>
      <c r="E615" s="5"/>
      <c r="F615" s="5"/>
      <c r="G615" s="5"/>
      <c r="H615" s="306"/>
      <c r="I615" s="5"/>
      <c r="J615" s="5"/>
      <c r="K615" s="5"/>
      <c r="L615" s="5"/>
      <c r="M615" s="5"/>
      <c r="N615" s="5"/>
      <c r="O615" s="57"/>
      <c r="P615" s="5"/>
      <c r="Q615" s="5"/>
      <c r="R615" s="5"/>
      <c r="S615" s="5"/>
      <c r="T615" s="5"/>
      <c r="U615" s="5"/>
      <c r="V615" s="5"/>
      <c r="W615" s="5"/>
      <c r="X615" s="5"/>
      <c r="Y615" s="5"/>
      <c r="Z615" s="5"/>
    </row>
    <row r="616" spans="1:26" ht="12.75" customHeight="1">
      <c r="A616" s="5"/>
      <c r="B616" s="5"/>
      <c r="C616" s="5"/>
      <c r="D616" s="5"/>
      <c r="E616" s="5"/>
      <c r="F616" s="5"/>
      <c r="G616" s="5"/>
      <c r="H616" s="306"/>
      <c r="I616" s="5"/>
      <c r="J616" s="5"/>
      <c r="K616" s="5"/>
      <c r="L616" s="5"/>
      <c r="M616" s="5"/>
      <c r="N616" s="5"/>
      <c r="O616" s="57"/>
      <c r="P616" s="5"/>
      <c r="Q616" s="5"/>
      <c r="R616" s="5"/>
      <c r="S616" s="5"/>
      <c r="T616" s="5"/>
      <c r="U616" s="5"/>
      <c r="V616" s="5"/>
      <c r="W616" s="5"/>
      <c r="X616" s="5"/>
      <c r="Y616" s="5"/>
      <c r="Z616" s="5"/>
    </row>
    <row r="617" spans="1:26" ht="12.75" customHeight="1">
      <c r="A617" s="5"/>
      <c r="B617" s="5"/>
      <c r="C617" s="5"/>
      <c r="D617" s="5"/>
      <c r="E617" s="5"/>
      <c r="F617" s="5"/>
      <c r="G617" s="5"/>
      <c r="H617" s="306"/>
      <c r="I617" s="5"/>
      <c r="J617" s="5"/>
      <c r="K617" s="5"/>
      <c r="L617" s="5"/>
      <c r="M617" s="5"/>
      <c r="N617" s="5"/>
      <c r="O617" s="57"/>
      <c r="P617" s="5"/>
      <c r="Q617" s="5"/>
      <c r="R617" s="5"/>
      <c r="S617" s="5"/>
      <c r="T617" s="5"/>
      <c r="U617" s="5"/>
      <c r="V617" s="5"/>
      <c r="W617" s="5"/>
      <c r="X617" s="5"/>
      <c r="Y617" s="5"/>
      <c r="Z617" s="5"/>
    </row>
    <row r="618" spans="1:26" ht="12.75" customHeight="1">
      <c r="A618" s="5"/>
      <c r="B618" s="5"/>
      <c r="C618" s="5"/>
      <c r="D618" s="5"/>
      <c r="E618" s="5"/>
      <c r="F618" s="5"/>
      <c r="G618" s="5"/>
      <c r="H618" s="306"/>
      <c r="I618" s="5"/>
      <c r="J618" s="5"/>
      <c r="K618" s="5"/>
      <c r="L618" s="5"/>
      <c r="M618" s="5"/>
      <c r="N618" s="5"/>
      <c r="O618" s="57"/>
      <c r="P618" s="5"/>
      <c r="Q618" s="5"/>
      <c r="R618" s="5"/>
      <c r="S618" s="5"/>
      <c r="T618" s="5"/>
      <c r="U618" s="5"/>
      <c r="V618" s="5"/>
      <c r="W618" s="5"/>
      <c r="X618" s="5"/>
      <c r="Y618" s="5"/>
      <c r="Z618" s="5"/>
    </row>
    <row r="619" spans="1:26" ht="12.75" customHeight="1">
      <c r="A619" s="5"/>
      <c r="B619" s="5"/>
      <c r="C619" s="5"/>
      <c r="D619" s="5"/>
      <c r="E619" s="5"/>
      <c r="F619" s="5"/>
      <c r="G619" s="5"/>
      <c r="H619" s="306"/>
      <c r="I619" s="5"/>
      <c r="J619" s="5"/>
      <c r="K619" s="5"/>
      <c r="L619" s="5"/>
      <c r="M619" s="5"/>
      <c r="N619" s="5"/>
      <c r="O619" s="57"/>
      <c r="P619" s="5"/>
      <c r="Q619" s="5"/>
      <c r="R619" s="5"/>
      <c r="S619" s="5"/>
      <c r="T619" s="5"/>
      <c r="U619" s="5"/>
      <c r="V619" s="5"/>
      <c r="W619" s="5"/>
      <c r="X619" s="5"/>
      <c r="Y619" s="5"/>
      <c r="Z619" s="5"/>
    </row>
    <row r="620" spans="1:26" ht="12.75" customHeight="1">
      <c r="A620" s="5"/>
      <c r="B620" s="5"/>
      <c r="C620" s="5"/>
      <c r="D620" s="5"/>
      <c r="E620" s="5"/>
      <c r="F620" s="5"/>
      <c r="G620" s="5"/>
      <c r="H620" s="306"/>
      <c r="I620" s="5"/>
      <c r="J620" s="5"/>
      <c r="K620" s="5"/>
      <c r="L620" s="5"/>
      <c r="M620" s="5"/>
      <c r="N620" s="5"/>
      <c r="O620" s="57"/>
      <c r="P620" s="5"/>
      <c r="Q620" s="5"/>
      <c r="R620" s="5"/>
      <c r="S620" s="5"/>
      <c r="T620" s="5"/>
      <c r="U620" s="5"/>
      <c r="V620" s="5"/>
      <c r="W620" s="5"/>
      <c r="X620" s="5"/>
      <c r="Y620" s="5"/>
      <c r="Z620" s="5"/>
    </row>
    <row r="621" spans="1:26" ht="12.75" customHeight="1">
      <c r="A621" s="5"/>
      <c r="B621" s="5"/>
      <c r="C621" s="5"/>
      <c r="D621" s="5"/>
      <c r="E621" s="5"/>
      <c r="F621" s="5"/>
      <c r="G621" s="5"/>
      <c r="H621" s="306"/>
      <c r="I621" s="5"/>
      <c r="J621" s="5"/>
      <c r="K621" s="5"/>
      <c r="L621" s="5"/>
      <c r="M621" s="5"/>
      <c r="N621" s="5"/>
      <c r="O621" s="57"/>
      <c r="P621" s="5"/>
      <c r="Q621" s="5"/>
      <c r="R621" s="5"/>
      <c r="S621" s="5"/>
      <c r="T621" s="5"/>
      <c r="U621" s="5"/>
      <c r="V621" s="5"/>
      <c r="W621" s="5"/>
      <c r="X621" s="5"/>
      <c r="Y621" s="5"/>
      <c r="Z621" s="5"/>
    </row>
    <row r="622" spans="1:26" ht="12.75" customHeight="1">
      <c r="A622" s="5"/>
      <c r="B622" s="5"/>
      <c r="C622" s="5"/>
      <c r="D622" s="5"/>
      <c r="E622" s="5"/>
      <c r="F622" s="5"/>
      <c r="G622" s="5"/>
      <c r="H622" s="306"/>
      <c r="I622" s="5"/>
      <c r="J622" s="5"/>
      <c r="K622" s="5"/>
      <c r="L622" s="5"/>
      <c r="M622" s="5"/>
      <c r="N622" s="5"/>
      <c r="O622" s="57"/>
      <c r="P622" s="5"/>
      <c r="Q622" s="5"/>
      <c r="R622" s="5"/>
      <c r="S622" s="5"/>
      <c r="T622" s="5"/>
      <c r="U622" s="5"/>
      <c r="V622" s="5"/>
      <c r="W622" s="5"/>
      <c r="X622" s="5"/>
      <c r="Y622" s="5"/>
      <c r="Z622" s="5"/>
    </row>
    <row r="623" spans="1:26" ht="12.75" customHeight="1">
      <c r="A623" s="5"/>
      <c r="B623" s="5"/>
      <c r="C623" s="5"/>
      <c r="D623" s="5"/>
      <c r="E623" s="5"/>
      <c r="F623" s="5"/>
      <c r="G623" s="5"/>
      <c r="H623" s="306"/>
      <c r="I623" s="5"/>
      <c r="J623" s="5"/>
      <c r="K623" s="5"/>
      <c r="L623" s="5"/>
      <c r="M623" s="5"/>
      <c r="N623" s="5"/>
      <c r="O623" s="57"/>
      <c r="P623" s="5"/>
      <c r="Q623" s="5"/>
      <c r="R623" s="5"/>
      <c r="S623" s="5"/>
      <c r="T623" s="5"/>
      <c r="U623" s="5"/>
      <c r="V623" s="5"/>
      <c r="W623" s="5"/>
      <c r="X623" s="5"/>
      <c r="Y623" s="5"/>
      <c r="Z623" s="5"/>
    </row>
    <row r="624" spans="1:26" ht="12.75" customHeight="1">
      <c r="A624" s="5"/>
      <c r="B624" s="5"/>
      <c r="C624" s="5"/>
      <c r="D624" s="5"/>
      <c r="E624" s="5"/>
      <c r="F624" s="5"/>
      <c r="G624" s="5"/>
      <c r="H624" s="306"/>
      <c r="I624" s="5"/>
      <c r="J624" s="5"/>
      <c r="K624" s="5"/>
      <c r="L624" s="5"/>
      <c r="M624" s="5"/>
      <c r="N624" s="5"/>
      <c r="O624" s="57"/>
      <c r="P624" s="5"/>
      <c r="Q624" s="5"/>
      <c r="R624" s="5"/>
      <c r="S624" s="5"/>
      <c r="T624" s="5"/>
      <c r="U624" s="5"/>
      <c r="V624" s="5"/>
      <c r="W624" s="5"/>
      <c r="X624" s="5"/>
      <c r="Y624" s="5"/>
      <c r="Z624" s="5"/>
    </row>
    <row r="625" spans="1:26" ht="12.75" customHeight="1">
      <c r="A625" s="5"/>
      <c r="B625" s="5"/>
      <c r="C625" s="5"/>
      <c r="D625" s="5"/>
      <c r="E625" s="5"/>
      <c r="F625" s="5"/>
      <c r="G625" s="5"/>
      <c r="H625" s="306"/>
      <c r="I625" s="5"/>
      <c r="J625" s="5"/>
      <c r="K625" s="5"/>
      <c r="L625" s="5"/>
      <c r="M625" s="5"/>
      <c r="N625" s="5"/>
      <c r="O625" s="57"/>
      <c r="P625" s="5"/>
      <c r="Q625" s="5"/>
      <c r="R625" s="5"/>
      <c r="S625" s="5"/>
      <c r="T625" s="5"/>
      <c r="U625" s="5"/>
      <c r="V625" s="5"/>
      <c r="W625" s="5"/>
      <c r="X625" s="5"/>
      <c r="Y625" s="5"/>
      <c r="Z625" s="5"/>
    </row>
    <row r="626" spans="1:26" ht="12.75" customHeight="1">
      <c r="A626" s="5"/>
      <c r="B626" s="5"/>
      <c r="C626" s="5"/>
      <c r="D626" s="5"/>
      <c r="E626" s="5"/>
      <c r="F626" s="5"/>
      <c r="G626" s="5"/>
      <c r="H626" s="306"/>
      <c r="I626" s="5"/>
      <c r="J626" s="5"/>
      <c r="K626" s="5"/>
      <c r="L626" s="5"/>
      <c r="M626" s="5"/>
      <c r="N626" s="5"/>
      <c r="O626" s="57"/>
      <c r="P626" s="5"/>
      <c r="Q626" s="5"/>
      <c r="R626" s="5"/>
      <c r="S626" s="5"/>
      <c r="T626" s="5"/>
      <c r="U626" s="5"/>
      <c r="V626" s="5"/>
      <c r="W626" s="5"/>
      <c r="X626" s="5"/>
      <c r="Y626" s="5"/>
      <c r="Z626" s="5"/>
    </row>
    <row r="627" spans="1:26" ht="12.75" customHeight="1">
      <c r="A627" s="5"/>
      <c r="B627" s="5"/>
      <c r="C627" s="5"/>
      <c r="D627" s="5"/>
      <c r="E627" s="5"/>
      <c r="F627" s="5"/>
      <c r="G627" s="5"/>
      <c r="H627" s="306"/>
      <c r="I627" s="5"/>
      <c r="J627" s="5"/>
      <c r="K627" s="5"/>
      <c r="L627" s="5"/>
      <c r="M627" s="5"/>
      <c r="N627" s="5"/>
      <c r="O627" s="57"/>
      <c r="P627" s="5"/>
      <c r="Q627" s="5"/>
      <c r="R627" s="5"/>
      <c r="S627" s="5"/>
      <c r="T627" s="5"/>
      <c r="U627" s="5"/>
      <c r="V627" s="5"/>
      <c r="W627" s="5"/>
      <c r="X627" s="5"/>
      <c r="Y627" s="5"/>
      <c r="Z627" s="5"/>
    </row>
    <row r="628" spans="1:26" ht="12.75" customHeight="1">
      <c r="A628" s="5"/>
      <c r="B628" s="5"/>
      <c r="C628" s="5"/>
      <c r="D628" s="5"/>
      <c r="E628" s="5"/>
      <c r="F628" s="5"/>
      <c r="G628" s="5"/>
      <c r="H628" s="306"/>
      <c r="I628" s="5"/>
      <c r="J628" s="5"/>
      <c r="K628" s="5"/>
      <c r="L628" s="5"/>
      <c r="M628" s="5"/>
      <c r="N628" s="5"/>
      <c r="O628" s="57"/>
      <c r="P628" s="5"/>
      <c r="Q628" s="5"/>
      <c r="R628" s="5"/>
      <c r="S628" s="5"/>
      <c r="T628" s="5"/>
      <c r="U628" s="5"/>
      <c r="V628" s="5"/>
      <c r="W628" s="5"/>
      <c r="X628" s="5"/>
      <c r="Y628" s="5"/>
      <c r="Z628" s="5"/>
    </row>
    <row r="629" spans="1:26" ht="12.75" customHeight="1">
      <c r="A629" s="5"/>
      <c r="B629" s="5"/>
      <c r="C629" s="5"/>
      <c r="D629" s="5"/>
      <c r="E629" s="5"/>
      <c r="F629" s="5"/>
      <c r="G629" s="5"/>
      <c r="H629" s="306"/>
      <c r="I629" s="5"/>
      <c r="J629" s="5"/>
      <c r="K629" s="5"/>
      <c r="L629" s="5"/>
      <c r="M629" s="5"/>
      <c r="N629" s="5"/>
      <c r="O629" s="57"/>
      <c r="P629" s="5"/>
      <c r="Q629" s="5"/>
      <c r="R629" s="5"/>
      <c r="S629" s="5"/>
      <c r="T629" s="5"/>
      <c r="U629" s="5"/>
      <c r="V629" s="5"/>
      <c r="W629" s="5"/>
      <c r="X629" s="5"/>
      <c r="Y629" s="5"/>
      <c r="Z629" s="5"/>
    </row>
    <row r="630" spans="1:26" ht="12.75" customHeight="1">
      <c r="A630" s="5"/>
      <c r="B630" s="5"/>
      <c r="C630" s="5"/>
      <c r="D630" s="5"/>
      <c r="E630" s="5"/>
      <c r="F630" s="5"/>
      <c r="G630" s="5"/>
      <c r="H630" s="306"/>
      <c r="I630" s="5"/>
      <c r="J630" s="5"/>
      <c r="K630" s="5"/>
      <c r="L630" s="5"/>
      <c r="M630" s="5"/>
      <c r="N630" s="5"/>
      <c r="O630" s="57"/>
      <c r="P630" s="5"/>
      <c r="Q630" s="5"/>
      <c r="R630" s="5"/>
      <c r="S630" s="5"/>
      <c r="T630" s="5"/>
      <c r="U630" s="5"/>
      <c r="V630" s="5"/>
      <c r="W630" s="5"/>
      <c r="X630" s="5"/>
      <c r="Y630" s="5"/>
      <c r="Z630" s="5"/>
    </row>
    <row r="631" spans="1:26" ht="12.75" customHeight="1">
      <c r="A631" s="5"/>
      <c r="B631" s="5"/>
      <c r="C631" s="5"/>
      <c r="D631" s="5"/>
      <c r="E631" s="5"/>
      <c r="F631" s="5"/>
      <c r="G631" s="5"/>
      <c r="H631" s="306"/>
      <c r="I631" s="5"/>
      <c r="J631" s="5"/>
      <c r="K631" s="5"/>
      <c r="L631" s="5"/>
      <c r="M631" s="5"/>
      <c r="N631" s="5"/>
      <c r="O631" s="57"/>
      <c r="P631" s="5"/>
      <c r="Q631" s="5"/>
      <c r="R631" s="5"/>
      <c r="S631" s="5"/>
      <c r="T631" s="5"/>
      <c r="U631" s="5"/>
      <c r="V631" s="5"/>
      <c r="W631" s="5"/>
      <c r="X631" s="5"/>
      <c r="Y631" s="5"/>
      <c r="Z631" s="5"/>
    </row>
    <row r="632" spans="1:26" ht="12.75" customHeight="1">
      <c r="A632" s="5"/>
      <c r="B632" s="5"/>
      <c r="C632" s="5"/>
      <c r="D632" s="5"/>
      <c r="E632" s="5"/>
      <c r="F632" s="5"/>
      <c r="G632" s="5"/>
      <c r="H632" s="306"/>
      <c r="I632" s="5"/>
      <c r="J632" s="5"/>
      <c r="K632" s="5"/>
      <c r="L632" s="5"/>
      <c r="M632" s="5"/>
      <c r="N632" s="5"/>
      <c r="O632" s="57"/>
      <c r="P632" s="5"/>
      <c r="Q632" s="5"/>
      <c r="R632" s="5"/>
      <c r="S632" s="5"/>
      <c r="T632" s="5"/>
      <c r="U632" s="5"/>
      <c r="V632" s="5"/>
      <c r="W632" s="5"/>
      <c r="X632" s="5"/>
      <c r="Y632" s="5"/>
      <c r="Z632" s="5"/>
    </row>
    <row r="633" spans="1:26" ht="12.75" customHeight="1">
      <c r="A633" s="5"/>
      <c r="B633" s="5"/>
      <c r="C633" s="5"/>
      <c r="D633" s="5"/>
      <c r="E633" s="5"/>
      <c r="F633" s="5"/>
      <c r="G633" s="5"/>
      <c r="H633" s="306"/>
      <c r="I633" s="5"/>
      <c r="J633" s="5"/>
      <c r="K633" s="5"/>
      <c r="L633" s="5"/>
      <c r="M633" s="5"/>
      <c r="N633" s="5"/>
      <c r="O633" s="57"/>
      <c r="P633" s="5"/>
      <c r="Q633" s="5"/>
      <c r="R633" s="5"/>
      <c r="S633" s="5"/>
      <c r="T633" s="5"/>
      <c r="U633" s="5"/>
      <c r="V633" s="5"/>
      <c r="W633" s="5"/>
      <c r="X633" s="5"/>
      <c r="Y633" s="5"/>
      <c r="Z633" s="5"/>
    </row>
    <row r="634" spans="1:26" ht="12.75" customHeight="1">
      <c r="A634" s="5"/>
      <c r="B634" s="5"/>
      <c r="C634" s="5"/>
      <c r="D634" s="5"/>
      <c r="E634" s="5"/>
      <c r="F634" s="5"/>
      <c r="G634" s="5"/>
      <c r="H634" s="306"/>
      <c r="I634" s="5"/>
      <c r="J634" s="5"/>
      <c r="K634" s="5"/>
      <c r="L634" s="5"/>
      <c r="M634" s="5"/>
      <c r="N634" s="5"/>
      <c r="O634" s="57"/>
      <c r="P634" s="5"/>
      <c r="Q634" s="5"/>
      <c r="R634" s="5"/>
      <c r="S634" s="5"/>
      <c r="T634" s="5"/>
      <c r="U634" s="5"/>
      <c r="V634" s="5"/>
      <c r="W634" s="5"/>
      <c r="X634" s="5"/>
      <c r="Y634" s="5"/>
      <c r="Z634" s="5"/>
    </row>
    <row r="635" spans="1:26" ht="12.75" customHeight="1">
      <c r="A635" s="5"/>
      <c r="B635" s="5"/>
      <c r="C635" s="5"/>
      <c r="D635" s="5"/>
      <c r="E635" s="5"/>
      <c r="F635" s="5"/>
      <c r="G635" s="5"/>
      <c r="H635" s="306"/>
      <c r="I635" s="5"/>
      <c r="J635" s="5"/>
      <c r="K635" s="5"/>
      <c r="L635" s="5"/>
      <c r="M635" s="5"/>
      <c r="N635" s="5"/>
      <c r="O635" s="57"/>
      <c r="P635" s="5"/>
      <c r="Q635" s="5"/>
      <c r="R635" s="5"/>
      <c r="S635" s="5"/>
      <c r="T635" s="5"/>
      <c r="U635" s="5"/>
      <c r="V635" s="5"/>
      <c r="W635" s="5"/>
      <c r="X635" s="5"/>
      <c r="Y635" s="5"/>
      <c r="Z635" s="5"/>
    </row>
    <row r="636" spans="1:26" ht="12.75" customHeight="1">
      <c r="A636" s="5"/>
      <c r="B636" s="5"/>
      <c r="C636" s="5"/>
      <c r="D636" s="5"/>
      <c r="E636" s="5"/>
      <c r="F636" s="5"/>
      <c r="G636" s="5"/>
      <c r="H636" s="306"/>
      <c r="I636" s="5"/>
      <c r="J636" s="5"/>
      <c r="K636" s="5"/>
      <c r="L636" s="5"/>
      <c r="M636" s="5"/>
      <c r="N636" s="5"/>
      <c r="O636" s="57"/>
      <c r="P636" s="5"/>
      <c r="Q636" s="5"/>
      <c r="R636" s="5"/>
      <c r="S636" s="5"/>
      <c r="T636" s="5"/>
      <c r="U636" s="5"/>
      <c r="V636" s="5"/>
      <c r="W636" s="5"/>
      <c r="X636" s="5"/>
      <c r="Y636" s="5"/>
      <c r="Z636" s="5"/>
    </row>
    <row r="637" spans="1:26" ht="12.75" customHeight="1">
      <c r="A637" s="5"/>
      <c r="B637" s="5"/>
      <c r="C637" s="5"/>
      <c r="D637" s="5"/>
      <c r="E637" s="5"/>
      <c r="F637" s="5"/>
      <c r="G637" s="5"/>
      <c r="H637" s="306"/>
      <c r="I637" s="5"/>
      <c r="J637" s="5"/>
      <c r="K637" s="5"/>
      <c r="L637" s="5"/>
      <c r="M637" s="5"/>
      <c r="N637" s="5"/>
      <c r="O637" s="57"/>
      <c r="P637" s="5"/>
      <c r="Q637" s="5"/>
      <c r="R637" s="5"/>
      <c r="S637" s="5"/>
      <c r="T637" s="5"/>
      <c r="U637" s="5"/>
      <c r="V637" s="5"/>
      <c r="W637" s="5"/>
      <c r="X637" s="5"/>
      <c r="Y637" s="5"/>
      <c r="Z637" s="5"/>
    </row>
    <row r="638" spans="1:26" ht="12.75" customHeight="1">
      <c r="A638" s="5"/>
      <c r="B638" s="5"/>
      <c r="C638" s="5"/>
      <c r="D638" s="5"/>
      <c r="E638" s="5"/>
      <c r="F638" s="5"/>
      <c r="G638" s="5"/>
      <c r="H638" s="306"/>
      <c r="I638" s="5"/>
      <c r="J638" s="5"/>
      <c r="K638" s="5"/>
      <c r="L638" s="5"/>
      <c r="M638" s="5"/>
      <c r="N638" s="5"/>
      <c r="O638" s="57"/>
      <c r="P638" s="5"/>
      <c r="Q638" s="5"/>
      <c r="R638" s="5"/>
      <c r="S638" s="5"/>
      <c r="T638" s="5"/>
      <c r="U638" s="5"/>
      <c r="V638" s="5"/>
      <c r="W638" s="5"/>
      <c r="X638" s="5"/>
      <c r="Y638" s="5"/>
      <c r="Z638" s="5"/>
    </row>
    <row r="639" spans="1:26" ht="12.75" customHeight="1">
      <c r="A639" s="5"/>
      <c r="B639" s="5"/>
      <c r="C639" s="5"/>
      <c r="D639" s="5"/>
      <c r="E639" s="5"/>
      <c r="F639" s="5"/>
      <c r="G639" s="5"/>
      <c r="H639" s="306"/>
      <c r="I639" s="5"/>
      <c r="J639" s="5"/>
      <c r="K639" s="5"/>
      <c r="L639" s="5"/>
      <c r="M639" s="5"/>
      <c r="N639" s="5"/>
      <c r="O639" s="57"/>
      <c r="P639" s="5"/>
      <c r="Q639" s="5"/>
      <c r="R639" s="5"/>
      <c r="S639" s="5"/>
      <c r="T639" s="5"/>
      <c r="U639" s="5"/>
      <c r="V639" s="5"/>
      <c r="W639" s="5"/>
      <c r="X639" s="5"/>
      <c r="Y639" s="5"/>
      <c r="Z639" s="5"/>
    </row>
    <row r="640" spans="1:26" ht="12.75" customHeight="1">
      <c r="A640" s="5"/>
      <c r="B640" s="5"/>
      <c r="C640" s="5"/>
      <c r="D640" s="5"/>
      <c r="E640" s="5"/>
      <c r="F640" s="5"/>
      <c r="G640" s="5"/>
      <c r="H640" s="306"/>
      <c r="I640" s="5"/>
      <c r="J640" s="5"/>
      <c r="K640" s="5"/>
      <c r="L640" s="5"/>
      <c r="M640" s="5"/>
      <c r="N640" s="5"/>
      <c r="O640" s="57"/>
      <c r="P640" s="5"/>
      <c r="Q640" s="5"/>
      <c r="R640" s="5"/>
      <c r="S640" s="5"/>
      <c r="T640" s="5"/>
      <c r="U640" s="5"/>
      <c r="V640" s="5"/>
      <c r="W640" s="5"/>
      <c r="X640" s="5"/>
      <c r="Y640" s="5"/>
      <c r="Z640" s="5"/>
    </row>
    <row r="641" spans="1:26" ht="12.75" customHeight="1">
      <c r="A641" s="5"/>
      <c r="B641" s="5"/>
      <c r="C641" s="5"/>
      <c r="D641" s="5"/>
      <c r="E641" s="5"/>
      <c r="F641" s="5"/>
      <c r="G641" s="5"/>
      <c r="H641" s="306"/>
      <c r="I641" s="5"/>
      <c r="J641" s="5"/>
      <c r="K641" s="5"/>
      <c r="L641" s="5"/>
      <c r="M641" s="5"/>
      <c r="N641" s="5"/>
      <c r="O641" s="57"/>
      <c r="P641" s="5"/>
      <c r="Q641" s="5"/>
      <c r="R641" s="5"/>
      <c r="S641" s="5"/>
      <c r="T641" s="5"/>
      <c r="U641" s="5"/>
      <c r="V641" s="5"/>
      <c r="W641" s="5"/>
      <c r="X641" s="5"/>
      <c r="Y641" s="5"/>
      <c r="Z641" s="5"/>
    </row>
    <row r="642" spans="1:26" ht="12.75" customHeight="1">
      <c r="A642" s="5"/>
      <c r="B642" s="5"/>
      <c r="C642" s="5"/>
      <c r="D642" s="5"/>
      <c r="E642" s="5"/>
      <c r="F642" s="5"/>
      <c r="G642" s="5"/>
      <c r="H642" s="306"/>
      <c r="I642" s="5"/>
      <c r="J642" s="5"/>
      <c r="K642" s="5"/>
      <c r="L642" s="5"/>
      <c r="M642" s="5"/>
      <c r="N642" s="5"/>
      <c r="O642" s="57"/>
      <c r="P642" s="5"/>
      <c r="Q642" s="5"/>
      <c r="R642" s="5"/>
      <c r="S642" s="5"/>
      <c r="T642" s="5"/>
      <c r="U642" s="5"/>
      <c r="V642" s="5"/>
      <c r="W642" s="5"/>
      <c r="X642" s="5"/>
      <c r="Y642" s="5"/>
      <c r="Z642" s="5"/>
    </row>
    <row r="643" spans="1:26" ht="12.75" customHeight="1">
      <c r="A643" s="5"/>
      <c r="B643" s="5"/>
      <c r="C643" s="5"/>
      <c r="D643" s="5"/>
      <c r="E643" s="5"/>
      <c r="F643" s="5"/>
      <c r="G643" s="5"/>
      <c r="H643" s="306"/>
      <c r="I643" s="5"/>
      <c r="J643" s="5"/>
      <c r="K643" s="5"/>
      <c r="L643" s="5"/>
      <c r="M643" s="5"/>
      <c r="N643" s="5"/>
      <c r="O643" s="57"/>
      <c r="P643" s="5"/>
      <c r="Q643" s="5"/>
      <c r="R643" s="5"/>
      <c r="S643" s="5"/>
      <c r="T643" s="5"/>
      <c r="U643" s="5"/>
      <c r="V643" s="5"/>
      <c r="W643" s="5"/>
      <c r="X643" s="5"/>
      <c r="Y643" s="5"/>
      <c r="Z643" s="5"/>
    </row>
    <row r="644" spans="1:26" ht="12.75" customHeight="1">
      <c r="A644" s="5"/>
      <c r="B644" s="5"/>
      <c r="C644" s="5"/>
      <c r="D644" s="5"/>
      <c r="E644" s="5"/>
      <c r="F644" s="5"/>
      <c r="G644" s="5"/>
      <c r="H644" s="306"/>
      <c r="I644" s="5"/>
      <c r="J644" s="5"/>
      <c r="K644" s="5"/>
      <c r="L644" s="5"/>
      <c r="M644" s="5"/>
      <c r="N644" s="5"/>
      <c r="O644" s="57"/>
      <c r="P644" s="5"/>
      <c r="Q644" s="5"/>
      <c r="R644" s="5"/>
      <c r="S644" s="5"/>
      <c r="T644" s="5"/>
      <c r="U644" s="5"/>
      <c r="V644" s="5"/>
      <c r="W644" s="5"/>
      <c r="X644" s="5"/>
      <c r="Y644" s="5"/>
      <c r="Z644" s="5"/>
    </row>
    <row r="645" spans="1:26" ht="12.75" customHeight="1">
      <c r="A645" s="5"/>
      <c r="B645" s="5"/>
      <c r="C645" s="5"/>
      <c r="D645" s="5"/>
      <c r="E645" s="5"/>
      <c r="F645" s="5"/>
      <c r="G645" s="5"/>
      <c r="H645" s="306"/>
      <c r="I645" s="5"/>
      <c r="J645" s="5"/>
      <c r="K645" s="5"/>
      <c r="L645" s="5"/>
      <c r="M645" s="5"/>
      <c r="N645" s="5"/>
      <c r="O645" s="57"/>
      <c r="P645" s="5"/>
      <c r="Q645" s="5"/>
      <c r="R645" s="5"/>
      <c r="S645" s="5"/>
      <c r="T645" s="5"/>
      <c r="U645" s="5"/>
      <c r="V645" s="5"/>
      <c r="W645" s="5"/>
      <c r="X645" s="5"/>
      <c r="Y645" s="5"/>
      <c r="Z645" s="5"/>
    </row>
    <row r="646" spans="1:26" ht="12.75" customHeight="1">
      <c r="A646" s="5"/>
      <c r="B646" s="5"/>
      <c r="C646" s="5"/>
      <c r="D646" s="5"/>
      <c r="E646" s="5"/>
      <c r="F646" s="5"/>
      <c r="G646" s="5"/>
      <c r="H646" s="306"/>
      <c r="I646" s="5"/>
      <c r="J646" s="5"/>
      <c r="K646" s="5"/>
      <c r="L646" s="5"/>
      <c r="M646" s="5"/>
      <c r="N646" s="5"/>
      <c r="O646" s="57"/>
      <c r="P646" s="5"/>
      <c r="Q646" s="5"/>
      <c r="R646" s="5"/>
      <c r="S646" s="5"/>
      <c r="T646" s="5"/>
      <c r="U646" s="5"/>
      <c r="V646" s="5"/>
      <c r="W646" s="5"/>
      <c r="X646" s="5"/>
      <c r="Y646" s="5"/>
      <c r="Z646" s="5"/>
    </row>
    <row r="647" spans="1:26" ht="12.75" customHeight="1">
      <c r="A647" s="5"/>
      <c r="B647" s="5"/>
      <c r="C647" s="5"/>
      <c r="D647" s="5"/>
      <c r="E647" s="5"/>
      <c r="F647" s="5"/>
      <c r="G647" s="5"/>
      <c r="H647" s="306"/>
      <c r="I647" s="5"/>
      <c r="J647" s="5"/>
      <c r="K647" s="5"/>
      <c r="L647" s="5"/>
      <c r="M647" s="5"/>
      <c r="N647" s="5"/>
      <c r="O647" s="57"/>
      <c r="P647" s="5"/>
      <c r="Q647" s="5"/>
      <c r="R647" s="5"/>
      <c r="S647" s="5"/>
      <c r="T647" s="5"/>
      <c r="U647" s="5"/>
      <c r="V647" s="5"/>
      <c r="W647" s="5"/>
      <c r="X647" s="5"/>
      <c r="Y647" s="5"/>
      <c r="Z647" s="5"/>
    </row>
    <row r="648" spans="1:26" ht="12.75" customHeight="1">
      <c r="A648" s="5"/>
      <c r="B648" s="5"/>
      <c r="C648" s="5"/>
      <c r="D648" s="5"/>
      <c r="E648" s="5"/>
      <c r="F648" s="5"/>
      <c r="G648" s="5"/>
      <c r="H648" s="306"/>
      <c r="I648" s="5"/>
      <c r="J648" s="5"/>
      <c r="K648" s="5"/>
      <c r="L648" s="5"/>
      <c r="M648" s="5"/>
      <c r="N648" s="5"/>
      <c r="O648" s="57"/>
      <c r="P648" s="5"/>
      <c r="Q648" s="5"/>
      <c r="R648" s="5"/>
      <c r="S648" s="5"/>
      <c r="T648" s="5"/>
      <c r="U648" s="5"/>
      <c r="V648" s="5"/>
      <c r="W648" s="5"/>
      <c r="X648" s="5"/>
      <c r="Y648" s="5"/>
      <c r="Z648" s="5"/>
    </row>
    <row r="649" spans="1:26" ht="12.75" customHeight="1">
      <c r="A649" s="5"/>
      <c r="B649" s="5"/>
      <c r="C649" s="5"/>
      <c r="D649" s="5"/>
      <c r="E649" s="5"/>
      <c r="F649" s="5"/>
      <c r="G649" s="5"/>
      <c r="H649" s="306"/>
      <c r="I649" s="5"/>
      <c r="J649" s="5"/>
      <c r="K649" s="5"/>
      <c r="L649" s="5"/>
      <c r="M649" s="5"/>
      <c r="N649" s="5"/>
      <c r="O649" s="57"/>
      <c r="P649" s="5"/>
      <c r="Q649" s="5"/>
      <c r="R649" s="5"/>
      <c r="S649" s="5"/>
      <c r="T649" s="5"/>
      <c r="U649" s="5"/>
      <c r="V649" s="5"/>
      <c r="W649" s="5"/>
      <c r="X649" s="5"/>
      <c r="Y649" s="5"/>
      <c r="Z649" s="5"/>
    </row>
    <row r="650" spans="1:26" ht="12.75" customHeight="1">
      <c r="A650" s="5"/>
      <c r="B650" s="5"/>
      <c r="C650" s="5"/>
      <c r="D650" s="5"/>
      <c r="E650" s="5"/>
      <c r="F650" s="5"/>
      <c r="G650" s="5"/>
      <c r="H650" s="306"/>
      <c r="I650" s="5"/>
      <c r="J650" s="5"/>
      <c r="K650" s="5"/>
      <c r="L650" s="5"/>
      <c r="M650" s="5"/>
      <c r="N650" s="5"/>
      <c r="O650" s="57"/>
      <c r="P650" s="5"/>
      <c r="Q650" s="5"/>
      <c r="R650" s="5"/>
      <c r="S650" s="5"/>
      <c r="T650" s="5"/>
      <c r="U650" s="5"/>
      <c r="V650" s="5"/>
      <c r="W650" s="5"/>
      <c r="X650" s="5"/>
      <c r="Y650" s="5"/>
      <c r="Z650" s="5"/>
    </row>
    <row r="651" spans="1:26" ht="12.75" customHeight="1">
      <c r="A651" s="5"/>
      <c r="B651" s="5"/>
      <c r="C651" s="5"/>
      <c r="D651" s="5"/>
      <c r="E651" s="5"/>
      <c r="F651" s="5"/>
      <c r="G651" s="5"/>
      <c r="H651" s="306"/>
      <c r="I651" s="5"/>
      <c r="J651" s="5"/>
      <c r="K651" s="5"/>
      <c r="L651" s="5"/>
      <c r="M651" s="5"/>
      <c r="N651" s="5"/>
      <c r="O651" s="57"/>
      <c r="P651" s="5"/>
      <c r="Q651" s="5"/>
      <c r="R651" s="5"/>
      <c r="S651" s="5"/>
      <c r="T651" s="5"/>
      <c r="U651" s="5"/>
      <c r="V651" s="5"/>
      <c r="W651" s="5"/>
      <c r="X651" s="5"/>
      <c r="Y651" s="5"/>
      <c r="Z651" s="5"/>
    </row>
    <row r="652" spans="1:26" ht="12.75" customHeight="1">
      <c r="A652" s="5"/>
      <c r="B652" s="5"/>
      <c r="C652" s="5"/>
      <c r="D652" s="5"/>
      <c r="E652" s="5"/>
      <c r="F652" s="5"/>
      <c r="G652" s="5"/>
      <c r="H652" s="306"/>
      <c r="I652" s="5"/>
      <c r="J652" s="5"/>
      <c r="K652" s="5"/>
      <c r="L652" s="5"/>
      <c r="M652" s="5"/>
      <c r="N652" s="5"/>
      <c r="O652" s="57"/>
      <c r="P652" s="5"/>
      <c r="Q652" s="5"/>
      <c r="R652" s="5"/>
      <c r="S652" s="5"/>
      <c r="T652" s="5"/>
      <c r="U652" s="5"/>
      <c r="V652" s="5"/>
      <c r="W652" s="5"/>
      <c r="X652" s="5"/>
      <c r="Y652" s="5"/>
      <c r="Z652" s="5"/>
    </row>
    <row r="653" spans="1:26" ht="12.75" customHeight="1">
      <c r="A653" s="5"/>
      <c r="B653" s="5"/>
      <c r="C653" s="5"/>
      <c r="D653" s="5"/>
      <c r="E653" s="5"/>
      <c r="F653" s="5"/>
      <c r="G653" s="5"/>
      <c r="H653" s="306"/>
      <c r="I653" s="5"/>
      <c r="J653" s="5"/>
      <c r="K653" s="5"/>
      <c r="L653" s="5"/>
      <c r="M653" s="5"/>
      <c r="N653" s="5"/>
      <c r="O653" s="57"/>
      <c r="P653" s="5"/>
      <c r="Q653" s="5"/>
      <c r="R653" s="5"/>
      <c r="S653" s="5"/>
      <c r="T653" s="5"/>
      <c r="U653" s="5"/>
      <c r="V653" s="5"/>
      <c r="W653" s="5"/>
      <c r="X653" s="5"/>
      <c r="Y653" s="5"/>
      <c r="Z653" s="5"/>
    </row>
    <row r="654" spans="1:26" ht="12.75" customHeight="1">
      <c r="A654" s="5"/>
      <c r="B654" s="5"/>
      <c r="C654" s="5"/>
      <c r="D654" s="5"/>
      <c r="E654" s="5"/>
      <c r="F654" s="5"/>
      <c r="G654" s="5"/>
      <c r="H654" s="306"/>
      <c r="I654" s="5"/>
      <c r="J654" s="5"/>
      <c r="K654" s="5"/>
      <c r="L654" s="5"/>
      <c r="M654" s="5"/>
      <c r="N654" s="5"/>
      <c r="O654" s="57"/>
      <c r="P654" s="5"/>
      <c r="Q654" s="5"/>
      <c r="R654" s="5"/>
      <c r="S654" s="5"/>
      <c r="T654" s="5"/>
      <c r="U654" s="5"/>
      <c r="V654" s="5"/>
      <c r="W654" s="5"/>
      <c r="X654" s="5"/>
      <c r="Y654" s="5"/>
      <c r="Z654" s="5"/>
    </row>
    <row r="655" spans="1:26" ht="12.75" customHeight="1">
      <c r="A655" s="5"/>
      <c r="B655" s="5"/>
      <c r="C655" s="5"/>
      <c r="D655" s="5"/>
      <c r="E655" s="5"/>
      <c r="F655" s="5"/>
      <c r="G655" s="5"/>
      <c r="H655" s="306"/>
      <c r="I655" s="5"/>
      <c r="J655" s="5"/>
      <c r="K655" s="5"/>
      <c r="L655" s="5"/>
      <c r="M655" s="5"/>
      <c r="N655" s="5"/>
      <c r="O655" s="57"/>
      <c r="P655" s="5"/>
      <c r="Q655" s="5"/>
      <c r="R655" s="5"/>
      <c r="S655" s="5"/>
      <c r="T655" s="5"/>
      <c r="U655" s="5"/>
      <c r="V655" s="5"/>
      <c r="W655" s="5"/>
      <c r="X655" s="5"/>
      <c r="Y655" s="5"/>
      <c r="Z655" s="5"/>
    </row>
    <row r="656" spans="1:26" ht="12.75" customHeight="1">
      <c r="A656" s="5"/>
      <c r="B656" s="5"/>
      <c r="C656" s="5"/>
      <c r="D656" s="5"/>
      <c r="E656" s="5"/>
      <c r="F656" s="5"/>
      <c r="G656" s="5"/>
      <c r="H656" s="306"/>
      <c r="I656" s="5"/>
      <c r="J656" s="5"/>
      <c r="K656" s="5"/>
      <c r="L656" s="5"/>
      <c r="M656" s="5"/>
      <c r="N656" s="5"/>
      <c r="O656" s="57"/>
      <c r="P656" s="5"/>
      <c r="Q656" s="5"/>
      <c r="R656" s="5"/>
      <c r="S656" s="5"/>
      <c r="T656" s="5"/>
      <c r="U656" s="5"/>
      <c r="V656" s="5"/>
      <c r="W656" s="5"/>
      <c r="X656" s="5"/>
      <c r="Y656" s="5"/>
      <c r="Z656" s="5"/>
    </row>
    <row r="657" spans="1:26" ht="12.75" customHeight="1">
      <c r="A657" s="5"/>
      <c r="B657" s="5"/>
      <c r="C657" s="5"/>
      <c r="D657" s="5"/>
      <c r="E657" s="5"/>
      <c r="F657" s="5"/>
      <c r="G657" s="5"/>
      <c r="H657" s="306"/>
      <c r="I657" s="5"/>
      <c r="J657" s="5"/>
      <c r="K657" s="5"/>
      <c r="L657" s="5"/>
      <c r="M657" s="5"/>
      <c r="N657" s="5"/>
      <c r="O657" s="57"/>
      <c r="P657" s="5"/>
      <c r="Q657" s="5"/>
      <c r="R657" s="5"/>
      <c r="S657" s="5"/>
      <c r="T657" s="5"/>
      <c r="U657" s="5"/>
      <c r="V657" s="5"/>
      <c r="W657" s="5"/>
      <c r="X657" s="5"/>
      <c r="Y657" s="5"/>
      <c r="Z657" s="5"/>
    </row>
    <row r="658" spans="1:26" ht="12.75" customHeight="1">
      <c r="A658" s="5"/>
      <c r="B658" s="5"/>
      <c r="C658" s="5"/>
      <c r="D658" s="5"/>
      <c r="E658" s="5"/>
      <c r="F658" s="5"/>
      <c r="G658" s="5"/>
      <c r="H658" s="306"/>
      <c r="I658" s="5"/>
      <c r="J658" s="5"/>
      <c r="K658" s="5"/>
      <c r="L658" s="5"/>
      <c r="M658" s="5"/>
      <c r="N658" s="5"/>
      <c r="O658" s="57"/>
      <c r="P658" s="5"/>
      <c r="Q658" s="5"/>
      <c r="R658" s="5"/>
      <c r="S658" s="5"/>
      <c r="T658" s="5"/>
      <c r="U658" s="5"/>
      <c r="V658" s="5"/>
      <c r="W658" s="5"/>
      <c r="X658" s="5"/>
      <c r="Y658" s="5"/>
      <c r="Z658" s="5"/>
    </row>
    <row r="659" spans="1:26" ht="12.75" customHeight="1">
      <c r="A659" s="5"/>
      <c r="B659" s="5"/>
      <c r="C659" s="5"/>
      <c r="D659" s="5"/>
      <c r="E659" s="5"/>
      <c r="F659" s="5"/>
      <c r="G659" s="5"/>
      <c r="H659" s="306"/>
      <c r="I659" s="5"/>
      <c r="J659" s="5"/>
      <c r="K659" s="5"/>
      <c r="L659" s="5"/>
      <c r="M659" s="5"/>
      <c r="N659" s="5"/>
      <c r="O659" s="57"/>
      <c r="P659" s="5"/>
      <c r="Q659" s="5"/>
      <c r="R659" s="5"/>
      <c r="S659" s="5"/>
      <c r="T659" s="5"/>
      <c r="U659" s="5"/>
      <c r="V659" s="5"/>
      <c r="W659" s="5"/>
      <c r="X659" s="5"/>
      <c r="Y659" s="5"/>
      <c r="Z659" s="5"/>
    </row>
    <row r="660" spans="1:26" ht="12.75" customHeight="1">
      <c r="A660" s="5"/>
      <c r="B660" s="5"/>
      <c r="C660" s="5"/>
      <c r="D660" s="5"/>
      <c r="E660" s="5"/>
      <c r="F660" s="5"/>
      <c r="G660" s="5"/>
      <c r="H660" s="306"/>
      <c r="I660" s="5"/>
      <c r="J660" s="5"/>
      <c r="K660" s="5"/>
      <c r="L660" s="5"/>
      <c r="M660" s="5"/>
      <c r="N660" s="5"/>
      <c r="O660" s="57"/>
      <c r="P660" s="5"/>
      <c r="Q660" s="5"/>
      <c r="R660" s="5"/>
      <c r="S660" s="5"/>
      <c r="T660" s="5"/>
      <c r="U660" s="5"/>
      <c r="V660" s="5"/>
      <c r="W660" s="5"/>
      <c r="X660" s="5"/>
      <c r="Y660" s="5"/>
      <c r="Z660" s="5"/>
    </row>
    <row r="661" spans="1:26" ht="12.75" customHeight="1">
      <c r="A661" s="5"/>
      <c r="B661" s="5"/>
      <c r="C661" s="5"/>
      <c r="D661" s="5"/>
      <c r="E661" s="5"/>
      <c r="F661" s="5"/>
      <c r="G661" s="5"/>
      <c r="H661" s="306"/>
      <c r="I661" s="5"/>
      <c r="J661" s="5"/>
      <c r="K661" s="5"/>
      <c r="L661" s="5"/>
      <c r="M661" s="5"/>
      <c r="N661" s="5"/>
      <c r="O661" s="57"/>
      <c r="P661" s="5"/>
      <c r="Q661" s="5"/>
      <c r="R661" s="5"/>
      <c r="S661" s="5"/>
      <c r="T661" s="5"/>
      <c r="U661" s="5"/>
      <c r="V661" s="5"/>
      <c r="W661" s="5"/>
      <c r="X661" s="5"/>
      <c r="Y661" s="5"/>
      <c r="Z661" s="5"/>
    </row>
    <row r="662" spans="1:26" ht="12.75" customHeight="1">
      <c r="A662" s="5"/>
      <c r="B662" s="5"/>
      <c r="C662" s="5"/>
      <c r="D662" s="5"/>
      <c r="E662" s="5"/>
      <c r="F662" s="5"/>
      <c r="G662" s="5"/>
      <c r="H662" s="306"/>
      <c r="I662" s="5"/>
      <c r="J662" s="5"/>
      <c r="K662" s="5"/>
      <c r="L662" s="5"/>
      <c r="M662" s="5"/>
      <c r="N662" s="5"/>
      <c r="O662" s="57"/>
      <c r="P662" s="5"/>
      <c r="Q662" s="5"/>
      <c r="R662" s="5"/>
      <c r="S662" s="5"/>
      <c r="T662" s="5"/>
      <c r="U662" s="5"/>
      <c r="V662" s="5"/>
      <c r="W662" s="5"/>
      <c r="X662" s="5"/>
      <c r="Y662" s="5"/>
      <c r="Z662" s="5"/>
    </row>
    <row r="663" spans="1:26" ht="12.75" customHeight="1">
      <c r="A663" s="5"/>
      <c r="B663" s="5"/>
      <c r="C663" s="5"/>
      <c r="D663" s="5"/>
      <c r="E663" s="5"/>
      <c r="F663" s="5"/>
      <c r="G663" s="5"/>
      <c r="H663" s="306"/>
      <c r="I663" s="5"/>
      <c r="J663" s="5"/>
      <c r="K663" s="5"/>
      <c r="L663" s="5"/>
      <c r="M663" s="5"/>
      <c r="N663" s="5"/>
      <c r="O663" s="57"/>
      <c r="P663" s="5"/>
      <c r="Q663" s="5"/>
      <c r="R663" s="5"/>
      <c r="S663" s="5"/>
      <c r="T663" s="5"/>
      <c r="U663" s="5"/>
      <c r="V663" s="5"/>
      <c r="W663" s="5"/>
      <c r="X663" s="5"/>
      <c r="Y663" s="5"/>
      <c r="Z663" s="5"/>
    </row>
    <row r="664" spans="1:26" ht="12.75" customHeight="1">
      <c r="A664" s="5"/>
      <c r="B664" s="5"/>
      <c r="C664" s="5"/>
      <c r="D664" s="5"/>
      <c r="E664" s="5"/>
      <c r="F664" s="5"/>
      <c r="G664" s="5"/>
      <c r="H664" s="306"/>
      <c r="I664" s="5"/>
      <c r="J664" s="5"/>
      <c r="K664" s="5"/>
      <c r="L664" s="5"/>
      <c r="M664" s="5"/>
      <c r="N664" s="5"/>
      <c r="O664" s="57"/>
      <c r="P664" s="5"/>
      <c r="Q664" s="5"/>
      <c r="R664" s="5"/>
      <c r="S664" s="5"/>
      <c r="T664" s="5"/>
      <c r="U664" s="5"/>
      <c r="V664" s="5"/>
      <c r="W664" s="5"/>
      <c r="X664" s="5"/>
      <c r="Y664" s="5"/>
      <c r="Z664" s="5"/>
    </row>
    <row r="665" spans="1:26" ht="12.75" customHeight="1">
      <c r="A665" s="5"/>
      <c r="B665" s="5"/>
      <c r="C665" s="5"/>
      <c r="D665" s="5"/>
      <c r="E665" s="5"/>
      <c r="F665" s="5"/>
      <c r="G665" s="5"/>
      <c r="H665" s="306"/>
      <c r="I665" s="5"/>
      <c r="J665" s="5"/>
      <c r="K665" s="5"/>
      <c r="L665" s="5"/>
      <c r="M665" s="5"/>
      <c r="N665" s="5"/>
      <c r="O665" s="57"/>
      <c r="P665" s="5"/>
      <c r="Q665" s="5"/>
      <c r="R665" s="5"/>
      <c r="S665" s="5"/>
      <c r="T665" s="5"/>
      <c r="U665" s="5"/>
      <c r="V665" s="5"/>
      <c r="W665" s="5"/>
      <c r="X665" s="5"/>
      <c r="Y665" s="5"/>
      <c r="Z665" s="5"/>
    </row>
    <row r="666" spans="1:26" ht="12.75" customHeight="1">
      <c r="A666" s="5"/>
      <c r="B666" s="5"/>
      <c r="C666" s="5"/>
      <c r="D666" s="5"/>
      <c r="E666" s="5"/>
      <c r="F666" s="5"/>
      <c r="G666" s="5"/>
      <c r="H666" s="306"/>
      <c r="I666" s="5"/>
      <c r="J666" s="5"/>
      <c r="K666" s="5"/>
      <c r="L666" s="5"/>
      <c r="M666" s="5"/>
      <c r="N666" s="5"/>
      <c r="O666" s="57"/>
      <c r="P666" s="5"/>
      <c r="Q666" s="5"/>
      <c r="R666" s="5"/>
      <c r="S666" s="5"/>
      <c r="T666" s="5"/>
      <c r="U666" s="5"/>
      <c r="V666" s="5"/>
      <c r="W666" s="5"/>
      <c r="X666" s="5"/>
      <c r="Y666" s="5"/>
      <c r="Z666" s="5"/>
    </row>
    <row r="667" spans="1:26" ht="12.75" customHeight="1">
      <c r="A667" s="5"/>
      <c r="B667" s="5"/>
      <c r="C667" s="5"/>
      <c r="D667" s="5"/>
      <c r="E667" s="5"/>
      <c r="F667" s="5"/>
      <c r="G667" s="5"/>
      <c r="H667" s="306"/>
      <c r="I667" s="5"/>
      <c r="J667" s="5"/>
      <c r="K667" s="5"/>
      <c r="L667" s="5"/>
      <c r="M667" s="5"/>
      <c r="N667" s="5"/>
      <c r="O667" s="57"/>
      <c r="P667" s="5"/>
      <c r="Q667" s="5"/>
      <c r="R667" s="5"/>
      <c r="S667" s="5"/>
      <c r="T667" s="5"/>
      <c r="U667" s="5"/>
      <c r="V667" s="5"/>
      <c r="W667" s="5"/>
      <c r="X667" s="5"/>
      <c r="Y667" s="5"/>
      <c r="Z667" s="5"/>
    </row>
    <row r="668" spans="1:26" ht="12.75" customHeight="1">
      <c r="A668" s="5"/>
      <c r="B668" s="5"/>
      <c r="C668" s="5"/>
      <c r="D668" s="5"/>
      <c r="E668" s="5"/>
      <c r="F668" s="5"/>
      <c r="G668" s="5"/>
      <c r="H668" s="306"/>
      <c r="I668" s="5"/>
      <c r="J668" s="5"/>
      <c r="K668" s="5"/>
      <c r="L668" s="5"/>
      <c r="M668" s="5"/>
      <c r="N668" s="5"/>
      <c r="O668" s="57"/>
      <c r="P668" s="5"/>
      <c r="Q668" s="5"/>
      <c r="R668" s="5"/>
      <c r="S668" s="5"/>
      <c r="T668" s="5"/>
      <c r="U668" s="5"/>
      <c r="V668" s="5"/>
      <c r="W668" s="5"/>
      <c r="X668" s="5"/>
      <c r="Y668" s="5"/>
      <c r="Z668" s="5"/>
    </row>
    <row r="669" spans="1:26" ht="12.75" customHeight="1">
      <c r="A669" s="5"/>
      <c r="B669" s="5"/>
      <c r="C669" s="5"/>
      <c r="D669" s="5"/>
      <c r="E669" s="5"/>
      <c r="F669" s="5"/>
      <c r="G669" s="5"/>
      <c r="H669" s="306"/>
      <c r="I669" s="5"/>
      <c r="J669" s="5"/>
      <c r="K669" s="5"/>
      <c r="L669" s="5"/>
      <c r="M669" s="5"/>
      <c r="N669" s="5"/>
      <c r="O669" s="57"/>
      <c r="P669" s="5"/>
      <c r="Q669" s="5"/>
      <c r="R669" s="5"/>
      <c r="S669" s="5"/>
      <c r="T669" s="5"/>
      <c r="U669" s="5"/>
      <c r="V669" s="5"/>
      <c r="W669" s="5"/>
      <c r="X669" s="5"/>
      <c r="Y669" s="5"/>
      <c r="Z669" s="5"/>
    </row>
    <row r="670" spans="1:26" ht="12.75" customHeight="1">
      <c r="A670" s="5"/>
      <c r="B670" s="5"/>
      <c r="C670" s="5"/>
      <c r="D670" s="5"/>
      <c r="E670" s="5"/>
      <c r="F670" s="5"/>
      <c r="G670" s="5"/>
      <c r="H670" s="306"/>
      <c r="I670" s="5"/>
      <c r="J670" s="5"/>
      <c r="K670" s="5"/>
      <c r="L670" s="5"/>
      <c r="M670" s="5"/>
      <c r="N670" s="5"/>
      <c r="O670" s="57"/>
      <c r="P670" s="5"/>
      <c r="Q670" s="5"/>
      <c r="R670" s="5"/>
      <c r="S670" s="5"/>
      <c r="T670" s="5"/>
      <c r="U670" s="5"/>
      <c r="V670" s="5"/>
      <c r="W670" s="5"/>
      <c r="X670" s="5"/>
      <c r="Y670" s="5"/>
      <c r="Z670" s="5"/>
    </row>
    <row r="671" spans="1:26" ht="12.75" customHeight="1">
      <c r="A671" s="5"/>
      <c r="B671" s="5"/>
      <c r="C671" s="5"/>
      <c r="D671" s="5"/>
      <c r="E671" s="5"/>
      <c r="F671" s="5"/>
      <c r="G671" s="5"/>
      <c r="H671" s="306"/>
      <c r="I671" s="5"/>
      <c r="J671" s="5"/>
      <c r="K671" s="5"/>
      <c r="L671" s="5"/>
      <c r="M671" s="5"/>
      <c r="N671" s="5"/>
      <c r="O671" s="57"/>
      <c r="P671" s="5"/>
      <c r="Q671" s="5"/>
      <c r="R671" s="5"/>
      <c r="S671" s="5"/>
      <c r="T671" s="5"/>
      <c r="U671" s="5"/>
      <c r="V671" s="5"/>
      <c r="W671" s="5"/>
      <c r="X671" s="5"/>
      <c r="Y671" s="5"/>
      <c r="Z671" s="5"/>
    </row>
    <row r="672" spans="1:26" ht="12.75" customHeight="1">
      <c r="A672" s="5"/>
      <c r="B672" s="5"/>
      <c r="C672" s="5"/>
      <c r="D672" s="5"/>
      <c r="E672" s="5"/>
      <c r="F672" s="5"/>
      <c r="G672" s="5"/>
      <c r="H672" s="306"/>
      <c r="I672" s="5"/>
      <c r="J672" s="5"/>
      <c r="K672" s="5"/>
      <c r="L672" s="5"/>
      <c r="M672" s="5"/>
      <c r="N672" s="5"/>
      <c r="O672" s="57"/>
      <c r="P672" s="5"/>
      <c r="Q672" s="5"/>
      <c r="R672" s="5"/>
      <c r="S672" s="5"/>
      <c r="T672" s="5"/>
      <c r="U672" s="5"/>
      <c r="V672" s="5"/>
      <c r="W672" s="5"/>
      <c r="X672" s="5"/>
      <c r="Y672" s="5"/>
      <c r="Z672" s="5"/>
    </row>
    <row r="673" spans="1:26" ht="12.75" customHeight="1">
      <c r="A673" s="5"/>
      <c r="B673" s="5"/>
      <c r="C673" s="5"/>
      <c r="D673" s="5"/>
      <c r="E673" s="5"/>
      <c r="F673" s="5"/>
      <c r="G673" s="5"/>
      <c r="H673" s="306"/>
      <c r="I673" s="5"/>
      <c r="J673" s="5"/>
      <c r="K673" s="5"/>
      <c r="L673" s="5"/>
      <c r="M673" s="5"/>
      <c r="N673" s="5"/>
      <c r="O673" s="57"/>
      <c r="P673" s="5"/>
      <c r="Q673" s="5"/>
      <c r="R673" s="5"/>
      <c r="S673" s="5"/>
      <c r="T673" s="5"/>
      <c r="U673" s="5"/>
      <c r="V673" s="5"/>
      <c r="W673" s="5"/>
      <c r="X673" s="5"/>
      <c r="Y673" s="5"/>
      <c r="Z673" s="5"/>
    </row>
    <row r="674" spans="1:26" ht="12.75" customHeight="1">
      <c r="A674" s="5"/>
      <c r="B674" s="5"/>
      <c r="C674" s="5"/>
      <c r="D674" s="5"/>
      <c r="E674" s="5"/>
      <c r="F674" s="5"/>
      <c r="G674" s="5"/>
      <c r="H674" s="306"/>
      <c r="I674" s="5"/>
      <c r="J674" s="5"/>
      <c r="K674" s="5"/>
      <c r="L674" s="5"/>
      <c r="M674" s="5"/>
      <c r="N674" s="5"/>
      <c r="O674" s="57"/>
      <c r="P674" s="5"/>
      <c r="Q674" s="5"/>
      <c r="R674" s="5"/>
      <c r="S674" s="5"/>
      <c r="T674" s="5"/>
      <c r="U674" s="5"/>
      <c r="V674" s="5"/>
      <c r="W674" s="5"/>
      <c r="X674" s="5"/>
      <c r="Y674" s="5"/>
      <c r="Z674" s="5"/>
    </row>
    <row r="675" spans="1:26" ht="12.75" customHeight="1">
      <c r="A675" s="5"/>
      <c r="B675" s="5"/>
      <c r="C675" s="5"/>
      <c r="D675" s="5"/>
      <c r="E675" s="5"/>
      <c r="F675" s="5"/>
      <c r="G675" s="5"/>
      <c r="H675" s="306"/>
      <c r="I675" s="5"/>
      <c r="J675" s="5"/>
      <c r="K675" s="5"/>
      <c r="L675" s="5"/>
      <c r="M675" s="5"/>
      <c r="N675" s="5"/>
      <c r="O675" s="57"/>
      <c r="P675" s="5"/>
      <c r="Q675" s="5"/>
      <c r="R675" s="5"/>
      <c r="S675" s="5"/>
      <c r="T675" s="5"/>
      <c r="U675" s="5"/>
      <c r="V675" s="5"/>
      <c r="W675" s="5"/>
      <c r="X675" s="5"/>
      <c r="Y675" s="5"/>
      <c r="Z675" s="5"/>
    </row>
    <row r="676" spans="1:26" ht="12.75" customHeight="1">
      <c r="A676" s="5"/>
      <c r="B676" s="5"/>
      <c r="C676" s="5"/>
      <c r="D676" s="5"/>
      <c r="E676" s="5"/>
      <c r="F676" s="5"/>
      <c r="G676" s="5"/>
      <c r="H676" s="306"/>
      <c r="I676" s="5"/>
      <c r="J676" s="5"/>
      <c r="K676" s="5"/>
      <c r="L676" s="5"/>
      <c r="M676" s="5"/>
      <c r="N676" s="5"/>
      <c r="O676" s="57"/>
      <c r="P676" s="5"/>
      <c r="Q676" s="5"/>
      <c r="R676" s="5"/>
      <c r="S676" s="5"/>
      <c r="T676" s="5"/>
      <c r="U676" s="5"/>
      <c r="V676" s="5"/>
      <c r="W676" s="5"/>
      <c r="X676" s="5"/>
      <c r="Y676" s="5"/>
      <c r="Z676" s="5"/>
    </row>
    <row r="677" spans="1:26" ht="12.75" customHeight="1">
      <c r="A677" s="5"/>
      <c r="B677" s="5"/>
      <c r="C677" s="5"/>
      <c r="D677" s="5"/>
      <c r="E677" s="5"/>
      <c r="F677" s="5"/>
      <c r="G677" s="5"/>
      <c r="H677" s="306"/>
      <c r="I677" s="5"/>
      <c r="J677" s="5"/>
      <c r="K677" s="5"/>
      <c r="L677" s="5"/>
      <c r="M677" s="5"/>
      <c r="N677" s="5"/>
      <c r="O677" s="57"/>
      <c r="P677" s="5"/>
      <c r="Q677" s="5"/>
      <c r="R677" s="5"/>
      <c r="S677" s="5"/>
      <c r="T677" s="5"/>
      <c r="U677" s="5"/>
      <c r="V677" s="5"/>
      <c r="W677" s="5"/>
      <c r="X677" s="5"/>
      <c r="Y677" s="5"/>
      <c r="Z677" s="5"/>
    </row>
    <row r="678" spans="1:26" ht="12.75" customHeight="1">
      <c r="A678" s="5"/>
      <c r="B678" s="5"/>
      <c r="C678" s="5"/>
      <c r="D678" s="5"/>
      <c r="E678" s="5"/>
      <c r="F678" s="5"/>
      <c r="G678" s="5"/>
      <c r="H678" s="306"/>
      <c r="I678" s="5"/>
      <c r="J678" s="5"/>
      <c r="K678" s="5"/>
      <c r="L678" s="5"/>
      <c r="M678" s="5"/>
      <c r="N678" s="5"/>
      <c r="O678" s="57"/>
      <c r="P678" s="5"/>
      <c r="Q678" s="5"/>
      <c r="R678" s="5"/>
      <c r="S678" s="5"/>
      <c r="T678" s="5"/>
      <c r="U678" s="5"/>
      <c r="V678" s="5"/>
      <c r="W678" s="5"/>
      <c r="X678" s="5"/>
      <c r="Y678" s="5"/>
      <c r="Z678" s="5"/>
    </row>
    <row r="679" spans="1:26" ht="12.75" customHeight="1">
      <c r="A679" s="5"/>
      <c r="B679" s="5"/>
      <c r="C679" s="5"/>
      <c r="D679" s="5"/>
      <c r="E679" s="5"/>
      <c r="F679" s="5"/>
      <c r="G679" s="5"/>
      <c r="H679" s="306"/>
      <c r="I679" s="5"/>
      <c r="J679" s="5"/>
      <c r="K679" s="5"/>
      <c r="L679" s="5"/>
      <c r="M679" s="5"/>
      <c r="N679" s="5"/>
      <c r="O679" s="57"/>
      <c r="P679" s="5"/>
      <c r="Q679" s="5"/>
      <c r="R679" s="5"/>
      <c r="S679" s="5"/>
      <c r="T679" s="5"/>
      <c r="U679" s="5"/>
      <c r="V679" s="5"/>
      <c r="W679" s="5"/>
      <c r="X679" s="5"/>
      <c r="Y679" s="5"/>
      <c r="Z679" s="5"/>
    </row>
    <row r="680" spans="1:26" ht="12.75" customHeight="1">
      <c r="A680" s="5"/>
      <c r="B680" s="5"/>
      <c r="C680" s="5"/>
      <c r="D680" s="5"/>
      <c r="E680" s="5"/>
      <c r="F680" s="5"/>
      <c r="G680" s="5"/>
      <c r="H680" s="306"/>
      <c r="I680" s="5"/>
      <c r="J680" s="5"/>
      <c r="K680" s="5"/>
      <c r="L680" s="5"/>
      <c r="M680" s="5"/>
      <c r="N680" s="5"/>
      <c r="O680" s="57"/>
      <c r="P680" s="5"/>
      <c r="Q680" s="5"/>
      <c r="R680" s="5"/>
      <c r="S680" s="5"/>
      <c r="T680" s="5"/>
      <c r="U680" s="5"/>
      <c r="V680" s="5"/>
      <c r="W680" s="5"/>
      <c r="X680" s="5"/>
      <c r="Y680" s="5"/>
      <c r="Z680" s="5"/>
    </row>
    <row r="681" spans="1:26" ht="12.75" customHeight="1">
      <c r="A681" s="5"/>
      <c r="B681" s="5"/>
      <c r="C681" s="5"/>
      <c r="D681" s="5"/>
      <c r="E681" s="5"/>
      <c r="F681" s="5"/>
      <c r="G681" s="5"/>
      <c r="H681" s="306"/>
      <c r="I681" s="5"/>
      <c r="J681" s="5"/>
      <c r="K681" s="5"/>
      <c r="L681" s="5"/>
      <c r="M681" s="5"/>
      <c r="N681" s="5"/>
      <c r="O681" s="57"/>
      <c r="P681" s="5"/>
      <c r="Q681" s="5"/>
      <c r="R681" s="5"/>
      <c r="S681" s="5"/>
      <c r="T681" s="5"/>
      <c r="U681" s="5"/>
      <c r="V681" s="5"/>
      <c r="W681" s="5"/>
      <c r="X681" s="5"/>
      <c r="Y681" s="5"/>
      <c r="Z681" s="5"/>
    </row>
    <row r="682" spans="1:26" ht="12.75" customHeight="1">
      <c r="A682" s="5"/>
      <c r="B682" s="5"/>
      <c r="C682" s="5"/>
      <c r="D682" s="5"/>
      <c r="E682" s="5"/>
      <c r="F682" s="5"/>
      <c r="G682" s="5"/>
      <c r="H682" s="306"/>
      <c r="I682" s="5"/>
      <c r="J682" s="5"/>
      <c r="K682" s="5"/>
      <c r="L682" s="5"/>
      <c r="M682" s="5"/>
      <c r="N682" s="5"/>
      <c r="O682" s="57"/>
      <c r="P682" s="5"/>
      <c r="Q682" s="5"/>
      <c r="R682" s="5"/>
      <c r="S682" s="5"/>
      <c r="T682" s="5"/>
      <c r="U682" s="5"/>
      <c r="V682" s="5"/>
      <c r="W682" s="5"/>
      <c r="X682" s="5"/>
      <c r="Y682" s="5"/>
      <c r="Z682" s="5"/>
    </row>
    <row r="683" spans="1:26" ht="12.75" customHeight="1">
      <c r="A683" s="5"/>
      <c r="B683" s="5"/>
      <c r="C683" s="5"/>
      <c r="D683" s="5"/>
      <c r="E683" s="5"/>
      <c r="F683" s="5"/>
      <c r="G683" s="5"/>
      <c r="H683" s="306"/>
      <c r="I683" s="5"/>
      <c r="J683" s="5"/>
      <c r="K683" s="5"/>
      <c r="L683" s="5"/>
      <c r="M683" s="5"/>
      <c r="N683" s="5"/>
      <c r="O683" s="57"/>
      <c r="P683" s="5"/>
      <c r="Q683" s="5"/>
      <c r="R683" s="5"/>
      <c r="S683" s="5"/>
      <c r="T683" s="5"/>
      <c r="U683" s="5"/>
      <c r="V683" s="5"/>
      <c r="W683" s="5"/>
      <c r="X683" s="5"/>
      <c r="Y683" s="5"/>
      <c r="Z683" s="5"/>
    </row>
    <row r="684" spans="1:26" ht="12.75" customHeight="1">
      <c r="A684" s="5"/>
      <c r="B684" s="5"/>
      <c r="C684" s="5"/>
      <c r="D684" s="5"/>
      <c r="E684" s="5"/>
      <c r="F684" s="5"/>
      <c r="G684" s="5"/>
      <c r="H684" s="306"/>
      <c r="I684" s="5"/>
      <c r="J684" s="5"/>
      <c r="K684" s="5"/>
      <c r="L684" s="5"/>
      <c r="M684" s="5"/>
      <c r="N684" s="5"/>
      <c r="O684" s="57"/>
      <c r="P684" s="5"/>
      <c r="Q684" s="5"/>
      <c r="R684" s="5"/>
      <c r="S684" s="5"/>
      <c r="T684" s="5"/>
      <c r="U684" s="5"/>
      <c r="V684" s="5"/>
      <c r="W684" s="5"/>
      <c r="X684" s="5"/>
      <c r="Y684" s="5"/>
      <c r="Z684" s="5"/>
    </row>
    <row r="685" spans="1:26" ht="12.75" customHeight="1">
      <c r="A685" s="5"/>
      <c r="B685" s="5"/>
      <c r="C685" s="5"/>
      <c r="D685" s="5"/>
      <c r="E685" s="5"/>
      <c r="F685" s="5"/>
      <c r="G685" s="5"/>
      <c r="H685" s="306"/>
      <c r="I685" s="5"/>
      <c r="J685" s="5"/>
      <c r="K685" s="5"/>
      <c r="L685" s="5"/>
      <c r="M685" s="5"/>
      <c r="N685" s="5"/>
      <c r="O685" s="57"/>
      <c r="P685" s="5"/>
      <c r="Q685" s="5"/>
      <c r="R685" s="5"/>
      <c r="S685" s="5"/>
      <c r="T685" s="5"/>
      <c r="U685" s="5"/>
      <c r="V685" s="5"/>
      <c r="W685" s="5"/>
      <c r="X685" s="5"/>
      <c r="Y685" s="5"/>
      <c r="Z685" s="5"/>
    </row>
    <row r="686" spans="1:26" ht="12.75" customHeight="1">
      <c r="A686" s="5"/>
      <c r="B686" s="5"/>
      <c r="C686" s="5"/>
      <c r="D686" s="5"/>
      <c r="E686" s="5"/>
      <c r="F686" s="5"/>
      <c r="G686" s="5"/>
      <c r="H686" s="306"/>
      <c r="I686" s="5"/>
      <c r="J686" s="5"/>
      <c r="K686" s="5"/>
      <c r="L686" s="5"/>
      <c r="M686" s="5"/>
      <c r="N686" s="5"/>
      <c r="O686" s="57"/>
      <c r="P686" s="5"/>
      <c r="Q686" s="5"/>
      <c r="R686" s="5"/>
      <c r="S686" s="5"/>
      <c r="T686" s="5"/>
      <c r="U686" s="5"/>
      <c r="V686" s="5"/>
      <c r="W686" s="5"/>
      <c r="X686" s="5"/>
      <c r="Y686" s="5"/>
      <c r="Z686" s="5"/>
    </row>
    <row r="687" spans="1:26" ht="12.75" customHeight="1">
      <c r="A687" s="5"/>
      <c r="B687" s="5"/>
      <c r="C687" s="5"/>
      <c r="D687" s="5"/>
      <c r="E687" s="5"/>
      <c r="F687" s="5"/>
      <c r="G687" s="5"/>
      <c r="H687" s="306"/>
      <c r="I687" s="5"/>
      <c r="J687" s="5"/>
      <c r="K687" s="5"/>
      <c r="L687" s="5"/>
      <c r="M687" s="5"/>
      <c r="N687" s="5"/>
      <c r="O687" s="57"/>
      <c r="P687" s="5"/>
      <c r="Q687" s="5"/>
      <c r="R687" s="5"/>
      <c r="S687" s="5"/>
      <c r="T687" s="5"/>
      <c r="U687" s="5"/>
      <c r="V687" s="5"/>
      <c r="W687" s="5"/>
      <c r="X687" s="5"/>
      <c r="Y687" s="5"/>
      <c r="Z687" s="5"/>
    </row>
    <row r="688" spans="1:26" ht="12.75" customHeight="1">
      <c r="A688" s="5"/>
      <c r="B688" s="5"/>
      <c r="C688" s="5"/>
      <c r="D688" s="5"/>
      <c r="E688" s="5"/>
      <c r="F688" s="5"/>
      <c r="G688" s="5"/>
      <c r="H688" s="306"/>
      <c r="I688" s="5"/>
      <c r="J688" s="5"/>
      <c r="K688" s="5"/>
      <c r="L688" s="5"/>
      <c r="M688" s="5"/>
      <c r="N688" s="5"/>
      <c r="O688" s="57"/>
      <c r="P688" s="5"/>
      <c r="Q688" s="5"/>
      <c r="R688" s="5"/>
      <c r="S688" s="5"/>
      <c r="T688" s="5"/>
      <c r="U688" s="5"/>
      <c r="V688" s="5"/>
      <c r="W688" s="5"/>
      <c r="X688" s="5"/>
      <c r="Y688" s="5"/>
      <c r="Z688" s="5"/>
    </row>
    <row r="689" spans="1:26" ht="12.75" customHeight="1">
      <c r="A689" s="5"/>
      <c r="B689" s="5"/>
      <c r="C689" s="5"/>
      <c r="D689" s="5"/>
      <c r="E689" s="5"/>
      <c r="F689" s="5"/>
      <c r="G689" s="5"/>
      <c r="H689" s="306"/>
      <c r="I689" s="5"/>
      <c r="J689" s="5"/>
      <c r="K689" s="5"/>
      <c r="L689" s="5"/>
      <c r="M689" s="5"/>
      <c r="N689" s="5"/>
      <c r="O689" s="57"/>
      <c r="P689" s="5"/>
      <c r="Q689" s="5"/>
      <c r="R689" s="5"/>
      <c r="S689" s="5"/>
      <c r="T689" s="5"/>
      <c r="U689" s="5"/>
      <c r="V689" s="5"/>
      <c r="W689" s="5"/>
      <c r="X689" s="5"/>
      <c r="Y689" s="5"/>
      <c r="Z689" s="5"/>
    </row>
    <row r="690" spans="1:26" ht="12.75" customHeight="1">
      <c r="A690" s="5"/>
      <c r="B690" s="5"/>
      <c r="C690" s="5"/>
      <c r="D690" s="5"/>
      <c r="E690" s="5"/>
      <c r="F690" s="5"/>
      <c r="G690" s="5"/>
      <c r="H690" s="306"/>
      <c r="I690" s="5"/>
      <c r="J690" s="5"/>
      <c r="K690" s="5"/>
      <c r="L690" s="5"/>
      <c r="M690" s="5"/>
      <c r="N690" s="5"/>
      <c r="O690" s="57"/>
      <c r="P690" s="5"/>
      <c r="Q690" s="5"/>
      <c r="R690" s="5"/>
      <c r="S690" s="5"/>
      <c r="T690" s="5"/>
      <c r="U690" s="5"/>
      <c r="V690" s="5"/>
      <c r="W690" s="5"/>
      <c r="X690" s="5"/>
      <c r="Y690" s="5"/>
      <c r="Z690" s="5"/>
    </row>
    <row r="691" spans="1:26" ht="12.75" customHeight="1">
      <c r="A691" s="5"/>
      <c r="B691" s="5"/>
      <c r="C691" s="5"/>
      <c r="D691" s="5"/>
      <c r="E691" s="5"/>
      <c r="F691" s="5"/>
      <c r="G691" s="5"/>
      <c r="H691" s="306"/>
      <c r="I691" s="5"/>
      <c r="J691" s="5"/>
      <c r="K691" s="5"/>
      <c r="L691" s="5"/>
      <c r="M691" s="5"/>
      <c r="N691" s="5"/>
      <c r="O691" s="57"/>
      <c r="P691" s="5"/>
      <c r="Q691" s="5"/>
      <c r="R691" s="5"/>
      <c r="S691" s="5"/>
      <c r="T691" s="5"/>
      <c r="U691" s="5"/>
      <c r="V691" s="5"/>
      <c r="W691" s="5"/>
      <c r="X691" s="5"/>
      <c r="Y691" s="5"/>
      <c r="Z691" s="5"/>
    </row>
    <row r="692" spans="1:26" ht="12.75" customHeight="1">
      <c r="A692" s="5"/>
      <c r="B692" s="5"/>
      <c r="C692" s="5"/>
      <c r="D692" s="5"/>
      <c r="E692" s="5"/>
      <c r="F692" s="5"/>
      <c r="G692" s="5"/>
      <c r="H692" s="306"/>
      <c r="I692" s="5"/>
      <c r="J692" s="5"/>
      <c r="K692" s="5"/>
      <c r="L692" s="5"/>
      <c r="M692" s="5"/>
      <c r="N692" s="5"/>
      <c r="O692" s="57"/>
      <c r="P692" s="5"/>
      <c r="Q692" s="5"/>
      <c r="R692" s="5"/>
      <c r="S692" s="5"/>
      <c r="T692" s="5"/>
      <c r="U692" s="5"/>
      <c r="V692" s="5"/>
      <c r="W692" s="5"/>
      <c r="X692" s="5"/>
      <c r="Y692" s="5"/>
      <c r="Z692" s="5"/>
    </row>
    <row r="693" spans="1:26" ht="12.75" customHeight="1">
      <c r="A693" s="5"/>
      <c r="B693" s="5"/>
      <c r="C693" s="5"/>
      <c r="D693" s="5"/>
      <c r="E693" s="5"/>
      <c r="F693" s="5"/>
      <c r="G693" s="5"/>
      <c r="H693" s="306"/>
      <c r="I693" s="5"/>
      <c r="J693" s="5"/>
      <c r="K693" s="5"/>
      <c r="L693" s="5"/>
      <c r="M693" s="5"/>
      <c r="N693" s="5"/>
      <c r="O693" s="57"/>
      <c r="P693" s="5"/>
      <c r="Q693" s="5"/>
      <c r="R693" s="5"/>
      <c r="S693" s="5"/>
      <c r="T693" s="5"/>
      <c r="U693" s="5"/>
      <c r="V693" s="5"/>
      <c r="W693" s="5"/>
      <c r="X693" s="5"/>
      <c r="Y693" s="5"/>
      <c r="Z693" s="5"/>
    </row>
    <row r="694" spans="1:26" ht="12.75" customHeight="1">
      <c r="A694" s="5"/>
      <c r="B694" s="5"/>
      <c r="C694" s="5"/>
      <c r="D694" s="5"/>
      <c r="E694" s="5"/>
      <c r="F694" s="5"/>
      <c r="G694" s="5"/>
      <c r="H694" s="306"/>
      <c r="I694" s="5"/>
      <c r="J694" s="5"/>
      <c r="K694" s="5"/>
      <c r="L694" s="5"/>
      <c r="M694" s="5"/>
      <c r="N694" s="5"/>
      <c r="O694" s="57"/>
      <c r="P694" s="5"/>
      <c r="Q694" s="5"/>
      <c r="R694" s="5"/>
      <c r="S694" s="5"/>
      <c r="T694" s="5"/>
      <c r="U694" s="5"/>
      <c r="V694" s="5"/>
      <c r="W694" s="5"/>
      <c r="X694" s="5"/>
      <c r="Y694" s="5"/>
      <c r="Z694" s="5"/>
    </row>
    <row r="695" spans="1:26" ht="12.75" customHeight="1">
      <c r="A695" s="5"/>
      <c r="B695" s="5"/>
      <c r="C695" s="5"/>
      <c r="D695" s="5"/>
      <c r="E695" s="5"/>
      <c r="F695" s="5"/>
      <c r="G695" s="5"/>
      <c r="H695" s="306"/>
      <c r="I695" s="5"/>
      <c r="J695" s="5"/>
      <c r="K695" s="5"/>
      <c r="L695" s="5"/>
      <c r="M695" s="5"/>
      <c r="N695" s="5"/>
      <c r="O695" s="57"/>
      <c r="P695" s="5"/>
      <c r="Q695" s="5"/>
      <c r="R695" s="5"/>
      <c r="S695" s="5"/>
      <c r="T695" s="5"/>
      <c r="U695" s="5"/>
      <c r="V695" s="5"/>
      <c r="W695" s="5"/>
      <c r="X695" s="5"/>
      <c r="Y695" s="5"/>
      <c r="Z695" s="5"/>
    </row>
    <row r="696" spans="1:26" ht="12.75" customHeight="1">
      <c r="A696" s="5"/>
      <c r="B696" s="5"/>
      <c r="C696" s="5"/>
      <c r="D696" s="5"/>
      <c r="E696" s="5"/>
      <c r="F696" s="5"/>
      <c r="G696" s="5"/>
      <c r="H696" s="306"/>
      <c r="I696" s="5"/>
      <c r="J696" s="5"/>
      <c r="K696" s="5"/>
      <c r="L696" s="5"/>
      <c r="M696" s="5"/>
      <c r="N696" s="5"/>
      <c r="O696" s="57"/>
      <c r="P696" s="5"/>
      <c r="Q696" s="5"/>
      <c r="R696" s="5"/>
      <c r="S696" s="5"/>
      <c r="T696" s="5"/>
      <c r="U696" s="5"/>
      <c r="V696" s="5"/>
      <c r="W696" s="5"/>
      <c r="X696" s="5"/>
      <c r="Y696" s="5"/>
      <c r="Z696" s="5"/>
    </row>
    <row r="697" spans="1:26" ht="12.75" customHeight="1">
      <c r="A697" s="5"/>
      <c r="B697" s="5"/>
      <c r="C697" s="5"/>
      <c r="D697" s="5"/>
      <c r="E697" s="5"/>
      <c r="F697" s="5"/>
      <c r="G697" s="5"/>
      <c r="H697" s="306"/>
      <c r="I697" s="5"/>
      <c r="J697" s="5"/>
      <c r="K697" s="5"/>
      <c r="L697" s="5"/>
      <c r="M697" s="5"/>
      <c r="N697" s="5"/>
      <c r="O697" s="57"/>
      <c r="P697" s="5"/>
      <c r="Q697" s="5"/>
      <c r="R697" s="5"/>
      <c r="S697" s="5"/>
      <c r="T697" s="5"/>
      <c r="U697" s="5"/>
      <c r="V697" s="5"/>
      <c r="W697" s="5"/>
      <c r="X697" s="5"/>
      <c r="Y697" s="5"/>
      <c r="Z697" s="5"/>
    </row>
    <row r="698" spans="1:26" ht="12.75" customHeight="1">
      <c r="A698" s="5"/>
      <c r="B698" s="5"/>
      <c r="C698" s="5"/>
      <c r="D698" s="5"/>
      <c r="E698" s="5"/>
      <c r="F698" s="5"/>
      <c r="G698" s="5"/>
      <c r="H698" s="306"/>
      <c r="I698" s="5"/>
      <c r="J698" s="5"/>
      <c r="K698" s="5"/>
      <c r="L698" s="5"/>
      <c r="M698" s="5"/>
      <c r="N698" s="5"/>
      <c r="O698" s="57"/>
      <c r="P698" s="5"/>
      <c r="Q698" s="5"/>
      <c r="R698" s="5"/>
      <c r="S698" s="5"/>
      <c r="T698" s="5"/>
      <c r="U698" s="5"/>
      <c r="V698" s="5"/>
      <c r="W698" s="5"/>
      <c r="X698" s="5"/>
      <c r="Y698" s="5"/>
      <c r="Z698" s="5"/>
    </row>
    <row r="699" spans="1:26" ht="12.75" customHeight="1">
      <c r="A699" s="5"/>
      <c r="B699" s="5"/>
      <c r="C699" s="5"/>
      <c r="D699" s="5"/>
      <c r="E699" s="5"/>
      <c r="F699" s="5"/>
      <c r="G699" s="5"/>
      <c r="H699" s="306"/>
      <c r="I699" s="5"/>
      <c r="J699" s="5"/>
      <c r="K699" s="5"/>
      <c r="L699" s="5"/>
      <c r="M699" s="5"/>
      <c r="N699" s="5"/>
      <c r="O699" s="57"/>
      <c r="P699" s="5"/>
      <c r="Q699" s="5"/>
      <c r="R699" s="5"/>
      <c r="S699" s="5"/>
      <c r="T699" s="5"/>
      <c r="U699" s="5"/>
      <c r="V699" s="5"/>
      <c r="W699" s="5"/>
      <c r="X699" s="5"/>
      <c r="Y699" s="5"/>
      <c r="Z699" s="5"/>
    </row>
    <row r="700" spans="1:26" ht="12.75" customHeight="1">
      <c r="A700" s="5"/>
      <c r="B700" s="5"/>
      <c r="C700" s="5"/>
      <c r="D700" s="5"/>
      <c r="E700" s="5"/>
      <c r="F700" s="5"/>
      <c r="G700" s="5"/>
      <c r="H700" s="306"/>
      <c r="I700" s="5"/>
      <c r="J700" s="5"/>
      <c r="K700" s="5"/>
      <c r="L700" s="5"/>
      <c r="M700" s="5"/>
      <c r="N700" s="5"/>
      <c r="O700" s="57"/>
      <c r="P700" s="5"/>
      <c r="Q700" s="5"/>
      <c r="R700" s="5"/>
      <c r="S700" s="5"/>
      <c r="T700" s="5"/>
      <c r="U700" s="5"/>
      <c r="V700" s="5"/>
      <c r="W700" s="5"/>
      <c r="X700" s="5"/>
      <c r="Y700" s="5"/>
      <c r="Z700" s="5"/>
    </row>
    <row r="701" spans="1:26" ht="12.75" customHeight="1">
      <c r="A701" s="5"/>
      <c r="B701" s="5"/>
      <c r="C701" s="5"/>
      <c r="D701" s="5"/>
      <c r="E701" s="5"/>
      <c r="F701" s="5"/>
      <c r="G701" s="5"/>
      <c r="H701" s="306"/>
      <c r="I701" s="5"/>
      <c r="J701" s="5"/>
      <c r="K701" s="5"/>
      <c r="L701" s="5"/>
      <c r="M701" s="5"/>
      <c r="N701" s="5"/>
      <c r="O701" s="57"/>
      <c r="P701" s="5"/>
      <c r="Q701" s="5"/>
      <c r="R701" s="5"/>
      <c r="S701" s="5"/>
      <c r="T701" s="5"/>
      <c r="U701" s="5"/>
      <c r="V701" s="5"/>
      <c r="W701" s="5"/>
      <c r="X701" s="5"/>
      <c r="Y701" s="5"/>
      <c r="Z701" s="5"/>
    </row>
    <row r="702" spans="1:26" ht="12.75" customHeight="1">
      <c r="A702" s="5"/>
      <c r="B702" s="5"/>
      <c r="C702" s="5"/>
      <c r="D702" s="5"/>
      <c r="E702" s="5"/>
      <c r="F702" s="5"/>
      <c r="G702" s="5"/>
      <c r="H702" s="306"/>
      <c r="I702" s="5"/>
      <c r="J702" s="5"/>
      <c r="K702" s="5"/>
      <c r="L702" s="5"/>
      <c r="M702" s="5"/>
      <c r="N702" s="5"/>
      <c r="O702" s="57"/>
      <c r="P702" s="5"/>
      <c r="Q702" s="5"/>
      <c r="R702" s="5"/>
      <c r="S702" s="5"/>
      <c r="T702" s="5"/>
      <c r="U702" s="5"/>
      <c r="V702" s="5"/>
      <c r="W702" s="5"/>
      <c r="X702" s="5"/>
      <c r="Y702" s="5"/>
      <c r="Z702" s="5"/>
    </row>
    <row r="703" spans="1:26" ht="12.75" customHeight="1">
      <c r="A703" s="5"/>
      <c r="B703" s="5"/>
      <c r="C703" s="5"/>
      <c r="D703" s="5"/>
      <c r="E703" s="5"/>
      <c r="F703" s="5"/>
      <c r="G703" s="5"/>
      <c r="H703" s="306"/>
      <c r="I703" s="5"/>
      <c r="J703" s="5"/>
      <c r="K703" s="5"/>
      <c r="L703" s="5"/>
      <c r="M703" s="5"/>
      <c r="N703" s="5"/>
      <c r="O703" s="57"/>
      <c r="P703" s="5"/>
      <c r="Q703" s="5"/>
      <c r="R703" s="5"/>
      <c r="S703" s="5"/>
      <c r="T703" s="5"/>
      <c r="U703" s="5"/>
      <c r="V703" s="5"/>
      <c r="W703" s="5"/>
      <c r="X703" s="5"/>
      <c r="Y703" s="5"/>
      <c r="Z703" s="5"/>
    </row>
    <row r="704" spans="1:26" ht="12.75" customHeight="1">
      <c r="A704" s="5"/>
      <c r="B704" s="5"/>
      <c r="C704" s="5"/>
      <c r="D704" s="5"/>
      <c r="E704" s="5"/>
      <c r="F704" s="5"/>
      <c r="G704" s="5"/>
      <c r="H704" s="306"/>
      <c r="I704" s="5"/>
      <c r="J704" s="5"/>
      <c r="K704" s="5"/>
      <c r="L704" s="5"/>
      <c r="M704" s="5"/>
      <c r="N704" s="5"/>
      <c r="O704" s="57"/>
      <c r="P704" s="5"/>
      <c r="Q704" s="5"/>
      <c r="R704" s="5"/>
      <c r="S704" s="5"/>
      <c r="T704" s="5"/>
      <c r="U704" s="5"/>
      <c r="V704" s="5"/>
      <c r="W704" s="5"/>
      <c r="X704" s="5"/>
      <c r="Y704" s="5"/>
      <c r="Z704" s="5"/>
    </row>
    <row r="705" spans="1:26" ht="12.75" customHeight="1">
      <c r="A705" s="5"/>
      <c r="B705" s="5"/>
      <c r="C705" s="5"/>
      <c r="D705" s="5"/>
      <c r="E705" s="5"/>
      <c r="F705" s="5"/>
      <c r="G705" s="5"/>
      <c r="H705" s="306"/>
      <c r="I705" s="5"/>
      <c r="J705" s="5"/>
      <c r="K705" s="5"/>
      <c r="L705" s="5"/>
      <c r="M705" s="5"/>
      <c r="N705" s="5"/>
      <c r="O705" s="57"/>
      <c r="P705" s="5"/>
      <c r="Q705" s="5"/>
      <c r="R705" s="5"/>
      <c r="S705" s="5"/>
      <c r="T705" s="5"/>
      <c r="U705" s="5"/>
      <c r="V705" s="5"/>
      <c r="W705" s="5"/>
      <c r="X705" s="5"/>
      <c r="Y705" s="5"/>
      <c r="Z705" s="5"/>
    </row>
    <row r="706" spans="1:26" ht="12.75" customHeight="1">
      <c r="A706" s="5"/>
      <c r="B706" s="5"/>
      <c r="C706" s="5"/>
      <c r="D706" s="5"/>
      <c r="E706" s="5"/>
      <c r="F706" s="5"/>
      <c r="G706" s="5"/>
      <c r="H706" s="306"/>
      <c r="I706" s="5"/>
      <c r="J706" s="5"/>
      <c r="K706" s="5"/>
      <c r="L706" s="5"/>
      <c r="M706" s="5"/>
      <c r="N706" s="5"/>
      <c r="O706" s="57"/>
      <c r="P706" s="5"/>
      <c r="Q706" s="5"/>
      <c r="R706" s="5"/>
      <c r="S706" s="5"/>
      <c r="T706" s="5"/>
      <c r="U706" s="5"/>
      <c r="V706" s="5"/>
      <c r="W706" s="5"/>
      <c r="X706" s="5"/>
      <c r="Y706" s="5"/>
      <c r="Z706" s="5"/>
    </row>
    <row r="707" spans="1:26" ht="12.75" customHeight="1">
      <c r="A707" s="5"/>
      <c r="B707" s="5"/>
      <c r="C707" s="5"/>
      <c r="D707" s="5"/>
      <c r="E707" s="5"/>
      <c r="F707" s="5"/>
      <c r="G707" s="5"/>
      <c r="H707" s="306"/>
      <c r="I707" s="5"/>
      <c r="J707" s="5"/>
      <c r="K707" s="5"/>
      <c r="L707" s="5"/>
      <c r="M707" s="5"/>
      <c r="N707" s="5"/>
      <c r="O707" s="57"/>
      <c r="P707" s="5"/>
      <c r="Q707" s="5"/>
      <c r="R707" s="5"/>
      <c r="S707" s="5"/>
      <c r="T707" s="5"/>
      <c r="U707" s="5"/>
      <c r="V707" s="5"/>
      <c r="W707" s="5"/>
      <c r="X707" s="5"/>
      <c r="Y707" s="5"/>
      <c r="Z707" s="5"/>
    </row>
    <row r="708" spans="1:26" ht="12.75" customHeight="1">
      <c r="A708" s="5"/>
      <c r="B708" s="5"/>
      <c r="C708" s="5"/>
      <c r="D708" s="5"/>
      <c r="E708" s="5"/>
      <c r="F708" s="5"/>
      <c r="G708" s="5"/>
      <c r="H708" s="306"/>
      <c r="I708" s="5"/>
      <c r="J708" s="5"/>
      <c r="K708" s="5"/>
      <c r="L708" s="5"/>
      <c r="M708" s="5"/>
      <c r="N708" s="5"/>
      <c r="O708" s="57"/>
      <c r="P708" s="5"/>
      <c r="Q708" s="5"/>
      <c r="R708" s="5"/>
      <c r="S708" s="5"/>
      <c r="T708" s="5"/>
      <c r="U708" s="5"/>
      <c r="V708" s="5"/>
      <c r="W708" s="5"/>
      <c r="X708" s="5"/>
      <c r="Y708" s="5"/>
      <c r="Z708" s="5"/>
    </row>
    <row r="709" spans="1:26" ht="12.75" customHeight="1">
      <c r="A709" s="5"/>
      <c r="B709" s="5"/>
      <c r="C709" s="5"/>
      <c r="D709" s="5"/>
      <c r="E709" s="5"/>
      <c r="F709" s="5"/>
      <c r="G709" s="5"/>
      <c r="H709" s="306"/>
      <c r="I709" s="5"/>
      <c r="J709" s="5"/>
      <c r="K709" s="5"/>
      <c r="L709" s="5"/>
      <c r="M709" s="5"/>
      <c r="N709" s="5"/>
      <c r="O709" s="57"/>
      <c r="P709" s="5"/>
      <c r="Q709" s="5"/>
      <c r="R709" s="5"/>
      <c r="S709" s="5"/>
      <c r="T709" s="5"/>
      <c r="U709" s="5"/>
      <c r="V709" s="5"/>
      <c r="W709" s="5"/>
      <c r="X709" s="5"/>
      <c r="Y709" s="5"/>
      <c r="Z709" s="5"/>
    </row>
    <row r="710" spans="1:26" ht="12.75" customHeight="1">
      <c r="A710" s="5"/>
      <c r="B710" s="5"/>
      <c r="C710" s="5"/>
      <c r="D710" s="5"/>
      <c r="E710" s="5"/>
      <c r="F710" s="5"/>
      <c r="G710" s="5"/>
      <c r="H710" s="306"/>
      <c r="I710" s="5"/>
      <c r="J710" s="5"/>
      <c r="K710" s="5"/>
      <c r="L710" s="5"/>
      <c r="M710" s="5"/>
      <c r="N710" s="5"/>
      <c r="O710" s="57"/>
      <c r="P710" s="5"/>
      <c r="Q710" s="5"/>
      <c r="R710" s="5"/>
      <c r="S710" s="5"/>
      <c r="T710" s="5"/>
      <c r="U710" s="5"/>
      <c r="V710" s="5"/>
      <c r="W710" s="5"/>
      <c r="X710" s="5"/>
      <c r="Y710" s="5"/>
      <c r="Z710" s="5"/>
    </row>
    <row r="711" spans="1:26" ht="12.75" customHeight="1">
      <c r="A711" s="5"/>
      <c r="B711" s="5"/>
      <c r="C711" s="5"/>
      <c r="D711" s="5"/>
      <c r="E711" s="5"/>
      <c r="F711" s="5"/>
      <c r="G711" s="5"/>
      <c r="H711" s="306"/>
      <c r="I711" s="5"/>
      <c r="J711" s="5"/>
      <c r="K711" s="5"/>
      <c r="L711" s="5"/>
      <c r="M711" s="5"/>
      <c r="N711" s="5"/>
      <c r="O711" s="57"/>
      <c r="P711" s="5"/>
      <c r="Q711" s="5"/>
      <c r="R711" s="5"/>
      <c r="S711" s="5"/>
      <c r="T711" s="5"/>
      <c r="U711" s="5"/>
      <c r="V711" s="5"/>
      <c r="W711" s="5"/>
      <c r="X711" s="5"/>
      <c r="Y711" s="5"/>
      <c r="Z711" s="5"/>
    </row>
    <row r="712" spans="1:26" ht="12.75" customHeight="1">
      <c r="A712" s="5"/>
      <c r="B712" s="5"/>
      <c r="C712" s="5"/>
      <c r="D712" s="5"/>
      <c r="E712" s="5"/>
      <c r="F712" s="5"/>
      <c r="G712" s="5"/>
      <c r="H712" s="306"/>
      <c r="I712" s="5"/>
      <c r="J712" s="5"/>
      <c r="K712" s="5"/>
      <c r="L712" s="5"/>
      <c r="M712" s="5"/>
      <c r="N712" s="5"/>
      <c r="O712" s="57"/>
      <c r="P712" s="5"/>
      <c r="Q712" s="5"/>
      <c r="R712" s="5"/>
      <c r="S712" s="5"/>
      <c r="T712" s="5"/>
      <c r="U712" s="5"/>
      <c r="V712" s="5"/>
      <c r="W712" s="5"/>
      <c r="X712" s="5"/>
      <c r="Y712" s="5"/>
      <c r="Z712" s="5"/>
    </row>
    <row r="713" spans="1:26" ht="12.75" customHeight="1">
      <c r="A713" s="5"/>
      <c r="B713" s="5"/>
      <c r="C713" s="5"/>
      <c r="D713" s="5"/>
      <c r="E713" s="5"/>
      <c r="F713" s="5"/>
      <c r="G713" s="5"/>
      <c r="H713" s="306"/>
      <c r="I713" s="5"/>
      <c r="J713" s="5"/>
      <c r="K713" s="5"/>
      <c r="L713" s="5"/>
      <c r="M713" s="5"/>
      <c r="N713" s="5"/>
      <c r="O713" s="57"/>
      <c r="P713" s="5"/>
      <c r="Q713" s="5"/>
      <c r="R713" s="5"/>
      <c r="S713" s="5"/>
      <c r="T713" s="5"/>
      <c r="U713" s="5"/>
      <c r="V713" s="5"/>
      <c r="W713" s="5"/>
      <c r="X713" s="5"/>
      <c r="Y713" s="5"/>
      <c r="Z713" s="5"/>
    </row>
    <row r="714" spans="1:26" ht="12.75" customHeight="1">
      <c r="A714" s="5"/>
      <c r="B714" s="5"/>
      <c r="C714" s="5"/>
      <c r="D714" s="5"/>
      <c r="E714" s="5"/>
      <c r="F714" s="5"/>
      <c r="G714" s="5"/>
      <c r="H714" s="306"/>
      <c r="I714" s="5"/>
      <c r="J714" s="5"/>
      <c r="K714" s="5"/>
      <c r="L714" s="5"/>
      <c r="M714" s="5"/>
      <c r="N714" s="5"/>
      <c r="O714" s="57"/>
      <c r="P714" s="5"/>
      <c r="Q714" s="5"/>
      <c r="R714" s="5"/>
      <c r="S714" s="5"/>
      <c r="T714" s="5"/>
      <c r="U714" s="5"/>
      <c r="V714" s="5"/>
      <c r="W714" s="5"/>
      <c r="X714" s="5"/>
      <c r="Y714" s="5"/>
      <c r="Z714" s="5"/>
    </row>
    <row r="715" spans="1:26" ht="12.75" customHeight="1">
      <c r="A715" s="5"/>
      <c r="B715" s="5"/>
      <c r="C715" s="5"/>
      <c r="D715" s="5"/>
      <c r="E715" s="5"/>
      <c r="F715" s="5"/>
      <c r="G715" s="5"/>
      <c r="H715" s="306"/>
      <c r="I715" s="5"/>
      <c r="J715" s="5"/>
      <c r="K715" s="5"/>
      <c r="L715" s="5"/>
      <c r="M715" s="5"/>
      <c r="N715" s="5"/>
      <c r="O715" s="57"/>
      <c r="P715" s="5"/>
      <c r="Q715" s="5"/>
      <c r="R715" s="5"/>
      <c r="S715" s="5"/>
      <c r="T715" s="5"/>
      <c r="U715" s="5"/>
      <c r="V715" s="5"/>
      <c r="W715" s="5"/>
      <c r="X715" s="5"/>
      <c r="Y715" s="5"/>
      <c r="Z715" s="5"/>
    </row>
    <row r="716" spans="1:26" ht="12.75" customHeight="1">
      <c r="A716" s="5"/>
      <c r="B716" s="5"/>
      <c r="C716" s="5"/>
      <c r="D716" s="5"/>
      <c r="E716" s="5"/>
      <c r="F716" s="5"/>
      <c r="G716" s="5"/>
      <c r="H716" s="306"/>
      <c r="I716" s="5"/>
      <c r="J716" s="5"/>
      <c r="K716" s="5"/>
      <c r="L716" s="5"/>
      <c r="M716" s="5"/>
      <c r="N716" s="5"/>
      <c r="O716" s="57"/>
      <c r="P716" s="5"/>
      <c r="Q716" s="5"/>
      <c r="R716" s="5"/>
      <c r="S716" s="5"/>
      <c r="T716" s="5"/>
      <c r="U716" s="5"/>
      <c r="V716" s="5"/>
      <c r="W716" s="5"/>
      <c r="X716" s="5"/>
      <c r="Y716" s="5"/>
      <c r="Z716" s="5"/>
    </row>
    <row r="717" spans="1:26" ht="12.75" customHeight="1">
      <c r="A717" s="5"/>
      <c r="B717" s="5"/>
      <c r="C717" s="5"/>
      <c r="D717" s="5"/>
      <c r="E717" s="5"/>
      <c r="F717" s="5"/>
      <c r="G717" s="5"/>
      <c r="H717" s="306"/>
      <c r="I717" s="5"/>
      <c r="J717" s="5"/>
      <c r="K717" s="5"/>
      <c r="L717" s="5"/>
      <c r="M717" s="5"/>
      <c r="N717" s="5"/>
      <c r="O717" s="57"/>
      <c r="P717" s="5"/>
      <c r="Q717" s="5"/>
      <c r="R717" s="5"/>
      <c r="S717" s="5"/>
      <c r="T717" s="5"/>
      <c r="U717" s="5"/>
      <c r="V717" s="5"/>
      <c r="W717" s="5"/>
      <c r="X717" s="5"/>
      <c r="Y717" s="5"/>
      <c r="Z717" s="5"/>
    </row>
    <row r="718" spans="1:26" ht="12.75" customHeight="1">
      <c r="A718" s="5"/>
      <c r="B718" s="5"/>
      <c r="C718" s="5"/>
      <c r="D718" s="5"/>
      <c r="E718" s="5"/>
      <c r="F718" s="5"/>
      <c r="G718" s="5"/>
      <c r="H718" s="306"/>
      <c r="I718" s="5"/>
      <c r="J718" s="5"/>
      <c r="K718" s="5"/>
      <c r="L718" s="5"/>
      <c r="M718" s="5"/>
      <c r="N718" s="5"/>
      <c r="O718" s="57"/>
      <c r="P718" s="5"/>
      <c r="Q718" s="5"/>
      <c r="R718" s="5"/>
      <c r="S718" s="5"/>
      <c r="T718" s="5"/>
      <c r="U718" s="5"/>
      <c r="V718" s="5"/>
      <c r="W718" s="5"/>
      <c r="X718" s="5"/>
      <c r="Y718" s="5"/>
      <c r="Z718" s="5"/>
    </row>
    <row r="719" spans="1:26" ht="12.75" customHeight="1">
      <c r="A719" s="5"/>
      <c r="B719" s="5"/>
      <c r="C719" s="5"/>
      <c r="D719" s="5"/>
      <c r="E719" s="5"/>
      <c r="F719" s="5"/>
      <c r="G719" s="5"/>
      <c r="H719" s="306"/>
      <c r="I719" s="5"/>
      <c r="J719" s="5"/>
      <c r="K719" s="5"/>
      <c r="L719" s="5"/>
      <c r="M719" s="5"/>
      <c r="N719" s="5"/>
      <c r="O719" s="57"/>
      <c r="P719" s="5"/>
      <c r="Q719" s="5"/>
      <c r="R719" s="5"/>
      <c r="S719" s="5"/>
      <c r="T719" s="5"/>
      <c r="U719" s="5"/>
      <c r="V719" s="5"/>
      <c r="W719" s="5"/>
      <c r="X719" s="5"/>
      <c r="Y719" s="5"/>
      <c r="Z719" s="5"/>
    </row>
    <row r="720" spans="1:26" ht="12.75" customHeight="1">
      <c r="A720" s="5"/>
      <c r="B720" s="5"/>
      <c r="C720" s="5"/>
      <c r="D720" s="5"/>
      <c r="E720" s="5"/>
      <c r="F720" s="5"/>
      <c r="G720" s="5"/>
      <c r="H720" s="306"/>
      <c r="I720" s="5"/>
      <c r="J720" s="5"/>
      <c r="K720" s="5"/>
      <c r="L720" s="5"/>
      <c r="M720" s="5"/>
      <c r="N720" s="5"/>
      <c r="O720" s="57"/>
      <c r="P720" s="5"/>
      <c r="Q720" s="5"/>
      <c r="R720" s="5"/>
      <c r="S720" s="5"/>
      <c r="T720" s="5"/>
      <c r="U720" s="5"/>
      <c r="V720" s="5"/>
      <c r="W720" s="5"/>
      <c r="X720" s="5"/>
      <c r="Y720" s="5"/>
      <c r="Z720" s="5"/>
    </row>
    <row r="721" spans="1:26" ht="12.75" customHeight="1">
      <c r="A721" s="5"/>
      <c r="B721" s="5"/>
      <c r="C721" s="5"/>
      <c r="D721" s="5"/>
      <c r="E721" s="5"/>
      <c r="F721" s="5"/>
      <c r="G721" s="5"/>
      <c r="H721" s="306"/>
      <c r="I721" s="5"/>
      <c r="J721" s="5"/>
      <c r="K721" s="5"/>
      <c r="L721" s="5"/>
      <c r="M721" s="5"/>
      <c r="N721" s="5"/>
      <c r="O721" s="57"/>
      <c r="P721" s="5"/>
      <c r="Q721" s="5"/>
      <c r="R721" s="5"/>
      <c r="S721" s="5"/>
      <c r="T721" s="5"/>
      <c r="U721" s="5"/>
      <c r="V721" s="5"/>
      <c r="W721" s="5"/>
      <c r="X721" s="5"/>
      <c r="Y721" s="5"/>
      <c r="Z721" s="5"/>
    </row>
    <row r="722" spans="1:26" ht="12.75" customHeight="1">
      <c r="A722" s="5"/>
      <c r="B722" s="5"/>
      <c r="C722" s="5"/>
      <c r="D722" s="5"/>
      <c r="E722" s="5"/>
      <c r="F722" s="5"/>
      <c r="G722" s="5"/>
      <c r="H722" s="306"/>
      <c r="I722" s="5"/>
      <c r="J722" s="5"/>
      <c r="K722" s="5"/>
      <c r="L722" s="5"/>
      <c r="M722" s="5"/>
      <c r="N722" s="5"/>
      <c r="O722" s="57"/>
      <c r="P722" s="5"/>
      <c r="Q722" s="5"/>
      <c r="R722" s="5"/>
      <c r="S722" s="5"/>
      <c r="T722" s="5"/>
      <c r="U722" s="5"/>
      <c r="V722" s="5"/>
      <c r="W722" s="5"/>
      <c r="X722" s="5"/>
      <c r="Y722" s="5"/>
      <c r="Z722" s="5"/>
    </row>
    <row r="723" spans="1:26" ht="12.75" customHeight="1">
      <c r="A723" s="5"/>
      <c r="B723" s="5"/>
      <c r="C723" s="5"/>
      <c r="D723" s="5"/>
      <c r="E723" s="5"/>
      <c r="F723" s="5"/>
      <c r="G723" s="5"/>
      <c r="H723" s="306"/>
      <c r="I723" s="5"/>
      <c r="J723" s="5"/>
      <c r="K723" s="5"/>
      <c r="L723" s="5"/>
      <c r="M723" s="5"/>
      <c r="N723" s="5"/>
      <c r="O723" s="57"/>
      <c r="P723" s="5"/>
      <c r="Q723" s="5"/>
      <c r="R723" s="5"/>
      <c r="S723" s="5"/>
      <c r="T723" s="5"/>
      <c r="U723" s="5"/>
      <c r="V723" s="5"/>
      <c r="W723" s="5"/>
      <c r="X723" s="5"/>
      <c r="Y723" s="5"/>
      <c r="Z723" s="5"/>
    </row>
    <row r="724" spans="1:26" ht="12.75" customHeight="1">
      <c r="A724" s="5"/>
      <c r="B724" s="5"/>
      <c r="C724" s="5"/>
      <c r="D724" s="5"/>
      <c r="E724" s="5"/>
      <c r="F724" s="5"/>
      <c r="G724" s="5"/>
      <c r="H724" s="306"/>
      <c r="I724" s="5"/>
      <c r="J724" s="5"/>
      <c r="K724" s="5"/>
      <c r="L724" s="5"/>
      <c r="M724" s="5"/>
      <c r="N724" s="5"/>
      <c r="O724" s="57"/>
      <c r="P724" s="5"/>
      <c r="Q724" s="5"/>
      <c r="R724" s="5"/>
      <c r="S724" s="5"/>
      <c r="T724" s="5"/>
      <c r="U724" s="5"/>
      <c r="V724" s="5"/>
      <c r="W724" s="5"/>
      <c r="X724" s="5"/>
      <c r="Y724" s="5"/>
      <c r="Z724" s="5"/>
    </row>
    <row r="725" spans="1:26" ht="12.75" customHeight="1">
      <c r="A725" s="5"/>
      <c r="B725" s="5"/>
      <c r="C725" s="5"/>
      <c r="D725" s="5"/>
      <c r="E725" s="5"/>
      <c r="F725" s="5"/>
      <c r="G725" s="5"/>
      <c r="H725" s="306"/>
      <c r="I725" s="5"/>
      <c r="J725" s="5"/>
      <c r="K725" s="5"/>
      <c r="L725" s="5"/>
      <c r="M725" s="5"/>
      <c r="N725" s="5"/>
      <c r="O725" s="57"/>
      <c r="P725" s="5"/>
      <c r="Q725" s="5"/>
      <c r="R725" s="5"/>
      <c r="S725" s="5"/>
      <c r="T725" s="5"/>
      <c r="U725" s="5"/>
      <c r="V725" s="5"/>
      <c r="W725" s="5"/>
      <c r="X725" s="5"/>
      <c r="Y725" s="5"/>
      <c r="Z725" s="5"/>
    </row>
    <row r="726" spans="1:26" ht="12.75" customHeight="1">
      <c r="A726" s="5"/>
      <c r="B726" s="5"/>
      <c r="C726" s="5"/>
      <c r="D726" s="5"/>
      <c r="E726" s="5"/>
      <c r="F726" s="5"/>
      <c r="G726" s="5"/>
      <c r="H726" s="306"/>
      <c r="I726" s="5"/>
      <c r="J726" s="5"/>
      <c r="K726" s="5"/>
      <c r="L726" s="5"/>
      <c r="M726" s="5"/>
      <c r="N726" s="5"/>
      <c r="O726" s="57"/>
      <c r="P726" s="5"/>
      <c r="Q726" s="5"/>
      <c r="R726" s="5"/>
      <c r="S726" s="5"/>
      <c r="T726" s="5"/>
      <c r="U726" s="5"/>
      <c r="V726" s="5"/>
      <c r="W726" s="5"/>
      <c r="X726" s="5"/>
      <c r="Y726" s="5"/>
      <c r="Z726" s="5"/>
    </row>
    <row r="727" spans="1:26" ht="12.75" customHeight="1">
      <c r="A727" s="5"/>
      <c r="B727" s="5"/>
      <c r="C727" s="5"/>
      <c r="D727" s="5"/>
      <c r="E727" s="5"/>
      <c r="F727" s="5"/>
      <c r="G727" s="5"/>
      <c r="H727" s="306"/>
      <c r="I727" s="5"/>
      <c r="J727" s="5"/>
      <c r="K727" s="5"/>
      <c r="L727" s="5"/>
      <c r="M727" s="5"/>
      <c r="N727" s="5"/>
      <c r="O727" s="57"/>
      <c r="P727" s="5"/>
      <c r="Q727" s="5"/>
      <c r="R727" s="5"/>
      <c r="S727" s="5"/>
      <c r="T727" s="5"/>
      <c r="U727" s="5"/>
      <c r="V727" s="5"/>
      <c r="W727" s="5"/>
      <c r="X727" s="5"/>
      <c r="Y727" s="5"/>
      <c r="Z727" s="5"/>
    </row>
    <row r="728" spans="1:26" ht="12.75" customHeight="1">
      <c r="A728" s="5"/>
      <c r="B728" s="5"/>
      <c r="C728" s="5"/>
      <c r="D728" s="5"/>
      <c r="E728" s="5"/>
      <c r="F728" s="5"/>
      <c r="G728" s="5"/>
      <c r="H728" s="306"/>
      <c r="I728" s="5"/>
      <c r="J728" s="5"/>
      <c r="K728" s="5"/>
      <c r="L728" s="5"/>
      <c r="M728" s="5"/>
      <c r="N728" s="5"/>
      <c r="O728" s="57"/>
      <c r="P728" s="5"/>
      <c r="Q728" s="5"/>
      <c r="R728" s="5"/>
      <c r="S728" s="5"/>
      <c r="T728" s="5"/>
      <c r="U728" s="5"/>
      <c r="V728" s="5"/>
      <c r="W728" s="5"/>
      <c r="X728" s="5"/>
      <c r="Y728" s="5"/>
      <c r="Z728" s="5"/>
    </row>
    <row r="729" spans="1:26" ht="12.75" customHeight="1">
      <c r="A729" s="5"/>
      <c r="B729" s="5"/>
      <c r="C729" s="5"/>
      <c r="D729" s="5"/>
      <c r="E729" s="5"/>
      <c r="F729" s="5"/>
      <c r="G729" s="5"/>
      <c r="H729" s="306"/>
      <c r="I729" s="5"/>
      <c r="J729" s="5"/>
      <c r="K729" s="5"/>
      <c r="L729" s="5"/>
      <c r="M729" s="5"/>
      <c r="N729" s="5"/>
      <c r="O729" s="57"/>
      <c r="P729" s="5"/>
      <c r="Q729" s="5"/>
      <c r="R729" s="5"/>
      <c r="S729" s="5"/>
      <c r="T729" s="5"/>
      <c r="U729" s="5"/>
      <c r="V729" s="5"/>
      <c r="W729" s="5"/>
      <c r="X729" s="5"/>
      <c r="Y729" s="5"/>
      <c r="Z729" s="5"/>
    </row>
    <row r="730" spans="1:26" ht="12.75" customHeight="1">
      <c r="A730" s="5"/>
      <c r="B730" s="5"/>
      <c r="C730" s="5"/>
      <c r="D730" s="5"/>
      <c r="E730" s="5"/>
      <c r="F730" s="5"/>
      <c r="G730" s="5"/>
      <c r="H730" s="306"/>
      <c r="I730" s="5"/>
      <c r="J730" s="5"/>
      <c r="K730" s="5"/>
      <c r="L730" s="5"/>
      <c r="M730" s="5"/>
      <c r="N730" s="5"/>
      <c r="O730" s="57"/>
      <c r="P730" s="5"/>
      <c r="Q730" s="5"/>
      <c r="R730" s="5"/>
      <c r="S730" s="5"/>
      <c r="T730" s="5"/>
      <c r="U730" s="5"/>
      <c r="V730" s="5"/>
      <c r="W730" s="5"/>
      <c r="X730" s="5"/>
      <c r="Y730" s="5"/>
      <c r="Z730" s="5"/>
    </row>
    <row r="731" spans="1:26" ht="12.75" customHeight="1">
      <c r="A731" s="5"/>
      <c r="B731" s="5"/>
      <c r="C731" s="5"/>
      <c r="D731" s="5"/>
      <c r="E731" s="5"/>
      <c r="F731" s="5"/>
      <c r="G731" s="5"/>
      <c r="H731" s="306"/>
      <c r="I731" s="5"/>
      <c r="J731" s="5"/>
      <c r="K731" s="5"/>
      <c r="L731" s="5"/>
      <c r="M731" s="5"/>
      <c r="N731" s="5"/>
      <c r="O731" s="57"/>
      <c r="P731" s="5"/>
      <c r="Q731" s="5"/>
      <c r="R731" s="5"/>
      <c r="S731" s="5"/>
      <c r="T731" s="5"/>
      <c r="U731" s="5"/>
      <c r="V731" s="5"/>
      <c r="W731" s="5"/>
      <c r="X731" s="5"/>
      <c r="Y731" s="5"/>
      <c r="Z731" s="5"/>
    </row>
    <row r="732" spans="1:26" ht="12.75" customHeight="1">
      <c r="A732" s="5"/>
      <c r="B732" s="5"/>
      <c r="C732" s="5"/>
      <c r="D732" s="5"/>
      <c r="E732" s="5"/>
      <c r="F732" s="5"/>
      <c r="G732" s="5"/>
      <c r="H732" s="306"/>
      <c r="I732" s="5"/>
      <c r="J732" s="5"/>
      <c r="K732" s="5"/>
      <c r="L732" s="5"/>
      <c r="M732" s="5"/>
      <c r="N732" s="5"/>
      <c r="O732" s="57"/>
      <c r="P732" s="5"/>
      <c r="Q732" s="5"/>
      <c r="R732" s="5"/>
      <c r="S732" s="5"/>
      <c r="T732" s="5"/>
      <c r="U732" s="5"/>
      <c r="V732" s="5"/>
      <c r="W732" s="5"/>
      <c r="X732" s="5"/>
      <c r="Y732" s="5"/>
      <c r="Z732" s="5"/>
    </row>
    <row r="733" spans="1:26" ht="12.75" customHeight="1">
      <c r="A733" s="5"/>
      <c r="B733" s="5"/>
      <c r="C733" s="5"/>
      <c r="D733" s="5"/>
      <c r="E733" s="5"/>
      <c r="F733" s="5"/>
      <c r="G733" s="5"/>
      <c r="H733" s="306"/>
      <c r="I733" s="5"/>
      <c r="J733" s="5"/>
      <c r="K733" s="5"/>
      <c r="L733" s="5"/>
      <c r="M733" s="5"/>
      <c r="N733" s="5"/>
      <c r="O733" s="57"/>
      <c r="P733" s="5"/>
      <c r="Q733" s="5"/>
      <c r="R733" s="5"/>
      <c r="S733" s="5"/>
      <c r="T733" s="5"/>
      <c r="U733" s="5"/>
      <c r="V733" s="5"/>
      <c r="W733" s="5"/>
      <c r="X733" s="5"/>
      <c r="Y733" s="5"/>
      <c r="Z733" s="5"/>
    </row>
    <row r="734" spans="1:26" ht="12.75" customHeight="1">
      <c r="A734" s="5"/>
      <c r="B734" s="5"/>
      <c r="C734" s="5"/>
      <c r="D734" s="5"/>
      <c r="E734" s="5"/>
      <c r="F734" s="5"/>
      <c r="G734" s="5"/>
      <c r="H734" s="306"/>
      <c r="I734" s="5"/>
      <c r="J734" s="5"/>
      <c r="K734" s="5"/>
      <c r="L734" s="5"/>
      <c r="M734" s="5"/>
      <c r="N734" s="5"/>
      <c r="O734" s="57"/>
      <c r="P734" s="5"/>
      <c r="Q734" s="5"/>
      <c r="R734" s="5"/>
      <c r="S734" s="5"/>
      <c r="T734" s="5"/>
      <c r="U734" s="5"/>
      <c r="V734" s="5"/>
      <c r="W734" s="5"/>
      <c r="X734" s="5"/>
      <c r="Y734" s="5"/>
      <c r="Z734" s="5"/>
    </row>
    <row r="735" spans="1:26" ht="12.75" customHeight="1">
      <c r="A735" s="5"/>
      <c r="B735" s="5"/>
      <c r="C735" s="5"/>
      <c r="D735" s="5"/>
      <c r="E735" s="5"/>
      <c r="F735" s="5"/>
      <c r="G735" s="5"/>
      <c r="H735" s="306"/>
      <c r="I735" s="5"/>
      <c r="J735" s="5"/>
      <c r="K735" s="5"/>
      <c r="L735" s="5"/>
      <c r="M735" s="5"/>
      <c r="N735" s="5"/>
      <c r="O735" s="57"/>
      <c r="P735" s="5"/>
      <c r="Q735" s="5"/>
      <c r="R735" s="5"/>
      <c r="S735" s="5"/>
      <c r="T735" s="5"/>
      <c r="U735" s="5"/>
      <c r="V735" s="5"/>
      <c r="W735" s="5"/>
      <c r="X735" s="5"/>
      <c r="Y735" s="5"/>
      <c r="Z735" s="5"/>
    </row>
    <row r="736" spans="1:26" ht="12.75" customHeight="1">
      <c r="A736" s="5"/>
      <c r="B736" s="5"/>
      <c r="C736" s="5"/>
      <c r="D736" s="5"/>
      <c r="E736" s="5"/>
      <c r="F736" s="5"/>
      <c r="G736" s="5"/>
      <c r="H736" s="306"/>
      <c r="I736" s="5"/>
      <c r="J736" s="5"/>
      <c r="K736" s="5"/>
      <c r="L736" s="5"/>
      <c r="M736" s="5"/>
      <c r="N736" s="5"/>
      <c r="O736" s="57"/>
      <c r="P736" s="5"/>
      <c r="Q736" s="5"/>
      <c r="R736" s="5"/>
      <c r="S736" s="5"/>
      <c r="T736" s="5"/>
      <c r="U736" s="5"/>
      <c r="V736" s="5"/>
      <c r="W736" s="5"/>
      <c r="X736" s="5"/>
      <c r="Y736" s="5"/>
      <c r="Z736" s="5"/>
    </row>
    <row r="737" spans="1:26" ht="12.75" customHeight="1">
      <c r="A737" s="5"/>
      <c r="B737" s="5"/>
      <c r="C737" s="5"/>
      <c r="D737" s="5"/>
      <c r="E737" s="5"/>
      <c r="F737" s="5"/>
      <c r="G737" s="5"/>
      <c r="H737" s="306"/>
      <c r="I737" s="5"/>
      <c r="J737" s="5"/>
      <c r="K737" s="5"/>
      <c r="L737" s="5"/>
      <c r="M737" s="5"/>
      <c r="N737" s="5"/>
      <c r="O737" s="57"/>
      <c r="P737" s="5"/>
      <c r="Q737" s="5"/>
      <c r="R737" s="5"/>
      <c r="S737" s="5"/>
      <c r="T737" s="5"/>
      <c r="U737" s="5"/>
      <c r="V737" s="5"/>
      <c r="W737" s="5"/>
      <c r="X737" s="5"/>
      <c r="Y737" s="5"/>
      <c r="Z737" s="5"/>
    </row>
    <row r="738" spans="1:26" ht="12.75" customHeight="1">
      <c r="A738" s="5"/>
      <c r="B738" s="5"/>
      <c r="C738" s="5"/>
      <c r="D738" s="5"/>
      <c r="E738" s="5"/>
      <c r="F738" s="5"/>
      <c r="G738" s="5"/>
      <c r="H738" s="306"/>
      <c r="I738" s="5"/>
      <c r="J738" s="5"/>
      <c r="K738" s="5"/>
      <c r="L738" s="5"/>
      <c r="M738" s="5"/>
      <c r="N738" s="5"/>
      <c r="O738" s="57"/>
      <c r="P738" s="5"/>
      <c r="Q738" s="5"/>
      <c r="R738" s="5"/>
      <c r="S738" s="5"/>
      <c r="T738" s="5"/>
      <c r="U738" s="5"/>
      <c r="V738" s="5"/>
      <c r="W738" s="5"/>
      <c r="X738" s="5"/>
      <c r="Y738" s="5"/>
      <c r="Z738" s="5"/>
    </row>
    <row r="739" spans="1:26" ht="12.75" customHeight="1">
      <c r="A739" s="5"/>
      <c r="B739" s="5"/>
      <c r="C739" s="5"/>
      <c r="D739" s="5"/>
      <c r="E739" s="5"/>
      <c r="F739" s="5"/>
      <c r="G739" s="5"/>
      <c r="H739" s="306"/>
      <c r="I739" s="5"/>
      <c r="J739" s="5"/>
      <c r="K739" s="5"/>
      <c r="L739" s="5"/>
      <c r="M739" s="5"/>
      <c r="N739" s="5"/>
      <c r="O739" s="57"/>
      <c r="P739" s="5"/>
      <c r="Q739" s="5"/>
      <c r="R739" s="5"/>
      <c r="S739" s="5"/>
      <c r="T739" s="5"/>
      <c r="U739" s="5"/>
      <c r="V739" s="5"/>
      <c r="W739" s="5"/>
      <c r="X739" s="5"/>
      <c r="Y739" s="5"/>
      <c r="Z739" s="5"/>
    </row>
    <row r="740" spans="1:26" ht="12.75" customHeight="1">
      <c r="A740" s="5"/>
      <c r="B740" s="5"/>
      <c r="C740" s="5"/>
      <c r="D740" s="5"/>
      <c r="E740" s="5"/>
      <c r="F740" s="5"/>
      <c r="G740" s="5"/>
      <c r="H740" s="306"/>
      <c r="I740" s="5"/>
      <c r="J740" s="5"/>
      <c r="K740" s="5"/>
      <c r="L740" s="5"/>
      <c r="M740" s="5"/>
      <c r="N740" s="5"/>
      <c r="O740" s="57"/>
      <c r="P740" s="5"/>
      <c r="Q740" s="5"/>
      <c r="R740" s="5"/>
      <c r="S740" s="5"/>
      <c r="T740" s="5"/>
      <c r="U740" s="5"/>
      <c r="V740" s="5"/>
      <c r="W740" s="5"/>
      <c r="X740" s="5"/>
      <c r="Y740" s="5"/>
      <c r="Z740" s="5"/>
    </row>
    <row r="741" spans="1:26" ht="12.75" customHeight="1">
      <c r="A741" s="5"/>
      <c r="B741" s="5"/>
      <c r="C741" s="5"/>
      <c r="D741" s="5"/>
      <c r="E741" s="5"/>
      <c r="F741" s="5"/>
      <c r="G741" s="5"/>
      <c r="H741" s="306"/>
      <c r="I741" s="5"/>
      <c r="J741" s="5"/>
      <c r="K741" s="5"/>
      <c r="L741" s="5"/>
      <c r="M741" s="5"/>
      <c r="N741" s="5"/>
      <c r="O741" s="57"/>
      <c r="P741" s="5"/>
      <c r="Q741" s="5"/>
      <c r="R741" s="5"/>
      <c r="S741" s="5"/>
      <c r="T741" s="5"/>
      <c r="U741" s="5"/>
      <c r="V741" s="5"/>
      <c r="W741" s="5"/>
      <c r="X741" s="5"/>
      <c r="Y741" s="5"/>
      <c r="Z741" s="5"/>
    </row>
    <row r="742" spans="1:26" ht="12.75" customHeight="1">
      <c r="A742" s="5"/>
      <c r="B742" s="5"/>
      <c r="C742" s="5"/>
      <c r="D742" s="5"/>
      <c r="E742" s="5"/>
      <c r="F742" s="5"/>
      <c r="G742" s="5"/>
      <c r="H742" s="306"/>
      <c r="I742" s="5"/>
      <c r="J742" s="5"/>
      <c r="K742" s="5"/>
      <c r="L742" s="5"/>
      <c r="M742" s="5"/>
      <c r="N742" s="5"/>
      <c r="O742" s="57"/>
      <c r="P742" s="5"/>
      <c r="Q742" s="5"/>
      <c r="R742" s="5"/>
      <c r="S742" s="5"/>
      <c r="T742" s="5"/>
      <c r="U742" s="5"/>
      <c r="V742" s="5"/>
      <c r="W742" s="5"/>
      <c r="X742" s="5"/>
      <c r="Y742" s="5"/>
      <c r="Z742" s="5"/>
    </row>
    <row r="743" spans="1:26" ht="12.75" customHeight="1">
      <c r="A743" s="5"/>
      <c r="B743" s="5"/>
      <c r="C743" s="5"/>
      <c r="D743" s="5"/>
      <c r="E743" s="5"/>
      <c r="F743" s="5"/>
      <c r="G743" s="5"/>
      <c r="H743" s="306"/>
      <c r="I743" s="5"/>
      <c r="J743" s="5"/>
      <c r="K743" s="5"/>
      <c r="L743" s="5"/>
      <c r="M743" s="5"/>
      <c r="N743" s="5"/>
      <c r="O743" s="57"/>
      <c r="P743" s="5"/>
      <c r="Q743" s="5"/>
      <c r="R743" s="5"/>
      <c r="S743" s="5"/>
      <c r="T743" s="5"/>
      <c r="U743" s="5"/>
      <c r="V743" s="5"/>
      <c r="W743" s="5"/>
      <c r="X743" s="5"/>
      <c r="Y743" s="5"/>
      <c r="Z743" s="5"/>
    </row>
    <row r="744" spans="1:26" ht="12.75" customHeight="1">
      <c r="A744" s="5"/>
      <c r="B744" s="5"/>
      <c r="C744" s="5"/>
      <c r="D744" s="5"/>
      <c r="E744" s="5"/>
      <c r="F744" s="5"/>
      <c r="G744" s="5"/>
      <c r="H744" s="306"/>
      <c r="I744" s="5"/>
      <c r="J744" s="5"/>
      <c r="K744" s="5"/>
      <c r="L744" s="5"/>
      <c r="M744" s="5"/>
      <c r="N744" s="5"/>
      <c r="O744" s="57"/>
      <c r="P744" s="5"/>
      <c r="Q744" s="5"/>
      <c r="R744" s="5"/>
      <c r="S744" s="5"/>
      <c r="T744" s="5"/>
      <c r="U744" s="5"/>
      <c r="V744" s="5"/>
      <c r="W744" s="5"/>
      <c r="X744" s="5"/>
      <c r="Y744" s="5"/>
      <c r="Z744" s="5"/>
    </row>
    <row r="745" spans="1:26" ht="12.75" customHeight="1">
      <c r="A745" s="5"/>
      <c r="B745" s="5"/>
      <c r="C745" s="5"/>
      <c r="D745" s="5"/>
      <c r="E745" s="5"/>
      <c r="F745" s="5"/>
      <c r="G745" s="5"/>
      <c r="H745" s="306"/>
      <c r="I745" s="5"/>
      <c r="J745" s="5"/>
      <c r="K745" s="5"/>
      <c r="L745" s="5"/>
      <c r="M745" s="5"/>
      <c r="N745" s="5"/>
      <c r="O745" s="57"/>
      <c r="P745" s="5"/>
      <c r="Q745" s="5"/>
      <c r="R745" s="5"/>
      <c r="S745" s="5"/>
      <c r="T745" s="5"/>
      <c r="U745" s="5"/>
      <c r="V745" s="5"/>
      <c r="W745" s="5"/>
      <c r="X745" s="5"/>
      <c r="Y745" s="5"/>
      <c r="Z745" s="5"/>
    </row>
    <row r="746" spans="1:26" ht="12.75" customHeight="1">
      <c r="A746" s="5"/>
      <c r="B746" s="5"/>
      <c r="C746" s="5"/>
      <c r="D746" s="5"/>
      <c r="E746" s="5"/>
      <c r="F746" s="5"/>
      <c r="G746" s="5"/>
      <c r="H746" s="306"/>
      <c r="I746" s="5"/>
      <c r="J746" s="5"/>
      <c r="K746" s="5"/>
      <c r="L746" s="5"/>
      <c r="M746" s="5"/>
      <c r="N746" s="5"/>
      <c r="O746" s="57"/>
      <c r="P746" s="5"/>
      <c r="Q746" s="5"/>
      <c r="R746" s="5"/>
      <c r="S746" s="5"/>
      <c r="T746" s="5"/>
      <c r="U746" s="5"/>
      <c r="V746" s="5"/>
      <c r="W746" s="5"/>
      <c r="X746" s="5"/>
      <c r="Y746" s="5"/>
      <c r="Z746" s="5"/>
    </row>
    <row r="747" spans="1:26" ht="12.75" customHeight="1">
      <c r="A747" s="5"/>
      <c r="B747" s="5"/>
      <c r="C747" s="5"/>
      <c r="D747" s="5"/>
      <c r="E747" s="5"/>
      <c r="F747" s="5"/>
      <c r="G747" s="5"/>
      <c r="H747" s="306"/>
      <c r="I747" s="5"/>
      <c r="J747" s="5"/>
      <c r="K747" s="5"/>
      <c r="L747" s="5"/>
      <c r="M747" s="5"/>
      <c r="N747" s="5"/>
      <c r="O747" s="57"/>
      <c r="P747" s="5"/>
      <c r="Q747" s="5"/>
      <c r="R747" s="5"/>
      <c r="S747" s="5"/>
      <c r="T747" s="5"/>
      <c r="U747" s="5"/>
      <c r="V747" s="5"/>
      <c r="W747" s="5"/>
      <c r="X747" s="5"/>
      <c r="Y747" s="5"/>
      <c r="Z747" s="5"/>
    </row>
    <row r="748" spans="1:26" ht="12.75" customHeight="1">
      <c r="A748" s="5"/>
      <c r="B748" s="5"/>
      <c r="C748" s="5"/>
      <c r="D748" s="5"/>
      <c r="E748" s="5"/>
      <c r="F748" s="5"/>
      <c r="G748" s="5"/>
      <c r="H748" s="306"/>
      <c r="I748" s="5"/>
      <c r="J748" s="5"/>
      <c r="K748" s="5"/>
      <c r="L748" s="5"/>
      <c r="M748" s="5"/>
      <c r="N748" s="5"/>
      <c r="O748" s="57"/>
      <c r="P748" s="5"/>
      <c r="Q748" s="5"/>
      <c r="R748" s="5"/>
      <c r="S748" s="5"/>
      <c r="T748" s="5"/>
      <c r="U748" s="5"/>
      <c r="V748" s="5"/>
      <c r="W748" s="5"/>
      <c r="X748" s="5"/>
      <c r="Y748" s="5"/>
      <c r="Z748" s="5"/>
    </row>
    <row r="749" spans="1:26" ht="12.75" customHeight="1">
      <c r="A749" s="5"/>
      <c r="B749" s="5"/>
      <c r="C749" s="5"/>
      <c r="D749" s="5"/>
      <c r="E749" s="5"/>
      <c r="F749" s="5"/>
      <c r="G749" s="5"/>
      <c r="H749" s="306"/>
      <c r="I749" s="5"/>
      <c r="J749" s="5"/>
      <c r="K749" s="5"/>
      <c r="L749" s="5"/>
      <c r="M749" s="5"/>
      <c r="N749" s="5"/>
      <c r="O749" s="57"/>
      <c r="P749" s="5"/>
      <c r="Q749" s="5"/>
      <c r="R749" s="5"/>
      <c r="S749" s="5"/>
      <c r="T749" s="5"/>
      <c r="U749" s="5"/>
      <c r="V749" s="5"/>
      <c r="W749" s="5"/>
      <c r="X749" s="5"/>
      <c r="Y749" s="5"/>
      <c r="Z749" s="5"/>
    </row>
    <row r="750" spans="1:26" ht="12.75" customHeight="1">
      <c r="A750" s="5"/>
      <c r="B750" s="5"/>
      <c r="C750" s="5"/>
      <c r="D750" s="5"/>
      <c r="E750" s="5"/>
      <c r="F750" s="5"/>
      <c r="G750" s="5"/>
      <c r="H750" s="306"/>
      <c r="I750" s="5"/>
      <c r="J750" s="5"/>
      <c r="K750" s="5"/>
      <c r="L750" s="5"/>
      <c r="M750" s="5"/>
      <c r="N750" s="5"/>
      <c r="O750" s="57"/>
      <c r="P750" s="5"/>
      <c r="Q750" s="5"/>
      <c r="R750" s="5"/>
      <c r="S750" s="5"/>
      <c r="T750" s="5"/>
      <c r="U750" s="5"/>
      <c r="V750" s="5"/>
      <c r="W750" s="5"/>
      <c r="X750" s="5"/>
      <c r="Y750" s="5"/>
      <c r="Z750" s="5"/>
    </row>
    <row r="751" spans="1:26" ht="12.75" customHeight="1">
      <c r="A751" s="5"/>
      <c r="B751" s="5"/>
      <c r="C751" s="5"/>
      <c r="D751" s="5"/>
      <c r="E751" s="5"/>
      <c r="F751" s="5"/>
      <c r="G751" s="5"/>
      <c r="H751" s="306"/>
      <c r="I751" s="5"/>
      <c r="J751" s="5"/>
      <c r="K751" s="5"/>
      <c r="L751" s="5"/>
      <c r="M751" s="5"/>
      <c r="N751" s="5"/>
      <c r="O751" s="57"/>
      <c r="P751" s="5"/>
      <c r="Q751" s="5"/>
      <c r="R751" s="5"/>
      <c r="S751" s="5"/>
      <c r="T751" s="5"/>
      <c r="U751" s="5"/>
      <c r="V751" s="5"/>
      <c r="W751" s="5"/>
      <c r="X751" s="5"/>
      <c r="Y751" s="5"/>
      <c r="Z751" s="5"/>
    </row>
    <row r="752" spans="1:26" ht="12.75" customHeight="1">
      <c r="A752" s="5"/>
      <c r="B752" s="5"/>
      <c r="C752" s="5"/>
      <c r="D752" s="5"/>
      <c r="E752" s="5"/>
      <c r="F752" s="5"/>
      <c r="G752" s="5"/>
      <c r="H752" s="306"/>
      <c r="I752" s="5"/>
      <c r="J752" s="5"/>
      <c r="K752" s="5"/>
      <c r="L752" s="5"/>
      <c r="M752" s="5"/>
      <c r="N752" s="5"/>
      <c r="O752" s="57"/>
      <c r="P752" s="5"/>
      <c r="Q752" s="5"/>
      <c r="R752" s="5"/>
      <c r="S752" s="5"/>
      <c r="T752" s="5"/>
      <c r="U752" s="5"/>
      <c r="V752" s="5"/>
      <c r="W752" s="5"/>
      <c r="X752" s="5"/>
      <c r="Y752" s="5"/>
      <c r="Z752" s="5"/>
    </row>
    <row r="753" spans="1:26" ht="12.75" customHeight="1">
      <c r="A753" s="5"/>
      <c r="B753" s="5"/>
      <c r="C753" s="5"/>
      <c r="D753" s="5"/>
      <c r="E753" s="5"/>
      <c r="F753" s="5"/>
      <c r="G753" s="5"/>
      <c r="H753" s="306"/>
      <c r="I753" s="5"/>
      <c r="J753" s="5"/>
      <c r="K753" s="5"/>
      <c r="L753" s="5"/>
      <c r="M753" s="5"/>
      <c r="N753" s="5"/>
      <c r="O753" s="57"/>
      <c r="P753" s="5"/>
      <c r="Q753" s="5"/>
      <c r="R753" s="5"/>
      <c r="S753" s="5"/>
      <c r="T753" s="5"/>
      <c r="U753" s="5"/>
      <c r="V753" s="5"/>
      <c r="W753" s="5"/>
      <c r="X753" s="5"/>
      <c r="Y753" s="5"/>
      <c r="Z753" s="5"/>
    </row>
    <row r="754" spans="1:26" ht="12.75" customHeight="1">
      <c r="A754" s="5"/>
      <c r="B754" s="5"/>
      <c r="C754" s="5"/>
      <c r="D754" s="5"/>
      <c r="E754" s="5"/>
      <c r="F754" s="5"/>
      <c r="G754" s="5"/>
      <c r="H754" s="306"/>
      <c r="I754" s="5"/>
      <c r="J754" s="5"/>
      <c r="K754" s="5"/>
      <c r="L754" s="5"/>
      <c r="M754" s="5"/>
      <c r="N754" s="5"/>
      <c r="O754" s="57"/>
      <c r="P754" s="5"/>
      <c r="Q754" s="5"/>
      <c r="R754" s="5"/>
      <c r="S754" s="5"/>
      <c r="T754" s="5"/>
      <c r="U754" s="5"/>
      <c r="V754" s="5"/>
      <c r="W754" s="5"/>
      <c r="X754" s="5"/>
      <c r="Y754" s="5"/>
      <c r="Z754" s="5"/>
    </row>
    <row r="755" spans="1:26" ht="12.75" customHeight="1">
      <c r="A755" s="5"/>
      <c r="B755" s="5"/>
      <c r="C755" s="5"/>
      <c r="D755" s="5"/>
      <c r="E755" s="5"/>
      <c r="F755" s="5"/>
      <c r="G755" s="5"/>
      <c r="H755" s="306"/>
      <c r="I755" s="5"/>
      <c r="J755" s="5"/>
      <c r="K755" s="5"/>
      <c r="L755" s="5"/>
      <c r="M755" s="5"/>
      <c r="N755" s="5"/>
      <c r="O755" s="57"/>
      <c r="P755" s="5"/>
      <c r="Q755" s="5"/>
      <c r="R755" s="5"/>
      <c r="S755" s="5"/>
      <c r="T755" s="5"/>
      <c r="U755" s="5"/>
      <c r="V755" s="5"/>
      <c r="W755" s="5"/>
      <c r="X755" s="5"/>
      <c r="Y755" s="5"/>
      <c r="Z755" s="5"/>
    </row>
    <row r="756" spans="1:26" ht="12.75" customHeight="1">
      <c r="A756" s="5"/>
      <c r="B756" s="5"/>
      <c r="C756" s="5"/>
      <c r="D756" s="5"/>
      <c r="E756" s="5"/>
      <c r="F756" s="5"/>
      <c r="G756" s="5"/>
      <c r="H756" s="306"/>
      <c r="I756" s="5"/>
      <c r="J756" s="5"/>
      <c r="K756" s="5"/>
      <c r="L756" s="5"/>
      <c r="M756" s="5"/>
      <c r="N756" s="5"/>
      <c r="O756" s="57"/>
      <c r="P756" s="5"/>
      <c r="Q756" s="5"/>
      <c r="R756" s="5"/>
      <c r="S756" s="5"/>
      <c r="T756" s="5"/>
      <c r="U756" s="5"/>
      <c r="V756" s="5"/>
      <c r="W756" s="5"/>
      <c r="X756" s="5"/>
      <c r="Y756" s="5"/>
      <c r="Z756" s="5"/>
    </row>
    <row r="757" spans="1:26" ht="12.75" customHeight="1">
      <c r="A757" s="5"/>
      <c r="B757" s="5"/>
      <c r="C757" s="5"/>
      <c r="D757" s="5"/>
      <c r="E757" s="5"/>
      <c r="F757" s="5"/>
      <c r="G757" s="5"/>
      <c r="H757" s="306"/>
      <c r="I757" s="5"/>
      <c r="J757" s="5"/>
      <c r="K757" s="5"/>
      <c r="L757" s="5"/>
      <c r="M757" s="5"/>
      <c r="N757" s="5"/>
      <c r="O757" s="57"/>
      <c r="P757" s="5"/>
      <c r="Q757" s="5"/>
      <c r="R757" s="5"/>
      <c r="S757" s="5"/>
      <c r="T757" s="5"/>
      <c r="U757" s="5"/>
      <c r="V757" s="5"/>
      <c r="W757" s="5"/>
      <c r="X757" s="5"/>
      <c r="Y757" s="5"/>
      <c r="Z757" s="5"/>
    </row>
    <row r="758" spans="1:26" ht="12.75" customHeight="1">
      <c r="A758" s="5"/>
      <c r="B758" s="5"/>
      <c r="C758" s="5"/>
      <c r="D758" s="5"/>
      <c r="E758" s="5"/>
      <c r="F758" s="5"/>
      <c r="G758" s="5"/>
      <c r="H758" s="306"/>
      <c r="I758" s="5"/>
      <c r="J758" s="5"/>
      <c r="K758" s="5"/>
      <c r="L758" s="5"/>
      <c r="M758" s="5"/>
      <c r="N758" s="5"/>
      <c r="O758" s="57"/>
      <c r="P758" s="5"/>
      <c r="Q758" s="5"/>
      <c r="R758" s="5"/>
      <c r="S758" s="5"/>
      <c r="T758" s="5"/>
      <c r="U758" s="5"/>
      <c r="V758" s="5"/>
      <c r="W758" s="5"/>
      <c r="X758" s="5"/>
      <c r="Y758" s="5"/>
      <c r="Z758" s="5"/>
    </row>
    <row r="759" spans="1:26" ht="12.75" customHeight="1">
      <c r="A759" s="5"/>
      <c r="B759" s="5"/>
      <c r="C759" s="5"/>
      <c r="D759" s="5"/>
      <c r="E759" s="5"/>
      <c r="F759" s="5"/>
      <c r="G759" s="5"/>
      <c r="H759" s="306"/>
      <c r="I759" s="5"/>
      <c r="J759" s="5"/>
      <c r="K759" s="5"/>
      <c r="L759" s="5"/>
      <c r="M759" s="5"/>
      <c r="N759" s="5"/>
      <c r="O759" s="57"/>
      <c r="P759" s="5"/>
      <c r="Q759" s="5"/>
      <c r="R759" s="5"/>
      <c r="S759" s="5"/>
      <c r="T759" s="5"/>
      <c r="U759" s="5"/>
      <c r="V759" s="5"/>
      <c r="W759" s="5"/>
      <c r="X759" s="5"/>
      <c r="Y759" s="5"/>
      <c r="Z759" s="5"/>
    </row>
    <row r="760" spans="1:26" ht="12.75" customHeight="1">
      <c r="A760" s="5"/>
      <c r="B760" s="5"/>
      <c r="C760" s="5"/>
      <c r="D760" s="5"/>
      <c r="E760" s="5"/>
      <c r="F760" s="5"/>
      <c r="G760" s="5"/>
      <c r="H760" s="306"/>
      <c r="I760" s="5"/>
      <c r="J760" s="5"/>
      <c r="K760" s="5"/>
      <c r="L760" s="5"/>
      <c r="M760" s="5"/>
      <c r="N760" s="5"/>
      <c r="O760" s="57"/>
      <c r="P760" s="5"/>
      <c r="Q760" s="5"/>
      <c r="R760" s="5"/>
      <c r="S760" s="5"/>
      <c r="T760" s="5"/>
      <c r="U760" s="5"/>
      <c r="V760" s="5"/>
      <c r="W760" s="5"/>
      <c r="X760" s="5"/>
      <c r="Y760" s="5"/>
      <c r="Z760" s="5"/>
    </row>
    <row r="761" spans="1:26" ht="12.75" customHeight="1">
      <c r="A761" s="5"/>
      <c r="B761" s="5"/>
      <c r="C761" s="5"/>
      <c r="D761" s="5"/>
      <c r="E761" s="5"/>
      <c r="F761" s="5"/>
      <c r="G761" s="5"/>
      <c r="H761" s="306"/>
      <c r="I761" s="5"/>
      <c r="J761" s="5"/>
      <c r="K761" s="5"/>
      <c r="L761" s="5"/>
      <c r="M761" s="5"/>
      <c r="N761" s="5"/>
      <c r="O761" s="57"/>
      <c r="P761" s="5"/>
      <c r="Q761" s="5"/>
      <c r="R761" s="5"/>
      <c r="S761" s="5"/>
      <c r="T761" s="5"/>
      <c r="U761" s="5"/>
      <c r="V761" s="5"/>
      <c r="W761" s="5"/>
      <c r="X761" s="5"/>
      <c r="Y761" s="5"/>
      <c r="Z761" s="5"/>
    </row>
    <row r="762" spans="1:26" ht="12.75" customHeight="1">
      <c r="A762" s="5"/>
      <c r="B762" s="5"/>
      <c r="C762" s="5"/>
      <c r="D762" s="5"/>
      <c r="E762" s="5"/>
      <c r="F762" s="5"/>
      <c r="G762" s="5"/>
      <c r="H762" s="306"/>
      <c r="I762" s="5"/>
      <c r="J762" s="5"/>
      <c r="K762" s="5"/>
      <c r="L762" s="5"/>
      <c r="M762" s="5"/>
      <c r="N762" s="5"/>
      <c r="O762" s="57"/>
      <c r="P762" s="5"/>
      <c r="Q762" s="5"/>
      <c r="R762" s="5"/>
      <c r="S762" s="5"/>
      <c r="T762" s="5"/>
      <c r="U762" s="5"/>
      <c r="V762" s="5"/>
      <c r="W762" s="5"/>
      <c r="X762" s="5"/>
      <c r="Y762" s="5"/>
      <c r="Z762" s="5"/>
    </row>
    <row r="763" spans="1:26" ht="12.75" customHeight="1">
      <c r="A763" s="5"/>
      <c r="B763" s="5"/>
      <c r="C763" s="5"/>
      <c r="D763" s="5"/>
      <c r="E763" s="5"/>
      <c r="F763" s="5"/>
      <c r="G763" s="5"/>
      <c r="H763" s="306"/>
      <c r="I763" s="5"/>
      <c r="J763" s="5"/>
      <c r="K763" s="5"/>
      <c r="L763" s="5"/>
      <c r="M763" s="5"/>
      <c r="N763" s="5"/>
      <c r="O763" s="57"/>
      <c r="P763" s="5"/>
      <c r="Q763" s="5"/>
      <c r="R763" s="5"/>
      <c r="S763" s="5"/>
      <c r="T763" s="5"/>
      <c r="U763" s="5"/>
      <c r="V763" s="5"/>
      <c r="W763" s="5"/>
      <c r="X763" s="5"/>
      <c r="Y763" s="5"/>
      <c r="Z763" s="5"/>
    </row>
    <row r="764" spans="1:26" ht="12.75" customHeight="1">
      <c r="A764" s="5"/>
      <c r="B764" s="5"/>
      <c r="C764" s="5"/>
      <c r="D764" s="5"/>
      <c r="E764" s="5"/>
      <c r="F764" s="5"/>
      <c r="G764" s="5"/>
      <c r="H764" s="306"/>
      <c r="I764" s="5"/>
      <c r="J764" s="5"/>
      <c r="K764" s="5"/>
      <c r="L764" s="5"/>
      <c r="M764" s="5"/>
      <c r="N764" s="5"/>
      <c r="O764" s="57"/>
      <c r="P764" s="5"/>
      <c r="Q764" s="5"/>
      <c r="R764" s="5"/>
      <c r="S764" s="5"/>
      <c r="T764" s="5"/>
      <c r="U764" s="5"/>
      <c r="V764" s="5"/>
      <c r="W764" s="5"/>
      <c r="X764" s="5"/>
      <c r="Y764" s="5"/>
      <c r="Z764" s="5"/>
    </row>
    <row r="765" spans="1:26" ht="12.75" customHeight="1">
      <c r="A765" s="5"/>
      <c r="B765" s="5"/>
      <c r="C765" s="5"/>
      <c r="D765" s="5"/>
      <c r="E765" s="5"/>
      <c r="F765" s="5"/>
      <c r="G765" s="5"/>
      <c r="H765" s="306"/>
      <c r="I765" s="5"/>
      <c r="J765" s="5"/>
      <c r="K765" s="5"/>
      <c r="L765" s="5"/>
      <c r="M765" s="5"/>
      <c r="N765" s="5"/>
      <c r="O765" s="57"/>
      <c r="P765" s="5"/>
      <c r="Q765" s="5"/>
      <c r="R765" s="5"/>
      <c r="S765" s="5"/>
      <c r="T765" s="5"/>
      <c r="U765" s="5"/>
      <c r="V765" s="5"/>
      <c r="W765" s="5"/>
      <c r="X765" s="5"/>
      <c r="Y765" s="5"/>
      <c r="Z765" s="5"/>
    </row>
    <row r="766" spans="1:26" ht="12.75" customHeight="1">
      <c r="A766" s="5"/>
      <c r="B766" s="5"/>
      <c r="C766" s="5"/>
      <c r="D766" s="5"/>
      <c r="E766" s="5"/>
      <c r="F766" s="5"/>
      <c r="G766" s="5"/>
      <c r="H766" s="306"/>
      <c r="I766" s="5"/>
      <c r="J766" s="5"/>
      <c r="K766" s="5"/>
      <c r="L766" s="5"/>
      <c r="M766" s="5"/>
      <c r="N766" s="5"/>
      <c r="O766" s="57"/>
      <c r="P766" s="5"/>
      <c r="Q766" s="5"/>
      <c r="R766" s="5"/>
      <c r="S766" s="5"/>
      <c r="T766" s="5"/>
      <c r="U766" s="5"/>
      <c r="V766" s="5"/>
      <c r="W766" s="5"/>
      <c r="X766" s="5"/>
      <c r="Y766" s="5"/>
      <c r="Z766" s="5"/>
    </row>
    <row r="767" spans="1:26" ht="12.75" customHeight="1">
      <c r="A767" s="5"/>
      <c r="B767" s="5"/>
      <c r="C767" s="5"/>
      <c r="D767" s="5"/>
      <c r="E767" s="5"/>
      <c r="F767" s="5"/>
      <c r="G767" s="5"/>
      <c r="H767" s="306"/>
      <c r="I767" s="5"/>
      <c r="J767" s="5"/>
      <c r="K767" s="5"/>
      <c r="L767" s="5"/>
      <c r="M767" s="5"/>
      <c r="N767" s="5"/>
      <c r="O767" s="57"/>
      <c r="P767" s="5"/>
      <c r="Q767" s="5"/>
      <c r="R767" s="5"/>
      <c r="S767" s="5"/>
      <c r="T767" s="5"/>
      <c r="U767" s="5"/>
      <c r="V767" s="5"/>
      <c r="W767" s="5"/>
      <c r="X767" s="5"/>
      <c r="Y767" s="5"/>
      <c r="Z767" s="5"/>
    </row>
    <row r="768" spans="1:26" ht="12.75" customHeight="1">
      <c r="A768" s="5"/>
      <c r="B768" s="5"/>
      <c r="C768" s="5"/>
      <c r="D768" s="5"/>
      <c r="E768" s="5"/>
      <c r="F768" s="5"/>
      <c r="G768" s="5"/>
      <c r="H768" s="306"/>
      <c r="I768" s="5"/>
      <c r="J768" s="5"/>
      <c r="K768" s="5"/>
      <c r="L768" s="5"/>
      <c r="M768" s="5"/>
      <c r="N768" s="5"/>
      <c r="O768" s="57"/>
      <c r="P768" s="5"/>
      <c r="Q768" s="5"/>
      <c r="R768" s="5"/>
      <c r="S768" s="5"/>
      <c r="T768" s="5"/>
      <c r="U768" s="5"/>
      <c r="V768" s="5"/>
      <c r="W768" s="5"/>
      <c r="X768" s="5"/>
      <c r="Y768" s="5"/>
      <c r="Z768" s="5"/>
    </row>
    <row r="769" spans="1:26" ht="12.75" customHeight="1">
      <c r="A769" s="5"/>
      <c r="B769" s="5"/>
      <c r="C769" s="5"/>
      <c r="D769" s="5"/>
      <c r="E769" s="5"/>
      <c r="F769" s="5"/>
      <c r="G769" s="5"/>
      <c r="H769" s="306"/>
      <c r="I769" s="5"/>
      <c r="J769" s="5"/>
      <c r="K769" s="5"/>
      <c r="L769" s="5"/>
      <c r="M769" s="5"/>
      <c r="N769" s="5"/>
      <c r="O769" s="57"/>
      <c r="P769" s="5"/>
      <c r="Q769" s="5"/>
      <c r="R769" s="5"/>
      <c r="S769" s="5"/>
      <c r="T769" s="5"/>
      <c r="U769" s="5"/>
      <c r="V769" s="5"/>
      <c r="W769" s="5"/>
      <c r="X769" s="5"/>
      <c r="Y769" s="5"/>
      <c r="Z769" s="5"/>
    </row>
    <row r="770" spans="1:26" ht="12.75" customHeight="1">
      <c r="A770" s="5"/>
      <c r="B770" s="5"/>
      <c r="C770" s="5"/>
      <c r="D770" s="5"/>
      <c r="E770" s="5"/>
      <c r="F770" s="5"/>
      <c r="G770" s="5"/>
      <c r="H770" s="306"/>
      <c r="I770" s="5"/>
      <c r="J770" s="5"/>
      <c r="K770" s="5"/>
      <c r="L770" s="5"/>
      <c r="M770" s="5"/>
      <c r="N770" s="5"/>
      <c r="O770" s="57"/>
      <c r="P770" s="5"/>
      <c r="Q770" s="5"/>
      <c r="R770" s="5"/>
      <c r="S770" s="5"/>
      <c r="T770" s="5"/>
      <c r="U770" s="5"/>
      <c r="V770" s="5"/>
      <c r="W770" s="5"/>
      <c r="X770" s="5"/>
      <c r="Y770" s="5"/>
      <c r="Z770" s="5"/>
    </row>
    <row r="771" spans="1:26" ht="12.75" customHeight="1">
      <c r="A771" s="5"/>
      <c r="B771" s="5"/>
      <c r="C771" s="5"/>
      <c r="D771" s="5"/>
      <c r="E771" s="5"/>
      <c r="F771" s="5"/>
      <c r="G771" s="5"/>
      <c r="H771" s="306"/>
      <c r="I771" s="5"/>
      <c r="J771" s="5"/>
      <c r="K771" s="5"/>
      <c r="L771" s="5"/>
      <c r="M771" s="5"/>
      <c r="N771" s="5"/>
      <c r="O771" s="57"/>
      <c r="P771" s="5"/>
      <c r="Q771" s="5"/>
      <c r="R771" s="5"/>
      <c r="S771" s="5"/>
      <c r="T771" s="5"/>
      <c r="U771" s="5"/>
      <c r="V771" s="5"/>
      <c r="W771" s="5"/>
      <c r="X771" s="5"/>
      <c r="Y771" s="5"/>
      <c r="Z771" s="5"/>
    </row>
    <row r="772" spans="1:26" ht="12.75" customHeight="1">
      <c r="A772" s="5"/>
      <c r="B772" s="5"/>
      <c r="C772" s="5"/>
      <c r="D772" s="5"/>
      <c r="E772" s="5"/>
      <c r="F772" s="5"/>
      <c r="G772" s="5"/>
      <c r="H772" s="306"/>
      <c r="I772" s="5"/>
      <c r="J772" s="5"/>
      <c r="K772" s="5"/>
      <c r="L772" s="5"/>
      <c r="M772" s="5"/>
      <c r="N772" s="5"/>
      <c r="O772" s="57"/>
      <c r="P772" s="5"/>
      <c r="Q772" s="5"/>
      <c r="R772" s="5"/>
      <c r="S772" s="5"/>
      <c r="T772" s="5"/>
      <c r="U772" s="5"/>
      <c r="V772" s="5"/>
      <c r="W772" s="5"/>
      <c r="X772" s="5"/>
      <c r="Y772" s="5"/>
      <c r="Z772" s="5"/>
    </row>
    <row r="773" spans="1:26" ht="12.75" customHeight="1">
      <c r="A773" s="5"/>
      <c r="B773" s="5"/>
      <c r="C773" s="5"/>
      <c r="D773" s="5"/>
      <c r="E773" s="5"/>
      <c r="F773" s="5"/>
      <c r="G773" s="5"/>
      <c r="H773" s="306"/>
      <c r="I773" s="5"/>
      <c r="J773" s="5"/>
      <c r="K773" s="5"/>
      <c r="L773" s="5"/>
      <c r="M773" s="5"/>
      <c r="N773" s="5"/>
      <c r="O773" s="57"/>
      <c r="P773" s="5"/>
      <c r="Q773" s="5"/>
      <c r="R773" s="5"/>
      <c r="S773" s="5"/>
      <c r="T773" s="5"/>
      <c r="U773" s="5"/>
      <c r="V773" s="5"/>
      <c r="W773" s="5"/>
      <c r="X773" s="5"/>
      <c r="Y773" s="5"/>
      <c r="Z773" s="5"/>
    </row>
    <row r="774" spans="1:26" ht="12.75" customHeight="1">
      <c r="A774" s="5"/>
      <c r="B774" s="5"/>
      <c r="C774" s="5"/>
      <c r="D774" s="5"/>
      <c r="E774" s="5"/>
      <c r="F774" s="5"/>
      <c r="G774" s="5"/>
      <c r="H774" s="306"/>
      <c r="I774" s="5"/>
      <c r="J774" s="5"/>
      <c r="K774" s="5"/>
      <c r="L774" s="5"/>
      <c r="M774" s="5"/>
      <c r="N774" s="5"/>
      <c r="O774" s="57"/>
      <c r="P774" s="5"/>
      <c r="Q774" s="5"/>
      <c r="R774" s="5"/>
      <c r="S774" s="5"/>
      <c r="T774" s="5"/>
      <c r="U774" s="5"/>
      <c r="V774" s="5"/>
      <c r="W774" s="5"/>
      <c r="X774" s="5"/>
      <c r="Y774" s="5"/>
      <c r="Z774" s="5"/>
    </row>
    <row r="775" spans="1:26" ht="12.75" customHeight="1">
      <c r="A775" s="5"/>
      <c r="B775" s="5"/>
      <c r="C775" s="5"/>
      <c r="D775" s="5"/>
      <c r="E775" s="5"/>
      <c r="F775" s="5"/>
      <c r="G775" s="5"/>
      <c r="H775" s="306"/>
      <c r="I775" s="5"/>
      <c r="J775" s="5"/>
      <c r="K775" s="5"/>
      <c r="L775" s="5"/>
      <c r="M775" s="5"/>
      <c r="N775" s="5"/>
      <c r="O775" s="57"/>
      <c r="P775" s="5"/>
      <c r="Q775" s="5"/>
      <c r="R775" s="5"/>
      <c r="S775" s="5"/>
      <c r="T775" s="5"/>
      <c r="U775" s="5"/>
      <c r="V775" s="5"/>
      <c r="W775" s="5"/>
      <c r="X775" s="5"/>
      <c r="Y775" s="5"/>
      <c r="Z775" s="5"/>
    </row>
    <row r="776" spans="1:26" ht="12.75" customHeight="1">
      <c r="A776" s="5"/>
      <c r="B776" s="5"/>
      <c r="C776" s="5"/>
      <c r="D776" s="5"/>
      <c r="E776" s="5"/>
      <c r="F776" s="5"/>
      <c r="G776" s="5"/>
      <c r="H776" s="306"/>
      <c r="I776" s="5"/>
      <c r="J776" s="5"/>
      <c r="K776" s="5"/>
      <c r="L776" s="5"/>
      <c r="M776" s="5"/>
      <c r="N776" s="5"/>
      <c r="O776" s="57"/>
      <c r="P776" s="5"/>
      <c r="Q776" s="5"/>
      <c r="R776" s="5"/>
      <c r="S776" s="5"/>
      <c r="T776" s="5"/>
      <c r="U776" s="5"/>
      <c r="V776" s="5"/>
      <c r="W776" s="5"/>
      <c r="X776" s="5"/>
      <c r="Y776" s="5"/>
      <c r="Z776" s="5"/>
    </row>
    <row r="777" spans="1:26" ht="12.75" customHeight="1">
      <c r="A777" s="5"/>
      <c r="B777" s="5"/>
      <c r="C777" s="5"/>
      <c r="D777" s="5"/>
      <c r="E777" s="5"/>
      <c r="F777" s="5"/>
      <c r="G777" s="5"/>
      <c r="H777" s="306"/>
      <c r="I777" s="5"/>
      <c r="J777" s="5"/>
      <c r="K777" s="5"/>
      <c r="L777" s="5"/>
      <c r="M777" s="5"/>
      <c r="N777" s="5"/>
      <c r="O777" s="57"/>
      <c r="P777" s="5"/>
      <c r="Q777" s="5"/>
      <c r="R777" s="5"/>
      <c r="S777" s="5"/>
      <c r="T777" s="5"/>
      <c r="U777" s="5"/>
      <c r="V777" s="5"/>
      <c r="W777" s="5"/>
      <c r="X777" s="5"/>
      <c r="Y777" s="5"/>
      <c r="Z777" s="5"/>
    </row>
    <row r="778" spans="1:26" ht="12.75" customHeight="1">
      <c r="A778" s="5"/>
      <c r="B778" s="5"/>
      <c r="C778" s="5"/>
      <c r="D778" s="5"/>
      <c r="E778" s="5"/>
      <c r="F778" s="5"/>
      <c r="G778" s="5"/>
      <c r="H778" s="306"/>
      <c r="I778" s="5"/>
      <c r="J778" s="5"/>
      <c r="K778" s="5"/>
      <c r="L778" s="5"/>
      <c r="M778" s="5"/>
      <c r="N778" s="5"/>
      <c r="O778" s="57"/>
      <c r="P778" s="5"/>
      <c r="Q778" s="5"/>
      <c r="R778" s="5"/>
      <c r="S778" s="5"/>
      <c r="T778" s="5"/>
      <c r="U778" s="5"/>
      <c r="V778" s="5"/>
      <c r="W778" s="5"/>
      <c r="X778" s="5"/>
      <c r="Y778" s="5"/>
      <c r="Z778" s="5"/>
    </row>
    <row r="779" spans="1:26" ht="12.75" customHeight="1">
      <c r="A779" s="5"/>
      <c r="B779" s="5"/>
      <c r="C779" s="5"/>
      <c r="D779" s="5"/>
      <c r="E779" s="5"/>
      <c r="F779" s="5"/>
      <c r="G779" s="5"/>
      <c r="H779" s="306"/>
      <c r="I779" s="5"/>
      <c r="J779" s="5"/>
      <c r="K779" s="5"/>
      <c r="L779" s="5"/>
      <c r="M779" s="5"/>
      <c r="N779" s="5"/>
      <c r="O779" s="57"/>
      <c r="P779" s="5"/>
      <c r="Q779" s="5"/>
      <c r="R779" s="5"/>
      <c r="S779" s="5"/>
      <c r="T779" s="5"/>
      <c r="U779" s="5"/>
      <c r="V779" s="5"/>
      <c r="W779" s="5"/>
      <c r="X779" s="5"/>
      <c r="Y779" s="5"/>
      <c r="Z779" s="5"/>
    </row>
    <row r="780" spans="1:26" ht="12.75" customHeight="1">
      <c r="A780" s="5"/>
      <c r="B780" s="5"/>
      <c r="C780" s="5"/>
      <c r="D780" s="5"/>
      <c r="E780" s="5"/>
      <c r="F780" s="5"/>
      <c r="G780" s="5"/>
      <c r="H780" s="306"/>
      <c r="I780" s="5"/>
      <c r="J780" s="5"/>
      <c r="K780" s="5"/>
      <c r="L780" s="5"/>
      <c r="M780" s="5"/>
      <c r="N780" s="5"/>
      <c r="O780" s="57"/>
      <c r="P780" s="5"/>
      <c r="Q780" s="5"/>
      <c r="R780" s="5"/>
      <c r="S780" s="5"/>
      <c r="T780" s="5"/>
      <c r="U780" s="5"/>
      <c r="V780" s="5"/>
      <c r="W780" s="5"/>
      <c r="X780" s="5"/>
      <c r="Y780" s="5"/>
      <c r="Z780" s="5"/>
    </row>
    <row r="781" spans="1:26" ht="12.75" customHeight="1">
      <c r="A781" s="5"/>
      <c r="B781" s="5"/>
      <c r="C781" s="5"/>
      <c r="D781" s="5"/>
      <c r="E781" s="5"/>
      <c r="F781" s="5"/>
      <c r="G781" s="5"/>
      <c r="H781" s="306"/>
      <c r="I781" s="5"/>
      <c r="J781" s="5"/>
      <c r="K781" s="5"/>
      <c r="L781" s="5"/>
      <c r="M781" s="5"/>
      <c r="N781" s="5"/>
      <c r="O781" s="57"/>
      <c r="P781" s="5"/>
      <c r="Q781" s="5"/>
      <c r="R781" s="5"/>
      <c r="S781" s="5"/>
      <c r="T781" s="5"/>
      <c r="U781" s="5"/>
      <c r="V781" s="5"/>
      <c r="W781" s="5"/>
      <c r="X781" s="5"/>
      <c r="Y781" s="5"/>
      <c r="Z781" s="5"/>
    </row>
    <row r="782" spans="1:26" ht="12.75" customHeight="1">
      <c r="A782" s="5"/>
      <c r="B782" s="5"/>
      <c r="C782" s="5"/>
      <c r="D782" s="5"/>
      <c r="E782" s="5"/>
      <c r="F782" s="5"/>
      <c r="G782" s="5"/>
      <c r="H782" s="306"/>
      <c r="I782" s="5"/>
      <c r="J782" s="5"/>
      <c r="K782" s="5"/>
      <c r="L782" s="5"/>
      <c r="M782" s="5"/>
      <c r="N782" s="5"/>
      <c r="O782" s="57"/>
      <c r="P782" s="5"/>
      <c r="Q782" s="5"/>
      <c r="R782" s="5"/>
      <c r="S782" s="5"/>
      <c r="T782" s="5"/>
      <c r="U782" s="5"/>
      <c r="V782" s="5"/>
      <c r="W782" s="5"/>
      <c r="X782" s="5"/>
      <c r="Y782" s="5"/>
      <c r="Z782" s="5"/>
    </row>
    <row r="783" spans="1:26" ht="12.75" customHeight="1">
      <c r="A783" s="5"/>
      <c r="B783" s="5"/>
      <c r="C783" s="5"/>
      <c r="D783" s="5"/>
      <c r="E783" s="5"/>
      <c r="F783" s="5"/>
      <c r="G783" s="5"/>
      <c r="H783" s="306"/>
      <c r="I783" s="5"/>
      <c r="J783" s="5"/>
      <c r="K783" s="5"/>
      <c r="L783" s="5"/>
      <c r="M783" s="5"/>
      <c r="N783" s="5"/>
      <c r="O783" s="57"/>
      <c r="P783" s="5"/>
      <c r="Q783" s="5"/>
      <c r="R783" s="5"/>
      <c r="S783" s="5"/>
      <c r="T783" s="5"/>
      <c r="U783" s="5"/>
      <c r="V783" s="5"/>
      <c r="W783" s="5"/>
      <c r="X783" s="5"/>
      <c r="Y783" s="5"/>
      <c r="Z783" s="5"/>
    </row>
    <row r="784" spans="1:26" ht="12.75" customHeight="1">
      <c r="A784" s="5"/>
      <c r="B784" s="5"/>
      <c r="C784" s="5"/>
      <c r="D784" s="5"/>
      <c r="E784" s="5"/>
      <c r="F784" s="5"/>
      <c r="G784" s="5"/>
      <c r="H784" s="306"/>
      <c r="I784" s="5"/>
      <c r="J784" s="5"/>
      <c r="K784" s="5"/>
      <c r="L784" s="5"/>
      <c r="M784" s="5"/>
      <c r="N784" s="5"/>
      <c r="O784" s="57"/>
      <c r="P784" s="5"/>
      <c r="Q784" s="5"/>
      <c r="R784" s="5"/>
      <c r="S784" s="5"/>
      <c r="T784" s="5"/>
      <c r="U784" s="5"/>
      <c r="V784" s="5"/>
      <c r="W784" s="5"/>
      <c r="X784" s="5"/>
      <c r="Y784" s="5"/>
      <c r="Z784" s="5"/>
    </row>
    <row r="785" spans="1:26" ht="12.75" customHeight="1">
      <c r="A785" s="5"/>
      <c r="B785" s="5"/>
      <c r="C785" s="5"/>
      <c r="D785" s="5"/>
      <c r="E785" s="5"/>
      <c r="F785" s="5"/>
      <c r="G785" s="5"/>
      <c r="H785" s="306"/>
      <c r="I785" s="5"/>
      <c r="J785" s="5"/>
      <c r="K785" s="5"/>
      <c r="L785" s="5"/>
      <c r="M785" s="5"/>
      <c r="N785" s="5"/>
      <c r="O785" s="57"/>
      <c r="P785" s="5"/>
      <c r="Q785" s="5"/>
      <c r="R785" s="5"/>
      <c r="S785" s="5"/>
      <c r="T785" s="5"/>
      <c r="U785" s="5"/>
      <c r="V785" s="5"/>
      <c r="W785" s="5"/>
      <c r="X785" s="5"/>
      <c r="Y785" s="5"/>
      <c r="Z785" s="5"/>
    </row>
    <row r="786" spans="1:26" ht="12.75" customHeight="1">
      <c r="A786" s="5"/>
      <c r="B786" s="5"/>
      <c r="C786" s="5"/>
      <c r="D786" s="5"/>
      <c r="E786" s="5"/>
      <c r="F786" s="5"/>
      <c r="G786" s="5"/>
      <c r="H786" s="306"/>
      <c r="I786" s="5"/>
      <c r="J786" s="5"/>
      <c r="K786" s="5"/>
      <c r="L786" s="5"/>
      <c r="M786" s="5"/>
      <c r="N786" s="5"/>
      <c r="O786" s="57"/>
      <c r="P786" s="5"/>
      <c r="Q786" s="5"/>
      <c r="R786" s="5"/>
      <c r="S786" s="5"/>
      <c r="T786" s="5"/>
      <c r="U786" s="5"/>
      <c r="V786" s="5"/>
      <c r="W786" s="5"/>
      <c r="X786" s="5"/>
      <c r="Y786" s="5"/>
      <c r="Z786" s="5"/>
    </row>
    <row r="787" spans="1:26" ht="12.75" customHeight="1">
      <c r="A787" s="5"/>
      <c r="B787" s="5"/>
      <c r="C787" s="5"/>
      <c r="D787" s="5"/>
      <c r="E787" s="5"/>
      <c r="F787" s="5"/>
      <c r="G787" s="5"/>
      <c r="H787" s="306"/>
      <c r="I787" s="5"/>
      <c r="J787" s="5"/>
      <c r="K787" s="5"/>
      <c r="L787" s="5"/>
      <c r="M787" s="5"/>
      <c r="N787" s="5"/>
      <c r="O787" s="57"/>
      <c r="P787" s="5"/>
      <c r="Q787" s="5"/>
      <c r="R787" s="5"/>
      <c r="S787" s="5"/>
      <c r="T787" s="5"/>
      <c r="U787" s="5"/>
      <c r="V787" s="5"/>
      <c r="W787" s="5"/>
      <c r="X787" s="5"/>
      <c r="Y787" s="5"/>
      <c r="Z787" s="5"/>
    </row>
    <row r="788" spans="1:26" ht="12.75" customHeight="1">
      <c r="A788" s="5"/>
      <c r="B788" s="5"/>
      <c r="C788" s="5"/>
      <c r="D788" s="5"/>
      <c r="E788" s="5"/>
      <c r="F788" s="5"/>
      <c r="G788" s="5"/>
      <c r="H788" s="306"/>
      <c r="I788" s="5"/>
      <c r="J788" s="5"/>
      <c r="K788" s="5"/>
      <c r="L788" s="5"/>
      <c r="M788" s="5"/>
      <c r="N788" s="5"/>
      <c r="O788" s="57"/>
      <c r="P788" s="5"/>
      <c r="Q788" s="5"/>
      <c r="R788" s="5"/>
      <c r="S788" s="5"/>
      <c r="T788" s="5"/>
      <c r="U788" s="5"/>
      <c r="V788" s="5"/>
      <c r="W788" s="5"/>
      <c r="X788" s="5"/>
      <c r="Y788" s="5"/>
      <c r="Z788" s="5"/>
    </row>
    <row r="789" spans="1:26" ht="12.75" customHeight="1">
      <c r="A789" s="5"/>
      <c r="B789" s="5"/>
      <c r="C789" s="5"/>
      <c r="D789" s="5"/>
      <c r="E789" s="5"/>
      <c r="F789" s="5"/>
      <c r="G789" s="5"/>
      <c r="H789" s="306"/>
      <c r="I789" s="5"/>
      <c r="J789" s="5"/>
      <c r="K789" s="5"/>
      <c r="L789" s="5"/>
      <c r="M789" s="5"/>
      <c r="N789" s="5"/>
      <c r="O789" s="57"/>
      <c r="P789" s="5"/>
      <c r="Q789" s="5"/>
      <c r="R789" s="5"/>
      <c r="S789" s="5"/>
      <c r="T789" s="5"/>
      <c r="U789" s="5"/>
      <c r="V789" s="5"/>
      <c r="W789" s="5"/>
      <c r="X789" s="5"/>
      <c r="Y789" s="5"/>
      <c r="Z789" s="5"/>
    </row>
    <row r="790" spans="1:26" ht="12.75" customHeight="1">
      <c r="A790" s="5"/>
      <c r="B790" s="5"/>
      <c r="C790" s="5"/>
      <c r="D790" s="5"/>
      <c r="E790" s="5"/>
      <c r="F790" s="5"/>
      <c r="G790" s="5"/>
      <c r="H790" s="306"/>
      <c r="I790" s="5"/>
      <c r="J790" s="5"/>
      <c r="K790" s="5"/>
      <c r="L790" s="5"/>
      <c r="M790" s="5"/>
      <c r="N790" s="5"/>
      <c r="O790" s="57"/>
      <c r="P790" s="5"/>
      <c r="Q790" s="5"/>
      <c r="R790" s="5"/>
      <c r="S790" s="5"/>
      <c r="T790" s="5"/>
      <c r="U790" s="5"/>
      <c r="V790" s="5"/>
      <c r="W790" s="5"/>
      <c r="X790" s="5"/>
      <c r="Y790" s="5"/>
      <c r="Z790" s="5"/>
    </row>
    <row r="791" spans="1:26" ht="12.75" customHeight="1">
      <c r="A791" s="5"/>
      <c r="B791" s="5"/>
      <c r="C791" s="5"/>
      <c r="D791" s="5"/>
      <c r="E791" s="5"/>
      <c r="F791" s="5"/>
      <c r="G791" s="5"/>
      <c r="H791" s="306"/>
      <c r="I791" s="5"/>
      <c r="J791" s="5"/>
      <c r="K791" s="5"/>
      <c r="L791" s="5"/>
      <c r="M791" s="5"/>
      <c r="N791" s="5"/>
      <c r="O791" s="57"/>
      <c r="P791" s="5"/>
      <c r="Q791" s="5"/>
      <c r="R791" s="5"/>
      <c r="S791" s="5"/>
      <c r="T791" s="5"/>
      <c r="U791" s="5"/>
      <c r="V791" s="5"/>
      <c r="W791" s="5"/>
      <c r="X791" s="5"/>
      <c r="Y791" s="5"/>
      <c r="Z791" s="5"/>
    </row>
    <row r="792" spans="1:26" ht="12.75" customHeight="1">
      <c r="A792" s="5"/>
      <c r="B792" s="5"/>
      <c r="C792" s="5"/>
      <c r="D792" s="5"/>
      <c r="E792" s="5"/>
      <c r="F792" s="5"/>
      <c r="G792" s="5"/>
      <c r="H792" s="306"/>
      <c r="I792" s="5"/>
      <c r="J792" s="5"/>
      <c r="K792" s="5"/>
      <c r="L792" s="5"/>
      <c r="M792" s="5"/>
      <c r="N792" s="5"/>
      <c r="O792" s="57"/>
      <c r="P792" s="5"/>
      <c r="Q792" s="5"/>
      <c r="R792" s="5"/>
      <c r="S792" s="5"/>
      <c r="T792" s="5"/>
      <c r="U792" s="5"/>
      <c r="V792" s="5"/>
      <c r="W792" s="5"/>
      <c r="X792" s="5"/>
      <c r="Y792" s="5"/>
      <c r="Z792" s="5"/>
    </row>
    <row r="793" spans="1:26" ht="12.75" customHeight="1">
      <c r="A793" s="5"/>
      <c r="B793" s="5"/>
      <c r="C793" s="5"/>
      <c r="D793" s="5"/>
      <c r="E793" s="5"/>
      <c r="F793" s="5"/>
      <c r="G793" s="5"/>
      <c r="H793" s="306"/>
      <c r="I793" s="5"/>
      <c r="J793" s="5"/>
      <c r="K793" s="5"/>
      <c r="L793" s="5"/>
      <c r="M793" s="5"/>
      <c r="N793" s="5"/>
      <c r="O793" s="57"/>
      <c r="P793" s="5"/>
      <c r="Q793" s="5"/>
      <c r="R793" s="5"/>
      <c r="S793" s="5"/>
      <c r="T793" s="5"/>
      <c r="U793" s="5"/>
      <c r="V793" s="5"/>
      <c r="W793" s="5"/>
      <c r="X793" s="5"/>
      <c r="Y793" s="5"/>
      <c r="Z793" s="5"/>
    </row>
    <row r="794" spans="1:26" ht="12.75" customHeight="1">
      <c r="A794" s="5"/>
      <c r="B794" s="5"/>
      <c r="C794" s="5"/>
      <c r="D794" s="5"/>
      <c r="E794" s="5"/>
      <c r="F794" s="5"/>
      <c r="G794" s="5"/>
      <c r="H794" s="306"/>
      <c r="I794" s="5"/>
      <c r="J794" s="5"/>
      <c r="K794" s="5"/>
      <c r="L794" s="5"/>
      <c r="M794" s="5"/>
      <c r="N794" s="5"/>
      <c r="O794" s="57"/>
      <c r="P794" s="5"/>
      <c r="Q794" s="5"/>
      <c r="R794" s="5"/>
      <c r="S794" s="5"/>
      <c r="T794" s="5"/>
      <c r="U794" s="5"/>
      <c r="V794" s="5"/>
      <c r="W794" s="5"/>
      <c r="X794" s="5"/>
      <c r="Y794" s="5"/>
      <c r="Z794" s="5"/>
    </row>
    <row r="795" spans="1:26" ht="12.75" customHeight="1">
      <c r="A795" s="5"/>
      <c r="B795" s="5"/>
      <c r="C795" s="5"/>
      <c r="D795" s="5"/>
      <c r="E795" s="5"/>
      <c r="F795" s="5"/>
      <c r="G795" s="5"/>
      <c r="H795" s="306"/>
      <c r="I795" s="5"/>
      <c r="J795" s="5"/>
      <c r="K795" s="5"/>
      <c r="L795" s="5"/>
      <c r="M795" s="5"/>
      <c r="N795" s="5"/>
      <c r="O795" s="57"/>
      <c r="P795" s="5"/>
      <c r="Q795" s="5"/>
      <c r="R795" s="5"/>
      <c r="S795" s="5"/>
      <c r="T795" s="5"/>
      <c r="U795" s="5"/>
      <c r="V795" s="5"/>
      <c r="W795" s="5"/>
      <c r="X795" s="5"/>
      <c r="Y795" s="5"/>
      <c r="Z795" s="5"/>
    </row>
    <row r="796" spans="1:26" ht="12.75" customHeight="1">
      <c r="A796" s="5"/>
      <c r="B796" s="5"/>
      <c r="C796" s="5"/>
      <c r="D796" s="5"/>
      <c r="E796" s="5"/>
      <c r="F796" s="5"/>
      <c r="G796" s="5"/>
      <c r="H796" s="306"/>
      <c r="I796" s="5"/>
      <c r="J796" s="5"/>
      <c r="K796" s="5"/>
      <c r="L796" s="5"/>
      <c r="M796" s="5"/>
      <c r="N796" s="5"/>
      <c r="O796" s="57"/>
      <c r="P796" s="5"/>
      <c r="Q796" s="5"/>
      <c r="R796" s="5"/>
      <c r="S796" s="5"/>
      <c r="T796" s="5"/>
      <c r="U796" s="5"/>
      <c r="V796" s="5"/>
      <c r="W796" s="5"/>
      <c r="X796" s="5"/>
      <c r="Y796" s="5"/>
      <c r="Z796" s="5"/>
    </row>
    <row r="797" spans="1:26" ht="12.75" customHeight="1">
      <c r="A797" s="5"/>
      <c r="B797" s="5"/>
      <c r="C797" s="5"/>
      <c r="D797" s="5"/>
      <c r="E797" s="5"/>
      <c r="F797" s="5"/>
      <c r="G797" s="5"/>
      <c r="H797" s="306"/>
      <c r="I797" s="5"/>
      <c r="J797" s="5"/>
      <c r="K797" s="5"/>
      <c r="L797" s="5"/>
      <c r="M797" s="5"/>
      <c r="N797" s="5"/>
      <c r="O797" s="57"/>
      <c r="P797" s="5"/>
      <c r="Q797" s="5"/>
      <c r="R797" s="5"/>
      <c r="S797" s="5"/>
      <c r="T797" s="5"/>
      <c r="U797" s="5"/>
      <c r="V797" s="5"/>
      <c r="W797" s="5"/>
      <c r="X797" s="5"/>
      <c r="Y797" s="5"/>
      <c r="Z797" s="5"/>
    </row>
    <row r="798" spans="1:26" ht="12.75" customHeight="1">
      <c r="A798" s="5"/>
      <c r="B798" s="5"/>
      <c r="C798" s="5"/>
      <c r="D798" s="5"/>
      <c r="E798" s="5"/>
      <c r="F798" s="5"/>
      <c r="G798" s="5"/>
      <c r="H798" s="306"/>
      <c r="I798" s="5"/>
      <c r="J798" s="5"/>
      <c r="K798" s="5"/>
      <c r="L798" s="5"/>
      <c r="M798" s="5"/>
      <c r="N798" s="5"/>
      <c r="O798" s="57"/>
      <c r="P798" s="5"/>
      <c r="Q798" s="5"/>
      <c r="R798" s="5"/>
      <c r="S798" s="5"/>
      <c r="T798" s="5"/>
      <c r="U798" s="5"/>
      <c r="V798" s="5"/>
      <c r="W798" s="5"/>
      <c r="X798" s="5"/>
      <c r="Y798" s="5"/>
      <c r="Z798" s="5"/>
    </row>
    <row r="799" spans="1:26" ht="12.75" customHeight="1">
      <c r="A799" s="5"/>
      <c r="B799" s="5"/>
      <c r="C799" s="5"/>
      <c r="D799" s="5"/>
      <c r="E799" s="5"/>
      <c r="F799" s="5"/>
      <c r="G799" s="5"/>
      <c r="H799" s="306"/>
      <c r="I799" s="5"/>
      <c r="J799" s="5"/>
      <c r="K799" s="5"/>
      <c r="L799" s="5"/>
      <c r="M799" s="5"/>
      <c r="N799" s="5"/>
      <c r="O799" s="57"/>
      <c r="P799" s="5"/>
      <c r="Q799" s="5"/>
      <c r="R799" s="5"/>
      <c r="S799" s="5"/>
      <c r="T799" s="5"/>
      <c r="U799" s="5"/>
      <c r="V799" s="5"/>
      <c r="W799" s="5"/>
      <c r="X799" s="5"/>
      <c r="Y799" s="5"/>
      <c r="Z799" s="5"/>
    </row>
    <row r="800" spans="1:26" ht="12.75" customHeight="1">
      <c r="A800" s="5"/>
      <c r="B800" s="5"/>
      <c r="C800" s="5"/>
      <c r="D800" s="5"/>
      <c r="E800" s="5"/>
      <c r="F800" s="5"/>
      <c r="G800" s="5"/>
      <c r="H800" s="306"/>
      <c r="I800" s="5"/>
      <c r="J800" s="5"/>
      <c r="K800" s="5"/>
      <c r="L800" s="5"/>
      <c r="M800" s="5"/>
      <c r="N800" s="5"/>
      <c r="O800" s="57"/>
      <c r="P800" s="5"/>
      <c r="Q800" s="5"/>
      <c r="R800" s="5"/>
      <c r="S800" s="5"/>
      <c r="T800" s="5"/>
      <c r="U800" s="5"/>
      <c r="V800" s="5"/>
      <c r="W800" s="5"/>
      <c r="X800" s="5"/>
      <c r="Y800" s="5"/>
      <c r="Z800" s="5"/>
    </row>
    <row r="801" spans="1:26" ht="12.75" customHeight="1">
      <c r="A801" s="5"/>
      <c r="B801" s="5"/>
      <c r="C801" s="5"/>
      <c r="D801" s="5"/>
      <c r="E801" s="5"/>
      <c r="F801" s="5"/>
      <c r="G801" s="5"/>
      <c r="H801" s="306"/>
      <c r="I801" s="5"/>
      <c r="J801" s="5"/>
      <c r="K801" s="5"/>
      <c r="L801" s="5"/>
      <c r="M801" s="5"/>
      <c r="N801" s="5"/>
      <c r="O801" s="57"/>
      <c r="P801" s="5"/>
      <c r="Q801" s="5"/>
      <c r="R801" s="5"/>
      <c r="S801" s="5"/>
      <c r="T801" s="5"/>
      <c r="U801" s="5"/>
      <c r="V801" s="5"/>
      <c r="W801" s="5"/>
      <c r="X801" s="5"/>
      <c r="Y801" s="5"/>
      <c r="Z801" s="5"/>
    </row>
    <row r="802" spans="1:26" ht="12.75" customHeight="1">
      <c r="A802" s="5"/>
      <c r="B802" s="5"/>
      <c r="C802" s="5"/>
      <c r="D802" s="5"/>
      <c r="E802" s="5"/>
      <c r="F802" s="5"/>
      <c r="G802" s="5"/>
      <c r="H802" s="306"/>
      <c r="I802" s="5"/>
      <c r="J802" s="5"/>
      <c r="K802" s="5"/>
      <c r="L802" s="5"/>
      <c r="M802" s="5"/>
      <c r="N802" s="5"/>
      <c r="O802" s="57"/>
      <c r="P802" s="5"/>
      <c r="Q802" s="5"/>
      <c r="R802" s="5"/>
      <c r="S802" s="5"/>
      <c r="T802" s="5"/>
      <c r="U802" s="5"/>
      <c r="V802" s="5"/>
      <c r="W802" s="5"/>
      <c r="X802" s="5"/>
      <c r="Y802" s="5"/>
      <c r="Z802" s="5"/>
    </row>
    <row r="803" spans="1:26" ht="12.75" customHeight="1">
      <c r="A803" s="5"/>
      <c r="B803" s="5"/>
      <c r="C803" s="5"/>
      <c r="D803" s="5"/>
      <c r="E803" s="5"/>
      <c r="F803" s="5"/>
      <c r="G803" s="5"/>
      <c r="H803" s="306"/>
      <c r="I803" s="5"/>
      <c r="J803" s="5"/>
      <c r="K803" s="5"/>
      <c r="L803" s="5"/>
      <c r="M803" s="5"/>
      <c r="N803" s="5"/>
      <c r="O803" s="57"/>
      <c r="P803" s="5"/>
      <c r="Q803" s="5"/>
      <c r="R803" s="5"/>
      <c r="S803" s="5"/>
      <c r="T803" s="5"/>
      <c r="U803" s="5"/>
      <c r="V803" s="5"/>
      <c r="W803" s="5"/>
      <c r="X803" s="5"/>
      <c r="Y803" s="5"/>
      <c r="Z803" s="5"/>
    </row>
    <row r="804" spans="1:26" ht="12.75" customHeight="1">
      <c r="A804" s="5"/>
      <c r="B804" s="5"/>
      <c r="C804" s="5"/>
      <c r="D804" s="5"/>
      <c r="E804" s="5"/>
      <c r="F804" s="5"/>
      <c r="G804" s="5"/>
      <c r="H804" s="306"/>
      <c r="I804" s="5"/>
      <c r="J804" s="5"/>
      <c r="K804" s="5"/>
      <c r="L804" s="5"/>
      <c r="M804" s="5"/>
      <c r="N804" s="5"/>
      <c r="O804" s="57"/>
      <c r="P804" s="5"/>
      <c r="Q804" s="5"/>
      <c r="R804" s="5"/>
      <c r="S804" s="5"/>
      <c r="T804" s="5"/>
      <c r="U804" s="5"/>
      <c r="V804" s="5"/>
      <c r="W804" s="5"/>
      <c r="X804" s="5"/>
      <c r="Y804" s="5"/>
      <c r="Z804" s="5"/>
    </row>
    <row r="805" spans="1:26" ht="12.75" customHeight="1">
      <c r="A805" s="5"/>
      <c r="B805" s="5"/>
      <c r="C805" s="5"/>
      <c r="D805" s="5"/>
      <c r="E805" s="5"/>
      <c r="F805" s="5"/>
      <c r="G805" s="5"/>
      <c r="H805" s="306"/>
      <c r="I805" s="5"/>
      <c r="J805" s="5"/>
      <c r="K805" s="5"/>
      <c r="L805" s="5"/>
      <c r="M805" s="5"/>
      <c r="N805" s="5"/>
      <c r="O805" s="57"/>
      <c r="P805" s="5"/>
      <c r="Q805" s="5"/>
      <c r="R805" s="5"/>
      <c r="S805" s="5"/>
      <c r="T805" s="5"/>
      <c r="U805" s="5"/>
      <c r="V805" s="5"/>
      <c r="W805" s="5"/>
      <c r="X805" s="5"/>
      <c r="Y805" s="5"/>
      <c r="Z805" s="5"/>
    </row>
    <row r="806" spans="1:26" ht="12.75" customHeight="1">
      <c r="A806" s="5"/>
      <c r="B806" s="5"/>
      <c r="C806" s="5"/>
      <c r="D806" s="5"/>
      <c r="E806" s="5"/>
      <c r="F806" s="5"/>
      <c r="G806" s="5"/>
      <c r="H806" s="306"/>
      <c r="I806" s="5"/>
      <c r="J806" s="5"/>
      <c r="K806" s="5"/>
      <c r="L806" s="5"/>
      <c r="M806" s="5"/>
      <c r="N806" s="5"/>
      <c r="O806" s="57"/>
      <c r="P806" s="5"/>
      <c r="Q806" s="5"/>
      <c r="R806" s="5"/>
      <c r="S806" s="5"/>
      <c r="T806" s="5"/>
      <c r="U806" s="5"/>
      <c r="V806" s="5"/>
      <c r="W806" s="5"/>
      <c r="X806" s="5"/>
      <c r="Y806" s="5"/>
      <c r="Z806" s="5"/>
    </row>
    <row r="807" spans="1:26" ht="12.75" customHeight="1">
      <c r="A807" s="5"/>
      <c r="B807" s="5"/>
      <c r="C807" s="5"/>
      <c r="D807" s="5"/>
      <c r="E807" s="5"/>
      <c r="F807" s="5"/>
      <c r="G807" s="5"/>
      <c r="H807" s="306"/>
      <c r="I807" s="5"/>
      <c r="J807" s="5"/>
      <c r="K807" s="5"/>
      <c r="L807" s="5"/>
      <c r="M807" s="5"/>
      <c r="N807" s="5"/>
      <c r="O807" s="57"/>
      <c r="P807" s="5"/>
      <c r="Q807" s="5"/>
      <c r="R807" s="5"/>
      <c r="S807" s="5"/>
      <c r="T807" s="5"/>
      <c r="U807" s="5"/>
      <c r="V807" s="5"/>
      <c r="W807" s="5"/>
      <c r="X807" s="5"/>
      <c r="Y807" s="5"/>
      <c r="Z807" s="5"/>
    </row>
    <row r="808" spans="1:26" ht="12.75" customHeight="1">
      <c r="A808" s="5"/>
      <c r="B808" s="5"/>
      <c r="C808" s="5"/>
      <c r="D808" s="5"/>
      <c r="E808" s="5"/>
      <c r="F808" s="5"/>
      <c r="G808" s="5"/>
      <c r="H808" s="306"/>
      <c r="I808" s="5"/>
      <c r="J808" s="5"/>
      <c r="K808" s="5"/>
      <c r="L808" s="5"/>
      <c r="M808" s="5"/>
      <c r="N808" s="5"/>
      <c r="O808" s="57"/>
      <c r="P808" s="5"/>
      <c r="Q808" s="5"/>
      <c r="R808" s="5"/>
      <c r="S808" s="5"/>
      <c r="T808" s="5"/>
      <c r="U808" s="5"/>
      <c r="V808" s="5"/>
      <c r="W808" s="5"/>
      <c r="X808" s="5"/>
      <c r="Y808" s="5"/>
      <c r="Z808" s="5"/>
    </row>
    <row r="809" spans="1:26" ht="12.75" customHeight="1">
      <c r="A809" s="5"/>
      <c r="B809" s="5"/>
      <c r="C809" s="5"/>
      <c r="D809" s="5"/>
      <c r="E809" s="5"/>
      <c r="F809" s="5"/>
      <c r="G809" s="5"/>
      <c r="H809" s="306"/>
      <c r="I809" s="5"/>
      <c r="J809" s="5"/>
      <c r="K809" s="5"/>
      <c r="L809" s="5"/>
      <c r="M809" s="5"/>
      <c r="N809" s="5"/>
      <c r="O809" s="57"/>
      <c r="P809" s="5"/>
      <c r="Q809" s="5"/>
      <c r="R809" s="5"/>
      <c r="S809" s="5"/>
      <c r="T809" s="5"/>
      <c r="U809" s="5"/>
      <c r="V809" s="5"/>
      <c r="W809" s="5"/>
      <c r="X809" s="5"/>
      <c r="Y809" s="5"/>
      <c r="Z809" s="5"/>
    </row>
    <row r="810" spans="1:26" ht="12.75" customHeight="1">
      <c r="A810" s="5"/>
      <c r="B810" s="5"/>
      <c r="C810" s="5"/>
      <c r="D810" s="5"/>
      <c r="E810" s="5"/>
      <c r="F810" s="5"/>
      <c r="G810" s="5"/>
      <c r="H810" s="306"/>
      <c r="I810" s="5"/>
      <c r="J810" s="5"/>
      <c r="K810" s="5"/>
      <c r="L810" s="5"/>
      <c r="M810" s="5"/>
      <c r="N810" s="5"/>
      <c r="O810" s="57"/>
      <c r="P810" s="5"/>
      <c r="Q810" s="5"/>
      <c r="R810" s="5"/>
      <c r="S810" s="5"/>
      <c r="T810" s="5"/>
      <c r="U810" s="5"/>
      <c r="V810" s="5"/>
      <c r="W810" s="5"/>
      <c r="X810" s="5"/>
      <c r="Y810" s="5"/>
      <c r="Z810" s="5"/>
    </row>
    <row r="811" spans="1:26" ht="12.75" customHeight="1">
      <c r="A811" s="5"/>
      <c r="B811" s="5"/>
      <c r="C811" s="5"/>
      <c r="D811" s="5"/>
      <c r="E811" s="5"/>
      <c r="F811" s="5"/>
      <c r="G811" s="5"/>
      <c r="H811" s="306"/>
      <c r="I811" s="5"/>
      <c r="J811" s="5"/>
      <c r="K811" s="5"/>
      <c r="L811" s="5"/>
      <c r="M811" s="5"/>
      <c r="N811" s="5"/>
      <c r="O811" s="57"/>
      <c r="P811" s="5"/>
      <c r="Q811" s="5"/>
      <c r="R811" s="5"/>
      <c r="S811" s="5"/>
      <c r="T811" s="5"/>
      <c r="U811" s="5"/>
      <c r="V811" s="5"/>
      <c r="W811" s="5"/>
      <c r="X811" s="5"/>
      <c r="Y811" s="5"/>
      <c r="Z811" s="5"/>
    </row>
    <row r="812" spans="1:26" ht="12.75" customHeight="1">
      <c r="A812" s="5"/>
      <c r="B812" s="5"/>
      <c r="C812" s="5"/>
      <c r="D812" s="5"/>
      <c r="E812" s="5"/>
      <c r="F812" s="5"/>
      <c r="G812" s="5"/>
      <c r="H812" s="306"/>
      <c r="I812" s="5"/>
      <c r="J812" s="5"/>
      <c r="K812" s="5"/>
      <c r="L812" s="5"/>
      <c r="M812" s="5"/>
      <c r="N812" s="5"/>
      <c r="O812" s="57"/>
      <c r="P812" s="5"/>
      <c r="Q812" s="5"/>
      <c r="R812" s="5"/>
      <c r="S812" s="5"/>
      <c r="T812" s="5"/>
      <c r="U812" s="5"/>
      <c r="V812" s="5"/>
      <c r="W812" s="5"/>
      <c r="X812" s="5"/>
      <c r="Y812" s="5"/>
      <c r="Z812" s="5"/>
    </row>
    <row r="813" spans="1:26" ht="12.75" customHeight="1">
      <c r="A813" s="5"/>
      <c r="B813" s="5"/>
      <c r="C813" s="5"/>
      <c r="D813" s="5"/>
      <c r="E813" s="5"/>
      <c r="F813" s="5"/>
      <c r="G813" s="5"/>
      <c r="H813" s="306"/>
      <c r="I813" s="5"/>
      <c r="J813" s="5"/>
      <c r="K813" s="5"/>
      <c r="L813" s="5"/>
      <c r="M813" s="5"/>
      <c r="N813" s="5"/>
      <c r="O813" s="57"/>
      <c r="P813" s="5"/>
      <c r="Q813" s="5"/>
      <c r="R813" s="5"/>
      <c r="S813" s="5"/>
      <c r="T813" s="5"/>
      <c r="U813" s="5"/>
      <c r="V813" s="5"/>
      <c r="W813" s="5"/>
      <c r="X813" s="5"/>
      <c r="Y813" s="5"/>
      <c r="Z813" s="5"/>
    </row>
    <row r="814" spans="1:26" ht="12.75" customHeight="1">
      <c r="A814" s="5"/>
      <c r="B814" s="5"/>
      <c r="C814" s="5"/>
      <c r="D814" s="5"/>
      <c r="E814" s="5"/>
      <c r="F814" s="5"/>
      <c r="G814" s="5"/>
      <c r="H814" s="306"/>
      <c r="I814" s="5"/>
      <c r="J814" s="5"/>
      <c r="K814" s="5"/>
      <c r="L814" s="5"/>
      <c r="M814" s="5"/>
      <c r="N814" s="5"/>
      <c r="O814" s="57"/>
      <c r="P814" s="5"/>
      <c r="Q814" s="5"/>
      <c r="R814" s="5"/>
      <c r="S814" s="5"/>
      <c r="T814" s="5"/>
      <c r="U814" s="5"/>
      <c r="V814" s="5"/>
      <c r="W814" s="5"/>
      <c r="X814" s="5"/>
      <c r="Y814" s="5"/>
      <c r="Z814" s="5"/>
    </row>
    <row r="815" spans="1:26" ht="12.75" customHeight="1">
      <c r="A815" s="5"/>
      <c r="B815" s="5"/>
      <c r="C815" s="5"/>
      <c r="D815" s="5"/>
      <c r="E815" s="5"/>
      <c r="F815" s="5"/>
      <c r="G815" s="5"/>
      <c r="H815" s="306"/>
      <c r="I815" s="5"/>
      <c r="J815" s="5"/>
      <c r="K815" s="5"/>
      <c r="L815" s="5"/>
      <c r="M815" s="5"/>
      <c r="N815" s="5"/>
      <c r="O815" s="57"/>
      <c r="P815" s="5"/>
      <c r="Q815" s="5"/>
      <c r="R815" s="5"/>
      <c r="S815" s="5"/>
      <c r="T815" s="5"/>
      <c r="U815" s="5"/>
      <c r="V815" s="5"/>
      <c r="W815" s="5"/>
      <c r="X815" s="5"/>
      <c r="Y815" s="5"/>
      <c r="Z815" s="5"/>
    </row>
    <row r="816" spans="1:26" ht="12.75" customHeight="1">
      <c r="A816" s="5"/>
      <c r="B816" s="5"/>
      <c r="C816" s="5"/>
      <c r="D816" s="5"/>
      <c r="E816" s="5"/>
      <c r="F816" s="5"/>
      <c r="G816" s="5"/>
      <c r="H816" s="306"/>
      <c r="I816" s="5"/>
      <c r="J816" s="5"/>
      <c r="K816" s="5"/>
      <c r="L816" s="5"/>
      <c r="M816" s="5"/>
      <c r="N816" s="5"/>
      <c r="O816" s="57"/>
      <c r="P816" s="5"/>
      <c r="Q816" s="5"/>
      <c r="R816" s="5"/>
      <c r="S816" s="5"/>
      <c r="T816" s="5"/>
      <c r="U816" s="5"/>
      <c r="V816" s="5"/>
      <c r="W816" s="5"/>
      <c r="X816" s="5"/>
      <c r="Y816" s="5"/>
      <c r="Z816" s="5"/>
    </row>
    <row r="817" spans="1:26" ht="12.75" customHeight="1">
      <c r="A817" s="5"/>
      <c r="B817" s="5"/>
      <c r="C817" s="5"/>
      <c r="D817" s="5"/>
      <c r="E817" s="5"/>
      <c r="F817" s="5"/>
      <c r="G817" s="5"/>
      <c r="H817" s="306"/>
      <c r="I817" s="5"/>
      <c r="J817" s="5"/>
      <c r="K817" s="5"/>
      <c r="L817" s="5"/>
      <c r="M817" s="5"/>
      <c r="N817" s="5"/>
      <c r="O817" s="57"/>
      <c r="P817" s="5"/>
      <c r="Q817" s="5"/>
      <c r="R817" s="5"/>
      <c r="S817" s="5"/>
      <c r="T817" s="5"/>
      <c r="U817" s="5"/>
      <c r="V817" s="5"/>
      <c r="W817" s="5"/>
      <c r="X817" s="5"/>
      <c r="Y817" s="5"/>
      <c r="Z817" s="5"/>
    </row>
    <row r="818" spans="1:26" ht="12.75" customHeight="1">
      <c r="A818" s="5"/>
      <c r="B818" s="5"/>
      <c r="C818" s="5"/>
      <c r="D818" s="5"/>
      <c r="E818" s="5"/>
      <c r="F818" s="5"/>
      <c r="G818" s="5"/>
      <c r="H818" s="306"/>
      <c r="I818" s="5"/>
      <c r="J818" s="5"/>
      <c r="K818" s="5"/>
      <c r="L818" s="5"/>
      <c r="M818" s="5"/>
      <c r="N818" s="5"/>
      <c r="O818" s="57"/>
      <c r="P818" s="5"/>
      <c r="Q818" s="5"/>
      <c r="R818" s="5"/>
      <c r="S818" s="5"/>
      <c r="T818" s="5"/>
      <c r="U818" s="5"/>
      <c r="V818" s="5"/>
      <c r="W818" s="5"/>
      <c r="X818" s="5"/>
      <c r="Y818" s="5"/>
      <c r="Z818" s="5"/>
    </row>
    <row r="819" spans="1:26" ht="12.75" customHeight="1">
      <c r="A819" s="5"/>
      <c r="B819" s="5"/>
      <c r="C819" s="5"/>
      <c r="D819" s="5"/>
      <c r="E819" s="5"/>
      <c r="F819" s="5"/>
      <c r="G819" s="5"/>
      <c r="H819" s="306"/>
      <c r="I819" s="5"/>
      <c r="J819" s="5"/>
      <c r="K819" s="5"/>
      <c r="L819" s="5"/>
      <c r="M819" s="5"/>
      <c r="N819" s="5"/>
      <c r="O819" s="57"/>
      <c r="P819" s="5"/>
      <c r="Q819" s="5"/>
      <c r="R819" s="5"/>
      <c r="S819" s="5"/>
      <c r="T819" s="5"/>
      <c r="U819" s="5"/>
      <c r="V819" s="5"/>
      <c r="W819" s="5"/>
      <c r="X819" s="5"/>
      <c r="Y819" s="5"/>
      <c r="Z819" s="5"/>
    </row>
    <row r="820" spans="1:26" ht="12.75" customHeight="1">
      <c r="A820" s="5"/>
      <c r="B820" s="5"/>
      <c r="C820" s="5"/>
      <c r="D820" s="5"/>
      <c r="E820" s="5"/>
      <c r="F820" s="5"/>
      <c r="G820" s="5"/>
      <c r="H820" s="306"/>
      <c r="I820" s="5"/>
      <c r="J820" s="5"/>
      <c r="K820" s="5"/>
      <c r="L820" s="5"/>
      <c r="M820" s="5"/>
      <c r="N820" s="5"/>
      <c r="O820" s="57"/>
      <c r="P820" s="5"/>
      <c r="Q820" s="5"/>
      <c r="R820" s="5"/>
      <c r="S820" s="5"/>
      <c r="T820" s="5"/>
      <c r="U820" s="5"/>
      <c r="V820" s="5"/>
      <c r="W820" s="5"/>
      <c r="X820" s="5"/>
      <c r="Y820" s="5"/>
      <c r="Z820" s="5"/>
    </row>
    <row r="821" spans="1:26" ht="12.75" customHeight="1">
      <c r="A821" s="5"/>
      <c r="B821" s="5"/>
      <c r="C821" s="5"/>
      <c r="D821" s="5"/>
      <c r="E821" s="5"/>
      <c r="F821" s="5"/>
      <c r="G821" s="5"/>
      <c r="H821" s="306"/>
      <c r="I821" s="5"/>
      <c r="J821" s="5"/>
      <c r="K821" s="5"/>
      <c r="L821" s="5"/>
      <c r="M821" s="5"/>
      <c r="N821" s="5"/>
      <c r="O821" s="57"/>
      <c r="P821" s="5"/>
      <c r="Q821" s="5"/>
      <c r="R821" s="5"/>
      <c r="S821" s="5"/>
      <c r="T821" s="5"/>
      <c r="U821" s="5"/>
      <c r="V821" s="5"/>
      <c r="W821" s="5"/>
      <c r="X821" s="5"/>
      <c r="Y821" s="5"/>
      <c r="Z821" s="5"/>
    </row>
    <row r="822" spans="1:26" ht="12.75" customHeight="1">
      <c r="A822" s="5"/>
      <c r="B822" s="5"/>
      <c r="C822" s="5"/>
      <c r="D822" s="5"/>
      <c r="E822" s="5"/>
      <c r="F822" s="5"/>
      <c r="G822" s="5"/>
      <c r="H822" s="306"/>
      <c r="I822" s="5"/>
      <c r="J822" s="5"/>
      <c r="K822" s="5"/>
      <c r="L822" s="5"/>
      <c r="M822" s="5"/>
      <c r="N822" s="5"/>
      <c r="O822" s="57"/>
      <c r="P822" s="5"/>
      <c r="Q822" s="5"/>
      <c r="R822" s="5"/>
      <c r="S822" s="5"/>
      <c r="T822" s="5"/>
      <c r="U822" s="5"/>
      <c r="V822" s="5"/>
      <c r="W822" s="5"/>
      <c r="X822" s="5"/>
      <c r="Y822" s="5"/>
      <c r="Z822" s="5"/>
    </row>
    <row r="823" spans="1:26" ht="12.75" customHeight="1">
      <c r="A823" s="5"/>
      <c r="B823" s="5"/>
      <c r="C823" s="5"/>
      <c r="D823" s="5"/>
      <c r="E823" s="5"/>
      <c r="F823" s="5"/>
      <c r="G823" s="5"/>
      <c r="H823" s="306"/>
      <c r="I823" s="5"/>
      <c r="J823" s="5"/>
      <c r="K823" s="5"/>
      <c r="L823" s="5"/>
      <c r="M823" s="5"/>
      <c r="N823" s="5"/>
      <c r="O823" s="57"/>
      <c r="P823" s="5"/>
      <c r="Q823" s="5"/>
      <c r="R823" s="5"/>
      <c r="S823" s="5"/>
      <c r="T823" s="5"/>
      <c r="U823" s="5"/>
      <c r="V823" s="5"/>
      <c r="W823" s="5"/>
      <c r="X823" s="5"/>
      <c r="Y823" s="5"/>
      <c r="Z823" s="5"/>
    </row>
    <row r="824" spans="1:26" ht="12.75" customHeight="1">
      <c r="A824" s="5"/>
      <c r="B824" s="5"/>
      <c r="C824" s="5"/>
      <c r="D824" s="5"/>
      <c r="E824" s="5"/>
      <c r="F824" s="5"/>
      <c r="G824" s="5"/>
      <c r="H824" s="306"/>
      <c r="I824" s="5"/>
      <c r="J824" s="5"/>
      <c r="K824" s="5"/>
      <c r="L824" s="5"/>
      <c r="M824" s="5"/>
      <c r="N824" s="5"/>
      <c r="O824" s="57"/>
      <c r="P824" s="5"/>
      <c r="Q824" s="5"/>
      <c r="R824" s="5"/>
      <c r="S824" s="5"/>
      <c r="T824" s="5"/>
      <c r="U824" s="5"/>
      <c r="V824" s="5"/>
      <c r="W824" s="5"/>
      <c r="X824" s="5"/>
      <c r="Y824" s="5"/>
      <c r="Z824" s="5"/>
    </row>
    <row r="825" spans="1:26" ht="12.75" customHeight="1">
      <c r="A825" s="5"/>
      <c r="B825" s="5"/>
      <c r="C825" s="5"/>
      <c r="D825" s="5"/>
      <c r="E825" s="5"/>
      <c r="F825" s="5"/>
      <c r="G825" s="5"/>
      <c r="H825" s="306"/>
      <c r="I825" s="5"/>
      <c r="J825" s="5"/>
      <c r="K825" s="5"/>
      <c r="L825" s="5"/>
      <c r="M825" s="5"/>
      <c r="N825" s="5"/>
      <c r="O825" s="57"/>
      <c r="P825" s="5"/>
      <c r="Q825" s="5"/>
      <c r="R825" s="5"/>
      <c r="S825" s="5"/>
      <c r="T825" s="5"/>
      <c r="U825" s="5"/>
      <c r="V825" s="5"/>
      <c r="W825" s="5"/>
      <c r="X825" s="5"/>
      <c r="Y825" s="5"/>
      <c r="Z825" s="5"/>
    </row>
    <row r="826" spans="1:26" ht="12.75" customHeight="1">
      <c r="A826" s="5"/>
      <c r="B826" s="5"/>
      <c r="C826" s="5"/>
      <c r="D826" s="5"/>
      <c r="E826" s="5"/>
      <c r="F826" s="5"/>
      <c r="G826" s="5"/>
      <c r="H826" s="306"/>
      <c r="I826" s="5"/>
      <c r="J826" s="5"/>
      <c r="K826" s="5"/>
      <c r="L826" s="5"/>
      <c r="M826" s="5"/>
      <c r="N826" s="5"/>
      <c r="O826" s="57"/>
      <c r="P826" s="5"/>
      <c r="Q826" s="5"/>
      <c r="R826" s="5"/>
      <c r="S826" s="5"/>
      <c r="T826" s="5"/>
      <c r="U826" s="5"/>
      <c r="V826" s="5"/>
      <c r="W826" s="5"/>
      <c r="X826" s="5"/>
      <c r="Y826" s="5"/>
      <c r="Z826" s="5"/>
    </row>
    <row r="827" spans="1:26" ht="12.75" customHeight="1">
      <c r="A827" s="5"/>
      <c r="B827" s="5"/>
      <c r="C827" s="5"/>
      <c r="D827" s="5"/>
      <c r="E827" s="5"/>
      <c r="F827" s="5"/>
      <c r="G827" s="5"/>
      <c r="H827" s="306"/>
      <c r="I827" s="5"/>
      <c r="J827" s="5"/>
      <c r="K827" s="5"/>
      <c r="L827" s="5"/>
      <c r="M827" s="5"/>
      <c r="N827" s="5"/>
      <c r="O827" s="57"/>
      <c r="P827" s="5"/>
      <c r="Q827" s="5"/>
      <c r="R827" s="5"/>
      <c r="S827" s="5"/>
      <c r="T827" s="5"/>
      <c r="U827" s="5"/>
      <c r="V827" s="5"/>
      <c r="W827" s="5"/>
      <c r="X827" s="5"/>
      <c r="Y827" s="5"/>
      <c r="Z827" s="5"/>
    </row>
    <row r="828" spans="1:26" ht="12.75" customHeight="1">
      <c r="A828" s="5"/>
      <c r="B828" s="5"/>
      <c r="C828" s="5"/>
      <c r="D828" s="5"/>
      <c r="E828" s="5"/>
      <c r="F828" s="5"/>
      <c r="G828" s="5"/>
      <c r="H828" s="306"/>
      <c r="I828" s="5"/>
      <c r="J828" s="5"/>
      <c r="K828" s="5"/>
      <c r="L828" s="5"/>
      <c r="M828" s="5"/>
      <c r="N828" s="5"/>
      <c r="O828" s="57"/>
      <c r="P828" s="5"/>
      <c r="Q828" s="5"/>
      <c r="R828" s="5"/>
      <c r="S828" s="5"/>
      <c r="T828" s="5"/>
      <c r="U828" s="5"/>
      <c r="V828" s="5"/>
      <c r="W828" s="5"/>
      <c r="X828" s="5"/>
      <c r="Y828" s="5"/>
      <c r="Z828" s="5"/>
    </row>
    <row r="829" spans="1:26" ht="12.75" customHeight="1">
      <c r="A829" s="5"/>
      <c r="B829" s="5"/>
      <c r="C829" s="5"/>
      <c r="D829" s="5"/>
      <c r="E829" s="5"/>
      <c r="F829" s="5"/>
      <c r="G829" s="5"/>
      <c r="H829" s="306"/>
      <c r="I829" s="5"/>
      <c r="J829" s="5"/>
      <c r="K829" s="5"/>
      <c r="L829" s="5"/>
      <c r="M829" s="5"/>
      <c r="N829" s="5"/>
      <c r="O829" s="57"/>
      <c r="P829" s="5"/>
      <c r="Q829" s="5"/>
      <c r="R829" s="5"/>
      <c r="S829" s="5"/>
      <c r="T829" s="5"/>
      <c r="U829" s="5"/>
      <c r="V829" s="5"/>
      <c r="W829" s="5"/>
      <c r="X829" s="5"/>
      <c r="Y829" s="5"/>
      <c r="Z829" s="5"/>
    </row>
    <row r="830" spans="1:26" ht="12.75" customHeight="1">
      <c r="A830" s="5"/>
      <c r="B830" s="5"/>
      <c r="C830" s="5"/>
      <c r="D830" s="5"/>
      <c r="E830" s="5"/>
      <c r="F830" s="5"/>
      <c r="G830" s="5"/>
      <c r="H830" s="306"/>
      <c r="I830" s="5"/>
      <c r="J830" s="5"/>
      <c r="K830" s="5"/>
      <c r="L830" s="5"/>
      <c r="M830" s="5"/>
      <c r="N830" s="5"/>
      <c r="O830" s="57"/>
      <c r="P830" s="5"/>
      <c r="Q830" s="5"/>
      <c r="R830" s="5"/>
      <c r="S830" s="5"/>
      <c r="T830" s="5"/>
      <c r="U830" s="5"/>
      <c r="V830" s="5"/>
      <c r="W830" s="5"/>
      <c r="X830" s="5"/>
      <c r="Y830" s="5"/>
      <c r="Z830" s="5"/>
    </row>
    <row r="831" spans="1:26" ht="12.75" customHeight="1">
      <c r="A831" s="5"/>
      <c r="B831" s="5"/>
      <c r="C831" s="5"/>
      <c r="D831" s="5"/>
      <c r="E831" s="5"/>
      <c r="F831" s="5"/>
      <c r="G831" s="5"/>
      <c r="H831" s="306"/>
      <c r="I831" s="5"/>
      <c r="J831" s="5"/>
      <c r="K831" s="5"/>
      <c r="L831" s="5"/>
      <c r="M831" s="5"/>
      <c r="N831" s="5"/>
      <c r="O831" s="57"/>
      <c r="P831" s="5"/>
      <c r="Q831" s="5"/>
      <c r="R831" s="5"/>
      <c r="S831" s="5"/>
      <c r="T831" s="5"/>
      <c r="U831" s="5"/>
      <c r="V831" s="5"/>
      <c r="W831" s="5"/>
      <c r="X831" s="5"/>
      <c r="Y831" s="5"/>
      <c r="Z831" s="5"/>
    </row>
    <row r="832" spans="1:26" ht="12.75" customHeight="1">
      <c r="A832" s="5"/>
      <c r="B832" s="5"/>
      <c r="C832" s="5"/>
      <c r="D832" s="5"/>
      <c r="E832" s="5"/>
      <c r="F832" s="5"/>
      <c r="G832" s="5"/>
      <c r="H832" s="306"/>
      <c r="I832" s="5"/>
      <c r="J832" s="5"/>
      <c r="K832" s="5"/>
      <c r="L832" s="5"/>
      <c r="M832" s="5"/>
      <c r="N832" s="5"/>
      <c r="O832" s="57"/>
      <c r="P832" s="5"/>
      <c r="Q832" s="5"/>
      <c r="R832" s="5"/>
      <c r="S832" s="5"/>
      <c r="T832" s="5"/>
      <c r="U832" s="5"/>
      <c r="V832" s="5"/>
      <c r="W832" s="5"/>
      <c r="X832" s="5"/>
      <c r="Y832" s="5"/>
      <c r="Z832" s="5"/>
    </row>
    <row r="833" spans="1:26" ht="12.75" customHeight="1">
      <c r="A833" s="5"/>
      <c r="B833" s="5"/>
      <c r="C833" s="5"/>
      <c r="D833" s="5"/>
      <c r="E833" s="5"/>
      <c r="F833" s="5"/>
      <c r="G833" s="5"/>
      <c r="H833" s="306"/>
      <c r="I833" s="5"/>
      <c r="J833" s="5"/>
      <c r="K833" s="5"/>
      <c r="L833" s="5"/>
      <c r="M833" s="5"/>
      <c r="N833" s="5"/>
      <c r="O833" s="57"/>
      <c r="P833" s="5"/>
      <c r="Q833" s="5"/>
      <c r="R833" s="5"/>
      <c r="S833" s="5"/>
      <c r="T833" s="5"/>
      <c r="U833" s="5"/>
      <c r="V833" s="5"/>
      <c r="W833" s="5"/>
      <c r="X833" s="5"/>
      <c r="Y833" s="5"/>
      <c r="Z833" s="5"/>
    </row>
    <row r="834" spans="1:26" ht="12.75" customHeight="1">
      <c r="A834" s="5"/>
      <c r="B834" s="5"/>
      <c r="C834" s="5"/>
      <c r="D834" s="5"/>
      <c r="E834" s="5"/>
      <c r="F834" s="5"/>
      <c r="G834" s="5"/>
      <c r="H834" s="306"/>
      <c r="I834" s="5"/>
      <c r="J834" s="5"/>
      <c r="K834" s="5"/>
      <c r="L834" s="5"/>
      <c r="M834" s="5"/>
      <c r="N834" s="5"/>
      <c r="O834" s="57"/>
      <c r="P834" s="5"/>
      <c r="Q834" s="5"/>
      <c r="R834" s="5"/>
      <c r="S834" s="5"/>
      <c r="T834" s="5"/>
      <c r="U834" s="5"/>
      <c r="V834" s="5"/>
      <c r="W834" s="5"/>
      <c r="X834" s="5"/>
      <c r="Y834" s="5"/>
      <c r="Z834" s="5"/>
    </row>
    <row r="835" spans="1:26" ht="12.75" customHeight="1">
      <c r="A835" s="5"/>
      <c r="B835" s="5"/>
      <c r="C835" s="5"/>
      <c r="D835" s="5"/>
      <c r="E835" s="5"/>
      <c r="F835" s="5"/>
      <c r="G835" s="5"/>
      <c r="H835" s="306"/>
      <c r="I835" s="5"/>
      <c r="J835" s="5"/>
      <c r="K835" s="5"/>
      <c r="L835" s="5"/>
      <c r="M835" s="5"/>
      <c r="N835" s="5"/>
      <c r="O835" s="57"/>
      <c r="P835" s="5"/>
      <c r="Q835" s="5"/>
      <c r="R835" s="5"/>
      <c r="S835" s="5"/>
      <c r="T835" s="5"/>
      <c r="U835" s="5"/>
      <c r="V835" s="5"/>
      <c r="W835" s="5"/>
      <c r="X835" s="5"/>
      <c r="Y835" s="5"/>
      <c r="Z835" s="5"/>
    </row>
    <row r="836" spans="1:26" ht="12.75" customHeight="1">
      <c r="A836" s="5"/>
      <c r="B836" s="5"/>
      <c r="C836" s="5"/>
      <c r="D836" s="5"/>
      <c r="E836" s="5"/>
      <c r="F836" s="5"/>
      <c r="G836" s="5"/>
      <c r="H836" s="306"/>
      <c r="I836" s="5"/>
      <c r="J836" s="5"/>
      <c r="K836" s="5"/>
      <c r="L836" s="5"/>
      <c r="M836" s="5"/>
      <c r="N836" s="5"/>
      <c r="O836" s="57"/>
      <c r="P836" s="5"/>
      <c r="Q836" s="5"/>
      <c r="R836" s="5"/>
      <c r="S836" s="5"/>
      <c r="T836" s="5"/>
      <c r="U836" s="5"/>
      <c r="V836" s="5"/>
      <c r="W836" s="5"/>
      <c r="X836" s="5"/>
      <c r="Y836" s="5"/>
      <c r="Z836" s="5"/>
    </row>
    <row r="837" spans="1:26" ht="12.75" customHeight="1">
      <c r="A837" s="5"/>
      <c r="B837" s="5"/>
      <c r="C837" s="5"/>
      <c r="D837" s="5"/>
      <c r="E837" s="5"/>
      <c r="F837" s="5"/>
      <c r="G837" s="5"/>
      <c r="H837" s="306"/>
      <c r="I837" s="5"/>
      <c r="J837" s="5"/>
      <c r="K837" s="5"/>
      <c r="L837" s="5"/>
      <c r="M837" s="5"/>
      <c r="N837" s="5"/>
      <c r="O837" s="57"/>
      <c r="P837" s="5"/>
      <c r="Q837" s="5"/>
      <c r="R837" s="5"/>
      <c r="S837" s="5"/>
      <c r="T837" s="5"/>
      <c r="U837" s="5"/>
      <c r="V837" s="5"/>
      <c r="W837" s="5"/>
      <c r="X837" s="5"/>
      <c r="Y837" s="5"/>
      <c r="Z837" s="5"/>
    </row>
    <row r="838" spans="1:26" ht="12.75" customHeight="1">
      <c r="A838" s="5"/>
      <c r="B838" s="5"/>
      <c r="C838" s="5"/>
      <c r="D838" s="5"/>
      <c r="E838" s="5"/>
      <c r="F838" s="5"/>
      <c r="G838" s="5"/>
      <c r="H838" s="306"/>
      <c r="I838" s="5"/>
      <c r="J838" s="5"/>
      <c r="K838" s="5"/>
      <c r="L838" s="5"/>
      <c r="M838" s="5"/>
      <c r="N838" s="5"/>
      <c r="O838" s="57"/>
      <c r="P838" s="5"/>
      <c r="Q838" s="5"/>
      <c r="R838" s="5"/>
      <c r="S838" s="5"/>
      <c r="T838" s="5"/>
      <c r="U838" s="5"/>
      <c r="V838" s="5"/>
      <c r="W838" s="5"/>
      <c r="X838" s="5"/>
      <c r="Y838" s="5"/>
      <c r="Z838" s="5"/>
    </row>
    <row r="839" spans="1:26" ht="12.75" customHeight="1">
      <c r="A839" s="5"/>
      <c r="B839" s="5"/>
      <c r="C839" s="5"/>
      <c r="D839" s="5"/>
      <c r="E839" s="5"/>
      <c r="F839" s="5"/>
      <c r="G839" s="5"/>
      <c r="H839" s="306"/>
      <c r="I839" s="5"/>
      <c r="J839" s="5"/>
      <c r="K839" s="5"/>
      <c r="L839" s="5"/>
      <c r="M839" s="5"/>
      <c r="N839" s="5"/>
      <c r="O839" s="57"/>
      <c r="P839" s="5"/>
      <c r="Q839" s="5"/>
      <c r="R839" s="5"/>
      <c r="S839" s="5"/>
      <c r="T839" s="5"/>
      <c r="U839" s="5"/>
      <c r="V839" s="5"/>
      <c r="W839" s="5"/>
      <c r="X839" s="5"/>
      <c r="Y839" s="5"/>
      <c r="Z839" s="5"/>
    </row>
    <row r="840" spans="1:26" ht="12.75" customHeight="1">
      <c r="A840" s="5"/>
      <c r="B840" s="5"/>
      <c r="C840" s="5"/>
      <c r="D840" s="5"/>
      <c r="E840" s="5"/>
      <c r="F840" s="5"/>
      <c r="G840" s="5"/>
      <c r="H840" s="306"/>
      <c r="I840" s="5"/>
      <c r="J840" s="5"/>
      <c r="K840" s="5"/>
      <c r="L840" s="5"/>
      <c r="M840" s="5"/>
      <c r="N840" s="5"/>
      <c r="O840" s="57"/>
      <c r="P840" s="5"/>
      <c r="Q840" s="5"/>
      <c r="R840" s="5"/>
      <c r="S840" s="5"/>
      <c r="T840" s="5"/>
      <c r="U840" s="5"/>
      <c r="V840" s="5"/>
      <c r="W840" s="5"/>
      <c r="X840" s="5"/>
      <c r="Y840" s="5"/>
      <c r="Z840" s="5"/>
    </row>
    <row r="841" spans="1:26" ht="12.75" customHeight="1">
      <c r="A841" s="5"/>
      <c r="B841" s="5"/>
      <c r="C841" s="5"/>
      <c r="D841" s="5"/>
      <c r="E841" s="5"/>
      <c r="F841" s="5"/>
      <c r="G841" s="5"/>
      <c r="H841" s="306"/>
      <c r="I841" s="5"/>
      <c r="J841" s="5"/>
      <c r="K841" s="5"/>
      <c r="L841" s="5"/>
      <c r="M841" s="5"/>
      <c r="N841" s="5"/>
      <c r="O841" s="57"/>
      <c r="P841" s="5"/>
      <c r="Q841" s="5"/>
      <c r="R841" s="5"/>
      <c r="S841" s="5"/>
      <c r="T841" s="5"/>
      <c r="U841" s="5"/>
      <c r="V841" s="5"/>
      <c r="W841" s="5"/>
      <c r="X841" s="5"/>
      <c r="Y841" s="5"/>
      <c r="Z841" s="5"/>
    </row>
    <row r="842" spans="1:26" ht="12.75" customHeight="1">
      <c r="A842" s="5"/>
      <c r="B842" s="5"/>
      <c r="C842" s="5"/>
      <c r="D842" s="5"/>
      <c r="E842" s="5"/>
      <c r="F842" s="5"/>
      <c r="G842" s="5"/>
      <c r="H842" s="306"/>
      <c r="I842" s="5"/>
      <c r="J842" s="5"/>
      <c r="K842" s="5"/>
      <c r="L842" s="5"/>
      <c r="M842" s="5"/>
      <c r="N842" s="5"/>
      <c r="O842" s="57"/>
      <c r="P842" s="5"/>
      <c r="Q842" s="5"/>
      <c r="R842" s="5"/>
      <c r="S842" s="5"/>
      <c r="T842" s="5"/>
      <c r="U842" s="5"/>
      <c r="V842" s="5"/>
      <c r="W842" s="5"/>
      <c r="X842" s="5"/>
      <c r="Y842" s="5"/>
      <c r="Z842" s="5"/>
    </row>
    <row r="843" spans="1:26" ht="12.75" customHeight="1">
      <c r="A843" s="5"/>
      <c r="B843" s="5"/>
      <c r="C843" s="5"/>
      <c r="D843" s="5"/>
      <c r="E843" s="5"/>
      <c r="F843" s="5"/>
      <c r="G843" s="5"/>
      <c r="H843" s="306"/>
      <c r="I843" s="5"/>
      <c r="J843" s="5"/>
      <c r="K843" s="5"/>
      <c r="L843" s="5"/>
      <c r="M843" s="5"/>
      <c r="N843" s="5"/>
      <c r="O843" s="57"/>
      <c r="P843" s="5"/>
      <c r="Q843" s="5"/>
      <c r="R843" s="5"/>
      <c r="S843" s="5"/>
      <c r="T843" s="5"/>
      <c r="U843" s="5"/>
      <c r="V843" s="5"/>
      <c r="W843" s="5"/>
      <c r="X843" s="5"/>
      <c r="Y843" s="5"/>
      <c r="Z843" s="5"/>
    </row>
    <row r="844" spans="1:26" ht="12.75" customHeight="1">
      <c r="A844" s="5"/>
      <c r="B844" s="5"/>
      <c r="C844" s="5"/>
      <c r="D844" s="5"/>
      <c r="E844" s="5"/>
      <c r="F844" s="5"/>
      <c r="G844" s="5"/>
      <c r="H844" s="306"/>
      <c r="I844" s="5"/>
      <c r="J844" s="5"/>
      <c r="K844" s="5"/>
      <c r="L844" s="5"/>
      <c r="M844" s="5"/>
      <c r="N844" s="5"/>
      <c r="O844" s="57"/>
      <c r="P844" s="5"/>
      <c r="Q844" s="5"/>
      <c r="R844" s="5"/>
      <c r="S844" s="5"/>
      <c r="T844" s="5"/>
      <c r="U844" s="5"/>
      <c r="V844" s="5"/>
      <c r="W844" s="5"/>
      <c r="X844" s="5"/>
      <c r="Y844" s="5"/>
      <c r="Z844" s="5"/>
    </row>
    <row r="845" spans="1:26" ht="12.75" customHeight="1">
      <c r="A845" s="5"/>
      <c r="B845" s="5"/>
      <c r="C845" s="5"/>
      <c r="D845" s="5"/>
      <c r="E845" s="5"/>
      <c r="F845" s="5"/>
      <c r="G845" s="5"/>
      <c r="H845" s="306"/>
      <c r="I845" s="5"/>
      <c r="J845" s="5"/>
      <c r="K845" s="5"/>
      <c r="L845" s="5"/>
      <c r="M845" s="5"/>
      <c r="N845" s="5"/>
      <c r="O845" s="57"/>
      <c r="P845" s="5"/>
      <c r="Q845" s="5"/>
      <c r="R845" s="5"/>
      <c r="S845" s="5"/>
      <c r="T845" s="5"/>
      <c r="U845" s="5"/>
      <c r="V845" s="5"/>
      <c r="W845" s="5"/>
      <c r="X845" s="5"/>
      <c r="Y845" s="5"/>
      <c r="Z845" s="5"/>
    </row>
    <row r="846" spans="1:26" ht="12.75" customHeight="1">
      <c r="A846" s="5"/>
      <c r="B846" s="5"/>
      <c r="C846" s="5"/>
      <c r="D846" s="5"/>
      <c r="E846" s="5"/>
      <c r="F846" s="5"/>
      <c r="G846" s="5"/>
      <c r="H846" s="306"/>
      <c r="I846" s="5"/>
      <c r="J846" s="5"/>
      <c r="K846" s="5"/>
      <c r="L846" s="5"/>
      <c r="M846" s="5"/>
      <c r="N846" s="5"/>
      <c r="O846" s="57"/>
      <c r="P846" s="5"/>
      <c r="Q846" s="5"/>
      <c r="R846" s="5"/>
      <c r="S846" s="5"/>
      <c r="T846" s="5"/>
      <c r="U846" s="5"/>
      <c r="V846" s="5"/>
      <c r="W846" s="5"/>
      <c r="X846" s="5"/>
      <c r="Y846" s="5"/>
      <c r="Z846" s="5"/>
    </row>
    <row r="847" spans="1:26" ht="12.75" customHeight="1">
      <c r="A847" s="5"/>
      <c r="B847" s="5"/>
      <c r="C847" s="5"/>
      <c r="D847" s="5"/>
      <c r="E847" s="5"/>
      <c r="F847" s="5"/>
      <c r="G847" s="5"/>
      <c r="H847" s="306"/>
      <c r="I847" s="5"/>
      <c r="J847" s="5"/>
      <c r="K847" s="5"/>
      <c r="L847" s="5"/>
      <c r="M847" s="5"/>
      <c r="N847" s="5"/>
      <c r="O847" s="57"/>
      <c r="P847" s="5"/>
      <c r="Q847" s="5"/>
      <c r="R847" s="5"/>
      <c r="S847" s="5"/>
      <c r="T847" s="5"/>
      <c r="U847" s="5"/>
      <c r="V847" s="5"/>
      <c r="W847" s="5"/>
      <c r="X847" s="5"/>
      <c r="Y847" s="5"/>
      <c r="Z847" s="5"/>
    </row>
    <row r="848" spans="1:26" ht="12.75" customHeight="1">
      <c r="A848" s="5"/>
      <c r="B848" s="5"/>
      <c r="C848" s="5"/>
      <c r="D848" s="5"/>
      <c r="E848" s="5"/>
      <c r="F848" s="5"/>
      <c r="G848" s="5"/>
      <c r="H848" s="306"/>
      <c r="I848" s="5"/>
      <c r="J848" s="5"/>
      <c r="K848" s="5"/>
      <c r="L848" s="5"/>
      <c r="M848" s="5"/>
      <c r="N848" s="5"/>
      <c r="O848" s="57"/>
      <c r="P848" s="5"/>
      <c r="Q848" s="5"/>
      <c r="R848" s="5"/>
      <c r="S848" s="5"/>
      <c r="T848" s="5"/>
      <c r="U848" s="5"/>
      <c r="V848" s="5"/>
      <c r="W848" s="5"/>
      <c r="X848" s="5"/>
      <c r="Y848" s="5"/>
      <c r="Z848" s="5"/>
    </row>
    <row r="849" spans="1:26" ht="12.75" customHeight="1">
      <c r="A849" s="5"/>
      <c r="B849" s="5"/>
      <c r="C849" s="5"/>
      <c r="D849" s="5"/>
      <c r="E849" s="5"/>
      <c r="F849" s="5"/>
      <c r="G849" s="5"/>
      <c r="H849" s="306"/>
      <c r="I849" s="5"/>
      <c r="J849" s="5"/>
      <c r="K849" s="5"/>
      <c r="L849" s="5"/>
      <c r="M849" s="5"/>
      <c r="N849" s="5"/>
      <c r="O849" s="57"/>
      <c r="P849" s="5"/>
      <c r="Q849" s="5"/>
      <c r="R849" s="5"/>
      <c r="S849" s="5"/>
      <c r="T849" s="5"/>
      <c r="U849" s="5"/>
      <c r="V849" s="5"/>
      <c r="W849" s="5"/>
      <c r="X849" s="5"/>
      <c r="Y849" s="5"/>
      <c r="Z849" s="5"/>
    </row>
    <row r="850" spans="1:26" ht="12.75" customHeight="1">
      <c r="A850" s="5"/>
      <c r="B850" s="5"/>
      <c r="C850" s="5"/>
      <c r="D850" s="5"/>
      <c r="E850" s="5"/>
      <c r="F850" s="5"/>
      <c r="G850" s="5"/>
      <c r="H850" s="306"/>
      <c r="I850" s="5"/>
      <c r="J850" s="5"/>
      <c r="K850" s="5"/>
      <c r="L850" s="5"/>
      <c r="M850" s="5"/>
      <c r="N850" s="5"/>
      <c r="O850" s="57"/>
      <c r="P850" s="5"/>
      <c r="Q850" s="5"/>
      <c r="R850" s="5"/>
      <c r="S850" s="5"/>
      <c r="T850" s="5"/>
      <c r="U850" s="5"/>
      <c r="V850" s="5"/>
      <c r="W850" s="5"/>
      <c r="X850" s="5"/>
      <c r="Y850" s="5"/>
      <c r="Z850" s="5"/>
    </row>
    <row r="851" spans="1:26" ht="12.75" customHeight="1">
      <c r="A851" s="5"/>
      <c r="B851" s="5"/>
      <c r="C851" s="5"/>
      <c r="D851" s="5"/>
      <c r="E851" s="5"/>
      <c r="F851" s="5"/>
      <c r="G851" s="5"/>
      <c r="H851" s="306"/>
      <c r="I851" s="5"/>
      <c r="J851" s="5"/>
      <c r="K851" s="5"/>
      <c r="L851" s="5"/>
      <c r="M851" s="5"/>
      <c r="N851" s="5"/>
      <c r="O851" s="57"/>
      <c r="P851" s="5"/>
      <c r="Q851" s="5"/>
      <c r="R851" s="5"/>
      <c r="S851" s="5"/>
      <c r="T851" s="5"/>
      <c r="U851" s="5"/>
      <c r="V851" s="5"/>
      <c r="W851" s="5"/>
      <c r="X851" s="5"/>
      <c r="Y851" s="5"/>
      <c r="Z851" s="5"/>
    </row>
    <row r="852" spans="1:26" ht="12.75" customHeight="1">
      <c r="A852" s="5"/>
      <c r="B852" s="5"/>
      <c r="C852" s="5"/>
      <c r="D852" s="5"/>
      <c r="E852" s="5"/>
      <c r="F852" s="5"/>
      <c r="G852" s="5"/>
      <c r="H852" s="306"/>
      <c r="I852" s="5"/>
      <c r="J852" s="5"/>
      <c r="K852" s="5"/>
      <c r="L852" s="5"/>
      <c r="M852" s="5"/>
      <c r="N852" s="5"/>
      <c r="O852" s="57"/>
      <c r="P852" s="5"/>
      <c r="Q852" s="5"/>
      <c r="R852" s="5"/>
      <c r="S852" s="5"/>
      <c r="T852" s="5"/>
      <c r="U852" s="5"/>
      <c r="V852" s="5"/>
      <c r="W852" s="5"/>
      <c r="X852" s="5"/>
      <c r="Y852" s="5"/>
      <c r="Z852" s="5"/>
    </row>
    <row r="853" spans="1:26" ht="12.75" customHeight="1">
      <c r="A853" s="5"/>
      <c r="B853" s="5"/>
      <c r="C853" s="5"/>
      <c r="D853" s="5"/>
      <c r="E853" s="5"/>
      <c r="F853" s="5"/>
      <c r="G853" s="5"/>
      <c r="H853" s="306"/>
      <c r="I853" s="5"/>
      <c r="J853" s="5"/>
      <c r="K853" s="5"/>
      <c r="L853" s="5"/>
      <c r="M853" s="5"/>
      <c r="N853" s="5"/>
      <c r="O853" s="57"/>
      <c r="P853" s="5"/>
      <c r="Q853" s="5"/>
      <c r="R853" s="5"/>
      <c r="S853" s="5"/>
      <c r="T853" s="5"/>
      <c r="U853" s="5"/>
      <c r="V853" s="5"/>
      <c r="W853" s="5"/>
      <c r="X853" s="5"/>
      <c r="Y853" s="5"/>
      <c r="Z853" s="5"/>
    </row>
    <row r="854" spans="1:26" ht="12.75" customHeight="1">
      <c r="A854" s="5"/>
      <c r="B854" s="5"/>
      <c r="C854" s="5"/>
      <c r="D854" s="5"/>
      <c r="E854" s="5"/>
      <c r="F854" s="5"/>
      <c r="G854" s="5"/>
      <c r="H854" s="306"/>
      <c r="I854" s="5"/>
      <c r="J854" s="5"/>
      <c r="K854" s="5"/>
      <c r="L854" s="5"/>
      <c r="M854" s="5"/>
      <c r="N854" s="5"/>
      <c r="O854" s="57"/>
      <c r="P854" s="5"/>
      <c r="Q854" s="5"/>
      <c r="R854" s="5"/>
      <c r="S854" s="5"/>
      <c r="T854" s="5"/>
      <c r="U854" s="5"/>
      <c r="V854" s="5"/>
      <c r="W854" s="5"/>
      <c r="X854" s="5"/>
      <c r="Y854" s="5"/>
      <c r="Z854" s="5"/>
    </row>
    <row r="855" spans="1:26" ht="12.75" customHeight="1">
      <c r="A855" s="5"/>
      <c r="B855" s="5"/>
      <c r="C855" s="5"/>
      <c r="D855" s="5"/>
      <c r="E855" s="5"/>
      <c r="F855" s="5"/>
      <c r="G855" s="5"/>
      <c r="H855" s="306"/>
      <c r="I855" s="5"/>
      <c r="J855" s="5"/>
      <c r="K855" s="5"/>
      <c r="L855" s="5"/>
      <c r="M855" s="5"/>
      <c r="N855" s="5"/>
      <c r="O855" s="57"/>
      <c r="P855" s="5"/>
      <c r="Q855" s="5"/>
      <c r="R855" s="5"/>
      <c r="S855" s="5"/>
      <c r="T855" s="5"/>
      <c r="U855" s="5"/>
      <c r="V855" s="5"/>
      <c r="W855" s="5"/>
      <c r="X855" s="5"/>
      <c r="Y855" s="5"/>
      <c r="Z855" s="5"/>
    </row>
    <row r="856" spans="1:26" ht="12.75" customHeight="1">
      <c r="A856" s="5"/>
      <c r="B856" s="5"/>
      <c r="C856" s="5"/>
      <c r="D856" s="5"/>
      <c r="E856" s="5"/>
      <c r="F856" s="5"/>
      <c r="G856" s="5"/>
      <c r="H856" s="306"/>
      <c r="I856" s="5"/>
      <c r="J856" s="5"/>
      <c r="K856" s="5"/>
      <c r="L856" s="5"/>
      <c r="M856" s="5"/>
      <c r="N856" s="5"/>
      <c r="O856" s="57"/>
      <c r="P856" s="5"/>
      <c r="Q856" s="5"/>
      <c r="R856" s="5"/>
      <c r="S856" s="5"/>
      <c r="T856" s="5"/>
      <c r="U856" s="5"/>
      <c r="V856" s="5"/>
      <c r="W856" s="5"/>
      <c r="X856" s="5"/>
      <c r="Y856" s="5"/>
      <c r="Z856" s="5"/>
    </row>
    <row r="857" spans="1:26" ht="12.75" customHeight="1">
      <c r="A857" s="5"/>
      <c r="B857" s="5"/>
      <c r="C857" s="5"/>
      <c r="D857" s="5"/>
      <c r="E857" s="5"/>
      <c r="F857" s="5"/>
      <c r="G857" s="5"/>
      <c r="H857" s="306"/>
      <c r="I857" s="5"/>
      <c r="J857" s="5"/>
      <c r="K857" s="5"/>
      <c r="L857" s="5"/>
      <c r="M857" s="5"/>
      <c r="N857" s="5"/>
      <c r="O857" s="57"/>
      <c r="P857" s="5"/>
      <c r="Q857" s="5"/>
      <c r="R857" s="5"/>
      <c r="S857" s="5"/>
      <c r="T857" s="5"/>
      <c r="U857" s="5"/>
      <c r="V857" s="5"/>
      <c r="W857" s="5"/>
      <c r="X857" s="5"/>
      <c r="Y857" s="5"/>
      <c r="Z857" s="5"/>
    </row>
    <row r="858" spans="1:26" ht="12.75" customHeight="1">
      <c r="A858" s="5"/>
      <c r="B858" s="5"/>
      <c r="C858" s="5"/>
      <c r="D858" s="5"/>
      <c r="E858" s="5"/>
      <c r="F858" s="5"/>
      <c r="G858" s="5"/>
      <c r="H858" s="306"/>
      <c r="I858" s="5"/>
      <c r="J858" s="5"/>
      <c r="K858" s="5"/>
      <c r="L858" s="5"/>
      <c r="M858" s="5"/>
      <c r="N858" s="5"/>
      <c r="O858" s="57"/>
      <c r="P858" s="5"/>
      <c r="Q858" s="5"/>
      <c r="R858" s="5"/>
      <c r="S858" s="5"/>
      <c r="T858" s="5"/>
      <c r="U858" s="5"/>
      <c r="V858" s="5"/>
      <c r="W858" s="5"/>
      <c r="X858" s="5"/>
      <c r="Y858" s="5"/>
      <c r="Z858" s="5"/>
    </row>
    <row r="859" spans="1:26" ht="12.75" customHeight="1">
      <c r="A859" s="5"/>
      <c r="B859" s="5"/>
      <c r="C859" s="5"/>
      <c r="D859" s="5"/>
      <c r="E859" s="5"/>
      <c r="F859" s="5"/>
      <c r="G859" s="5"/>
      <c r="H859" s="306"/>
      <c r="I859" s="5"/>
      <c r="J859" s="5"/>
      <c r="K859" s="5"/>
      <c r="L859" s="5"/>
      <c r="M859" s="5"/>
      <c r="N859" s="5"/>
      <c r="O859" s="57"/>
      <c r="P859" s="5"/>
      <c r="Q859" s="5"/>
      <c r="R859" s="5"/>
      <c r="S859" s="5"/>
      <c r="T859" s="5"/>
      <c r="U859" s="5"/>
      <c r="V859" s="5"/>
      <c r="W859" s="5"/>
      <c r="X859" s="5"/>
      <c r="Y859" s="5"/>
      <c r="Z859" s="5"/>
    </row>
    <row r="860" spans="1:26" ht="12.75" customHeight="1">
      <c r="A860" s="5"/>
      <c r="B860" s="5"/>
      <c r="C860" s="5"/>
      <c r="D860" s="5"/>
      <c r="E860" s="5"/>
      <c r="F860" s="5"/>
      <c r="G860" s="5"/>
      <c r="H860" s="306"/>
      <c r="I860" s="5"/>
      <c r="J860" s="5"/>
      <c r="K860" s="5"/>
      <c r="L860" s="5"/>
      <c r="M860" s="5"/>
      <c r="N860" s="5"/>
      <c r="O860" s="57"/>
      <c r="P860" s="5"/>
      <c r="Q860" s="5"/>
      <c r="R860" s="5"/>
      <c r="S860" s="5"/>
      <c r="T860" s="5"/>
      <c r="U860" s="5"/>
      <c r="V860" s="5"/>
      <c r="W860" s="5"/>
      <c r="X860" s="5"/>
      <c r="Y860" s="5"/>
      <c r="Z860" s="5"/>
    </row>
    <row r="861" spans="1:26" ht="12.75" customHeight="1">
      <c r="A861" s="5"/>
      <c r="B861" s="5"/>
      <c r="C861" s="5"/>
      <c r="D861" s="5"/>
      <c r="E861" s="5"/>
      <c r="F861" s="5"/>
      <c r="G861" s="5"/>
      <c r="H861" s="306"/>
      <c r="I861" s="5"/>
      <c r="J861" s="5"/>
      <c r="K861" s="5"/>
      <c r="L861" s="5"/>
      <c r="M861" s="5"/>
      <c r="N861" s="5"/>
      <c r="O861" s="57"/>
      <c r="P861" s="5"/>
      <c r="Q861" s="5"/>
      <c r="R861" s="5"/>
      <c r="S861" s="5"/>
      <c r="T861" s="5"/>
      <c r="U861" s="5"/>
      <c r="V861" s="5"/>
      <c r="W861" s="5"/>
      <c r="X861" s="5"/>
      <c r="Y861" s="5"/>
      <c r="Z861" s="5"/>
    </row>
    <row r="862" spans="1:26" ht="12.75" customHeight="1">
      <c r="A862" s="5"/>
      <c r="B862" s="5"/>
      <c r="C862" s="5"/>
      <c r="D862" s="5"/>
      <c r="E862" s="5"/>
      <c r="F862" s="5"/>
      <c r="G862" s="5"/>
      <c r="H862" s="306"/>
      <c r="I862" s="5"/>
      <c r="J862" s="5"/>
      <c r="K862" s="5"/>
      <c r="L862" s="5"/>
      <c r="M862" s="5"/>
      <c r="N862" s="5"/>
      <c r="O862" s="57"/>
      <c r="P862" s="5"/>
      <c r="Q862" s="5"/>
      <c r="R862" s="5"/>
      <c r="S862" s="5"/>
      <c r="T862" s="5"/>
      <c r="U862" s="5"/>
      <c r="V862" s="5"/>
      <c r="W862" s="5"/>
      <c r="X862" s="5"/>
      <c r="Y862" s="5"/>
      <c r="Z862" s="5"/>
    </row>
    <row r="863" spans="1:26" ht="12.75" customHeight="1">
      <c r="A863" s="5"/>
      <c r="B863" s="5"/>
      <c r="C863" s="5"/>
      <c r="D863" s="5"/>
      <c r="E863" s="5"/>
      <c r="F863" s="5"/>
      <c r="G863" s="5"/>
      <c r="H863" s="306"/>
      <c r="I863" s="5"/>
      <c r="J863" s="5"/>
      <c r="K863" s="5"/>
      <c r="L863" s="5"/>
      <c r="M863" s="5"/>
      <c r="N863" s="5"/>
      <c r="O863" s="57"/>
      <c r="P863" s="5"/>
      <c r="Q863" s="5"/>
      <c r="R863" s="5"/>
      <c r="S863" s="5"/>
      <c r="T863" s="5"/>
      <c r="U863" s="5"/>
      <c r="V863" s="5"/>
      <c r="W863" s="5"/>
      <c r="X863" s="5"/>
      <c r="Y863" s="5"/>
      <c r="Z863" s="5"/>
    </row>
    <row r="864" spans="1:26" ht="12.75" customHeight="1">
      <c r="A864" s="5"/>
      <c r="B864" s="5"/>
      <c r="C864" s="5"/>
      <c r="D864" s="5"/>
      <c r="E864" s="5"/>
      <c r="F864" s="5"/>
      <c r="G864" s="5"/>
      <c r="H864" s="306"/>
      <c r="I864" s="5"/>
      <c r="J864" s="5"/>
      <c r="K864" s="5"/>
      <c r="L864" s="5"/>
      <c r="M864" s="5"/>
      <c r="N864" s="5"/>
      <c r="O864" s="57"/>
      <c r="P864" s="5"/>
      <c r="Q864" s="5"/>
      <c r="R864" s="5"/>
      <c r="S864" s="5"/>
      <c r="T864" s="5"/>
      <c r="U864" s="5"/>
      <c r="V864" s="5"/>
      <c r="W864" s="5"/>
      <c r="X864" s="5"/>
      <c r="Y864" s="5"/>
      <c r="Z864" s="5"/>
    </row>
    <row r="865" spans="1:26" ht="12.75" customHeight="1">
      <c r="A865" s="5"/>
      <c r="B865" s="5"/>
      <c r="C865" s="5"/>
      <c r="D865" s="5"/>
      <c r="E865" s="5"/>
      <c r="F865" s="5"/>
      <c r="G865" s="5"/>
      <c r="H865" s="306"/>
      <c r="I865" s="5"/>
      <c r="J865" s="5"/>
      <c r="K865" s="5"/>
      <c r="L865" s="5"/>
      <c r="M865" s="5"/>
      <c r="N865" s="5"/>
      <c r="O865" s="57"/>
      <c r="P865" s="5"/>
      <c r="Q865" s="5"/>
      <c r="R865" s="5"/>
      <c r="S865" s="5"/>
      <c r="T865" s="5"/>
      <c r="U865" s="5"/>
      <c r="V865" s="5"/>
      <c r="W865" s="5"/>
      <c r="X865" s="5"/>
      <c r="Y865" s="5"/>
      <c r="Z865" s="5"/>
    </row>
    <row r="866" spans="1:26" ht="12.75" customHeight="1">
      <c r="A866" s="5"/>
      <c r="B866" s="5"/>
      <c r="C866" s="5"/>
      <c r="D866" s="5"/>
      <c r="E866" s="5"/>
      <c r="F866" s="5"/>
      <c r="G866" s="5"/>
      <c r="H866" s="306"/>
      <c r="I866" s="5"/>
      <c r="J866" s="5"/>
      <c r="K866" s="5"/>
      <c r="L866" s="5"/>
      <c r="M866" s="5"/>
      <c r="N866" s="5"/>
      <c r="O866" s="57"/>
      <c r="P866" s="5"/>
      <c r="Q866" s="5"/>
      <c r="R866" s="5"/>
      <c r="S866" s="5"/>
      <c r="T866" s="5"/>
      <c r="U866" s="5"/>
      <c r="V866" s="5"/>
      <c r="W866" s="5"/>
      <c r="X866" s="5"/>
      <c r="Y866" s="5"/>
      <c r="Z866" s="5"/>
    </row>
    <row r="867" spans="1:26" ht="12.75" customHeight="1">
      <c r="A867" s="5"/>
      <c r="B867" s="5"/>
      <c r="C867" s="5"/>
      <c r="D867" s="5"/>
      <c r="E867" s="5"/>
      <c r="F867" s="5"/>
      <c r="G867" s="5"/>
      <c r="H867" s="306"/>
      <c r="I867" s="5"/>
      <c r="J867" s="5"/>
      <c r="K867" s="5"/>
      <c r="L867" s="5"/>
      <c r="M867" s="5"/>
      <c r="N867" s="5"/>
      <c r="O867" s="57"/>
      <c r="P867" s="5"/>
      <c r="Q867" s="5"/>
      <c r="R867" s="5"/>
      <c r="S867" s="5"/>
      <c r="T867" s="5"/>
      <c r="U867" s="5"/>
      <c r="V867" s="5"/>
      <c r="W867" s="5"/>
      <c r="X867" s="5"/>
      <c r="Y867" s="5"/>
      <c r="Z867" s="5"/>
    </row>
    <row r="868" spans="1:26" ht="12.75" customHeight="1">
      <c r="A868" s="5"/>
      <c r="B868" s="5"/>
      <c r="C868" s="5"/>
      <c r="D868" s="5"/>
      <c r="E868" s="5"/>
      <c r="F868" s="5"/>
      <c r="G868" s="5"/>
      <c r="H868" s="306"/>
      <c r="I868" s="5"/>
      <c r="J868" s="5"/>
      <c r="K868" s="5"/>
      <c r="L868" s="5"/>
      <c r="M868" s="5"/>
      <c r="N868" s="5"/>
      <c r="O868" s="57"/>
      <c r="P868" s="5"/>
      <c r="Q868" s="5"/>
      <c r="R868" s="5"/>
      <c r="S868" s="5"/>
      <c r="T868" s="5"/>
      <c r="U868" s="5"/>
      <c r="V868" s="5"/>
      <c r="W868" s="5"/>
      <c r="X868" s="5"/>
      <c r="Y868" s="5"/>
      <c r="Z868" s="5"/>
    </row>
    <row r="869" spans="1:26" ht="12.75" customHeight="1">
      <c r="A869" s="5"/>
      <c r="B869" s="5"/>
      <c r="C869" s="5"/>
      <c r="D869" s="5"/>
      <c r="E869" s="5"/>
      <c r="F869" s="5"/>
      <c r="G869" s="5"/>
      <c r="H869" s="306"/>
      <c r="I869" s="5"/>
      <c r="J869" s="5"/>
      <c r="K869" s="5"/>
      <c r="L869" s="5"/>
      <c r="M869" s="5"/>
      <c r="N869" s="5"/>
      <c r="O869" s="57"/>
      <c r="P869" s="5"/>
      <c r="Q869" s="5"/>
      <c r="R869" s="5"/>
      <c r="S869" s="5"/>
      <c r="T869" s="5"/>
      <c r="U869" s="5"/>
      <c r="V869" s="5"/>
      <c r="W869" s="5"/>
      <c r="X869" s="5"/>
      <c r="Y869" s="5"/>
      <c r="Z869" s="5"/>
    </row>
    <row r="870" spans="1:26" ht="12.75" customHeight="1">
      <c r="A870" s="5"/>
      <c r="B870" s="5"/>
      <c r="C870" s="5"/>
      <c r="D870" s="5"/>
      <c r="E870" s="5"/>
      <c r="F870" s="5"/>
      <c r="G870" s="5"/>
      <c r="H870" s="306"/>
      <c r="I870" s="5"/>
      <c r="J870" s="5"/>
      <c r="K870" s="5"/>
      <c r="L870" s="5"/>
      <c r="M870" s="5"/>
      <c r="N870" s="5"/>
      <c r="O870" s="57"/>
      <c r="P870" s="5"/>
      <c r="Q870" s="5"/>
      <c r="R870" s="5"/>
      <c r="S870" s="5"/>
      <c r="T870" s="5"/>
      <c r="U870" s="5"/>
      <c r="V870" s="5"/>
      <c r="W870" s="5"/>
      <c r="X870" s="5"/>
      <c r="Y870" s="5"/>
      <c r="Z870" s="5"/>
    </row>
    <row r="871" spans="1:26" ht="12.75" customHeight="1">
      <c r="A871" s="5"/>
      <c r="B871" s="5"/>
      <c r="C871" s="5"/>
      <c r="D871" s="5"/>
      <c r="E871" s="5"/>
      <c r="F871" s="5"/>
      <c r="G871" s="5"/>
      <c r="H871" s="306"/>
      <c r="I871" s="5"/>
      <c r="J871" s="5"/>
      <c r="K871" s="5"/>
      <c r="L871" s="5"/>
      <c r="M871" s="5"/>
      <c r="N871" s="5"/>
      <c r="O871" s="57"/>
      <c r="P871" s="5"/>
      <c r="Q871" s="5"/>
      <c r="R871" s="5"/>
      <c r="S871" s="5"/>
      <c r="T871" s="5"/>
      <c r="U871" s="5"/>
      <c r="V871" s="5"/>
      <c r="W871" s="5"/>
      <c r="X871" s="5"/>
      <c r="Y871" s="5"/>
      <c r="Z871" s="5"/>
    </row>
    <row r="872" spans="1:26" ht="12.75" customHeight="1">
      <c r="A872" s="5"/>
      <c r="B872" s="5"/>
      <c r="C872" s="5"/>
      <c r="D872" s="5"/>
      <c r="E872" s="5"/>
      <c r="F872" s="5"/>
      <c r="G872" s="5"/>
      <c r="H872" s="306"/>
      <c r="I872" s="5"/>
      <c r="J872" s="5"/>
      <c r="K872" s="5"/>
      <c r="L872" s="5"/>
      <c r="M872" s="5"/>
      <c r="N872" s="5"/>
      <c r="O872" s="57"/>
      <c r="P872" s="5"/>
      <c r="Q872" s="5"/>
      <c r="R872" s="5"/>
      <c r="S872" s="5"/>
      <c r="T872" s="5"/>
      <c r="U872" s="5"/>
      <c r="V872" s="5"/>
      <c r="W872" s="5"/>
      <c r="X872" s="5"/>
      <c r="Y872" s="5"/>
      <c r="Z872" s="5"/>
    </row>
    <row r="873" spans="1:26" ht="12.75" customHeight="1">
      <c r="A873" s="5"/>
      <c r="B873" s="5"/>
      <c r="C873" s="5"/>
      <c r="D873" s="5"/>
      <c r="E873" s="5"/>
      <c r="F873" s="5"/>
      <c r="G873" s="5"/>
      <c r="H873" s="306"/>
      <c r="I873" s="5"/>
      <c r="J873" s="5"/>
      <c r="K873" s="5"/>
      <c r="L873" s="5"/>
      <c r="M873" s="5"/>
      <c r="N873" s="5"/>
      <c r="O873" s="57"/>
      <c r="P873" s="5"/>
      <c r="Q873" s="5"/>
      <c r="R873" s="5"/>
      <c r="S873" s="5"/>
      <c r="T873" s="5"/>
      <c r="U873" s="5"/>
      <c r="V873" s="5"/>
      <c r="W873" s="5"/>
      <c r="X873" s="5"/>
      <c r="Y873" s="5"/>
      <c r="Z873" s="5"/>
    </row>
    <row r="874" spans="1:26" ht="12.75" customHeight="1">
      <c r="A874" s="5"/>
      <c r="B874" s="5"/>
      <c r="C874" s="5"/>
      <c r="D874" s="5"/>
      <c r="E874" s="5"/>
      <c r="F874" s="5"/>
      <c r="G874" s="5"/>
      <c r="H874" s="306"/>
      <c r="I874" s="5"/>
      <c r="J874" s="5"/>
      <c r="K874" s="5"/>
      <c r="L874" s="5"/>
      <c r="M874" s="5"/>
      <c r="N874" s="5"/>
      <c r="O874" s="57"/>
      <c r="P874" s="5"/>
      <c r="Q874" s="5"/>
      <c r="R874" s="5"/>
      <c r="S874" s="5"/>
      <c r="T874" s="5"/>
      <c r="U874" s="5"/>
      <c r="V874" s="5"/>
      <c r="W874" s="5"/>
      <c r="X874" s="5"/>
      <c r="Y874" s="5"/>
      <c r="Z874" s="5"/>
    </row>
    <row r="875" spans="1:26" ht="12.75" customHeight="1">
      <c r="A875" s="5"/>
      <c r="B875" s="5"/>
      <c r="C875" s="5"/>
      <c r="D875" s="5"/>
      <c r="E875" s="5"/>
      <c r="F875" s="5"/>
      <c r="G875" s="5"/>
      <c r="H875" s="306"/>
      <c r="I875" s="5"/>
      <c r="J875" s="5"/>
      <c r="K875" s="5"/>
      <c r="L875" s="5"/>
      <c r="M875" s="5"/>
      <c r="N875" s="5"/>
      <c r="O875" s="57"/>
      <c r="P875" s="5"/>
      <c r="Q875" s="5"/>
      <c r="R875" s="5"/>
      <c r="S875" s="5"/>
      <c r="T875" s="5"/>
      <c r="U875" s="5"/>
      <c r="V875" s="5"/>
      <c r="W875" s="5"/>
      <c r="X875" s="5"/>
      <c r="Y875" s="5"/>
      <c r="Z875" s="5"/>
    </row>
    <row r="876" spans="1:26" ht="12.75" customHeight="1">
      <c r="A876" s="5"/>
      <c r="B876" s="5"/>
      <c r="C876" s="5"/>
      <c r="D876" s="5"/>
      <c r="E876" s="5"/>
      <c r="F876" s="5"/>
      <c r="G876" s="5"/>
      <c r="H876" s="306"/>
      <c r="I876" s="5"/>
      <c r="J876" s="5"/>
      <c r="K876" s="5"/>
      <c r="L876" s="5"/>
      <c r="M876" s="5"/>
      <c r="N876" s="5"/>
      <c r="O876" s="57"/>
      <c r="P876" s="5"/>
      <c r="Q876" s="5"/>
      <c r="R876" s="5"/>
      <c r="S876" s="5"/>
      <c r="T876" s="5"/>
      <c r="U876" s="5"/>
      <c r="V876" s="5"/>
      <c r="W876" s="5"/>
      <c r="X876" s="5"/>
      <c r="Y876" s="5"/>
      <c r="Z876" s="5"/>
    </row>
    <row r="877" spans="1:26" ht="12.75" customHeight="1">
      <c r="A877" s="5"/>
      <c r="B877" s="5"/>
      <c r="C877" s="5"/>
      <c r="D877" s="5"/>
      <c r="E877" s="5"/>
      <c r="F877" s="5"/>
      <c r="G877" s="5"/>
      <c r="H877" s="306"/>
      <c r="I877" s="5"/>
      <c r="J877" s="5"/>
      <c r="K877" s="5"/>
      <c r="L877" s="5"/>
      <c r="M877" s="5"/>
      <c r="N877" s="5"/>
      <c r="O877" s="57"/>
      <c r="P877" s="5"/>
      <c r="Q877" s="5"/>
      <c r="R877" s="5"/>
      <c r="S877" s="5"/>
      <c r="T877" s="5"/>
      <c r="U877" s="5"/>
      <c r="V877" s="5"/>
      <c r="W877" s="5"/>
      <c r="X877" s="5"/>
      <c r="Y877" s="5"/>
      <c r="Z877" s="5"/>
    </row>
    <row r="878" spans="1:26" ht="12.75" customHeight="1">
      <c r="A878" s="5"/>
      <c r="B878" s="5"/>
      <c r="C878" s="5"/>
      <c r="D878" s="5"/>
      <c r="E878" s="5"/>
      <c r="F878" s="5"/>
      <c r="G878" s="5"/>
      <c r="H878" s="306"/>
      <c r="I878" s="5"/>
      <c r="J878" s="5"/>
      <c r="K878" s="5"/>
      <c r="L878" s="5"/>
      <c r="M878" s="5"/>
      <c r="N878" s="5"/>
      <c r="O878" s="57"/>
      <c r="P878" s="5"/>
      <c r="Q878" s="5"/>
      <c r="R878" s="5"/>
      <c r="S878" s="5"/>
      <c r="T878" s="5"/>
      <c r="U878" s="5"/>
      <c r="V878" s="5"/>
      <c r="W878" s="5"/>
      <c r="X878" s="5"/>
      <c r="Y878" s="5"/>
      <c r="Z878" s="5"/>
    </row>
    <row r="879" spans="1:26" ht="12.75" customHeight="1">
      <c r="A879" s="5"/>
      <c r="B879" s="5"/>
      <c r="C879" s="5"/>
      <c r="D879" s="5"/>
      <c r="E879" s="5"/>
      <c r="F879" s="5"/>
      <c r="G879" s="5"/>
      <c r="H879" s="306"/>
      <c r="I879" s="5"/>
      <c r="J879" s="5"/>
      <c r="K879" s="5"/>
      <c r="L879" s="5"/>
      <c r="M879" s="5"/>
      <c r="N879" s="5"/>
      <c r="O879" s="57"/>
      <c r="P879" s="5"/>
      <c r="Q879" s="5"/>
      <c r="R879" s="5"/>
      <c r="S879" s="5"/>
      <c r="T879" s="5"/>
      <c r="U879" s="5"/>
      <c r="V879" s="5"/>
      <c r="W879" s="5"/>
      <c r="X879" s="5"/>
      <c r="Y879" s="5"/>
      <c r="Z879" s="5"/>
    </row>
    <row r="880" spans="1:26" ht="12.75" customHeight="1">
      <c r="A880" s="5"/>
      <c r="B880" s="5"/>
      <c r="C880" s="5"/>
      <c r="D880" s="5"/>
      <c r="E880" s="5"/>
      <c r="F880" s="5"/>
      <c r="G880" s="5"/>
      <c r="H880" s="306"/>
      <c r="I880" s="5"/>
      <c r="J880" s="5"/>
      <c r="K880" s="5"/>
      <c r="L880" s="5"/>
      <c r="M880" s="5"/>
      <c r="N880" s="5"/>
      <c r="O880" s="57"/>
      <c r="P880" s="5"/>
      <c r="Q880" s="5"/>
      <c r="R880" s="5"/>
      <c r="S880" s="5"/>
      <c r="T880" s="5"/>
      <c r="U880" s="5"/>
      <c r="V880" s="5"/>
      <c r="W880" s="5"/>
      <c r="X880" s="5"/>
      <c r="Y880" s="5"/>
      <c r="Z880" s="5"/>
    </row>
    <row r="881" spans="1:26" ht="12.75" customHeight="1">
      <c r="A881" s="5"/>
      <c r="B881" s="5"/>
      <c r="C881" s="5"/>
      <c r="D881" s="5"/>
      <c r="E881" s="5"/>
      <c r="F881" s="5"/>
      <c r="G881" s="5"/>
      <c r="H881" s="306"/>
      <c r="I881" s="5"/>
      <c r="J881" s="5"/>
      <c r="K881" s="5"/>
      <c r="L881" s="5"/>
      <c r="M881" s="5"/>
      <c r="N881" s="5"/>
      <c r="O881" s="57"/>
      <c r="P881" s="5"/>
      <c r="Q881" s="5"/>
      <c r="R881" s="5"/>
      <c r="S881" s="5"/>
      <c r="T881" s="5"/>
      <c r="U881" s="5"/>
      <c r="V881" s="5"/>
      <c r="W881" s="5"/>
      <c r="X881" s="5"/>
      <c r="Y881" s="5"/>
      <c r="Z881" s="5"/>
    </row>
    <row r="882" spans="1:26" ht="12.75" customHeight="1">
      <c r="A882" s="5"/>
      <c r="B882" s="5"/>
      <c r="C882" s="5"/>
      <c r="D882" s="5"/>
      <c r="E882" s="5"/>
      <c r="F882" s="5"/>
      <c r="G882" s="5"/>
      <c r="H882" s="306"/>
      <c r="I882" s="5"/>
      <c r="J882" s="5"/>
      <c r="K882" s="5"/>
      <c r="L882" s="5"/>
      <c r="M882" s="5"/>
      <c r="N882" s="5"/>
      <c r="O882" s="57"/>
      <c r="P882" s="5"/>
      <c r="Q882" s="5"/>
      <c r="R882" s="5"/>
      <c r="S882" s="5"/>
      <c r="T882" s="5"/>
      <c r="U882" s="5"/>
      <c r="V882" s="5"/>
      <c r="W882" s="5"/>
      <c r="X882" s="5"/>
      <c r="Y882" s="5"/>
      <c r="Z882" s="5"/>
    </row>
    <row r="883" spans="1:26" ht="12.75" customHeight="1">
      <c r="A883" s="5"/>
      <c r="B883" s="5"/>
      <c r="C883" s="5"/>
      <c r="D883" s="5"/>
      <c r="E883" s="5"/>
      <c r="F883" s="5"/>
      <c r="G883" s="5"/>
      <c r="H883" s="306"/>
      <c r="I883" s="5"/>
      <c r="J883" s="5"/>
      <c r="K883" s="5"/>
      <c r="L883" s="5"/>
      <c r="M883" s="5"/>
      <c r="N883" s="5"/>
      <c r="O883" s="57"/>
      <c r="P883" s="5"/>
      <c r="Q883" s="5"/>
      <c r="R883" s="5"/>
      <c r="S883" s="5"/>
      <c r="T883" s="5"/>
      <c r="U883" s="5"/>
      <c r="V883" s="5"/>
      <c r="W883" s="5"/>
      <c r="X883" s="5"/>
      <c r="Y883" s="5"/>
      <c r="Z883" s="5"/>
    </row>
    <row r="884" spans="1:26" ht="12.75" customHeight="1">
      <c r="A884" s="5"/>
      <c r="B884" s="5"/>
      <c r="C884" s="5"/>
      <c r="D884" s="5"/>
      <c r="E884" s="5"/>
      <c r="F884" s="5"/>
      <c r="G884" s="5"/>
      <c r="H884" s="306"/>
      <c r="I884" s="5"/>
      <c r="J884" s="5"/>
      <c r="K884" s="5"/>
      <c r="L884" s="5"/>
      <c r="M884" s="5"/>
      <c r="N884" s="5"/>
      <c r="O884" s="57"/>
      <c r="P884" s="5"/>
      <c r="Q884" s="5"/>
      <c r="R884" s="5"/>
      <c r="S884" s="5"/>
      <c r="T884" s="5"/>
      <c r="U884" s="5"/>
      <c r="V884" s="5"/>
      <c r="W884" s="5"/>
      <c r="X884" s="5"/>
      <c r="Y884" s="5"/>
      <c r="Z884" s="5"/>
    </row>
    <row r="885" spans="1:26" ht="12.75" customHeight="1">
      <c r="A885" s="5"/>
      <c r="B885" s="5"/>
      <c r="C885" s="5"/>
      <c r="D885" s="5"/>
      <c r="E885" s="5"/>
      <c r="F885" s="5"/>
      <c r="G885" s="5"/>
      <c r="H885" s="306"/>
      <c r="I885" s="5"/>
      <c r="J885" s="5"/>
      <c r="K885" s="5"/>
      <c r="L885" s="5"/>
      <c r="M885" s="5"/>
      <c r="N885" s="5"/>
      <c r="O885" s="57"/>
      <c r="P885" s="5"/>
      <c r="Q885" s="5"/>
      <c r="R885" s="5"/>
      <c r="S885" s="5"/>
      <c r="T885" s="5"/>
      <c r="U885" s="5"/>
      <c r="V885" s="5"/>
      <c r="W885" s="5"/>
      <c r="X885" s="5"/>
      <c r="Y885" s="5"/>
      <c r="Z885" s="5"/>
    </row>
    <row r="886" spans="1:26" ht="12.75" customHeight="1">
      <c r="A886" s="5"/>
      <c r="B886" s="5"/>
      <c r="C886" s="5"/>
      <c r="D886" s="5"/>
      <c r="E886" s="5"/>
      <c r="F886" s="5"/>
      <c r="G886" s="5"/>
      <c r="H886" s="306"/>
      <c r="I886" s="5"/>
      <c r="J886" s="5"/>
      <c r="K886" s="5"/>
      <c r="L886" s="5"/>
      <c r="M886" s="5"/>
      <c r="N886" s="5"/>
      <c r="O886" s="57"/>
      <c r="P886" s="5"/>
      <c r="Q886" s="5"/>
      <c r="R886" s="5"/>
      <c r="S886" s="5"/>
      <c r="T886" s="5"/>
      <c r="U886" s="5"/>
      <c r="V886" s="5"/>
      <c r="W886" s="5"/>
      <c r="X886" s="5"/>
      <c r="Y886" s="5"/>
      <c r="Z886" s="5"/>
    </row>
    <row r="887" spans="1:26" ht="12.75" customHeight="1">
      <c r="A887" s="5"/>
      <c r="B887" s="5"/>
      <c r="C887" s="5"/>
      <c r="D887" s="5"/>
      <c r="E887" s="5"/>
      <c r="F887" s="5"/>
      <c r="G887" s="5"/>
      <c r="H887" s="306"/>
      <c r="I887" s="5"/>
      <c r="J887" s="5"/>
      <c r="K887" s="5"/>
      <c r="L887" s="5"/>
      <c r="M887" s="5"/>
      <c r="N887" s="5"/>
      <c r="O887" s="57"/>
      <c r="P887" s="5"/>
      <c r="Q887" s="5"/>
      <c r="R887" s="5"/>
      <c r="S887" s="5"/>
      <c r="T887" s="5"/>
      <c r="U887" s="5"/>
      <c r="V887" s="5"/>
      <c r="W887" s="5"/>
      <c r="X887" s="5"/>
      <c r="Y887" s="5"/>
      <c r="Z887" s="5"/>
    </row>
    <row r="888" spans="1:26" ht="12.75" customHeight="1">
      <c r="A888" s="5"/>
      <c r="B888" s="5"/>
      <c r="C888" s="5"/>
      <c r="D888" s="5"/>
      <c r="E888" s="5"/>
      <c r="F888" s="5"/>
      <c r="G888" s="5"/>
      <c r="H888" s="306"/>
      <c r="I888" s="5"/>
      <c r="J888" s="5"/>
      <c r="K888" s="5"/>
      <c r="L888" s="5"/>
      <c r="M888" s="5"/>
      <c r="N888" s="5"/>
      <c r="O888" s="57"/>
      <c r="P888" s="5"/>
      <c r="Q888" s="5"/>
      <c r="R888" s="5"/>
      <c r="S888" s="5"/>
      <c r="T888" s="5"/>
      <c r="U888" s="5"/>
      <c r="V888" s="5"/>
      <c r="W888" s="5"/>
      <c r="X888" s="5"/>
      <c r="Y888" s="5"/>
      <c r="Z888" s="5"/>
    </row>
    <row r="889" spans="1:26" ht="12.75" customHeight="1">
      <c r="A889" s="5"/>
      <c r="B889" s="5"/>
      <c r="C889" s="5"/>
      <c r="D889" s="5"/>
      <c r="E889" s="5"/>
      <c r="F889" s="5"/>
      <c r="G889" s="5"/>
      <c r="H889" s="306"/>
      <c r="I889" s="5"/>
      <c r="J889" s="5"/>
      <c r="K889" s="5"/>
      <c r="L889" s="5"/>
      <c r="M889" s="5"/>
      <c r="N889" s="5"/>
      <c r="O889" s="57"/>
      <c r="P889" s="5"/>
      <c r="Q889" s="5"/>
      <c r="R889" s="5"/>
      <c r="S889" s="5"/>
      <c r="T889" s="5"/>
      <c r="U889" s="5"/>
      <c r="V889" s="5"/>
      <c r="W889" s="5"/>
      <c r="X889" s="5"/>
      <c r="Y889" s="5"/>
      <c r="Z889" s="5"/>
    </row>
    <row r="890" spans="1:26" ht="12.75" customHeight="1">
      <c r="A890" s="5"/>
      <c r="B890" s="5"/>
      <c r="C890" s="5"/>
      <c r="D890" s="5"/>
      <c r="E890" s="5"/>
      <c r="F890" s="5"/>
      <c r="G890" s="5"/>
      <c r="H890" s="306"/>
      <c r="I890" s="5"/>
      <c r="J890" s="5"/>
      <c r="K890" s="5"/>
      <c r="L890" s="5"/>
      <c r="M890" s="5"/>
      <c r="N890" s="5"/>
      <c r="O890" s="57"/>
      <c r="P890" s="5"/>
      <c r="Q890" s="5"/>
      <c r="R890" s="5"/>
      <c r="S890" s="5"/>
      <c r="T890" s="5"/>
      <c r="U890" s="5"/>
      <c r="V890" s="5"/>
      <c r="W890" s="5"/>
      <c r="X890" s="5"/>
      <c r="Y890" s="5"/>
      <c r="Z890" s="5"/>
    </row>
    <row r="891" spans="1:26" ht="12.75" customHeight="1">
      <c r="A891" s="5"/>
      <c r="B891" s="5"/>
      <c r="C891" s="5"/>
      <c r="D891" s="5"/>
      <c r="E891" s="5"/>
      <c r="F891" s="5"/>
      <c r="G891" s="5"/>
      <c r="H891" s="306"/>
      <c r="I891" s="5"/>
      <c r="J891" s="5"/>
      <c r="K891" s="5"/>
      <c r="L891" s="5"/>
      <c r="M891" s="5"/>
      <c r="N891" s="5"/>
      <c r="O891" s="57"/>
      <c r="P891" s="5"/>
      <c r="Q891" s="5"/>
      <c r="R891" s="5"/>
      <c r="S891" s="5"/>
      <c r="T891" s="5"/>
      <c r="U891" s="5"/>
      <c r="V891" s="5"/>
      <c r="W891" s="5"/>
      <c r="X891" s="5"/>
      <c r="Y891" s="5"/>
      <c r="Z891" s="5"/>
    </row>
    <row r="892" spans="1:26" ht="12.75" customHeight="1">
      <c r="A892" s="5"/>
      <c r="B892" s="5"/>
      <c r="C892" s="5"/>
      <c r="D892" s="5"/>
      <c r="E892" s="5"/>
      <c r="F892" s="5"/>
      <c r="G892" s="5"/>
      <c r="H892" s="306"/>
      <c r="I892" s="5"/>
      <c r="J892" s="5"/>
      <c r="K892" s="5"/>
      <c r="L892" s="5"/>
      <c r="M892" s="5"/>
      <c r="N892" s="5"/>
      <c r="O892" s="57"/>
      <c r="P892" s="5"/>
      <c r="Q892" s="5"/>
      <c r="R892" s="5"/>
      <c r="S892" s="5"/>
      <c r="T892" s="5"/>
      <c r="U892" s="5"/>
      <c r="V892" s="5"/>
      <c r="W892" s="5"/>
      <c r="X892" s="5"/>
      <c r="Y892" s="5"/>
      <c r="Z892" s="5"/>
    </row>
    <row r="893" spans="1:26" ht="12.75" customHeight="1">
      <c r="A893" s="5"/>
      <c r="B893" s="5"/>
      <c r="C893" s="5"/>
      <c r="D893" s="5"/>
      <c r="E893" s="5"/>
      <c r="F893" s="5"/>
      <c r="G893" s="5"/>
      <c r="H893" s="306"/>
      <c r="I893" s="5"/>
      <c r="J893" s="5"/>
      <c r="K893" s="5"/>
      <c r="L893" s="5"/>
      <c r="M893" s="5"/>
      <c r="N893" s="5"/>
      <c r="O893" s="57"/>
      <c r="P893" s="5"/>
      <c r="Q893" s="5"/>
      <c r="R893" s="5"/>
      <c r="S893" s="5"/>
      <c r="T893" s="5"/>
      <c r="U893" s="5"/>
      <c r="V893" s="5"/>
      <c r="W893" s="5"/>
      <c r="X893" s="5"/>
      <c r="Y893" s="5"/>
      <c r="Z893" s="5"/>
    </row>
    <row r="894" spans="1:26" ht="12.75" customHeight="1">
      <c r="A894" s="5"/>
      <c r="B894" s="5"/>
      <c r="C894" s="5"/>
      <c r="D894" s="5"/>
      <c r="E894" s="5"/>
      <c r="F894" s="5"/>
      <c r="G894" s="5"/>
      <c r="H894" s="306"/>
      <c r="I894" s="5"/>
      <c r="J894" s="5"/>
      <c r="K894" s="5"/>
      <c r="L894" s="5"/>
      <c r="M894" s="5"/>
      <c r="N894" s="5"/>
      <c r="O894" s="57"/>
      <c r="P894" s="5"/>
      <c r="Q894" s="5"/>
      <c r="R894" s="5"/>
      <c r="S894" s="5"/>
      <c r="T894" s="5"/>
      <c r="U894" s="5"/>
      <c r="V894" s="5"/>
      <c r="W894" s="5"/>
      <c r="X894" s="5"/>
      <c r="Y894" s="5"/>
      <c r="Z894" s="5"/>
    </row>
    <row r="895" spans="1:26" ht="12.75" customHeight="1">
      <c r="A895" s="5"/>
      <c r="B895" s="5"/>
      <c r="C895" s="5"/>
      <c r="D895" s="5"/>
      <c r="E895" s="5"/>
      <c r="F895" s="5"/>
      <c r="G895" s="5"/>
      <c r="H895" s="306"/>
      <c r="I895" s="5"/>
      <c r="J895" s="5"/>
      <c r="K895" s="5"/>
      <c r="L895" s="5"/>
      <c r="M895" s="5"/>
      <c r="N895" s="5"/>
      <c r="O895" s="57"/>
      <c r="P895" s="5"/>
      <c r="Q895" s="5"/>
      <c r="R895" s="5"/>
      <c r="S895" s="5"/>
      <c r="T895" s="5"/>
      <c r="U895" s="5"/>
      <c r="V895" s="5"/>
      <c r="W895" s="5"/>
      <c r="X895" s="5"/>
      <c r="Y895" s="5"/>
      <c r="Z895" s="5"/>
    </row>
    <row r="896" spans="1:26" ht="12.75" customHeight="1">
      <c r="A896" s="5"/>
      <c r="B896" s="5"/>
      <c r="C896" s="5"/>
      <c r="D896" s="5"/>
      <c r="E896" s="5"/>
      <c r="F896" s="5"/>
      <c r="G896" s="5"/>
      <c r="H896" s="306"/>
      <c r="I896" s="5"/>
      <c r="J896" s="5"/>
      <c r="K896" s="5"/>
      <c r="L896" s="5"/>
      <c r="M896" s="5"/>
      <c r="N896" s="5"/>
      <c r="O896" s="57"/>
      <c r="P896" s="5"/>
      <c r="Q896" s="5"/>
      <c r="R896" s="5"/>
      <c r="S896" s="5"/>
      <c r="T896" s="5"/>
      <c r="U896" s="5"/>
      <c r="V896" s="5"/>
      <c r="W896" s="5"/>
      <c r="X896" s="5"/>
      <c r="Y896" s="5"/>
      <c r="Z896" s="5"/>
    </row>
    <row r="897" spans="1:26" ht="12.75" customHeight="1">
      <c r="A897" s="5"/>
      <c r="B897" s="5"/>
      <c r="C897" s="5"/>
      <c r="D897" s="5"/>
      <c r="E897" s="5"/>
      <c r="F897" s="5"/>
      <c r="G897" s="5"/>
      <c r="H897" s="306"/>
      <c r="I897" s="5"/>
      <c r="J897" s="5"/>
      <c r="K897" s="5"/>
      <c r="L897" s="5"/>
      <c r="M897" s="5"/>
      <c r="N897" s="5"/>
      <c r="O897" s="57"/>
      <c r="P897" s="5"/>
      <c r="Q897" s="5"/>
      <c r="R897" s="5"/>
      <c r="S897" s="5"/>
      <c r="T897" s="5"/>
      <c r="U897" s="5"/>
      <c r="V897" s="5"/>
      <c r="W897" s="5"/>
      <c r="X897" s="5"/>
      <c r="Y897" s="5"/>
      <c r="Z897" s="5"/>
    </row>
    <row r="898" spans="1:26" ht="12.75" customHeight="1">
      <c r="A898" s="5"/>
      <c r="B898" s="5"/>
      <c r="C898" s="5"/>
      <c r="D898" s="5"/>
      <c r="E898" s="5"/>
      <c r="F898" s="5"/>
      <c r="G898" s="5"/>
      <c r="H898" s="306"/>
      <c r="I898" s="5"/>
      <c r="J898" s="5"/>
      <c r="K898" s="5"/>
      <c r="L898" s="5"/>
      <c r="M898" s="5"/>
      <c r="N898" s="5"/>
      <c r="O898" s="57"/>
      <c r="P898" s="5"/>
      <c r="Q898" s="5"/>
      <c r="R898" s="5"/>
      <c r="S898" s="5"/>
      <c r="T898" s="5"/>
      <c r="U898" s="5"/>
      <c r="V898" s="5"/>
      <c r="W898" s="5"/>
      <c r="X898" s="5"/>
      <c r="Y898" s="5"/>
      <c r="Z898" s="5"/>
    </row>
    <row r="899" spans="1:26" ht="12.75" customHeight="1">
      <c r="A899" s="5"/>
      <c r="B899" s="5"/>
      <c r="C899" s="5"/>
      <c r="D899" s="5"/>
      <c r="E899" s="5"/>
      <c r="F899" s="5"/>
      <c r="G899" s="5"/>
      <c r="H899" s="306"/>
      <c r="I899" s="5"/>
      <c r="J899" s="5"/>
      <c r="K899" s="5"/>
      <c r="L899" s="5"/>
      <c r="M899" s="5"/>
      <c r="N899" s="5"/>
      <c r="O899" s="57"/>
      <c r="P899" s="5"/>
      <c r="Q899" s="5"/>
      <c r="R899" s="5"/>
      <c r="S899" s="5"/>
      <c r="T899" s="5"/>
      <c r="U899" s="5"/>
      <c r="V899" s="5"/>
      <c r="W899" s="5"/>
      <c r="X899" s="5"/>
      <c r="Y899" s="5"/>
      <c r="Z899" s="5"/>
    </row>
    <row r="900" spans="1:26" ht="12.75" customHeight="1">
      <c r="A900" s="5"/>
      <c r="B900" s="5"/>
      <c r="C900" s="5"/>
      <c r="D900" s="5"/>
      <c r="E900" s="5"/>
      <c r="F900" s="5"/>
      <c r="G900" s="5"/>
      <c r="H900" s="306"/>
      <c r="I900" s="5"/>
      <c r="J900" s="5"/>
      <c r="K900" s="5"/>
      <c r="L900" s="5"/>
      <c r="M900" s="5"/>
      <c r="N900" s="5"/>
      <c r="O900" s="57"/>
      <c r="P900" s="5"/>
      <c r="Q900" s="5"/>
      <c r="R900" s="5"/>
      <c r="S900" s="5"/>
      <c r="T900" s="5"/>
      <c r="U900" s="5"/>
      <c r="V900" s="5"/>
      <c r="W900" s="5"/>
      <c r="X900" s="5"/>
      <c r="Y900" s="5"/>
      <c r="Z900" s="5"/>
    </row>
    <row r="901" spans="1:26" ht="12.75" customHeight="1">
      <c r="A901" s="5"/>
      <c r="B901" s="5"/>
      <c r="C901" s="5"/>
      <c r="D901" s="5"/>
      <c r="E901" s="5"/>
      <c r="F901" s="5"/>
      <c r="G901" s="5"/>
      <c r="H901" s="306"/>
      <c r="I901" s="5"/>
      <c r="J901" s="5"/>
      <c r="K901" s="5"/>
      <c r="L901" s="5"/>
      <c r="M901" s="5"/>
      <c r="N901" s="5"/>
      <c r="O901" s="57"/>
      <c r="P901" s="5"/>
      <c r="Q901" s="5"/>
      <c r="R901" s="5"/>
      <c r="S901" s="5"/>
      <c r="T901" s="5"/>
      <c r="U901" s="5"/>
      <c r="V901" s="5"/>
      <c r="W901" s="5"/>
      <c r="X901" s="5"/>
      <c r="Y901" s="5"/>
      <c r="Z901" s="5"/>
    </row>
    <row r="902" spans="1:26" ht="12.75" customHeight="1">
      <c r="A902" s="5"/>
      <c r="B902" s="5"/>
      <c r="C902" s="5"/>
      <c r="D902" s="5"/>
      <c r="E902" s="5"/>
      <c r="F902" s="5"/>
      <c r="G902" s="5"/>
      <c r="H902" s="306"/>
      <c r="I902" s="5"/>
      <c r="J902" s="5"/>
      <c r="K902" s="5"/>
      <c r="L902" s="5"/>
      <c r="M902" s="5"/>
      <c r="N902" s="5"/>
      <c r="O902" s="57"/>
      <c r="P902" s="5"/>
      <c r="Q902" s="5"/>
      <c r="R902" s="5"/>
      <c r="S902" s="5"/>
      <c r="T902" s="5"/>
      <c r="U902" s="5"/>
      <c r="V902" s="5"/>
      <c r="W902" s="5"/>
      <c r="X902" s="5"/>
      <c r="Y902" s="5"/>
      <c r="Z902" s="5"/>
    </row>
    <row r="903" spans="1:26" ht="12.75" customHeight="1">
      <c r="A903" s="5"/>
      <c r="B903" s="5"/>
      <c r="C903" s="5"/>
      <c r="D903" s="5"/>
      <c r="E903" s="5"/>
      <c r="F903" s="5"/>
      <c r="G903" s="5"/>
      <c r="H903" s="306"/>
      <c r="I903" s="5"/>
      <c r="J903" s="5"/>
      <c r="K903" s="5"/>
      <c r="L903" s="5"/>
      <c r="M903" s="5"/>
      <c r="N903" s="5"/>
      <c r="O903" s="57"/>
      <c r="P903" s="5"/>
      <c r="Q903" s="5"/>
      <c r="R903" s="5"/>
      <c r="S903" s="5"/>
      <c r="T903" s="5"/>
      <c r="U903" s="5"/>
      <c r="V903" s="5"/>
      <c r="W903" s="5"/>
      <c r="X903" s="5"/>
      <c r="Y903" s="5"/>
      <c r="Z903" s="5"/>
    </row>
    <row r="904" spans="1:26" ht="12.75" customHeight="1">
      <c r="A904" s="5"/>
      <c r="B904" s="5"/>
      <c r="C904" s="5"/>
      <c r="D904" s="5"/>
      <c r="E904" s="5"/>
      <c r="F904" s="5"/>
      <c r="G904" s="5"/>
      <c r="H904" s="306"/>
      <c r="I904" s="5"/>
      <c r="J904" s="5"/>
      <c r="K904" s="5"/>
      <c r="L904" s="5"/>
      <c r="M904" s="5"/>
      <c r="N904" s="5"/>
      <c r="O904" s="57"/>
      <c r="P904" s="5"/>
      <c r="Q904" s="5"/>
      <c r="R904" s="5"/>
      <c r="S904" s="5"/>
      <c r="T904" s="5"/>
      <c r="U904" s="5"/>
      <c r="V904" s="5"/>
      <c r="W904" s="5"/>
      <c r="X904" s="5"/>
      <c r="Y904" s="5"/>
      <c r="Z904" s="5"/>
    </row>
    <row r="905" spans="1:26" ht="12.75" customHeight="1">
      <c r="A905" s="5"/>
      <c r="B905" s="5"/>
      <c r="C905" s="5"/>
      <c r="D905" s="5"/>
      <c r="E905" s="5"/>
      <c r="F905" s="5"/>
      <c r="G905" s="5"/>
      <c r="H905" s="306"/>
      <c r="I905" s="5"/>
      <c r="J905" s="5"/>
      <c r="K905" s="5"/>
      <c r="L905" s="5"/>
      <c r="M905" s="5"/>
      <c r="N905" s="5"/>
      <c r="O905" s="57"/>
      <c r="P905" s="5"/>
      <c r="Q905" s="5"/>
      <c r="R905" s="5"/>
      <c r="S905" s="5"/>
      <c r="T905" s="5"/>
      <c r="U905" s="5"/>
      <c r="V905" s="5"/>
      <c r="W905" s="5"/>
      <c r="X905" s="5"/>
      <c r="Y905" s="5"/>
      <c r="Z905" s="5"/>
    </row>
    <row r="906" spans="1:26" ht="12.75" customHeight="1">
      <c r="A906" s="5"/>
      <c r="B906" s="5"/>
      <c r="C906" s="5"/>
      <c r="D906" s="5"/>
      <c r="E906" s="5"/>
      <c r="F906" s="5"/>
      <c r="G906" s="5"/>
      <c r="H906" s="306"/>
      <c r="I906" s="5"/>
      <c r="J906" s="5"/>
      <c r="K906" s="5"/>
      <c r="L906" s="5"/>
      <c r="M906" s="5"/>
      <c r="N906" s="5"/>
      <c r="O906" s="57"/>
      <c r="P906" s="5"/>
      <c r="Q906" s="5"/>
      <c r="R906" s="5"/>
      <c r="S906" s="5"/>
      <c r="T906" s="5"/>
      <c r="U906" s="5"/>
      <c r="V906" s="5"/>
      <c r="W906" s="5"/>
      <c r="X906" s="5"/>
      <c r="Y906" s="5"/>
      <c r="Z906" s="5"/>
    </row>
    <row r="907" spans="1:26" ht="12.75" customHeight="1">
      <c r="A907" s="5"/>
      <c r="B907" s="5"/>
      <c r="C907" s="5"/>
      <c r="D907" s="5"/>
      <c r="E907" s="5"/>
      <c r="F907" s="5"/>
      <c r="G907" s="5"/>
      <c r="H907" s="306"/>
      <c r="I907" s="5"/>
      <c r="J907" s="5"/>
      <c r="K907" s="5"/>
      <c r="L907" s="5"/>
      <c r="M907" s="5"/>
      <c r="N907" s="5"/>
      <c r="O907" s="57"/>
      <c r="P907" s="5"/>
      <c r="Q907" s="5"/>
      <c r="R907" s="5"/>
      <c r="S907" s="5"/>
      <c r="T907" s="5"/>
      <c r="U907" s="5"/>
      <c r="V907" s="5"/>
      <c r="W907" s="5"/>
      <c r="X907" s="5"/>
      <c r="Y907" s="5"/>
      <c r="Z907" s="5"/>
    </row>
    <row r="908" spans="1:26" ht="12.75" customHeight="1">
      <c r="A908" s="5"/>
      <c r="B908" s="5"/>
      <c r="C908" s="5"/>
      <c r="D908" s="5"/>
      <c r="E908" s="5"/>
      <c r="F908" s="5"/>
      <c r="G908" s="5"/>
      <c r="H908" s="306"/>
      <c r="I908" s="5"/>
      <c r="J908" s="5"/>
      <c r="K908" s="5"/>
      <c r="L908" s="5"/>
      <c r="M908" s="5"/>
      <c r="N908" s="5"/>
      <c r="O908" s="57"/>
      <c r="P908" s="5"/>
      <c r="Q908" s="5"/>
      <c r="R908" s="5"/>
      <c r="S908" s="5"/>
      <c r="T908" s="5"/>
      <c r="U908" s="5"/>
      <c r="V908" s="5"/>
      <c r="W908" s="5"/>
      <c r="X908" s="5"/>
      <c r="Y908" s="5"/>
      <c r="Z908" s="5"/>
    </row>
    <row r="909" spans="1:26" ht="12.75" customHeight="1">
      <c r="A909" s="5"/>
      <c r="B909" s="5"/>
      <c r="C909" s="5"/>
      <c r="D909" s="5"/>
      <c r="E909" s="5"/>
      <c r="F909" s="5"/>
      <c r="G909" s="5"/>
      <c r="H909" s="306"/>
      <c r="I909" s="5"/>
      <c r="J909" s="5"/>
      <c r="K909" s="5"/>
      <c r="L909" s="5"/>
      <c r="M909" s="5"/>
      <c r="N909" s="5"/>
      <c r="O909" s="57"/>
      <c r="P909" s="5"/>
      <c r="Q909" s="5"/>
      <c r="R909" s="5"/>
      <c r="S909" s="5"/>
      <c r="T909" s="5"/>
      <c r="U909" s="5"/>
      <c r="V909" s="5"/>
      <c r="W909" s="5"/>
      <c r="X909" s="5"/>
      <c r="Y909" s="5"/>
      <c r="Z909" s="5"/>
    </row>
    <row r="910" spans="1:26" ht="12.75" customHeight="1">
      <c r="A910" s="5"/>
      <c r="B910" s="5"/>
      <c r="C910" s="5"/>
      <c r="D910" s="5"/>
      <c r="E910" s="5"/>
      <c r="F910" s="5"/>
      <c r="G910" s="5"/>
      <c r="H910" s="306"/>
      <c r="I910" s="5"/>
      <c r="J910" s="5"/>
      <c r="K910" s="5"/>
      <c r="L910" s="5"/>
      <c r="M910" s="5"/>
      <c r="N910" s="5"/>
      <c r="O910" s="57"/>
      <c r="P910" s="5"/>
      <c r="Q910" s="5"/>
      <c r="R910" s="5"/>
      <c r="S910" s="5"/>
      <c r="T910" s="5"/>
      <c r="U910" s="5"/>
      <c r="V910" s="5"/>
      <c r="W910" s="5"/>
      <c r="X910" s="5"/>
      <c r="Y910" s="5"/>
      <c r="Z910" s="5"/>
    </row>
    <row r="911" spans="1:26" ht="12.75" customHeight="1">
      <c r="A911" s="5"/>
      <c r="B911" s="5"/>
      <c r="C911" s="5"/>
      <c r="D911" s="5"/>
      <c r="E911" s="5"/>
      <c r="F911" s="5"/>
      <c r="G911" s="5"/>
      <c r="H911" s="306"/>
      <c r="I911" s="5"/>
      <c r="J911" s="5"/>
      <c r="K911" s="5"/>
      <c r="L911" s="5"/>
      <c r="M911" s="5"/>
      <c r="N911" s="5"/>
      <c r="O911" s="57"/>
      <c r="P911" s="5"/>
      <c r="Q911" s="5"/>
      <c r="R911" s="5"/>
      <c r="S911" s="5"/>
      <c r="T911" s="5"/>
      <c r="U911" s="5"/>
      <c r="V911" s="5"/>
      <c r="W911" s="5"/>
      <c r="X911" s="5"/>
      <c r="Y911" s="5"/>
      <c r="Z911" s="5"/>
    </row>
    <row r="912" spans="1:26" ht="12.75" customHeight="1">
      <c r="A912" s="5"/>
      <c r="B912" s="5"/>
      <c r="C912" s="5"/>
      <c r="D912" s="5"/>
      <c r="E912" s="5"/>
      <c r="F912" s="5"/>
      <c r="G912" s="5"/>
      <c r="H912" s="306"/>
      <c r="I912" s="5"/>
      <c r="J912" s="5"/>
      <c r="K912" s="5"/>
      <c r="L912" s="5"/>
      <c r="M912" s="5"/>
      <c r="N912" s="5"/>
      <c r="O912" s="57"/>
      <c r="P912" s="5"/>
      <c r="Q912" s="5"/>
      <c r="R912" s="5"/>
      <c r="S912" s="5"/>
      <c r="T912" s="5"/>
      <c r="U912" s="5"/>
      <c r="V912" s="5"/>
      <c r="W912" s="5"/>
      <c r="X912" s="5"/>
      <c r="Y912" s="5"/>
      <c r="Z912" s="5"/>
    </row>
    <row r="913" spans="1:26" ht="12.75" customHeight="1">
      <c r="A913" s="5"/>
      <c r="B913" s="5"/>
      <c r="C913" s="5"/>
      <c r="D913" s="5"/>
      <c r="E913" s="5"/>
      <c r="F913" s="5"/>
      <c r="G913" s="5"/>
      <c r="H913" s="306"/>
      <c r="I913" s="5"/>
      <c r="J913" s="5"/>
      <c r="K913" s="5"/>
      <c r="L913" s="5"/>
      <c r="M913" s="5"/>
      <c r="N913" s="5"/>
      <c r="O913" s="57"/>
      <c r="P913" s="5"/>
      <c r="Q913" s="5"/>
      <c r="R913" s="5"/>
      <c r="S913" s="5"/>
      <c r="T913" s="5"/>
      <c r="U913" s="5"/>
      <c r="V913" s="5"/>
      <c r="W913" s="5"/>
      <c r="X913" s="5"/>
      <c r="Y913" s="5"/>
      <c r="Z913" s="5"/>
    </row>
    <row r="914" spans="1:26" ht="12.75" customHeight="1">
      <c r="A914" s="5"/>
      <c r="B914" s="5"/>
      <c r="C914" s="5"/>
      <c r="D914" s="5"/>
      <c r="E914" s="5"/>
      <c r="F914" s="5"/>
      <c r="G914" s="5"/>
      <c r="H914" s="306"/>
      <c r="I914" s="5"/>
      <c r="J914" s="5"/>
      <c r="K914" s="5"/>
      <c r="L914" s="5"/>
      <c r="M914" s="5"/>
      <c r="N914" s="5"/>
      <c r="O914" s="57"/>
      <c r="P914" s="5"/>
      <c r="Q914" s="5"/>
      <c r="R914" s="5"/>
      <c r="S914" s="5"/>
      <c r="T914" s="5"/>
      <c r="U914" s="5"/>
      <c r="V914" s="5"/>
      <c r="W914" s="5"/>
      <c r="X914" s="5"/>
      <c r="Y914" s="5"/>
      <c r="Z914" s="5"/>
    </row>
    <row r="915" spans="1:26" ht="12.75" customHeight="1">
      <c r="A915" s="5"/>
      <c r="B915" s="5"/>
      <c r="C915" s="5"/>
      <c r="D915" s="5"/>
      <c r="E915" s="5"/>
      <c r="F915" s="5"/>
      <c r="G915" s="5"/>
      <c r="H915" s="306"/>
      <c r="I915" s="5"/>
      <c r="J915" s="5"/>
      <c r="K915" s="5"/>
      <c r="L915" s="5"/>
      <c r="M915" s="5"/>
      <c r="N915" s="5"/>
      <c r="O915" s="57"/>
      <c r="P915" s="5"/>
      <c r="Q915" s="5"/>
      <c r="R915" s="5"/>
      <c r="S915" s="5"/>
      <c r="T915" s="5"/>
      <c r="U915" s="5"/>
      <c r="V915" s="5"/>
      <c r="W915" s="5"/>
      <c r="X915" s="5"/>
      <c r="Y915" s="5"/>
      <c r="Z915" s="5"/>
    </row>
    <row r="916" spans="1:26" ht="12.75" customHeight="1">
      <c r="A916" s="5"/>
      <c r="B916" s="5"/>
      <c r="C916" s="5"/>
      <c r="D916" s="5"/>
      <c r="E916" s="5"/>
      <c r="F916" s="5"/>
      <c r="G916" s="5"/>
      <c r="H916" s="306"/>
      <c r="I916" s="5"/>
      <c r="J916" s="5"/>
      <c r="K916" s="5"/>
      <c r="L916" s="5"/>
      <c r="M916" s="5"/>
      <c r="N916" s="5"/>
      <c r="O916" s="57"/>
      <c r="P916" s="5"/>
      <c r="Q916" s="5"/>
      <c r="R916" s="5"/>
      <c r="S916" s="5"/>
      <c r="T916" s="5"/>
      <c r="U916" s="5"/>
      <c r="V916" s="5"/>
      <c r="W916" s="5"/>
      <c r="X916" s="5"/>
      <c r="Y916" s="5"/>
      <c r="Z916" s="5"/>
    </row>
    <row r="917" spans="1:26" ht="12.75" customHeight="1">
      <c r="A917" s="5"/>
      <c r="B917" s="5"/>
      <c r="C917" s="5"/>
      <c r="D917" s="5"/>
      <c r="E917" s="5"/>
      <c r="F917" s="5"/>
      <c r="G917" s="5"/>
      <c r="H917" s="306"/>
      <c r="I917" s="5"/>
      <c r="J917" s="5"/>
      <c r="K917" s="5"/>
      <c r="L917" s="5"/>
      <c r="M917" s="5"/>
      <c r="N917" s="5"/>
      <c r="O917" s="57"/>
      <c r="P917" s="5"/>
      <c r="Q917" s="5"/>
      <c r="R917" s="5"/>
      <c r="S917" s="5"/>
      <c r="T917" s="5"/>
      <c r="U917" s="5"/>
      <c r="V917" s="5"/>
      <c r="W917" s="5"/>
      <c r="X917" s="5"/>
      <c r="Y917" s="5"/>
      <c r="Z917" s="5"/>
    </row>
    <row r="918" spans="1:26" ht="12.75" customHeight="1">
      <c r="A918" s="5"/>
      <c r="B918" s="5"/>
      <c r="C918" s="5"/>
      <c r="D918" s="5"/>
      <c r="E918" s="5"/>
      <c r="F918" s="5"/>
      <c r="G918" s="5"/>
      <c r="H918" s="306"/>
      <c r="I918" s="5"/>
      <c r="J918" s="5"/>
      <c r="K918" s="5"/>
      <c r="L918" s="5"/>
      <c r="M918" s="5"/>
      <c r="N918" s="5"/>
      <c r="O918" s="57"/>
      <c r="P918" s="5"/>
      <c r="Q918" s="5"/>
      <c r="R918" s="5"/>
      <c r="S918" s="5"/>
      <c r="T918" s="5"/>
      <c r="U918" s="5"/>
      <c r="V918" s="5"/>
      <c r="W918" s="5"/>
      <c r="X918" s="5"/>
      <c r="Y918" s="5"/>
      <c r="Z918" s="5"/>
    </row>
    <row r="919" spans="1:26" ht="12.75" customHeight="1">
      <c r="A919" s="5"/>
      <c r="B919" s="5"/>
      <c r="C919" s="5"/>
      <c r="D919" s="5"/>
      <c r="E919" s="5"/>
      <c r="F919" s="5"/>
      <c r="G919" s="5"/>
      <c r="H919" s="306"/>
      <c r="I919" s="5"/>
      <c r="J919" s="5"/>
      <c r="K919" s="5"/>
      <c r="L919" s="5"/>
      <c r="M919" s="5"/>
      <c r="N919" s="5"/>
      <c r="O919" s="57"/>
      <c r="P919" s="5"/>
      <c r="Q919" s="5"/>
      <c r="R919" s="5"/>
      <c r="S919" s="5"/>
      <c r="T919" s="5"/>
      <c r="U919" s="5"/>
      <c r="V919" s="5"/>
      <c r="W919" s="5"/>
      <c r="X919" s="5"/>
      <c r="Y919" s="5"/>
      <c r="Z919" s="5"/>
    </row>
    <row r="920" spans="1:26" ht="12.75" customHeight="1">
      <c r="A920" s="5"/>
      <c r="B920" s="5"/>
      <c r="C920" s="5"/>
      <c r="D920" s="5"/>
      <c r="E920" s="5"/>
      <c r="F920" s="5"/>
      <c r="G920" s="5"/>
      <c r="H920" s="306"/>
      <c r="I920" s="5"/>
      <c r="J920" s="5"/>
      <c r="K920" s="5"/>
      <c r="L920" s="5"/>
      <c r="M920" s="5"/>
      <c r="N920" s="5"/>
      <c r="O920" s="57"/>
      <c r="P920" s="5"/>
      <c r="Q920" s="5"/>
      <c r="R920" s="5"/>
      <c r="S920" s="5"/>
      <c r="T920" s="5"/>
      <c r="U920" s="5"/>
      <c r="V920" s="5"/>
      <c r="W920" s="5"/>
      <c r="X920" s="5"/>
      <c r="Y920" s="5"/>
      <c r="Z920" s="5"/>
    </row>
    <row r="921" spans="1:26" ht="12.75" customHeight="1">
      <c r="A921" s="5"/>
      <c r="B921" s="5"/>
      <c r="C921" s="5"/>
      <c r="D921" s="5"/>
      <c r="E921" s="5"/>
      <c r="F921" s="5"/>
      <c r="G921" s="5"/>
      <c r="H921" s="306"/>
      <c r="I921" s="5"/>
      <c r="J921" s="5"/>
      <c r="K921" s="5"/>
      <c r="L921" s="5"/>
      <c r="M921" s="5"/>
      <c r="N921" s="5"/>
      <c r="O921" s="57"/>
      <c r="P921" s="5"/>
      <c r="Q921" s="5"/>
      <c r="R921" s="5"/>
      <c r="S921" s="5"/>
      <c r="T921" s="5"/>
      <c r="U921" s="5"/>
      <c r="V921" s="5"/>
      <c r="W921" s="5"/>
      <c r="X921" s="5"/>
      <c r="Y921" s="5"/>
      <c r="Z921" s="5"/>
    </row>
    <row r="922" spans="1:26" ht="12.75" customHeight="1">
      <c r="A922" s="5"/>
      <c r="B922" s="5"/>
      <c r="C922" s="5"/>
      <c r="D922" s="5"/>
      <c r="E922" s="5"/>
      <c r="F922" s="5"/>
      <c r="G922" s="5"/>
      <c r="H922" s="306"/>
      <c r="I922" s="5"/>
      <c r="J922" s="5"/>
      <c r="K922" s="5"/>
      <c r="L922" s="5"/>
      <c r="M922" s="5"/>
      <c r="N922" s="5"/>
      <c r="O922" s="57"/>
      <c r="P922" s="5"/>
      <c r="Q922" s="5"/>
      <c r="R922" s="5"/>
      <c r="S922" s="5"/>
      <c r="T922" s="5"/>
      <c r="U922" s="5"/>
      <c r="V922" s="5"/>
      <c r="W922" s="5"/>
      <c r="X922" s="5"/>
      <c r="Y922" s="5"/>
      <c r="Z922" s="5"/>
    </row>
    <row r="923" spans="1:26" ht="12.75" customHeight="1">
      <c r="A923" s="5"/>
      <c r="B923" s="5"/>
      <c r="C923" s="5"/>
      <c r="D923" s="5"/>
      <c r="E923" s="5"/>
      <c r="F923" s="5"/>
      <c r="G923" s="5"/>
      <c r="H923" s="306"/>
      <c r="I923" s="5"/>
      <c r="J923" s="5"/>
      <c r="K923" s="5"/>
      <c r="L923" s="5"/>
      <c r="M923" s="5"/>
      <c r="N923" s="5"/>
      <c r="O923" s="57"/>
      <c r="P923" s="5"/>
      <c r="Q923" s="5"/>
      <c r="R923" s="5"/>
      <c r="S923" s="5"/>
      <c r="T923" s="5"/>
      <c r="U923" s="5"/>
      <c r="V923" s="5"/>
      <c r="W923" s="5"/>
      <c r="X923" s="5"/>
      <c r="Y923" s="5"/>
      <c r="Z923" s="5"/>
    </row>
    <row r="924" spans="1:26" ht="12.75" customHeight="1">
      <c r="A924" s="5"/>
      <c r="B924" s="5"/>
      <c r="C924" s="5"/>
      <c r="D924" s="5"/>
      <c r="E924" s="5"/>
      <c r="F924" s="5"/>
      <c r="G924" s="5"/>
      <c r="H924" s="306"/>
      <c r="I924" s="5"/>
      <c r="J924" s="5"/>
      <c r="K924" s="5"/>
      <c r="L924" s="5"/>
      <c r="M924" s="5"/>
      <c r="N924" s="5"/>
      <c r="O924" s="57"/>
      <c r="P924" s="5"/>
      <c r="Q924" s="5"/>
      <c r="R924" s="5"/>
      <c r="S924" s="5"/>
      <c r="T924" s="5"/>
      <c r="U924" s="5"/>
      <c r="V924" s="5"/>
      <c r="W924" s="5"/>
      <c r="X924" s="5"/>
      <c r="Y924" s="5"/>
      <c r="Z924" s="5"/>
    </row>
    <row r="925" spans="1:26" ht="12.75" customHeight="1">
      <c r="A925" s="5"/>
      <c r="B925" s="5"/>
      <c r="C925" s="5"/>
      <c r="D925" s="5"/>
      <c r="E925" s="5"/>
      <c r="F925" s="5"/>
      <c r="G925" s="5"/>
      <c r="H925" s="306"/>
      <c r="I925" s="5"/>
      <c r="J925" s="5"/>
      <c r="K925" s="5"/>
      <c r="L925" s="5"/>
      <c r="M925" s="5"/>
      <c r="N925" s="5"/>
      <c r="O925" s="57"/>
      <c r="P925" s="5"/>
      <c r="Q925" s="5"/>
      <c r="R925" s="5"/>
      <c r="S925" s="5"/>
      <c r="T925" s="5"/>
      <c r="U925" s="5"/>
      <c r="V925" s="5"/>
      <c r="W925" s="5"/>
      <c r="X925" s="5"/>
      <c r="Y925" s="5"/>
      <c r="Z925" s="5"/>
    </row>
    <row r="926" spans="1:26" ht="12.75" customHeight="1">
      <c r="A926" s="5"/>
      <c r="B926" s="5"/>
      <c r="C926" s="5"/>
      <c r="D926" s="5"/>
      <c r="E926" s="5"/>
      <c r="F926" s="5"/>
      <c r="G926" s="5"/>
      <c r="H926" s="306"/>
      <c r="I926" s="5"/>
      <c r="J926" s="5"/>
      <c r="K926" s="5"/>
      <c r="L926" s="5"/>
      <c r="M926" s="5"/>
      <c r="N926" s="5"/>
      <c r="O926" s="57"/>
      <c r="P926" s="5"/>
      <c r="Q926" s="5"/>
      <c r="R926" s="5"/>
      <c r="S926" s="5"/>
      <c r="T926" s="5"/>
      <c r="U926" s="5"/>
      <c r="V926" s="5"/>
      <c r="W926" s="5"/>
      <c r="X926" s="5"/>
      <c r="Y926" s="5"/>
      <c r="Z926" s="5"/>
    </row>
    <row r="927" spans="1:26" ht="12.75" customHeight="1">
      <c r="A927" s="5"/>
      <c r="B927" s="5"/>
      <c r="C927" s="5"/>
      <c r="D927" s="5"/>
      <c r="E927" s="5"/>
      <c r="F927" s="5"/>
      <c r="G927" s="5"/>
      <c r="H927" s="306"/>
      <c r="I927" s="5"/>
      <c r="J927" s="5"/>
      <c r="K927" s="5"/>
      <c r="L927" s="5"/>
      <c r="M927" s="5"/>
      <c r="N927" s="5"/>
      <c r="O927" s="57"/>
      <c r="P927" s="5"/>
      <c r="Q927" s="5"/>
      <c r="R927" s="5"/>
      <c r="S927" s="5"/>
      <c r="T927" s="5"/>
      <c r="U927" s="5"/>
      <c r="V927" s="5"/>
      <c r="W927" s="5"/>
      <c r="X927" s="5"/>
      <c r="Y927" s="5"/>
      <c r="Z927" s="5"/>
    </row>
    <row r="928" spans="1:26" ht="12.75" customHeight="1">
      <c r="A928" s="5"/>
      <c r="B928" s="5"/>
      <c r="C928" s="5"/>
      <c r="D928" s="5"/>
      <c r="E928" s="5"/>
      <c r="F928" s="5"/>
      <c r="G928" s="5"/>
      <c r="H928" s="306"/>
      <c r="I928" s="5"/>
      <c r="J928" s="5"/>
      <c r="K928" s="5"/>
      <c r="L928" s="5"/>
      <c r="M928" s="5"/>
      <c r="N928" s="5"/>
      <c r="O928" s="57"/>
      <c r="P928" s="5"/>
      <c r="Q928" s="5"/>
      <c r="R928" s="5"/>
      <c r="S928" s="5"/>
      <c r="T928" s="5"/>
      <c r="U928" s="5"/>
      <c r="V928" s="5"/>
      <c r="W928" s="5"/>
      <c r="X928" s="5"/>
      <c r="Y928" s="5"/>
      <c r="Z928" s="5"/>
    </row>
    <row r="929" spans="1:26" ht="12.75" customHeight="1">
      <c r="A929" s="5"/>
      <c r="B929" s="5"/>
      <c r="C929" s="5"/>
      <c r="D929" s="5"/>
      <c r="E929" s="5"/>
      <c r="F929" s="5"/>
      <c r="G929" s="5"/>
      <c r="H929" s="306"/>
      <c r="I929" s="5"/>
      <c r="J929" s="5"/>
      <c r="K929" s="5"/>
      <c r="L929" s="5"/>
      <c r="M929" s="5"/>
      <c r="N929" s="5"/>
      <c r="O929" s="57"/>
      <c r="P929" s="5"/>
      <c r="Q929" s="5"/>
      <c r="R929" s="5"/>
      <c r="S929" s="5"/>
      <c r="T929" s="5"/>
      <c r="U929" s="5"/>
      <c r="V929" s="5"/>
      <c r="W929" s="5"/>
      <c r="X929" s="5"/>
      <c r="Y929" s="5"/>
      <c r="Z929" s="5"/>
    </row>
    <row r="930" spans="1:26" ht="12.75" customHeight="1">
      <c r="A930" s="5"/>
      <c r="B930" s="5"/>
      <c r="C930" s="5"/>
      <c r="D930" s="5"/>
      <c r="E930" s="5"/>
      <c r="F930" s="5"/>
      <c r="G930" s="5"/>
      <c r="H930" s="306"/>
      <c r="I930" s="5"/>
      <c r="J930" s="5"/>
      <c r="K930" s="5"/>
      <c r="L930" s="5"/>
      <c r="M930" s="5"/>
      <c r="N930" s="5"/>
      <c r="O930" s="57"/>
      <c r="P930" s="5"/>
      <c r="Q930" s="5"/>
      <c r="R930" s="5"/>
      <c r="S930" s="5"/>
      <c r="T930" s="5"/>
      <c r="U930" s="5"/>
      <c r="V930" s="5"/>
      <c r="W930" s="5"/>
      <c r="X930" s="5"/>
      <c r="Y930" s="5"/>
      <c r="Z930" s="5"/>
    </row>
    <row r="931" spans="1:26" ht="12.75" customHeight="1">
      <c r="A931" s="5"/>
      <c r="B931" s="5"/>
      <c r="C931" s="5"/>
      <c r="D931" s="5"/>
      <c r="E931" s="5"/>
      <c r="F931" s="5"/>
      <c r="G931" s="5"/>
      <c r="H931" s="306"/>
      <c r="I931" s="5"/>
      <c r="J931" s="5"/>
      <c r="K931" s="5"/>
      <c r="L931" s="5"/>
      <c r="M931" s="5"/>
      <c r="N931" s="5"/>
      <c r="O931" s="57"/>
      <c r="P931" s="5"/>
      <c r="Q931" s="5"/>
      <c r="R931" s="5"/>
      <c r="S931" s="5"/>
      <c r="T931" s="5"/>
      <c r="U931" s="5"/>
      <c r="V931" s="5"/>
      <c r="W931" s="5"/>
      <c r="X931" s="5"/>
      <c r="Y931" s="5"/>
      <c r="Z931" s="5"/>
    </row>
    <row r="932" spans="1:26" ht="12.75" customHeight="1">
      <c r="A932" s="5"/>
      <c r="B932" s="5"/>
      <c r="C932" s="5"/>
      <c r="D932" s="5"/>
      <c r="E932" s="5"/>
      <c r="F932" s="5"/>
      <c r="G932" s="5"/>
      <c r="H932" s="306"/>
      <c r="I932" s="5"/>
      <c r="J932" s="5"/>
      <c r="K932" s="5"/>
      <c r="L932" s="5"/>
      <c r="M932" s="5"/>
      <c r="N932" s="5"/>
      <c r="O932" s="57"/>
      <c r="P932" s="5"/>
      <c r="Q932" s="5"/>
      <c r="R932" s="5"/>
      <c r="S932" s="5"/>
      <c r="T932" s="5"/>
      <c r="U932" s="5"/>
      <c r="V932" s="5"/>
      <c r="W932" s="5"/>
      <c r="X932" s="5"/>
      <c r="Y932" s="5"/>
      <c r="Z932" s="5"/>
    </row>
    <row r="933" spans="1:26" ht="12.75" customHeight="1">
      <c r="A933" s="5"/>
      <c r="B933" s="5"/>
      <c r="C933" s="5"/>
      <c r="D933" s="5"/>
      <c r="E933" s="5"/>
      <c r="F933" s="5"/>
      <c r="G933" s="5"/>
      <c r="H933" s="306"/>
      <c r="I933" s="5"/>
      <c r="J933" s="5"/>
      <c r="K933" s="5"/>
      <c r="L933" s="5"/>
      <c r="M933" s="5"/>
      <c r="N933" s="5"/>
      <c r="O933" s="57"/>
      <c r="P933" s="5"/>
      <c r="Q933" s="5"/>
      <c r="R933" s="5"/>
      <c r="S933" s="5"/>
      <c r="T933" s="5"/>
      <c r="U933" s="5"/>
      <c r="V933" s="5"/>
      <c r="W933" s="5"/>
      <c r="X933" s="5"/>
      <c r="Y933" s="5"/>
      <c r="Z933" s="5"/>
    </row>
    <row r="934" spans="1:26" ht="12.75" customHeight="1">
      <c r="A934" s="5"/>
      <c r="B934" s="5"/>
      <c r="C934" s="5"/>
      <c r="D934" s="5"/>
      <c r="E934" s="5"/>
      <c r="F934" s="5"/>
      <c r="G934" s="5"/>
      <c r="H934" s="306"/>
      <c r="I934" s="5"/>
      <c r="J934" s="5"/>
      <c r="K934" s="5"/>
      <c r="L934" s="5"/>
      <c r="M934" s="5"/>
      <c r="N934" s="5"/>
      <c r="O934" s="57"/>
      <c r="P934" s="5"/>
      <c r="Q934" s="5"/>
      <c r="R934" s="5"/>
      <c r="S934" s="5"/>
      <c r="T934" s="5"/>
      <c r="U934" s="5"/>
      <c r="V934" s="5"/>
      <c r="W934" s="5"/>
      <c r="X934" s="5"/>
      <c r="Y934" s="5"/>
      <c r="Z934" s="5"/>
    </row>
    <row r="935" spans="1:26" ht="12.75" customHeight="1">
      <c r="A935" s="5"/>
      <c r="B935" s="5"/>
      <c r="C935" s="5"/>
      <c r="D935" s="5"/>
      <c r="E935" s="5"/>
      <c r="F935" s="5"/>
      <c r="G935" s="5"/>
      <c r="H935" s="306"/>
      <c r="I935" s="5"/>
      <c r="J935" s="5"/>
      <c r="K935" s="5"/>
      <c r="L935" s="5"/>
      <c r="M935" s="5"/>
      <c r="N935" s="5"/>
      <c r="O935" s="57"/>
      <c r="P935" s="5"/>
      <c r="Q935" s="5"/>
      <c r="R935" s="5"/>
      <c r="S935" s="5"/>
      <c r="T935" s="5"/>
      <c r="U935" s="5"/>
      <c r="V935" s="5"/>
      <c r="W935" s="5"/>
      <c r="X935" s="5"/>
      <c r="Y935" s="5"/>
      <c r="Z935" s="5"/>
    </row>
    <row r="936" spans="1:26" ht="12.75" customHeight="1">
      <c r="A936" s="5"/>
      <c r="B936" s="5"/>
      <c r="C936" s="5"/>
      <c r="D936" s="5"/>
      <c r="E936" s="5"/>
      <c r="F936" s="5"/>
      <c r="G936" s="5"/>
      <c r="H936" s="306"/>
      <c r="I936" s="5"/>
      <c r="J936" s="5"/>
      <c r="K936" s="5"/>
      <c r="L936" s="5"/>
      <c r="M936" s="5"/>
      <c r="N936" s="5"/>
      <c r="O936" s="57"/>
      <c r="P936" s="5"/>
      <c r="Q936" s="5"/>
      <c r="R936" s="5"/>
      <c r="S936" s="5"/>
      <c r="T936" s="5"/>
      <c r="U936" s="5"/>
      <c r="V936" s="5"/>
      <c r="W936" s="5"/>
      <c r="X936" s="5"/>
      <c r="Y936" s="5"/>
      <c r="Z936" s="5"/>
    </row>
    <row r="937" spans="1:26" ht="12.75" customHeight="1">
      <c r="A937" s="5"/>
      <c r="B937" s="5"/>
      <c r="C937" s="5"/>
      <c r="D937" s="5"/>
      <c r="E937" s="5"/>
      <c r="F937" s="5"/>
      <c r="G937" s="5"/>
      <c r="H937" s="306"/>
      <c r="I937" s="5"/>
      <c r="J937" s="5"/>
      <c r="K937" s="5"/>
      <c r="L937" s="5"/>
      <c r="M937" s="5"/>
      <c r="N937" s="5"/>
      <c r="O937" s="57"/>
      <c r="P937" s="5"/>
      <c r="Q937" s="5"/>
      <c r="R937" s="5"/>
      <c r="S937" s="5"/>
      <c r="T937" s="5"/>
      <c r="U937" s="5"/>
      <c r="V937" s="5"/>
      <c r="W937" s="5"/>
      <c r="X937" s="5"/>
      <c r="Y937" s="5"/>
      <c r="Z937" s="5"/>
    </row>
    <row r="938" spans="1:26" ht="12.75" customHeight="1">
      <c r="A938" s="5"/>
      <c r="B938" s="5"/>
      <c r="C938" s="5"/>
      <c r="D938" s="5"/>
      <c r="E938" s="5"/>
      <c r="F938" s="5"/>
      <c r="G938" s="5"/>
      <c r="H938" s="306"/>
      <c r="I938" s="5"/>
      <c r="J938" s="5"/>
      <c r="K938" s="5"/>
      <c r="L938" s="5"/>
      <c r="M938" s="5"/>
      <c r="N938" s="5"/>
      <c r="O938" s="57"/>
      <c r="P938" s="5"/>
      <c r="Q938" s="5"/>
      <c r="R938" s="5"/>
      <c r="S938" s="5"/>
      <c r="T938" s="5"/>
      <c r="U938" s="5"/>
      <c r="V938" s="5"/>
      <c r="W938" s="5"/>
      <c r="X938" s="5"/>
      <c r="Y938" s="5"/>
      <c r="Z938" s="5"/>
    </row>
    <row r="939" spans="1:26" ht="12.75" customHeight="1">
      <c r="A939" s="5"/>
      <c r="B939" s="5"/>
      <c r="C939" s="5"/>
      <c r="D939" s="5"/>
      <c r="E939" s="5"/>
      <c r="F939" s="5"/>
      <c r="G939" s="5"/>
      <c r="H939" s="306"/>
      <c r="I939" s="5"/>
      <c r="J939" s="5"/>
      <c r="K939" s="5"/>
      <c r="L939" s="5"/>
      <c r="M939" s="5"/>
      <c r="N939" s="5"/>
      <c r="O939" s="57"/>
      <c r="P939" s="5"/>
      <c r="Q939" s="5"/>
      <c r="R939" s="5"/>
      <c r="S939" s="5"/>
      <c r="T939" s="5"/>
      <c r="U939" s="5"/>
      <c r="V939" s="5"/>
      <c r="W939" s="5"/>
      <c r="X939" s="5"/>
      <c r="Y939" s="5"/>
      <c r="Z939" s="5"/>
    </row>
    <row r="940" spans="1:26" ht="12.75" customHeight="1">
      <c r="A940" s="5"/>
      <c r="B940" s="5"/>
      <c r="C940" s="5"/>
      <c r="D940" s="5"/>
      <c r="E940" s="5"/>
      <c r="F940" s="5"/>
      <c r="G940" s="5"/>
      <c r="H940" s="306"/>
      <c r="I940" s="5"/>
      <c r="J940" s="5"/>
      <c r="K940" s="5"/>
      <c r="L940" s="5"/>
      <c r="M940" s="5"/>
      <c r="N940" s="5"/>
      <c r="O940" s="57"/>
      <c r="P940" s="5"/>
      <c r="Q940" s="5"/>
      <c r="R940" s="5"/>
      <c r="S940" s="5"/>
      <c r="T940" s="5"/>
      <c r="U940" s="5"/>
      <c r="V940" s="5"/>
      <c r="W940" s="5"/>
      <c r="X940" s="5"/>
      <c r="Y940" s="5"/>
      <c r="Z940" s="5"/>
    </row>
    <row r="941" spans="1:26" ht="12.75" customHeight="1">
      <c r="A941" s="5"/>
      <c r="B941" s="5"/>
      <c r="C941" s="5"/>
      <c r="D941" s="5"/>
      <c r="E941" s="5"/>
      <c r="F941" s="5"/>
      <c r="G941" s="5"/>
      <c r="H941" s="306"/>
      <c r="I941" s="5"/>
      <c r="J941" s="5"/>
      <c r="K941" s="5"/>
      <c r="L941" s="5"/>
      <c r="M941" s="5"/>
      <c r="N941" s="5"/>
      <c r="O941" s="57"/>
      <c r="P941" s="5"/>
      <c r="Q941" s="5"/>
      <c r="R941" s="5"/>
      <c r="S941" s="5"/>
      <c r="T941" s="5"/>
      <c r="U941" s="5"/>
      <c r="V941" s="5"/>
      <c r="W941" s="5"/>
      <c r="X941" s="5"/>
      <c r="Y941" s="5"/>
      <c r="Z941" s="5"/>
    </row>
    <row r="942" spans="1:26" ht="12.75" customHeight="1">
      <c r="A942" s="5"/>
      <c r="B942" s="5"/>
      <c r="C942" s="5"/>
      <c r="D942" s="5"/>
      <c r="E942" s="5"/>
      <c r="F942" s="5"/>
      <c r="G942" s="5"/>
      <c r="H942" s="306"/>
      <c r="I942" s="5"/>
      <c r="J942" s="5"/>
      <c r="K942" s="5"/>
      <c r="L942" s="5"/>
      <c r="M942" s="5"/>
      <c r="N942" s="5"/>
      <c r="O942" s="57"/>
      <c r="P942" s="5"/>
      <c r="Q942" s="5"/>
      <c r="R942" s="5"/>
      <c r="S942" s="5"/>
      <c r="T942" s="5"/>
      <c r="U942" s="5"/>
      <c r="V942" s="5"/>
      <c r="W942" s="5"/>
      <c r="X942" s="5"/>
      <c r="Y942" s="5"/>
      <c r="Z942" s="5"/>
    </row>
    <row r="943" spans="1:26" ht="12.75" customHeight="1">
      <c r="A943" s="5"/>
      <c r="B943" s="5"/>
      <c r="C943" s="5"/>
      <c r="D943" s="5"/>
      <c r="E943" s="5"/>
      <c r="F943" s="5"/>
      <c r="G943" s="5"/>
      <c r="H943" s="306"/>
      <c r="I943" s="5"/>
      <c r="J943" s="5"/>
      <c r="K943" s="5"/>
      <c r="L943" s="5"/>
      <c r="M943" s="5"/>
      <c r="N943" s="5"/>
      <c r="O943" s="57"/>
      <c r="P943" s="5"/>
      <c r="Q943" s="5"/>
      <c r="R943" s="5"/>
      <c r="S943" s="5"/>
      <c r="T943" s="5"/>
      <c r="U943" s="5"/>
      <c r="V943" s="5"/>
      <c r="W943" s="5"/>
      <c r="X943" s="5"/>
      <c r="Y943" s="5"/>
      <c r="Z943" s="5"/>
    </row>
    <row r="944" spans="1:26" ht="12.75" customHeight="1">
      <c r="A944" s="5"/>
      <c r="B944" s="5"/>
      <c r="C944" s="5"/>
      <c r="D944" s="5"/>
      <c r="E944" s="5"/>
      <c r="F944" s="5"/>
      <c r="G944" s="5"/>
      <c r="H944" s="306"/>
      <c r="I944" s="5"/>
      <c r="J944" s="5"/>
      <c r="K944" s="5"/>
      <c r="L944" s="5"/>
      <c r="M944" s="5"/>
      <c r="N944" s="5"/>
      <c r="O944" s="57"/>
      <c r="P944" s="5"/>
      <c r="Q944" s="5"/>
      <c r="R944" s="5"/>
      <c r="S944" s="5"/>
      <c r="T944" s="5"/>
      <c r="U944" s="5"/>
      <c r="V944" s="5"/>
      <c r="W944" s="5"/>
      <c r="X944" s="5"/>
      <c r="Y944" s="5"/>
      <c r="Z944" s="5"/>
    </row>
    <row r="945" spans="1:26" ht="12.75" customHeight="1">
      <c r="A945" s="5"/>
      <c r="B945" s="5"/>
      <c r="C945" s="5"/>
      <c r="D945" s="5"/>
      <c r="E945" s="5"/>
      <c r="F945" s="5"/>
      <c r="G945" s="5"/>
      <c r="H945" s="306"/>
      <c r="I945" s="5"/>
      <c r="J945" s="5"/>
      <c r="K945" s="5"/>
      <c r="L945" s="5"/>
      <c r="M945" s="5"/>
      <c r="N945" s="5"/>
      <c r="O945" s="57"/>
      <c r="P945" s="5"/>
      <c r="Q945" s="5"/>
      <c r="R945" s="5"/>
      <c r="S945" s="5"/>
      <c r="T945" s="5"/>
      <c r="U945" s="5"/>
      <c r="V945" s="5"/>
      <c r="W945" s="5"/>
      <c r="X945" s="5"/>
      <c r="Y945" s="5"/>
      <c r="Z945" s="5"/>
    </row>
    <row r="946" spans="1:26" ht="12.75" customHeight="1">
      <c r="A946" s="5"/>
      <c r="B946" s="5"/>
      <c r="C946" s="5"/>
      <c r="D946" s="5"/>
      <c r="E946" s="5"/>
      <c r="F946" s="5"/>
      <c r="G946" s="5"/>
      <c r="H946" s="306"/>
      <c r="I946" s="5"/>
      <c r="J946" s="5"/>
      <c r="K946" s="5"/>
      <c r="L946" s="5"/>
      <c r="M946" s="5"/>
      <c r="N946" s="5"/>
      <c r="O946" s="57"/>
      <c r="P946" s="5"/>
      <c r="Q946" s="5"/>
      <c r="R946" s="5"/>
      <c r="S946" s="5"/>
      <c r="T946" s="5"/>
      <c r="U946" s="5"/>
      <c r="V946" s="5"/>
      <c r="W946" s="5"/>
      <c r="X946" s="5"/>
      <c r="Y946" s="5"/>
      <c r="Z946" s="5"/>
    </row>
    <row r="947" spans="1:26" ht="12.75" customHeight="1">
      <c r="A947" s="5"/>
      <c r="B947" s="5"/>
      <c r="C947" s="5"/>
      <c r="D947" s="5"/>
      <c r="E947" s="5"/>
      <c r="F947" s="5"/>
      <c r="G947" s="5"/>
      <c r="H947" s="306"/>
      <c r="I947" s="5"/>
      <c r="J947" s="5"/>
      <c r="K947" s="5"/>
      <c r="L947" s="5"/>
      <c r="M947" s="5"/>
      <c r="N947" s="5"/>
      <c r="O947" s="57"/>
      <c r="P947" s="5"/>
      <c r="Q947" s="5"/>
      <c r="R947" s="5"/>
      <c r="S947" s="5"/>
      <c r="T947" s="5"/>
      <c r="U947" s="5"/>
      <c r="V947" s="5"/>
      <c r="W947" s="5"/>
      <c r="X947" s="5"/>
      <c r="Y947" s="5"/>
      <c r="Z947" s="5"/>
    </row>
    <row r="948" spans="1:26" ht="12.75" customHeight="1">
      <c r="A948" s="5"/>
      <c r="B948" s="5"/>
      <c r="C948" s="5"/>
      <c r="D948" s="5"/>
      <c r="E948" s="5"/>
      <c r="F948" s="5"/>
      <c r="G948" s="5"/>
      <c r="H948" s="306"/>
      <c r="I948" s="5"/>
      <c r="J948" s="5"/>
      <c r="K948" s="5"/>
      <c r="L948" s="5"/>
      <c r="M948" s="5"/>
      <c r="N948" s="5"/>
      <c r="O948" s="57"/>
      <c r="P948" s="5"/>
      <c r="Q948" s="5"/>
      <c r="R948" s="5"/>
      <c r="S948" s="5"/>
      <c r="T948" s="5"/>
      <c r="U948" s="5"/>
      <c r="V948" s="5"/>
      <c r="W948" s="5"/>
      <c r="X948" s="5"/>
      <c r="Y948" s="5"/>
      <c r="Z948" s="5"/>
    </row>
    <row r="949" spans="1:26" ht="12.75" customHeight="1">
      <c r="A949" s="5"/>
      <c r="B949" s="5"/>
      <c r="C949" s="5"/>
      <c r="D949" s="5"/>
      <c r="E949" s="5"/>
      <c r="F949" s="5"/>
      <c r="G949" s="5"/>
      <c r="H949" s="306"/>
      <c r="I949" s="5"/>
      <c r="J949" s="5"/>
      <c r="K949" s="5"/>
      <c r="L949" s="5"/>
      <c r="M949" s="5"/>
      <c r="N949" s="5"/>
      <c r="O949" s="57"/>
      <c r="P949" s="5"/>
      <c r="Q949" s="5"/>
      <c r="R949" s="5"/>
      <c r="S949" s="5"/>
      <c r="T949" s="5"/>
      <c r="U949" s="5"/>
      <c r="V949" s="5"/>
      <c r="W949" s="5"/>
      <c r="X949" s="5"/>
      <c r="Y949" s="5"/>
      <c r="Z949" s="5"/>
    </row>
    <row r="950" spans="1:26" ht="12.75" customHeight="1">
      <c r="A950" s="5"/>
      <c r="B950" s="5"/>
      <c r="C950" s="5"/>
      <c r="D950" s="5"/>
      <c r="E950" s="5"/>
      <c r="F950" s="5"/>
      <c r="G950" s="5"/>
      <c r="H950" s="306"/>
      <c r="I950" s="5"/>
      <c r="J950" s="5"/>
      <c r="K950" s="5"/>
      <c r="L950" s="5"/>
      <c r="M950" s="5"/>
      <c r="N950" s="5"/>
      <c r="O950" s="57"/>
      <c r="P950" s="5"/>
      <c r="Q950" s="5"/>
      <c r="R950" s="5"/>
      <c r="S950" s="5"/>
      <c r="T950" s="5"/>
      <c r="U950" s="5"/>
      <c r="V950" s="5"/>
      <c r="W950" s="5"/>
      <c r="X950" s="5"/>
      <c r="Y950" s="5"/>
      <c r="Z950" s="5"/>
    </row>
    <row r="951" spans="1:26" ht="12.75" customHeight="1">
      <c r="A951" s="5"/>
      <c r="B951" s="5"/>
      <c r="C951" s="5"/>
      <c r="D951" s="5"/>
      <c r="E951" s="5"/>
      <c r="F951" s="5"/>
      <c r="G951" s="5"/>
      <c r="H951" s="306"/>
      <c r="I951" s="5"/>
      <c r="J951" s="5"/>
      <c r="K951" s="5"/>
      <c r="L951" s="5"/>
      <c r="M951" s="5"/>
      <c r="N951" s="5"/>
      <c r="O951" s="57"/>
      <c r="P951" s="5"/>
      <c r="Q951" s="5"/>
      <c r="R951" s="5"/>
      <c r="S951" s="5"/>
      <c r="T951" s="5"/>
      <c r="U951" s="5"/>
      <c r="V951" s="5"/>
      <c r="W951" s="5"/>
      <c r="X951" s="5"/>
      <c r="Y951" s="5"/>
      <c r="Z951" s="5"/>
    </row>
    <row r="952" spans="1:26" ht="12.75" customHeight="1">
      <c r="A952" s="5"/>
      <c r="B952" s="5"/>
      <c r="C952" s="5"/>
      <c r="D952" s="5"/>
      <c r="E952" s="5"/>
      <c r="F952" s="5"/>
      <c r="G952" s="5"/>
      <c r="H952" s="306"/>
      <c r="I952" s="5"/>
      <c r="J952" s="5"/>
      <c r="K952" s="5"/>
      <c r="L952" s="5"/>
      <c r="M952" s="5"/>
      <c r="N952" s="5"/>
      <c r="O952" s="57"/>
      <c r="P952" s="5"/>
      <c r="Q952" s="5"/>
      <c r="R952" s="5"/>
      <c r="S952" s="5"/>
      <c r="T952" s="5"/>
      <c r="U952" s="5"/>
      <c r="V952" s="5"/>
      <c r="W952" s="5"/>
      <c r="X952" s="5"/>
      <c r="Y952" s="5"/>
      <c r="Z952" s="5"/>
    </row>
    <row r="953" spans="1:26" ht="12.75" customHeight="1">
      <c r="A953" s="5"/>
      <c r="B953" s="5"/>
      <c r="C953" s="5"/>
      <c r="D953" s="5"/>
      <c r="E953" s="5"/>
      <c r="F953" s="5"/>
      <c r="G953" s="5"/>
      <c r="H953" s="306"/>
      <c r="I953" s="5"/>
      <c r="J953" s="5"/>
      <c r="K953" s="5"/>
      <c r="L953" s="5"/>
      <c r="M953" s="5"/>
      <c r="N953" s="5"/>
      <c r="O953" s="57"/>
      <c r="P953" s="5"/>
      <c r="Q953" s="5"/>
      <c r="R953" s="5"/>
      <c r="S953" s="5"/>
      <c r="T953" s="5"/>
      <c r="U953" s="5"/>
      <c r="V953" s="5"/>
      <c r="W953" s="5"/>
      <c r="X953" s="5"/>
      <c r="Y953" s="5"/>
      <c r="Z953" s="5"/>
    </row>
    <row r="954" spans="1:26" ht="12.75" customHeight="1">
      <c r="A954" s="5"/>
      <c r="B954" s="5"/>
      <c r="C954" s="5"/>
      <c r="D954" s="5"/>
      <c r="E954" s="5"/>
      <c r="F954" s="5"/>
      <c r="G954" s="5"/>
      <c r="H954" s="306"/>
      <c r="I954" s="5"/>
      <c r="J954" s="5"/>
      <c r="K954" s="5"/>
      <c r="L954" s="5"/>
      <c r="M954" s="5"/>
      <c r="N954" s="5"/>
      <c r="O954" s="57"/>
      <c r="P954" s="5"/>
      <c r="Q954" s="5"/>
      <c r="R954" s="5"/>
      <c r="S954" s="5"/>
      <c r="T954" s="5"/>
      <c r="U954" s="5"/>
      <c r="V954" s="5"/>
      <c r="W954" s="5"/>
      <c r="X954" s="5"/>
      <c r="Y954" s="5"/>
      <c r="Z954" s="5"/>
    </row>
    <row r="955" spans="1:26" ht="12.75" customHeight="1">
      <c r="A955" s="5"/>
      <c r="B955" s="5"/>
      <c r="C955" s="5"/>
      <c r="D955" s="5"/>
      <c r="E955" s="5"/>
      <c r="F955" s="5"/>
      <c r="G955" s="5"/>
      <c r="H955" s="306"/>
      <c r="I955" s="5"/>
      <c r="J955" s="5"/>
      <c r="K955" s="5"/>
      <c r="L955" s="5"/>
      <c r="M955" s="5"/>
      <c r="N955" s="5"/>
      <c r="O955" s="57"/>
      <c r="P955" s="5"/>
      <c r="Q955" s="5"/>
      <c r="R955" s="5"/>
      <c r="S955" s="5"/>
      <c r="T955" s="5"/>
      <c r="U955" s="5"/>
      <c r="V955" s="5"/>
      <c r="W955" s="5"/>
      <c r="X955" s="5"/>
      <c r="Y955" s="5"/>
      <c r="Z955" s="5"/>
    </row>
    <row r="956" spans="1:26" ht="12.75" customHeight="1">
      <c r="A956" s="5"/>
      <c r="B956" s="5"/>
      <c r="C956" s="5"/>
      <c r="D956" s="5"/>
      <c r="E956" s="5"/>
      <c r="F956" s="5"/>
      <c r="G956" s="5"/>
      <c r="H956" s="306"/>
      <c r="I956" s="5"/>
      <c r="J956" s="5"/>
      <c r="K956" s="5"/>
      <c r="L956" s="5"/>
      <c r="M956" s="5"/>
      <c r="N956" s="5"/>
      <c r="O956" s="57"/>
      <c r="P956" s="5"/>
      <c r="Q956" s="5"/>
      <c r="R956" s="5"/>
      <c r="S956" s="5"/>
      <c r="T956" s="5"/>
      <c r="U956" s="5"/>
      <c r="V956" s="5"/>
      <c r="W956" s="5"/>
      <c r="X956" s="5"/>
      <c r="Y956" s="5"/>
      <c r="Z956" s="5"/>
    </row>
    <row r="957" spans="1:26" ht="12.75" customHeight="1">
      <c r="A957" s="5"/>
      <c r="B957" s="5"/>
      <c r="C957" s="5"/>
      <c r="D957" s="5"/>
      <c r="E957" s="5"/>
      <c r="F957" s="5"/>
      <c r="G957" s="5"/>
      <c r="H957" s="306"/>
      <c r="I957" s="5"/>
      <c r="J957" s="5"/>
      <c r="K957" s="5"/>
      <c r="L957" s="5"/>
      <c r="M957" s="5"/>
      <c r="N957" s="5"/>
      <c r="O957" s="57"/>
      <c r="P957" s="5"/>
      <c r="Q957" s="5"/>
      <c r="R957" s="5"/>
      <c r="S957" s="5"/>
      <c r="T957" s="5"/>
      <c r="U957" s="5"/>
      <c r="V957" s="5"/>
      <c r="W957" s="5"/>
      <c r="X957" s="5"/>
      <c r="Y957" s="5"/>
      <c r="Z957" s="5"/>
    </row>
    <row r="958" spans="1:26" ht="12.75" customHeight="1">
      <c r="A958" s="5"/>
      <c r="B958" s="5"/>
      <c r="C958" s="5"/>
      <c r="D958" s="5"/>
      <c r="E958" s="5"/>
      <c r="F958" s="5"/>
      <c r="G958" s="5"/>
      <c r="H958" s="306"/>
      <c r="I958" s="5"/>
      <c r="J958" s="5"/>
      <c r="K958" s="5"/>
      <c r="L958" s="5"/>
      <c r="M958" s="5"/>
      <c r="N958" s="5"/>
      <c r="O958" s="57"/>
      <c r="P958" s="5"/>
      <c r="Q958" s="5"/>
      <c r="R958" s="5"/>
      <c r="S958" s="5"/>
      <c r="T958" s="5"/>
      <c r="U958" s="5"/>
      <c r="V958" s="5"/>
      <c r="W958" s="5"/>
      <c r="X958" s="5"/>
      <c r="Y958" s="5"/>
      <c r="Z958" s="5"/>
    </row>
    <row r="959" spans="1:26" ht="12.75" customHeight="1">
      <c r="A959" s="5"/>
      <c r="B959" s="5"/>
      <c r="C959" s="5"/>
      <c r="D959" s="5"/>
      <c r="E959" s="5"/>
      <c r="F959" s="5"/>
      <c r="G959" s="5"/>
      <c r="H959" s="306"/>
      <c r="I959" s="5"/>
      <c r="J959" s="5"/>
      <c r="K959" s="5"/>
      <c r="L959" s="5"/>
      <c r="M959" s="5"/>
      <c r="N959" s="5"/>
      <c r="O959" s="57"/>
      <c r="P959" s="5"/>
      <c r="Q959" s="5"/>
      <c r="R959" s="5"/>
      <c r="S959" s="5"/>
      <c r="T959" s="5"/>
      <c r="U959" s="5"/>
      <c r="V959" s="5"/>
      <c r="W959" s="5"/>
      <c r="X959" s="5"/>
      <c r="Y959" s="5"/>
      <c r="Z959" s="5"/>
    </row>
    <row r="960" spans="1:26" ht="12.75" customHeight="1">
      <c r="A960" s="5"/>
      <c r="B960" s="5"/>
      <c r="C960" s="5"/>
      <c r="D960" s="5"/>
      <c r="E960" s="5"/>
      <c r="F960" s="5"/>
      <c r="G960" s="5"/>
      <c r="H960" s="306"/>
      <c r="I960" s="5"/>
      <c r="J960" s="5"/>
      <c r="K960" s="5"/>
      <c r="L960" s="5"/>
      <c r="M960" s="5"/>
      <c r="N960" s="5"/>
      <c r="O960" s="57"/>
      <c r="P960" s="5"/>
      <c r="Q960" s="5"/>
      <c r="R960" s="5"/>
      <c r="S960" s="5"/>
      <c r="T960" s="5"/>
      <c r="U960" s="5"/>
      <c r="V960" s="5"/>
      <c r="W960" s="5"/>
      <c r="X960" s="5"/>
      <c r="Y960" s="5"/>
      <c r="Z960" s="5"/>
    </row>
    <row r="961" spans="1:26" ht="12.75" customHeight="1">
      <c r="A961" s="5"/>
      <c r="B961" s="5"/>
      <c r="C961" s="5"/>
      <c r="D961" s="5"/>
      <c r="E961" s="5"/>
      <c r="F961" s="5"/>
      <c r="G961" s="5"/>
      <c r="H961" s="306"/>
      <c r="I961" s="5"/>
      <c r="J961" s="5"/>
      <c r="K961" s="5"/>
      <c r="L961" s="5"/>
      <c r="M961" s="5"/>
      <c r="N961" s="5"/>
      <c r="O961" s="57"/>
      <c r="P961" s="5"/>
      <c r="Q961" s="5"/>
      <c r="R961" s="5"/>
      <c r="S961" s="5"/>
      <c r="T961" s="5"/>
      <c r="U961" s="5"/>
      <c r="V961" s="5"/>
      <c r="W961" s="5"/>
      <c r="X961" s="5"/>
      <c r="Y961" s="5"/>
      <c r="Z961" s="5"/>
    </row>
    <row r="962" spans="1:26" ht="12.75" customHeight="1">
      <c r="A962" s="5"/>
      <c r="B962" s="5"/>
      <c r="C962" s="5"/>
      <c r="D962" s="5"/>
      <c r="E962" s="5"/>
      <c r="F962" s="5"/>
      <c r="G962" s="5"/>
      <c r="H962" s="306"/>
      <c r="I962" s="5"/>
      <c r="J962" s="5"/>
      <c r="K962" s="5"/>
      <c r="L962" s="5"/>
      <c r="M962" s="5"/>
      <c r="N962" s="5"/>
      <c r="O962" s="57"/>
      <c r="P962" s="5"/>
      <c r="Q962" s="5"/>
      <c r="R962" s="5"/>
      <c r="S962" s="5"/>
      <c r="T962" s="5"/>
      <c r="U962" s="5"/>
      <c r="V962" s="5"/>
      <c r="W962" s="5"/>
      <c r="X962" s="5"/>
      <c r="Y962" s="5"/>
      <c r="Z962" s="5"/>
    </row>
    <row r="963" spans="1:26" ht="12.75" customHeight="1">
      <c r="A963" s="5"/>
      <c r="B963" s="5"/>
      <c r="C963" s="5"/>
      <c r="D963" s="5"/>
      <c r="E963" s="5"/>
      <c r="F963" s="5"/>
      <c r="G963" s="5"/>
      <c r="H963" s="306"/>
      <c r="I963" s="5"/>
      <c r="J963" s="5"/>
      <c r="K963" s="5"/>
      <c r="L963" s="5"/>
      <c r="M963" s="5"/>
      <c r="N963" s="5"/>
      <c r="O963" s="57"/>
      <c r="P963" s="5"/>
      <c r="Q963" s="5"/>
      <c r="R963" s="5"/>
      <c r="S963" s="5"/>
      <c r="T963" s="5"/>
      <c r="U963" s="5"/>
      <c r="V963" s="5"/>
      <c r="W963" s="5"/>
      <c r="X963" s="5"/>
      <c r="Y963" s="5"/>
      <c r="Z963" s="5"/>
    </row>
    <row r="964" spans="1:26" ht="12.75" customHeight="1">
      <c r="A964" s="5"/>
      <c r="B964" s="5"/>
      <c r="C964" s="5"/>
      <c r="D964" s="5"/>
      <c r="E964" s="5"/>
      <c r="F964" s="5"/>
      <c r="G964" s="5"/>
      <c r="H964" s="306"/>
      <c r="I964" s="5"/>
      <c r="J964" s="5"/>
      <c r="K964" s="5"/>
      <c r="L964" s="5"/>
      <c r="M964" s="5"/>
      <c r="N964" s="5"/>
      <c r="O964" s="57"/>
      <c r="P964" s="5"/>
      <c r="Q964" s="5"/>
      <c r="R964" s="5"/>
      <c r="S964" s="5"/>
      <c r="T964" s="5"/>
      <c r="U964" s="5"/>
      <c r="V964" s="5"/>
      <c r="W964" s="5"/>
      <c r="X964" s="5"/>
      <c r="Y964" s="5"/>
      <c r="Z964" s="5"/>
    </row>
    <row r="965" spans="1:26" ht="12.75" customHeight="1">
      <c r="A965" s="5"/>
      <c r="B965" s="5"/>
      <c r="C965" s="5"/>
      <c r="D965" s="5"/>
      <c r="E965" s="5"/>
      <c r="F965" s="5"/>
      <c r="G965" s="5"/>
      <c r="H965" s="306"/>
      <c r="I965" s="5"/>
      <c r="J965" s="5"/>
      <c r="K965" s="5"/>
      <c r="L965" s="5"/>
      <c r="M965" s="5"/>
      <c r="N965" s="5"/>
      <c r="O965" s="57"/>
      <c r="P965" s="5"/>
      <c r="Q965" s="5"/>
      <c r="R965" s="5"/>
      <c r="S965" s="5"/>
      <c r="T965" s="5"/>
      <c r="U965" s="5"/>
      <c r="V965" s="5"/>
      <c r="W965" s="5"/>
      <c r="X965" s="5"/>
      <c r="Y965" s="5"/>
      <c r="Z965" s="5"/>
    </row>
    <row r="966" spans="1:26" ht="12.75" customHeight="1">
      <c r="A966" s="5"/>
      <c r="B966" s="5"/>
      <c r="C966" s="5"/>
      <c r="D966" s="5"/>
      <c r="E966" s="5"/>
      <c r="F966" s="5"/>
      <c r="G966" s="5"/>
      <c r="H966" s="306"/>
      <c r="I966" s="5"/>
      <c r="J966" s="5"/>
      <c r="K966" s="5"/>
      <c r="L966" s="5"/>
      <c r="M966" s="5"/>
      <c r="N966" s="5"/>
      <c r="O966" s="57"/>
      <c r="P966" s="5"/>
      <c r="Q966" s="5"/>
      <c r="R966" s="5"/>
      <c r="S966" s="5"/>
      <c r="T966" s="5"/>
      <c r="U966" s="5"/>
      <c r="V966" s="5"/>
      <c r="W966" s="5"/>
      <c r="X966" s="5"/>
      <c r="Y966" s="5"/>
      <c r="Z966" s="5"/>
    </row>
    <row r="967" spans="1:26" ht="12.75" customHeight="1">
      <c r="A967" s="5"/>
      <c r="B967" s="5"/>
      <c r="C967" s="5"/>
      <c r="D967" s="5"/>
      <c r="E967" s="5"/>
      <c r="F967" s="5"/>
      <c r="G967" s="5"/>
      <c r="H967" s="306"/>
      <c r="I967" s="5"/>
      <c r="J967" s="5"/>
      <c r="K967" s="5"/>
      <c r="L967" s="5"/>
      <c r="M967" s="5"/>
      <c r="N967" s="5"/>
      <c r="O967" s="57"/>
      <c r="P967" s="5"/>
      <c r="Q967" s="5"/>
      <c r="R967" s="5"/>
      <c r="S967" s="5"/>
      <c r="T967" s="5"/>
      <c r="U967" s="5"/>
      <c r="V967" s="5"/>
      <c r="W967" s="5"/>
      <c r="X967" s="5"/>
      <c r="Y967" s="5"/>
      <c r="Z967" s="5"/>
    </row>
    <row r="968" spans="1:26" ht="12.75" customHeight="1">
      <c r="A968" s="5"/>
      <c r="B968" s="5"/>
      <c r="C968" s="5"/>
      <c r="D968" s="5"/>
      <c r="E968" s="5"/>
      <c r="F968" s="5"/>
      <c r="G968" s="5"/>
      <c r="H968" s="306"/>
      <c r="I968" s="5"/>
      <c r="J968" s="5"/>
      <c r="K968" s="5"/>
      <c r="L968" s="5"/>
      <c r="M968" s="5"/>
      <c r="N968" s="5"/>
      <c r="O968" s="57"/>
      <c r="P968" s="5"/>
      <c r="Q968" s="5"/>
      <c r="R968" s="5"/>
      <c r="S968" s="5"/>
      <c r="T968" s="5"/>
      <c r="U968" s="5"/>
      <c r="V968" s="5"/>
      <c r="W968" s="5"/>
      <c r="X968" s="5"/>
      <c r="Y968" s="5"/>
      <c r="Z968" s="5"/>
    </row>
    <row r="969" spans="1:26" ht="12.75" customHeight="1">
      <c r="A969" s="5"/>
      <c r="B969" s="5"/>
      <c r="C969" s="5"/>
      <c r="D969" s="5"/>
      <c r="E969" s="5"/>
      <c r="F969" s="5"/>
      <c r="G969" s="5"/>
      <c r="H969" s="306"/>
      <c r="I969" s="5"/>
      <c r="J969" s="5"/>
      <c r="K969" s="5"/>
      <c r="L969" s="5"/>
      <c r="M969" s="5"/>
      <c r="N969" s="5"/>
      <c r="O969" s="57"/>
      <c r="P969" s="5"/>
      <c r="Q969" s="5"/>
      <c r="R969" s="5"/>
      <c r="S969" s="5"/>
      <c r="T969" s="5"/>
      <c r="U969" s="5"/>
      <c r="V969" s="5"/>
      <c r="W969" s="5"/>
      <c r="X969" s="5"/>
      <c r="Y969" s="5"/>
      <c r="Z969" s="5"/>
    </row>
    <row r="970" spans="1:26" ht="12.75" customHeight="1">
      <c r="A970" s="5"/>
      <c r="B970" s="5"/>
      <c r="C970" s="5"/>
      <c r="D970" s="5"/>
      <c r="E970" s="5"/>
      <c r="F970" s="5"/>
      <c r="G970" s="5"/>
      <c r="H970" s="306"/>
      <c r="I970" s="5"/>
      <c r="J970" s="5"/>
      <c r="K970" s="5"/>
      <c r="L970" s="5"/>
      <c r="M970" s="5"/>
      <c r="N970" s="5"/>
      <c r="O970" s="57"/>
      <c r="P970" s="5"/>
      <c r="Q970" s="5"/>
      <c r="R970" s="5"/>
      <c r="S970" s="5"/>
      <c r="T970" s="5"/>
      <c r="U970" s="5"/>
      <c r="V970" s="5"/>
      <c r="W970" s="5"/>
      <c r="X970" s="5"/>
      <c r="Y970" s="5"/>
      <c r="Z970" s="5"/>
    </row>
    <row r="971" spans="1:26" ht="12.75" customHeight="1">
      <c r="A971" s="5"/>
      <c r="B971" s="5"/>
      <c r="C971" s="5"/>
      <c r="D971" s="5"/>
      <c r="E971" s="5"/>
      <c r="F971" s="5"/>
      <c r="G971" s="5"/>
      <c r="H971" s="306"/>
      <c r="I971" s="5"/>
      <c r="J971" s="5"/>
      <c r="K971" s="5"/>
      <c r="L971" s="5"/>
      <c r="M971" s="5"/>
      <c r="N971" s="5"/>
      <c r="O971" s="57"/>
      <c r="P971" s="5"/>
      <c r="Q971" s="5"/>
      <c r="R971" s="5"/>
      <c r="S971" s="5"/>
      <c r="T971" s="5"/>
      <c r="U971" s="5"/>
      <c r="V971" s="5"/>
      <c r="W971" s="5"/>
      <c r="X971" s="5"/>
      <c r="Y971" s="5"/>
      <c r="Z971" s="5"/>
    </row>
    <row r="972" spans="1:26" ht="12.75" customHeight="1">
      <c r="A972" s="5"/>
      <c r="B972" s="5"/>
      <c r="C972" s="5"/>
      <c r="D972" s="5"/>
      <c r="E972" s="5"/>
      <c r="F972" s="5"/>
      <c r="G972" s="5"/>
      <c r="H972" s="306"/>
      <c r="I972" s="5"/>
      <c r="J972" s="5"/>
      <c r="K972" s="5"/>
      <c r="L972" s="5"/>
      <c r="M972" s="5"/>
      <c r="N972" s="5"/>
      <c r="O972" s="57"/>
      <c r="P972" s="5"/>
      <c r="Q972" s="5"/>
      <c r="R972" s="5"/>
      <c r="S972" s="5"/>
      <c r="T972" s="5"/>
      <c r="U972" s="5"/>
      <c r="V972" s="5"/>
      <c r="W972" s="5"/>
      <c r="X972" s="5"/>
      <c r="Y972" s="5"/>
      <c r="Z972" s="5"/>
    </row>
    <row r="973" spans="1:26" ht="12.75" customHeight="1">
      <c r="A973" s="5"/>
      <c r="B973" s="5"/>
      <c r="C973" s="5"/>
      <c r="D973" s="5"/>
      <c r="E973" s="5"/>
      <c r="F973" s="5"/>
      <c r="G973" s="5"/>
      <c r="H973" s="306"/>
      <c r="I973" s="5"/>
      <c r="J973" s="5"/>
      <c r="K973" s="5"/>
      <c r="L973" s="5"/>
      <c r="M973" s="5"/>
      <c r="N973" s="5"/>
      <c r="O973" s="57"/>
      <c r="P973" s="5"/>
      <c r="Q973" s="5"/>
      <c r="R973" s="5"/>
      <c r="S973" s="5"/>
      <c r="T973" s="5"/>
      <c r="U973" s="5"/>
      <c r="V973" s="5"/>
      <c r="W973" s="5"/>
      <c r="X973" s="5"/>
      <c r="Y973" s="5"/>
      <c r="Z973" s="5"/>
    </row>
    <row r="974" spans="1:26" ht="12.75" customHeight="1">
      <c r="A974" s="5"/>
      <c r="B974" s="5"/>
      <c r="C974" s="5"/>
      <c r="D974" s="5"/>
      <c r="E974" s="5"/>
      <c r="F974" s="5"/>
      <c r="G974" s="5"/>
      <c r="H974" s="306"/>
      <c r="I974" s="5"/>
      <c r="J974" s="5"/>
      <c r="K974" s="5"/>
      <c r="L974" s="5"/>
      <c r="M974" s="5"/>
      <c r="N974" s="5"/>
      <c r="O974" s="57"/>
      <c r="P974" s="5"/>
      <c r="Q974" s="5"/>
      <c r="R974" s="5"/>
      <c r="S974" s="5"/>
      <c r="T974" s="5"/>
      <c r="U974" s="5"/>
      <c r="V974" s="5"/>
      <c r="W974" s="5"/>
      <c r="X974" s="5"/>
      <c r="Y974" s="5"/>
      <c r="Z974" s="5"/>
    </row>
    <row r="975" spans="1:26" ht="12.75" customHeight="1">
      <c r="A975" s="5"/>
      <c r="B975" s="5"/>
      <c r="C975" s="5"/>
      <c r="D975" s="5"/>
      <c r="E975" s="5"/>
      <c r="F975" s="5"/>
      <c r="G975" s="5"/>
      <c r="H975" s="306"/>
      <c r="I975" s="5"/>
      <c r="J975" s="5"/>
      <c r="K975" s="5"/>
      <c r="L975" s="5"/>
      <c r="M975" s="5"/>
      <c r="N975" s="5"/>
      <c r="O975" s="57"/>
      <c r="P975" s="5"/>
      <c r="Q975" s="5"/>
      <c r="R975" s="5"/>
      <c r="S975" s="5"/>
      <c r="T975" s="5"/>
      <c r="U975" s="5"/>
      <c r="V975" s="5"/>
      <c r="W975" s="5"/>
      <c r="X975" s="5"/>
      <c r="Y975" s="5"/>
      <c r="Z975" s="5"/>
    </row>
    <row r="976" spans="1:26" ht="12.75" customHeight="1">
      <c r="A976" s="5"/>
      <c r="B976" s="5"/>
      <c r="C976" s="5"/>
      <c r="D976" s="5"/>
      <c r="E976" s="5"/>
      <c r="F976" s="5"/>
      <c r="G976" s="5"/>
      <c r="H976" s="306"/>
      <c r="I976" s="5"/>
      <c r="J976" s="5"/>
      <c r="K976" s="5"/>
      <c r="L976" s="5"/>
      <c r="M976" s="5"/>
      <c r="N976" s="5"/>
      <c r="O976" s="57"/>
      <c r="P976" s="5"/>
      <c r="Q976" s="5"/>
      <c r="R976" s="5"/>
      <c r="S976" s="5"/>
      <c r="T976" s="5"/>
      <c r="U976" s="5"/>
      <c r="V976" s="5"/>
      <c r="W976" s="5"/>
      <c r="X976" s="5"/>
      <c r="Y976" s="5"/>
      <c r="Z976" s="5"/>
    </row>
    <row r="977" spans="1:26" ht="12.75" customHeight="1">
      <c r="A977" s="5"/>
      <c r="B977" s="5"/>
      <c r="C977" s="5"/>
      <c r="D977" s="5"/>
      <c r="E977" s="5"/>
      <c r="F977" s="5"/>
      <c r="G977" s="5"/>
      <c r="H977" s="306"/>
      <c r="I977" s="5"/>
      <c r="J977" s="5"/>
      <c r="K977" s="5"/>
      <c r="L977" s="5"/>
      <c r="M977" s="5"/>
      <c r="N977" s="5"/>
      <c r="O977" s="57"/>
      <c r="P977" s="5"/>
      <c r="Q977" s="5"/>
      <c r="R977" s="5"/>
      <c r="S977" s="5"/>
      <c r="T977" s="5"/>
      <c r="U977" s="5"/>
      <c r="V977" s="5"/>
      <c r="W977" s="5"/>
      <c r="X977" s="5"/>
      <c r="Y977" s="5"/>
      <c r="Z977" s="5"/>
    </row>
    <row r="978" spans="1:26" ht="12.75" customHeight="1">
      <c r="A978" s="5"/>
      <c r="B978" s="5"/>
      <c r="C978" s="5"/>
      <c r="D978" s="5"/>
      <c r="E978" s="5"/>
      <c r="F978" s="5"/>
      <c r="G978" s="5"/>
      <c r="H978" s="306"/>
      <c r="I978" s="5"/>
      <c r="J978" s="5"/>
      <c r="K978" s="5"/>
      <c r="L978" s="5"/>
      <c r="M978" s="5"/>
      <c r="N978" s="5"/>
      <c r="O978" s="57"/>
      <c r="P978" s="5"/>
      <c r="Q978" s="5"/>
      <c r="R978" s="5"/>
      <c r="S978" s="5"/>
      <c r="T978" s="5"/>
      <c r="U978" s="5"/>
      <c r="V978" s="5"/>
      <c r="W978" s="5"/>
      <c r="X978" s="5"/>
      <c r="Y978" s="5"/>
      <c r="Z978" s="5"/>
    </row>
    <row r="979" spans="1:26" ht="12.75" customHeight="1">
      <c r="A979" s="5"/>
      <c r="B979" s="5"/>
      <c r="C979" s="5"/>
      <c r="D979" s="5"/>
      <c r="E979" s="5"/>
      <c r="F979" s="5"/>
      <c r="G979" s="5"/>
      <c r="H979" s="306"/>
      <c r="I979" s="5"/>
      <c r="J979" s="5"/>
      <c r="K979" s="5"/>
      <c r="L979" s="5"/>
      <c r="M979" s="5"/>
      <c r="N979" s="5"/>
      <c r="O979" s="57"/>
      <c r="P979" s="5"/>
      <c r="Q979" s="5"/>
      <c r="R979" s="5"/>
      <c r="S979" s="5"/>
      <c r="T979" s="5"/>
      <c r="U979" s="5"/>
      <c r="V979" s="5"/>
      <c r="W979" s="5"/>
      <c r="X979" s="5"/>
      <c r="Y979" s="5"/>
      <c r="Z979" s="5"/>
    </row>
    <row r="980" spans="1:26" ht="12.75" customHeight="1">
      <c r="A980" s="5"/>
      <c r="B980" s="5"/>
      <c r="C980" s="5"/>
      <c r="D980" s="5"/>
      <c r="E980" s="5"/>
      <c r="F980" s="5"/>
      <c r="G980" s="5"/>
      <c r="H980" s="306"/>
      <c r="I980" s="5"/>
      <c r="J980" s="5"/>
      <c r="K980" s="5"/>
      <c r="L980" s="5"/>
      <c r="M980" s="5"/>
      <c r="N980" s="5"/>
      <c r="O980" s="57"/>
      <c r="P980" s="5"/>
      <c r="Q980" s="5"/>
      <c r="R980" s="5"/>
      <c r="S980" s="5"/>
      <c r="T980" s="5"/>
      <c r="U980" s="5"/>
      <c r="V980" s="5"/>
      <c r="W980" s="5"/>
      <c r="X980" s="5"/>
      <c r="Y980" s="5"/>
      <c r="Z980" s="5"/>
    </row>
    <row r="981" spans="1:26" ht="12.75" customHeight="1">
      <c r="A981" s="5"/>
      <c r="B981" s="5"/>
      <c r="C981" s="5"/>
      <c r="D981" s="5"/>
      <c r="E981" s="5"/>
      <c r="F981" s="5"/>
      <c r="G981" s="5"/>
      <c r="H981" s="306"/>
      <c r="I981" s="5"/>
      <c r="J981" s="5"/>
      <c r="K981" s="5"/>
      <c r="L981" s="5"/>
      <c r="M981" s="5"/>
      <c r="N981" s="5"/>
      <c r="O981" s="57"/>
      <c r="P981" s="5"/>
      <c r="Q981" s="5"/>
      <c r="R981" s="5"/>
      <c r="S981" s="5"/>
      <c r="T981" s="5"/>
      <c r="U981" s="5"/>
      <c r="V981" s="5"/>
      <c r="W981" s="5"/>
      <c r="X981" s="5"/>
      <c r="Y981" s="5"/>
      <c r="Z981" s="5"/>
    </row>
    <row r="982" spans="1:26" ht="12.75" customHeight="1">
      <c r="A982" s="5"/>
      <c r="B982" s="5"/>
      <c r="C982" s="5"/>
      <c r="D982" s="5"/>
      <c r="E982" s="5"/>
      <c r="F982" s="5"/>
      <c r="G982" s="5"/>
      <c r="H982" s="306"/>
      <c r="I982" s="5"/>
      <c r="J982" s="5"/>
      <c r="K982" s="5"/>
      <c r="L982" s="5"/>
      <c r="M982" s="5"/>
      <c r="N982" s="5"/>
      <c r="O982" s="57"/>
      <c r="P982" s="5"/>
      <c r="Q982" s="5"/>
      <c r="R982" s="5"/>
      <c r="S982" s="5"/>
      <c r="T982" s="5"/>
      <c r="U982" s="5"/>
      <c r="V982" s="5"/>
      <c r="W982" s="5"/>
      <c r="X982" s="5"/>
      <c r="Y982" s="5"/>
      <c r="Z982" s="5"/>
    </row>
    <row r="983" spans="1:26" ht="12.75" customHeight="1">
      <c r="A983" s="5"/>
      <c r="B983" s="5"/>
      <c r="C983" s="5"/>
      <c r="D983" s="5"/>
      <c r="E983" s="5"/>
      <c r="F983" s="5"/>
      <c r="G983" s="5"/>
      <c r="H983" s="306"/>
      <c r="I983" s="5"/>
      <c r="J983" s="5"/>
      <c r="K983" s="5"/>
      <c r="L983" s="5"/>
      <c r="M983" s="5"/>
      <c r="N983" s="5"/>
      <c r="O983" s="57"/>
      <c r="P983" s="5"/>
      <c r="Q983" s="5"/>
      <c r="R983" s="5"/>
      <c r="S983" s="5"/>
      <c r="T983" s="5"/>
      <c r="U983" s="5"/>
      <c r="V983" s="5"/>
      <c r="W983" s="5"/>
      <c r="X983" s="5"/>
      <c r="Y983" s="5"/>
      <c r="Z983" s="5"/>
    </row>
    <row r="984" spans="1:26" ht="12.75" customHeight="1">
      <c r="A984" s="5"/>
      <c r="B984" s="5"/>
      <c r="C984" s="5"/>
      <c r="D984" s="5"/>
      <c r="E984" s="5"/>
      <c r="F984" s="5"/>
      <c r="G984" s="5"/>
      <c r="H984" s="306"/>
      <c r="I984" s="5"/>
      <c r="J984" s="5"/>
      <c r="K984" s="5"/>
      <c r="L984" s="5"/>
      <c r="M984" s="5"/>
      <c r="N984" s="5"/>
      <c r="O984" s="57"/>
      <c r="P984" s="5"/>
      <c r="Q984" s="5"/>
      <c r="R984" s="5"/>
      <c r="S984" s="5"/>
      <c r="T984" s="5"/>
      <c r="U984" s="5"/>
      <c r="V984" s="5"/>
      <c r="W984" s="5"/>
      <c r="X984" s="5"/>
      <c r="Y984" s="5"/>
      <c r="Z984" s="5"/>
    </row>
    <row r="985" spans="1:26" ht="12.75" customHeight="1">
      <c r="A985" s="5"/>
      <c r="B985" s="5"/>
      <c r="C985" s="5"/>
      <c r="D985" s="5"/>
      <c r="E985" s="5"/>
      <c r="F985" s="5"/>
      <c r="G985" s="5"/>
      <c r="H985" s="306"/>
      <c r="I985" s="5"/>
      <c r="J985" s="5"/>
      <c r="K985" s="5"/>
      <c r="L985" s="5"/>
      <c r="M985" s="5"/>
      <c r="N985" s="5"/>
      <c r="O985" s="57"/>
      <c r="P985" s="5"/>
      <c r="Q985" s="5"/>
      <c r="R985" s="5"/>
      <c r="S985" s="5"/>
      <c r="T985" s="5"/>
      <c r="U985" s="5"/>
      <c r="V985" s="5"/>
      <c r="W985" s="5"/>
      <c r="X985" s="5"/>
      <c r="Y985" s="5"/>
      <c r="Z985" s="5"/>
    </row>
    <row r="986" spans="1:26" ht="12.75" customHeight="1">
      <c r="A986" s="5"/>
      <c r="B986" s="5"/>
      <c r="C986" s="5"/>
      <c r="D986" s="5"/>
      <c r="E986" s="5"/>
      <c r="F986" s="5"/>
      <c r="G986" s="5"/>
      <c r="H986" s="306"/>
      <c r="I986" s="5"/>
      <c r="J986" s="5"/>
      <c r="K986" s="5"/>
      <c r="L986" s="5"/>
      <c r="M986" s="5"/>
      <c r="N986" s="5"/>
      <c r="O986" s="57"/>
      <c r="P986" s="5"/>
      <c r="Q986" s="5"/>
      <c r="R986" s="5"/>
      <c r="S986" s="5"/>
      <c r="T986" s="5"/>
      <c r="U986" s="5"/>
      <c r="V986" s="5"/>
      <c r="W986" s="5"/>
      <c r="X986" s="5"/>
      <c r="Y986" s="5"/>
      <c r="Z986" s="5"/>
    </row>
    <row r="987" spans="1:26" ht="12.75" customHeight="1">
      <c r="A987" s="5"/>
      <c r="B987" s="5"/>
      <c r="C987" s="5"/>
      <c r="D987" s="5"/>
      <c r="E987" s="5"/>
      <c r="F987" s="5"/>
      <c r="G987" s="5"/>
      <c r="H987" s="306"/>
      <c r="I987" s="5"/>
      <c r="J987" s="5"/>
      <c r="K987" s="5"/>
      <c r="L987" s="5"/>
      <c r="M987" s="5"/>
      <c r="N987" s="5"/>
      <c r="O987" s="57"/>
      <c r="P987" s="5"/>
      <c r="Q987" s="5"/>
      <c r="R987" s="5"/>
      <c r="S987" s="5"/>
      <c r="T987" s="5"/>
      <c r="U987" s="5"/>
      <c r="V987" s="5"/>
      <c r="W987" s="5"/>
      <c r="X987" s="5"/>
      <c r="Y987" s="5"/>
      <c r="Z987" s="5"/>
    </row>
    <row r="988" spans="1:26" ht="12.75" customHeight="1">
      <c r="A988" s="5"/>
      <c r="B988" s="5"/>
      <c r="C988" s="5"/>
      <c r="D988" s="5"/>
      <c r="E988" s="5"/>
      <c r="F988" s="5"/>
      <c r="G988" s="5"/>
      <c r="H988" s="306"/>
      <c r="I988" s="5"/>
      <c r="J988" s="5"/>
      <c r="K988" s="5"/>
      <c r="L988" s="5"/>
      <c r="M988" s="5"/>
      <c r="N988" s="5"/>
      <c r="O988" s="57"/>
      <c r="P988" s="5"/>
      <c r="Q988" s="5"/>
      <c r="R988" s="5"/>
      <c r="S988" s="5"/>
      <c r="T988" s="5"/>
      <c r="U988" s="5"/>
      <c r="V988" s="5"/>
      <c r="W988" s="5"/>
      <c r="X988" s="5"/>
      <c r="Y988" s="5"/>
      <c r="Z988" s="5"/>
    </row>
    <row r="989" spans="1:26" ht="12.75" customHeight="1">
      <c r="A989" s="5"/>
      <c r="B989" s="5"/>
      <c r="C989" s="5"/>
      <c r="D989" s="5"/>
      <c r="E989" s="5"/>
      <c r="F989" s="5"/>
      <c r="G989" s="5"/>
      <c r="H989" s="306"/>
      <c r="I989" s="5"/>
      <c r="J989" s="5"/>
      <c r="K989" s="5"/>
      <c r="L989" s="5"/>
      <c r="M989" s="5"/>
      <c r="N989" s="5"/>
      <c r="O989" s="57"/>
      <c r="P989" s="5"/>
      <c r="Q989" s="5"/>
      <c r="R989" s="5"/>
      <c r="S989" s="5"/>
      <c r="T989" s="5"/>
      <c r="U989" s="5"/>
      <c r="V989" s="5"/>
      <c r="W989" s="5"/>
      <c r="X989" s="5"/>
      <c r="Y989" s="5"/>
      <c r="Z989" s="5"/>
    </row>
    <row r="990" spans="1:26" ht="12.75" customHeight="1">
      <c r="A990" s="5"/>
      <c r="B990" s="5"/>
      <c r="C990" s="5"/>
      <c r="D990" s="5"/>
      <c r="E990" s="5"/>
      <c r="F990" s="5"/>
      <c r="G990" s="5"/>
      <c r="H990" s="306"/>
      <c r="I990" s="5"/>
      <c r="J990" s="5"/>
      <c r="K990" s="5"/>
      <c r="L990" s="5"/>
      <c r="M990" s="5"/>
      <c r="N990" s="5"/>
      <c r="O990" s="57"/>
      <c r="P990" s="5"/>
      <c r="Q990" s="5"/>
      <c r="R990" s="5"/>
      <c r="S990" s="5"/>
      <c r="T990" s="5"/>
      <c r="U990" s="5"/>
      <c r="V990" s="5"/>
      <c r="W990" s="5"/>
      <c r="X990" s="5"/>
      <c r="Y990" s="5"/>
      <c r="Z990" s="5"/>
    </row>
    <row r="991" spans="1:26" ht="12.75" customHeight="1">
      <c r="A991" s="5"/>
      <c r="B991" s="5"/>
      <c r="C991" s="5"/>
      <c r="D991" s="5"/>
      <c r="E991" s="5"/>
      <c r="F991" s="5"/>
      <c r="G991" s="5"/>
      <c r="H991" s="306"/>
      <c r="I991" s="5"/>
      <c r="J991" s="5"/>
      <c r="K991" s="5"/>
      <c r="L991" s="5"/>
      <c r="M991" s="5"/>
      <c r="N991" s="5"/>
      <c r="O991" s="57"/>
      <c r="P991" s="5"/>
      <c r="Q991" s="5"/>
      <c r="R991" s="5"/>
      <c r="S991" s="5"/>
      <c r="T991" s="5"/>
      <c r="U991" s="5"/>
      <c r="V991" s="5"/>
      <c r="W991" s="5"/>
      <c r="X991" s="5"/>
      <c r="Y991" s="5"/>
      <c r="Z991" s="5"/>
    </row>
    <row r="992" spans="1:26" ht="12.75" customHeight="1">
      <c r="A992" s="5"/>
      <c r="B992" s="5"/>
      <c r="C992" s="5"/>
      <c r="D992" s="5"/>
      <c r="E992" s="5"/>
      <c r="F992" s="5"/>
      <c r="G992" s="5"/>
      <c r="H992" s="306"/>
      <c r="I992" s="5"/>
      <c r="J992" s="5"/>
      <c r="K992" s="5"/>
      <c r="L992" s="5"/>
      <c r="M992" s="5"/>
      <c r="N992" s="5"/>
      <c r="O992" s="57"/>
      <c r="P992" s="5"/>
      <c r="Q992" s="5"/>
      <c r="R992" s="5"/>
      <c r="S992" s="5"/>
      <c r="T992" s="5"/>
      <c r="U992" s="5"/>
      <c r="V992" s="5"/>
      <c r="W992" s="5"/>
      <c r="X992" s="5"/>
      <c r="Y992" s="5"/>
      <c r="Z992" s="5"/>
    </row>
    <row r="993" spans="1:26" ht="12.75" customHeight="1">
      <c r="A993" s="5"/>
      <c r="B993" s="5"/>
      <c r="C993" s="5"/>
      <c r="D993" s="5"/>
      <c r="E993" s="5"/>
      <c r="F993" s="5"/>
      <c r="G993" s="5"/>
      <c r="H993" s="306"/>
      <c r="I993" s="5"/>
      <c r="J993" s="5"/>
      <c r="K993" s="5"/>
      <c r="L993" s="5"/>
      <c r="M993" s="5"/>
      <c r="N993" s="5"/>
      <c r="O993" s="57"/>
      <c r="P993" s="5"/>
      <c r="Q993" s="5"/>
      <c r="R993" s="5"/>
      <c r="S993" s="5"/>
      <c r="T993" s="5"/>
      <c r="U993" s="5"/>
      <c r="V993" s="5"/>
      <c r="W993" s="5"/>
      <c r="X993" s="5"/>
      <c r="Y993" s="5"/>
      <c r="Z993" s="5"/>
    </row>
    <row r="994" spans="1:26" ht="12.75" customHeight="1">
      <c r="A994" s="5"/>
      <c r="B994" s="5"/>
      <c r="C994" s="5"/>
      <c r="D994" s="5"/>
      <c r="E994" s="5"/>
      <c r="F994" s="5"/>
      <c r="G994" s="5"/>
      <c r="H994" s="306"/>
      <c r="I994" s="5"/>
      <c r="J994" s="5"/>
      <c r="K994" s="5"/>
      <c r="L994" s="5"/>
      <c r="M994" s="5"/>
      <c r="N994" s="5"/>
      <c r="O994" s="57"/>
      <c r="P994" s="5"/>
      <c r="Q994" s="5"/>
      <c r="R994" s="5"/>
      <c r="S994" s="5"/>
      <c r="T994" s="5"/>
      <c r="U994" s="5"/>
      <c r="V994" s="5"/>
      <c r="W994" s="5"/>
      <c r="X994" s="5"/>
      <c r="Y994" s="5"/>
      <c r="Z994" s="5"/>
    </row>
    <row r="995" spans="1:26" ht="12.75" customHeight="1">
      <c r="A995" s="5"/>
      <c r="B995" s="5"/>
      <c r="C995" s="5"/>
      <c r="D995" s="5"/>
      <c r="E995" s="5"/>
      <c r="F995" s="5"/>
      <c r="G995" s="5"/>
      <c r="H995" s="306"/>
      <c r="I995" s="5"/>
      <c r="J995" s="5"/>
      <c r="K995" s="5"/>
      <c r="L995" s="5"/>
      <c r="M995" s="5"/>
      <c r="N995" s="5"/>
      <c r="O995" s="57"/>
      <c r="P995" s="5"/>
      <c r="Q995" s="5"/>
      <c r="R995" s="5"/>
      <c r="S995" s="5"/>
      <c r="T995" s="5"/>
      <c r="U995" s="5"/>
      <c r="V995" s="5"/>
      <c r="W995" s="5"/>
      <c r="X995" s="5"/>
      <c r="Y995" s="5"/>
      <c r="Z995" s="5"/>
    </row>
    <row r="996" spans="1:26" ht="12.75" customHeight="1">
      <c r="A996" s="5"/>
      <c r="B996" s="5"/>
      <c r="C996" s="5"/>
      <c r="D996" s="5"/>
      <c r="E996" s="5"/>
      <c r="F996" s="5"/>
      <c r="G996" s="5"/>
      <c r="H996" s="306"/>
      <c r="I996" s="5"/>
      <c r="J996" s="5"/>
      <c r="K996" s="5"/>
      <c r="L996" s="5"/>
      <c r="M996" s="5"/>
      <c r="N996" s="5"/>
      <c r="O996" s="57"/>
      <c r="P996" s="5"/>
      <c r="Q996" s="5"/>
      <c r="R996" s="5"/>
      <c r="S996" s="5"/>
      <c r="T996" s="5"/>
      <c r="U996" s="5"/>
      <c r="V996" s="5"/>
      <c r="W996" s="5"/>
      <c r="X996" s="5"/>
      <c r="Y996" s="5"/>
      <c r="Z996" s="5"/>
    </row>
    <row r="997" spans="1:26" ht="12.75" customHeight="1">
      <c r="A997" s="5"/>
      <c r="B997" s="5"/>
      <c r="C997" s="5"/>
      <c r="D997" s="5"/>
      <c r="E997" s="5"/>
      <c r="F997" s="5"/>
      <c r="G997" s="5"/>
      <c r="H997" s="306"/>
      <c r="I997" s="5"/>
      <c r="J997" s="5"/>
      <c r="K997" s="5"/>
      <c r="L997" s="5"/>
      <c r="M997" s="5"/>
      <c r="N997" s="5"/>
      <c r="O997" s="57"/>
      <c r="P997" s="5"/>
      <c r="Q997" s="5"/>
      <c r="R997" s="5"/>
      <c r="S997" s="5"/>
      <c r="T997" s="5"/>
      <c r="U997" s="5"/>
      <c r="V997" s="5"/>
      <c r="W997" s="5"/>
      <c r="X997" s="5"/>
      <c r="Y997" s="5"/>
      <c r="Z997" s="5"/>
    </row>
    <row r="998" spans="1:26" ht="12.75" customHeight="1">
      <c r="A998" s="5"/>
      <c r="B998" s="5"/>
      <c r="C998" s="5"/>
      <c r="D998" s="5"/>
      <c r="E998" s="5"/>
      <c r="F998" s="5"/>
      <c r="G998" s="5"/>
      <c r="H998" s="306"/>
      <c r="I998" s="5"/>
      <c r="J998" s="5"/>
      <c r="K998" s="5"/>
      <c r="L998" s="5"/>
      <c r="M998" s="5"/>
      <c r="N998" s="5"/>
      <c r="O998" s="57"/>
      <c r="P998" s="5"/>
      <c r="Q998" s="5"/>
      <c r="R998" s="5"/>
      <c r="S998" s="5"/>
      <c r="T998" s="5"/>
      <c r="U998" s="5"/>
      <c r="V998" s="5"/>
      <c r="W998" s="5"/>
      <c r="X998" s="5"/>
      <c r="Y998" s="5"/>
      <c r="Z998" s="5"/>
    </row>
    <row r="999" spans="1:26" ht="12.75" customHeight="1">
      <c r="A999" s="5"/>
      <c r="B999" s="5"/>
      <c r="C999" s="5"/>
      <c r="D999" s="5"/>
      <c r="E999" s="5"/>
      <c r="F999" s="5"/>
      <c r="G999" s="5"/>
      <c r="H999" s="306"/>
      <c r="I999" s="5"/>
      <c r="J999" s="5"/>
      <c r="K999" s="5"/>
      <c r="L999" s="5"/>
      <c r="M999" s="5"/>
      <c r="N999" s="5"/>
      <c r="O999" s="57"/>
      <c r="P999" s="5"/>
      <c r="Q999" s="5"/>
      <c r="R999" s="5"/>
      <c r="S999" s="5"/>
      <c r="T999" s="5"/>
      <c r="U999" s="5"/>
      <c r="V999" s="5"/>
      <c r="W999" s="5"/>
      <c r="X999" s="5"/>
      <c r="Y999" s="5"/>
      <c r="Z999" s="5"/>
    </row>
    <row r="1000" spans="1:26" ht="12.75" customHeight="1">
      <c r="A1000" s="5"/>
      <c r="B1000" s="5"/>
      <c r="C1000" s="5"/>
      <c r="D1000" s="5"/>
      <c r="E1000" s="5"/>
      <c r="F1000" s="5"/>
      <c r="G1000" s="5"/>
      <c r="H1000" s="306"/>
      <c r="I1000" s="5"/>
      <c r="J1000" s="5"/>
      <c r="K1000" s="5"/>
      <c r="L1000" s="5"/>
      <c r="M1000" s="5"/>
      <c r="N1000" s="5"/>
      <c r="O1000" s="57"/>
      <c r="P1000" s="5"/>
      <c r="Q1000" s="5"/>
      <c r="R1000" s="5"/>
      <c r="S1000" s="5"/>
      <c r="T1000" s="5"/>
      <c r="U1000" s="5"/>
      <c r="V1000" s="5"/>
      <c r="W1000" s="5"/>
      <c r="X1000" s="5"/>
      <c r="Y1000" s="5"/>
      <c r="Z1000" s="5"/>
    </row>
  </sheetData>
  <mergeCells count="19">
    <mergeCell ref="K53:L53"/>
    <mergeCell ref="K57:L57"/>
    <mergeCell ref="I71:J71"/>
    <mergeCell ref="K55:L55"/>
    <mergeCell ref="K56:L56"/>
    <mergeCell ref="K58:L58"/>
    <mergeCell ref="K54:L54"/>
    <mergeCell ref="K59:L59"/>
    <mergeCell ref="K60:L60"/>
    <mergeCell ref="K62:L62"/>
    <mergeCell ref="K61:L61"/>
    <mergeCell ref="K63:L63"/>
    <mergeCell ref="D6:G6"/>
    <mergeCell ref="I6:L6"/>
    <mergeCell ref="B1:N1"/>
    <mergeCell ref="B2:N2"/>
    <mergeCell ref="B3:N3"/>
    <mergeCell ref="D5:L5"/>
    <mergeCell ref="M5:N5"/>
  </mergeCells>
  <conditionalFormatting sqref="J53:J67">
    <cfRule type="cellIs" dxfId="365" priority="15" stopIfTrue="1" operator="greaterThan">
      <formula>$M$75</formula>
    </cfRule>
    <cfRule type="cellIs" dxfId="364" priority="16" stopIfTrue="1" operator="lessThanOrEqual">
      <formula>$M$75</formula>
    </cfRule>
    <cfRule type="cellIs" dxfId="363" priority="17" stopIfTrue="1" operator="greaterThan">
      <formula>$M$69</formula>
    </cfRule>
    <cfRule type="cellIs" dxfId="362" priority="18" stopIfTrue="1" operator="lessThanOrEqual">
      <formula>$M$69</formula>
    </cfRule>
    <cfRule type="cellIs" dxfId="361" priority="19" stopIfTrue="1" operator="greaterThan">
      <formula>$M$70</formula>
    </cfRule>
    <cfRule type="cellIs" dxfId="360" priority="20" stopIfTrue="1" operator="lessThanOrEqual">
      <formula>$M$70</formula>
    </cfRule>
  </conditionalFormatting>
  <conditionalFormatting sqref="M9:M49 M55:M67">
    <cfRule type="cellIs" dxfId="359" priority="3" stopIfTrue="1" operator="greaterThanOrEqual">
      <formula>0</formula>
    </cfRule>
    <cfRule type="cellIs" dxfId="358" priority="4" stopIfTrue="1" operator="lessThan">
      <formula>0</formula>
    </cfRule>
  </conditionalFormatting>
  <conditionalFormatting sqref="N9:N23 M24:N54 N55:N67">
    <cfRule type="cellIs" dxfId="357" priority="1" stopIfTrue="1" operator="greaterThan">
      <formula>$M$75</formula>
    </cfRule>
    <cfRule type="cellIs" dxfId="356" priority="2" stopIfTrue="1" operator="lessThanOrEqual">
      <formula>$M$75</formula>
    </cfRule>
  </conditionalFormatting>
  <conditionalFormatting sqref="N9:N37 N41:N42 N46:N48">
    <cfRule type="cellIs" dxfId="355" priority="5" stopIfTrue="1" operator="greaterThan">
      <formula>$M$69</formula>
    </cfRule>
    <cfRule type="cellIs" dxfId="354" priority="6" stopIfTrue="1" operator="lessThanOrEqual">
      <formula>$M$69</formula>
    </cfRule>
  </conditionalFormatting>
  <conditionalFormatting sqref="N10:N11 N14:N15 N20:N37 N41:N42 N46:N48">
    <cfRule type="cellIs" dxfId="353" priority="7" stopIfTrue="1" operator="greaterThan">
      <formula>$M$70</formula>
    </cfRule>
    <cfRule type="cellIs" dxfId="352" priority="8" stopIfTrue="1" operator="lessThanOrEqual">
      <formula>$M$70</formula>
    </cfRule>
  </conditionalFormatting>
  <conditionalFormatting sqref="N32:N37">
    <cfRule type="cellIs" dxfId="351" priority="11" stopIfTrue="1" operator="greaterThan">
      <formula>$M$78</formula>
    </cfRule>
    <cfRule type="cellIs" dxfId="350" priority="12" stopIfTrue="1" operator="lessThanOrEqual">
      <formula>$M$78</formula>
    </cfRule>
  </conditionalFormatting>
  <conditionalFormatting sqref="O9:O11">
    <cfRule type="cellIs" dxfId="349" priority="13" stopIfTrue="1" operator="greaterThan">
      <formula>#REF!</formula>
    </cfRule>
    <cfRule type="cellIs" dxfId="348" priority="14" stopIfTrue="1" operator="lessThanOrEqual">
      <formula>#REF!</formula>
    </cfRule>
  </conditionalFormatting>
  <hyperlinks>
    <hyperlink ref="O78" r:id="rId1" xr:uid="{00000000-0004-0000-0D00-000000000000}"/>
    <hyperlink ref="B79" r:id="rId2" xr:uid="{00000000-0004-0000-0D00-000001000000}"/>
    <hyperlink ref="B81" r:id="rId3" xr:uid="{00000000-0004-0000-0D00-000002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workbookViewId="0">
      <selection activeCell="A14" sqref="A14:XFD14"/>
    </sheetView>
  </sheetViews>
  <sheetFormatPr defaultColWidth="14.28515625" defaultRowHeight="15" customHeight="1"/>
  <cols>
    <col min="1" max="1" width="3.28515625" customWidth="1"/>
    <col min="2" max="2" width="32" customWidth="1"/>
    <col min="3" max="3" width="6.7109375" customWidth="1"/>
    <col min="4" max="4" width="8" customWidth="1"/>
    <col min="5" max="5" width="10.28515625" customWidth="1"/>
    <col min="6" max="6" width="13.28515625" customWidth="1"/>
    <col min="7" max="7" width="12.28515625" customWidth="1"/>
    <col min="8" max="8" width="11" bestFit="1" customWidth="1"/>
    <col min="9" max="9" width="11.28515625" customWidth="1"/>
    <col min="10" max="10" width="10" bestFit="1" customWidth="1"/>
    <col min="11" max="11" width="12.28515625" customWidth="1"/>
    <col min="12" max="12" width="13.7109375" customWidth="1"/>
    <col min="13" max="13" width="12.28515625" customWidth="1"/>
    <col min="14" max="15" width="9" customWidth="1"/>
    <col min="16" max="16" width="11.28515625" customWidth="1"/>
    <col min="17" max="17" width="8.7109375" customWidth="1"/>
    <col min="18" max="18" width="12.28515625" customWidth="1"/>
    <col min="19" max="19" width="10.7109375" customWidth="1"/>
    <col min="20" max="20" width="14.28515625" customWidth="1"/>
    <col min="21" max="27" width="9.28515625" customWidth="1"/>
  </cols>
  <sheetData>
    <row r="1" spans="1:27" ht="12.75" customHeight="1">
      <c r="A1" s="309"/>
      <c r="B1" s="1984" t="s">
        <v>0</v>
      </c>
      <c r="C1" s="1985"/>
      <c r="D1" s="1985"/>
      <c r="E1" s="1985"/>
      <c r="F1" s="1985"/>
      <c r="G1" s="1985"/>
      <c r="H1" s="1985"/>
      <c r="I1" s="1985"/>
      <c r="J1" s="1985"/>
      <c r="K1" s="1985"/>
      <c r="L1" s="1985"/>
      <c r="M1" s="1985"/>
      <c r="N1" s="1985"/>
      <c r="O1" s="1985"/>
      <c r="P1" s="1162"/>
      <c r="Q1" s="989"/>
      <c r="R1" s="990"/>
      <c r="S1" s="990"/>
      <c r="T1" s="990"/>
      <c r="U1" s="1021"/>
      <c r="V1" s="5"/>
      <c r="W1" s="5"/>
      <c r="X1" s="5"/>
      <c r="Y1" s="5"/>
      <c r="Z1" s="5"/>
      <c r="AA1" s="5"/>
    </row>
    <row r="2" spans="1:27" ht="14.25" customHeight="1">
      <c r="A2" s="309"/>
      <c r="B2" s="1986" t="s">
        <v>534</v>
      </c>
      <c r="C2" s="1985"/>
      <c r="D2" s="1985"/>
      <c r="E2" s="1985"/>
      <c r="F2" s="1985"/>
      <c r="G2" s="1985"/>
      <c r="H2" s="1985"/>
      <c r="I2" s="1985"/>
      <c r="J2" s="1985"/>
      <c r="K2" s="1985"/>
      <c r="L2" s="1985"/>
      <c r="M2" s="1985"/>
      <c r="N2" s="1985"/>
      <c r="O2" s="1985"/>
      <c r="P2" s="325"/>
      <c r="Q2" s="991"/>
      <c r="R2" s="345"/>
      <c r="S2" s="345"/>
      <c r="T2" s="345"/>
      <c r="U2" s="1022"/>
      <c r="V2" s="5"/>
      <c r="W2" s="5"/>
      <c r="X2" s="5"/>
      <c r="Y2" s="5"/>
      <c r="Z2" s="5"/>
      <c r="AA2" s="5"/>
    </row>
    <row r="3" spans="1:27" ht="12.75" customHeight="1">
      <c r="A3" s="309"/>
      <c r="B3" s="2001"/>
      <c r="C3" s="1985"/>
      <c r="D3" s="1985"/>
      <c r="E3" s="1985"/>
      <c r="F3" s="1985"/>
      <c r="G3" s="1985"/>
      <c r="H3" s="1985"/>
      <c r="I3" s="1985"/>
      <c r="J3" s="1985"/>
      <c r="K3" s="1985"/>
      <c r="L3" s="1985"/>
      <c r="M3" s="1985"/>
      <c r="N3" s="1985"/>
      <c r="O3" s="1985"/>
      <c r="P3" s="325"/>
      <c r="Q3" s="991"/>
      <c r="R3" s="992"/>
      <c r="S3" s="992"/>
      <c r="T3" s="992"/>
      <c r="U3" s="1022"/>
      <c r="V3" s="5"/>
      <c r="W3" s="5"/>
      <c r="X3" s="5"/>
      <c r="Y3" s="5"/>
      <c r="Z3" s="5"/>
      <c r="AA3" s="5"/>
    </row>
    <row r="4" spans="1:27" ht="12.75" customHeight="1">
      <c r="A4" s="309"/>
      <c r="B4" s="894"/>
      <c r="C4" s="894"/>
      <c r="D4" s="894"/>
      <c r="E4" s="894"/>
      <c r="F4" s="894"/>
      <c r="G4" s="894"/>
      <c r="H4" s="894"/>
      <c r="I4" s="894"/>
      <c r="J4" s="1275"/>
      <c r="K4" s="894"/>
      <c r="L4" s="894"/>
      <c r="M4" s="894"/>
      <c r="N4" s="894"/>
      <c r="O4" s="894"/>
      <c r="P4" s="1163"/>
      <c r="Q4" s="994"/>
      <c r="R4" s="933"/>
      <c r="S4" s="933"/>
      <c r="T4" s="933"/>
      <c r="U4" s="609"/>
      <c r="V4" s="5"/>
      <c r="W4" s="5"/>
      <c r="X4" s="5"/>
      <c r="Y4" s="5"/>
      <c r="Z4" s="5"/>
      <c r="AA4" s="5"/>
    </row>
    <row r="5" spans="1:27" ht="12.75" customHeight="1">
      <c r="A5" s="897"/>
      <c r="B5" s="897"/>
      <c r="C5" s="1175"/>
      <c r="D5" s="1988" t="s">
        <v>3</v>
      </c>
      <c r="E5" s="1989"/>
      <c r="F5" s="1989"/>
      <c r="G5" s="1989"/>
      <c r="H5" s="1989"/>
      <c r="I5" s="1989"/>
      <c r="J5" s="1989"/>
      <c r="K5" s="1989"/>
      <c r="L5" s="1989"/>
      <c r="M5" s="2024"/>
      <c r="N5" s="2025"/>
      <c r="O5" s="110"/>
      <c r="P5" s="1164"/>
      <c r="Q5" s="995"/>
      <c r="R5" s="309"/>
      <c r="S5" s="309"/>
      <c r="T5" s="309"/>
      <c r="U5" s="328"/>
      <c r="V5" s="5"/>
      <c r="W5" s="5"/>
      <c r="X5" s="5"/>
      <c r="Y5" s="5"/>
      <c r="Z5" s="5"/>
      <c r="AA5" s="5"/>
    </row>
    <row r="6" spans="1:27" ht="12.75" customHeight="1">
      <c r="A6" s="1053"/>
      <c r="B6" s="900"/>
      <c r="C6" s="901"/>
      <c r="D6" s="2008">
        <v>42734</v>
      </c>
      <c r="E6" s="1981"/>
      <c r="F6" s="1981"/>
      <c r="G6" s="1981"/>
      <c r="H6" s="1276"/>
      <c r="I6" s="2003">
        <v>43098</v>
      </c>
      <c r="J6" s="1981"/>
      <c r="K6" s="1981"/>
      <c r="L6" s="1981"/>
      <c r="M6" s="111" t="s">
        <v>5</v>
      </c>
      <c r="N6" s="855" t="s">
        <v>6</v>
      </c>
      <c r="O6" s="112"/>
      <c r="P6" s="1116"/>
      <c r="Q6" s="1055"/>
      <c r="R6" s="1116"/>
      <c r="S6" s="1055"/>
      <c r="T6" s="327"/>
      <c r="U6" s="5"/>
      <c r="V6" s="5"/>
      <c r="W6" s="5"/>
      <c r="X6" s="5"/>
      <c r="Y6" s="5"/>
      <c r="Z6" s="5"/>
    </row>
    <row r="7" spans="1:27" ht="12.75" customHeight="1">
      <c r="A7" s="42"/>
      <c r="B7" s="905" t="s">
        <v>7</v>
      </c>
      <c r="C7" s="1176" t="s">
        <v>8</v>
      </c>
      <c r="D7" s="893" t="s">
        <v>9</v>
      </c>
      <c r="E7" s="113" t="s">
        <v>10</v>
      </c>
      <c r="F7" s="113" t="s">
        <v>11</v>
      </c>
      <c r="G7" s="113" t="s">
        <v>12</v>
      </c>
      <c r="H7" s="113"/>
      <c r="I7" s="113" t="s">
        <v>9</v>
      </c>
      <c r="J7" s="113" t="s">
        <v>10</v>
      </c>
      <c r="K7" s="114" t="s">
        <v>11</v>
      </c>
      <c r="L7" s="115" t="s">
        <v>12</v>
      </c>
      <c r="M7" s="893" t="s">
        <v>15</v>
      </c>
      <c r="N7" s="115" t="s">
        <v>15</v>
      </c>
      <c r="O7" s="116"/>
      <c r="P7" s="544"/>
      <c r="Q7" s="1116"/>
      <c r="R7" s="1116"/>
      <c r="S7" s="323"/>
      <c r="T7" s="327"/>
      <c r="U7" s="5"/>
      <c r="V7" s="5"/>
      <c r="W7" s="5"/>
      <c r="X7" s="5"/>
      <c r="Y7" s="5"/>
      <c r="Z7" s="5"/>
    </row>
    <row r="8" spans="1:27" ht="12.75" customHeight="1">
      <c r="A8" s="1177"/>
      <c r="B8" s="900" t="s">
        <v>360</v>
      </c>
      <c r="C8" s="1178"/>
      <c r="D8" s="1277"/>
      <c r="E8" s="71"/>
      <c r="F8" s="71"/>
      <c r="G8" s="71"/>
      <c r="H8" s="116"/>
      <c r="I8" s="544"/>
      <c r="J8" s="544"/>
      <c r="K8" s="1179"/>
      <c r="L8" s="855"/>
      <c r="M8" s="62"/>
      <c r="N8" s="1180"/>
      <c r="O8" s="117"/>
      <c r="P8" s="892"/>
      <c r="Q8" s="323"/>
      <c r="R8" s="323"/>
      <c r="S8" s="323"/>
      <c r="T8" s="327"/>
      <c r="U8" s="5"/>
      <c r="V8" s="5"/>
      <c r="W8" s="5"/>
      <c r="X8" s="5"/>
      <c r="Y8" s="5"/>
      <c r="Z8" s="5"/>
    </row>
    <row r="9" spans="1:27" ht="12.75" customHeight="1">
      <c r="A9" s="322">
        <v>1</v>
      </c>
      <c r="B9" s="334" t="s">
        <v>230</v>
      </c>
      <c r="C9" s="335" t="s">
        <v>231</v>
      </c>
      <c r="D9" s="547">
        <v>25</v>
      </c>
      <c r="E9" s="1055">
        <v>178.57</v>
      </c>
      <c r="F9" s="89">
        <f>D9*E9</f>
        <v>4464.25</v>
      </c>
      <c r="G9" s="121">
        <f>F9/$F$75</f>
        <v>2.8836258793776746E-2</v>
      </c>
      <c r="H9" s="118"/>
      <c r="I9" s="547">
        <v>25</v>
      </c>
      <c r="J9" s="1055">
        <v>235.37</v>
      </c>
      <c r="K9" s="1147">
        <f>J9*I9</f>
        <v>5884.25</v>
      </c>
      <c r="L9" s="1118">
        <f t="shared" ref="L9:L44" si="0">K9/$K$75</f>
        <v>3.2985710781582286E-2</v>
      </c>
      <c r="M9" s="495">
        <f>(J9-E9)/E9</f>
        <v>0.31808254466035735</v>
      </c>
      <c r="N9" s="329">
        <f>(J9-Transactions!C1395)/Transactions!C1395</f>
        <v>2.0052349336057205</v>
      </c>
      <c r="O9" s="119"/>
      <c r="P9" s="331"/>
      <c r="Q9" s="327"/>
      <c r="R9" s="327"/>
      <c r="S9" s="323"/>
      <c r="T9" s="327"/>
      <c r="U9" s="5"/>
      <c r="V9" s="5"/>
      <c r="W9" s="5"/>
      <c r="X9" s="5"/>
      <c r="Y9" s="5"/>
      <c r="Z9" s="5"/>
    </row>
    <row r="10" spans="1:27" ht="12.75" customHeight="1">
      <c r="A10" s="322">
        <v>2</v>
      </c>
      <c r="B10" s="334" t="s">
        <v>395</v>
      </c>
      <c r="C10" s="335" t="s">
        <v>396</v>
      </c>
      <c r="D10" s="547">
        <v>40</v>
      </c>
      <c r="E10" s="1055">
        <v>117.13</v>
      </c>
      <c r="F10" s="89">
        <f>D10*E10</f>
        <v>4685.2</v>
      </c>
      <c r="G10" s="121">
        <f>F10/$F$75</f>
        <v>3.0263457400594232E-2</v>
      </c>
      <c r="H10" s="118"/>
      <c r="I10" s="547">
        <v>40</v>
      </c>
      <c r="J10" s="1055">
        <v>153.09</v>
      </c>
      <c r="K10" s="1147">
        <f t="shared" ref="K10:K43" si="1">I10*J10</f>
        <v>6123.6</v>
      </c>
      <c r="L10" s="1118">
        <f t="shared" si="0"/>
        <v>3.4327450149483331E-2</v>
      </c>
      <c r="M10" s="495">
        <f>(J10-E10)/E10</f>
        <v>0.30700930589942804</v>
      </c>
      <c r="N10" s="329">
        <f>(J10-Transactions!C937)/Transactions!C937</f>
        <v>0.91866148640180467</v>
      </c>
      <c r="O10" s="336"/>
      <c r="P10" s="331"/>
      <c r="Q10" s="327"/>
      <c r="R10" s="327"/>
      <c r="S10" s="323"/>
      <c r="T10" s="327"/>
      <c r="U10" s="5"/>
      <c r="V10" s="5"/>
      <c r="W10" s="5"/>
      <c r="X10" s="5"/>
      <c r="Y10" s="5"/>
      <c r="Z10" s="5"/>
    </row>
    <row r="11" spans="1:27" ht="12.75" customHeight="1">
      <c r="A11" s="322">
        <v>3</v>
      </c>
      <c r="B11" s="334" t="s">
        <v>535</v>
      </c>
      <c r="C11" s="335" t="s">
        <v>536</v>
      </c>
      <c r="D11" s="547">
        <v>30</v>
      </c>
      <c r="E11" s="1055">
        <v>36.11</v>
      </c>
      <c r="F11" s="89">
        <f>D11*E11</f>
        <v>1083.3</v>
      </c>
      <c r="G11" s="121">
        <f>F11/$F$75</f>
        <v>6.997439469406585E-3</v>
      </c>
      <c r="H11" s="118"/>
      <c r="I11" s="547">
        <v>30</v>
      </c>
      <c r="J11" s="1055">
        <v>63.32</v>
      </c>
      <c r="K11" s="1147">
        <f t="shared" si="1"/>
        <v>1899.6</v>
      </c>
      <c r="L11" s="1118">
        <f t="shared" si="0"/>
        <v>1.0648707345998844E-2</v>
      </c>
      <c r="M11" s="495">
        <f>(J11-E11)/E11</f>
        <v>0.75353087787316542</v>
      </c>
      <c r="N11" s="329">
        <f>(J11-Transactions!C766)/Transactions!C766</f>
        <v>0.75304540420819499</v>
      </c>
      <c r="O11" s="336"/>
      <c r="P11" s="331"/>
      <c r="Q11" s="327"/>
      <c r="R11" s="327"/>
      <c r="S11" s="323"/>
      <c r="T11" s="327"/>
      <c r="U11" s="5"/>
      <c r="V11" s="5"/>
      <c r="W11" s="5"/>
      <c r="X11" s="5"/>
      <c r="Y11" s="5"/>
      <c r="Z11" s="5"/>
    </row>
    <row r="12" spans="1:27" ht="12.75" customHeight="1">
      <c r="A12" s="322">
        <v>4</v>
      </c>
      <c r="B12" s="334" t="s">
        <v>341</v>
      </c>
      <c r="C12" s="335" t="s">
        <v>342</v>
      </c>
      <c r="D12" s="547">
        <v>10</v>
      </c>
      <c r="E12" s="1055">
        <v>143.82</v>
      </c>
      <c r="F12" s="89">
        <f>D12*E12</f>
        <v>1438.1999999999998</v>
      </c>
      <c r="G12" s="121">
        <f>F12/$F$75</f>
        <v>9.2898711759443822E-3</v>
      </c>
      <c r="H12" s="118"/>
      <c r="I12" s="547">
        <v>10</v>
      </c>
      <c r="J12" s="1055">
        <v>164.08</v>
      </c>
      <c r="K12" s="1147">
        <f t="shared" si="1"/>
        <v>1640.8000000000002</v>
      </c>
      <c r="L12" s="1118">
        <f t="shared" si="0"/>
        <v>9.1979358882474764E-3</v>
      </c>
      <c r="M12" s="495">
        <f>(J12-E12)/E12</f>
        <v>0.14087053261020735</v>
      </c>
      <c r="N12" s="329">
        <f>(J12-Transactions!C1086)/Transactions!C1086</f>
        <v>1.0041529253694883</v>
      </c>
      <c r="O12" s="336"/>
      <c r="P12" s="331"/>
      <c r="Q12" s="327"/>
      <c r="R12" s="327"/>
      <c r="S12" s="323"/>
      <c r="T12" s="327"/>
      <c r="U12" s="5"/>
      <c r="V12" s="5"/>
      <c r="W12" s="5"/>
      <c r="X12" s="5"/>
      <c r="Y12" s="5"/>
      <c r="Z12" s="5"/>
    </row>
    <row r="13" spans="1:27" ht="12.75" customHeight="1">
      <c r="A13" s="322">
        <v>5</v>
      </c>
      <c r="B13" s="340" t="s">
        <v>537</v>
      </c>
      <c r="C13" s="138" t="s">
        <v>538</v>
      </c>
      <c r="D13" s="130"/>
      <c r="E13" s="1055"/>
      <c r="F13" s="120"/>
      <c r="G13" s="121">
        <v>0</v>
      </c>
      <c r="H13" s="122"/>
      <c r="I13" s="1181">
        <v>13</v>
      </c>
      <c r="J13" s="1055">
        <v>172.43</v>
      </c>
      <c r="K13" s="1147">
        <f t="shared" si="1"/>
        <v>2241.59</v>
      </c>
      <c r="L13" s="1118">
        <f t="shared" si="0"/>
        <v>1.2565822225583046E-2</v>
      </c>
      <c r="M13" s="495"/>
      <c r="N13" s="329">
        <f>(J13-Transactions!C618)/Transactions!C618</f>
        <v>-8.5785483272360991E-2</v>
      </c>
      <c r="O13" s="336"/>
      <c r="P13" s="331"/>
      <c r="Q13" s="327"/>
      <c r="R13" s="327"/>
      <c r="S13" s="323"/>
      <c r="T13" s="327"/>
      <c r="U13" s="5"/>
      <c r="V13" s="5"/>
      <c r="W13" s="5"/>
      <c r="X13" s="5"/>
      <c r="Y13" s="5"/>
      <c r="Z13" s="5"/>
    </row>
    <row r="14" spans="1:27" ht="12.75" customHeight="1">
      <c r="A14" s="322">
        <v>6</v>
      </c>
      <c r="B14" s="334" t="s">
        <v>539</v>
      </c>
      <c r="C14" s="335" t="s">
        <v>540</v>
      </c>
      <c r="D14" s="547">
        <v>8</v>
      </c>
      <c r="E14" s="1055">
        <v>749.87</v>
      </c>
      <c r="F14" s="89">
        <f t="shared" ref="F14:F23" si="2">D14*E14</f>
        <v>5998.96</v>
      </c>
      <c r="G14" s="121">
        <f t="shared" ref="G14:G29" si="3">F14/$F$75</f>
        <v>3.8749524120180311E-2</v>
      </c>
      <c r="H14" s="118"/>
      <c r="I14" s="547">
        <v>8</v>
      </c>
      <c r="J14" s="1055">
        <v>1169.47</v>
      </c>
      <c r="K14" s="1147">
        <f t="shared" si="1"/>
        <v>9355.76</v>
      </c>
      <c r="L14" s="1118">
        <f t="shared" si="0"/>
        <v>5.2446173004528404E-2</v>
      </c>
      <c r="M14" s="495">
        <f t="shared" ref="M14:M23" si="4">(J14-E14)/E14</f>
        <v>0.55956365770066818</v>
      </c>
      <c r="N14" s="329">
        <f>(J14-Transactions!G710)/Transactions!G710</f>
        <v>-0.75816060863613144</v>
      </c>
      <c r="O14" s="336"/>
      <c r="P14" s="331"/>
      <c r="Q14" s="327"/>
      <c r="R14" s="327"/>
      <c r="S14" s="323"/>
      <c r="T14" s="327"/>
      <c r="U14" s="5"/>
      <c r="V14" s="5"/>
      <c r="W14" s="5"/>
      <c r="X14" s="5"/>
      <c r="Y14" s="5"/>
      <c r="Z14" s="5"/>
    </row>
    <row r="15" spans="1:27" ht="12.75" customHeight="1">
      <c r="A15" s="322">
        <v>7</v>
      </c>
      <c r="B15" s="334" t="s">
        <v>398</v>
      </c>
      <c r="C15" s="335" t="s">
        <v>399</v>
      </c>
      <c r="D15" s="547">
        <v>20</v>
      </c>
      <c r="E15" s="1055">
        <v>105.68</v>
      </c>
      <c r="F15" s="89">
        <f t="shared" si="2"/>
        <v>2113.6000000000004</v>
      </c>
      <c r="G15" s="121">
        <f t="shared" si="3"/>
        <v>1.365253213563903E-2</v>
      </c>
      <c r="H15" s="118"/>
      <c r="I15" s="547">
        <v>20</v>
      </c>
      <c r="J15" s="1055">
        <v>142.66999999999999</v>
      </c>
      <c r="K15" s="1147">
        <f t="shared" si="1"/>
        <v>2853.3999999999996</v>
      </c>
      <c r="L15" s="1118">
        <f t="shared" si="0"/>
        <v>1.5995484070895506E-2</v>
      </c>
      <c r="M15" s="495">
        <f t="shared" si="4"/>
        <v>0.35001892505677495</v>
      </c>
      <c r="N15" s="329">
        <f>(J15-Transactions!C884)/Transactions!C884</f>
        <v>0.391495172144738</v>
      </c>
      <c r="O15" s="336"/>
      <c r="P15" s="331"/>
      <c r="Q15" s="1278"/>
      <c r="R15" s="327"/>
      <c r="S15" s="323"/>
      <c r="T15" s="327"/>
      <c r="U15" s="5"/>
      <c r="V15" s="5"/>
      <c r="W15" s="5"/>
      <c r="X15" s="5"/>
      <c r="Y15" s="5"/>
      <c r="Z15" s="5"/>
    </row>
    <row r="16" spans="1:27" ht="12.75" customHeight="1">
      <c r="A16" s="322">
        <v>8</v>
      </c>
      <c r="B16" s="334" t="s">
        <v>401</v>
      </c>
      <c r="C16" s="335" t="s">
        <v>402</v>
      </c>
      <c r="D16" s="547">
        <v>21</v>
      </c>
      <c r="E16" s="1055">
        <v>146.21</v>
      </c>
      <c r="F16" s="89">
        <f t="shared" si="2"/>
        <v>3070.4100000000003</v>
      </c>
      <c r="G16" s="121">
        <f t="shared" si="3"/>
        <v>1.9832925432715476E-2</v>
      </c>
      <c r="H16" s="118"/>
      <c r="I16" s="547">
        <v>21</v>
      </c>
      <c r="J16" s="1055">
        <v>173.9</v>
      </c>
      <c r="K16" s="1147">
        <f t="shared" si="1"/>
        <v>3651.9</v>
      </c>
      <c r="L16" s="1118">
        <f t="shared" si="0"/>
        <v>2.0471685805881861E-2</v>
      </c>
      <c r="M16" s="495">
        <f t="shared" si="4"/>
        <v>0.18938513097599341</v>
      </c>
      <c r="N16" s="329">
        <f>(J16-Transactions!C897)/Transactions!C897</f>
        <v>7.1670672336229702E-2</v>
      </c>
      <c r="O16" s="336"/>
      <c r="P16" s="331"/>
      <c r="Q16" s="327"/>
      <c r="R16" s="327"/>
      <c r="S16" s="323"/>
      <c r="T16" s="327"/>
      <c r="U16" s="5"/>
      <c r="V16" s="5"/>
      <c r="W16" s="5"/>
      <c r="X16" s="5"/>
      <c r="Y16" s="5"/>
      <c r="Z16" s="5"/>
    </row>
    <row r="17" spans="1:26" ht="12.75" customHeight="1">
      <c r="A17" s="322">
        <v>9</v>
      </c>
      <c r="B17" s="334" t="s">
        <v>206</v>
      </c>
      <c r="C17" s="335" t="s">
        <v>207</v>
      </c>
      <c r="D17" s="547">
        <v>42</v>
      </c>
      <c r="E17" s="1055">
        <v>115.82</v>
      </c>
      <c r="F17" s="89">
        <f t="shared" si="2"/>
        <v>4864.4399999999996</v>
      </c>
      <c r="G17" s="121">
        <f t="shared" si="3"/>
        <v>3.1421235532687317E-2</v>
      </c>
      <c r="H17" s="118"/>
      <c r="I17" s="547">
        <v>42</v>
      </c>
      <c r="J17" s="1055">
        <v>169.23</v>
      </c>
      <c r="K17" s="1147">
        <f t="shared" si="1"/>
        <v>7107.66</v>
      </c>
      <c r="L17" s="1118">
        <f t="shared" si="0"/>
        <v>3.9843857261982606E-2</v>
      </c>
      <c r="M17" s="495">
        <f t="shared" si="4"/>
        <v>0.46114660680366087</v>
      </c>
      <c r="N17" s="329">
        <f>(J17-Transactions!C1433)/Transactions!C1433</f>
        <v>5.6810106592972751</v>
      </c>
      <c r="O17" s="336"/>
      <c r="P17" s="331"/>
      <c r="Q17" s="327"/>
      <c r="R17" s="327"/>
      <c r="S17" s="309"/>
      <c r="T17" s="328"/>
      <c r="U17" s="5"/>
      <c r="V17" s="5"/>
      <c r="W17" s="5"/>
      <c r="X17" s="5"/>
      <c r="Y17" s="5"/>
      <c r="Z17" s="5"/>
    </row>
    <row r="18" spans="1:26" ht="12.75" customHeight="1">
      <c r="A18" s="322">
        <v>10</v>
      </c>
      <c r="B18" s="334" t="s">
        <v>541</v>
      </c>
      <c r="C18" s="335" t="s">
        <v>448</v>
      </c>
      <c r="D18" s="547">
        <v>50</v>
      </c>
      <c r="E18" s="1055">
        <v>42.53</v>
      </c>
      <c r="F18" s="89">
        <f t="shared" si="2"/>
        <v>2126.5</v>
      </c>
      <c r="G18" s="121">
        <f t="shared" si="3"/>
        <v>1.3735858055656885E-2</v>
      </c>
      <c r="H18" s="118"/>
      <c r="I18" s="547">
        <v>50</v>
      </c>
      <c r="J18" s="1055">
        <v>38.880000000000003</v>
      </c>
      <c r="K18" s="1147">
        <f t="shared" si="1"/>
        <v>1944.0000000000002</v>
      </c>
      <c r="L18" s="1118">
        <f t="shared" si="0"/>
        <v>1.08976032220582E-2</v>
      </c>
      <c r="M18" s="495">
        <f t="shared" si="4"/>
        <v>-8.5821772866212051E-2</v>
      </c>
      <c r="N18" s="329">
        <f>(J18-Transactions!C813)/Transactions!C813</f>
        <v>0.16862037871956714</v>
      </c>
      <c r="O18" s="336"/>
      <c r="P18" s="331"/>
      <c r="Q18" s="327"/>
      <c r="R18" s="327"/>
      <c r="S18" s="309"/>
      <c r="T18" s="328"/>
      <c r="U18" s="5"/>
      <c r="V18" s="5"/>
      <c r="W18" s="5"/>
      <c r="X18" s="5"/>
      <c r="Y18" s="5"/>
      <c r="Z18" s="5"/>
    </row>
    <row r="19" spans="1:26" ht="12.75" customHeight="1">
      <c r="A19" s="322">
        <v>11</v>
      </c>
      <c r="B19" s="334" t="s">
        <v>22</v>
      </c>
      <c r="C19" s="335" t="s">
        <v>23</v>
      </c>
      <c r="D19" s="547">
        <v>148</v>
      </c>
      <c r="E19" s="1055">
        <v>22.1</v>
      </c>
      <c r="F19" s="89">
        <f t="shared" si="2"/>
        <v>3270.8</v>
      </c>
      <c r="G19" s="121">
        <f t="shared" si="3"/>
        <v>2.1127319317395976E-2</v>
      </c>
      <c r="H19" s="118"/>
      <c r="I19" s="547">
        <v>148</v>
      </c>
      <c r="J19" s="1055">
        <v>29.52</v>
      </c>
      <c r="K19" s="1147">
        <f t="shared" si="1"/>
        <v>4368.96</v>
      </c>
      <c r="L19" s="1118">
        <f t="shared" si="0"/>
        <v>2.4491354204240427E-2</v>
      </c>
      <c r="M19" s="495">
        <f t="shared" si="4"/>
        <v>0.33574660633484155</v>
      </c>
      <c r="N19" s="329">
        <f>(J19-Transactions!C695)/Transactions!C695</f>
        <v>0.45061425061425048</v>
      </c>
      <c r="O19" s="336"/>
      <c r="P19" s="331"/>
      <c r="Q19" s="327"/>
      <c r="R19" s="327"/>
      <c r="S19" s="309"/>
      <c r="T19" s="328"/>
      <c r="U19" s="5"/>
      <c r="V19" s="5"/>
      <c r="W19" s="5"/>
      <c r="X19" s="5"/>
      <c r="Y19" s="5"/>
      <c r="Z19" s="5"/>
    </row>
    <row r="20" spans="1:26" ht="12.75" customHeight="1">
      <c r="A20" s="322">
        <v>12</v>
      </c>
      <c r="B20" s="334" t="s">
        <v>542</v>
      </c>
      <c r="C20" s="335" t="s">
        <v>452</v>
      </c>
      <c r="D20" s="547">
        <v>25</v>
      </c>
      <c r="E20" s="1055">
        <v>87.24</v>
      </c>
      <c r="F20" s="89">
        <f t="shared" si="2"/>
        <v>2181</v>
      </c>
      <c r="G20" s="121">
        <f t="shared" si="3"/>
        <v>1.408789391929822E-2</v>
      </c>
      <c r="H20" s="118"/>
      <c r="I20" s="547">
        <v>25</v>
      </c>
      <c r="J20" s="1055">
        <v>99.58</v>
      </c>
      <c r="K20" s="1147">
        <f t="shared" si="1"/>
        <v>2489.5</v>
      </c>
      <c r="L20" s="1118">
        <f t="shared" si="0"/>
        <v>1.395554692454418E-2</v>
      </c>
      <c r="M20" s="495">
        <f t="shared" si="4"/>
        <v>0.14144887666208167</v>
      </c>
      <c r="N20" s="329">
        <f>(J20-Transactions!C801)/Transactions!C801</f>
        <v>0.38613585746102441</v>
      </c>
      <c r="O20" s="336"/>
      <c r="P20" s="331"/>
      <c r="Q20" s="327"/>
      <c r="R20" s="327"/>
      <c r="S20" s="309"/>
      <c r="T20" s="328"/>
      <c r="U20" s="5"/>
      <c r="V20" s="5"/>
      <c r="W20" s="5"/>
      <c r="X20" s="5"/>
      <c r="Y20" s="5"/>
      <c r="Z20" s="5"/>
    </row>
    <row r="21" spans="1:26" ht="12.75" customHeight="1">
      <c r="A21" s="322">
        <v>13</v>
      </c>
      <c r="B21" s="334" t="s">
        <v>404</v>
      </c>
      <c r="C21" s="335" t="s">
        <v>405</v>
      </c>
      <c r="D21" s="547">
        <v>50</v>
      </c>
      <c r="E21" s="1055">
        <v>47.37</v>
      </c>
      <c r="F21" s="89">
        <f t="shared" si="2"/>
        <v>2368.5</v>
      </c>
      <c r="G21" s="121">
        <f t="shared" si="3"/>
        <v>1.5299026477697311E-2</v>
      </c>
      <c r="H21" s="118"/>
      <c r="I21" s="547">
        <v>50</v>
      </c>
      <c r="J21" s="1055">
        <v>67.39</v>
      </c>
      <c r="K21" s="1147">
        <f t="shared" si="1"/>
        <v>3369.5</v>
      </c>
      <c r="L21" s="1118">
        <f t="shared" si="0"/>
        <v>1.888861834193678E-2</v>
      </c>
      <c r="M21" s="495">
        <f t="shared" si="4"/>
        <v>0.42263035676588567</v>
      </c>
      <c r="N21" s="329">
        <f>(J21-Transactions!C921)/Transactions!C921</f>
        <v>0.15354330708661415</v>
      </c>
      <c r="O21" s="336"/>
      <c r="P21" s="331"/>
      <c r="Q21" s="327"/>
      <c r="R21" s="327"/>
      <c r="S21" s="309"/>
      <c r="T21" s="328"/>
      <c r="U21" s="5"/>
      <c r="V21" s="5"/>
      <c r="W21" s="5"/>
      <c r="X21" s="5"/>
      <c r="Y21" s="5"/>
      <c r="Z21" s="5"/>
    </row>
    <row r="22" spans="1:26" ht="12.75" customHeight="1">
      <c r="A22" s="322">
        <v>14</v>
      </c>
      <c r="B22" s="334" t="s">
        <v>281</v>
      </c>
      <c r="C22" s="335" t="s">
        <v>152</v>
      </c>
      <c r="D22" s="547">
        <v>120</v>
      </c>
      <c r="E22" s="1055">
        <v>30.22</v>
      </c>
      <c r="F22" s="89">
        <f t="shared" si="2"/>
        <v>3626.3999999999996</v>
      </c>
      <c r="G22" s="121">
        <f t="shared" si="3"/>
        <v>2.3424272585485129E-2</v>
      </c>
      <c r="H22" s="118"/>
      <c r="I22" s="547">
        <v>120</v>
      </c>
      <c r="J22" s="1055">
        <v>38.299999999999997</v>
      </c>
      <c r="K22" s="1147">
        <f t="shared" si="1"/>
        <v>4596</v>
      </c>
      <c r="L22" s="1118">
        <f t="shared" si="0"/>
        <v>2.576408662992772E-2</v>
      </c>
      <c r="M22" s="495">
        <f t="shared" si="4"/>
        <v>0.26737260092653869</v>
      </c>
      <c r="N22" s="329">
        <f>(J22-Transactions!C1201)/Transactions!C1201</f>
        <v>1.0426666666666664</v>
      </c>
      <c r="O22" s="336"/>
      <c r="P22" s="331"/>
      <c r="Q22" s="327"/>
      <c r="R22" s="327"/>
      <c r="S22" s="309"/>
      <c r="T22" s="328"/>
      <c r="U22" s="5"/>
      <c r="V22" s="5"/>
      <c r="W22" s="5"/>
      <c r="X22" s="5"/>
      <c r="Y22" s="5"/>
      <c r="Z22" s="5"/>
    </row>
    <row r="23" spans="1:26" ht="12.75" customHeight="1">
      <c r="A23" s="322">
        <v>15</v>
      </c>
      <c r="B23" s="334" t="s">
        <v>153</v>
      </c>
      <c r="C23" s="335" t="s">
        <v>154</v>
      </c>
      <c r="D23" s="547">
        <v>70</v>
      </c>
      <c r="E23" s="1055">
        <v>41.46</v>
      </c>
      <c r="F23" s="89">
        <f t="shared" si="2"/>
        <v>2902.2000000000003</v>
      </c>
      <c r="G23" s="121">
        <f t="shared" si="3"/>
        <v>1.8746394191924483E-2</v>
      </c>
      <c r="H23" s="118"/>
      <c r="I23" s="547">
        <v>70</v>
      </c>
      <c r="J23" s="1055">
        <v>45.88</v>
      </c>
      <c r="K23" s="1147">
        <f t="shared" si="1"/>
        <v>3211.6000000000004</v>
      </c>
      <c r="L23" s="1118">
        <f t="shared" si="0"/>
        <v>1.8003468368293269E-2</v>
      </c>
      <c r="M23" s="495">
        <f t="shared" si="4"/>
        <v>0.10660877954655093</v>
      </c>
      <c r="N23" s="329">
        <f>(J23-Transactions!C1375)/Transactions!C1375</f>
        <v>1.0930656934306568</v>
      </c>
      <c r="O23" s="336"/>
      <c r="P23" s="331"/>
      <c r="Q23" s="327"/>
      <c r="R23" s="327"/>
      <c r="S23" s="309"/>
      <c r="T23" s="328"/>
      <c r="U23" s="5"/>
      <c r="V23" s="5"/>
      <c r="W23" s="5"/>
      <c r="X23" s="5"/>
      <c r="Y23" s="5"/>
      <c r="Z23" s="5"/>
    </row>
    <row r="24" spans="1:26" ht="12.75" customHeight="1">
      <c r="A24" s="322">
        <v>16</v>
      </c>
      <c r="B24" s="334" t="s">
        <v>343</v>
      </c>
      <c r="C24" s="138" t="s">
        <v>344</v>
      </c>
      <c r="D24" s="547"/>
      <c r="E24" s="1055"/>
      <c r="F24" s="89"/>
      <c r="G24" s="121">
        <f t="shared" si="3"/>
        <v>0</v>
      </c>
      <c r="H24" s="122"/>
      <c r="I24" s="1181">
        <v>38</v>
      </c>
      <c r="J24" s="1055">
        <v>74.64</v>
      </c>
      <c r="K24" s="1147">
        <f t="shared" si="1"/>
        <v>2836.32</v>
      </c>
      <c r="L24" s="1118">
        <f t="shared" si="0"/>
        <v>1.5899737639294299E-2</v>
      </c>
      <c r="M24" s="495"/>
      <c r="N24" s="329">
        <f>(J24-Transactions!C639)/Transactions!C639</f>
        <v>0.24151696606786432</v>
      </c>
      <c r="O24" s="336"/>
      <c r="P24" s="331"/>
      <c r="Q24" s="327"/>
      <c r="R24" s="327"/>
      <c r="S24" s="309"/>
      <c r="T24" s="328"/>
      <c r="U24" s="5"/>
      <c r="V24" s="5"/>
      <c r="W24" s="5"/>
      <c r="X24" s="5"/>
      <c r="Y24" s="5"/>
      <c r="Z24" s="5"/>
    </row>
    <row r="25" spans="1:26" ht="12.75" customHeight="1">
      <c r="A25" s="322">
        <v>17</v>
      </c>
      <c r="B25" s="334" t="s">
        <v>543</v>
      </c>
      <c r="C25" s="335" t="s">
        <v>544</v>
      </c>
      <c r="D25" s="547"/>
      <c r="E25" s="1055"/>
      <c r="F25" s="89"/>
      <c r="G25" s="121">
        <f t="shared" si="3"/>
        <v>0</v>
      </c>
      <c r="H25" s="118"/>
      <c r="I25" s="547">
        <v>17</v>
      </c>
      <c r="J25" s="1055">
        <v>176.46</v>
      </c>
      <c r="K25" s="1147">
        <f t="shared" si="1"/>
        <v>2999.82</v>
      </c>
      <c r="L25" s="1118">
        <f t="shared" si="0"/>
        <v>1.6816279885593945E-2</v>
      </c>
      <c r="M25" s="495"/>
      <c r="N25" s="329">
        <f>(J25-Transactions!C635)/Transactions!C635</f>
        <v>0.19261962692619625</v>
      </c>
      <c r="O25" s="336"/>
      <c r="P25" s="331"/>
      <c r="Q25" s="327"/>
      <c r="R25" s="327"/>
      <c r="S25" s="309"/>
      <c r="T25" s="328"/>
      <c r="U25" s="5"/>
      <c r="V25" s="5"/>
      <c r="W25" s="5"/>
      <c r="X25" s="5"/>
      <c r="Y25" s="5"/>
      <c r="Z25" s="5"/>
    </row>
    <row r="26" spans="1:26" ht="12.75" customHeight="1">
      <c r="A26" s="322">
        <v>18</v>
      </c>
      <c r="B26" s="334" t="s">
        <v>545</v>
      </c>
      <c r="C26" s="335" t="s">
        <v>546</v>
      </c>
      <c r="D26" s="547"/>
      <c r="E26" s="1055"/>
      <c r="F26" s="89"/>
      <c r="G26" s="121">
        <f t="shared" si="3"/>
        <v>0</v>
      </c>
      <c r="H26" s="118"/>
      <c r="I26" s="547">
        <v>57</v>
      </c>
      <c r="J26" s="1055">
        <v>79.95</v>
      </c>
      <c r="K26" s="1147">
        <f t="shared" si="1"/>
        <v>4557.1500000000005</v>
      </c>
      <c r="L26" s="1118">
        <f t="shared" si="0"/>
        <v>2.5546302738375787E-2</v>
      </c>
      <c r="M26" s="495"/>
      <c r="N26" s="329">
        <f>(J26-Transactions!C654)/Transactions!C654</f>
        <v>0.14443172058402523</v>
      </c>
      <c r="O26" s="336"/>
      <c r="P26" s="331"/>
      <c r="Q26" s="327"/>
      <c r="R26" s="327"/>
      <c r="S26" s="309"/>
      <c r="T26" s="328"/>
      <c r="U26" s="5"/>
      <c r="V26" s="5"/>
      <c r="W26" s="5"/>
      <c r="X26" s="5"/>
      <c r="Y26" s="5"/>
      <c r="Z26" s="5"/>
    </row>
    <row r="27" spans="1:26" ht="12.75" customHeight="1">
      <c r="A27" s="322">
        <v>19</v>
      </c>
      <c r="B27" s="334" t="s">
        <v>410</v>
      </c>
      <c r="C27" s="138" t="s">
        <v>411</v>
      </c>
      <c r="D27" s="547">
        <v>40</v>
      </c>
      <c r="E27" s="1055">
        <v>71.61</v>
      </c>
      <c r="F27" s="89">
        <f>D27*E27</f>
        <v>2864.4</v>
      </c>
      <c r="G27" s="121">
        <f t="shared" si="3"/>
        <v>1.8502229868151226E-2</v>
      </c>
      <c r="H27" s="122"/>
      <c r="I27" s="1181">
        <v>40</v>
      </c>
      <c r="J27" s="1055">
        <v>71.64</v>
      </c>
      <c r="K27" s="1147">
        <f t="shared" si="1"/>
        <v>2865.6</v>
      </c>
      <c r="L27" s="1118">
        <f t="shared" si="0"/>
        <v>1.6063874379182087E-2</v>
      </c>
      <c r="M27" s="495">
        <f>(J27-E27)/E27</f>
        <v>4.1893590280688643E-4</v>
      </c>
      <c r="N27" s="329">
        <f>(J27-Transactions!C931)/Transactions!C931</f>
        <v>-4.9741345005968961E-2</v>
      </c>
      <c r="O27" s="336"/>
      <c r="P27" s="331"/>
      <c r="Q27" s="327"/>
      <c r="R27" s="327"/>
      <c r="S27" s="309"/>
      <c r="T27" s="328"/>
      <c r="U27" s="5"/>
      <c r="V27" s="5"/>
      <c r="W27" s="5"/>
      <c r="X27" s="5"/>
      <c r="Y27" s="5"/>
      <c r="Z27" s="5"/>
    </row>
    <row r="28" spans="1:26" ht="12.75" customHeight="1">
      <c r="A28" s="322">
        <v>20</v>
      </c>
      <c r="B28" s="323" t="s">
        <v>547</v>
      </c>
      <c r="C28" s="138" t="s">
        <v>548</v>
      </c>
      <c r="D28" s="547"/>
      <c r="E28" s="609"/>
      <c r="F28" s="89"/>
      <c r="G28" s="121">
        <f t="shared" si="3"/>
        <v>0</v>
      </c>
      <c r="H28" s="122"/>
      <c r="I28" s="1181">
        <v>15</v>
      </c>
      <c r="J28" s="1055">
        <v>139.72</v>
      </c>
      <c r="K28" s="1147">
        <f t="shared" si="1"/>
        <v>2095.8000000000002</v>
      </c>
      <c r="L28" s="1118">
        <f t="shared" si="0"/>
        <v>1.1748558041558424E-2</v>
      </c>
      <c r="M28" s="495"/>
      <c r="N28" s="329">
        <f>(J28-Transactions!C626)/Transactions!C626</f>
        <v>-5.9053717538243506E-3</v>
      </c>
      <c r="O28" s="336"/>
      <c r="P28" s="331"/>
      <c r="Q28" s="327"/>
      <c r="R28" s="327"/>
      <c r="S28" s="309"/>
      <c r="T28" s="328"/>
      <c r="U28" s="5"/>
      <c r="V28" s="5"/>
      <c r="W28" s="5"/>
      <c r="X28" s="5"/>
      <c r="Y28" s="5"/>
      <c r="Z28" s="5"/>
    </row>
    <row r="29" spans="1:26" ht="12.75" customHeight="1">
      <c r="A29" s="322">
        <v>21</v>
      </c>
      <c r="B29" s="123" t="s">
        <v>549</v>
      </c>
      <c r="C29" s="138" t="s">
        <v>550</v>
      </c>
      <c r="D29" s="118"/>
      <c r="E29" s="1055"/>
      <c r="F29" s="89"/>
      <c r="G29" s="121">
        <f t="shared" si="3"/>
        <v>0</v>
      </c>
      <c r="H29" s="122"/>
      <c r="I29" s="1181">
        <v>9</v>
      </c>
      <c r="J29" s="124">
        <v>321.05</v>
      </c>
      <c r="K29" s="1147">
        <f t="shared" si="1"/>
        <v>2889.4500000000003</v>
      </c>
      <c r="L29" s="1118">
        <f t="shared" si="0"/>
        <v>1.6197571826119375E-2</v>
      </c>
      <c r="M29" s="495"/>
      <c r="N29" s="125">
        <f>(J29-Transactions!C657)/Transactions!C657</f>
        <v>0.18656909487378504</v>
      </c>
      <c r="O29" s="336"/>
      <c r="P29" s="331"/>
      <c r="Q29" s="327"/>
      <c r="R29" s="327"/>
      <c r="S29" s="309"/>
      <c r="T29" s="328"/>
      <c r="U29" s="5"/>
      <c r="V29" s="5"/>
      <c r="W29" s="5"/>
      <c r="X29" s="5"/>
      <c r="Y29" s="5"/>
      <c r="Z29" s="5"/>
    </row>
    <row r="30" spans="1:26" ht="12.75" customHeight="1">
      <c r="A30" s="322">
        <v>22</v>
      </c>
      <c r="B30" s="126" t="s">
        <v>551</v>
      </c>
      <c r="C30" s="138" t="s">
        <v>552</v>
      </c>
      <c r="D30" s="130"/>
      <c r="E30" s="1055"/>
      <c r="F30" s="120"/>
      <c r="G30" s="121">
        <v>0</v>
      </c>
      <c r="H30" s="122"/>
      <c r="I30" s="1181">
        <v>7</v>
      </c>
      <c r="J30" s="1055">
        <v>221.04</v>
      </c>
      <c r="K30" s="1147">
        <f t="shared" si="1"/>
        <v>1547.28</v>
      </c>
      <c r="L30" s="1118">
        <f t="shared" si="0"/>
        <v>8.6736849348900257E-3</v>
      </c>
      <c r="M30" s="495"/>
      <c r="N30" s="329">
        <f>(J30-Transactions!C610)/Transactions!C610</f>
        <v>5.0470487596236124E-2</v>
      </c>
      <c r="O30" s="336"/>
      <c r="P30" s="331"/>
      <c r="Q30" s="327"/>
      <c r="R30" s="327"/>
      <c r="S30" s="309"/>
      <c r="T30" s="328"/>
      <c r="U30" s="5"/>
      <c r="V30" s="5"/>
      <c r="W30" s="5"/>
      <c r="X30" s="5"/>
      <c r="Y30" s="5"/>
      <c r="Z30" s="5"/>
    </row>
    <row r="31" spans="1:26" ht="12.75" customHeight="1">
      <c r="A31" s="322">
        <v>23</v>
      </c>
      <c r="B31" s="334" t="s">
        <v>40</v>
      </c>
      <c r="C31" s="138" t="s">
        <v>41</v>
      </c>
      <c r="D31" s="547">
        <v>75</v>
      </c>
      <c r="E31" s="1055">
        <v>62.14</v>
      </c>
      <c r="F31" s="89">
        <f>D31*E31</f>
        <v>4660.5</v>
      </c>
      <c r="G31" s="121">
        <f>F31/$F$75</f>
        <v>3.0103910871567795E-2</v>
      </c>
      <c r="H31" s="122"/>
      <c r="I31" s="1181">
        <v>75</v>
      </c>
      <c r="J31" s="1055">
        <v>85.54</v>
      </c>
      <c r="K31" s="1147">
        <f t="shared" si="1"/>
        <v>6415.5000000000009</v>
      </c>
      <c r="L31" s="1118">
        <f t="shared" si="0"/>
        <v>3.5963772361684354E-2</v>
      </c>
      <c r="M31" s="495">
        <f>(J31-E31)/E31</f>
        <v>0.37656903765690386</v>
      </c>
      <c r="N31" s="329">
        <f>(J31-Transactions!C1774)/Transactions!C1774</f>
        <v>2.3597800471327575</v>
      </c>
      <c r="O31" s="336"/>
      <c r="P31" s="331"/>
      <c r="Q31" s="327"/>
      <c r="R31" s="327"/>
      <c r="S31" s="309"/>
      <c r="T31" s="328"/>
      <c r="U31" s="5"/>
      <c r="V31" s="5"/>
      <c r="W31" s="5"/>
      <c r="X31" s="5"/>
      <c r="Y31" s="5"/>
      <c r="Z31" s="5"/>
    </row>
    <row r="32" spans="1:26" ht="12.75" customHeight="1">
      <c r="A32" s="322">
        <v>24</v>
      </c>
      <c r="B32" s="334" t="s">
        <v>553</v>
      </c>
      <c r="C32" s="138" t="s">
        <v>554</v>
      </c>
      <c r="D32" s="547"/>
      <c r="E32" s="1055"/>
      <c r="F32" s="89"/>
      <c r="G32" s="121">
        <f>F32/$F$75</f>
        <v>0</v>
      </c>
      <c r="H32" s="122"/>
      <c r="I32" s="1181">
        <v>18</v>
      </c>
      <c r="J32" s="1055">
        <v>134.94999999999999</v>
      </c>
      <c r="K32" s="1147">
        <f t="shared" si="1"/>
        <v>2429.1</v>
      </c>
      <c r="L32" s="1118">
        <f t="shared" si="0"/>
        <v>1.361695884089587E-2</v>
      </c>
      <c r="M32" s="495"/>
      <c r="N32" s="329">
        <f>(J32-Transactions!C642)/Transactions!C642</f>
        <v>-3.5589223183020206E-2</v>
      </c>
      <c r="O32" s="336"/>
      <c r="P32" s="331"/>
      <c r="Q32" s="327"/>
      <c r="R32" s="327"/>
      <c r="S32" s="309"/>
      <c r="T32" s="328"/>
      <c r="U32" s="5"/>
      <c r="V32" s="5"/>
      <c r="W32" s="5"/>
      <c r="X32" s="5"/>
      <c r="Y32" s="5"/>
      <c r="Z32" s="5"/>
    </row>
    <row r="33" spans="1:26" ht="12.75" customHeight="1">
      <c r="A33" s="322">
        <v>25</v>
      </c>
      <c r="B33" s="323" t="s">
        <v>555</v>
      </c>
      <c r="C33" s="138" t="s">
        <v>556</v>
      </c>
      <c r="D33" s="547"/>
      <c r="E33" s="609"/>
      <c r="F33" s="89"/>
      <c r="G33" s="121">
        <v>0</v>
      </c>
      <c r="H33" s="122"/>
      <c r="I33" s="1181">
        <v>10</v>
      </c>
      <c r="J33" s="1055">
        <v>345.07</v>
      </c>
      <c r="K33" s="1147">
        <f t="shared" si="1"/>
        <v>3450.7</v>
      </c>
      <c r="L33" s="1118">
        <f t="shared" si="0"/>
        <v>1.9343806295450735E-2</v>
      </c>
      <c r="M33" s="495"/>
      <c r="N33" s="329">
        <f>(J33-Transactions!C622)/Transactions!C622</f>
        <v>0.24439235485034252</v>
      </c>
      <c r="O33" s="119"/>
      <c r="P33" s="331"/>
      <c r="Q33" s="327"/>
      <c r="R33" s="327"/>
      <c r="S33" s="309"/>
      <c r="T33" s="328"/>
      <c r="U33" s="5"/>
      <c r="V33" s="5"/>
      <c r="W33" s="5"/>
      <c r="X33" s="5"/>
      <c r="Y33" s="5"/>
      <c r="Z33" s="5"/>
    </row>
    <row r="34" spans="1:26" ht="12.75" customHeight="1">
      <c r="A34" s="322">
        <v>26</v>
      </c>
      <c r="B34" s="334" t="s">
        <v>557</v>
      </c>
      <c r="C34" s="138" t="s">
        <v>462</v>
      </c>
      <c r="D34" s="547">
        <v>60</v>
      </c>
      <c r="E34" s="1055">
        <v>31.26</v>
      </c>
      <c r="F34" s="89">
        <f>D34*E34</f>
        <v>1875.6000000000001</v>
      </c>
      <c r="G34" s="121">
        <f t="shared" ref="G34:G43" si="5">F34/$F$75</f>
        <v>1.2115201208177783E-2</v>
      </c>
      <c r="H34" s="122"/>
      <c r="I34" s="1181">
        <v>60</v>
      </c>
      <c r="J34" s="1055">
        <v>27.54</v>
      </c>
      <c r="K34" s="1147">
        <f t="shared" si="1"/>
        <v>1652.3999999999999</v>
      </c>
      <c r="L34" s="1118">
        <f t="shared" si="0"/>
        <v>9.2629627387494692E-3</v>
      </c>
      <c r="M34" s="495">
        <f>(J34-E34)/E34</f>
        <v>-0.11900191938579661</v>
      </c>
      <c r="N34" s="1201">
        <f>(J34-Transactions!C797)/Transactions!C797</f>
        <v>-0.22531645569620248</v>
      </c>
      <c r="O34" s="336"/>
      <c r="P34" s="331"/>
      <c r="Q34" s="327"/>
      <c r="R34" s="327"/>
      <c r="S34" s="309"/>
      <c r="T34" s="328"/>
      <c r="U34" s="5"/>
      <c r="V34" s="5"/>
      <c r="W34" s="5"/>
      <c r="X34" s="5"/>
      <c r="Y34" s="5"/>
      <c r="Z34" s="5"/>
    </row>
    <row r="35" spans="1:26" ht="12.75" customHeight="1">
      <c r="A35" s="322">
        <v>27</v>
      </c>
      <c r="B35" s="334" t="s">
        <v>558</v>
      </c>
      <c r="C35" s="138" t="s">
        <v>559</v>
      </c>
      <c r="D35" s="547"/>
      <c r="E35" s="1055"/>
      <c r="F35" s="89"/>
      <c r="G35" s="121">
        <f t="shared" si="5"/>
        <v>0</v>
      </c>
      <c r="H35" s="122"/>
      <c r="I35" s="1181">
        <v>65</v>
      </c>
      <c r="J35" s="1055">
        <v>20.25</v>
      </c>
      <c r="K35" s="1147">
        <f t="shared" si="1"/>
        <v>1316.25</v>
      </c>
      <c r="L35" s="1118">
        <f t="shared" si="0"/>
        <v>7.3785855149352394E-3</v>
      </c>
      <c r="M35" s="495"/>
      <c r="N35" s="1201">
        <f>(J35-Transactions!C630)/Transactions!C630</f>
        <v>0.31067961165048552</v>
      </c>
      <c r="O35" s="336"/>
      <c r="P35" s="331"/>
      <c r="Q35" s="327"/>
      <c r="R35" s="327"/>
      <c r="S35" s="309"/>
      <c r="T35" s="328"/>
      <c r="U35" s="5"/>
      <c r="V35" s="5"/>
      <c r="W35" s="5"/>
      <c r="X35" s="5"/>
      <c r="Y35" s="5"/>
      <c r="Z35" s="5"/>
    </row>
    <row r="36" spans="1:26" ht="12.75" customHeight="1">
      <c r="A36" s="322">
        <v>28</v>
      </c>
      <c r="B36" s="334" t="s">
        <v>560</v>
      </c>
      <c r="C36" s="138" t="s">
        <v>561</v>
      </c>
      <c r="D36" s="547"/>
      <c r="E36" s="1055"/>
      <c r="F36" s="89"/>
      <c r="G36" s="121">
        <f t="shared" si="5"/>
        <v>0</v>
      </c>
      <c r="H36" s="122"/>
      <c r="I36" s="1181">
        <v>37</v>
      </c>
      <c r="J36" s="1055">
        <v>101.55</v>
      </c>
      <c r="K36" s="1147">
        <f t="shared" si="1"/>
        <v>3757.35</v>
      </c>
      <c r="L36" s="1118">
        <f t="shared" si="0"/>
        <v>2.1062813511522827E-2</v>
      </c>
      <c r="M36" s="495"/>
      <c r="N36" s="1201">
        <f>(J36-Transactions!C672)/Transactions!C672</f>
        <v>0.25711809853924233</v>
      </c>
      <c r="O36" s="336"/>
      <c r="P36" s="331"/>
      <c r="Q36" s="327"/>
      <c r="R36" s="327"/>
      <c r="S36" s="309"/>
      <c r="T36" s="328"/>
      <c r="U36" s="5"/>
      <c r="V36" s="5"/>
      <c r="W36" s="5"/>
      <c r="X36" s="5"/>
      <c r="Y36" s="5"/>
      <c r="Z36" s="5"/>
    </row>
    <row r="37" spans="1:26" ht="12.75" customHeight="1">
      <c r="A37" s="322">
        <v>29</v>
      </c>
      <c r="B37" s="334" t="s">
        <v>256</v>
      </c>
      <c r="C37" s="138" t="s">
        <v>257</v>
      </c>
      <c r="D37" s="547">
        <v>60</v>
      </c>
      <c r="E37" s="1055">
        <v>84.08</v>
      </c>
      <c r="F37" s="89">
        <f t="shared" ref="F37:F43" si="6">D37*E37</f>
        <v>5044.8</v>
      </c>
      <c r="G37" s="121">
        <f t="shared" si="5"/>
        <v>3.2586248163262568E-2</v>
      </c>
      <c r="H37" s="122"/>
      <c r="I37" s="1181">
        <v>60</v>
      </c>
      <c r="J37" s="1055">
        <v>91.88</v>
      </c>
      <c r="K37" s="1147">
        <f t="shared" si="1"/>
        <v>5512.7999999999993</v>
      </c>
      <c r="L37" s="1118">
        <f t="shared" si="0"/>
        <v>3.0903450124774915E-2</v>
      </c>
      <c r="M37" s="495">
        <f t="shared" ref="M37:M43" si="7">(J37-E37)/E37</f>
        <v>9.2768791627021854E-2</v>
      </c>
      <c r="N37" s="329">
        <f>(J37-Transactions!C709)/Transactions!C709</f>
        <v>0.20640756302521007</v>
      </c>
      <c r="O37" s="336"/>
      <c r="P37" s="331"/>
      <c r="Q37" s="327"/>
      <c r="R37" s="327"/>
      <c r="S37" s="309"/>
      <c r="T37" s="328"/>
      <c r="U37" s="5"/>
      <c r="V37" s="5"/>
      <c r="W37" s="5"/>
      <c r="X37" s="5"/>
      <c r="Y37" s="5"/>
      <c r="Z37" s="5"/>
    </row>
    <row r="38" spans="1:26" ht="12.75" customHeight="1">
      <c r="A38" s="322">
        <v>30</v>
      </c>
      <c r="B38" s="334" t="s">
        <v>365</v>
      </c>
      <c r="C38" s="138" t="s">
        <v>80</v>
      </c>
      <c r="D38" s="547">
        <v>60</v>
      </c>
      <c r="E38" s="1055">
        <v>43.88</v>
      </c>
      <c r="F38" s="89">
        <f t="shared" si="6"/>
        <v>2632.8</v>
      </c>
      <c r="G38" s="121">
        <f t="shared" si="5"/>
        <v>1.7006238932016669E-2</v>
      </c>
      <c r="H38" s="122"/>
      <c r="I38" s="1181">
        <v>60</v>
      </c>
      <c r="J38" s="1055">
        <v>51.5</v>
      </c>
      <c r="K38" s="1147">
        <f t="shared" si="1"/>
        <v>3090</v>
      </c>
      <c r="L38" s="1118">
        <f t="shared" si="0"/>
        <v>1.7321807590617199E-2</v>
      </c>
      <c r="M38" s="495">
        <f t="shared" si="7"/>
        <v>0.17365542388331806</v>
      </c>
      <c r="N38" s="329">
        <f>(J38-Transactions!C953)/Transactions!C953</f>
        <v>0.55213984327908383</v>
      </c>
      <c r="O38" s="336"/>
      <c r="P38" s="331"/>
      <c r="Q38" s="327"/>
      <c r="R38" s="327"/>
      <c r="S38" s="309"/>
      <c r="T38" s="328"/>
      <c r="U38" s="5"/>
      <c r="V38" s="5"/>
      <c r="W38" s="5"/>
      <c r="X38" s="5"/>
      <c r="Y38" s="5"/>
      <c r="Z38" s="5"/>
    </row>
    <row r="39" spans="1:26" ht="12.75" customHeight="1">
      <c r="A39" s="322">
        <v>31</v>
      </c>
      <c r="B39" s="323" t="s">
        <v>469</v>
      </c>
      <c r="C39" s="138" t="s">
        <v>470</v>
      </c>
      <c r="D39" s="547">
        <v>19</v>
      </c>
      <c r="E39" s="1055">
        <v>104.22</v>
      </c>
      <c r="F39" s="127">
        <f t="shared" si="6"/>
        <v>1980.18</v>
      </c>
      <c r="G39" s="121">
        <f t="shared" si="5"/>
        <v>1.2790722503950459E-2</v>
      </c>
      <c r="H39" s="122"/>
      <c r="I39" s="1181">
        <v>28</v>
      </c>
      <c r="J39" s="1055">
        <v>107.51</v>
      </c>
      <c r="K39" s="1147">
        <f t="shared" si="1"/>
        <v>3010.28</v>
      </c>
      <c r="L39" s="1118">
        <f t="shared" si="0"/>
        <v>1.6874916166305227E-2</v>
      </c>
      <c r="M39" s="1279">
        <f t="shared" si="7"/>
        <v>3.1567837267319196E-2</v>
      </c>
      <c r="N39" s="1280">
        <f>(J39-Transactions!G651)/Transactions!G651</f>
        <v>-0.96494932257580834</v>
      </c>
      <c r="O39" s="1281"/>
      <c r="P39" s="956"/>
      <c r="Q39" s="328"/>
      <c r="R39" s="328"/>
      <c r="S39" s="309"/>
      <c r="T39" s="328"/>
      <c r="U39" s="5"/>
      <c r="V39" s="5"/>
      <c r="W39" s="5"/>
      <c r="X39" s="5"/>
      <c r="Y39" s="5"/>
      <c r="Z39" s="5"/>
    </row>
    <row r="40" spans="1:26" ht="12.75" customHeight="1">
      <c r="A40" s="322">
        <v>32</v>
      </c>
      <c r="B40" s="334" t="s">
        <v>422</v>
      </c>
      <c r="C40" s="138" t="s">
        <v>173</v>
      </c>
      <c r="D40" s="547">
        <v>40</v>
      </c>
      <c r="E40" s="1055">
        <v>160.04</v>
      </c>
      <c r="F40" s="89">
        <f t="shared" si="6"/>
        <v>6401.5999999999995</v>
      </c>
      <c r="G40" s="121">
        <f t="shared" si="5"/>
        <v>4.1350326324520625E-2</v>
      </c>
      <c r="H40" s="122"/>
      <c r="I40" s="1181">
        <v>40</v>
      </c>
      <c r="J40" s="1055">
        <v>220.46</v>
      </c>
      <c r="K40" s="1147">
        <f t="shared" si="1"/>
        <v>8818.4</v>
      </c>
      <c r="L40" s="1118">
        <f t="shared" si="0"/>
        <v>4.9433860212653301E-2</v>
      </c>
      <c r="M40" s="495">
        <f t="shared" si="7"/>
        <v>0.37753061734566368</v>
      </c>
      <c r="N40" s="329">
        <f>(J40-Transactions!C1058)/Transactions!C1058</f>
        <v>2.7569870483980914</v>
      </c>
      <c r="O40" s="336"/>
      <c r="P40" s="331"/>
      <c r="Q40" s="327"/>
      <c r="R40" s="327"/>
      <c r="S40" s="309"/>
      <c r="T40" s="328"/>
      <c r="U40" s="5"/>
      <c r="V40" s="5"/>
      <c r="W40" s="5"/>
      <c r="X40" s="5"/>
      <c r="Y40" s="5"/>
      <c r="Z40" s="5"/>
    </row>
    <row r="41" spans="1:26" ht="12.75" customHeight="1">
      <c r="A41" s="322">
        <v>33</v>
      </c>
      <c r="B41" s="334" t="s">
        <v>503</v>
      </c>
      <c r="C41" s="138" t="s">
        <v>562</v>
      </c>
      <c r="D41" s="547">
        <v>5</v>
      </c>
      <c r="E41" s="1055">
        <v>28.07</v>
      </c>
      <c r="F41" s="89">
        <f t="shared" si="6"/>
        <v>140.35</v>
      </c>
      <c r="G41" s="121">
        <f t="shared" si="5"/>
        <v>9.0657309104699919E-4</v>
      </c>
      <c r="H41" s="122"/>
      <c r="I41" s="1181">
        <v>32</v>
      </c>
      <c r="J41" s="1055">
        <v>37.85</v>
      </c>
      <c r="K41" s="1147">
        <f t="shared" si="1"/>
        <v>1211.2</v>
      </c>
      <c r="L41" s="1118">
        <f t="shared" si="0"/>
        <v>6.7897001144839979E-3</v>
      </c>
      <c r="M41" s="495">
        <f t="shared" si="7"/>
        <v>0.348414677591735</v>
      </c>
      <c r="N41" s="329">
        <f>(J41-Transactions!C614)/Transactions!C614</f>
        <v>-1.5348595213319364E-2</v>
      </c>
      <c r="O41" s="336"/>
      <c r="P41" s="331"/>
      <c r="Q41" s="327"/>
      <c r="R41" s="327"/>
      <c r="S41" s="309"/>
      <c r="T41" s="328"/>
      <c r="U41" s="5"/>
      <c r="V41" s="5"/>
      <c r="W41" s="5"/>
      <c r="X41" s="5"/>
      <c r="Y41" s="5"/>
      <c r="Z41" s="5"/>
    </row>
    <row r="42" spans="1:26" ht="12.75" customHeight="1">
      <c r="A42" s="322">
        <v>34</v>
      </c>
      <c r="B42" s="334" t="s">
        <v>467</v>
      </c>
      <c r="C42" s="138" t="s">
        <v>468</v>
      </c>
      <c r="D42" s="547">
        <v>40</v>
      </c>
      <c r="E42" s="1055">
        <v>78.02</v>
      </c>
      <c r="F42" s="89">
        <f t="shared" si="6"/>
        <v>3120.7999999999997</v>
      </c>
      <c r="G42" s="121">
        <f t="shared" si="5"/>
        <v>2.01584132706767E-2</v>
      </c>
      <c r="H42" s="122"/>
      <c r="I42" s="1181">
        <v>40</v>
      </c>
      <c r="J42" s="1055">
        <v>114.02</v>
      </c>
      <c r="K42" s="1147">
        <f t="shared" si="1"/>
        <v>4560.8</v>
      </c>
      <c r="L42" s="1118">
        <f t="shared" si="0"/>
        <v>2.5566763773232016E-2</v>
      </c>
      <c r="M42" s="495">
        <f t="shared" si="7"/>
        <v>0.46142014867982573</v>
      </c>
      <c r="N42" s="329">
        <f>(J42-Transactions!C853)/Transactions!C853</f>
        <v>0.73678598629093661</v>
      </c>
      <c r="O42" s="1282"/>
      <c r="P42" s="331"/>
      <c r="Q42" s="327"/>
      <c r="R42" s="327"/>
      <c r="S42" s="309"/>
      <c r="T42" s="328"/>
      <c r="U42" s="5"/>
      <c r="V42" s="5"/>
      <c r="W42" s="5"/>
      <c r="X42" s="5"/>
      <c r="Y42" s="5"/>
      <c r="Z42" s="5"/>
    </row>
    <row r="43" spans="1:26" ht="12.75" customHeight="1">
      <c r="A43" s="322">
        <v>35</v>
      </c>
      <c r="B43" s="334" t="s">
        <v>426</v>
      </c>
      <c r="C43" s="138" t="s">
        <v>310</v>
      </c>
      <c r="D43" s="547">
        <v>30</v>
      </c>
      <c r="E43" s="1055">
        <v>55.11</v>
      </c>
      <c r="F43" s="89">
        <f t="shared" si="6"/>
        <v>1653.3</v>
      </c>
      <c r="G43" s="121">
        <f t="shared" si="5"/>
        <v>1.067928244693982E-2</v>
      </c>
      <c r="H43" s="122"/>
      <c r="I43" s="1181">
        <v>54</v>
      </c>
      <c r="J43" s="1055">
        <v>60.67</v>
      </c>
      <c r="K43" s="1147">
        <f t="shared" si="1"/>
        <v>3276.1800000000003</v>
      </c>
      <c r="L43" s="1118">
        <f t="shared" si="0"/>
        <v>1.8365488541174195E-2</v>
      </c>
      <c r="M43" s="495">
        <f t="shared" si="7"/>
        <v>0.10088913082925063</v>
      </c>
      <c r="N43" s="329">
        <f>(J43-Transactions!G642)/Transactions!G642</f>
        <v>-0.97797502359689248</v>
      </c>
      <c r="O43" s="336"/>
      <c r="P43" s="331"/>
      <c r="Q43" s="327"/>
      <c r="R43" s="327"/>
      <c r="S43" s="309"/>
      <c r="T43" s="328"/>
      <c r="U43" s="5"/>
      <c r="V43" s="5"/>
      <c r="W43" s="5"/>
      <c r="X43" s="5"/>
      <c r="Y43" s="5"/>
      <c r="Z43" s="5"/>
    </row>
    <row r="44" spans="1:26" ht="12.75" customHeight="1">
      <c r="A44" s="322"/>
      <c r="B44" s="1183" t="s">
        <v>375</v>
      </c>
      <c r="C44" s="138"/>
      <c r="D44" s="1283"/>
      <c r="E44" s="1055"/>
      <c r="F44" s="120"/>
      <c r="G44" s="131"/>
      <c r="H44" s="122"/>
      <c r="I44" s="1181"/>
      <c r="J44" s="1055"/>
      <c r="K44" s="1096">
        <f>SUM(K9:K43)</f>
        <v>129030.5</v>
      </c>
      <c r="L44" s="1184">
        <f t="shared" si="0"/>
        <v>0.72331439945667719</v>
      </c>
      <c r="M44" s="495"/>
      <c r="N44" s="1284"/>
      <c r="O44" s="336"/>
      <c r="P44" s="326"/>
      <c r="Q44" s="327"/>
      <c r="R44" s="328"/>
      <c r="S44" s="309"/>
      <c r="T44" s="328"/>
      <c r="U44" s="5"/>
      <c r="V44" s="5"/>
      <c r="W44" s="5"/>
      <c r="X44" s="5"/>
      <c r="Y44" s="5"/>
      <c r="Z44" s="5"/>
    </row>
    <row r="45" spans="1:26" ht="12.75" customHeight="1">
      <c r="A45" s="322"/>
      <c r="B45" s="913"/>
      <c r="C45" s="138"/>
      <c r="D45" s="1283"/>
      <c r="E45" s="74"/>
      <c r="F45" s="89"/>
      <c r="G45" s="121"/>
      <c r="H45" s="122"/>
      <c r="I45" s="1181"/>
      <c r="J45" s="1055"/>
      <c r="K45" s="1147"/>
      <c r="L45" s="1118"/>
      <c r="M45" s="495"/>
      <c r="N45" s="1284"/>
      <c r="O45" s="336"/>
      <c r="P45" s="326"/>
      <c r="Q45" s="327"/>
      <c r="R45" s="328"/>
      <c r="S45" s="309"/>
      <c r="T45" s="328"/>
      <c r="U45" s="5"/>
      <c r="V45" s="5"/>
      <c r="W45" s="5"/>
      <c r="X45" s="5"/>
      <c r="Y45" s="5"/>
      <c r="Z45" s="5"/>
    </row>
    <row r="46" spans="1:26" ht="12.75" customHeight="1">
      <c r="A46" s="322"/>
      <c r="B46" s="1183" t="s">
        <v>563</v>
      </c>
      <c r="C46" s="138"/>
      <c r="D46" s="1283"/>
      <c r="E46" s="74"/>
      <c r="F46" s="89"/>
      <c r="G46" s="121"/>
      <c r="H46" s="122"/>
      <c r="I46" s="1181"/>
      <c r="J46" s="1055" t="s">
        <v>564</v>
      </c>
      <c r="K46" s="1147"/>
      <c r="L46" s="1118"/>
      <c r="M46" s="495"/>
      <c r="N46" s="1284"/>
      <c r="O46" s="336"/>
      <c r="P46" s="326"/>
      <c r="Q46" s="327"/>
      <c r="R46" s="328"/>
      <c r="S46" s="309"/>
      <c r="T46" s="328"/>
      <c r="U46" s="5"/>
      <c r="V46" s="5"/>
      <c r="W46" s="5"/>
      <c r="X46" s="5"/>
      <c r="Y46" s="5"/>
      <c r="Z46" s="5"/>
    </row>
    <row r="47" spans="1:26" ht="12.75" customHeight="1">
      <c r="A47" s="322">
        <v>36</v>
      </c>
      <c r="B47" s="334" t="s">
        <v>367</v>
      </c>
      <c r="C47" s="138" t="s">
        <v>368</v>
      </c>
      <c r="D47" s="130">
        <v>254</v>
      </c>
      <c r="E47" s="74">
        <v>39.18</v>
      </c>
      <c r="F47" s="89">
        <f>D47*E47</f>
        <v>9951.7199999999993</v>
      </c>
      <c r="G47" s="121">
        <f>F47/$F$75</f>
        <v>6.4281877888380773E-2</v>
      </c>
      <c r="H47" s="122"/>
      <c r="I47" s="1181">
        <v>254</v>
      </c>
      <c r="J47" s="1055">
        <v>42.43</v>
      </c>
      <c r="K47" s="1147">
        <f>I47*J47</f>
        <v>10777.22</v>
      </c>
      <c r="L47" s="1118">
        <f>K47/$K$75</f>
        <v>6.0414540841990771E-2</v>
      </c>
      <c r="M47" s="495">
        <f>(J47-E47)/E47</f>
        <v>8.2950484941296587E-2</v>
      </c>
      <c r="N47" s="329">
        <f>(J47-Transactions!C965)/Transactions!C965</f>
        <v>0.33134609350486344</v>
      </c>
      <c r="O47" s="336"/>
      <c r="P47" s="331"/>
      <c r="Q47" s="327"/>
      <c r="R47" s="327"/>
      <c r="S47" s="309"/>
      <c r="T47" s="328"/>
      <c r="U47" s="5"/>
      <c r="V47" s="5"/>
      <c r="W47" s="5"/>
      <c r="X47" s="5"/>
      <c r="Y47" s="5"/>
      <c r="Z47" s="5"/>
    </row>
    <row r="48" spans="1:26" ht="12.75" customHeight="1">
      <c r="A48" s="322">
        <v>37</v>
      </c>
      <c r="B48" s="334" t="s">
        <v>565</v>
      </c>
      <c r="C48" s="138" t="s">
        <v>566</v>
      </c>
      <c r="D48" s="130"/>
      <c r="E48" s="74"/>
      <c r="F48" s="89"/>
      <c r="G48" s="121"/>
      <c r="H48" s="128"/>
      <c r="I48" s="1285">
        <v>37.798999999999999</v>
      </c>
      <c r="J48" s="129">
        <v>246.82</v>
      </c>
      <c r="K48" s="1147">
        <f>I48*J48</f>
        <v>9329.54918</v>
      </c>
      <c r="L48" s="1118">
        <f>K48/$K$75</f>
        <v>5.2299241360246107E-2</v>
      </c>
      <c r="M48" s="495"/>
      <c r="N48" s="329">
        <f>(J48-Transactions!C587)/Transactions!C587</f>
        <v>-6.6806181584030773E-3</v>
      </c>
      <c r="O48" s="336"/>
      <c r="P48" s="331"/>
      <c r="Q48" s="327"/>
      <c r="R48" s="327"/>
      <c r="S48" s="309"/>
      <c r="T48" s="328"/>
      <c r="U48" s="5"/>
      <c r="V48" s="5"/>
      <c r="W48" s="5"/>
      <c r="X48" s="5"/>
      <c r="Y48" s="5"/>
      <c r="Z48" s="5"/>
    </row>
    <row r="49" spans="1:26" ht="12.75" customHeight="1">
      <c r="A49" s="322">
        <v>38</v>
      </c>
      <c r="B49" s="334" t="s">
        <v>371</v>
      </c>
      <c r="C49" s="138" t="s">
        <v>372</v>
      </c>
      <c r="D49" s="130">
        <v>81</v>
      </c>
      <c r="E49" s="74">
        <v>75.77</v>
      </c>
      <c r="F49" s="89">
        <f>D49*E49</f>
        <v>6137.37</v>
      </c>
      <c r="G49" s="121">
        <f>F49/$F$75</f>
        <v>3.9643566026356401E-2</v>
      </c>
      <c r="H49" s="122"/>
      <c r="I49" s="1181">
        <v>81</v>
      </c>
      <c r="J49" s="1055">
        <v>85.63</v>
      </c>
      <c r="K49" s="1147">
        <f>I49*J49</f>
        <v>6936.03</v>
      </c>
      <c r="L49" s="1118">
        <f>K49/$K$75</f>
        <v>3.8881740162701815E-2</v>
      </c>
      <c r="M49" s="495">
        <f>(J49-E49)/E49</f>
        <v>0.13013065857199418</v>
      </c>
      <c r="N49" s="329">
        <f>(J49-Transactions!C961)/Transactions!C961</f>
        <v>0.38964621876014277</v>
      </c>
      <c r="O49" s="336"/>
      <c r="P49" s="331"/>
      <c r="Q49" s="327"/>
      <c r="R49" s="327"/>
      <c r="S49" s="309"/>
      <c r="T49" s="328"/>
      <c r="U49" s="5"/>
      <c r="V49" s="5"/>
      <c r="W49" s="5"/>
      <c r="X49" s="5"/>
      <c r="Y49" s="5"/>
      <c r="Z49" s="5"/>
    </row>
    <row r="50" spans="1:26" ht="12.75" customHeight="1">
      <c r="A50" s="322"/>
      <c r="B50" s="1183" t="s">
        <v>375</v>
      </c>
      <c r="C50" s="138"/>
      <c r="D50" s="1283"/>
      <c r="E50" s="74"/>
      <c r="F50" s="75"/>
      <c r="G50" s="131"/>
      <c r="H50" s="122"/>
      <c r="I50" s="1181"/>
      <c r="J50" s="1055"/>
      <c r="K50" s="1096">
        <f>SUM(K47:K49)</f>
        <v>27042.799179999998</v>
      </c>
      <c r="L50" s="1184">
        <f>K50/$K$75</f>
        <v>0.1515955223649387</v>
      </c>
      <c r="M50" s="495"/>
      <c r="N50" s="1284"/>
      <c r="O50" s="336"/>
      <c r="P50" s="326"/>
      <c r="Q50" s="327"/>
      <c r="R50" s="328"/>
      <c r="S50" s="309"/>
      <c r="T50" s="328"/>
      <c r="U50" s="5"/>
      <c r="V50" s="5"/>
      <c r="W50" s="5"/>
      <c r="X50" s="5"/>
      <c r="Y50" s="5"/>
      <c r="Z50" s="5"/>
    </row>
    <row r="51" spans="1:26" ht="12.75" customHeight="1">
      <c r="A51" s="322"/>
      <c r="B51" s="913"/>
      <c r="C51" s="138"/>
      <c r="D51" s="1283"/>
      <c r="E51" s="74"/>
      <c r="F51" s="89"/>
      <c r="G51" s="121"/>
      <c r="H51" s="122"/>
      <c r="I51" s="1181"/>
      <c r="J51" s="1055"/>
      <c r="K51" s="1147"/>
      <c r="L51" s="1118"/>
      <c r="M51" s="495"/>
      <c r="N51" s="1284"/>
      <c r="O51" s="336"/>
      <c r="P51" s="326"/>
      <c r="Q51" s="327"/>
      <c r="R51" s="328"/>
      <c r="S51" s="309"/>
      <c r="T51" s="328"/>
      <c r="U51" s="5"/>
      <c r="V51" s="5"/>
      <c r="W51" s="5"/>
      <c r="X51" s="5"/>
      <c r="Y51" s="5"/>
      <c r="Z51" s="5"/>
    </row>
    <row r="52" spans="1:26" ht="12.75" customHeight="1">
      <c r="A52" s="322"/>
      <c r="B52" s="1183" t="s">
        <v>567</v>
      </c>
      <c r="C52" s="138"/>
      <c r="D52" s="1283"/>
      <c r="E52" s="74"/>
      <c r="F52" s="89"/>
      <c r="G52" s="121"/>
      <c r="H52" s="122"/>
      <c r="I52" s="1181"/>
      <c r="J52" s="1055"/>
      <c r="K52" s="1147"/>
      <c r="L52" s="1118"/>
      <c r="M52" s="495"/>
      <c r="N52" s="1284"/>
      <c r="O52" s="336"/>
      <c r="P52" s="326"/>
      <c r="Q52" s="327"/>
      <c r="R52" s="328"/>
      <c r="S52" s="309"/>
      <c r="T52" s="328"/>
      <c r="U52" s="5"/>
      <c r="V52" s="5"/>
      <c r="W52" s="5"/>
      <c r="X52" s="5"/>
      <c r="Y52" s="5"/>
      <c r="Z52" s="5"/>
    </row>
    <row r="53" spans="1:26" ht="12.75" customHeight="1">
      <c r="A53" s="322">
        <v>39</v>
      </c>
      <c r="B53" s="160" t="s">
        <v>568</v>
      </c>
      <c r="C53" s="138" t="s">
        <v>569</v>
      </c>
      <c r="D53" s="130"/>
      <c r="E53" s="74"/>
      <c r="F53" s="75"/>
      <c r="G53" s="131">
        <v>0</v>
      </c>
      <c r="H53" s="122"/>
      <c r="I53" s="1181">
        <v>400</v>
      </c>
      <c r="J53" s="1055">
        <v>24.48</v>
      </c>
      <c r="K53" s="1147">
        <f>I53*J53</f>
        <v>9792</v>
      </c>
      <c r="L53" s="1118">
        <f>K53/$K$75</f>
        <v>5.4891631044441301E-2</v>
      </c>
      <c r="M53" s="495"/>
      <c r="N53" s="329">
        <f>(J53-Transactions!C595)/Transactions!C595</f>
        <v>-4.4652660859380673E-3</v>
      </c>
      <c r="O53" s="336"/>
      <c r="P53" s="326"/>
      <c r="Q53" s="327"/>
      <c r="R53" s="328"/>
      <c r="S53" s="309"/>
      <c r="T53" s="328"/>
      <c r="U53" s="5"/>
      <c r="V53" s="5"/>
      <c r="W53" s="5"/>
      <c r="X53" s="5"/>
      <c r="Y53" s="5"/>
      <c r="Z53" s="5"/>
    </row>
    <row r="54" spans="1:26" ht="12.75" customHeight="1">
      <c r="A54" s="322"/>
      <c r="B54" s="69"/>
      <c r="C54" s="335"/>
      <c r="D54" s="130"/>
      <c r="E54" s="74"/>
      <c r="F54" s="89"/>
      <c r="G54" s="121"/>
      <c r="H54" s="122"/>
      <c r="I54" s="1181"/>
      <c r="J54" s="1055"/>
      <c r="K54" s="1147"/>
      <c r="L54" s="1118"/>
      <c r="M54" s="495"/>
      <c r="N54" s="329"/>
      <c r="O54" s="336"/>
      <c r="P54" s="331"/>
      <c r="Q54" s="327"/>
      <c r="R54" s="327"/>
      <c r="S54" s="309"/>
      <c r="T54" s="328"/>
      <c r="U54" s="5"/>
      <c r="V54" s="5"/>
      <c r="W54" s="5"/>
      <c r="X54" s="5"/>
      <c r="Y54" s="5"/>
      <c r="Z54" s="5"/>
    </row>
    <row r="55" spans="1:26" ht="12.75" customHeight="1">
      <c r="A55" s="322"/>
      <c r="B55" s="1183" t="s">
        <v>375</v>
      </c>
      <c r="C55" s="138"/>
      <c r="D55" s="1283"/>
      <c r="E55" s="74"/>
      <c r="F55" s="75"/>
      <c r="G55" s="131"/>
      <c r="H55" s="122"/>
      <c r="I55" s="1181"/>
      <c r="J55" s="1055"/>
      <c r="K55" s="1096">
        <f>SUM(K54+K53)</f>
        <v>9792</v>
      </c>
      <c r="L55" s="1184">
        <f>K55/$K$75</f>
        <v>5.4891631044441301E-2</v>
      </c>
      <c r="M55" s="495"/>
      <c r="N55" s="1284"/>
      <c r="O55" s="327"/>
      <c r="P55" s="326"/>
      <c r="Q55" s="327"/>
      <c r="R55" s="328"/>
      <c r="S55" s="309"/>
      <c r="T55" s="328"/>
      <c r="U55" s="5"/>
      <c r="V55" s="5"/>
      <c r="W55" s="5"/>
      <c r="X55" s="5"/>
      <c r="Y55" s="5"/>
      <c r="Z55" s="5"/>
    </row>
    <row r="56" spans="1:26" ht="12.75" customHeight="1">
      <c r="A56" s="322"/>
      <c r="B56" s="323"/>
      <c r="C56" s="323"/>
      <c r="D56" s="946"/>
      <c r="E56" s="964"/>
      <c r="F56" s="948"/>
      <c r="G56" s="949"/>
      <c r="H56" s="950"/>
      <c r="I56" s="950"/>
      <c r="J56" s="1032"/>
      <c r="K56" s="1056"/>
      <c r="L56" s="1031"/>
      <c r="M56" s="895"/>
      <c r="N56" s="329"/>
      <c r="O56" s="325"/>
      <c r="P56" s="326"/>
      <c r="Q56" s="327"/>
      <c r="R56" s="309"/>
      <c r="S56" s="309"/>
      <c r="T56" s="328"/>
      <c r="U56" s="5"/>
      <c r="V56" s="5"/>
      <c r="W56" s="5"/>
      <c r="X56" s="5"/>
      <c r="Y56" s="5"/>
      <c r="Z56" s="5"/>
    </row>
    <row r="57" spans="1:26" ht="12.75" customHeight="1">
      <c r="A57" s="46"/>
      <c r="B57" s="1122" t="s">
        <v>52</v>
      </c>
      <c r="C57" s="1123"/>
      <c r="D57" s="946"/>
      <c r="E57" s="964"/>
      <c r="F57" s="1005"/>
      <c r="G57" s="949"/>
      <c r="H57" s="1007"/>
      <c r="I57" s="1007"/>
      <c r="J57" s="1032"/>
      <c r="K57" s="1056"/>
      <c r="L57" s="1031"/>
      <c r="M57" s="895"/>
      <c r="N57" s="895"/>
      <c r="O57" s="1286"/>
      <c r="P57" s="326"/>
      <c r="Q57" s="327"/>
      <c r="R57" s="309"/>
      <c r="S57" s="309"/>
      <c r="T57" s="328"/>
      <c r="U57" s="5"/>
      <c r="V57" s="5"/>
      <c r="W57" s="5"/>
      <c r="X57" s="5"/>
      <c r="Y57" s="5"/>
      <c r="Z57" s="5"/>
    </row>
    <row r="58" spans="1:26" ht="12.75" customHeight="1">
      <c r="A58" s="1121"/>
      <c r="B58" s="323" t="s">
        <v>570</v>
      </c>
      <c r="C58" s="313" t="s">
        <v>8</v>
      </c>
      <c r="D58" s="1287" t="s">
        <v>9</v>
      </c>
      <c r="E58" s="1185" t="s">
        <v>436</v>
      </c>
      <c r="F58" s="1058" t="s">
        <v>437</v>
      </c>
      <c r="G58" s="1185" t="s">
        <v>438</v>
      </c>
      <c r="H58" s="1055" t="s">
        <v>439</v>
      </c>
      <c r="I58" s="1207" t="s">
        <v>440</v>
      </c>
      <c r="J58" s="1207" t="s">
        <v>15</v>
      </c>
      <c r="K58" s="1081" t="s">
        <v>508</v>
      </c>
      <c r="L58" s="1129"/>
      <c r="M58" s="132"/>
      <c r="N58" s="132"/>
      <c r="O58" s="1286"/>
      <c r="P58" s="326"/>
      <c r="Q58" s="327"/>
      <c r="R58" s="309"/>
      <c r="S58" s="309"/>
      <c r="T58" s="328"/>
      <c r="U58" s="5"/>
      <c r="V58" s="5"/>
      <c r="W58" s="5"/>
      <c r="X58" s="5"/>
      <c r="Y58" s="5"/>
      <c r="Z58" s="5"/>
    </row>
    <row r="59" spans="1:26" ht="12.75" customHeight="1">
      <c r="A59" s="322">
        <v>1</v>
      </c>
      <c r="B59" s="334" t="s">
        <v>571</v>
      </c>
      <c r="C59" s="138" t="s">
        <v>285</v>
      </c>
      <c r="D59" s="130">
        <v>28</v>
      </c>
      <c r="E59" s="74">
        <v>83.53</v>
      </c>
      <c r="F59" s="1058">
        <v>84.3</v>
      </c>
      <c r="G59" s="1058">
        <f t="shared" ref="G59:G67" si="8">(E59*D59)-9.99</f>
        <v>2328.8500000000004</v>
      </c>
      <c r="H59" s="1055">
        <f t="shared" ref="H59:H68" si="9">(F59*D59)+9.99</f>
        <v>2370.39</v>
      </c>
      <c r="I59" s="1230">
        <f t="shared" ref="I59:I69" si="10">G59-H59</f>
        <v>-41.539999999999509</v>
      </c>
      <c r="J59" s="356">
        <f t="shared" ref="J59:J69" si="11">(E59-F59)/F59</f>
        <v>-9.1340450771055289E-3</v>
      </c>
      <c r="K59" s="1288" t="s">
        <v>572</v>
      </c>
      <c r="L59" s="1289"/>
      <c r="M59" s="2026" t="s">
        <v>573</v>
      </c>
      <c r="N59" s="2000"/>
      <c r="O59" s="325"/>
      <c r="P59" s="326"/>
      <c r="Q59" s="327"/>
      <c r="R59" s="309"/>
      <c r="S59" s="309"/>
      <c r="T59" s="328"/>
      <c r="U59" s="5"/>
      <c r="V59" s="5"/>
      <c r="W59" s="5"/>
      <c r="X59" s="5"/>
      <c r="Y59" s="5"/>
      <c r="Z59" s="5"/>
    </row>
    <row r="60" spans="1:26" ht="12.75" customHeight="1">
      <c r="A60" s="322">
        <v>2</v>
      </c>
      <c r="B60" s="323" t="s">
        <v>574</v>
      </c>
      <c r="C60" s="138" t="s">
        <v>173</v>
      </c>
      <c r="D60" s="130">
        <v>20</v>
      </c>
      <c r="E60" s="74">
        <v>165.03</v>
      </c>
      <c r="F60" s="1058">
        <v>58.5</v>
      </c>
      <c r="G60" s="1058">
        <f t="shared" si="8"/>
        <v>3290.61</v>
      </c>
      <c r="H60" s="1055">
        <f t="shared" si="9"/>
        <v>1179.99</v>
      </c>
      <c r="I60" s="1147">
        <f t="shared" si="10"/>
        <v>2110.62</v>
      </c>
      <c r="J60" s="356">
        <f t="shared" si="11"/>
        <v>1.8210256410256411</v>
      </c>
      <c r="K60" s="1288" t="s">
        <v>575</v>
      </c>
      <c r="L60" s="1289"/>
      <c r="M60" s="895"/>
      <c r="N60" s="329"/>
      <c r="O60" s="325"/>
      <c r="P60" s="326"/>
      <c r="Q60" s="327"/>
      <c r="R60" s="309"/>
      <c r="S60" s="309"/>
      <c r="T60" s="328"/>
      <c r="U60" s="5"/>
      <c r="V60" s="5"/>
      <c r="W60" s="5"/>
      <c r="X60" s="5"/>
      <c r="Y60" s="5"/>
      <c r="Z60" s="5"/>
    </row>
    <row r="61" spans="1:26" ht="12.75" customHeight="1">
      <c r="A61" s="322">
        <v>3</v>
      </c>
      <c r="B61" s="334" t="s">
        <v>576</v>
      </c>
      <c r="C61" s="138" t="s">
        <v>456</v>
      </c>
      <c r="D61" s="130">
        <v>12</v>
      </c>
      <c r="E61" s="74">
        <v>77.739999999999995</v>
      </c>
      <c r="F61" s="1058">
        <v>101.48</v>
      </c>
      <c r="G61" s="1058">
        <f t="shared" si="8"/>
        <v>922.88999999999987</v>
      </c>
      <c r="H61" s="1055">
        <f t="shared" si="9"/>
        <v>1227.75</v>
      </c>
      <c r="I61" s="1230">
        <f t="shared" si="10"/>
        <v>-304.86000000000013</v>
      </c>
      <c r="J61" s="356">
        <f t="shared" si="11"/>
        <v>-0.23393772171856531</v>
      </c>
      <c r="K61" s="133" t="s">
        <v>575</v>
      </c>
      <c r="L61" s="1031"/>
      <c r="M61" s="895"/>
      <c r="N61" s="329"/>
      <c r="O61" s="325"/>
      <c r="P61" s="326"/>
      <c r="Q61" s="327"/>
      <c r="R61" s="309"/>
      <c r="S61" s="309"/>
      <c r="T61" s="328"/>
      <c r="U61" s="5"/>
      <c r="V61" s="5"/>
      <c r="W61" s="5"/>
      <c r="X61" s="5"/>
      <c r="Y61" s="5"/>
      <c r="Z61" s="5"/>
    </row>
    <row r="62" spans="1:26" ht="12.75" customHeight="1">
      <c r="A62" s="322">
        <v>4</v>
      </c>
      <c r="B62" s="334" t="s">
        <v>577</v>
      </c>
      <c r="C62" s="138" t="s">
        <v>460</v>
      </c>
      <c r="D62" s="130">
        <v>120</v>
      </c>
      <c r="E62" s="74">
        <v>21.11</v>
      </c>
      <c r="F62" s="1058">
        <v>38.619999999999997</v>
      </c>
      <c r="G62" s="1058">
        <f t="shared" si="8"/>
        <v>2523.21</v>
      </c>
      <c r="H62" s="1055">
        <f t="shared" si="9"/>
        <v>4644.3899999999994</v>
      </c>
      <c r="I62" s="1230">
        <f t="shared" si="10"/>
        <v>-2121.1799999999994</v>
      </c>
      <c r="J62" s="356">
        <f t="shared" si="11"/>
        <v>-0.45339202485758673</v>
      </c>
      <c r="K62" s="133" t="s">
        <v>575</v>
      </c>
      <c r="L62" s="1031"/>
      <c r="M62" s="895"/>
      <c r="N62" s="329"/>
      <c r="O62" s="325"/>
      <c r="P62" s="326"/>
      <c r="Q62" s="327"/>
      <c r="R62" s="309"/>
      <c r="S62" s="309"/>
      <c r="T62" s="328"/>
      <c r="U62" s="5"/>
      <c r="V62" s="5"/>
      <c r="W62" s="5"/>
      <c r="X62" s="5"/>
      <c r="Y62" s="5"/>
      <c r="Z62" s="5"/>
    </row>
    <row r="63" spans="1:26" ht="12.75" customHeight="1">
      <c r="A63" s="322">
        <v>5</v>
      </c>
      <c r="B63" s="334" t="s">
        <v>578</v>
      </c>
      <c r="C63" s="138" t="s">
        <v>472</v>
      </c>
      <c r="D63" s="130">
        <v>22</v>
      </c>
      <c r="E63" s="74">
        <v>56.25</v>
      </c>
      <c r="F63" s="1058">
        <v>45.2</v>
      </c>
      <c r="G63" s="1058">
        <f t="shared" si="8"/>
        <v>1227.51</v>
      </c>
      <c r="H63" s="1055">
        <f t="shared" si="9"/>
        <v>1004.3900000000001</v>
      </c>
      <c r="I63" s="1147">
        <f t="shared" si="10"/>
        <v>223.11999999999989</v>
      </c>
      <c r="J63" s="356">
        <f t="shared" si="11"/>
        <v>0.24446902654867247</v>
      </c>
      <c r="K63" s="133" t="s">
        <v>579</v>
      </c>
      <c r="L63" s="1031"/>
      <c r="M63" s="895"/>
      <c r="N63" s="329"/>
      <c r="O63" s="325"/>
      <c r="P63" s="326"/>
      <c r="Q63" s="327"/>
      <c r="R63" s="309"/>
      <c r="S63" s="309"/>
      <c r="T63" s="328"/>
      <c r="U63" s="5"/>
      <c r="V63" s="5"/>
      <c r="W63" s="5"/>
      <c r="X63" s="5"/>
      <c r="Y63" s="5"/>
      <c r="Z63" s="5"/>
    </row>
    <row r="64" spans="1:26" ht="12.75" customHeight="1">
      <c r="A64" s="322">
        <v>6</v>
      </c>
      <c r="B64" s="334" t="s">
        <v>580</v>
      </c>
      <c r="C64" s="138" t="s">
        <v>581</v>
      </c>
      <c r="D64" s="1181">
        <v>17</v>
      </c>
      <c r="E64" s="1058">
        <v>142.465</v>
      </c>
      <c r="F64" s="1058">
        <v>140.86000000000001</v>
      </c>
      <c r="G64" s="1058">
        <f t="shared" si="8"/>
        <v>2411.9150000000004</v>
      </c>
      <c r="H64" s="1055">
        <f t="shared" si="9"/>
        <v>2404.61</v>
      </c>
      <c r="I64" s="1147">
        <f t="shared" si="10"/>
        <v>7.305000000000291</v>
      </c>
      <c r="J64" s="356">
        <f t="shared" si="11"/>
        <v>1.1394292205026194E-2</v>
      </c>
      <c r="K64" s="399" t="s">
        <v>582</v>
      </c>
      <c r="L64" s="1031"/>
      <c r="M64" s="895"/>
      <c r="N64" s="329"/>
      <c r="O64" s="325"/>
      <c r="P64" s="326"/>
      <c r="Q64" s="327"/>
      <c r="R64" s="309"/>
      <c r="S64" s="309"/>
      <c r="T64" s="328"/>
      <c r="U64" s="5"/>
      <c r="V64" s="5"/>
      <c r="W64" s="5"/>
      <c r="X64" s="5"/>
      <c r="Y64" s="5"/>
      <c r="Z64" s="5"/>
    </row>
    <row r="65" spans="1:27" ht="12.75" customHeight="1">
      <c r="A65" s="322">
        <v>7</v>
      </c>
      <c r="B65" s="39" t="s">
        <v>583</v>
      </c>
      <c r="C65" s="138" t="s">
        <v>505</v>
      </c>
      <c r="D65" s="1181">
        <v>150</v>
      </c>
      <c r="E65" s="1058">
        <v>52.615099999999998</v>
      </c>
      <c r="F65" s="1058">
        <v>53.488999999999997</v>
      </c>
      <c r="G65" s="1058">
        <f t="shared" si="8"/>
        <v>7882.2749999999996</v>
      </c>
      <c r="H65" s="1055">
        <f t="shared" si="9"/>
        <v>8033.3399999999992</v>
      </c>
      <c r="I65" s="1230">
        <f t="shared" si="10"/>
        <v>-151.0649999999996</v>
      </c>
      <c r="J65" s="356">
        <f t="shared" si="11"/>
        <v>-1.6337938641589844E-2</v>
      </c>
      <c r="K65" s="399" t="s">
        <v>584</v>
      </c>
      <c r="L65" s="1031"/>
      <c r="M65" s="895"/>
      <c r="N65" s="329"/>
      <c r="O65" s="325"/>
      <c r="P65" s="326"/>
      <c r="Q65" s="327"/>
      <c r="R65" s="309"/>
      <c r="S65" s="309"/>
      <c r="T65" s="328"/>
      <c r="U65" s="5"/>
      <c r="V65" s="5"/>
      <c r="W65" s="5"/>
      <c r="X65" s="5"/>
      <c r="Y65" s="5"/>
      <c r="Z65" s="5"/>
    </row>
    <row r="66" spans="1:27" ht="12.75" customHeight="1">
      <c r="A66" s="322">
        <v>8</v>
      </c>
      <c r="B66" s="323" t="s">
        <v>506</v>
      </c>
      <c r="C66" s="138" t="s">
        <v>585</v>
      </c>
      <c r="D66" s="1181">
        <v>450</v>
      </c>
      <c r="E66" s="1058">
        <v>30</v>
      </c>
      <c r="F66" s="1058">
        <v>30.34</v>
      </c>
      <c r="G66" s="1058">
        <f t="shared" si="8"/>
        <v>13490.01</v>
      </c>
      <c r="H66" s="1055">
        <f t="shared" si="9"/>
        <v>13662.99</v>
      </c>
      <c r="I66" s="1230">
        <f t="shared" si="10"/>
        <v>-172.97999999999956</v>
      </c>
      <c r="J66" s="356">
        <f t="shared" si="11"/>
        <v>-1.1206328279499007E-2</v>
      </c>
      <c r="K66" s="399" t="s">
        <v>584</v>
      </c>
      <c r="L66" s="1031"/>
      <c r="M66" s="895"/>
      <c r="N66" s="329"/>
      <c r="O66" s="325"/>
      <c r="P66" s="326"/>
      <c r="Q66" s="327"/>
      <c r="R66" s="309"/>
      <c r="S66" s="309"/>
      <c r="T66" s="328"/>
      <c r="U66" s="5"/>
      <c r="V66" s="5"/>
      <c r="W66" s="5"/>
      <c r="X66" s="5"/>
      <c r="Y66" s="5"/>
      <c r="Z66" s="5"/>
    </row>
    <row r="67" spans="1:27" ht="12.75" customHeight="1">
      <c r="A67" s="322">
        <v>9</v>
      </c>
      <c r="B67" s="334" t="s">
        <v>586</v>
      </c>
      <c r="C67" s="138" t="s">
        <v>587</v>
      </c>
      <c r="D67" s="1181">
        <v>32</v>
      </c>
      <c r="E67" s="1058">
        <v>68.894999999999996</v>
      </c>
      <c r="F67" s="1058">
        <v>71.805000000000007</v>
      </c>
      <c r="G67" s="1058">
        <f t="shared" si="8"/>
        <v>2194.65</v>
      </c>
      <c r="H67" s="1055">
        <f t="shared" si="9"/>
        <v>2307.75</v>
      </c>
      <c r="I67" s="1230">
        <f t="shared" si="10"/>
        <v>-113.09999999999991</v>
      </c>
      <c r="J67" s="356">
        <f t="shared" si="11"/>
        <v>-4.0526425736369477E-2</v>
      </c>
      <c r="K67" s="399" t="s">
        <v>584</v>
      </c>
      <c r="L67" s="1031"/>
      <c r="M67" s="895"/>
      <c r="N67" s="329"/>
      <c r="O67" s="325"/>
      <c r="P67" s="326"/>
      <c r="Q67" s="327"/>
      <c r="R67" s="309"/>
      <c r="S67" s="309"/>
      <c r="T67" s="328"/>
      <c r="U67" s="5"/>
      <c r="V67" s="5"/>
      <c r="W67" s="5"/>
      <c r="X67" s="5"/>
      <c r="Y67" s="5"/>
      <c r="Z67" s="5"/>
    </row>
    <row r="68" spans="1:27" ht="12.75" customHeight="1">
      <c r="A68" s="322">
        <v>10</v>
      </c>
      <c r="B68" s="69" t="s">
        <v>473</v>
      </c>
      <c r="C68" s="134" t="s">
        <v>474</v>
      </c>
      <c r="D68" s="547">
        <v>440.14499999999998</v>
      </c>
      <c r="E68" s="1290">
        <v>10.33</v>
      </c>
      <c r="F68" s="1291">
        <v>10.49</v>
      </c>
      <c r="G68" s="1058">
        <f>(E68*D68)-6.59</f>
        <v>4540.1078499999994</v>
      </c>
      <c r="H68" s="1055">
        <f t="shared" si="9"/>
        <v>4627.1110499999995</v>
      </c>
      <c r="I68" s="1230">
        <f t="shared" si="10"/>
        <v>-87.003200000000106</v>
      </c>
      <c r="J68" s="356">
        <f t="shared" si="11"/>
        <v>-1.5252621544327945E-2</v>
      </c>
      <c r="K68" s="399" t="s">
        <v>584</v>
      </c>
      <c r="L68" s="134"/>
      <c r="M68" s="137"/>
      <c r="N68" s="138"/>
      <c r="O68" s="325"/>
      <c r="P68" s="326"/>
      <c r="Q68" s="327"/>
      <c r="R68" s="309"/>
      <c r="S68" s="309"/>
      <c r="T68" s="328"/>
      <c r="U68" s="5"/>
      <c r="V68" s="5"/>
      <c r="W68" s="5"/>
      <c r="X68" s="5"/>
      <c r="Y68" s="5"/>
      <c r="Z68" s="5"/>
    </row>
    <row r="69" spans="1:27" ht="12.75" customHeight="1">
      <c r="A69" s="322">
        <v>11</v>
      </c>
      <c r="B69" s="334" t="s">
        <v>465</v>
      </c>
      <c r="C69" s="134" t="s">
        <v>466</v>
      </c>
      <c r="D69" s="547">
        <v>22</v>
      </c>
      <c r="E69" s="135">
        <v>53.09</v>
      </c>
      <c r="F69" s="129">
        <v>68.349999999999994</v>
      </c>
      <c r="G69" s="136">
        <f>E69*D69-6.95</f>
        <v>1161.03</v>
      </c>
      <c r="H69" s="1055">
        <v>1503.13</v>
      </c>
      <c r="I69" s="1230">
        <f t="shared" si="10"/>
        <v>-342.10000000000014</v>
      </c>
      <c r="J69" s="356">
        <f t="shared" si="11"/>
        <v>-0.2232626188734454</v>
      </c>
      <c r="K69" s="399" t="s">
        <v>588</v>
      </c>
      <c r="L69" s="134"/>
      <c r="M69" s="137"/>
      <c r="N69" s="138"/>
      <c r="O69" s="325"/>
      <c r="P69" s="326"/>
      <c r="Q69" s="327"/>
      <c r="R69" s="309"/>
      <c r="S69" s="309"/>
      <c r="T69" s="328"/>
      <c r="U69" s="5"/>
      <c r="V69" s="5"/>
      <c r="W69" s="5"/>
      <c r="X69" s="5"/>
      <c r="Y69" s="5"/>
      <c r="Z69" s="5"/>
    </row>
    <row r="70" spans="1:27" ht="12.75" customHeight="1">
      <c r="A70" s="46"/>
      <c r="B70" s="918"/>
      <c r="C70" s="18"/>
      <c r="D70" s="1292"/>
      <c r="E70" s="139"/>
      <c r="F70" s="140"/>
      <c r="G70" s="141"/>
      <c r="H70" s="141"/>
      <c r="I70" s="1230"/>
      <c r="J70" s="356"/>
      <c r="K70" s="399"/>
      <c r="L70" s="134"/>
      <c r="M70" s="1293"/>
      <c r="N70" s="31"/>
      <c r="O70" s="325"/>
      <c r="P70" s="326"/>
      <c r="Q70" s="327"/>
      <c r="R70" s="309"/>
      <c r="S70" s="309"/>
      <c r="T70" s="328"/>
      <c r="U70" s="5"/>
      <c r="V70" s="5"/>
      <c r="W70" s="5"/>
      <c r="X70" s="5"/>
      <c r="Y70" s="5"/>
      <c r="Z70" s="5"/>
    </row>
    <row r="71" spans="1:27" ht="12.75" customHeight="1">
      <c r="A71" s="344"/>
      <c r="B71" s="345" t="s">
        <v>63</v>
      </c>
      <c r="C71" s="345"/>
      <c r="D71" s="346"/>
      <c r="E71" s="782"/>
      <c r="F71" s="1090">
        <v>128384.3222</v>
      </c>
      <c r="G71" s="587">
        <f>F71/$F$75</f>
        <v>0.82928230722356877</v>
      </c>
      <c r="H71" s="1217"/>
      <c r="I71" s="1294"/>
      <c r="J71" s="1295"/>
      <c r="K71" s="1296">
        <f>K44+K50+K55</f>
        <v>165865.29918</v>
      </c>
      <c r="L71" s="1297">
        <f>K71/$K$75</f>
        <v>0.92980155286605726</v>
      </c>
      <c r="M71" s="1298"/>
      <c r="N71" s="123"/>
      <c r="O71" s="325"/>
      <c r="P71" s="326"/>
      <c r="Q71" s="327"/>
      <c r="R71" s="309"/>
      <c r="S71" s="309"/>
      <c r="T71" s="328"/>
      <c r="U71" s="5"/>
      <c r="V71" s="5"/>
      <c r="W71" s="5"/>
      <c r="X71" s="5"/>
      <c r="Y71" s="5"/>
      <c r="Z71" s="5"/>
    </row>
    <row r="72" spans="1:27" ht="12.75" customHeight="1">
      <c r="A72" s="344"/>
      <c r="B72" s="345"/>
      <c r="C72" s="345"/>
      <c r="D72" s="346"/>
      <c r="E72" s="347"/>
      <c r="F72" s="5"/>
      <c r="G72" s="1091"/>
      <c r="H72" s="1217"/>
      <c r="I72" s="1217"/>
      <c r="J72" s="308"/>
      <c r="K72" s="1096"/>
      <c r="L72" s="143"/>
      <c r="M72" s="1298"/>
      <c r="N72" s="123"/>
      <c r="O72" s="325"/>
      <c r="P72" s="326"/>
      <c r="Q72" s="327"/>
      <c r="R72" s="328"/>
      <c r="S72" s="309"/>
      <c r="T72" s="328"/>
      <c r="U72" s="5"/>
      <c r="V72" s="5"/>
      <c r="W72" s="5"/>
      <c r="X72" s="5"/>
      <c r="Y72" s="5"/>
      <c r="Z72" s="5"/>
    </row>
    <row r="73" spans="1:27" ht="12.75" customHeight="1">
      <c r="A73" s="344"/>
      <c r="B73" s="345" t="s">
        <v>64</v>
      </c>
      <c r="C73" s="345"/>
      <c r="D73" s="346"/>
      <c r="E73" s="347"/>
      <c r="F73" s="1090">
        <v>26429.45</v>
      </c>
      <c r="G73" s="587">
        <f>F73/$F$75</f>
        <v>0.17071769277643117</v>
      </c>
      <c r="H73" s="1217"/>
      <c r="I73" s="1217"/>
      <c r="J73" s="308"/>
      <c r="K73" s="142">
        <v>12522.55</v>
      </c>
      <c r="L73" s="143">
        <f>K73/$K$75</f>
        <v>7.0198447133942854E-2</v>
      </c>
      <c r="M73" s="408"/>
      <c r="N73" s="5"/>
      <c r="O73" s="1299" t="s">
        <v>589</v>
      </c>
      <c r="P73" s="326"/>
      <c r="Q73" s="327"/>
      <c r="R73" s="309"/>
      <c r="S73" s="309"/>
      <c r="T73" s="328"/>
      <c r="U73" s="5"/>
      <c r="V73" s="5"/>
      <c r="W73" s="5"/>
      <c r="X73" s="5"/>
      <c r="Y73" s="5"/>
      <c r="Z73" s="5"/>
    </row>
    <row r="74" spans="1:27" ht="12.75" customHeight="1">
      <c r="A74" s="49"/>
      <c r="B74" s="924"/>
      <c r="C74" s="924"/>
      <c r="D74" s="34"/>
      <c r="E74" s="1099"/>
      <c r="F74" s="1100"/>
      <c r="G74" s="1101"/>
      <c r="H74" s="1219"/>
      <c r="I74" s="1219"/>
      <c r="J74" s="925"/>
      <c r="K74" s="1103"/>
      <c r="L74" s="143"/>
      <c r="M74" s="144"/>
      <c r="N74" s="123"/>
      <c r="O74" s="327"/>
      <c r="P74" s="331"/>
      <c r="Q74" s="327"/>
      <c r="R74" s="309"/>
      <c r="S74" s="309"/>
      <c r="T74" s="328"/>
      <c r="U74" s="5"/>
      <c r="V74" s="5"/>
      <c r="W74" s="5"/>
      <c r="X74" s="5"/>
      <c r="Y74" s="5"/>
      <c r="Z74" s="5"/>
    </row>
    <row r="75" spans="1:27" ht="12.75" customHeight="1">
      <c r="A75" s="309"/>
      <c r="B75" s="345" t="s">
        <v>66</v>
      </c>
      <c r="C75" s="345"/>
      <c r="D75" s="1105"/>
      <c r="E75" s="1106"/>
      <c r="F75" s="145">
        <f>SUM(F71:F73)</f>
        <v>154813.77220000001</v>
      </c>
      <c r="G75" s="1108">
        <f>SUM(G71:G74)</f>
        <v>1</v>
      </c>
      <c r="H75" s="1220"/>
      <c r="I75" s="1220"/>
      <c r="J75" s="1300"/>
      <c r="K75" s="1109">
        <f>SUM(K71:K74)</f>
        <v>178387.84917999999</v>
      </c>
      <c r="L75" s="146">
        <f>SUM(L71:L74)</f>
        <v>1</v>
      </c>
      <c r="M75" s="147">
        <f>(184784.58/F75)*(K75/(184784.58-5000))-1</f>
        <v>0.18431972819891329</v>
      </c>
      <c r="N75" s="882"/>
      <c r="O75" s="325"/>
      <c r="P75" s="327"/>
      <c r="Q75" s="309"/>
      <c r="R75" s="309"/>
      <c r="S75" s="309"/>
      <c r="T75" s="328"/>
      <c r="U75" s="5"/>
      <c r="V75" s="5"/>
      <c r="W75" s="5"/>
      <c r="X75" s="5"/>
      <c r="Y75" s="5"/>
      <c r="Z75" s="5"/>
    </row>
    <row r="76" spans="1:27" ht="12.75" customHeight="1">
      <c r="A76" s="309"/>
      <c r="B76" s="309"/>
      <c r="C76" s="985"/>
      <c r="D76" s="1024"/>
      <c r="E76" s="1024"/>
      <c r="F76" s="1024"/>
      <c r="G76" s="1024"/>
      <c r="H76" s="546"/>
      <c r="I76" s="546"/>
      <c r="J76" s="940"/>
      <c r="K76" s="940"/>
      <c r="L76" s="1147"/>
      <c r="M76" s="949"/>
      <c r="N76" s="882"/>
      <c r="O76" s="323"/>
      <c r="P76" s="325"/>
      <c r="Q76" s="326"/>
      <c r="R76" s="309"/>
      <c r="S76" s="309"/>
      <c r="T76" s="309"/>
      <c r="U76" s="328"/>
      <c r="V76" s="5"/>
      <c r="W76" s="5"/>
      <c r="X76" s="5"/>
      <c r="Y76" s="5"/>
      <c r="Z76" s="5"/>
      <c r="AA76" s="5"/>
    </row>
    <row r="77" spans="1:27" ht="12.75" customHeight="1">
      <c r="A77" s="309"/>
      <c r="B77" s="309" t="s">
        <v>590</v>
      </c>
      <c r="C77" s="985"/>
      <c r="D77" s="1024"/>
      <c r="E77" s="1024"/>
      <c r="F77" s="1024"/>
      <c r="G77" s="1024"/>
      <c r="H77" s="546"/>
      <c r="I77" s="546"/>
      <c r="J77" s="940"/>
      <c r="K77" s="940"/>
      <c r="L77" s="1147">
        <v>5000</v>
      </c>
      <c r="M77" s="949"/>
      <c r="N77" s="882"/>
      <c r="O77" s="323"/>
      <c r="P77" s="325"/>
      <c r="Q77" s="326"/>
      <c r="R77" s="309"/>
      <c r="S77" s="309"/>
      <c r="T77" s="309"/>
      <c r="U77" s="328"/>
      <c r="V77" s="5"/>
      <c r="W77" s="5"/>
      <c r="X77" s="5"/>
      <c r="Y77" s="5"/>
      <c r="Z77" s="5"/>
      <c r="AA77" s="5"/>
    </row>
    <row r="78" spans="1:27" ht="12.75" customHeight="1">
      <c r="A78" s="309"/>
      <c r="B78" s="872"/>
      <c r="C78" s="873"/>
      <c r="D78" s="874"/>
      <c r="E78" s="875"/>
      <c r="F78" s="876"/>
      <c r="G78" s="877"/>
      <c r="H78" s="878"/>
      <c r="I78" s="878"/>
      <c r="J78" s="879"/>
      <c r="K78" s="879"/>
      <c r="L78" s="880"/>
      <c r="M78" s="881"/>
      <c r="N78" s="882"/>
      <c r="O78" s="1042"/>
      <c r="P78" s="325"/>
      <c r="Q78" s="326"/>
      <c r="R78" s="309"/>
      <c r="S78" s="309"/>
      <c r="T78" s="309"/>
      <c r="U78" s="328"/>
      <c r="V78" s="5"/>
      <c r="W78" s="5"/>
      <c r="X78" s="5"/>
      <c r="Y78" s="5"/>
      <c r="Z78" s="5"/>
      <c r="AA78" s="5"/>
    </row>
    <row r="79" spans="1:27" ht="12.75" customHeight="1">
      <c r="A79" s="309"/>
      <c r="B79" s="345" t="s">
        <v>390</v>
      </c>
      <c r="C79" s="309"/>
      <c r="D79" s="323"/>
      <c r="E79" s="323"/>
      <c r="F79" s="1114"/>
      <c r="G79" s="323"/>
      <c r="H79" s="546"/>
      <c r="I79" s="546"/>
      <c r="J79" s="309"/>
      <c r="K79" s="309"/>
      <c r="L79" s="324"/>
      <c r="M79" s="309"/>
      <c r="N79" s="5"/>
      <c r="O79" s="5"/>
      <c r="P79" s="5"/>
      <c r="Q79" s="326"/>
      <c r="R79" s="309"/>
      <c r="S79" s="309"/>
      <c r="T79" s="309"/>
      <c r="U79" s="328"/>
      <c r="V79" s="5"/>
      <c r="W79" s="5"/>
      <c r="X79" s="5"/>
      <c r="Y79" s="5"/>
      <c r="Z79" s="5"/>
      <c r="AA79" s="5"/>
    </row>
    <row r="80" spans="1:27" ht="12.75" customHeight="1">
      <c r="A80" s="309"/>
      <c r="B80" s="309" t="s">
        <v>272</v>
      </c>
      <c r="C80" s="309" t="s">
        <v>591</v>
      </c>
      <c r="D80" s="323"/>
      <c r="E80" s="323"/>
      <c r="F80" s="1189">
        <v>2238.83</v>
      </c>
      <c r="G80" s="323"/>
      <c r="H80" s="546"/>
      <c r="I80" s="546"/>
      <c r="J80" s="309"/>
      <c r="K80" s="5"/>
      <c r="L80" s="1301">
        <v>2673.61</v>
      </c>
      <c r="M80" s="1040"/>
      <c r="N80" s="882">
        <f>(L80-F80)/F80</f>
        <v>0.19419964892376831</v>
      </c>
      <c r="O80" s="1042"/>
      <c r="P80" s="330"/>
      <c r="Q80" s="326"/>
      <c r="R80" s="309"/>
      <c r="S80" s="309"/>
      <c r="T80" s="309"/>
      <c r="U80" s="328"/>
      <c r="V80" s="5"/>
      <c r="W80" s="5"/>
      <c r="X80" s="5"/>
      <c r="Y80" s="5"/>
      <c r="Z80" s="5"/>
      <c r="AA80" s="5"/>
    </row>
    <row r="81" spans="1:27" ht="12.75" customHeight="1">
      <c r="A81" s="309"/>
      <c r="B81" s="309" t="s">
        <v>273</v>
      </c>
      <c r="C81" s="309"/>
      <c r="D81" s="309"/>
      <c r="E81" s="309"/>
      <c r="F81" s="1146"/>
      <c r="G81" s="309"/>
      <c r="H81" s="546"/>
      <c r="I81" s="546"/>
      <c r="J81" s="309"/>
      <c r="K81" s="309"/>
      <c r="L81" s="324"/>
      <c r="M81" s="1040"/>
      <c r="N81" s="1302">
        <v>2.41E-2</v>
      </c>
      <c r="O81" s="1042" t="s">
        <v>592</v>
      </c>
      <c r="P81" s="325"/>
      <c r="Q81" s="326" t="s">
        <v>593</v>
      </c>
      <c r="R81" s="309"/>
      <c r="S81" s="309"/>
      <c r="T81" s="309"/>
      <c r="U81" s="328"/>
      <c r="V81" s="5"/>
      <c r="W81" s="5"/>
      <c r="X81" s="5"/>
      <c r="Y81" s="5"/>
      <c r="Z81" s="5"/>
      <c r="AA81" s="5"/>
    </row>
    <row r="82" spans="1:27" ht="12.75" customHeight="1">
      <c r="A82" s="309"/>
      <c r="B82" s="1235" t="s">
        <v>228</v>
      </c>
      <c r="C82" s="309"/>
      <c r="D82" s="309"/>
      <c r="E82" s="309"/>
      <c r="F82" s="1146"/>
      <c r="G82" s="309"/>
      <c r="H82" s="546"/>
      <c r="I82" s="546"/>
      <c r="J82" s="309"/>
      <c r="K82" s="309"/>
      <c r="L82" s="1020"/>
      <c r="M82" s="1040"/>
      <c r="N82" s="1303">
        <f>N80+N81</f>
        <v>0.21829964892376832</v>
      </c>
      <c r="O82" s="1042"/>
      <c r="P82" s="325"/>
      <c r="Q82" s="326"/>
      <c r="R82" s="309"/>
      <c r="S82" s="309"/>
      <c r="T82" s="309"/>
      <c r="U82" s="328"/>
      <c r="V82" s="5"/>
      <c r="W82" s="5"/>
      <c r="X82" s="5"/>
      <c r="Y82" s="5"/>
      <c r="Z82" s="5"/>
      <c r="AA82" s="5"/>
    </row>
    <row r="83" spans="1:27" ht="14.25" customHeight="1">
      <c r="A83" s="309"/>
      <c r="B83" s="1304" t="s">
        <v>594</v>
      </c>
      <c r="C83" s="309"/>
      <c r="D83" s="309"/>
      <c r="E83" s="309"/>
      <c r="F83" s="309"/>
      <c r="G83" s="309"/>
      <c r="H83" s="546"/>
      <c r="I83" s="546"/>
      <c r="J83" s="309"/>
      <c r="K83" s="309"/>
      <c r="L83" s="1020"/>
      <c r="M83" s="309"/>
      <c r="N83" s="1305">
        <v>0.246</v>
      </c>
      <c r="O83" s="323" t="s">
        <v>592</v>
      </c>
      <c r="P83" s="57"/>
      <c r="Q83" s="326"/>
      <c r="R83" s="309"/>
      <c r="S83" s="309"/>
      <c r="T83" s="309"/>
      <c r="U83" s="328"/>
      <c r="V83" s="5"/>
      <c r="W83" s="5"/>
      <c r="X83" s="5"/>
      <c r="Y83" s="5"/>
      <c r="Z83" s="5"/>
      <c r="AA83" s="5"/>
    </row>
    <row r="84" spans="1:27" ht="14.25" customHeight="1">
      <c r="A84" s="309"/>
      <c r="B84" s="1235" t="s">
        <v>391</v>
      </c>
      <c r="C84" s="309"/>
      <c r="D84" s="309"/>
      <c r="E84" s="309"/>
      <c r="F84" s="309"/>
      <c r="G84" s="5"/>
      <c r="H84" s="148"/>
      <c r="I84" s="546"/>
      <c r="J84" s="309"/>
      <c r="K84" s="309"/>
      <c r="L84" s="1020"/>
      <c r="M84" s="309"/>
      <c r="N84" s="1303">
        <v>3.5400000000000001E-2</v>
      </c>
      <c r="O84" s="323" t="s">
        <v>592</v>
      </c>
      <c r="P84" s="325"/>
      <c r="Q84" s="326"/>
      <c r="R84" s="309"/>
      <c r="S84" s="309"/>
      <c r="T84" s="309"/>
      <c r="U84" s="328"/>
      <c r="V84" s="5"/>
      <c r="W84" s="5"/>
      <c r="X84" s="5"/>
      <c r="Y84" s="5"/>
      <c r="Z84" s="5"/>
      <c r="AA84" s="5"/>
    </row>
    <row r="85" spans="1:27" ht="14.25" customHeight="1">
      <c r="A85" s="309"/>
      <c r="P85" s="325"/>
      <c r="Q85" s="326"/>
      <c r="R85" s="309"/>
      <c r="S85" s="309"/>
      <c r="T85" s="309"/>
      <c r="U85" s="328"/>
      <c r="V85" s="5"/>
      <c r="W85" s="5"/>
      <c r="X85" s="5"/>
      <c r="Y85" s="5"/>
      <c r="Z85" s="5"/>
      <c r="AA85" s="5"/>
    </row>
    <row r="86" spans="1:27" ht="12.75" customHeight="1">
      <c r="A86" s="309"/>
      <c r="B86" s="309" t="s">
        <v>595</v>
      </c>
      <c r="C86" s="309"/>
      <c r="D86" s="309"/>
      <c r="E86" s="309"/>
      <c r="F86" s="309"/>
      <c r="G86" s="309"/>
      <c r="H86" s="546"/>
      <c r="I86" s="546"/>
      <c r="J86" s="309"/>
      <c r="K86" s="309"/>
      <c r="L86" s="1020"/>
      <c r="M86" s="309"/>
      <c r="N86" s="882">
        <f>0.8*N82+0.2*N84</f>
        <v>0.18171971913901466</v>
      </c>
      <c r="O86" s="325"/>
      <c r="P86" s="57"/>
      <c r="Q86" s="5"/>
      <c r="R86" s="5"/>
      <c r="S86" s="5"/>
      <c r="T86" s="5"/>
      <c r="U86" s="5"/>
      <c r="V86" s="5"/>
      <c r="W86" s="5"/>
      <c r="X86" s="5"/>
      <c r="Y86" s="5"/>
      <c r="Z86" s="5"/>
      <c r="AA86" s="5"/>
    </row>
    <row r="87" spans="1:27" ht="12.75" customHeight="1">
      <c r="A87" s="5"/>
      <c r="B87" s="309"/>
      <c r="C87" s="5"/>
      <c r="D87" s="5"/>
      <c r="E87" s="5"/>
      <c r="F87" s="5"/>
      <c r="G87" s="5"/>
      <c r="H87" s="68"/>
      <c r="I87" s="68"/>
      <c r="J87" s="5"/>
      <c r="K87" s="5"/>
      <c r="L87" s="5"/>
      <c r="M87" s="60" t="s">
        <v>393</v>
      </c>
      <c r="N87" s="61">
        <f>M75-N86</f>
        <v>2.6000090598986281E-3</v>
      </c>
      <c r="O87" s="5"/>
      <c r="P87" s="57"/>
      <c r="Q87" s="5"/>
      <c r="R87" s="5"/>
      <c r="S87" s="5"/>
      <c r="T87" s="5"/>
      <c r="U87" s="5"/>
      <c r="V87" s="5"/>
      <c r="W87" s="5"/>
      <c r="X87" s="5"/>
      <c r="Y87" s="5"/>
      <c r="Z87" s="5"/>
      <c r="AA87" s="5"/>
    </row>
    <row r="88" spans="1:27" ht="12.75" customHeight="1">
      <c r="A88" s="5"/>
      <c r="B88" s="5"/>
      <c r="C88" s="5"/>
      <c r="D88" s="5"/>
      <c r="E88" s="5"/>
      <c r="F88" s="5"/>
      <c r="G88" s="5"/>
      <c r="H88" s="306"/>
      <c r="I88" s="306"/>
      <c r="J88" s="5"/>
      <c r="K88" s="5"/>
      <c r="L88" s="5"/>
      <c r="M88" s="5"/>
      <c r="N88" s="5"/>
      <c r="O88" s="5"/>
      <c r="P88" s="57"/>
      <c r="Q88" s="5"/>
      <c r="R88" s="5"/>
      <c r="S88" s="5"/>
      <c r="T88" s="5"/>
      <c r="U88" s="5"/>
      <c r="V88" s="5"/>
      <c r="W88" s="5"/>
      <c r="X88" s="5"/>
      <c r="Y88" s="5"/>
      <c r="Z88" s="5"/>
      <c r="AA88" s="5"/>
    </row>
    <row r="89" spans="1:27" ht="12.75" customHeight="1">
      <c r="A89" s="5"/>
      <c r="B89" s="5"/>
      <c r="C89" s="5"/>
      <c r="D89" s="5"/>
      <c r="E89" s="5"/>
      <c r="F89" s="5"/>
      <c r="G89" s="5"/>
      <c r="H89" s="306"/>
      <c r="I89" s="306"/>
      <c r="J89" s="5"/>
      <c r="K89" s="5"/>
      <c r="L89" s="5" t="s">
        <v>339</v>
      </c>
      <c r="M89" s="5"/>
      <c r="N89" s="5"/>
      <c r="O89" s="5"/>
      <c r="P89" s="57"/>
      <c r="Q89" s="5"/>
      <c r="R89" s="5"/>
      <c r="S89" s="5"/>
      <c r="T89" s="5"/>
      <c r="U89" s="5"/>
      <c r="V89" s="5"/>
      <c r="W89" s="5"/>
      <c r="X89" s="5"/>
      <c r="Y89" s="5"/>
      <c r="Z89" s="5"/>
      <c r="AA89" s="5"/>
    </row>
    <row r="90" spans="1:27" ht="12.75" customHeight="1">
      <c r="A90" s="5"/>
      <c r="B90" s="5"/>
      <c r="C90" s="5"/>
      <c r="D90" s="5"/>
      <c r="E90" s="5"/>
      <c r="F90" s="5"/>
      <c r="G90" s="5"/>
      <c r="H90" s="306"/>
      <c r="I90" s="306"/>
      <c r="J90" s="5"/>
      <c r="K90" s="5"/>
      <c r="L90" s="5"/>
      <c r="M90" s="5"/>
      <c r="N90" s="5"/>
      <c r="O90" s="5"/>
      <c r="P90" s="57"/>
      <c r="Q90" s="5"/>
      <c r="R90" s="5"/>
      <c r="S90" s="5"/>
      <c r="T90" s="5"/>
      <c r="U90" s="5"/>
      <c r="V90" s="5"/>
      <c r="W90" s="5"/>
      <c r="X90" s="5"/>
      <c r="Y90" s="5"/>
      <c r="Z90" s="5"/>
      <c r="AA90" s="5"/>
    </row>
    <row r="91" spans="1:27" ht="12.75" customHeight="1">
      <c r="A91" s="5"/>
      <c r="B91" s="5"/>
      <c r="C91" s="5"/>
      <c r="D91" s="5"/>
      <c r="E91" s="5"/>
      <c r="F91" s="5"/>
      <c r="G91" s="5"/>
      <c r="H91" s="306"/>
      <c r="I91" s="306"/>
      <c r="J91" s="5"/>
      <c r="K91" s="5"/>
      <c r="L91" s="5"/>
      <c r="M91" s="5"/>
      <c r="N91" s="5"/>
      <c r="O91" s="5"/>
      <c r="P91" s="57"/>
      <c r="Q91" s="5"/>
      <c r="R91" s="5"/>
      <c r="S91" s="5"/>
      <c r="T91" s="5"/>
      <c r="U91" s="5"/>
      <c r="V91" s="5"/>
      <c r="W91" s="5"/>
      <c r="X91" s="5"/>
      <c r="Y91" s="5"/>
      <c r="Z91" s="5"/>
      <c r="AA91" s="5"/>
    </row>
    <row r="92" spans="1:27" ht="12.75" customHeight="1">
      <c r="A92" s="5"/>
      <c r="B92" s="5" t="s">
        <v>596</v>
      </c>
      <c r="C92" s="5"/>
      <c r="D92" s="5"/>
      <c r="E92" s="5"/>
      <c r="F92" s="5"/>
      <c r="G92" s="5"/>
      <c r="H92" s="306"/>
      <c r="I92" s="306"/>
      <c r="J92" s="5"/>
      <c r="K92" s="5"/>
      <c r="L92" s="5"/>
      <c r="N92" s="882">
        <f>N83*0.8+N84*0.2</f>
        <v>0.20388000000000001</v>
      </c>
      <c r="O92" s="5"/>
      <c r="P92" s="57"/>
      <c r="Q92" s="5"/>
      <c r="R92" s="5"/>
      <c r="S92" s="5"/>
      <c r="T92" s="5"/>
      <c r="U92" s="5"/>
      <c r="V92" s="5"/>
      <c r="W92" s="5"/>
      <c r="X92" s="5"/>
      <c r="Y92" s="5"/>
      <c r="Z92" s="5"/>
      <c r="AA92" s="5"/>
    </row>
    <row r="93" spans="1:27" ht="12.75" customHeight="1">
      <c r="A93" s="5"/>
      <c r="B93" s="5"/>
      <c r="C93" s="5"/>
      <c r="D93" s="5"/>
      <c r="E93" s="5"/>
      <c r="F93" s="5"/>
      <c r="G93" s="5"/>
      <c r="H93" s="149"/>
      <c r="I93" s="1226"/>
      <c r="J93" s="5"/>
      <c r="K93" s="5"/>
      <c r="L93" s="5"/>
      <c r="M93" s="60" t="s">
        <v>393</v>
      </c>
      <c r="N93" s="882">
        <f>M75-N92</f>
        <v>-1.9560271801086715E-2</v>
      </c>
      <c r="O93" s="5"/>
      <c r="P93" s="57"/>
      <c r="Q93" s="5"/>
      <c r="R93" s="5"/>
      <c r="S93" s="5"/>
      <c r="T93" s="5"/>
      <c r="U93" s="5"/>
      <c r="V93" s="5"/>
      <c r="W93" s="5"/>
      <c r="X93" s="5"/>
      <c r="Y93" s="5"/>
      <c r="Z93" s="5"/>
      <c r="AA93" s="5"/>
    </row>
    <row r="94" spans="1:27" ht="12.75" customHeight="1">
      <c r="A94" s="5"/>
      <c r="B94" s="5"/>
      <c r="C94" s="5"/>
      <c r="D94" s="5"/>
      <c r="E94" s="5"/>
      <c r="F94" s="5"/>
      <c r="G94" s="5"/>
      <c r="H94" s="306"/>
      <c r="I94" s="306"/>
      <c r="J94" s="5"/>
      <c r="K94" s="5"/>
      <c r="L94" s="5"/>
      <c r="M94" s="5"/>
      <c r="N94" s="5"/>
      <c r="O94" s="5"/>
      <c r="P94" s="57"/>
      <c r="Q94" s="5"/>
      <c r="R94" s="5"/>
      <c r="S94" s="5"/>
      <c r="T94" s="5"/>
      <c r="U94" s="5"/>
      <c r="V94" s="5"/>
      <c r="W94" s="5"/>
      <c r="X94" s="5"/>
      <c r="Y94" s="5"/>
      <c r="Z94" s="5"/>
      <c r="AA94" s="5"/>
    </row>
    <row r="95" spans="1:27" ht="12.75" customHeight="1">
      <c r="A95" s="5"/>
      <c r="B95" s="5"/>
      <c r="C95" s="5"/>
      <c r="D95" s="5"/>
      <c r="E95" s="5"/>
      <c r="F95" s="5"/>
      <c r="G95" s="5"/>
      <c r="H95" s="306"/>
      <c r="I95" s="306"/>
      <c r="J95" s="5"/>
      <c r="K95" s="5"/>
      <c r="L95" s="5"/>
      <c r="M95" s="5"/>
      <c r="N95" s="5"/>
      <c r="O95" s="5"/>
      <c r="P95" s="57"/>
      <c r="Q95" s="5"/>
      <c r="R95" s="5"/>
      <c r="S95" s="5"/>
      <c r="T95" s="5"/>
      <c r="U95" s="5"/>
      <c r="V95" s="5"/>
      <c r="W95" s="5"/>
      <c r="X95" s="5"/>
      <c r="Y95" s="5"/>
      <c r="Z95" s="5"/>
      <c r="AA95" s="5"/>
    </row>
    <row r="96" spans="1:27" ht="12.75" customHeight="1">
      <c r="A96" s="5"/>
      <c r="B96" s="5"/>
      <c r="C96" s="5"/>
      <c r="D96" s="5"/>
      <c r="E96" s="5"/>
      <c r="F96" s="5"/>
      <c r="G96" s="5"/>
      <c r="H96" s="306"/>
      <c r="I96" s="306"/>
      <c r="J96" s="5"/>
      <c r="K96" s="5"/>
      <c r="L96" s="5"/>
      <c r="M96" s="5"/>
      <c r="N96" s="5"/>
      <c r="O96" s="5"/>
      <c r="P96" s="57"/>
      <c r="Q96" s="5"/>
      <c r="R96" s="5"/>
      <c r="S96" s="5"/>
      <c r="T96" s="5"/>
      <c r="U96" s="5"/>
      <c r="V96" s="5"/>
      <c r="W96" s="5"/>
      <c r="X96" s="5"/>
      <c r="Y96" s="5"/>
      <c r="Z96" s="5"/>
      <c r="AA96" s="5"/>
    </row>
    <row r="97" spans="1:27" ht="12.75" customHeight="1">
      <c r="A97" s="5"/>
      <c r="B97" s="5"/>
      <c r="C97" s="5"/>
      <c r="D97" s="5"/>
      <c r="E97" s="5"/>
      <c r="F97" s="5"/>
      <c r="G97" s="5"/>
      <c r="H97" s="306"/>
      <c r="I97" s="306"/>
      <c r="J97" s="5"/>
      <c r="K97" s="5"/>
      <c r="L97" s="5"/>
      <c r="M97" s="5"/>
      <c r="N97" s="5"/>
      <c r="O97" s="5"/>
      <c r="P97" s="57"/>
      <c r="Q97" s="5"/>
      <c r="R97" s="5"/>
      <c r="S97" s="5"/>
      <c r="T97" s="5"/>
      <c r="U97" s="5"/>
      <c r="V97" s="5"/>
      <c r="W97" s="5"/>
      <c r="X97" s="5"/>
      <c r="Y97" s="5"/>
      <c r="Z97" s="5"/>
      <c r="AA97" s="5"/>
    </row>
    <row r="98" spans="1:27" ht="12.75" customHeight="1">
      <c r="A98" s="5"/>
      <c r="B98" s="5"/>
      <c r="C98" s="5"/>
      <c r="D98" s="5"/>
      <c r="E98" s="5"/>
      <c r="F98" s="5"/>
      <c r="G98" s="5"/>
      <c r="H98" s="306"/>
      <c r="I98" s="306"/>
      <c r="J98" s="5"/>
      <c r="K98" s="5"/>
      <c r="L98" s="5"/>
      <c r="M98" s="5"/>
      <c r="N98" s="5"/>
      <c r="O98" s="5"/>
      <c r="P98" s="57"/>
      <c r="Q98" s="5"/>
      <c r="R98" s="5"/>
      <c r="S98" s="5"/>
      <c r="T98" s="5"/>
      <c r="U98" s="5"/>
      <c r="V98" s="5"/>
      <c r="W98" s="5"/>
      <c r="X98" s="5"/>
      <c r="Y98" s="5"/>
      <c r="Z98" s="5"/>
      <c r="AA98" s="5"/>
    </row>
    <row r="99" spans="1:27" ht="12.75" customHeight="1">
      <c r="A99" s="5"/>
      <c r="B99" s="5"/>
      <c r="C99" s="5"/>
      <c r="D99" s="5"/>
      <c r="E99" s="5"/>
      <c r="F99" s="5"/>
      <c r="G99" s="5"/>
      <c r="H99" s="306"/>
      <c r="I99" s="306"/>
      <c r="J99" s="5"/>
      <c r="K99" s="5"/>
      <c r="L99" s="5"/>
      <c r="M99" s="5"/>
      <c r="N99" s="5"/>
      <c r="O99" s="5"/>
      <c r="P99" s="57"/>
      <c r="Q99" s="5"/>
      <c r="R99" s="5"/>
      <c r="S99" s="5"/>
      <c r="T99" s="5"/>
      <c r="U99" s="5"/>
      <c r="V99" s="5"/>
      <c r="W99" s="5"/>
      <c r="X99" s="5"/>
      <c r="Y99" s="5"/>
      <c r="Z99" s="5"/>
      <c r="AA99" s="5"/>
    </row>
    <row r="100" spans="1:27" ht="12.75" customHeight="1">
      <c r="A100" s="5"/>
      <c r="B100" s="5"/>
      <c r="C100" s="5"/>
      <c r="D100" s="5"/>
      <c r="E100" s="5"/>
      <c r="F100" s="5"/>
      <c r="G100" s="5"/>
      <c r="H100" s="306"/>
      <c r="I100" s="306"/>
      <c r="J100" s="5"/>
      <c r="K100" s="5"/>
      <c r="L100" s="5"/>
      <c r="M100" s="5"/>
      <c r="N100" s="5"/>
      <c r="O100" s="5"/>
      <c r="P100" s="57"/>
      <c r="Q100" s="5"/>
      <c r="R100" s="5"/>
      <c r="S100" s="5"/>
      <c r="T100" s="5"/>
      <c r="U100" s="5"/>
      <c r="V100" s="5"/>
      <c r="W100" s="5"/>
      <c r="X100" s="5"/>
      <c r="Y100" s="5"/>
      <c r="Z100" s="5"/>
      <c r="AA100" s="5"/>
    </row>
    <row r="101" spans="1:27" ht="12.75" customHeight="1">
      <c r="A101" s="5"/>
      <c r="B101" s="5"/>
      <c r="C101" s="5"/>
      <c r="D101" s="5"/>
      <c r="E101" s="5"/>
      <c r="F101" s="5"/>
      <c r="G101" s="5"/>
      <c r="H101" s="306"/>
      <c r="I101" s="306"/>
      <c r="J101" s="5"/>
      <c r="K101" s="5"/>
      <c r="L101" s="5"/>
      <c r="M101" s="5"/>
      <c r="N101" s="5"/>
      <c r="O101" s="5"/>
      <c r="P101" s="57"/>
      <c r="Q101" s="5"/>
      <c r="R101" s="5"/>
      <c r="S101" s="5"/>
      <c r="T101" s="5"/>
      <c r="U101" s="5"/>
      <c r="V101" s="5"/>
      <c r="W101" s="5"/>
      <c r="X101" s="5"/>
      <c r="Y101" s="5"/>
      <c r="Z101" s="5"/>
      <c r="AA101" s="5"/>
    </row>
    <row r="102" spans="1:27" ht="12.75" customHeight="1">
      <c r="A102" s="5"/>
      <c r="B102" s="5"/>
      <c r="C102" s="5"/>
      <c r="D102" s="5"/>
      <c r="E102" s="5"/>
      <c r="F102" s="5"/>
      <c r="G102" s="5"/>
      <c r="H102" s="306"/>
      <c r="I102" s="306"/>
      <c r="J102" s="5"/>
      <c r="K102" s="5"/>
      <c r="L102" s="5"/>
      <c r="M102" s="5"/>
      <c r="N102" s="5"/>
      <c r="O102" s="5"/>
      <c r="P102" s="57"/>
      <c r="Q102" s="5"/>
      <c r="R102" s="5"/>
      <c r="S102" s="5"/>
      <c r="T102" s="5"/>
      <c r="U102" s="5"/>
      <c r="V102" s="5"/>
      <c r="W102" s="5"/>
      <c r="X102" s="5"/>
      <c r="Y102" s="5"/>
      <c r="Z102" s="5"/>
      <c r="AA102" s="5"/>
    </row>
    <row r="103" spans="1:27" ht="12.75" customHeight="1">
      <c r="A103" s="5"/>
      <c r="B103" s="5"/>
      <c r="C103" s="5"/>
      <c r="D103" s="5"/>
      <c r="E103" s="5"/>
      <c r="F103" s="5"/>
      <c r="G103" s="5"/>
      <c r="H103" s="306"/>
      <c r="I103" s="306"/>
      <c r="J103" s="5"/>
      <c r="K103" s="5"/>
      <c r="L103" s="5"/>
      <c r="M103" s="5"/>
      <c r="N103" s="5"/>
      <c r="O103" s="5"/>
      <c r="P103" s="57"/>
      <c r="Q103" s="5"/>
      <c r="R103" s="5"/>
      <c r="S103" s="5"/>
      <c r="T103" s="5"/>
      <c r="U103" s="5"/>
      <c r="V103" s="5"/>
      <c r="W103" s="5"/>
      <c r="X103" s="5"/>
      <c r="Y103" s="5"/>
      <c r="Z103" s="5"/>
      <c r="AA103" s="5"/>
    </row>
    <row r="104" spans="1:27" ht="12.75" customHeight="1">
      <c r="A104" s="5"/>
      <c r="B104" s="5"/>
      <c r="C104" s="5"/>
      <c r="D104" s="5"/>
      <c r="E104" s="5"/>
      <c r="F104" s="5"/>
      <c r="G104" s="5"/>
      <c r="H104" s="306"/>
      <c r="I104" s="306"/>
      <c r="J104" s="5"/>
      <c r="K104" s="5"/>
      <c r="L104" s="5"/>
      <c r="M104" s="5"/>
      <c r="N104" s="5"/>
      <c r="O104" s="5"/>
      <c r="P104" s="57"/>
      <c r="Q104" s="5"/>
      <c r="R104" s="5"/>
      <c r="S104" s="5"/>
      <c r="T104" s="5"/>
      <c r="U104" s="5"/>
      <c r="V104" s="5"/>
      <c r="W104" s="5"/>
      <c r="X104" s="5"/>
      <c r="Y104" s="5"/>
      <c r="Z104" s="5"/>
      <c r="AA104" s="5"/>
    </row>
    <row r="105" spans="1:27" ht="12.75" customHeight="1">
      <c r="A105" s="5"/>
      <c r="B105" s="5"/>
      <c r="C105" s="5"/>
      <c r="D105" s="5"/>
      <c r="E105" s="5"/>
      <c r="F105" s="5"/>
      <c r="G105" s="5"/>
      <c r="H105" s="306"/>
      <c r="I105" s="306"/>
      <c r="J105" s="5"/>
      <c r="K105" s="5"/>
      <c r="L105" s="5"/>
      <c r="M105" s="5"/>
      <c r="N105" s="5"/>
      <c r="O105" s="5"/>
      <c r="P105" s="57"/>
      <c r="Q105" s="5"/>
      <c r="R105" s="5"/>
      <c r="S105" s="5"/>
      <c r="T105" s="5"/>
      <c r="U105" s="5"/>
      <c r="V105" s="5"/>
      <c r="W105" s="5"/>
      <c r="X105" s="5"/>
      <c r="Y105" s="5"/>
      <c r="Z105" s="5"/>
      <c r="AA105" s="5"/>
    </row>
    <row r="106" spans="1:27" ht="12.75" customHeight="1">
      <c r="A106" s="5"/>
      <c r="B106" s="5"/>
      <c r="C106" s="5"/>
      <c r="D106" s="5"/>
      <c r="E106" s="5"/>
      <c r="F106" s="5"/>
      <c r="G106" s="5"/>
      <c r="H106" s="306"/>
      <c r="I106" s="306"/>
      <c r="J106" s="5"/>
      <c r="K106" s="5"/>
      <c r="L106" s="5"/>
      <c r="M106" s="5"/>
      <c r="N106" s="5"/>
      <c r="O106" s="5"/>
      <c r="P106" s="57"/>
      <c r="Q106" s="5"/>
      <c r="R106" s="5"/>
      <c r="S106" s="5"/>
      <c r="T106" s="5"/>
      <c r="U106" s="5"/>
      <c r="V106" s="5"/>
      <c r="W106" s="5"/>
      <c r="X106" s="5"/>
      <c r="Y106" s="5"/>
      <c r="Z106" s="5"/>
      <c r="AA106" s="5"/>
    </row>
    <row r="107" spans="1:27" ht="12.75" customHeight="1">
      <c r="A107" s="5"/>
      <c r="B107" s="5"/>
      <c r="C107" s="5"/>
      <c r="D107" s="5"/>
      <c r="E107" s="5"/>
      <c r="F107" s="5"/>
      <c r="G107" s="5"/>
      <c r="H107" s="306"/>
      <c r="I107" s="306"/>
      <c r="J107" s="5"/>
      <c r="K107" s="5"/>
      <c r="L107" s="5"/>
      <c r="M107" s="5"/>
      <c r="N107" s="5"/>
      <c r="O107" s="5"/>
      <c r="P107" s="57"/>
      <c r="Q107" s="5"/>
      <c r="R107" s="5"/>
      <c r="S107" s="5"/>
      <c r="T107" s="5"/>
      <c r="U107" s="5"/>
      <c r="V107" s="5"/>
      <c r="W107" s="5"/>
      <c r="X107" s="5"/>
      <c r="Y107" s="5"/>
      <c r="Z107" s="5"/>
      <c r="AA107" s="5"/>
    </row>
    <row r="108" spans="1:27" ht="12.75" customHeight="1">
      <c r="A108" s="5"/>
      <c r="B108" s="5"/>
      <c r="C108" s="5"/>
      <c r="D108" s="5"/>
      <c r="E108" s="5"/>
      <c r="F108" s="5"/>
      <c r="G108" s="5"/>
      <c r="H108" s="306"/>
      <c r="I108" s="306"/>
      <c r="J108" s="5"/>
      <c r="K108" s="5"/>
      <c r="L108" s="5"/>
      <c r="M108" s="5"/>
      <c r="N108" s="5"/>
      <c r="O108" s="5"/>
      <c r="P108" s="57"/>
      <c r="Q108" s="5"/>
      <c r="R108" s="5"/>
      <c r="S108" s="5"/>
      <c r="T108" s="5"/>
      <c r="U108" s="5"/>
      <c r="V108" s="5"/>
      <c r="W108" s="5"/>
      <c r="X108" s="5"/>
      <c r="Y108" s="5"/>
      <c r="Z108" s="5"/>
      <c r="AA108" s="5"/>
    </row>
    <row r="109" spans="1:27" ht="12.75" customHeight="1">
      <c r="A109" s="5"/>
      <c r="B109" s="5"/>
      <c r="C109" s="5"/>
      <c r="D109" s="5"/>
      <c r="E109" s="5"/>
      <c r="F109" s="5"/>
      <c r="G109" s="5"/>
      <c r="H109" s="306"/>
      <c r="I109" s="306"/>
      <c r="J109" s="5"/>
      <c r="K109" s="5"/>
      <c r="L109" s="5"/>
      <c r="M109" s="5"/>
      <c r="N109" s="5"/>
      <c r="O109" s="5"/>
      <c r="P109" s="57"/>
      <c r="Q109" s="5"/>
      <c r="R109" s="5"/>
      <c r="S109" s="5"/>
      <c r="T109" s="5"/>
      <c r="U109" s="5"/>
      <c r="V109" s="5"/>
      <c r="W109" s="5"/>
      <c r="X109" s="5"/>
      <c r="Y109" s="5"/>
      <c r="Z109" s="5"/>
      <c r="AA109" s="5"/>
    </row>
    <row r="110" spans="1:27" ht="12.75" customHeight="1">
      <c r="A110" s="5"/>
      <c r="B110" s="5"/>
      <c r="C110" s="5"/>
      <c r="D110" s="5"/>
      <c r="E110" s="5"/>
      <c r="F110" s="5"/>
      <c r="G110" s="5"/>
      <c r="H110" s="306"/>
      <c r="I110" s="306"/>
      <c r="J110" s="5"/>
      <c r="K110" s="5"/>
      <c r="L110" s="5"/>
      <c r="M110" s="5"/>
      <c r="N110" s="5"/>
      <c r="O110" s="5"/>
      <c r="P110" s="57"/>
      <c r="Q110" s="5"/>
      <c r="R110" s="5"/>
      <c r="S110" s="5"/>
      <c r="T110" s="5"/>
      <c r="U110" s="5"/>
      <c r="V110" s="5"/>
      <c r="W110" s="5"/>
      <c r="X110" s="5"/>
      <c r="Y110" s="5"/>
      <c r="Z110" s="5"/>
      <c r="AA110" s="5"/>
    </row>
    <row r="111" spans="1:27" ht="12.75" customHeight="1">
      <c r="A111" s="5"/>
      <c r="B111" s="5"/>
      <c r="C111" s="5"/>
      <c r="D111" s="5"/>
      <c r="E111" s="5"/>
      <c r="F111" s="5"/>
      <c r="G111" s="5"/>
      <c r="H111" s="306"/>
      <c r="I111" s="306"/>
      <c r="J111" s="5"/>
      <c r="K111" s="5"/>
      <c r="L111" s="5"/>
      <c r="M111" s="5"/>
      <c r="N111" s="5"/>
      <c r="O111" s="5"/>
      <c r="P111" s="57"/>
      <c r="Q111" s="5"/>
      <c r="R111" s="5"/>
      <c r="S111" s="5"/>
      <c r="T111" s="5"/>
      <c r="U111" s="5"/>
      <c r="V111" s="5"/>
      <c r="W111" s="5"/>
      <c r="X111" s="5"/>
      <c r="Y111" s="5"/>
      <c r="Z111" s="5"/>
      <c r="AA111" s="5"/>
    </row>
    <row r="112" spans="1:27" ht="12.75" customHeight="1">
      <c r="A112" s="5"/>
      <c r="B112" s="5"/>
      <c r="C112" s="5"/>
      <c r="D112" s="5"/>
      <c r="E112" s="5"/>
      <c r="F112" s="5"/>
      <c r="G112" s="5"/>
      <c r="H112" s="306"/>
      <c r="I112" s="306"/>
      <c r="J112" s="5"/>
      <c r="K112" s="5"/>
      <c r="L112" s="5"/>
      <c r="M112" s="5"/>
      <c r="N112" s="5"/>
      <c r="O112" s="5"/>
      <c r="P112" s="57"/>
      <c r="Q112" s="5"/>
      <c r="R112" s="5"/>
      <c r="S112" s="5"/>
      <c r="T112" s="5"/>
      <c r="U112" s="5"/>
      <c r="V112" s="5"/>
      <c r="W112" s="5"/>
      <c r="X112" s="5"/>
      <c r="Y112" s="5"/>
      <c r="Z112" s="5"/>
      <c r="AA112" s="5"/>
    </row>
    <row r="113" spans="1:27" ht="12.75" customHeight="1">
      <c r="A113" s="5"/>
      <c r="B113" s="5"/>
      <c r="C113" s="5"/>
      <c r="D113" s="5"/>
      <c r="E113" s="5"/>
      <c r="F113" s="5"/>
      <c r="G113" s="5"/>
      <c r="H113" s="306"/>
      <c r="I113" s="306"/>
      <c r="J113" s="5"/>
      <c r="K113" s="5"/>
      <c r="L113" s="5"/>
      <c r="M113" s="5"/>
      <c r="N113" s="5"/>
      <c r="O113" s="5"/>
      <c r="P113" s="57"/>
      <c r="Q113" s="5"/>
      <c r="R113" s="5"/>
      <c r="S113" s="5"/>
      <c r="T113" s="5"/>
      <c r="U113" s="5"/>
      <c r="V113" s="5"/>
      <c r="W113" s="5"/>
      <c r="X113" s="5"/>
      <c r="Y113" s="5"/>
      <c r="Z113" s="5"/>
      <c r="AA113" s="5"/>
    </row>
    <row r="114" spans="1:27" ht="12.75" customHeight="1">
      <c r="A114" s="5"/>
      <c r="B114" s="5"/>
      <c r="C114" s="5"/>
      <c r="D114" s="5"/>
      <c r="E114" s="5"/>
      <c r="F114" s="5"/>
      <c r="G114" s="5"/>
      <c r="H114" s="306"/>
      <c r="I114" s="306"/>
      <c r="J114" s="5"/>
      <c r="K114" s="5"/>
      <c r="L114" s="5"/>
      <c r="M114" s="5"/>
      <c r="N114" s="5"/>
      <c r="O114" s="5"/>
      <c r="P114" s="57"/>
      <c r="Q114" s="5"/>
      <c r="R114" s="5"/>
      <c r="S114" s="5"/>
      <c r="T114" s="5"/>
      <c r="U114" s="5"/>
      <c r="V114" s="5"/>
      <c r="W114" s="5"/>
      <c r="X114" s="5"/>
      <c r="Y114" s="5"/>
      <c r="Z114" s="5"/>
      <c r="AA114" s="5"/>
    </row>
    <row r="115" spans="1:27" ht="12.75" customHeight="1">
      <c r="A115" s="5"/>
      <c r="B115" s="5"/>
      <c r="C115" s="5"/>
      <c r="D115" s="5"/>
      <c r="E115" s="5"/>
      <c r="F115" s="5"/>
      <c r="G115" s="5"/>
      <c r="H115" s="306"/>
      <c r="I115" s="306"/>
      <c r="J115" s="5"/>
      <c r="K115" s="5"/>
      <c r="L115" s="5"/>
      <c r="M115" s="5"/>
      <c r="N115" s="5"/>
      <c r="O115" s="5"/>
      <c r="P115" s="57"/>
      <c r="Q115" s="5"/>
      <c r="R115" s="5"/>
      <c r="S115" s="5"/>
      <c r="T115" s="5"/>
      <c r="U115" s="5"/>
      <c r="V115" s="5"/>
      <c r="W115" s="5"/>
      <c r="X115" s="5"/>
      <c r="Y115" s="5"/>
      <c r="Z115" s="5"/>
      <c r="AA115" s="5"/>
    </row>
    <row r="116" spans="1:27" ht="12.75" customHeight="1">
      <c r="A116" s="5"/>
      <c r="B116" s="5"/>
      <c r="C116" s="5"/>
      <c r="D116" s="5"/>
      <c r="E116" s="5"/>
      <c r="F116" s="5"/>
      <c r="G116" s="5"/>
      <c r="H116" s="306"/>
      <c r="I116" s="306"/>
      <c r="J116" s="5"/>
      <c r="K116" s="5"/>
      <c r="L116" s="5"/>
      <c r="M116" s="5"/>
      <c r="N116" s="5"/>
      <c r="O116" s="5"/>
      <c r="P116" s="57"/>
      <c r="Q116" s="5"/>
      <c r="R116" s="5"/>
      <c r="S116" s="5"/>
      <c r="T116" s="5"/>
      <c r="U116" s="5"/>
      <c r="V116" s="5"/>
      <c r="W116" s="5"/>
      <c r="X116" s="5"/>
      <c r="Y116" s="5"/>
      <c r="Z116" s="5"/>
      <c r="AA116" s="5"/>
    </row>
    <row r="117" spans="1:27" ht="12.75" customHeight="1">
      <c r="A117" s="5"/>
      <c r="B117" s="5"/>
      <c r="C117" s="5"/>
      <c r="D117" s="5"/>
      <c r="E117" s="5"/>
      <c r="F117" s="5"/>
      <c r="G117" s="5"/>
      <c r="H117" s="306"/>
      <c r="I117" s="306"/>
      <c r="J117" s="5"/>
      <c r="K117" s="5"/>
      <c r="L117" s="5"/>
      <c r="M117" s="5"/>
      <c r="N117" s="5"/>
      <c r="O117" s="5"/>
      <c r="P117" s="57"/>
      <c r="Q117" s="5"/>
      <c r="R117" s="5"/>
      <c r="S117" s="5"/>
      <c r="T117" s="5"/>
      <c r="U117" s="5"/>
      <c r="V117" s="5"/>
      <c r="W117" s="5"/>
      <c r="X117" s="5"/>
      <c r="Y117" s="5"/>
      <c r="Z117" s="5"/>
      <c r="AA117" s="5"/>
    </row>
    <row r="118" spans="1:27" ht="12.75" customHeight="1">
      <c r="A118" s="5"/>
      <c r="B118" s="5"/>
      <c r="C118" s="5"/>
      <c r="D118" s="5"/>
      <c r="E118" s="5"/>
      <c r="F118" s="5"/>
      <c r="G118" s="5"/>
      <c r="H118" s="306"/>
      <c r="I118" s="306"/>
      <c r="J118" s="5"/>
      <c r="K118" s="5"/>
      <c r="L118" s="5"/>
      <c r="M118" s="5"/>
      <c r="N118" s="5"/>
      <c r="O118" s="5"/>
      <c r="P118" s="57"/>
      <c r="Q118" s="5"/>
      <c r="R118" s="5"/>
      <c r="S118" s="5"/>
      <c r="T118" s="5"/>
      <c r="U118" s="5"/>
      <c r="V118" s="5"/>
      <c r="W118" s="5"/>
      <c r="X118" s="5"/>
      <c r="Y118" s="5"/>
      <c r="Z118" s="5"/>
      <c r="AA118" s="5"/>
    </row>
    <row r="119" spans="1:27" ht="12.75" customHeight="1">
      <c r="A119" s="5"/>
      <c r="B119" s="5"/>
      <c r="C119" s="5"/>
      <c r="D119" s="5"/>
      <c r="E119" s="5"/>
      <c r="F119" s="5"/>
      <c r="G119" s="5"/>
      <c r="H119" s="306"/>
      <c r="I119" s="306"/>
      <c r="J119" s="5"/>
      <c r="K119" s="5"/>
      <c r="L119" s="5"/>
      <c r="M119" s="5"/>
      <c r="N119" s="5"/>
      <c r="O119" s="5"/>
      <c r="P119" s="57"/>
      <c r="Q119" s="5"/>
      <c r="R119" s="5"/>
      <c r="S119" s="5"/>
      <c r="T119" s="5"/>
      <c r="U119" s="5"/>
      <c r="V119" s="5"/>
      <c r="W119" s="5"/>
      <c r="X119" s="5"/>
      <c r="Y119" s="5"/>
      <c r="Z119" s="5"/>
      <c r="AA119" s="5"/>
    </row>
    <row r="120" spans="1:27" ht="12.75" customHeight="1">
      <c r="A120" s="5"/>
      <c r="B120" s="5"/>
      <c r="C120" s="5"/>
      <c r="D120" s="5"/>
      <c r="E120" s="5"/>
      <c r="F120" s="5"/>
      <c r="G120" s="5"/>
      <c r="H120" s="306"/>
      <c r="I120" s="306"/>
      <c r="J120" s="5"/>
      <c r="K120" s="5"/>
      <c r="L120" s="5"/>
      <c r="M120" s="5"/>
      <c r="N120" s="5"/>
      <c r="O120" s="5"/>
      <c r="P120" s="57"/>
      <c r="Q120" s="5"/>
      <c r="R120" s="5"/>
      <c r="S120" s="5"/>
      <c r="T120" s="5"/>
      <c r="U120" s="5"/>
      <c r="V120" s="5"/>
      <c r="W120" s="5"/>
      <c r="X120" s="5"/>
      <c r="Y120" s="5"/>
      <c r="Z120" s="5"/>
      <c r="AA120" s="5"/>
    </row>
    <row r="121" spans="1:27" ht="12.75" customHeight="1">
      <c r="A121" s="5"/>
      <c r="B121" s="5"/>
      <c r="C121" s="5"/>
      <c r="D121" s="5"/>
      <c r="E121" s="5"/>
      <c r="F121" s="5"/>
      <c r="G121" s="5"/>
      <c r="H121" s="306"/>
      <c r="I121" s="306"/>
      <c r="J121" s="5"/>
      <c r="K121" s="5"/>
      <c r="L121" s="5"/>
      <c r="M121" s="5"/>
      <c r="N121" s="5"/>
      <c r="O121" s="5"/>
      <c r="P121" s="57"/>
      <c r="Q121" s="5"/>
      <c r="R121" s="5"/>
      <c r="S121" s="5"/>
      <c r="T121" s="5"/>
      <c r="U121" s="5"/>
      <c r="V121" s="5"/>
      <c r="W121" s="5"/>
      <c r="X121" s="5"/>
      <c r="Y121" s="5"/>
      <c r="Z121" s="5"/>
      <c r="AA121" s="5"/>
    </row>
    <row r="122" spans="1:27" ht="12.75" customHeight="1">
      <c r="A122" s="5"/>
      <c r="B122" s="5"/>
      <c r="C122" s="5"/>
      <c r="D122" s="5"/>
      <c r="E122" s="5"/>
      <c r="F122" s="5"/>
      <c r="G122" s="5"/>
      <c r="H122" s="306"/>
      <c r="I122" s="306"/>
      <c r="J122" s="5"/>
      <c r="K122" s="5"/>
      <c r="L122" s="5"/>
      <c r="M122" s="5"/>
      <c r="N122" s="5"/>
      <c r="O122" s="5"/>
      <c r="P122" s="57"/>
      <c r="Q122" s="5"/>
      <c r="R122" s="5"/>
      <c r="S122" s="5"/>
      <c r="T122" s="5"/>
      <c r="U122" s="5"/>
      <c r="V122" s="5"/>
      <c r="W122" s="5"/>
      <c r="X122" s="5"/>
      <c r="Y122" s="5"/>
      <c r="Z122" s="5"/>
      <c r="AA122" s="5"/>
    </row>
    <row r="123" spans="1:27" ht="12.75" customHeight="1">
      <c r="A123" s="5"/>
      <c r="B123" s="5"/>
      <c r="C123" s="5"/>
      <c r="D123" s="5"/>
      <c r="E123" s="5"/>
      <c r="F123" s="5"/>
      <c r="G123" s="5"/>
      <c r="H123" s="306"/>
      <c r="I123" s="306"/>
      <c r="J123" s="5"/>
      <c r="K123" s="5"/>
      <c r="L123" s="5"/>
      <c r="M123" s="5"/>
      <c r="N123" s="5"/>
      <c r="O123" s="5"/>
      <c r="P123" s="57"/>
      <c r="Q123" s="5"/>
      <c r="R123" s="5"/>
      <c r="S123" s="5"/>
      <c r="T123" s="5"/>
      <c r="U123" s="5"/>
      <c r="V123" s="5"/>
      <c r="W123" s="5"/>
      <c r="X123" s="5"/>
      <c r="Y123" s="5"/>
      <c r="Z123" s="5"/>
      <c r="AA123" s="5"/>
    </row>
    <row r="124" spans="1:27" ht="12.75" customHeight="1">
      <c r="A124" s="5"/>
      <c r="B124" s="5"/>
      <c r="C124" s="5"/>
      <c r="D124" s="5"/>
      <c r="E124" s="5"/>
      <c r="F124" s="5"/>
      <c r="G124" s="5"/>
      <c r="H124" s="306"/>
      <c r="I124" s="306"/>
      <c r="J124" s="5"/>
      <c r="K124" s="5"/>
      <c r="L124" s="5"/>
      <c r="M124" s="5"/>
      <c r="N124" s="5"/>
      <c r="O124" s="5"/>
      <c r="P124" s="57"/>
      <c r="Q124" s="5"/>
      <c r="R124" s="5"/>
      <c r="S124" s="5"/>
      <c r="T124" s="5"/>
      <c r="U124" s="5"/>
      <c r="V124" s="5"/>
      <c r="W124" s="5"/>
      <c r="X124" s="5"/>
      <c r="Y124" s="5"/>
      <c r="Z124" s="5"/>
      <c r="AA124" s="5"/>
    </row>
    <row r="125" spans="1:27" ht="12.75" customHeight="1">
      <c r="A125" s="5"/>
      <c r="B125" s="5"/>
      <c r="C125" s="5"/>
      <c r="D125" s="5"/>
      <c r="E125" s="5"/>
      <c r="F125" s="5"/>
      <c r="G125" s="5"/>
      <c r="H125" s="306"/>
      <c r="I125" s="306"/>
      <c r="J125" s="5"/>
      <c r="K125" s="5"/>
      <c r="L125" s="5"/>
      <c r="M125" s="5"/>
      <c r="N125" s="5"/>
      <c r="O125" s="5"/>
      <c r="P125" s="57"/>
      <c r="Q125" s="5"/>
      <c r="R125" s="5"/>
      <c r="S125" s="5"/>
      <c r="T125" s="5"/>
      <c r="U125" s="5"/>
      <c r="V125" s="5"/>
      <c r="W125" s="5"/>
      <c r="X125" s="5"/>
      <c r="Y125" s="5"/>
      <c r="Z125" s="5"/>
      <c r="AA125" s="5"/>
    </row>
    <row r="126" spans="1:27" ht="12.75" customHeight="1">
      <c r="A126" s="5"/>
      <c r="B126" s="5"/>
      <c r="C126" s="5"/>
      <c r="D126" s="5"/>
      <c r="E126" s="5"/>
      <c r="F126" s="5"/>
      <c r="G126" s="5"/>
      <c r="H126" s="306"/>
      <c r="I126" s="306"/>
      <c r="J126" s="5"/>
      <c r="K126" s="5"/>
      <c r="L126" s="5"/>
      <c r="M126" s="5"/>
      <c r="N126" s="5"/>
      <c r="O126" s="5"/>
      <c r="P126" s="57"/>
      <c r="Q126" s="5"/>
      <c r="R126" s="5"/>
      <c r="S126" s="5"/>
      <c r="T126" s="5"/>
      <c r="U126" s="5"/>
      <c r="V126" s="5"/>
      <c r="W126" s="5"/>
      <c r="X126" s="5"/>
      <c r="Y126" s="5"/>
      <c r="Z126" s="5"/>
      <c r="AA126" s="5"/>
    </row>
    <row r="127" spans="1:27" ht="12.75" customHeight="1">
      <c r="A127" s="5"/>
      <c r="B127" s="5"/>
      <c r="C127" s="5"/>
      <c r="D127" s="5"/>
      <c r="E127" s="5"/>
      <c r="F127" s="5"/>
      <c r="G127" s="5"/>
      <c r="H127" s="306"/>
      <c r="I127" s="306"/>
      <c r="J127" s="5"/>
      <c r="K127" s="5"/>
      <c r="L127" s="5"/>
      <c r="M127" s="5"/>
      <c r="N127" s="5"/>
      <c r="O127" s="5"/>
      <c r="P127" s="57"/>
      <c r="Q127" s="5"/>
      <c r="R127" s="5"/>
      <c r="S127" s="5"/>
      <c r="T127" s="5"/>
      <c r="U127" s="5"/>
      <c r="V127" s="5"/>
      <c r="W127" s="5"/>
      <c r="X127" s="5"/>
      <c r="Y127" s="5"/>
      <c r="Z127" s="5"/>
      <c r="AA127" s="5"/>
    </row>
    <row r="128" spans="1:27" ht="12.75" customHeight="1">
      <c r="A128" s="5"/>
      <c r="B128" s="5"/>
      <c r="C128" s="5"/>
      <c r="D128" s="5"/>
      <c r="E128" s="5"/>
      <c r="F128" s="5"/>
      <c r="G128" s="5"/>
      <c r="H128" s="306"/>
      <c r="I128" s="306"/>
      <c r="J128" s="5"/>
      <c r="K128" s="5"/>
      <c r="L128" s="5"/>
      <c r="M128" s="5"/>
      <c r="N128" s="5"/>
      <c r="O128" s="5"/>
      <c r="P128" s="57"/>
      <c r="Q128" s="5"/>
      <c r="R128" s="5"/>
      <c r="S128" s="5"/>
      <c r="T128" s="5"/>
      <c r="U128" s="5"/>
      <c r="V128" s="5"/>
      <c r="W128" s="5"/>
      <c r="X128" s="5"/>
      <c r="Y128" s="5"/>
      <c r="Z128" s="5"/>
      <c r="AA128" s="5"/>
    </row>
    <row r="129" spans="1:27" ht="12.75" customHeight="1">
      <c r="A129" s="5"/>
      <c r="B129" s="5"/>
      <c r="C129" s="5"/>
      <c r="D129" s="5"/>
      <c r="E129" s="5"/>
      <c r="F129" s="5"/>
      <c r="G129" s="5"/>
      <c r="H129" s="306"/>
      <c r="I129" s="306"/>
      <c r="J129" s="5"/>
      <c r="K129" s="5"/>
      <c r="L129" s="5"/>
      <c r="M129" s="5"/>
      <c r="N129" s="5"/>
      <c r="O129" s="5"/>
      <c r="P129" s="57"/>
      <c r="Q129" s="5"/>
      <c r="R129" s="5"/>
      <c r="S129" s="5"/>
      <c r="T129" s="5"/>
      <c r="U129" s="5"/>
      <c r="V129" s="5"/>
      <c r="W129" s="5"/>
      <c r="X129" s="5"/>
      <c r="Y129" s="5"/>
      <c r="Z129" s="5"/>
      <c r="AA129" s="5"/>
    </row>
    <row r="130" spans="1:27" ht="12.75" customHeight="1">
      <c r="A130" s="5"/>
      <c r="B130" s="5"/>
      <c r="C130" s="5"/>
      <c r="D130" s="5"/>
      <c r="E130" s="5"/>
      <c r="F130" s="5"/>
      <c r="G130" s="5"/>
      <c r="H130" s="306"/>
      <c r="I130" s="306"/>
      <c r="J130" s="5"/>
      <c r="K130" s="5"/>
      <c r="L130" s="5"/>
      <c r="M130" s="5"/>
      <c r="N130" s="5"/>
      <c r="O130" s="5"/>
      <c r="P130" s="57"/>
      <c r="Q130" s="5"/>
      <c r="R130" s="5"/>
      <c r="S130" s="5"/>
      <c r="T130" s="5"/>
      <c r="U130" s="5"/>
      <c r="V130" s="5"/>
      <c r="W130" s="5"/>
      <c r="X130" s="5"/>
      <c r="Y130" s="5"/>
      <c r="Z130" s="5"/>
      <c r="AA130" s="5"/>
    </row>
    <row r="131" spans="1:27" ht="12.75" customHeight="1">
      <c r="A131" s="5"/>
      <c r="B131" s="5"/>
      <c r="C131" s="5"/>
      <c r="D131" s="5"/>
      <c r="E131" s="5"/>
      <c r="F131" s="5"/>
      <c r="G131" s="5"/>
      <c r="H131" s="306"/>
      <c r="I131" s="306"/>
      <c r="J131" s="5"/>
      <c r="K131" s="5"/>
      <c r="L131" s="5"/>
      <c r="M131" s="5"/>
      <c r="N131" s="5"/>
      <c r="O131" s="5"/>
      <c r="P131" s="57"/>
      <c r="Q131" s="5"/>
      <c r="R131" s="5"/>
      <c r="S131" s="5"/>
      <c r="T131" s="5"/>
      <c r="U131" s="5"/>
      <c r="V131" s="5"/>
      <c r="W131" s="5"/>
      <c r="X131" s="5"/>
      <c r="Y131" s="5"/>
      <c r="Z131" s="5"/>
      <c r="AA131" s="5"/>
    </row>
    <row r="132" spans="1:27" ht="12.75" customHeight="1">
      <c r="A132" s="5"/>
      <c r="B132" s="5"/>
      <c r="C132" s="5"/>
      <c r="D132" s="5"/>
      <c r="E132" s="5"/>
      <c r="F132" s="5"/>
      <c r="G132" s="5"/>
      <c r="H132" s="306"/>
      <c r="I132" s="306"/>
      <c r="J132" s="5"/>
      <c r="K132" s="5"/>
      <c r="L132" s="5"/>
      <c r="M132" s="5"/>
      <c r="N132" s="5"/>
      <c r="O132" s="5"/>
      <c r="P132" s="57"/>
      <c r="Q132" s="5"/>
      <c r="R132" s="5"/>
      <c r="S132" s="5"/>
      <c r="T132" s="5"/>
      <c r="U132" s="5"/>
      <c r="V132" s="5"/>
      <c r="W132" s="5"/>
      <c r="X132" s="5"/>
      <c r="Y132" s="5"/>
      <c r="Z132" s="5"/>
      <c r="AA132" s="5"/>
    </row>
    <row r="133" spans="1:27" ht="12.75" customHeight="1">
      <c r="A133" s="5"/>
      <c r="B133" s="5"/>
      <c r="C133" s="5"/>
      <c r="D133" s="5"/>
      <c r="E133" s="5"/>
      <c r="F133" s="5"/>
      <c r="G133" s="5"/>
      <c r="H133" s="306"/>
      <c r="I133" s="306"/>
      <c r="J133" s="5"/>
      <c r="K133" s="5"/>
      <c r="L133" s="5"/>
      <c r="M133" s="5"/>
      <c r="N133" s="5"/>
      <c r="O133" s="5"/>
      <c r="P133" s="57"/>
      <c r="Q133" s="5"/>
      <c r="R133" s="5"/>
      <c r="S133" s="5"/>
      <c r="T133" s="5"/>
      <c r="U133" s="5"/>
      <c r="V133" s="5"/>
      <c r="W133" s="5"/>
      <c r="X133" s="5"/>
      <c r="Y133" s="5"/>
      <c r="Z133" s="5"/>
      <c r="AA133" s="5"/>
    </row>
    <row r="134" spans="1:27" ht="12.75" customHeight="1">
      <c r="A134" s="5"/>
      <c r="B134" s="5"/>
      <c r="C134" s="5"/>
      <c r="D134" s="5"/>
      <c r="E134" s="5"/>
      <c r="F134" s="5"/>
      <c r="G134" s="5"/>
      <c r="H134" s="306"/>
      <c r="I134" s="306"/>
      <c r="J134" s="5"/>
      <c r="K134" s="5"/>
      <c r="L134" s="5"/>
      <c r="M134" s="5"/>
      <c r="N134" s="5"/>
      <c r="O134" s="5"/>
      <c r="P134" s="57"/>
      <c r="Q134" s="5"/>
      <c r="R134" s="5"/>
      <c r="S134" s="5"/>
      <c r="T134" s="5"/>
      <c r="U134" s="5"/>
      <c r="V134" s="5"/>
      <c r="W134" s="5"/>
      <c r="X134" s="5"/>
      <c r="Y134" s="5"/>
      <c r="Z134" s="5"/>
      <c r="AA134" s="5"/>
    </row>
    <row r="135" spans="1:27" ht="12.75" customHeight="1">
      <c r="A135" s="5"/>
      <c r="B135" s="5"/>
      <c r="C135" s="5"/>
      <c r="D135" s="5"/>
      <c r="E135" s="5"/>
      <c r="F135" s="5"/>
      <c r="G135" s="5"/>
      <c r="H135" s="306"/>
      <c r="I135" s="306"/>
      <c r="J135" s="5"/>
      <c r="K135" s="5"/>
      <c r="L135" s="5"/>
      <c r="M135" s="5"/>
      <c r="N135" s="5"/>
      <c r="O135" s="5"/>
      <c r="P135" s="57"/>
      <c r="Q135" s="5"/>
      <c r="R135" s="5"/>
      <c r="S135" s="5"/>
      <c r="T135" s="5"/>
      <c r="U135" s="5"/>
      <c r="V135" s="5"/>
      <c r="W135" s="5"/>
      <c r="X135" s="5"/>
      <c r="Y135" s="5"/>
      <c r="Z135" s="5"/>
      <c r="AA135" s="5"/>
    </row>
    <row r="136" spans="1:27" ht="12.75" customHeight="1">
      <c r="A136" s="5"/>
      <c r="B136" s="5"/>
      <c r="C136" s="5"/>
      <c r="D136" s="5"/>
      <c r="E136" s="5"/>
      <c r="F136" s="5"/>
      <c r="G136" s="5"/>
      <c r="H136" s="306"/>
      <c r="I136" s="306"/>
      <c r="J136" s="5"/>
      <c r="K136" s="5"/>
      <c r="L136" s="5"/>
      <c r="M136" s="5"/>
      <c r="N136" s="5"/>
      <c r="O136" s="5"/>
      <c r="P136" s="57"/>
      <c r="Q136" s="5"/>
      <c r="R136" s="5"/>
      <c r="S136" s="5"/>
      <c r="T136" s="5"/>
      <c r="U136" s="5"/>
      <c r="V136" s="5"/>
      <c r="W136" s="5"/>
      <c r="X136" s="5"/>
      <c r="Y136" s="5"/>
      <c r="Z136" s="5"/>
      <c r="AA136" s="5"/>
    </row>
    <row r="137" spans="1:27" ht="12.75" customHeight="1">
      <c r="A137" s="5"/>
      <c r="B137" s="5"/>
      <c r="C137" s="5"/>
      <c r="D137" s="5"/>
      <c r="E137" s="5"/>
      <c r="F137" s="5"/>
      <c r="G137" s="5"/>
      <c r="H137" s="306"/>
      <c r="I137" s="306"/>
      <c r="J137" s="5"/>
      <c r="K137" s="5"/>
      <c r="L137" s="5"/>
      <c r="M137" s="5"/>
      <c r="N137" s="5"/>
      <c r="O137" s="5"/>
      <c r="P137" s="57"/>
      <c r="Q137" s="5"/>
      <c r="R137" s="5"/>
      <c r="S137" s="5"/>
      <c r="T137" s="5"/>
      <c r="U137" s="5"/>
      <c r="V137" s="5"/>
      <c r="W137" s="5"/>
      <c r="X137" s="5"/>
      <c r="Y137" s="5"/>
      <c r="Z137" s="5"/>
      <c r="AA137" s="5"/>
    </row>
    <row r="138" spans="1:27" ht="12.75" customHeight="1">
      <c r="A138" s="5"/>
      <c r="B138" s="5"/>
      <c r="C138" s="5"/>
      <c r="D138" s="5"/>
      <c r="E138" s="5"/>
      <c r="F138" s="5"/>
      <c r="G138" s="5"/>
      <c r="H138" s="306"/>
      <c r="I138" s="306"/>
      <c r="J138" s="5"/>
      <c r="K138" s="5"/>
      <c r="L138" s="5"/>
      <c r="M138" s="5"/>
      <c r="N138" s="5"/>
      <c r="O138" s="5"/>
      <c r="P138" s="57"/>
      <c r="Q138" s="5"/>
      <c r="R138" s="5"/>
      <c r="S138" s="5"/>
      <c r="T138" s="5"/>
      <c r="U138" s="5"/>
      <c r="V138" s="5"/>
      <c r="W138" s="5"/>
      <c r="X138" s="5"/>
      <c r="Y138" s="5"/>
      <c r="Z138" s="5"/>
      <c r="AA138" s="5"/>
    </row>
    <row r="139" spans="1:27" ht="12.75" customHeight="1">
      <c r="A139" s="5"/>
      <c r="B139" s="5"/>
      <c r="C139" s="5"/>
      <c r="D139" s="5"/>
      <c r="E139" s="5"/>
      <c r="F139" s="5"/>
      <c r="G139" s="5"/>
      <c r="H139" s="306"/>
      <c r="I139" s="306"/>
      <c r="J139" s="5"/>
      <c r="K139" s="5"/>
      <c r="L139" s="5"/>
      <c r="M139" s="5"/>
      <c r="N139" s="5"/>
      <c r="O139" s="5"/>
      <c r="P139" s="57"/>
      <c r="Q139" s="5"/>
      <c r="R139" s="5"/>
      <c r="S139" s="5"/>
      <c r="T139" s="5"/>
      <c r="U139" s="5"/>
      <c r="V139" s="5"/>
      <c r="W139" s="5"/>
      <c r="X139" s="5"/>
      <c r="Y139" s="5"/>
      <c r="Z139" s="5"/>
      <c r="AA139" s="5"/>
    </row>
    <row r="140" spans="1:27" ht="12.75" customHeight="1">
      <c r="A140" s="5"/>
      <c r="B140" s="5"/>
      <c r="C140" s="5"/>
      <c r="D140" s="5"/>
      <c r="E140" s="5"/>
      <c r="F140" s="5"/>
      <c r="G140" s="5"/>
      <c r="H140" s="306"/>
      <c r="I140" s="306"/>
      <c r="J140" s="5"/>
      <c r="K140" s="5"/>
      <c r="L140" s="5"/>
      <c r="M140" s="5"/>
      <c r="N140" s="5"/>
      <c r="O140" s="5"/>
      <c r="P140" s="57"/>
      <c r="Q140" s="5"/>
      <c r="R140" s="5"/>
      <c r="S140" s="5"/>
      <c r="T140" s="5"/>
      <c r="U140" s="5"/>
      <c r="V140" s="5"/>
      <c r="W140" s="5"/>
      <c r="X140" s="5"/>
      <c r="Y140" s="5"/>
      <c r="Z140" s="5"/>
      <c r="AA140" s="5"/>
    </row>
    <row r="141" spans="1:27" ht="12.75" customHeight="1">
      <c r="A141" s="5"/>
      <c r="B141" s="5"/>
      <c r="C141" s="5"/>
      <c r="D141" s="5"/>
      <c r="E141" s="5"/>
      <c r="F141" s="5"/>
      <c r="G141" s="5"/>
      <c r="H141" s="306"/>
      <c r="I141" s="306"/>
      <c r="J141" s="5"/>
      <c r="K141" s="5"/>
      <c r="L141" s="5"/>
      <c r="M141" s="5"/>
      <c r="N141" s="5"/>
      <c r="O141" s="5"/>
      <c r="P141" s="57"/>
      <c r="Q141" s="5"/>
      <c r="R141" s="5"/>
      <c r="S141" s="5"/>
      <c r="T141" s="5"/>
      <c r="U141" s="5"/>
      <c r="V141" s="5"/>
      <c r="W141" s="5"/>
      <c r="X141" s="5"/>
      <c r="Y141" s="5"/>
      <c r="Z141" s="5"/>
      <c r="AA141" s="5"/>
    </row>
    <row r="142" spans="1:27" ht="12.75" customHeight="1">
      <c r="A142" s="5"/>
      <c r="B142" s="5"/>
      <c r="C142" s="5"/>
      <c r="D142" s="5"/>
      <c r="E142" s="5"/>
      <c r="F142" s="5"/>
      <c r="G142" s="5"/>
      <c r="H142" s="306"/>
      <c r="I142" s="306"/>
      <c r="J142" s="5"/>
      <c r="K142" s="5"/>
      <c r="L142" s="5"/>
      <c r="M142" s="5"/>
      <c r="N142" s="5"/>
      <c r="O142" s="5"/>
      <c r="P142" s="57"/>
      <c r="Q142" s="5"/>
      <c r="R142" s="5"/>
      <c r="S142" s="5"/>
      <c r="T142" s="5"/>
      <c r="U142" s="5"/>
      <c r="V142" s="5"/>
      <c r="W142" s="5"/>
      <c r="X142" s="5"/>
      <c r="Y142" s="5"/>
      <c r="Z142" s="5"/>
      <c r="AA142" s="5"/>
    </row>
    <row r="143" spans="1:27" ht="12.75" customHeight="1">
      <c r="A143" s="5"/>
      <c r="B143" s="5"/>
      <c r="C143" s="5"/>
      <c r="D143" s="5"/>
      <c r="E143" s="5"/>
      <c r="F143" s="5"/>
      <c r="G143" s="5"/>
      <c r="H143" s="306"/>
      <c r="I143" s="306"/>
      <c r="J143" s="5"/>
      <c r="K143" s="5"/>
      <c r="L143" s="5"/>
      <c r="M143" s="5"/>
      <c r="N143" s="5"/>
      <c r="O143" s="5"/>
      <c r="P143" s="57"/>
      <c r="Q143" s="5"/>
      <c r="R143" s="5"/>
      <c r="S143" s="5"/>
      <c r="T143" s="5"/>
      <c r="U143" s="5"/>
      <c r="V143" s="5"/>
      <c r="W143" s="5"/>
      <c r="X143" s="5"/>
      <c r="Y143" s="5"/>
      <c r="Z143" s="5"/>
      <c r="AA143" s="5"/>
    </row>
    <row r="144" spans="1:27" ht="12.75" customHeight="1">
      <c r="A144" s="5"/>
      <c r="B144" s="5"/>
      <c r="C144" s="5"/>
      <c r="D144" s="5"/>
      <c r="E144" s="5"/>
      <c r="F144" s="5"/>
      <c r="G144" s="5"/>
      <c r="H144" s="306"/>
      <c r="I144" s="306"/>
      <c r="J144" s="5"/>
      <c r="K144" s="5"/>
      <c r="L144" s="5"/>
      <c r="M144" s="5"/>
      <c r="N144" s="5"/>
      <c r="O144" s="5"/>
      <c r="P144" s="57"/>
      <c r="Q144" s="5"/>
      <c r="R144" s="5"/>
      <c r="S144" s="5"/>
      <c r="T144" s="5"/>
      <c r="U144" s="5"/>
      <c r="V144" s="5"/>
      <c r="W144" s="5"/>
      <c r="X144" s="5"/>
      <c r="Y144" s="5"/>
      <c r="Z144" s="5"/>
      <c r="AA144" s="5"/>
    </row>
    <row r="145" spans="1:27" ht="12.75" customHeight="1">
      <c r="A145" s="5"/>
      <c r="B145" s="5"/>
      <c r="C145" s="5"/>
      <c r="D145" s="5"/>
      <c r="E145" s="5"/>
      <c r="F145" s="5"/>
      <c r="G145" s="5"/>
      <c r="H145" s="306"/>
      <c r="I145" s="306"/>
      <c r="J145" s="5"/>
      <c r="K145" s="5"/>
      <c r="L145" s="5"/>
      <c r="M145" s="5"/>
      <c r="N145" s="5"/>
      <c r="O145" s="5"/>
      <c r="P145" s="57"/>
      <c r="Q145" s="5"/>
      <c r="R145" s="5"/>
      <c r="S145" s="5"/>
      <c r="T145" s="5"/>
      <c r="U145" s="5"/>
      <c r="V145" s="5"/>
      <c r="W145" s="5"/>
      <c r="X145" s="5"/>
      <c r="Y145" s="5"/>
      <c r="Z145" s="5"/>
      <c r="AA145" s="5"/>
    </row>
    <row r="146" spans="1:27" ht="12.75" customHeight="1">
      <c r="A146" s="5"/>
      <c r="B146" s="5"/>
      <c r="C146" s="5"/>
      <c r="D146" s="5"/>
      <c r="E146" s="5"/>
      <c r="F146" s="5"/>
      <c r="G146" s="5"/>
      <c r="H146" s="306"/>
      <c r="I146" s="306"/>
      <c r="J146" s="5"/>
      <c r="K146" s="5"/>
      <c r="L146" s="5"/>
      <c r="M146" s="5"/>
      <c r="N146" s="5"/>
      <c r="O146" s="5"/>
      <c r="P146" s="57"/>
      <c r="Q146" s="5"/>
      <c r="R146" s="5"/>
      <c r="S146" s="5"/>
      <c r="T146" s="5"/>
      <c r="U146" s="5"/>
      <c r="V146" s="5"/>
      <c r="W146" s="5"/>
      <c r="X146" s="5"/>
      <c r="Y146" s="5"/>
      <c r="Z146" s="5"/>
      <c r="AA146" s="5"/>
    </row>
    <row r="147" spans="1:27" ht="12.75" customHeight="1">
      <c r="A147" s="5"/>
      <c r="B147" s="5"/>
      <c r="C147" s="5"/>
      <c r="D147" s="5"/>
      <c r="E147" s="5"/>
      <c r="F147" s="5"/>
      <c r="G147" s="5"/>
      <c r="H147" s="306"/>
      <c r="I147" s="306"/>
      <c r="J147" s="5"/>
      <c r="K147" s="5"/>
      <c r="L147" s="5"/>
      <c r="M147" s="5"/>
      <c r="N147" s="5"/>
      <c r="O147" s="5"/>
      <c r="P147" s="57"/>
      <c r="Q147" s="5"/>
      <c r="R147" s="5"/>
      <c r="S147" s="5"/>
      <c r="T147" s="5"/>
      <c r="U147" s="5"/>
      <c r="V147" s="5"/>
      <c r="W147" s="5"/>
      <c r="X147" s="5"/>
      <c r="Y147" s="5"/>
      <c r="Z147" s="5"/>
      <c r="AA147" s="5"/>
    </row>
    <row r="148" spans="1:27" ht="12.75" customHeight="1">
      <c r="A148" s="5"/>
      <c r="B148" s="5"/>
      <c r="C148" s="5"/>
      <c r="D148" s="5"/>
      <c r="E148" s="5"/>
      <c r="F148" s="5"/>
      <c r="G148" s="5"/>
      <c r="H148" s="306"/>
      <c r="I148" s="306"/>
      <c r="J148" s="5"/>
      <c r="K148" s="5"/>
      <c r="L148" s="5"/>
      <c r="M148" s="5"/>
      <c r="N148" s="5"/>
      <c r="O148" s="5"/>
      <c r="P148" s="57"/>
      <c r="Q148" s="5"/>
      <c r="R148" s="5"/>
      <c r="S148" s="5"/>
      <c r="T148" s="5"/>
      <c r="U148" s="5"/>
      <c r="V148" s="5"/>
      <c r="W148" s="5"/>
      <c r="X148" s="5"/>
      <c r="Y148" s="5"/>
      <c r="Z148" s="5"/>
      <c r="AA148" s="5"/>
    </row>
    <row r="149" spans="1:27" ht="12.75" customHeight="1">
      <c r="A149" s="5"/>
      <c r="B149" s="5"/>
      <c r="C149" s="5"/>
      <c r="D149" s="5"/>
      <c r="E149" s="5"/>
      <c r="F149" s="5"/>
      <c r="G149" s="5"/>
      <c r="H149" s="306"/>
      <c r="I149" s="306"/>
      <c r="J149" s="5"/>
      <c r="K149" s="5"/>
      <c r="L149" s="5"/>
      <c r="M149" s="5"/>
      <c r="N149" s="5"/>
      <c r="O149" s="5"/>
      <c r="P149" s="57"/>
      <c r="Q149" s="5"/>
      <c r="R149" s="5"/>
      <c r="S149" s="5"/>
      <c r="T149" s="5"/>
      <c r="U149" s="5"/>
      <c r="V149" s="5"/>
      <c r="W149" s="5"/>
      <c r="X149" s="5"/>
      <c r="Y149" s="5"/>
      <c r="Z149" s="5"/>
      <c r="AA149" s="5"/>
    </row>
    <row r="150" spans="1:27" ht="12.75" customHeight="1">
      <c r="A150" s="5"/>
      <c r="B150" s="5"/>
      <c r="C150" s="5"/>
      <c r="D150" s="5"/>
      <c r="E150" s="5"/>
      <c r="F150" s="5"/>
      <c r="G150" s="5"/>
      <c r="H150" s="306"/>
      <c r="I150" s="306"/>
      <c r="J150" s="5"/>
      <c r="K150" s="5"/>
      <c r="L150" s="5"/>
      <c r="M150" s="5"/>
      <c r="N150" s="5"/>
      <c r="O150" s="5"/>
      <c r="P150" s="57"/>
      <c r="Q150" s="5"/>
      <c r="R150" s="5"/>
      <c r="S150" s="5"/>
      <c r="T150" s="5"/>
      <c r="U150" s="5"/>
      <c r="V150" s="5"/>
      <c r="W150" s="5"/>
      <c r="X150" s="5"/>
      <c r="Y150" s="5"/>
      <c r="Z150" s="5"/>
      <c r="AA150" s="5"/>
    </row>
    <row r="151" spans="1:27" ht="12.75" customHeight="1">
      <c r="A151" s="5"/>
      <c r="B151" s="5"/>
      <c r="C151" s="5"/>
      <c r="D151" s="5"/>
      <c r="E151" s="5"/>
      <c r="F151" s="5"/>
      <c r="G151" s="5"/>
      <c r="H151" s="306"/>
      <c r="I151" s="306"/>
      <c r="J151" s="5"/>
      <c r="K151" s="5"/>
      <c r="L151" s="5"/>
      <c r="M151" s="5"/>
      <c r="N151" s="5"/>
      <c r="O151" s="5"/>
      <c r="P151" s="57"/>
      <c r="Q151" s="5"/>
      <c r="R151" s="5"/>
      <c r="S151" s="5"/>
      <c r="T151" s="5"/>
      <c r="U151" s="5"/>
      <c r="V151" s="5"/>
      <c r="W151" s="5"/>
      <c r="X151" s="5"/>
      <c r="Y151" s="5"/>
      <c r="Z151" s="5"/>
      <c r="AA151" s="5"/>
    </row>
    <row r="152" spans="1:27" ht="12.75" customHeight="1">
      <c r="A152" s="5"/>
      <c r="B152" s="5"/>
      <c r="C152" s="5"/>
      <c r="D152" s="5"/>
      <c r="E152" s="5"/>
      <c r="F152" s="5"/>
      <c r="G152" s="5"/>
      <c r="H152" s="306"/>
      <c r="I152" s="306"/>
      <c r="J152" s="5"/>
      <c r="K152" s="5"/>
      <c r="L152" s="5"/>
      <c r="M152" s="5"/>
      <c r="N152" s="5"/>
      <c r="O152" s="5"/>
      <c r="P152" s="57"/>
      <c r="Q152" s="5"/>
      <c r="R152" s="5"/>
      <c r="S152" s="5"/>
      <c r="T152" s="5"/>
      <c r="U152" s="5"/>
      <c r="V152" s="5"/>
      <c r="W152" s="5"/>
      <c r="X152" s="5"/>
      <c r="Y152" s="5"/>
      <c r="Z152" s="5"/>
      <c r="AA152" s="5"/>
    </row>
    <row r="153" spans="1:27" ht="12.75" customHeight="1">
      <c r="A153" s="5"/>
      <c r="B153" s="5"/>
      <c r="C153" s="5"/>
      <c r="D153" s="5"/>
      <c r="E153" s="5"/>
      <c r="F153" s="5"/>
      <c r="G153" s="5"/>
      <c r="H153" s="306"/>
      <c r="I153" s="306"/>
      <c r="J153" s="5"/>
      <c r="K153" s="5"/>
      <c r="L153" s="5"/>
      <c r="M153" s="5"/>
      <c r="N153" s="5"/>
      <c r="O153" s="5"/>
      <c r="P153" s="57"/>
      <c r="Q153" s="5"/>
      <c r="R153" s="5"/>
      <c r="S153" s="5"/>
      <c r="T153" s="5"/>
      <c r="U153" s="5"/>
      <c r="V153" s="5"/>
      <c r="W153" s="5"/>
      <c r="X153" s="5"/>
      <c r="Y153" s="5"/>
      <c r="Z153" s="5"/>
      <c r="AA153" s="5"/>
    </row>
    <row r="154" spans="1:27" ht="12.75" customHeight="1">
      <c r="A154" s="5"/>
      <c r="B154" s="5"/>
      <c r="C154" s="5"/>
      <c r="D154" s="5"/>
      <c r="E154" s="5"/>
      <c r="F154" s="5"/>
      <c r="G154" s="5"/>
      <c r="H154" s="306"/>
      <c r="I154" s="306"/>
      <c r="J154" s="5"/>
      <c r="K154" s="5"/>
      <c r="L154" s="5"/>
      <c r="M154" s="5"/>
      <c r="N154" s="5"/>
      <c r="O154" s="5"/>
      <c r="P154" s="57"/>
      <c r="Q154" s="5"/>
      <c r="R154" s="5"/>
      <c r="S154" s="5"/>
      <c r="T154" s="5"/>
      <c r="U154" s="5"/>
      <c r="V154" s="5"/>
      <c r="W154" s="5"/>
      <c r="X154" s="5"/>
      <c r="Y154" s="5"/>
      <c r="Z154" s="5"/>
      <c r="AA154" s="5"/>
    </row>
    <row r="155" spans="1:27" ht="12.75" customHeight="1">
      <c r="A155" s="5"/>
      <c r="B155" s="5"/>
      <c r="C155" s="5"/>
      <c r="D155" s="5"/>
      <c r="E155" s="5"/>
      <c r="F155" s="5"/>
      <c r="G155" s="5"/>
      <c r="H155" s="306"/>
      <c r="I155" s="306"/>
      <c r="J155" s="5"/>
      <c r="K155" s="5"/>
      <c r="L155" s="5"/>
      <c r="M155" s="5"/>
      <c r="N155" s="5"/>
      <c r="O155" s="5"/>
      <c r="P155" s="57"/>
      <c r="Q155" s="5"/>
      <c r="R155" s="5"/>
      <c r="S155" s="5"/>
      <c r="T155" s="5"/>
      <c r="U155" s="5"/>
      <c r="V155" s="5"/>
      <c r="W155" s="5"/>
      <c r="X155" s="5"/>
      <c r="Y155" s="5"/>
      <c r="Z155" s="5"/>
      <c r="AA155" s="5"/>
    </row>
    <row r="156" spans="1:27" ht="12.75" customHeight="1">
      <c r="A156" s="5"/>
      <c r="B156" s="5"/>
      <c r="C156" s="5"/>
      <c r="D156" s="5"/>
      <c r="E156" s="5"/>
      <c r="F156" s="5"/>
      <c r="G156" s="5"/>
      <c r="H156" s="306"/>
      <c r="I156" s="306"/>
      <c r="J156" s="5"/>
      <c r="K156" s="5"/>
      <c r="L156" s="5"/>
      <c r="M156" s="5"/>
      <c r="N156" s="5"/>
      <c r="O156" s="5"/>
      <c r="P156" s="57"/>
      <c r="Q156" s="5"/>
      <c r="R156" s="5"/>
      <c r="S156" s="5"/>
      <c r="T156" s="5"/>
      <c r="U156" s="5"/>
      <c r="V156" s="5"/>
      <c r="W156" s="5"/>
      <c r="X156" s="5"/>
      <c r="Y156" s="5"/>
      <c r="Z156" s="5"/>
      <c r="AA156" s="5"/>
    </row>
    <row r="157" spans="1:27" ht="12.75" customHeight="1">
      <c r="A157" s="5"/>
      <c r="B157" s="5"/>
      <c r="C157" s="5"/>
      <c r="D157" s="5"/>
      <c r="E157" s="5"/>
      <c r="F157" s="5"/>
      <c r="G157" s="5"/>
      <c r="H157" s="306"/>
      <c r="I157" s="306"/>
      <c r="J157" s="5"/>
      <c r="K157" s="5"/>
      <c r="L157" s="5"/>
      <c r="M157" s="5"/>
      <c r="N157" s="5"/>
      <c r="O157" s="5"/>
      <c r="P157" s="57"/>
      <c r="Q157" s="5"/>
      <c r="R157" s="5"/>
      <c r="S157" s="5"/>
      <c r="T157" s="5"/>
      <c r="U157" s="5"/>
      <c r="V157" s="5"/>
      <c r="W157" s="5"/>
      <c r="X157" s="5"/>
      <c r="Y157" s="5"/>
      <c r="Z157" s="5"/>
      <c r="AA157" s="5"/>
    </row>
    <row r="158" spans="1:27" ht="12.75" customHeight="1">
      <c r="A158" s="5"/>
      <c r="B158" s="5"/>
      <c r="C158" s="5"/>
      <c r="D158" s="5"/>
      <c r="E158" s="5"/>
      <c r="F158" s="5"/>
      <c r="G158" s="5"/>
      <c r="H158" s="306"/>
      <c r="I158" s="306"/>
      <c r="J158" s="5"/>
      <c r="K158" s="5"/>
      <c r="L158" s="5"/>
      <c r="M158" s="5"/>
      <c r="N158" s="5"/>
      <c r="O158" s="5"/>
      <c r="P158" s="57"/>
      <c r="Q158" s="5"/>
      <c r="R158" s="5"/>
      <c r="S158" s="5"/>
      <c r="T158" s="5"/>
      <c r="U158" s="5"/>
      <c r="V158" s="5"/>
      <c r="W158" s="5"/>
      <c r="X158" s="5"/>
      <c r="Y158" s="5"/>
      <c r="Z158" s="5"/>
      <c r="AA158" s="5"/>
    </row>
    <row r="159" spans="1:27" ht="12.75" customHeight="1">
      <c r="A159" s="5"/>
      <c r="B159" s="5"/>
      <c r="C159" s="5"/>
      <c r="D159" s="5"/>
      <c r="E159" s="5"/>
      <c r="F159" s="5"/>
      <c r="G159" s="5"/>
      <c r="H159" s="306"/>
      <c r="I159" s="306"/>
      <c r="J159" s="5"/>
      <c r="K159" s="5"/>
      <c r="L159" s="5"/>
      <c r="M159" s="5"/>
      <c r="N159" s="5"/>
      <c r="O159" s="5"/>
      <c r="P159" s="57"/>
      <c r="Q159" s="5"/>
      <c r="R159" s="5"/>
      <c r="S159" s="5"/>
      <c r="T159" s="5"/>
      <c r="U159" s="5"/>
      <c r="V159" s="5"/>
      <c r="W159" s="5"/>
      <c r="X159" s="5"/>
      <c r="Y159" s="5"/>
      <c r="Z159" s="5"/>
      <c r="AA159" s="5"/>
    </row>
    <row r="160" spans="1:27" ht="12.75" customHeight="1">
      <c r="A160" s="5"/>
      <c r="B160" s="5"/>
      <c r="C160" s="5"/>
      <c r="D160" s="5"/>
      <c r="E160" s="5"/>
      <c r="F160" s="5"/>
      <c r="G160" s="5"/>
      <c r="H160" s="306"/>
      <c r="I160" s="306"/>
      <c r="J160" s="5"/>
      <c r="K160" s="5"/>
      <c r="L160" s="5"/>
      <c r="M160" s="5"/>
      <c r="N160" s="5"/>
      <c r="O160" s="5"/>
      <c r="P160" s="57"/>
      <c r="Q160" s="5"/>
      <c r="R160" s="5"/>
      <c r="S160" s="5"/>
      <c r="T160" s="5"/>
      <c r="U160" s="5"/>
      <c r="V160" s="5"/>
      <c r="W160" s="5"/>
      <c r="X160" s="5"/>
      <c r="Y160" s="5"/>
      <c r="Z160" s="5"/>
      <c r="AA160" s="5"/>
    </row>
    <row r="161" spans="1:27" ht="12.75" customHeight="1">
      <c r="A161" s="5"/>
      <c r="B161" s="5"/>
      <c r="C161" s="5"/>
      <c r="D161" s="5"/>
      <c r="E161" s="5"/>
      <c r="F161" s="5"/>
      <c r="G161" s="5"/>
      <c r="H161" s="306"/>
      <c r="I161" s="306"/>
      <c r="J161" s="5"/>
      <c r="K161" s="5"/>
      <c r="L161" s="5"/>
      <c r="M161" s="5"/>
      <c r="N161" s="5"/>
      <c r="O161" s="5"/>
      <c r="P161" s="57"/>
      <c r="Q161" s="5"/>
      <c r="R161" s="5"/>
      <c r="S161" s="5"/>
      <c r="T161" s="5"/>
      <c r="U161" s="5"/>
      <c r="V161" s="5"/>
      <c r="W161" s="5"/>
      <c r="X161" s="5"/>
      <c r="Y161" s="5"/>
      <c r="Z161" s="5"/>
      <c r="AA161" s="5"/>
    </row>
    <row r="162" spans="1:27" ht="12.75" customHeight="1">
      <c r="A162" s="5"/>
      <c r="B162" s="5"/>
      <c r="C162" s="5"/>
      <c r="D162" s="5"/>
      <c r="E162" s="5"/>
      <c r="F162" s="5"/>
      <c r="G162" s="5"/>
      <c r="H162" s="306"/>
      <c r="I162" s="306"/>
      <c r="J162" s="5"/>
      <c r="K162" s="5"/>
      <c r="L162" s="5"/>
      <c r="M162" s="5"/>
      <c r="N162" s="5"/>
      <c r="O162" s="5"/>
      <c r="P162" s="57"/>
      <c r="Q162" s="5"/>
      <c r="R162" s="5"/>
      <c r="S162" s="5"/>
      <c r="T162" s="5"/>
      <c r="U162" s="5"/>
      <c r="V162" s="5"/>
      <c r="W162" s="5"/>
      <c r="X162" s="5"/>
      <c r="Y162" s="5"/>
      <c r="Z162" s="5"/>
      <c r="AA162" s="5"/>
    </row>
    <row r="163" spans="1:27" ht="12.75" customHeight="1">
      <c r="A163" s="5"/>
      <c r="B163" s="5"/>
      <c r="C163" s="5"/>
      <c r="D163" s="5"/>
      <c r="E163" s="5"/>
      <c r="F163" s="5"/>
      <c r="G163" s="5"/>
      <c r="H163" s="306"/>
      <c r="I163" s="306"/>
      <c r="J163" s="5"/>
      <c r="K163" s="5"/>
      <c r="L163" s="5"/>
      <c r="M163" s="5"/>
      <c r="N163" s="5"/>
      <c r="O163" s="5"/>
      <c r="P163" s="57"/>
      <c r="Q163" s="5"/>
      <c r="R163" s="5"/>
      <c r="S163" s="5"/>
      <c r="T163" s="5"/>
      <c r="U163" s="5"/>
      <c r="V163" s="5"/>
      <c r="W163" s="5"/>
      <c r="X163" s="5"/>
      <c r="Y163" s="5"/>
      <c r="Z163" s="5"/>
      <c r="AA163" s="5"/>
    </row>
    <row r="164" spans="1:27" ht="12.75" customHeight="1">
      <c r="A164" s="5"/>
      <c r="B164" s="5"/>
      <c r="C164" s="5"/>
      <c r="D164" s="5"/>
      <c r="E164" s="5"/>
      <c r="F164" s="5"/>
      <c r="G164" s="5"/>
      <c r="H164" s="306"/>
      <c r="I164" s="306"/>
      <c r="J164" s="5"/>
      <c r="K164" s="5"/>
      <c r="L164" s="5"/>
      <c r="M164" s="5"/>
      <c r="N164" s="5"/>
      <c r="O164" s="5"/>
      <c r="P164" s="57"/>
      <c r="Q164" s="5"/>
      <c r="R164" s="5"/>
      <c r="S164" s="5"/>
      <c r="T164" s="5"/>
      <c r="U164" s="5"/>
      <c r="V164" s="5"/>
      <c r="W164" s="5"/>
      <c r="X164" s="5"/>
      <c r="Y164" s="5"/>
      <c r="Z164" s="5"/>
      <c r="AA164" s="5"/>
    </row>
    <row r="165" spans="1:27" ht="12.75" customHeight="1">
      <c r="A165" s="5"/>
      <c r="B165" s="5"/>
      <c r="C165" s="5"/>
      <c r="D165" s="5"/>
      <c r="E165" s="5"/>
      <c r="F165" s="5"/>
      <c r="G165" s="5"/>
      <c r="H165" s="306"/>
      <c r="I165" s="306"/>
      <c r="J165" s="5"/>
      <c r="K165" s="5"/>
      <c r="L165" s="5"/>
      <c r="M165" s="5"/>
      <c r="N165" s="5"/>
      <c r="O165" s="5"/>
      <c r="P165" s="57"/>
      <c r="Q165" s="5"/>
      <c r="R165" s="5"/>
      <c r="S165" s="5"/>
      <c r="T165" s="5"/>
      <c r="U165" s="5"/>
      <c r="V165" s="5"/>
      <c r="W165" s="5"/>
      <c r="X165" s="5"/>
      <c r="Y165" s="5"/>
      <c r="Z165" s="5"/>
      <c r="AA165" s="5"/>
    </row>
    <row r="166" spans="1:27" ht="12.75" customHeight="1">
      <c r="A166" s="5"/>
      <c r="B166" s="5"/>
      <c r="C166" s="5"/>
      <c r="D166" s="5"/>
      <c r="E166" s="5"/>
      <c r="F166" s="5"/>
      <c r="G166" s="5"/>
      <c r="H166" s="306"/>
      <c r="I166" s="306"/>
      <c r="J166" s="5"/>
      <c r="K166" s="5"/>
      <c r="L166" s="5"/>
      <c r="M166" s="5"/>
      <c r="N166" s="5"/>
      <c r="O166" s="5"/>
      <c r="P166" s="57"/>
      <c r="Q166" s="5"/>
      <c r="R166" s="5"/>
      <c r="S166" s="5"/>
      <c r="T166" s="5"/>
      <c r="U166" s="5"/>
      <c r="V166" s="5"/>
      <c r="W166" s="5"/>
      <c r="X166" s="5"/>
      <c r="Y166" s="5"/>
      <c r="Z166" s="5"/>
      <c r="AA166" s="5"/>
    </row>
    <row r="167" spans="1:27" ht="12.75" customHeight="1">
      <c r="A167" s="5"/>
      <c r="B167" s="5"/>
      <c r="C167" s="5"/>
      <c r="D167" s="5"/>
      <c r="E167" s="5"/>
      <c r="F167" s="5"/>
      <c r="G167" s="5"/>
      <c r="H167" s="306"/>
      <c r="I167" s="306"/>
      <c r="J167" s="5"/>
      <c r="K167" s="5"/>
      <c r="L167" s="5"/>
      <c r="M167" s="5"/>
      <c r="N167" s="5"/>
      <c r="O167" s="5"/>
      <c r="P167" s="57"/>
      <c r="Q167" s="5"/>
      <c r="R167" s="5"/>
      <c r="S167" s="5"/>
      <c r="T167" s="5"/>
      <c r="U167" s="5"/>
      <c r="V167" s="5"/>
      <c r="W167" s="5"/>
      <c r="X167" s="5"/>
      <c r="Y167" s="5"/>
      <c r="Z167" s="5"/>
      <c r="AA167" s="5"/>
    </row>
    <row r="168" spans="1:27" ht="12.75" customHeight="1">
      <c r="A168" s="5"/>
      <c r="B168" s="5"/>
      <c r="C168" s="5"/>
      <c r="D168" s="5"/>
      <c r="E168" s="5"/>
      <c r="F168" s="5"/>
      <c r="G168" s="5"/>
      <c r="H168" s="306"/>
      <c r="I168" s="306"/>
      <c r="J168" s="5"/>
      <c r="K168" s="5"/>
      <c r="L168" s="5"/>
      <c r="M168" s="5"/>
      <c r="N168" s="5"/>
      <c r="O168" s="5"/>
      <c r="P168" s="57"/>
      <c r="Q168" s="5"/>
      <c r="R168" s="5"/>
      <c r="S168" s="5"/>
      <c r="T168" s="5"/>
      <c r="U168" s="5"/>
      <c r="V168" s="5"/>
      <c r="W168" s="5"/>
      <c r="X168" s="5"/>
      <c r="Y168" s="5"/>
      <c r="Z168" s="5"/>
      <c r="AA168" s="5"/>
    </row>
    <row r="169" spans="1:27" ht="12.75" customHeight="1">
      <c r="A169" s="5"/>
      <c r="B169" s="5"/>
      <c r="C169" s="5"/>
      <c r="D169" s="5"/>
      <c r="E169" s="5"/>
      <c r="F169" s="5"/>
      <c r="G169" s="5"/>
      <c r="H169" s="306"/>
      <c r="I169" s="306"/>
      <c r="J169" s="5"/>
      <c r="K169" s="5"/>
      <c r="L169" s="5"/>
      <c r="M169" s="5"/>
      <c r="N169" s="5"/>
      <c r="O169" s="5"/>
      <c r="P169" s="57"/>
      <c r="Q169" s="5"/>
      <c r="R169" s="5"/>
      <c r="S169" s="5"/>
      <c r="T169" s="5"/>
      <c r="U169" s="5"/>
      <c r="V169" s="5"/>
      <c r="W169" s="5"/>
      <c r="X169" s="5"/>
      <c r="Y169" s="5"/>
      <c r="Z169" s="5"/>
      <c r="AA169" s="5"/>
    </row>
    <row r="170" spans="1:27" ht="12.75" customHeight="1">
      <c r="A170" s="5"/>
      <c r="B170" s="5"/>
      <c r="C170" s="5"/>
      <c r="D170" s="5"/>
      <c r="E170" s="5"/>
      <c r="F170" s="5"/>
      <c r="G170" s="5"/>
      <c r="H170" s="306"/>
      <c r="I170" s="306"/>
      <c r="J170" s="5"/>
      <c r="K170" s="5"/>
      <c r="L170" s="5"/>
      <c r="M170" s="5"/>
      <c r="N170" s="5"/>
      <c r="O170" s="5"/>
      <c r="P170" s="57"/>
      <c r="Q170" s="5"/>
      <c r="R170" s="5"/>
      <c r="S170" s="5"/>
      <c r="T170" s="5"/>
      <c r="U170" s="5"/>
      <c r="V170" s="5"/>
      <c r="W170" s="5"/>
      <c r="X170" s="5"/>
      <c r="Y170" s="5"/>
      <c r="Z170" s="5"/>
      <c r="AA170" s="5"/>
    </row>
    <row r="171" spans="1:27" ht="12.75" customHeight="1">
      <c r="A171" s="5"/>
      <c r="B171" s="5"/>
      <c r="C171" s="5"/>
      <c r="D171" s="5"/>
      <c r="E171" s="5"/>
      <c r="F171" s="5"/>
      <c r="G171" s="5"/>
      <c r="H171" s="306"/>
      <c r="I171" s="306"/>
      <c r="J171" s="5"/>
      <c r="K171" s="5"/>
      <c r="L171" s="5"/>
      <c r="M171" s="5"/>
      <c r="N171" s="5"/>
      <c r="O171" s="5"/>
      <c r="P171" s="57"/>
      <c r="Q171" s="5"/>
      <c r="R171" s="5"/>
      <c r="S171" s="5"/>
      <c r="T171" s="5"/>
      <c r="U171" s="5"/>
      <c r="V171" s="5"/>
      <c r="W171" s="5"/>
      <c r="X171" s="5"/>
      <c r="Y171" s="5"/>
      <c r="Z171" s="5"/>
      <c r="AA171" s="5"/>
    </row>
    <row r="172" spans="1:27" ht="12.75" customHeight="1">
      <c r="A172" s="5"/>
      <c r="B172" s="5"/>
      <c r="C172" s="5"/>
      <c r="D172" s="5"/>
      <c r="E172" s="5"/>
      <c r="F172" s="5"/>
      <c r="G172" s="5"/>
      <c r="H172" s="306"/>
      <c r="I172" s="306"/>
      <c r="J172" s="5"/>
      <c r="K172" s="5"/>
      <c r="L172" s="5"/>
      <c r="M172" s="5"/>
      <c r="N172" s="5"/>
      <c r="O172" s="5"/>
      <c r="P172" s="57"/>
      <c r="Q172" s="5"/>
      <c r="R172" s="5"/>
      <c r="S172" s="5"/>
      <c r="T172" s="5"/>
      <c r="U172" s="5"/>
      <c r="V172" s="5"/>
      <c r="W172" s="5"/>
      <c r="X172" s="5"/>
      <c r="Y172" s="5"/>
      <c r="Z172" s="5"/>
      <c r="AA172" s="5"/>
    </row>
    <row r="173" spans="1:27" ht="12.75" customHeight="1">
      <c r="A173" s="5"/>
      <c r="B173" s="5"/>
      <c r="C173" s="5"/>
      <c r="D173" s="5"/>
      <c r="E173" s="5"/>
      <c r="F173" s="5"/>
      <c r="G173" s="5"/>
      <c r="H173" s="306"/>
      <c r="I173" s="306"/>
      <c r="J173" s="5"/>
      <c r="K173" s="5"/>
      <c r="L173" s="5"/>
      <c r="M173" s="5"/>
      <c r="N173" s="5"/>
      <c r="O173" s="5"/>
      <c r="P173" s="57"/>
      <c r="Q173" s="5"/>
      <c r="R173" s="5"/>
      <c r="S173" s="5"/>
      <c r="T173" s="5"/>
      <c r="U173" s="5"/>
      <c r="V173" s="5"/>
      <c r="W173" s="5"/>
      <c r="X173" s="5"/>
      <c r="Y173" s="5"/>
      <c r="Z173" s="5"/>
      <c r="AA173" s="5"/>
    </row>
    <row r="174" spans="1:27" ht="12.75" customHeight="1">
      <c r="A174" s="5"/>
      <c r="B174" s="5"/>
      <c r="C174" s="5"/>
      <c r="D174" s="5"/>
      <c r="E174" s="5"/>
      <c r="F174" s="5"/>
      <c r="G174" s="5"/>
      <c r="H174" s="306"/>
      <c r="I174" s="306"/>
      <c r="J174" s="5"/>
      <c r="K174" s="5"/>
      <c r="L174" s="5"/>
      <c r="M174" s="5"/>
      <c r="N174" s="5"/>
      <c r="O174" s="5"/>
      <c r="P174" s="57"/>
      <c r="Q174" s="5"/>
      <c r="R174" s="5"/>
      <c r="S174" s="5"/>
      <c r="T174" s="5"/>
      <c r="U174" s="5"/>
      <c r="V174" s="5"/>
      <c r="W174" s="5"/>
      <c r="X174" s="5"/>
      <c r="Y174" s="5"/>
      <c r="Z174" s="5"/>
      <c r="AA174" s="5"/>
    </row>
    <row r="175" spans="1:27" ht="12.75" customHeight="1">
      <c r="A175" s="5"/>
      <c r="B175" s="5"/>
      <c r="C175" s="5"/>
      <c r="D175" s="5"/>
      <c r="E175" s="5"/>
      <c r="F175" s="5"/>
      <c r="G175" s="5"/>
      <c r="H175" s="306"/>
      <c r="I175" s="306"/>
      <c r="J175" s="5"/>
      <c r="K175" s="5"/>
      <c r="L175" s="5"/>
      <c r="M175" s="5"/>
      <c r="N175" s="5"/>
      <c r="O175" s="5"/>
      <c r="P175" s="57"/>
      <c r="Q175" s="5"/>
      <c r="R175" s="5"/>
      <c r="S175" s="5"/>
      <c r="T175" s="5"/>
      <c r="U175" s="5"/>
      <c r="V175" s="5"/>
      <c r="W175" s="5"/>
      <c r="X175" s="5"/>
      <c r="Y175" s="5"/>
      <c r="Z175" s="5"/>
      <c r="AA175" s="5"/>
    </row>
    <row r="176" spans="1:27" ht="12.75" customHeight="1">
      <c r="A176" s="5"/>
      <c r="B176" s="5"/>
      <c r="C176" s="5"/>
      <c r="D176" s="5"/>
      <c r="E176" s="5"/>
      <c r="F176" s="5"/>
      <c r="G176" s="5"/>
      <c r="H176" s="306"/>
      <c r="I176" s="306"/>
      <c r="J176" s="5"/>
      <c r="K176" s="5"/>
      <c r="L176" s="5"/>
      <c r="M176" s="5"/>
      <c r="N176" s="5"/>
      <c r="O176" s="5"/>
      <c r="P176" s="57"/>
      <c r="Q176" s="5"/>
      <c r="R176" s="5"/>
      <c r="S176" s="5"/>
      <c r="T176" s="5"/>
      <c r="U176" s="5"/>
      <c r="V176" s="5"/>
      <c r="W176" s="5"/>
      <c r="X176" s="5"/>
      <c r="Y176" s="5"/>
      <c r="Z176" s="5"/>
      <c r="AA176" s="5"/>
    </row>
    <row r="177" spans="1:27" ht="12.75" customHeight="1">
      <c r="A177" s="5"/>
      <c r="B177" s="5"/>
      <c r="C177" s="5"/>
      <c r="D177" s="5"/>
      <c r="E177" s="5"/>
      <c r="F177" s="5"/>
      <c r="G177" s="5"/>
      <c r="H177" s="306"/>
      <c r="I177" s="306"/>
      <c r="J177" s="5"/>
      <c r="K177" s="5"/>
      <c r="L177" s="5"/>
      <c r="M177" s="5"/>
      <c r="N177" s="5"/>
      <c r="O177" s="5"/>
      <c r="P177" s="57"/>
      <c r="Q177" s="5"/>
      <c r="R177" s="5"/>
      <c r="S177" s="5"/>
      <c r="T177" s="5"/>
      <c r="U177" s="5"/>
      <c r="V177" s="5"/>
      <c r="W177" s="5"/>
      <c r="X177" s="5"/>
      <c r="Y177" s="5"/>
      <c r="Z177" s="5"/>
      <c r="AA177" s="5"/>
    </row>
    <row r="178" spans="1:27" ht="12.75" customHeight="1">
      <c r="A178" s="5"/>
      <c r="B178" s="5"/>
      <c r="C178" s="5"/>
      <c r="D178" s="5"/>
      <c r="E178" s="5"/>
      <c r="F178" s="5"/>
      <c r="G178" s="5"/>
      <c r="H178" s="306"/>
      <c r="I178" s="306"/>
      <c r="J178" s="5"/>
      <c r="K178" s="5"/>
      <c r="L178" s="5"/>
      <c r="M178" s="5"/>
      <c r="N178" s="5"/>
      <c r="O178" s="5"/>
      <c r="P178" s="57"/>
      <c r="Q178" s="5"/>
      <c r="R178" s="5"/>
      <c r="S178" s="5"/>
      <c r="T178" s="5"/>
      <c r="U178" s="5"/>
      <c r="V178" s="5"/>
      <c r="W178" s="5"/>
      <c r="X178" s="5"/>
      <c r="Y178" s="5"/>
      <c r="Z178" s="5"/>
      <c r="AA178" s="5"/>
    </row>
    <row r="179" spans="1:27" ht="12.75" customHeight="1">
      <c r="A179" s="5"/>
      <c r="B179" s="5"/>
      <c r="C179" s="5"/>
      <c r="D179" s="5"/>
      <c r="E179" s="5"/>
      <c r="F179" s="5"/>
      <c r="G179" s="5"/>
      <c r="H179" s="306"/>
      <c r="I179" s="306"/>
      <c r="J179" s="5"/>
      <c r="K179" s="5"/>
      <c r="L179" s="5"/>
      <c r="M179" s="5"/>
      <c r="N179" s="5"/>
      <c r="O179" s="5"/>
      <c r="P179" s="57"/>
      <c r="Q179" s="5"/>
      <c r="R179" s="5"/>
      <c r="S179" s="5"/>
      <c r="T179" s="5"/>
      <c r="U179" s="5"/>
      <c r="V179" s="5"/>
      <c r="W179" s="5"/>
      <c r="X179" s="5"/>
      <c r="Y179" s="5"/>
      <c r="Z179" s="5"/>
      <c r="AA179" s="5"/>
    </row>
    <row r="180" spans="1:27" ht="12.75" customHeight="1">
      <c r="A180" s="5"/>
      <c r="B180" s="5"/>
      <c r="C180" s="5"/>
      <c r="D180" s="5"/>
      <c r="E180" s="5"/>
      <c r="F180" s="5"/>
      <c r="G180" s="5"/>
      <c r="H180" s="306"/>
      <c r="I180" s="306"/>
      <c r="J180" s="5"/>
      <c r="K180" s="5"/>
      <c r="L180" s="5"/>
      <c r="M180" s="5"/>
      <c r="N180" s="5"/>
      <c r="O180" s="5"/>
      <c r="P180" s="57"/>
      <c r="Q180" s="5"/>
      <c r="R180" s="5"/>
      <c r="S180" s="5"/>
      <c r="T180" s="5"/>
      <c r="U180" s="5"/>
      <c r="V180" s="5"/>
      <c r="W180" s="5"/>
      <c r="X180" s="5"/>
      <c r="Y180" s="5"/>
      <c r="Z180" s="5"/>
      <c r="AA180" s="5"/>
    </row>
    <row r="181" spans="1:27" ht="12.75" customHeight="1">
      <c r="A181" s="5"/>
      <c r="B181" s="5"/>
      <c r="C181" s="5"/>
      <c r="D181" s="5"/>
      <c r="E181" s="5"/>
      <c r="F181" s="5"/>
      <c r="G181" s="5"/>
      <c r="H181" s="306"/>
      <c r="I181" s="306"/>
      <c r="J181" s="5"/>
      <c r="K181" s="5"/>
      <c r="L181" s="5"/>
      <c r="M181" s="5"/>
      <c r="N181" s="5"/>
      <c r="O181" s="5"/>
      <c r="P181" s="57"/>
      <c r="Q181" s="5"/>
      <c r="R181" s="5"/>
      <c r="S181" s="5"/>
      <c r="T181" s="5"/>
      <c r="U181" s="5"/>
      <c r="V181" s="5"/>
      <c r="W181" s="5"/>
      <c r="X181" s="5"/>
      <c r="Y181" s="5"/>
      <c r="Z181" s="5"/>
      <c r="AA181" s="5"/>
    </row>
    <row r="182" spans="1:27" ht="12.75" customHeight="1">
      <c r="A182" s="5"/>
      <c r="B182" s="5"/>
      <c r="C182" s="5"/>
      <c r="D182" s="5"/>
      <c r="E182" s="5"/>
      <c r="F182" s="5"/>
      <c r="G182" s="5"/>
      <c r="H182" s="306"/>
      <c r="I182" s="306"/>
      <c r="J182" s="5"/>
      <c r="K182" s="5"/>
      <c r="L182" s="5"/>
      <c r="M182" s="5"/>
      <c r="N182" s="5"/>
      <c r="O182" s="5"/>
      <c r="P182" s="57"/>
      <c r="Q182" s="5"/>
      <c r="R182" s="5"/>
      <c r="S182" s="5"/>
      <c r="T182" s="5"/>
      <c r="U182" s="5"/>
      <c r="V182" s="5"/>
      <c r="W182" s="5"/>
      <c r="X182" s="5"/>
      <c r="Y182" s="5"/>
      <c r="Z182" s="5"/>
      <c r="AA182" s="5"/>
    </row>
    <row r="183" spans="1:27" ht="12.75" customHeight="1">
      <c r="A183" s="5"/>
      <c r="B183" s="5"/>
      <c r="C183" s="5"/>
      <c r="D183" s="5"/>
      <c r="E183" s="5"/>
      <c r="F183" s="5"/>
      <c r="G183" s="5"/>
      <c r="H183" s="306"/>
      <c r="I183" s="306"/>
      <c r="J183" s="5"/>
      <c r="K183" s="5"/>
      <c r="L183" s="5"/>
      <c r="M183" s="5"/>
      <c r="N183" s="5"/>
      <c r="O183" s="5"/>
      <c r="P183" s="57"/>
      <c r="Q183" s="5"/>
      <c r="R183" s="5"/>
      <c r="S183" s="5"/>
      <c r="T183" s="5"/>
      <c r="U183" s="5"/>
      <c r="V183" s="5"/>
      <c r="W183" s="5"/>
      <c r="X183" s="5"/>
      <c r="Y183" s="5"/>
      <c r="Z183" s="5"/>
      <c r="AA183" s="5"/>
    </row>
    <row r="184" spans="1:27" ht="12.75" customHeight="1">
      <c r="A184" s="5"/>
      <c r="B184" s="5"/>
      <c r="C184" s="5"/>
      <c r="D184" s="5"/>
      <c r="E184" s="5"/>
      <c r="F184" s="5"/>
      <c r="G184" s="5"/>
      <c r="H184" s="306"/>
      <c r="I184" s="306"/>
      <c r="J184" s="5"/>
      <c r="K184" s="5"/>
      <c r="L184" s="5"/>
      <c r="M184" s="5"/>
      <c r="N184" s="5"/>
      <c r="O184" s="5"/>
      <c r="P184" s="57"/>
      <c r="Q184" s="5"/>
      <c r="R184" s="5"/>
      <c r="S184" s="5"/>
      <c r="T184" s="5"/>
      <c r="U184" s="5"/>
      <c r="V184" s="5"/>
      <c r="W184" s="5"/>
      <c r="X184" s="5"/>
      <c r="Y184" s="5"/>
      <c r="Z184" s="5"/>
      <c r="AA184" s="5"/>
    </row>
    <row r="185" spans="1:27" ht="12.75" customHeight="1">
      <c r="A185" s="5"/>
      <c r="B185" s="5"/>
      <c r="C185" s="5"/>
      <c r="D185" s="5"/>
      <c r="E185" s="5"/>
      <c r="F185" s="5"/>
      <c r="G185" s="5"/>
      <c r="H185" s="306"/>
      <c r="I185" s="306"/>
      <c r="J185" s="5"/>
      <c r="K185" s="5"/>
      <c r="L185" s="5"/>
      <c r="M185" s="5"/>
      <c r="N185" s="5"/>
      <c r="O185" s="5"/>
      <c r="P185" s="57"/>
      <c r="Q185" s="5"/>
      <c r="R185" s="5"/>
      <c r="S185" s="5"/>
      <c r="T185" s="5"/>
      <c r="U185" s="5"/>
      <c r="V185" s="5"/>
      <c r="W185" s="5"/>
      <c r="X185" s="5"/>
      <c r="Y185" s="5"/>
      <c r="Z185" s="5"/>
      <c r="AA185" s="5"/>
    </row>
    <row r="186" spans="1:27" ht="12.75" customHeight="1">
      <c r="A186" s="5"/>
      <c r="B186" s="5"/>
      <c r="C186" s="5"/>
      <c r="D186" s="5"/>
      <c r="E186" s="5"/>
      <c r="F186" s="5"/>
      <c r="G186" s="5"/>
      <c r="H186" s="306"/>
      <c r="I186" s="306"/>
      <c r="J186" s="5"/>
      <c r="K186" s="5"/>
      <c r="L186" s="5"/>
      <c r="M186" s="5"/>
      <c r="N186" s="5"/>
      <c r="O186" s="5"/>
      <c r="P186" s="57"/>
      <c r="Q186" s="5"/>
      <c r="R186" s="5"/>
      <c r="S186" s="5"/>
      <c r="T186" s="5"/>
      <c r="U186" s="5"/>
      <c r="V186" s="5"/>
      <c r="W186" s="5"/>
      <c r="X186" s="5"/>
      <c r="Y186" s="5"/>
      <c r="Z186" s="5"/>
      <c r="AA186" s="5"/>
    </row>
    <row r="187" spans="1:27" ht="12.75" customHeight="1">
      <c r="A187" s="5"/>
      <c r="B187" s="5"/>
      <c r="C187" s="5"/>
      <c r="D187" s="5"/>
      <c r="E187" s="5"/>
      <c r="F187" s="5"/>
      <c r="G187" s="5"/>
      <c r="H187" s="306"/>
      <c r="I187" s="306"/>
      <c r="J187" s="5"/>
      <c r="K187" s="5"/>
      <c r="L187" s="5"/>
      <c r="M187" s="5"/>
      <c r="N187" s="5"/>
      <c r="O187" s="5"/>
      <c r="P187" s="57"/>
      <c r="Q187" s="5"/>
      <c r="R187" s="5"/>
      <c r="S187" s="5"/>
      <c r="T187" s="5"/>
      <c r="U187" s="5"/>
      <c r="V187" s="5"/>
      <c r="W187" s="5"/>
      <c r="X187" s="5"/>
      <c r="Y187" s="5"/>
      <c r="Z187" s="5"/>
      <c r="AA187" s="5"/>
    </row>
    <row r="188" spans="1:27" ht="12.75" customHeight="1">
      <c r="A188" s="5"/>
      <c r="B188" s="5"/>
      <c r="C188" s="5"/>
      <c r="D188" s="5"/>
      <c r="E188" s="5"/>
      <c r="F188" s="5"/>
      <c r="G188" s="5"/>
      <c r="H188" s="306"/>
      <c r="I188" s="306"/>
      <c r="J188" s="5"/>
      <c r="K188" s="5"/>
      <c r="L188" s="5"/>
      <c r="M188" s="5"/>
      <c r="N188" s="5"/>
      <c r="O188" s="5"/>
      <c r="P188" s="57"/>
      <c r="Q188" s="5"/>
      <c r="R188" s="5"/>
      <c r="S188" s="5"/>
      <c r="T188" s="5"/>
      <c r="U188" s="5"/>
      <c r="V188" s="5"/>
      <c r="W188" s="5"/>
      <c r="X188" s="5"/>
      <c r="Y188" s="5"/>
      <c r="Z188" s="5"/>
      <c r="AA188" s="5"/>
    </row>
    <row r="189" spans="1:27" ht="12.75" customHeight="1">
      <c r="A189" s="5"/>
      <c r="B189" s="5"/>
      <c r="C189" s="5"/>
      <c r="D189" s="5"/>
      <c r="E189" s="5"/>
      <c r="F189" s="5"/>
      <c r="G189" s="5"/>
      <c r="H189" s="306"/>
      <c r="I189" s="306"/>
      <c r="J189" s="5"/>
      <c r="K189" s="5"/>
      <c r="L189" s="5"/>
      <c r="M189" s="5"/>
      <c r="N189" s="5"/>
      <c r="O189" s="5"/>
      <c r="P189" s="57"/>
      <c r="Q189" s="5"/>
      <c r="R189" s="5"/>
      <c r="S189" s="5"/>
      <c r="T189" s="5"/>
      <c r="U189" s="5"/>
      <c r="V189" s="5"/>
      <c r="W189" s="5"/>
      <c r="X189" s="5"/>
      <c r="Y189" s="5"/>
      <c r="Z189" s="5"/>
      <c r="AA189" s="5"/>
    </row>
    <row r="190" spans="1:27" ht="12.75" customHeight="1">
      <c r="A190" s="5"/>
      <c r="B190" s="5"/>
      <c r="C190" s="5"/>
      <c r="D190" s="5"/>
      <c r="E190" s="5"/>
      <c r="F190" s="5"/>
      <c r="G190" s="5"/>
      <c r="H190" s="306"/>
      <c r="I190" s="306"/>
      <c r="J190" s="5"/>
      <c r="K190" s="5"/>
      <c r="L190" s="5"/>
      <c r="M190" s="5"/>
      <c r="N190" s="5"/>
      <c r="O190" s="5"/>
      <c r="P190" s="57"/>
      <c r="Q190" s="5"/>
      <c r="R190" s="5"/>
      <c r="S190" s="5"/>
      <c r="T190" s="5"/>
      <c r="U190" s="5"/>
      <c r="V190" s="5"/>
      <c r="W190" s="5"/>
      <c r="X190" s="5"/>
      <c r="Y190" s="5"/>
      <c r="Z190" s="5"/>
      <c r="AA190" s="5"/>
    </row>
    <row r="191" spans="1:27" ht="12.75" customHeight="1">
      <c r="A191" s="5"/>
      <c r="B191" s="5"/>
      <c r="C191" s="5"/>
      <c r="D191" s="5"/>
      <c r="E191" s="5"/>
      <c r="F191" s="5"/>
      <c r="G191" s="5"/>
      <c r="H191" s="306"/>
      <c r="I191" s="306"/>
      <c r="J191" s="5"/>
      <c r="K191" s="5"/>
      <c r="L191" s="5"/>
      <c r="M191" s="5"/>
      <c r="N191" s="5"/>
      <c r="O191" s="5"/>
      <c r="P191" s="57"/>
      <c r="Q191" s="5"/>
      <c r="R191" s="5"/>
      <c r="S191" s="5"/>
      <c r="T191" s="5"/>
      <c r="U191" s="5"/>
      <c r="V191" s="5"/>
      <c r="W191" s="5"/>
      <c r="X191" s="5"/>
      <c r="Y191" s="5"/>
      <c r="Z191" s="5"/>
      <c r="AA191" s="5"/>
    </row>
    <row r="192" spans="1:27" ht="12.75" customHeight="1">
      <c r="A192" s="5"/>
      <c r="B192" s="5"/>
      <c r="C192" s="5"/>
      <c r="D192" s="5"/>
      <c r="E192" s="5"/>
      <c r="F192" s="5"/>
      <c r="G192" s="5"/>
      <c r="H192" s="306"/>
      <c r="I192" s="306"/>
      <c r="J192" s="5"/>
      <c r="K192" s="5"/>
      <c r="L192" s="5"/>
      <c r="M192" s="5"/>
      <c r="N192" s="5"/>
      <c r="O192" s="5"/>
      <c r="P192" s="57"/>
      <c r="Q192" s="5"/>
      <c r="R192" s="5"/>
      <c r="S192" s="5"/>
      <c r="T192" s="5"/>
      <c r="U192" s="5"/>
      <c r="V192" s="5"/>
      <c r="W192" s="5"/>
      <c r="X192" s="5"/>
      <c r="Y192" s="5"/>
      <c r="Z192" s="5"/>
      <c r="AA192" s="5"/>
    </row>
    <row r="193" spans="1:27" ht="12.75" customHeight="1">
      <c r="A193" s="5"/>
      <c r="B193" s="5"/>
      <c r="C193" s="5"/>
      <c r="D193" s="5"/>
      <c r="E193" s="5"/>
      <c r="F193" s="5"/>
      <c r="G193" s="5"/>
      <c r="H193" s="306"/>
      <c r="I193" s="306"/>
      <c r="J193" s="5"/>
      <c r="K193" s="5"/>
      <c r="L193" s="5"/>
      <c r="M193" s="5"/>
      <c r="N193" s="5"/>
      <c r="O193" s="5"/>
      <c r="P193" s="57"/>
      <c r="Q193" s="5"/>
      <c r="R193" s="5"/>
      <c r="S193" s="5"/>
      <c r="T193" s="5"/>
      <c r="U193" s="5"/>
      <c r="V193" s="5"/>
      <c r="W193" s="5"/>
      <c r="X193" s="5"/>
      <c r="Y193" s="5"/>
      <c r="Z193" s="5"/>
      <c r="AA193" s="5"/>
    </row>
    <row r="194" spans="1:27" ht="12.75" customHeight="1">
      <c r="A194" s="5"/>
      <c r="B194" s="5"/>
      <c r="C194" s="5"/>
      <c r="D194" s="5"/>
      <c r="E194" s="5"/>
      <c r="F194" s="5"/>
      <c r="G194" s="5"/>
      <c r="H194" s="306"/>
      <c r="I194" s="306"/>
      <c r="J194" s="5"/>
      <c r="K194" s="5"/>
      <c r="L194" s="5"/>
      <c r="M194" s="5"/>
      <c r="N194" s="5"/>
      <c r="O194" s="5"/>
      <c r="P194" s="57"/>
      <c r="Q194" s="5"/>
      <c r="R194" s="5"/>
      <c r="S194" s="5"/>
      <c r="T194" s="5"/>
      <c r="U194" s="5"/>
      <c r="V194" s="5"/>
      <c r="W194" s="5"/>
      <c r="X194" s="5"/>
      <c r="Y194" s="5"/>
      <c r="Z194" s="5"/>
      <c r="AA194" s="5"/>
    </row>
    <row r="195" spans="1:27" ht="12.75" customHeight="1">
      <c r="A195" s="5"/>
      <c r="B195" s="5"/>
      <c r="C195" s="5"/>
      <c r="D195" s="5"/>
      <c r="E195" s="5"/>
      <c r="F195" s="5"/>
      <c r="G195" s="5"/>
      <c r="H195" s="306"/>
      <c r="I195" s="306"/>
      <c r="J195" s="5"/>
      <c r="K195" s="5"/>
      <c r="L195" s="5"/>
      <c r="M195" s="5"/>
      <c r="N195" s="5"/>
      <c r="O195" s="5"/>
      <c r="P195" s="57"/>
      <c r="Q195" s="5"/>
      <c r="R195" s="5"/>
      <c r="S195" s="5"/>
      <c r="T195" s="5"/>
      <c r="U195" s="5"/>
      <c r="V195" s="5"/>
      <c r="W195" s="5"/>
      <c r="X195" s="5"/>
      <c r="Y195" s="5"/>
      <c r="Z195" s="5"/>
      <c r="AA195" s="5"/>
    </row>
    <row r="196" spans="1:27" ht="12.75" customHeight="1">
      <c r="A196" s="5"/>
      <c r="B196" s="5"/>
      <c r="C196" s="5"/>
      <c r="D196" s="5"/>
      <c r="E196" s="5"/>
      <c r="F196" s="5"/>
      <c r="G196" s="5"/>
      <c r="H196" s="306"/>
      <c r="I196" s="306"/>
      <c r="J196" s="5"/>
      <c r="K196" s="5"/>
      <c r="L196" s="5"/>
      <c r="M196" s="5"/>
      <c r="N196" s="5"/>
      <c r="O196" s="5"/>
      <c r="P196" s="57"/>
      <c r="Q196" s="5"/>
      <c r="R196" s="5"/>
      <c r="S196" s="5"/>
      <c r="T196" s="5"/>
      <c r="U196" s="5"/>
      <c r="V196" s="5"/>
      <c r="W196" s="5"/>
      <c r="X196" s="5"/>
      <c r="Y196" s="5"/>
      <c r="Z196" s="5"/>
      <c r="AA196" s="5"/>
    </row>
    <row r="197" spans="1:27" ht="12.75" customHeight="1">
      <c r="A197" s="5"/>
      <c r="B197" s="5"/>
      <c r="C197" s="5"/>
      <c r="D197" s="5"/>
      <c r="E197" s="5"/>
      <c r="F197" s="5"/>
      <c r="G197" s="5"/>
      <c r="H197" s="306"/>
      <c r="I197" s="306"/>
      <c r="J197" s="5"/>
      <c r="K197" s="5"/>
      <c r="L197" s="5"/>
      <c r="M197" s="5"/>
      <c r="N197" s="5"/>
      <c r="O197" s="5"/>
      <c r="P197" s="57"/>
      <c r="Q197" s="5"/>
      <c r="R197" s="5"/>
      <c r="S197" s="5"/>
      <c r="T197" s="5"/>
      <c r="U197" s="5"/>
      <c r="V197" s="5"/>
      <c r="W197" s="5"/>
      <c r="X197" s="5"/>
      <c r="Y197" s="5"/>
      <c r="Z197" s="5"/>
      <c r="AA197" s="5"/>
    </row>
    <row r="198" spans="1:27" ht="12.75" customHeight="1">
      <c r="A198" s="5"/>
      <c r="B198" s="5"/>
      <c r="C198" s="5"/>
      <c r="D198" s="5"/>
      <c r="E198" s="5"/>
      <c r="F198" s="5"/>
      <c r="G198" s="5"/>
      <c r="H198" s="306"/>
      <c r="I198" s="306"/>
      <c r="J198" s="5"/>
      <c r="K198" s="5"/>
      <c r="L198" s="5"/>
      <c r="M198" s="5"/>
      <c r="N198" s="5"/>
      <c r="O198" s="5"/>
      <c r="P198" s="57"/>
      <c r="Q198" s="5"/>
      <c r="R198" s="5"/>
      <c r="S198" s="5"/>
      <c r="T198" s="5"/>
      <c r="U198" s="5"/>
      <c r="V198" s="5"/>
      <c r="W198" s="5"/>
      <c r="X198" s="5"/>
      <c r="Y198" s="5"/>
      <c r="Z198" s="5"/>
      <c r="AA198" s="5"/>
    </row>
    <row r="199" spans="1:27" ht="12.75" customHeight="1">
      <c r="A199" s="5"/>
      <c r="B199" s="5"/>
      <c r="C199" s="5"/>
      <c r="D199" s="5"/>
      <c r="E199" s="5"/>
      <c r="F199" s="5"/>
      <c r="G199" s="5"/>
      <c r="H199" s="306"/>
      <c r="I199" s="306"/>
      <c r="J199" s="5"/>
      <c r="K199" s="5"/>
      <c r="L199" s="5"/>
      <c r="M199" s="5"/>
      <c r="N199" s="5"/>
      <c r="O199" s="5"/>
      <c r="P199" s="57"/>
      <c r="Q199" s="5"/>
      <c r="R199" s="5"/>
      <c r="S199" s="5"/>
      <c r="T199" s="5"/>
      <c r="U199" s="5"/>
      <c r="V199" s="5"/>
      <c r="W199" s="5"/>
      <c r="X199" s="5"/>
      <c r="Y199" s="5"/>
      <c r="Z199" s="5"/>
      <c r="AA199" s="5"/>
    </row>
    <row r="200" spans="1:27" ht="12.75" customHeight="1">
      <c r="A200" s="5"/>
      <c r="B200" s="5"/>
      <c r="C200" s="5"/>
      <c r="D200" s="5"/>
      <c r="E200" s="5"/>
      <c r="F200" s="5"/>
      <c r="G200" s="5"/>
      <c r="H200" s="306"/>
      <c r="I200" s="306"/>
      <c r="J200" s="5"/>
      <c r="K200" s="5"/>
      <c r="L200" s="5"/>
      <c r="M200" s="5"/>
      <c r="N200" s="5"/>
      <c r="O200" s="5"/>
      <c r="P200" s="57"/>
      <c r="Q200" s="5"/>
      <c r="R200" s="5"/>
      <c r="S200" s="5"/>
      <c r="T200" s="5"/>
      <c r="U200" s="5"/>
      <c r="V200" s="5"/>
      <c r="W200" s="5"/>
      <c r="X200" s="5"/>
      <c r="Y200" s="5"/>
      <c r="Z200" s="5"/>
      <c r="AA200" s="5"/>
    </row>
    <row r="201" spans="1:27" ht="12.75" customHeight="1">
      <c r="A201" s="5"/>
      <c r="B201" s="5"/>
      <c r="C201" s="5"/>
      <c r="D201" s="5"/>
      <c r="E201" s="5"/>
      <c r="F201" s="5"/>
      <c r="G201" s="5"/>
      <c r="H201" s="306"/>
      <c r="I201" s="306"/>
      <c r="J201" s="5"/>
      <c r="K201" s="5"/>
      <c r="L201" s="5"/>
      <c r="M201" s="5"/>
      <c r="N201" s="5"/>
      <c r="O201" s="5"/>
      <c r="P201" s="57"/>
      <c r="Q201" s="5"/>
      <c r="R201" s="5"/>
      <c r="S201" s="5"/>
      <c r="T201" s="5"/>
      <c r="U201" s="5"/>
      <c r="V201" s="5"/>
      <c r="W201" s="5"/>
      <c r="X201" s="5"/>
      <c r="Y201" s="5"/>
      <c r="Z201" s="5"/>
      <c r="AA201" s="5"/>
    </row>
    <row r="202" spans="1:27" ht="12.75" customHeight="1">
      <c r="A202" s="5"/>
      <c r="B202" s="5"/>
      <c r="C202" s="5"/>
      <c r="D202" s="5"/>
      <c r="E202" s="5"/>
      <c r="F202" s="5"/>
      <c r="G202" s="5"/>
      <c r="H202" s="306"/>
      <c r="I202" s="306"/>
      <c r="J202" s="5"/>
      <c r="K202" s="5"/>
      <c r="L202" s="5"/>
      <c r="M202" s="5"/>
      <c r="N202" s="5"/>
      <c r="O202" s="5"/>
      <c r="P202" s="57"/>
      <c r="Q202" s="5"/>
      <c r="R202" s="5"/>
      <c r="S202" s="5"/>
      <c r="T202" s="5"/>
      <c r="U202" s="5"/>
      <c r="V202" s="5"/>
      <c r="W202" s="5"/>
      <c r="X202" s="5"/>
      <c r="Y202" s="5"/>
      <c r="Z202" s="5"/>
      <c r="AA202" s="5"/>
    </row>
    <row r="203" spans="1:27" ht="12.75" customHeight="1">
      <c r="A203" s="5"/>
      <c r="B203" s="5"/>
      <c r="C203" s="5"/>
      <c r="D203" s="5"/>
      <c r="E203" s="5"/>
      <c r="F203" s="5"/>
      <c r="G203" s="5"/>
      <c r="H203" s="306"/>
      <c r="I203" s="306"/>
      <c r="J203" s="5"/>
      <c r="K203" s="5"/>
      <c r="L203" s="5"/>
      <c r="M203" s="5"/>
      <c r="N203" s="5"/>
      <c r="O203" s="5"/>
      <c r="P203" s="57"/>
      <c r="Q203" s="5"/>
      <c r="R203" s="5"/>
      <c r="S203" s="5"/>
      <c r="T203" s="5"/>
      <c r="U203" s="5"/>
      <c r="V203" s="5"/>
      <c r="W203" s="5"/>
      <c r="X203" s="5"/>
      <c r="Y203" s="5"/>
      <c r="Z203" s="5"/>
      <c r="AA203" s="5"/>
    </row>
    <row r="204" spans="1:27" ht="12.75" customHeight="1">
      <c r="A204" s="5"/>
      <c r="B204" s="5"/>
      <c r="C204" s="5"/>
      <c r="D204" s="5"/>
      <c r="E204" s="5"/>
      <c r="F204" s="5"/>
      <c r="G204" s="5"/>
      <c r="H204" s="306"/>
      <c r="I204" s="306"/>
      <c r="J204" s="5"/>
      <c r="K204" s="5"/>
      <c r="L204" s="5"/>
      <c r="M204" s="5"/>
      <c r="N204" s="5"/>
      <c r="O204" s="5"/>
      <c r="P204" s="57"/>
      <c r="Q204" s="5"/>
      <c r="R204" s="5"/>
      <c r="S204" s="5"/>
      <c r="T204" s="5"/>
      <c r="U204" s="5"/>
      <c r="V204" s="5"/>
      <c r="W204" s="5"/>
      <c r="X204" s="5"/>
      <c r="Y204" s="5"/>
      <c r="Z204" s="5"/>
      <c r="AA204" s="5"/>
    </row>
    <row r="205" spans="1:27" ht="12.75" customHeight="1">
      <c r="A205" s="5"/>
      <c r="B205" s="5"/>
      <c r="C205" s="5"/>
      <c r="D205" s="5"/>
      <c r="E205" s="5"/>
      <c r="F205" s="5"/>
      <c r="G205" s="5"/>
      <c r="H205" s="306"/>
      <c r="I205" s="306"/>
      <c r="J205" s="5"/>
      <c r="K205" s="5"/>
      <c r="L205" s="5"/>
      <c r="M205" s="5"/>
      <c r="N205" s="5"/>
      <c r="O205" s="5"/>
      <c r="P205" s="57"/>
      <c r="Q205" s="5"/>
      <c r="R205" s="5"/>
      <c r="S205" s="5"/>
      <c r="T205" s="5"/>
      <c r="U205" s="5"/>
      <c r="V205" s="5"/>
      <c r="W205" s="5"/>
      <c r="X205" s="5"/>
      <c r="Y205" s="5"/>
      <c r="Z205" s="5"/>
      <c r="AA205" s="5"/>
    </row>
    <row r="206" spans="1:27" ht="12.75" customHeight="1">
      <c r="A206" s="5"/>
      <c r="B206" s="5"/>
      <c r="C206" s="5"/>
      <c r="D206" s="5"/>
      <c r="E206" s="5"/>
      <c r="F206" s="5"/>
      <c r="G206" s="5"/>
      <c r="H206" s="306"/>
      <c r="I206" s="306"/>
      <c r="J206" s="5"/>
      <c r="K206" s="5"/>
      <c r="L206" s="5"/>
      <c r="M206" s="5"/>
      <c r="N206" s="5"/>
      <c r="O206" s="5"/>
      <c r="P206" s="57"/>
      <c r="Q206" s="5"/>
      <c r="R206" s="5"/>
      <c r="S206" s="5"/>
      <c r="T206" s="5"/>
      <c r="U206" s="5"/>
      <c r="V206" s="5"/>
      <c r="W206" s="5"/>
      <c r="X206" s="5"/>
      <c r="Y206" s="5"/>
      <c r="Z206" s="5"/>
      <c r="AA206" s="5"/>
    </row>
    <row r="207" spans="1:27" ht="12.75" customHeight="1">
      <c r="A207" s="5"/>
      <c r="B207" s="5"/>
      <c r="C207" s="5"/>
      <c r="D207" s="5"/>
      <c r="E207" s="5"/>
      <c r="F207" s="5"/>
      <c r="G207" s="5"/>
      <c r="H207" s="306"/>
      <c r="I207" s="306"/>
      <c r="J207" s="5"/>
      <c r="K207" s="5"/>
      <c r="L207" s="5"/>
      <c r="M207" s="5"/>
      <c r="N207" s="5"/>
      <c r="O207" s="5"/>
      <c r="P207" s="57"/>
      <c r="Q207" s="5"/>
      <c r="R207" s="5"/>
      <c r="S207" s="5"/>
      <c r="T207" s="5"/>
      <c r="U207" s="5"/>
      <c r="V207" s="5"/>
      <c r="W207" s="5"/>
      <c r="X207" s="5"/>
      <c r="Y207" s="5"/>
      <c r="Z207" s="5"/>
      <c r="AA207" s="5"/>
    </row>
    <row r="208" spans="1:27" ht="12.75" customHeight="1">
      <c r="A208" s="5"/>
      <c r="B208" s="5"/>
      <c r="C208" s="5"/>
      <c r="D208" s="5"/>
      <c r="E208" s="5"/>
      <c r="F208" s="5"/>
      <c r="G208" s="5"/>
      <c r="H208" s="306"/>
      <c r="I208" s="306"/>
      <c r="J208" s="5"/>
      <c r="K208" s="5"/>
      <c r="L208" s="5"/>
      <c r="M208" s="5"/>
      <c r="N208" s="5"/>
      <c r="O208" s="5"/>
      <c r="P208" s="57"/>
      <c r="Q208" s="5"/>
      <c r="R208" s="5"/>
      <c r="S208" s="5"/>
      <c r="T208" s="5"/>
      <c r="U208" s="5"/>
      <c r="V208" s="5"/>
      <c r="W208" s="5"/>
      <c r="X208" s="5"/>
      <c r="Y208" s="5"/>
      <c r="Z208" s="5"/>
      <c r="AA208" s="5"/>
    </row>
    <row r="209" spans="1:27" ht="12.75" customHeight="1">
      <c r="A209" s="5"/>
      <c r="B209" s="5"/>
      <c r="C209" s="5"/>
      <c r="D209" s="5"/>
      <c r="E209" s="5"/>
      <c r="F209" s="5"/>
      <c r="G209" s="5"/>
      <c r="H209" s="306"/>
      <c r="I209" s="306"/>
      <c r="J209" s="5"/>
      <c r="K209" s="5"/>
      <c r="L209" s="5"/>
      <c r="M209" s="5"/>
      <c r="N209" s="5"/>
      <c r="O209" s="5"/>
      <c r="P209" s="57"/>
      <c r="Q209" s="5"/>
      <c r="R209" s="5"/>
      <c r="S209" s="5"/>
      <c r="T209" s="5"/>
      <c r="U209" s="5"/>
      <c r="V209" s="5"/>
      <c r="W209" s="5"/>
      <c r="X209" s="5"/>
      <c r="Y209" s="5"/>
      <c r="Z209" s="5"/>
      <c r="AA209" s="5"/>
    </row>
    <row r="210" spans="1:27" ht="12.75" customHeight="1">
      <c r="A210" s="5"/>
      <c r="B210" s="5"/>
      <c r="C210" s="5"/>
      <c r="D210" s="5"/>
      <c r="E210" s="5"/>
      <c r="F210" s="5"/>
      <c r="G210" s="5"/>
      <c r="H210" s="306"/>
      <c r="I210" s="306"/>
      <c r="J210" s="5"/>
      <c r="K210" s="5"/>
      <c r="L210" s="5"/>
      <c r="M210" s="5"/>
      <c r="N210" s="5"/>
      <c r="O210" s="5"/>
      <c r="P210" s="57"/>
      <c r="Q210" s="5"/>
      <c r="R210" s="5"/>
      <c r="S210" s="5"/>
      <c r="T210" s="5"/>
      <c r="U210" s="5"/>
      <c r="V210" s="5"/>
      <c r="W210" s="5"/>
      <c r="X210" s="5"/>
      <c r="Y210" s="5"/>
      <c r="Z210" s="5"/>
      <c r="AA210" s="5"/>
    </row>
    <row r="211" spans="1:27" ht="12.75" customHeight="1">
      <c r="A211" s="5"/>
      <c r="B211" s="5"/>
      <c r="C211" s="5"/>
      <c r="D211" s="5"/>
      <c r="E211" s="5"/>
      <c r="F211" s="5"/>
      <c r="G211" s="5"/>
      <c r="H211" s="306"/>
      <c r="I211" s="306"/>
      <c r="J211" s="5"/>
      <c r="K211" s="5"/>
      <c r="L211" s="5"/>
      <c r="M211" s="5"/>
      <c r="N211" s="5"/>
      <c r="O211" s="5"/>
      <c r="P211" s="57"/>
      <c r="Q211" s="5"/>
      <c r="R211" s="5"/>
      <c r="S211" s="5"/>
      <c r="T211" s="5"/>
      <c r="U211" s="5"/>
      <c r="V211" s="5"/>
      <c r="W211" s="5"/>
      <c r="X211" s="5"/>
      <c r="Y211" s="5"/>
      <c r="Z211" s="5"/>
      <c r="AA211" s="5"/>
    </row>
    <row r="212" spans="1:27" ht="12.75" customHeight="1">
      <c r="A212" s="5"/>
      <c r="B212" s="5"/>
      <c r="C212" s="5"/>
      <c r="D212" s="5"/>
      <c r="E212" s="5"/>
      <c r="F212" s="5"/>
      <c r="G212" s="5"/>
      <c r="H212" s="306"/>
      <c r="I212" s="306"/>
      <c r="J212" s="5"/>
      <c r="K212" s="5"/>
      <c r="L212" s="5"/>
      <c r="M212" s="5"/>
      <c r="N212" s="5"/>
      <c r="O212" s="5"/>
      <c r="P212" s="57"/>
      <c r="Q212" s="5"/>
      <c r="R212" s="5"/>
      <c r="S212" s="5"/>
      <c r="T212" s="5"/>
      <c r="U212" s="5"/>
      <c r="V212" s="5"/>
      <c r="W212" s="5"/>
      <c r="X212" s="5"/>
      <c r="Y212" s="5"/>
      <c r="Z212" s="5"/>
      <c r="AA212" s="5"/>
    </row>
    <row r="213" spans="1:27" ht="12.75" customHeight="1">
      <c r="A213" s="5"/>
      <c r="B213" s="5"/>
      <c r="C213" s="5"/>
      <c r="D213" s="5"/>
      <c r="E213" s="5"/>
      <c r="F213" s="5"/>
      <c r="G213" s="5"/>
      <c r="H213" s="306"/>
      <c r="I213" s="306"/>
      <c r="J213" s="5"/>
      <c r="K213" s="5"/>
      <c r="L213" s="5"/>
      <c r="M213" s="5"/>
      <c r="N213" s="5"/>
      <c r="O213" s="5"/>
      <c r="P213" s="57"/>
      <c r="Q213" s="5"/>
      <c r="R213" s="5"/>
      <c r="S213" s="5"/>
      <c r="T213" s="5"/>
      <c r="U213" s="5"/>
      <c r="V213" s="5"/>
      <c r="W213" s="5"/>
      <c r="X213" s="5"/>
      <c r="Y213" s="5"/>
      <c r="Z213" s="5"/>
      <c r="AA213" s="5"/>
    </row>
    <row r="214" spans="1:27" ht="12.75" customHeight="1">
      <c r="A214" s="5"/>
      <c r="B214" s="5"/>
      <c r="C214" s="5"/>
      <c r="D214" s="5"/>
      <c r="E214" s="5"/>
      <c r="F214" s="5"/>
      <c r="G214" s="5"/>
      <c r="H214" s="306"/>
      <c r="I214" s="306"/>
      <c r="J214" s="5"/>
      <c r="K214" s="5"/>
      <c r="L214" s="5"/>
      <c r="M214" s="5"/>
      <c r="N214" s="5"/>
      <c r="O214" s="5"/>
      <c r="P214" s="57"/>
      <c r="Q214" s="5"/>
      <c r="R214" s="5"/>
      <c r="S214" s="5"/>
      <c r="T214" s="5"/>
      <c r="U214" s="5"/>
      <c r="V214" s="5"/>
      <c r="W214" s="5"/>
      <c r="X214" s="5"/>
      <c r="Y214" s="5"/>
      <c r="Z214" s="5"/>
      <c r="AA214" s="5"/>
    </row>
    <row r="215" spans="1:27" ht="12.75" customHeight="1">
      <c r="A215" s="5"/>
      <c r="B215" s="5"/>
      <c r="C215" s="5"/>
      <c r="D215" s="5"/>
      <c r="E215" s="5"/>
      <c r="F215" s="5"/>
      <c r="G215" s="5"/>
      <c r="H215" s="306"/>
      <c r="I215" s="306"/>
      <c r="J215" s="5"/>
      <c r="K215" s="5"/>
      <c r="L215" s="5"/>
      <c r="M215" s="5"/>
      <c r="N215" s="5"/>
      <c r="O215" s="5"/>
      <c r="P215" s="57"/>
      <c r="Q215" s="5"/>
      <c r="R215" s="5"/>
      <c r="S215" s="5"/>
      <c r="T215" s="5"/>
      <c r="U215" s="5"/>
      <c r="V215" s="5"/>
      <c r="W215" s="5"/>
      <c r="X215" s="5"/>
      <c r="Y215" s="5"/>
      <c r="Z215" s="5"/>
      <c r="AA215" s="5"/>
    </row>
    <row r="216" spans="1:27" ht="12.75" customHeight="1">
      <c r="A216" s="5"/>
      <c r="B216" s="5"/>
      <c r="C216" s="5"/>
      <c r="D216" s="5"/>
      <c r="E216" s="5"/>
      <c r="F216" s="5"/>
      <c r="G216" s="5"/>
      <c r="H216" s="306"/>
      <c r="I216" s="306"/>
      <c r="J216" s="5"/>
      <c r="K216" s="5"/>
      <c r="L216" s="5"/>
      <c r="M216" s="5"/>
      <c r="N216" s="5"/>
      <c r="O216" s="5"/>
      <c r="P216" s="57"/>
      <c r="Q216" s="5"/>
      <c r="R216" s="5"/>
      <c r="S216" s="5"/>
      <c r="T216" s="5"/>
      <c r="U216" s="5"/>
      <c r="V216" s="5"/>
      <c r="W216" s="5"/>
      <c r="X216" s="5"/>
      <c r="Y216" s="5"/>
      <c r="Z216" s="5"/>
      <c r="AA216" s="5"/>
    </row>
    <row r="217" spans="1:27" ht="12.75" customHeight="1">
      <c r="A217" s="5"/>
      <c r="B217" s="5"/>
      <c r="C217" s="5"/>
      <c r="D217" s="5"/>
      <c r="E217" s="5"/>
      <c r="F217" s="5"/>
      <c r="G217" s="5"/>
      <c r="H217" s="306"/>
      <c r="I217" s="306"/>
      <c r="J217" s="5"/>
      <c r="K217" s="5"/>
      <c r="L217" s="5"/>
      <c r="M217" s="5"/>
      <c r="N217" s="5"/>
      <c r="O217" s="5"/>
      <c r="P217" s="57"/>
      <c r="Q217" s="5"/>
      <c r="R217" s="5"/>
      <c r="S217" s="5"/>
      <c r="T217" s="5"/>
      <c r="U217" s="5"/>
      <c r="V217" s="5"/>
      <c r="W217" s="5"/>
      <c r="X217" s="5"/>
      <c r="Y217" s="5"/>
      <c r="Z217" s="5"/>
      <c r="AA217" s="5"/>
    </row>
    <row r="218" spans="1:27" ht="12.75" customHeight="1">
      <c r="A218" s="5"/>
      <c r="B218" s="5"/>
      <c r="C218" s="5"/>
      <c r="D218" s="5"/>
      <c r="E218" s="5"/>
      <c r="F218" s="5"/>
      <c r="G218" s="5"/>
      <c r="H218" s="306"/>
      <c r="I218" s="306"/>
      <c r="J218" s="5"/>
      <c r="K218" s="5"/>
      <c r="L218" s="5"/>
      <c r="M218" s="5"/>
      <c r="N218" s="5"/>
      <c r="O218" s="5"/>
      <c r="P218" s="57"/>
      <c r="Q218" s="5"/>
      <c r="R218" s="5"/>
      <c r="S218" s="5"/>
      <c r="T218" s="5"/>
      <c r="U218" s="5"/>
      <c r="V218" s="5"/>
      <c r="W218" s="5"/>
      <c r="X218" s="5"/>
      <c r="Y218" s="5"/>
      <c r="Z218" s="5"/>
      <c r="AA218" s="5"/>
    </row>
    <row r="219" spans="1:27" ht="12.75" customHeight="1">
      <c r="A219" s="5"/>
      <c r="B219" s="5"/>
      <c r="C219" s="5"/>
      <c r="D219" s="5"/>
      <c r="E219" s="5"/>
      <c r="F219" s="5"/>
      <c r="G219" s="5"/>
      <c r="H219" s="306"/>
      <c r="I219" s="306"/>
      <c r="J219" s="5"/>
      <c r="K219" s="5"/>
      <c r="L219" s="5"/>
      <c r="M219" s="5"/>
      <c r="N219" s="5"/>
      <c r="O219" s="5"/>
      <c r="P219" s="57"/>
      <c r="Q219" s="5"/>
      <c r="R219" s="5"/>
      <c r="S219" s="5"/>
      <c r="T219" s="5"/>
      <c r="U219" s="5"/>
      <c r="V219" s="5"/>
      <c r="W219" s="5"/>
      <c r="X219" s="5"/>
      <c r="Y219" s="5"/>
      <c r="Z219" s="5"/>
      <c r="AA219" s="5"/>
    </row>
    <row r="220" spans="1:27" ht="12.75" customHeight="1">
      <c r="A220" s="5"/>
      <c r="B220" s="5"/>
      <c r="C220" s="5"/>
      <c r="D220" s="5"/>
      <c r="E220" s="5"/>
      <c r="F220" s="5"/>
      <c r="G220" s="5"/>
      <c r="H220" s="306"/>
      <c r="I220" s="306"/>
      <c r="J220" s="5"/>
      <c r="K220" s="5"/>
      <c r="L220" s="5"/>
      <c r="M220" s="5"/>
      <c r="N220" s="5"/>
      <c r="O220" s="5"/>
      <c r="P220" s="57"/>
      <c r="Q220" s="5"/>
      <c r="R220" s="5"/>
      <c r="S220" s="5"/>
      <c r="T220" s="5"/>
      <c r="U220" s="5"/>
      <c r="V220" s="5"/>
      <c r="W220" s="5"/>
      <c r="X220" s="5"/>
      <c r="Y220" s="5"/>
      <c r="Z220" s="5"/>
      <c r="AA220" s="5"/>
    </row>
    <row r="221" spans="1:27" ht="12.75" customHeight="1">
      <c r="A221" s="5"/>
      <c r="B221" s="5"/>
      <c r="C221" s="5"/>
      <c r="D221" s="5"/>
      <c r="E221" s="5"/>
      <c r="F221" s="5"/>
      <c r="G221" s="5"/>
      <c r="H221" s="306"/>
      <c r="I221" s="306"/>
      <c r="J221" s="5"/>
      <c r="K221" s="5"/>
      <c r="L221" s="5"/>
      <c r="M221" s="5"/>
      <c r="N221" s="5"/>
      <c r="O221" s="5"/>
      <c r="P221" s="57"/>
      <c r="Q221" s="5"/>
      <c r="R221" s="5"/>
      <c r="S221" s="5"/>
      <c r="T221" s="5"/>
      <c r="U221" s="5"/>
      <c r="V221" s="5"/>
      <c r="W221" s="5"/>
      <c r="X221" s="5"/>
      <c r="Y221" s="5"/>
      <c r="Z221" s="5"/>
      <c r="AA221" s="5"/>
    </row>
    <row r="222" spans="1:27" ht="12.75" customHeight="1">
      <c r="A222" s="5"/>
      <c r="B222" s="5"/>
      <c r="C222" s="5"/>
      <c r="D222" s="5"/>
      <c r="E222" s="5"/>
      <c r="F222" s="5"/>
      <c r="G222" s="5"/>
      <c r="H222" s="306"/>
      <c r="I222" s="306"/>
      <c r="J222" s="5"/>
      <c r="K222" s="5"/>
      <c r="L222" s="5"/>
      <c r="M222" s="5"/>
      <c r="N222" s="5"/>
      <c r="O222" s="5"/>
      <c r="P222" s="57"/>
      <c r="Q222" s="5"/>
      <c r="R222" s="5"/>
      <c r="S222" s="5"/>
      <c r="T222" s="5"/>
      <c r="U222" s="5"/>
      <c r="V222" s="5"/>
      <c r="W222" s="5"/>
      <c r="X222" s="5"/>
      <c r="Y222" s="5"/>
      <c r="Z222" s="5"/>
      <c r="AA222" s="5"/>
    </row>
    <row r="223" spans="1:27" ht="12.75" customHeight="1">
      <c r="A223" s="5"/>
      <c r="B223" s="5"/>
      <c r="C223" s="5"/>
      <c r="D223" s="5"/>
      <c r="E223" s="5"/>
      <c r="F223" s="5"/>
      <c r="G223" s="5"/>
      <c r="H223" s="306"/>
      <c r="I223" s="306"/>
      <c r="J223" s="5"/>
      <c r="K223" s="5"/>
      <c r="L223" s="5"/>
      <c r="M223" s="5"/>
      <c r="N223" s="5"/>
      <c r="O223" s="5"/>
      <c r="P223" s="57"/>
      <c r="Q223" s="5"/>
      <c r="R223" s="5"/>
      <c r="S223" s="5"/>
      <c r="T223" s="5"/>
      <c r="U223" s="5"/>
      <c r="V223" s="5"/>
      <c r="W223" s="5"/>
      <c r="X223" s="5"/>
      <c r="Y223" s="5"/>
      <c r="Z223" s="5"/>
      <c r="AA223" s="5"/>
    </row>
    <row r="224" spans="1:27" ht="12.75" customHeight="1">
      <c r="A224" s="5"/>
      <c r="B224" s="5"/>
      <c r="C224" s="5"/>
      <c r="D224" s="5"/>
      <c r="E224" s="5"/>
      <c r="F224" s="5"/>
      <c r="G224" s="5"/>
      <c r="H224" s="306"/>
      <c r="I224" s="306"/>
      <c r="J224" s="5"/>
      <c r="K224" s="5"/>
      <c r="L224" s="5"/>
      <c r="M224" s="5"/>
      <c r="N224" s="5"/>
      <c r="O224" s="5"/>
      <c r="P224" s="57"/>
      <c r="Q224" s="5"/>
      <c r="R224" s="5"/>
      <c r="S224" s="5"/>
      <c r="T224" s="5"/>
      <c r="U224" s="5"/>
      <c r="V224" s="5"/>
      <c r="W224" s="5"/>
      <c r="X224" s="5"/>
      <c r="Y224" s="5"/>
      <c r="Z224" s="5"/>
      <c r="AA224" s="5"/>
    </row>
    <row r="225" spans="1:27" ht="12.75" customHeight="1">
      <c r="A225" s="5"/>
      <c r="B225" s="5"/>
      <c r="C225" s="5"/>
      <c r="D225" s="5"/>
      <c r="E225" s="5"/>
      <c r="F225" s="5"/>
      <c r="G225" s="5"/>
      <c r="H225" s="306"/>
      <c r="I225" s="306"/>
      <c r="J225" s="5"/>
      <c r="K225" s="5"/>
      <c r="L225" s="5"/>
      <c r="M225" s="5"/>
      <c r="N225" s="5"/>
      <c r="O225" s="5"/>
      <c r="P225" s="57"/>
      <c r="Q225" s="5"/>
      <c r="R225" s="5"/>
      <c r="S225" s="5"/>
      <c r="T225" s="5"/>
      <c r="U225" s="5"/>
      <c r="V225" s="5"/>
      <c r="W225" s="5"/>
      <c r="X225" s="5"/>
      <c r="Y225" s="5"/>
      <c r="Z225" s="5"/>
      <c r="AA225" s="5"/>
    </row>
    <row r="226" spans="1:27" ht="12.75" customHeight="1">
      <c r="A226" s="5"/>
      <c r="B226" s="5"/>
      <c r="C226" s="5"/>
      <c r="D226" s="5"/>
      <c r="E226" s="5"/>
      <c r="F226" s="5"/>
      <c r="G226" s="5"/>
      <c r="H226" s="306"/>
      <c r="I226" s="306"/>
      <c r="J226" s="5"/>
      <c r="K226" s="5"/>
      <c r="L226" s="5"/>
      <c r="M226" s="5"/>
      <c r="N226" s="5"/>
      <c r="O226" s="5"/>
      <c r="P226" s="57"/>
      <c r="Q226" s="5"/>
      <c r="R226" s="5"/>
      <c r="S226" s="5"/>
      <c r="T226" s="5"/>
      <c r="U226" s="5"/>
      <c r="V226" s="5"/>
      <c r="W226" s="5"/>
      <c r="X226" s="5"/>
      <c r="Y226" s="5"/>
      <c r="Z226" s="5"/>
      <c r="AA226" s="5"/>
    </row>
    <row r="227" spans="1:27" ht="12.75" customHeight="1">
      <c r="A227" s="5"/>
      <c r="B227" s="5"/>
      <c r="C227" s="5"/>
      <c r="D227" s="5"/>
      <c r="E227" s="5"/>
      <c r="F227" s="5"/>
      <c r="G227" s="5"/>
      <c r="H227" s="306"/>
      <c r="I227" s="306"/>
      <c r="J227" s="5"/>
      <c r="K227" s="5"/>
      <c r="L227" s="5"/>
      <c r="M227" s="5"/>
      <c r="N227" s="5"/>
      <c r="O227" s="5"/>
      <c r="P227" s="57"/>
      <c r="Q227" s="5"/>
      <c r="R227" s="5"/>
      <c r="S227" s="5"/>
      <c r="T227" s="5"/>
      <c r="U227" s="5"/>
      <c r="V227" s="5"/>
      <c r="W227" s="5"/>
      <c r="X227" s="5"/>
      <c r="Y227" s="5"/>
      <c r="Z227" s="5"/>
      <c r="AA227" s="5"/>
    </row>
    <row r="228" spans="1:27" ht="12.75" customHeight="1">
      <c r="A228" s="5"/>
      <c r="B228" s="5"/>
      <c r="C228" s="5"/>
      <c r="D228" s="5"/>
      <c r="E228" s="5"/>
      <c r="F228" s="5"/>
      <c r="G228" s="5"/>
      <c r="H228" s="306"/>
      <c r="I228" s="306"/>
      <c r="J228" s="5"/>
      <c r="K228" s="5"/>
      <c r="L228" s="5"/>
      <c r="M228" s="5"/>
      <c r="N228" s="5"/>
      <c r="O228" s="5"/>
      <c r="P228" s="57"/>
      <c r="Q228" s="5"/>
      <c r="R228" s="5"/>
      <c r="S228" s="5"/>
      <c r="T228" s="5"/>
      <c r="U228" s="5"/>
      <c r="V228" s="5"/>
      <c r="W228" s="5"/>
      <c r="X228" s="5"/>
      <c r="Y228" s="5"/>
      <c r="Z228" s="5"/>
      <c r="AA228" s="5"/>
    </row>
    <row r="229" spans="1:27" ht="12.75" customHeight="1">
      <c r="A229" s="5"/>
      <c r="B229" s="5"/>
      <c r="C229" s="5"/>
      <c r="D229" s="5"/>
      <c r="E229" s="5"/>
      <c r="F229" s="5"/>
      <c r="G229" s="5"/>
      <c r="H229" s="306"/>
      <c r="I229" s="306"/>
      <c r="J229" s="5"/>
      <c r="K229" s="5"/>
      <c r="L229" s="5"/>
      <c r="M229" s="5"/>
      <c r="N229" s="5"/>
      <c r="O229" s="5"/>
      <c r="P229" s="57"/>
      <c r="Q229" s="5"/>
      <c r="R229" s="5"/>
      <c r="S229" s="5"/>
      <c r="T229" s="5"/>
      <c r="U229" s="5"/>
      <c r="V229" s="5"/>
      <c r="W229" s="5"/>
      <c r="X229" s="5"/>
      <c r="Y229" s="5"/>
      <c r="Z229" s="5"/>
      <c r="AA229" s="5"/>
    </row>
    <row r="230" spans="1:27" ht="12.75" customHeight="1">
      <c r="A230" s="5"/>
      <c r="B230" s="5"/>
      <c r="C230" s="5"/>
      <c r="D230" s="5"/>
      <c r="E230" s="5"/>
      <c r="F230" s="5"/>
      <c r="G230" s="5"/>
      <c r="H230" s="306"/>
      <c r="I230" s="306"/>
      <c r="J230" s="5"/>
      <c r="K230" s="5"/>
      <c r="L230" s="5"/>
      <c r="M230" s="5"/>
      <c r="N230" s="5"/>
      <c r="O230" s="5"/>
      <c r="P230" s="57"/>
      <c r="Q230" s="5"/>
      <c r="R230" s="5"/>
      <c r="S230" s="5"/>
      <c r="T230" s="5"/>
      <c r="U230" s="5"/>
      <c r="V230" s="5"/>
      <c r="W230" s="5"/>
      <c r="X230" s="5"/>
      <c r="Y230" s="5"/>
      <c r="Z230" s="5"/>
      <c r="AA230" s="5"/>
    </row>
    <row r="231" spans="1:27" ht="12.75" customHeight="1">
      <c r="A231" s="5"/>
      <c r="B231" s="5"/>
      <c r="C231" s="5"/>
      <c r="D231" s="5"/>
      <c r="E231" s="5"/>
      <c r="F231" s="5"/>
      <c r="G231" s="5"/>
      <c r="H231" s="306"/>
      <c r="I231" s="306"/>
      <c r="J231" s="5"/>
      <c r="K231" s="5"/>
      <c r="L231" s="5"/>
      <c r="M231" s="5"/>
      <c r="N231" s="5"/>
      <c r="O231" s="5"/>
      <c r="P231" s="57"/>
      <c r="Q231" s="5"/>
      <c r="R231" s="5"/>
      <c r="S231" s="5"/>
      <c r="T231" s="5"/>
      <c r="U231" s="5"/>
      <c r="V231" s="5"/>
      <c r="W231" s="5"/>
      <c r="X231" s="5"/>
      <c r="Y231" s="5"/>
      <c r="Z231" s="5"/>
      <c r="AA231" s="5"/>
    </row>
    <row r="232" spans="1:27" ht="12.75" customHeight="1">
      <c r="A232" s="5"/>
      <c r="B232" s="5"/>
      <c r="C232" s="5"/>
      <c r="D232" s="5"/>
      <c r="E232" s="5"/>
      <c r="F232" s="5"/>
      <c r="G232" s="5"/>
      <c r="H232" s="306"/>
      <c r="I232" s="306"/>
      <c r="J232" s="5"/>
      <c r="K232" s="5"/>
      <c r="L232" s="5"/>
      <c r="M232" s="5"/>
      <c r="N232" s="5"/>
      <c r="O232" s="5"/>
      <c r="P232" s="57"/>
      <c r="Q232" s="5"/>
      <c r="R232" s="5"/>
      <c r="S232" s="5"/>
      <c r="T232" s="5"/>
      <c r="U232" s="5"/>
      <c r="V232" s="5"/>
      <c r="W232" s="5"/>
      <c r="X232" s="5"/>
      <c r="Y232" s="5"/>
      <c r="Z232" s="5"/>
      <c r="AA232" s="5"/>
    </row>
    <row r="233" spans="1:27" ht="12.75" customHeight="1">
      <c r="A233" s="5"/>
      <c r="B233" s="5"/>
      <c r="C233" s="5"/>
      <c r="D233" s="5"/>
      <c r="E233" s="5"/>
      <c r="F233" s="5"/>
      <c r="G233" s="5"/>
      <c r="H233" s="306"/>
      <c r="I233" s="306"/>
      <c r="J233" s="5"/>
      <c r="K233" s="5"/>
      <c r="L233" s="5"/>
      <c r="M233" s="5"/>
      <c r="N233" s="5"/>
      <c r="O233" s="5"/>
      <c r="P233" s="57"/>
      <c r="Q233" s="5"/>
      <c r="R233" s="5"/>
      <c r="S233" s="5"/>
      <c r="T233" s="5"/>
      <c r="U233" s="5"/>
      <c r="V233" s="5"/>
      <c r="W233" s="5"/>
      <c r="X233" s="5"/>
      <c r="Y233" s="5"/>
      <c r="Z233" s="5"/>
      <c r="AA233" s="5"/>
    </row>
    <row r="234" spans="1:27" ht="12.75" customHeight="1">
      <c r="A234" s="5"/>
      <c r="B234" s="5"/>
      <c r="C234" s="5"/>
      <c r="D234" s="5"/>
      <c r="E234" s="5"/>
      <c r="F234" s="5"/>
      <c r="G234" s="5"/>
      <c r="H234" s="306"/>
      <c r="I234" s="306"/>
      <c r="J234" s="5"/>
      <c r="K234" s="5"/>
      <c r="L234" s="5"/>
      <c r="M234" s="5"/>
      <c r="N234" s="5"/>
      <c r="O234" s="5"/>
      <c r="P234" s="57"/>
      <c r="Q234" s="5"/>
      <c r="R234" s="5"/>
      <c r="S234" s="5"/>
      <c r="T234" s="5"/>
      <c r="U234" s="5"/>
      <c r="V234" s="5"/>
      <c r="W234" s="5"/>
      <c r="X234" s="5"/>
      <c r="Y234" s="5"/>
      <c r="Z234" s="5"/>
      <c r="AA234" s="5"/>
    </row>
    <row r="235" spans="1:27" ht="12.75" customHeight="1">
      <c r="A235" s="5"/>
      <c r="B235" s="5"/>
      <c r="C235" s="5"/>
      <c r="D235" s="5"/>
      <c r="E235" s="5"/>
      <c r="F235" s="5"/>
      <c r="G235" s="5"/>
      <c r="H235" s="306"/>
      <c r="I235" s="306"/>
      <c r="J235" s="5"/>
      <c r="K235" s="5"/>
      <c r="L235" s="5"/>
      <c r="M235" s="5"/>
      <c r="N235" s="5"/>
      <c r="O235" s="5"/>
      <c r="P235" s="57"/>
      <c r="Q235" s="5"/>
      <c r="R235" s="5"/>
      <c r="S235" s="5"/>
      <c r="T235" s="5"/>
      <c r="U235" s="5"/>
      <c r="V235" s="5"/>
      <c r="W235" s="5"/>
      <c r="X235" s="5"/>
      <c r="Y235" s="5"/>
      <c r="Z235" s="5"/>
      <c r="AA235" s="5"/>
    </row>
    <row r="236" spans="1:27" ht="12.75" customHeight="1">
      <c r="A236" s="5"/>
      <c r="B236" s="5"/>
      <c r="C236" s="5"/>
      <c r="D236" s="5"/>
      <c r="E236" s="5"/>
      <c r="F236" s="5"/>
      <c r="G236" s="5"/>
      <c r="H236" s="306"/>
      <c r="I236" s="306"/>
      <c r="J236" s="5"/>
      <c r="K236" s="5"/>
      <c r="L236" s="5"/>
      <c r="M236" s="5"/>
      <c r="N236" s="5"/>
      <c r="O236" s="5"/>
      <c r="P236" s="57"/>
      <c r="Q236" s="5"/>
      <c r="R236" s="5"/>
      <c r="S236" s="5"/>
      <c r="T236" s="5"/>
      <c r="U236" s="5"/>
      <c r="V236" s="5"/>
      <c r="W236" s="5"/>
      <c r="X236" s="5"/>
      <c r="Y236" s="5"/>
      <c r="Z236" s="5"/>
      <c r="AA236" s="5"/>
    </row>
    <row r="237" spans="1:27" ht="12.75" customHeight="1">
      <c r="A237" s="5"/>
      <c r="B237" s="5"/>
      <c r="C237" s="5"/>
      <c r="D237" s="5"/>
      <c r="E237" s="5"/>
      <c r="F237" s="5"/>
      <c r="G237" s="5"/>
      <c r="H237" s="306"/>
      <c r="I237" s="306"/>
      <c r="J237" s="5"/>
      <c r="K237" s="5"/>
      <c r="L237" s="5"/>
      <c r="M237" s="5"/>
      <c r="N237" s="5"/>
      <c r="O237" s="5"/>
      <c r="P237" s="57"/>
      <c r="Q237" s="5"/>
      <c r="R237" s="5"/>
      <c r="S237" s="5"/>
      <c r="T237" s="5"/>
      <c r="U237" s="5"/>
      <c r="V237" s="5"/>
      <c r="W237" s="5"/>
      <c r="X237" s="5"/>
      <c r="Y237" s="5"/>
      <c r="Z237" s="5"/>
      <c r="AA237" s="5"/>
    </row>
    <row r="238" spans="1:27" ht="12.75" customHeight="1">
      <c r="A238" s="5"/>
      <c r="B238" s="5"/>
      <c r="C238" s="5"/>
      <c r="D238" s="5"/>
      <c r="E238" s="5"/>
      <c r="F238" s="5"/>
      <c r="G238" s="5"/>
      <c r="H238" s="306"/>
      <c r="I238" s="306"/>
      <c r="J238" s="5"/>
      <c r="K238" s="5"/>
      <c r="L238" s="5"/>
      <c r="M238" s="5"/>
      <c r="N238" s="5"/>
      <c r="O238" s="5"/>
      <c r="P238" s="57"/>
      <c r="Q238" s="5"/>
      <c r="R238" s="5"/>
      <c r="S238" s="5"/>
      <c r="T238" s="5"/>
      <c r="U238" s="5"/>
      <c r="V238" s="5"/>
      <c r="W238" s="5"/>
      <c r="X238" s="5"/>
      <c r="Y238" s="5"/>
      <c r="Z238" s="5"/>
      <c r="AA238" s="5"/>
    </row>
    <row r="239" spans="1:27" ht="12.75" customHeight="1">
      <c r="A239" s="5"/>
      <c r="B239" s="5"/>
      <c r="C239" s="5"/>
      <c r="D239" s="5"/>
      <c r="E239" s="5"/>
      <c r="F239" s="5"/>
      <c r="G239" s="5"/>
      <c r="H239" s="306"/>
      <c r="I239" s="306"/>
      <c r="J239" s="5"/>
      <c r="K239" s="5"/>
      <c r="L239" s="5"/>
      <c r="M239" s="5"/>
      <c r="N239" s="5"/>
      <c r="O239" s="5"/>
      <c r="P239" s="57"/>
      <c r="Q239" s="5"/>
      <c r="R239" s="5"/>
      <c r="S239" s="5"/>
      <c r="T239" s="5"/>
      <c r="U239" s="5"/>
      <c r="V239" s="5"/>
      <c r="W239" s="5"/>
      <c r="X239" s="5"/>
      <c r="Y239" s="5"/>
      <c r="Z239" s="5"/>
      <c r="AA239" s="5"/>
    </row>
    <row r="240" spans="1:27" ht="12.75" customHeight="1">
      <c r="A240" s="5"/>
      <c r="B240" s="5"/>
      <c r="C240" s="5"/>
      <c r="D240" s="5"/>
      <c r="E240" s="5"/>
      <c r="F240" s="5"/>
      <c r="G240" s="5"/>
      <c r="H240" s="306"/>
      <c r="I240" s="306"/>
      <c r="J240" s="5"/>
      <c r="K240" s="5"/>
      <c r="L240" s="5"/>
      <c r="M240" s="5"/>
      <c r="N240" s="5"/>
      <c r="O240" s="5"/>
      <c r="P240" s="57"/>
      <c r="Q240" s="5"/>
      <c r="R240" s="5"/>
      <c r="S240" s="5"/>
      <c r="T240" s="5"/>
      <c r="U240" s="5"/>
      <c r="V240" s="5"/>
      <c r="W240" s="5"/>
      <c r="X240" s="5"/>
      <c r="Y240" s="5"/>
      <c r="Z240" s="5"/>
      <c r="AA240" s="5"/>
    </row>
    <row r="241" spans="1:27" ht="12.75" customHeight="1">
      <c r="A241" s="5"/>
      <c r="B241" s="5"/>
      <c r="C241" s="5"/>
      <c r="D241" s="5"/>
      <c r="E241" s="5"/>
      <c r="F241" s="5"/>
      <c r="G241" s="5"/>
      <c r="H241" s="306"/>
      <c r="I241" s="306"/>
      <c r="J241" s="5"/>
      <c r="K241" s="5"/>
      <c r="L241" s="5"/>
      <c r="M241" s="5"/>
      <c r="N241" s="5"/>
      <c r="O241" s="5"/>
      <c r="P241" s="57"/>
      <c r="Q241" s="5"/>
      <c r="R241" s="5"/>
      <c r="S241" s="5"/>
      <c r="T241" s="5"/>
      <c r="U241" s="5"/>
      <c r="V241" s="5"/>
      <c r="W241" s="5"/>
      <c r="X241" s="5"/>
      <c r="Y241" s="5"/>
      <c r="Z241" s="5"/>
      <c r="AA241" s="5"/>
    </row>
    <row r="242" spans="1:27" ht="12.75" customHeight="1">
      <c r="A242" s="5"/>
      <c r="B242" s="5"/>
      <c r="C242" s="5"/>
      <c r="D242" s="5"/>
      <c r="E242" s="5"/>
      <c r="F242" s="5"/>
      <c r="G242" s="5"/>
      <c r="H242" s="306"/>
      <c r="I242" s="306"/>
      <c r="J242" s="5"/>
      <c r="K242" s="5"/>
      <c r="L242" s="5"/>
      <c r="M242" s="5"/>
      <c r="N242" s="5"/>
      <c r="O242" s="5"/>
      <c r="P242" s="57"/>
      <c r="Q242" s="5"/>
      <c r="R242" s="5"/>
      <c r="S242" s="5"/>
      <c r="T242" s="5"/>
      <c r="U242" s="5"/>
      <c r="V242" s="5"/>
      <c r="W242" s="5"/>
      <c r="X242" s="5"/>
      <c r="Y242" s="5"/>
      <c r="Z242" s="5"/>
      <c r="AA242" s="5"/>
    </row>
    <row r="243" spans="1:27" ht="12.75" customHeight="1">
      <c r="A243" s="5"/>
      <c r="B243" s="5"/>
      <c r="C243" s="5"/>
      <c r="D243" s="5"/>
      <c r="E243" s="5"/>
      <c r="F243" s="5"/>
      <c r="G243" s="5"/>
      <c r="H243" s="306"/>
      <c r="I243" s="306"/>
      <c r="J243" s="5"/>
      <c r="K243" s="5"/>
      <c r="L243" s="5"/>
      <c r="M243" s="5"/>
      <c r="N243" s="5"/>
      <c r="O243" s="5"/>
      <c r="P243" s="57"/>
      <c r="Q243" s="5"/>
      <c r="R243" s="5"/>
      <c r="S243" s="5"/>
      <c r="T243" s="5"/>
      <c r="U243" s="5"/>
      <c r="V243" s="5"/>
      <c r="W243" s="5"/>
      <c r="X243" s="5"/>
      <c r="Y243" s="5"/>
      <c r="Z243" s="5"/>
      <c r="AA243" s="5"/>
    </row>
    <row r="244" spans="1:27" ht="12.75" customHeight="1">
      <c r="A244" s="5"/>
      <c r="B244" s="5"/>
      <c r="C244" s="5"/>
      <c r="D244" s="5"/>
      <c r="E244" s="5"/>
      <c r="F244" s="5"/>
      <c r="G244" s="5"/>
      <c r="H244" s="306"/>
      <c r="I244" s="306"/>
      <c r="J244" s="5"/>
      <c r="K244" s="5"/>
      <c r="L244" s="5"/>
      <c r="M244" s="5"/>
      <c r="N244" s="5"/>
      <c r="O244" s="5"/>
      <c r="P244" s="57"/>
      <c r="Q244" s="5"/>
      <c r="R244" s="5"/>
      <c r="S244" s="5"/>
      <c r="T244" s="5"/>
      <c r="U244" s="5"/>
      <c r="V244" s="5"/>
      <c r="W244" s="5"/>
      <c r="X244" s="5"/>
      <c r="Y244" s="5"/>
      <c r="Z244" s="5"/>
      <c r="AA244" s="5"/>
    </row>
    <row r="245" spans="1:27" ht="12.75" customHeight="1">
      <c r="A245" s="5"/>
      <c r="B245" s="5"/>
      <c r="C245" s="5"/>
      <c r="D245" s="5"/>
      <c r="E245" s="5"/>
      <c r="F245" s="5"/>
      <c r="G245" s="5"/>
      <c r="H245" s="306"/>
      <c r="I245" s="306"/>
      <c r="J245" s="5"/>
      <c r="K245" s="5"/>
      <c r="L245" s="5"/>
      <c r="M245" s="5"/>
      <c r="N245" s="5"/>
      <c r="O245" s="5"/>
      <c r="P245" s="57"/>
      <c r="Q245" s="5"/>
      <c r="R245" s="5"/>
      <c r="S245" s="5"/>
      <c r="T245" s="5"/>
      <c r="U245" s="5"/>
      <c r="V245" s="5"/>
      <c r="W245" s="5"/>
      <c r="X245" s="5"/>
      <c r="Y245" s="5"/>
      <c r="Z245" s="5"/>
      <c r="AA245" s="5"/>
    </row>
    <row r="246" spans="1:27" ht="12.75" customHeight="1">
      <c r="A246" s="5"/>
      <c r="B246" s="5"/>
      <c r="C246" s="5"/>
      <c r="D246" s="5"/>
      <c r="E246" s="5"/>
      <c r="F246" s="5"/>
      <c r="G246" s="5"/>
      <c r="H246" s="306"/>
      <c r="I246" s="306"/>
      <c r="J246" s="5"/>
      <c r="K246" s="5"/>
      <c r="L246" s="5"/>
      <c r="M246" s="5"/>
      <c r="N246" s="5"/>
      <c r="O246" s="5"/>
      <c r="P246" s="57"/>
      <c r="Q246" s="5"/>
      <c r="R246" s="5"/>
      <c r="S246" s="5"/>
      <c r="T246" s="5"/>
      <c r="U246" s="5"/>
      <c r="V246" s="5"/>
      <c r="W246" s="5"/>
      <c r="X246" s="5"/>
      <c r="Y246" s="5"/>
      <c r="Z246" s="5"/>
      <c r="AA246" s="5"/>
    </row>
    <row r="247" spans="1:27" ht="12.75" customHeight="1">
      <c r="A247" s="5"/>
      <c r="B247" s="5"/>
      <c r="C247" s="5"/>
      <c r="D247" s="5"/>
      <c r="E247" s="5"/>
      <c r="F247" s="5"/>
      <c r="G247" s="5"/>
      <c r="H247" s="306"/>
      <c r="I247" s="306"/>
      <c r="J247" s="5"/>
      <c r="K247" s="5"/>
      <c r="L247" s="5"/>
      <c r="M247" s="5"/>
      <c r="N247" s="5"/>
      <c r="O247" s="5"/>
      <c r="P247" s="57"/>
      <c r="Q247" s="5"/>
      <c r="R247" s="5"/>
      <c r="S247" s="5"/>
      <c r="T247" s="5"/>
      <c r="U247" s="5"/>
      <c r="V247" s="5"/>
      <c r="W247" s="5"/>
      <c r="X247" s="5"/>
      <c r="Y247" s="5"/>
      <c r="Z247" s="5"/>
      <c r="AA247" s="5"/>
    </row>
    <row r="248" spans="1:27" ht="12.75" customHeight="1">
      <c r="A248" s="5"/>
      <c r="B248" s="5"/>
      <c r="C248" s="5"/>
      <c r="D248" s="5"/>
      <c r="E248" s="5"/>
      <c r="F248" s="5"/>
      <c r="G248" s="5"/>
      <c r="H248" s="306"/>
      <c r="I248" s="306"/>
      <c r="J248" s="5"/>
      <c r="K248" s="5"/>
      <c r="L248" s="5"/>
      <c r="M248" s="5"/>
      <c r="N248" s="5"/>
      <c r="O248" s="5"/>
      <c r="P248" s="57"/>
      <c r="Q248" s="5"/>
      <c r="R248" s="5"/>
      <c r="S248" s="5"/>
      <c r="T248" s="5"/>
      <c r="U248" s="5"/>
      <c r="V248" s="5"/>
      <c r="W248" s="5"/>
      <c r="X248" s="5"/>
      <c r="Y248" s="5"/>
      <c r="Z248" s="5"/>
      <c r="AA248" s="5"/>
    </row>
    <row r="249" spans="1:27" ht="12.75" customHeight="1">
      <c r="A249" s="5"/>
      <c r="B249" s="5"/>
      <c r="C249" s="5"/>
      <c r="D249" s="5"/>
      <c r="E249" s="5"/>
      <c r="F249" s="5"/>
      <c r="G249" s="5"/>
      <c r="H249" s="306"/>
      <c r="I249" s="306"/>
      <c r="J249" s="5"/>
      <c r="K249" s="5"/>
      <c r="L249" s="5"/>
      <c r="M249" s="5"/>
      <c r="N249" s="5"/>
      <c r="O249" s="5"/>
      <c r="P249" s="57"/>
      <c r="Q249" s="5"/>
      <c r="R249" s="5"/>
      <c r="S249" s="5"/>
      <c r="T249" s="5"/>
      <c r="U249" s="5"/>
      <c r="V249" s="5"/>
      <c r="W249" s="5"/>
      <c r="X249" s="5"/>
      <c r="Y249" s="5"/>
      <c r="Z249" s="5"/>
      <c r="AA249" s="5"/>
    </row>
    <row r="250" spans="1:27" ht="12.75" customHeight="1">
      <c r="A250" s="5"/>
      <c r="B250" s="5"/>
      <c r="C250" s="5"/>
      <c r="D250" s="5"/>
      <c r="E250" s="5"/>
      <c r="F250" s="5"/>
      <c r="G250" s="5"/>
      <c r="H250" s="306"/>
      <c r="I250" s="306"/>
      <c r="J250" s="5"/>
      <c r="K250" s="5"/>
      <c r="L250" s="5"/>
      <c r="M250" s="5"/>
      <c r="N250" s="5"/>
      <c r="O250" s="5"/>
      <c r="P250" s="57"/>
      <c r="Q250" s="5"/>
      <c r="R250" s="5"/>
      <c r="S250" s="5"/>
      <c r="T250" s="5"/>
      <c r="U250" s="5"/>
      <c r="V250" s="5"/>
      <c r="W250" s="5"/>
      <c r="X250" s="5"/>
      <c r="Y250" s="5"/>
      <c r="Z250" s="5"/>
      <c r="AA250" s="5"/>
    </row>
    <row r="251" spans="1:27" ht="12.75" customHeight="1">
      <c r="A251" s="5"/>
      <c r="B251" s="5"/>
      <c r="C251" s="5"/>
      <c r="D251" s="5"/>
      <c r="E251" s="5"/>
      <c r="F251" s="5"/>
      <c r="G251" s="5"/>
      <c r="H251" s="306"/>
      <c r="I251" s="306"/>
      <c r="J251" s="5"/>
      <c r="K251" s="5"/>
      <c r="L251" s="5"/>
      <c r="M251" s="5"/>
      <c r="N251" s="5"/>
      <c r="O251" s="5"/>
      <c r="P251" s="57"/>
      <c r="Q251" s="5"/>
      <c r="R251" s="5"/>
      <c r="S251" s="5"/>
      <c r="T251" s="5"/>
      <c r="U251" s="5"/>
      <c r="V251" s="5"/>
      <c r="W251" s="5"/>
      <c r="X251" s="5"/>
      <c r="Y251" s="5"/>
      <c r="Z251" s="5"/>
      <c r="AA251" s="5"/>
    </row>
    <row r="252" spans="1:27" ht="12.75" customHeight="1">
      <c r="A252" s="5"/>
      <c r="B252" s="5"/>
      <c r="C252" s="5"/>
      <c r="D252" s="5"/>
      <c r="E252" s="5"/>
      <c r="F252" s="5"/>
      <c r="G252" s="5"/>
      <c r="H252" s="306"/>
      <c r="I252" s="306"/>
      <c r="J252" s="5"/>
      <c r="K252" s="5"/>
      <c r="L252" s="5"/>
      <c r="M252" s="5"/>
      <c r="N252" s="5"/>
      <c r="O252" s="5"/>
      <c r="P252" s="57"/>
      <c r="Q252" s="5"/>
      <c r="R252" s="5"/>
      <c r="S252" s="5"/>
      <c r="T252" s="5"/>
      <c r="U252" s="5"/>
      <c r="V252" s="5"/>
      <c r="W252" s="5"/>
      <c r="X252" s="5"/>
      <c r="Y252" s="5"/>
      <c r="Z252" s="5"/>
      <c r="AA252" s="5"/>
    </row>
    <row r="253" spans="1:27" ht="12.75" customHeight="1">
      <c r="A253" s="5"/>
      <c r="B253" s="5"/>
      <c r="C253" s="5"/>
      <c r="D253" s="5"/>
      <c r="E253" s="5"/>
      <c r="F253" s="5"/>
      <c r="G253" s="5"/>
      <c r="H253" s="306"/>
      <c r="I253" s="306"/>
      <c r="J253" s="5"/>
      <c r="K253" s="5"/>
      <c r="L253" s="5"/>
      <c r="M253" s="5"/>
      <c r="N253" s="5"/>
      <c r="O253" s="5"/>
      <c r="P253" s="57"/>
      <c r="Q253" s="5"/>
      <c r="R253" s="5"/>
      <c r="S253" s="5"/>
      <c r="T253" s="5"/>
      <c r="U253" s="5"/>
      <c r="V253" s="5"/>
      <c r="W253" s="5"/>
      <c r="X253" s="5"/>
      <c r="Y253" s="5"/>
      <c r="Z253" s="5"/>
      <c r="AA253" s="5"/>
    </row>
    <row r="254" spans="1:27" ht="12.75" customHeight="1">
      <c r="A254" s="5"/>
      <c r="B254" s="5"/>
      <c r="C254" s="5"/>
      <c r="D254" s="5"/>
      <c r="E254" s="5"/>
      <c r="F254" s="5"/>
      <c r="G254" s="5"/>
      <c r="H254" s="306"/>
      <c r="I254" s="306"/>
      <c r="J254" s="5"/>
      <c r="K254" s="5"/>
      <c r="L254" s="5"/>
      <c r="M254" s="5"/>
      <c r="N254" s="5"/>
      <c r="O254" s="5"/>
      <c r="P254" s="57"/>
      <c r="Q254" s="5"/>
      <c r="R254" s="5"/>
      <c r="S254" s="5"/>
      <c r="T254" s="5"/>
      <c r="U254" s="5"/>
      <c r="V254" s="5"/>
      <c r="W254" s="5"/>
      <c r="X254" s="5"/>
      <c r="Y254" s="5"/>
      <c r="Z254" s="5"/>
      <c r="AA254" s="5"/>
    </row>
    <row r="255" spans="1:27" ht="12.75" customHeight="1">
      <c r="A255" s="5"/>
      <c r="B255" s="5"/>
      <c r="C255" s="5"/>
      <c r="D255" s="5"/>
      <c r="E255" s="5"/>
      <c r="F255" s="5"/>
      <c r="G255" s="5"/>
      <c r="H255" s="306"/>
      <c r="I255" s="306"/>
      <c r="J255" s="5"/>
      <c r="K255" s="5"/>
      <c r="L255" s="5"/>
      <c r="M255" s="5"/>
      <c r="N255" s="5"/>
      <c r="O255" s="5"/>
      <c r="P255" s="57"/>
      <c r="Q255" s="5"/>
      <c r="R255" s="5"/>
      <c r="S255" s="5"/>
      <c r="T255" s="5"/>
      <c r="U255" s="5"/>
      <c r="V255" s="5"/>
      <c r="W255" s="5"/>
      <c r="X255" s="5"/>
      <c r="Y255" s="5"/>
      <c r="Z255" s="5"/>
      <c r="AA255" s="5"/>
    </row>
    <row r="256" spans="1:27" ht="12.75" customHeight="1">
      <c r="A256" s="5"/>
      <c r="B256" s="5"/>
      <c r="C256" s="5"/>
      <c r="D256" s="5"/>
      <c r="E256" s="5"/>
      <c r="F256" s="5"/>
      <c r="G256" s="5"/>
      <c r="H256" s="306"/>
      <c r="I256" s="306"/>
      <c r="J256" s="5"/>
      <c r="K256" s="5"/>
      <c r="L256" s="5"/>
      <c r="M256" s="5"/>
      <c r="N256" s="5"/>
      <c r="O256" s="5"/>
      <c r="P256" s="57"/>
      <c r="Q256" s="5"/>
      <c r="R256" s="5"/>
      <c r="S256" s="5"/>
      <c r="T256" s="5"/>
      <c r="U256" s="5"/>
      <c r="V256" s="5"/>
      <c r="W256" s="5"/>
      <c r="X256" s="5"/>
      <c r="Y256" s="5"/>
      <c r="Z256" s="5"/>
      <c r="AA256" s="5"/>
    </row>
    <row r="257" spans="1:27" ht="12.75" customHeight="1">
      <c r="A257" s="5"/>
      <c r="B257" s="5"/>
      <c r="C257" s="5"/>
      <c r="D257" s="5"/>
      <c r="E257" s="5"/>
      <c r="F257" s="5"/>
      <c r="G257" s="5"/>
      <c r="H257" s="306"/>
      <c r="I257" s="306"/>
      <c r="J257" s="5"/>
      <c r="K257" s="5"/>
      <c r="L257" s="5"/>
      <c r="M257" s="5"/>
      <c r="N257" s="5"/>
      <c r="O257" s="5"/>
      <c r="P257" s="57"/>
      <c r="Q257" s="5"/>
      <c r="R257" s="5"/>
      <c r="S257" s="5"/>
      <c r="T257" s="5"/>
      <c r="U257" s="5"/>
      <c r="V257" s="5"/>
      <c r="W257" s="5"/>
      <c r="X257" s="5"/>
      <c r="Y257" s="5"/>
      <c r="Z257" s="5"/>
      <c r="AA257" s="5"/>
    </row>
    <row r="258" spans="1:27" ht="12.75" customHeight="1">
      <c r="A258" s="5"/>
      <c r="B258" s="5"/>
      <c r="C258" s="5"/>
      <c r="D258" s="5"/>
      <c r="E258" s="5"/>
      <c r="F258" s="5"/>
      <c r="G258" s="5"/>
      <c r="H258" s="306"/>
      <c r="I258" s="306"/>
      <c r="J258" s="5"/>
      <c r="K258" s="5"/>
      <c r="L258" s="5"/>
      <c r="M258" s="5"/>
      <c r="N258" s="5"/>
      <c r="O258" s="5"/>
      <c r="P258" s="57"/>
      <c r="Q258" s="5"/>
      <c r="R258" s="5"/>
      <c r="S258" s="5"/>
      <c r="T258" s="5"/>
      <c r="U258" s="5"/>
      <c r="V258" s="5"/>
      <c r="W258" s="5"/>
      <c r="X258" s="5"/>
      <c r="Y258" s="5"/>
      <c r="Z258" s="5"/>
      <c r="AA258" s="5"/>
    </row>
    <row r="259" spans="1:27" ht="12.75" customHeight="1">
      <c r="A259" s="5"/>
      <c r="B259" s="5"/>
      <c r="C259" s="5"/>
      <c r="D259" s="5"/>
      <c r="E259" s="5"/>
      <c r="F259" s="5"/>
      <c r="G259" s="5"/>
      <c r="H259" s="306"/>
      <c r="I259" s="306"/>
      <c r="J259" s="5"/>
      <c r="K259" s="5"/>
      <c r="L259" s="5"/>
      <c r="M259" s="5"/>
      <c r="N259" s="5"/>
      <c r="O259" s="5"/>
      <c r="P259" s="57"/>
      <c r="Q259" s="5"/>
      <c r="R259" s="5"/>
      <c r="S259" s="5"/>
      <c r="T259" s="5"/>
      <c r="U259" s="5"/>
      <c r="V259" s="5"/>
      <c r="W259" s="5"/>
      <c r="X259" s="5"/>
      <c r="Y259" s="5"/>
      <c r="Z259" s="5"/>
      <c r="AA259" s="5"/>
    </row>
    <row r="260" spans="1:27" ht="12.75" customHeight="1">
      <c r="A260" s="5"/>
      <c r="B260" s="5"/>
      <c r="C260" s="5"/>
      <c r="D260" s="5"/>
      <c r="E260" s="5"/>
      <c r="F260" s="5"/>
      <c r="G260" s="5"/>
      <c r="H260" s="306"/>
      <c r="I260" s="306"/>
      <c r="J260" s="5"/>
      <c r="K260" s="5"/>
      <c r="L260" s="5"/>
      <c r="M260" s="5"/>
      <c r="N260" s="5"/>
      <c r="O260" s="5"/>
      <c r="P260" s="57"/>
      <c r="Q260" s="5"/>
      <c r="R260" s="5"/>
      <c r="S260" s="5"/>
      <c r="T260" s="5"/>
      <c r="U260" s="5"/>
      <c r="V260" s="5"/>
      <c r="W260" s="5"/>
      <c r="X260" s="5"/>
      <c r="Y260" s="5"/>
      <c r="Z260" s="5"/>
      <c r="AA260" s="5"/>
    </row>
    <row r="261" spans="1:27" ht="12.75" customHeight="1">
      <c r="A261" s="5"/>
      <c r="B261" s="5"/>
      <c r="C261" s="5"/>
      <c r="D261" s="5"/>
      <c r="E261" s="5"/>
      <c r="F261" s="5"/>
      <c r="G261" s="5"/>
      <c r="H261" s="306"/>
      <c r="I261" s="306"/>
      <c r="J261" s="5"/>
      <c r="K261" s="5"/>
      <c r="L261" s="5"/>
      <c r="M261" s="5"/>
      <c r="N261" s="5"/>
      <c r="O261" s="5"/>
      <c r="P261" s="57"/>
      <c r="Q261" s="5"/>
      <c r="R261" s="5"/>
      <c r="S261" s="5"/>
      <c r="T261" s="5"/>
      <c r="U261" s="5"/>
      <c r="V261" s="5"/>
      <c r="W261" s="5"/>
      <c r="X261" s="5"/>
      <c r="Y261" s="5"/>
      <c r="Z261" s="5"/>
      <c r="AA261" s="5"/>
    </row>
    <row r="262" spans="1:27" ht="12.75" customHeight="1">
      <c r="A262" s="5"/>
      <c r="B262" s="5"/>
      <c r="C262" s="5"/>
      <c r="D262" s="5"/>
      <c r="E262" s="5"/>
      <c r="F262" s="5"/>
      <c r="G262" s="5"/>
      <c r="H262" s="306"/>
      <c r="I262" s="306"/>
      <c r="J262" s="5"/>
      <c r="K262" s="5"/>
      <c r="L262" s="5"/>
      <c r="M262" s="5"/>
      <c r="N262" s="5"/>
      <c r="O262" s="5"/>
      <c r="P262" s="57"/>
      <c r="Q262" s="5"/>
      <c r="R262" s="5"/>
      <c r="S262" s="5"/>
      <c r="T262" s="5"/>
      <c r="U262" s="5"/>
      <c r="V262" s="5"/>
      <c r="W262" s="5"/>
      <c r="X262" s="5"/>
      <c r="Y262" s="5"/>
      <c r="Z262" s="5"/>
      <c r="AA262" s="5"/>
    </row>
    <row r="263" spans="1:27" ht="12.75" customHeight="1">
      <c r="A263" s="5"/>
      <c r="B263" s="5"/>
      <c r="C263" s="5"/>
      <c r="D263" s="5"/>
      <c r="E263" s="5"/>
      <c r="F263" s="5"/>
      <c r="G263" s="5"/>
      <c r="H263" s="306"/>
      <c r="I263" s="306"/>
      <c r="J263" s="5"/>
      <c r="K263" s="5"/>
      <c r="L263" s="5"/>
      <c r="M263" s="5"/>
      <c r="N263" s="5"/>
      <c r="O263" s="5"/>
      <c r="P263" s="57"/>
      <c r="Q263" s="5"/>
      <c r="R263" s="5"/>
      <c r="S263" s="5"/>
      <c r="T263" s="5"/>
      <c r="U263" s="5"/>
      <c r="V263" s="5"/>
      <c r="W263" s="5"/>
      <c r="X263" s="5"/>
      <c r="Y263" s="5"/>
      <c r="Z263" s="5"/>
      <c r="AA263" s="5"/>
    </row>
    <row r="264" spans="1:27" ht="12.75" customHeight="1">
      <c r="A264" s="5"/>
      <c r="B264" s="5"/>
      <c r="C264" s="5"/>
      <c r="D264" s="5"/>
      <c r="E264" s="5"/>
      <c r="F264" s="5"/>
      <c r="G264" s="5"/>
      <c r="H264" s="306"/>
      <c r="I264" s="306"/>
      <c r="J264" s="5"/>
      <c r="K264" s="5"/>
      <c r="L264" s="5"/>
      <c r="M264" s="5"/>
      <c r="N264" s="5"/>
      <c r="O264" s="5"/>
      <c r="P264" s="57"/>
      <c r="Q264" s="5"/>
      <c r="R264" s="5"/>
      <c r="S264" s="5"/>
      <c r="T264" s="5"/>
      <c r="U264" s="5"/>
      <c r="V264" s="5"/>
      <c r="W264" s="5"/>
      <c r="X264" s="5"/>
      <c r="Y264" s="5"/>
      <c r="Z264" s="5"/>
      <c r="AA264" s="5"/>
    </row>
    <row r="265" spans="1:27" ht="12.75" customHeight="1">
      <c r="A265" s="5"/>
      <c r="B265" s="5"/>
      <c r="C265" s="5"/>
      <c r="D265" s="5"/>
      <c r="E265" s="5"/>
      <c r="F265" s="5"/>
      <c r="G265" s="5"/>
      <c r="H265" s="306"/>
      <c r="I265" s="306"/>
      <c r="J265" s="5"/>
      <c r="K265" s="5"/>
      <c r="L265" s="5"/>
      <c r="M265" s="5"/>
      <c r="N265" s="5"/>
      <c r="O265" s="5"/>
      <c r="P265" s="57"/>
      <c r="Q265" s="5"/>
      <c r="R265" s="5"/>
      <c r="S265" s="5"/>
      <c r="T265" s="5"/>
      <c r="U265" s="5"/>
      <c r="V265" s="5"/>
      <c r="W265" s="5"/>
      <c r="X265" s="5"/>
      <c r="Y265" s="5"/>
      <c r="Z265" s="5"/>
      <c r="AA265" s="5"/>
    </row>
    <row r="266" spans="1:27" ht="12.75" customHeight="1">
      <c r="A266" s="5"/>
      <c r="B266" s="5"/>
      <c r="C266" s="5"/>
      <c r="D266" s="5"/>
      <c r="E266" s="5"/>
      <c r="F266" s="5"/>
      <c r="G266" s="5"/>
      <c r="H266" s="306"/>
      <c r="I266" s="306"/>
      <c r="J266" s="5"/>
      <c r="K266" s="5"/>
      <c r="L266" s="5"/>
      <c r="M266" s="5"/>
      <c r="N266" s="5"/>
      <c r="O266" s="5"/>
      <c r="P266" s="57"/>
      <c r="Q266" s="5"/>
      <c r="R266" s="5"/>
      <c r="S266" s="5"/>
      <c r="T266" s="5"/>
      <c r="U266" s="5"/>
      <c r="V266" s="5"/>
      <c r="W266" s="5"/>
      <c r="X266" s="5"/>
      <c r="Y266" s="5"/>
      <c r="Z266" s="5"/>
      <c r="AA266" s="5"/>
    </row>
    <row r="267" spans="1:27" ht="12.75" customHeight="1">
      <c r="A267" s="5"/>
      <c r="B267" s="5"/>
      <c r="C267" s="5"/>
      <c r="D267" s="5"/>
      <c r="E267" s="5"/>
      <c r="F267" s="5"/>
      <c r="G267" s="5"/>
      <c r="H267" s="306"/>
      <c r="I267" s="306"/>
      <c r="J267" s="5"/>
      <c r="K267" s="5"/>
      <c r="L267" s="5"/>
      <c r="M267" s="5"/>
      <c r="N267" s="5"/>
      <c r="O267" s="5"/>
      <c r="P267" s="57"/>
      <c r="Q267" s="5"/>
      <c r="R267" s="5"/>
      <c r="S267" s="5"/>
      <c r="T267" s="5"/>
      <c r="U267" s="5"/>
      <c r="V267" s="5"/>
      <c r="W267" s="5"/>
      <c r="X267" s="5"/>
      <c r="Y267" s="5"/>
      <c r="Z267" s="5"/>
      <c r="AA267" s="5"/>
    </row>
    <row r="268" spans="1:27" ht="12.75" customHeight="1">
      <c r="A268" s="5"/>
      <c r="B268" s="5"/>
      <c r="C268" s="5"/>
      <c r="D268" s="5"/>
      <c r="E268" s="5"/>
      <c r="F268" s="5"/>
      <c r="G268" s="5"/>
      <c r="H268" s="306"/>
      <c r="I268" s="306"/>
      <c r="J268" s="5"/>
      <c r="K268" s="5"/>
      <c r="L268" s="5"/>
      <c r="M268" s="5"/>
      <c r="N268" s="5"/>
      <c r="O268" s="5"/>
      <c r="P268" s="57"/>
      <c r="Q268" s="5"/>
      <c r="R268" s="5"/>
      <c r="S268" s="5"/>
      <c r="T268" s="5"/>
      <c r="U268" s="5"/>
      <c r="V268" s="5"/>
      <c r="W268" s="5"/>
      <c r="X268" s="5"/>
      <c r="Y268" s="5"/>
      <c r="Z268" s="5"/>
      <c r="AA268" s="5"/>
    </row>
    <row r="269" spans="1:27" ht="12.75" customHeight="1">
      <c r="A269" s="5"/>
      <c r="B269" s="5"/>
      <c r="C269" s="5"/>
      <c r="D269" s="5"/>
      <c r="E269" s="5"/>
      <c r="F269" s="5"/>
      <c r="G269" s="5"/>
      <c r="H269" s="306"/>
      <c r="I269" s="306"/>
      <c r="J269" s="5"/>
      <c r="K269" s="5"/>
      <c r="L269" s="5"/>
      <c r="M269" s="5"/>
      <c r="N269" s="5"/>
      <c r="O269" s="5"/>
      <c r="P269" s="57"/>
      <c r="Q269" s="5"/>
      <c r="R269" s="5"/>
      <c r="S269" s="5"/>
      <c r="T269" s="5"/>
      <c r="U269" s="5"/>
      <c r="V269" s="5"/>
      <c r="W269" s="5"/>
      <c r="X269" s="5"/>
      <c r="Y269" s="5"/>
      <c r="Z269" s="5"/>
      <c r="AA269" s="5"/>
    </row>
    <row r="270" spans="1:27" ht="12.75" customHeight="1">
      <c r="A270" s="5"/>
      <c r="B270" s="5"/>
      <c r="C270" s="5"/>
      <c r="D270" s="5"/>
      <c r="E270" s="5"/>
      <c r="F270" s="5"/>
      <c r="G270" s="5"/>
      <c r="H270" s="306"/>
      <c r="I270" s="306"/>
      <c r="J270" s="5"/>
      <c r="K270" s="5"/>
      <c r="L270" s="5"/>
      <c r="M270" s="5"/>
      <c r="N270" s="5"/>
      <c r="O270" s="5"/>
      <c r="P270" s="57"/>
      <c r="Q270" s="5"/>
      <c r="R270" s="5"/>
      <c r="S270" s="5"/>
      <c r="T270" s="5"/>
      <c r="U270" s="5"/>
      <c r="V270" s="5"/>
      <c r="W270" s="5"/>
      <c r="X270" s="5"/>
      <c r="Y270" s="5"/>
      <c r="Z270" s="5"/>
      <c r="AA270" s="5"/>
    </row>
    <row r="271" spans="1:27" ht="12.75" customHeight="1">
      <c r="A271" s="5"/>
      <c r="B271" s="5"/>
      <c r="C271" s="5"/>
      <c r="D271" s="5"/>
      <c r="E271" s="5"/>
      <c r="F271" s="5"/>
      <c r="G271" s="5"/>
      <c r="H271" s="306"/>
      <c r="I271" s="306"/>
      <c r="J271" s="5"/>
      <c r="K271" s="5"/>
      <c r="L271" s="5"/>
      <c r="M271" s="5"/>
      <c r="N271" s="5"/>
      <c r="O271" s="5"/>
      <c r="P271" s="57"/>
      <c r="Q271" s="5"/>
      <c r="R271" s="5"/>
      <c r="S271" s="5"/>
      <c r="T271" s="5"/>
      <c r="U271" s="5"/>
      <c r="V271" s="5"/>
      <c r="W271" s="5"/>
      <c r="X271" s="5"/>
      <c r="Y271" s="5"/>
      <c r="Z271" s="5"/>
      <c r="AA271" s="5"/>
    </row>
    <row r="272" spans="1:27" ht="12.75" customHeight="1">
      <c r="A272" s="5"/>
      <c r="B272" s="5"/>
      <c r="C272" s="5"/>
      <c r="D272" s="5"/>
      <c r="E272" s="5"/>
      <c r="F272" s="5"/>
      <c r="G272" s="5"/>
      <c r="H272" s="306"/>
      <c r="I272" s="306"/>
      <c r="J272" s="5"/>
      <c r="K272" s="5"/>
      <c r="L272" s="5"/>
      <c r="M272" s="5"/>
      <c r="N272" s="5"/>
      <c r="O272" s="5"/>
      <c r="P272" s="57"/>
      <c r="Q272" s="5"/>
      <c r="R272" s="5"/>
      <c r="S272" s="5"/>
      <c r="T272" s="5"/>
      <c r="U272" s="5"/>
      <c r="V272" s="5"/>
      <c r="W272" s="5"/>
      <c r="X272" s="5"/>
      <c r="Y272" s="5"/>
      <c r="Z272" s="5"/>
      <c r="AA272" s="5"/>
    </row>
    <row r="273" spans="1:27" ht="12.75" customHeight="1">
      <c r="A273" s="5"/>
      <c r="B273" s="5"/>
      <c r="C273" s="5"/>
      <c r="D273" s="5"/>
      <c r="E273" s="5"/>
      <c r="F273" s="5"/>
      <c r="G273" s="5"/>
      <c r="H273" s="306"/>
      <c r="I273" s="306"/>
      <c r="J273" s="5"/>
      <c r="K273" s="5"/>
      <c r="L273" s="5"/>
      <c r="M273" s="5"/>
      <c r="N273" s="5"/>
      <c r="O273" s="5"/>
      <c r="P273" s="57"/>
      <c r="Q273" s="5"/>
      <c r="R273" s="5"/>
      <c r="S273" s="5"/>
      <c r="T273" s="5"/>
      <c r="U273" s="5"/>
      <c r="V273" s="5"/>
      <c r="W273" s="5"/>
      <c r="X273" s="5"/>
      <c r="Y273" s="5"/>
      <c r="Z273" s="5"/>
      <c r="AA273" s="5"/>
    </row>
    <row r="274" spans="1:27" ht="12.75" customHeight="1">
      <c r="A274" s="5"/>
      <c r="B274" s="5"/>
      <c r="C274" s="5"/>
      <c r="D274" s="5"/>
      <c r="E274" s="5"/>
      <c r="F274" s="5"/>
      <c r="G274" s="5"/>
      <c r="H274" s="306"/>
      <c r="I274" s="306"/>
      <c r="J274" s="5"/>
      <c r="K274" s="5"/>
      <c r="L274" s="5"/>
      <c r="M274" s="5"/>
      <c r="N274" s="5"/>
      <c r="O274" s="5"/>
      <c r="P274" s="57"/>
      <c r="Q274" s="5"/>
      <c r="R274" s="5"/>
      <c r="S274" s="5"/>
      <c r="T274" s="5"/>
      <c r="U274" s="5"/>
      <c r="V274" s="5"/>
      <c r="W274" s="5"/>
      <c r="X274" s="5"/>
      <c r="Y274" s="5"/>
      <c r="Z274" s="5"/>
      <c r="AA274" s="5"/>
    </row>
    <row r="275" spans="1:27" ht="12.75" customHeight="1">
      <c r="A275" s="5"/>
      <c r="B275" s="5"/>
      <c r="C275" s="5"/>
      <c r="D275" s="5"/>
      <c r="E275" s="5"/>
      <c r="F275" s="5"/>
      <c r="G275" s="5"/>
      <c r="H275" s="306"/>
      <c r="I275" s="306"/>
      <c r="J275" s="5"/>
      <c r="K275" s="5"/>
      <c r="L275" s="5"/>
      <c r="M275" s="5"/>
      <c r="N275" s="5"/>
      <c r="O275" s="5"/>
      <c r="P275" s="57"/>
      <c r="Q275" s="5"/>
      <c r="R275" s="5"/>
      <c r="S275" s="5"/>
      <c r="T275" s="5"/>
      <c r="U275" s="5"/>
      <c r="V275" s="5"/>
      <c r="W275" s="5"/>
      <c r="X275" s="5"/>
      <c r="Y275" s="5"/>
      <c r="Z275" s="5"/>
      <c r="AA275" s="5"/>
    </row>
    <row r="276" spans="1:27" ht="12.75" customHeight="1">
      <c r="A276" s="5"/>
      <c r="B276" s="5"/>
      <c r="C276" s="5"/>
      <c r="D276" s="5"/>
      <c r="E276" s="5"/>
      <c r="F276" s="5"/>
      <c r="G276" s="5"/>
      <c r="H276" s="306"/>
      <c r="I276" s="306"/>
      <c r="J276" s="5"/>
      <c r="K276" s="5"/>
      <c r="L276" s="5"/>
      <c r="M276" s="5"/>
      <c r="N276" s="5"/>
      <c r="O276" s="5"/>
      <c r="P276" s="57"/>
      <c r="Q276" s="5"/>
      <c r="R276" s="5"/>
      <c r="S276" s="5"/>
      <c r="T276" s="5"/>
      <c r="U276" s="5"/>
      <c r="V276" s="5"/>
      <c r="W276" s="5"/>
      <c r="X276" s="5"/>
      <c r="Y276" s="5"/>
      <c r="Z276" s="5"/>
      <c r="AA276" s="5"/>
    </row>
    <row r="277" spans="1:27" ht="12.75" customHeight="1">
      <c r="A277" s="5"/>
      <c r="B277" s="5"/>
      <c r="C277" s="5"/>
      <c r="D277" s="5"/>
      <c r="E277" s="5"/>
      <c r="F277" s="5"/>
      <c r="G277" s="5"/>
      <c r="H277" s="306"/>
      <c r="I277" s="306"/>
      <c r="J277" s="5"/>
      <c r="K277" s="5"/>
      <c r="L277" s="5"/>
      <c r="M277" s="5"/>
      <c r="N277" s="5"/>
      <c r="O277" s="5"/>
      <c r="P277" s="57"/>
      <c r="Q277" s="5"/>
      <c r="R277" s="5"/>
      <c r="S277" s="5"/>
      <c r="T277" s="5"/>
      <c r="U277" s="5"/>
      <c r="V277" s="5"/>
      <c r="W277" s="5"/>
      <c r="X277" s="5"/>
      <c r="Y277" s="5"/>
      <c r="Z277" s="5"/>
      <c r="AA277" s="5"/>
    </row>
    <row r="278" spans="1:27" ht="12.75" customHeight="1">
      <c r="A278" s="5"/>
      <c r="B278" s="5"/>
      <c r="C278" s="5"/>
      <c r="D278" s="5"/>
      <c r="E278" s="5"/>
      <c r="F278" s="5"/>
      <c r="G278" s="5"/>
      <c r="H278" s="306"/>
      <c r="I278" s="306"/>
      <c r="J278" s="5"/>
      <c r="K278" s="5"/>
      <c r="L278" s="5"/>
      <c r="M278" s="5"/>
      <c r="N278" s="5"/>
      <c r="O278" s="5"/>
      <c r="P278" s="57"/>
      <c r="Q278" s="5"/>
      <c r="R278" s="5"/>
      <c r="S278" s="5"/>
      <c r="T278" s="5"/>
      <c r="U278" s="5"/>
      <c r="V278" s="5"/>
      <c r="W278" s="5"/>
      <c r="X278" s="5"/>
      <c r="Y278" s="5"/>
      <c r="Z278" s="5"/>
      <c r="AA278" s="5"/>
    </row>
    <row r="279" spans="1:27" ht="12.75" customHeight="1">
      <c r="A279" s="5"/>
      <c r="B279" s="5"/>
      <c r="C279" s="5"/>
      <c r="D279" s="5"/>
      <c r="E279" s="5"/>
      <c r="F279" s="5"/>
      <c r="G279" s="5"/>
      <c r="H279" s="306"/>
      <c r="I279" s="306"/>
      <c r="J279" s="5"/>
      <c r="K279" s="5"/>
      <c r="L279" s="5"/>
      <c r="M279" s="5"/>
      <c r="N279" s="5"/>
      <c r="O279" s="5"/>
      <c r="P279" s="57"/>
      <c r="Q279" s="5"/>
      <c r="R279" s="5"/>
      <c r="S279" s="5"/>
      <c r="T279" s="5"/>
      <c r="U279" s="5"/>
      <c r="V279" s="5"/>
      <c r="W279" s="5"/>
      <c r="X279" s="5"/>
      <c r="Y279" s="5"/>
      <c r="Z279" s="5"/>
      <c r="AA279" s="5"/>
    </row>
    <row r="280" spans="1:27" ht="12.75" customHeight="1">
      <c r="A280" s="5"/>
      <c r="B280" s="5"/>
      <c r="C280" s="5"/>
      <c r="D280" s="5"/>
      <c r="E280" s="5"/>
      <c r="F280" s="5"/>
      <c r="G280" s="5"/>
      <c r="H280" s="306"/>
      <c r="I280" s="306"/>
      <c r="J280" s="5"/>
      <c r="K280" s="5"/>
      <c r="L280" s="5"/>
      <c r="M280" s="5"/>
      <c r="N280" s="5"/>
      <c r="O280" s="5"/>
      <c r="P280" s="57"/>
      <c r="Q280" s="5"/>
      <c r="R280" s="5"/>
      <c r="S280" s="5"/>
      <c r="T280" s="5"/>
      <c r="U280" s="5"/>
      <c r="V280" s="5"/>
      <c r="W280" s="5"/>
      <c r="X280" s="5"/>
      <c r="Y280" s="5"/>
      <c r="Z280" s="5"/>
      <c r="AA280" s="5"/>
    </row>
    <row r="281" spans="1:27" ht="12.75" customHeight="1">
      <c r="A281" s="5"/>
      <c r="B281" s="5"/>
      <c r="C281" s="5"/>
      <c r="D281" s="5"/>
      <c r="E281" s="5"/>
      <c r="F281" s="5"/>
      <c r="G281" s="5"/>
      <c r="H281" s="306"/>
      <c r="I281" s="306"/>
      <c r="J281" s="5"/>
      <c r="K281" s="5"/>
      <c r="L281" s="5"/>
      <c r="M281" s="5"/>
      <c r="N281" s="5"/>
      <c r="O281" s="5"/>
      <c r="P281" s="57"/>
      <c r="Q281" s="5"/>
      <c r="R281" s="5"/>
      <c r="S281" s="5"/>
      <c r="T281" s="5"/>
      <c r="U281" s="5"/>
      <c r="V281" s="5"/>
      <c r="W281" s="5"/>
      <c r="X281" s="5"/>
      <c r="Y281" s="5"/>
      <c r="Z281" s="5"/>
      <c r="AA281" s="5"/>
    </row>
    <row r="282" spans="1:27" ht="12.75" customHeight="1">
      <c r="A282" s="5"/>
      <c r="B282" s="5"/>
      <c r="C282" s="5"/>
      <c r="D282" s="5"/>
      <c r="E282" s="5"/>
      <c r="F282" s="5"/>
      <c r="G282" s="5"/>
      <c r="H282" s="306"/>
      <c r="I282" s="306"/>
      <c r="J282" s="5"/>
      <c r="K282" s="5"/>
      <c r="L282" s="5"/>
      <c r="M282" s="5"/>
      <c r="N282" s="5"/>
      <c r="O282" s="5"/>
      <c r="P282" s="57"/>
      <c r="Q282" s="5"/>
      <c r="R282" s="5"/>
      <c r="S282" s="5"/>
      <c r="T282" s="5"/>
      <c r="U282" s="5"/>
      <c r="V282" s="5"/>
      <c r="W282" s="5"/>
      <c r="X282" s="5"/>
      <c r="Y282" s="5"/>
      <c r="Z282" s="5"/>
      <c r="AA282" s="5"/>
    </row>
    <row r="283" spans="1:27" ht="12.75" customHeight="1">
      <c r="A283" s="5"/>
      <c r="B283" s="5"/>
      <c r="C283" s="5"/>
      <c r="D283" s="5"/>
      <c r="E283" s="5"/>
      <c r="F283" s="5"/>
      <c r="G283" s="5"/>
      <c r="H283" s="306"/>
      <c r="I283" s="306"/>
      <c r="J283" s="5"/>
      <c r="K283" s="5"/>
      <c r="L283" s="5"/>
      <c r="M283" s="5"/>
      <c r="N283" s="5"/>
      <c r="O283" s="5"/>
      <c r="P283" s="57"/>
      <c r="Q283" s="5"/>
      <c r="R283" s="5"/>
      <c r="S283" s="5"/>
      <c r="T283" s="5"/>
      <c r="U283" s="5"/>
      <c r="V283" s="5"/>
      <c r="W283" s="5"/>
      <c r="X283" s="5"/>
      <c r="Y283" s="5"/>
      <c r="Z283" s="5"/>
      <c r="AA283" s="5"/>
    </row>
    <row r="284" spans="1:27" ht="12.75" customHeight="1">
      <c r="A284" s="5"/>
      <c r="B284" s="5"/>
      <c r="C284" s="5"/>
      <c r="D284" s="5"/>
      <c r="E284" s="5"/>
      <c r="F284" s="5"/>
      <c r="G284" s="5"/>
      <c r="H284" s="306"/>
      <c r="I284" s="306"/>
      <c r="J284" s="5"/>
      <c r="K284" s="5"/>
      <c r="L284" s="5"/>
      <c r="M284" s="5"/>
      <c r="N284" s="5"/>
      <c r="O284" s="5"/>
      <c r="P284" s="57"/>
      <c r="Q284" s="5"/>
      <c r="R284" s="5"/>
      <c r="S284" s="5"/>
      <c r="T284" s="5"/>
      <c r="U284" s="5"/>
      <c r="V284" s="5"/>
      <c r="W284" s="5"/>
      <c r="X284" s="5"/>
      <c r="Y284" s="5"/>
      <c r="Z284" s="5"/>
      <c r="AA284" s="5"/>
    </row>
    <row r="285" spans="1:27" ht="12.75" customHeight="1">
      <c r="A285" s="5"/>
      <c r="B285" s="5"/>
      <c r="C285" s="5"/>
      <c r="D285" s="5"/>
      <c r="E285" s="5"/>
      <c r="F285" s="5"/>
      <c r="G285" s="5"/>
      <c r="H285" s="306"/>
      <c r="I285" s="306"/>
      <c r="J285" s="5"/>
      <c r="K285" s="5"/>
      <c r="L285" s="5"/>
      <c r="M285" s="5"/>
      <c r="N285" s="5"/>
      <c r="O285" s="5"/>
      <c r="P285" s="57"/>
      <c r="Q285" s="5"/>
      <c r="R285" s="5"/>
      <c r="S285" s="5"/>
      <c r="T285" s="5"/>
      <c r="U285" s="5"/>
      <c r="V285" s="5"/>
      <c r="W285" s="5"/>
      <c r="X285" s="5"/>
      <c r="Y285" s="5"/>
      <c r="Z285" s="5"/>
      <c r="AA285" s="5"/>
    </row>
    <row r="286" spans="1:27" ht="12.75" customHeight="1">
      <c r="A286" s="5"/>
      <c r="B286" s="5"/>
      <c r="C286" s="5"/>
      <c r="D286" s="5"/>
      <c r="E286" s="5"/>
      <c r="F286" s="5"/>
      <c r="G286" s="5"/>
      <c r="H286" s="306"/>
      <c r="I286" s="306"/>
      <c r="J286" s="5"/>
      <c r="K286" s="5"/>
      <c r="L286" s="5"/>
      <c r="M286" s="5"/>
      <c r="N286" s="5"/>
      <c r="O286" s="5"/>
      <c r="P286" s="57"/>
      <c r="Q286" s="5"/>
      <c r="R286" s="5"/>
      <c r="S286" s="5"/>
      <c r="T286" s="5"/>
      <c r="U286" s="5"/>
      <c r="V286" s="5"/>
      <c r="W286" s="5"/>
      <c r="X286" s="5"/>
      <c r="Y286" s="5"/>
      <c r="Z286" s="5"/>
      <c r="AA286" s="5"/>
    </row>
    <row r="287" spans="1:27" ht="12.75" customHeight="1">
      <c r="A287" s="5"/>
      <c r="B287" s="5"/>
      <c r="C287" s="5"/>
      <c r="D287" s="5"/>
      <c r="E287" s="5"/>
      <c r="F287" s="5"/>
      <c r="G287" s="5"/>
      <c r="H287" s="306"/>
      <c r="I287" s="306"/>
      <c r="J287" s="5"/>
      <c r="K287" s="5"/>
      <c r="L287" s="5"/>
      <c r="M287" s="5"/>
      <c r="N287" s="5"/>
      <c r="O287" s="5"/>
      <c r="P287" s="57"/>
      <c r="Q287" s="5"/>
      <c r="R287" s="5"/>
      <c r="S287" s="5"/>
      <c r="T287" s="5"/>
      <c r="U287" s="5"/>
      <c r="V287" s="5"/>
      <c r="W287" s="5"/>
      <c r="X287" s="5"/>
      <c r="Y287" s="5"/>
      <c r="Z287" s="5"/>
      <c r="AA287" s="5"/>
    </row>
    <row r="288" spans="1:27" ht="12.75" customHeight="1">
      <c r="A288" s="5"/>
      <c r="B288" s="5"/>
      <c r="C288" s="5"/>
      <c r="D288" s="5"/>
      <c r="E288" s="5"/>
      <c r="F288" s="5"/>
      <c r="G288" s="5"/>
      <c r="H288" s="306"/>
      <c r="I288" s="306"/>
      <c r="J288" s="5"/>
      <c r="K288" s="5"/>
      <c r="L288" s="5"/>
      <c r="M288" s="5"/>
      <c r="N288" s="5"/>
      <c r="O288" s="5"/>
      <c r="P288" s="57"/>
      <c r="Q288" s="5"/>
      <c r="R288" s="5"/>
      <c r="S288" s="5"/>
      <c r="T288" s="5"/>
      <c r="U288" s="5"/>
      <c r="V288" s="5"/>
      <c r="W288" s="5"/>
      <c r="X288" s="5"/>
      <c r="Y288" s="5"/>
      <c r="Z288" s="5"/>
      <c r="AA288" s="5"/>
    </row>
    <row r="289" spans="1:27" ht="12.75" customHeight="1">
      <c r="A289" s="5"/>
      <c r="B289" s="5"/>
      <c r="C289" s="5"/>
      <c r="D289" s="5"/>
      <c r="E289" s="5"/>
      <c r="F289" s="5"/>
      <c r="G289" s="5"/>
      <c r="H289" s="306"/>
      <c r="I289" s="306"/>
      <c r="J289" s="5"/>
      <c r="K289" s="5"/>
      <c r="L289" s="5"/>
      <c r="M289" s="5"/>
      <c r="N289" s="5"/>
      <c r="O289" s="5"/>
      <c r="P289" s="57"/>
      <c r="Q289" s="5"/>
      <c r="R289" s="5"/>
      <c r="S289" s="5"/>
      <c r="T289" s="5"/>
      <c r="U289" s="5"/>
      <c r="V289" s="5"/>
      <c r="W289" s="5"/>
      <c r="X289" s="5"/>
      <c r="Y289" s="5"/>
      <c r="Z289" s="5"/>
      <c r="AA289" s="5"/>
    </row>
    <row r="290" spans="1:27" ht="12.75" customHeight="1">
      <c r="A290" s="5"/>
      <c r="B290" s="5"/>
      <c r="C290" s="5"/>
      <c r="D290" s="5"/>
      <c r="E290" s="5"/>
      <c r="F290" s="5"/>
      <c r="G290" s="5"/>
      <c r="H290" s="306"/>
      <c r="I290" s="306"/>
      <c r="J290" s="5"/>
      <c r="K290" s="5"/>
      <c r="L290" s="5"/>
      <c r="M290" s="5"/>
      <c r="N290" s="5"/>
      <c r="O290" s="5"/>
      <c r="P290" s="57"/>
      <c r="Q290" s="5"/>
      <c r="R290" s="5"/>
      <c r="S290" s="5"/>
      <c r="T290" s="5"/>
      <c r="U290" s="5"/>
      <c r="V290" s="5"/>
      <c r="W290" s="5"/>
      <c r="X290" s="5"/>
      <c r="Y290" s="5"/>
      <c r="Z290" s="5"/>
      <c r="AA290" s="5"/>
    </row>
    <row r="291" spans="1:27" ht="12.75" customHeight="1">
      <c r="A291" s="5"/>
      <c r="B291" s="5"/>
      <c r="C291" s="5"/>
      <c r="D291" s="5"/>
      <c r="E291" s="5"/>
      <c r="F291" s="5"/>
      <c r="G291" s="5"/>
      <c r="H291" s="306"/>
      <c r="I291" s="306"/>
      <c r="J291" s="5"/>
      <c r="K291" s="5"/>
      <c r="L291" s="5"/>
      <c r="M291" s="5"/>
      <c r="N291" s="5"/>
      <c r="O291" s="5"/>
      <c r="P291" s="57"/>
      <c r="Q291" s="5"/>
      <c r="R291" s="5"/>
      <c r="S291" s="5"/>
      <c r="T291" s="5"/>
      <c r="U291" s="5"/>
      <c r="V291" s="5"/>
      <c r="W291" s="5"/>
      <c r="X291" s="5"/>
      <c r="Y291" s="5"/>
      <c r="Z291" s="5"/>
      <c r="AA291" s="5"/>
    </row>
    <row r="292" spans="1:27" ht="12.75" customHeight="1">
      <c r="A292" s="5"/>
      <c r="B292" s="5"/>
      <c r="C292" s="5"/>
      <c r="D292" s="5"/>
      <c r="E292" s="5"/>
      <c r="F292" s="5"/>
      <c r="G292" s="5"/>
      <c r="H292" s="306"/>
      <c r="I292" s="306"/>
      <c r="J292" s="5"/>
      <c r="K292" s="5"/>
      <c r="L292" s="5"/>
      <c r="M292" s="5"/>
      <c r="N292" s="5"/>
      <c r="O292" s="5"/>
      <c r="P292" s="57"/>
      <c r="Q292" s="5"/>
      <c r="R292" s="5"/>
      <c r="S292" s="5"/>
      <c r="T292" s="5"/>
      <c r="U292" s="5"/>
      <c r="V292" s="5"/>
      <c r="W292" s="5"/>
      <c r="X292" s="5"/>
      <c r="Y292" s="5"/>
      <c r="Z292" s="5"/>
      <c r="AA292" s="5"/>
    </row>
    <row r="293" spans="1:27" ht="12.75" customHeight="1">
      <c r="A293" s="5"/>
      <c r="B293" s="5"/>
      <c r="C293" s="5"/>
      <c r="D293" s="5"/>
      <c r="E293" s="5"/>
      <c r="F293" s="5"/>
      <c r="G293" s="5"/>
      <c r="H293" s="306"/>
      <c r="I293" s="306"/>
      <c r="J293" s="5"/>
      <c r="K293" s="5"/>
      <c r="L293" s="5"/>
      <c r="M293" s="5"/>
      <c r="N293" s="5"/>
      <c r="O293" s="5"/>
      <c r="P293" s="57"/>
      <c r="Q293" s="5"/>
      <c r="R293" s="5"/>
      <c r="S293" s="5"/>
      <c r="T293" s="5"/>
      <c r="U293" s="5"/>
      <c r="V293" s="5"/>
      <c r="W293" s="5"/>
      <c r="X293" s="5"/>
      <c r="Y293" s="5"/>
      <c r="Z293" s="5"/>
      <c r="AA293" s="5"/>
    </row>
    <row r="294" spans="1:27" ht="12.75" customHeight="1">
      <c r="A294" s="5"/>
      <c r="B294" s="5"/>
      <c r="C294" s="5"/>
      <c r="D294" s="5"/>
      <c r="E294" s="5"/>
      <c r="F294" s="5"/>
      <c r="G294" s="5"/>
      <c r="H294" s="306"/>
      <c r="I294" s="306"/>
      <c r="J294" s="5"/>
      <c r="K294" s="5"/>
      <c r="L294" s="5"/>
      <c r="M294" s="5"/>
      <c r="N294" s="5"/>
      <c r="O294" s="5"/>
      <c r="P294" s="57"/>
      <c r="Q294" s="5"/>
      <c r="R294" s="5"/>
      <c r="S294" s="5"/>
      <c r="T294" s="5"/>
      <c r="U294" s="5"/>
      <c r="V294" s="5"/>
      <c r="W294" s="5"/>
      <c r="X294" s="5"/>
      <c r="Y294" s="5"/>
      <c r="Z294" s="5"/>
      <c r="AA294" s="5"/>
    </row>
    <row r="295" spans="1:27" ht="12.75" customHeight="1">
      <c r="A295" s="5"/>
      <c r="B295" s="5"/>
      <c r="C295" s="5"/>
      <c r="D295" s="5"/>
      <c r="E295" s="5"/>
      <c r="F295" s="5"/>
      <c r="G295" s="5"/>
      <c r="H295" s="306"/>
      <c r="I295" s="306"/>
      <c r="J295" s="5"/>
      <c r="K295" s="5"/>
      <c r="L295" s="5"/>
      <c r="M295" s="5"/>
      <c r="N295" s="5"/>
      <c r="O295" s="5"/>
      <c r="P295" s="57"/>
      <c r="Q295" s="5"/>
      <c r="R295" s="5"/>
      <c r="S295" s="5"/>
      <c r="T295" s="5"/>
      <c r="U295" s="5"/>
      <c r="V295" s="5"/>
      <c r="W295" s="5"/>
      <c r="X295" s="5"/>
      <c r="Y295" s="5"/>
      <c r="Z295" s="5"/>
      <c r="AA295" s="5"/>
    </row>
    <row r="296" spans="1:27" ht="12.75" customHeight="1">
      <c r="A296" s="5"/>
      <c r="B296" s="5"/>
      <c r="C296" s="5"/>
      <c r="D296" s="5"/>
      <c r="E296" s="5"/>
      <c r="F296" s="5"/>
      <c r="G296" s="5"/>
      <c r="H296" s="306"/>
      <c r="I296" s="306"/>
      <c r="J296" s="5"/>
      <c r="K296" s="5"/>
      <c r="L296" s="5"/>
      <c r="M296" s="5"/>
      <c r="N296" s="5"/>
      <c r="O296" s="5"/>
      <c r="P296" s="57"/>
      <c r="Q296" s="5"/>
      <c r="R296" s="5"/>
      <c r="S296" s="5"/>
      <c r="T296" s="5"/>
      <c r="U296" s="5"/>
      <c r="V296" s="5"/>
      <c r="W296" s="5"/>
      <c r="X296" s="5"/>
      <c r="Y296" s="5"/>
      <c r="Z296" s="5"/>
      <c r="AA296" s="5"/>
    </row>
    <row r="297" spans="1:27" ht="12.75" customHeight="1">
      <c r="A297" s="5"/>
      <c r="B297" s="5"/>
      <c r="C297" s="5"/>
      <c r="D297" s="5"/>
      <c r="E297" s="5"/>
      <c r="F297" s="5"/>
      <c r="G297" s="5"/>
      <c r="H297" s="306"/>
      <c r="I297" s="306"/>
      <c r="J297" s="5"/>
      <c r="K297" s="5"/>
      <c r="L297" s="5"/>
      <c r="M297" s="5"/>
      <c r="N297" s="5"/>
      <c r="O297" s="5"/>
      <c r="P297" s="57"/>
      <c r="Q297" s="5"/>
      <c r="R297" s="5"/>
      <c r="S297" s="5"/>
      <c r="T297" s="5"/>
      <c r="U297" s="5"/>
      <c r="V297" s="5"/>
      <c r="W297" s="5"/>
      <c r="X297" s="5"/>
      <c r="Y297" s="5"/>
      <c r="Z297" s="5"/>
      <c r="AA297" s="5"/>
    </row>
    <row r="298" spans="1:27" ht="12.75" customHeight="1">
      <c r="A298" s="5"/>
      <c r="B298" s="5"/>
      <c r="C298" s="5"/>
      <c r="D298" s="5"/>
      <c r="E298" s="5"/>
      <c r="F298" s="5"/>
      <c r="G298" s="5"/>
      <c r="H298" s="306"/>
      <c r="I298" s="306"/>
      <c r="J298" s="5"/>
      <c r="K298" s="5"/>
      <c r="L298" s="5"/>
      <c r="M298" s="5"/>
      <c r="N298" s="5"/>
      <c r="O298" s="5"/>
      <c r="P298" s="57"/>
      <c r="Q298" s="5"/>
      <c r="R298" s="5"/>
      <c r="S298" s="5"/>
      <c r="T298" s="5"/>
      <c r="U298" s="5"/>
      <c r="V298" s="5"/>
      <c r="W298" s="5"/>
      <c r="X298" s="5"/>
      <c r="Y298" s="5"/>
      <c r="Z298" s="5"/>
      <c r="AA298" s="5"/>
    </row>
    <row r="299" spans="1:27" ht="12.75" customHeight="1">
      <c r="A299" s="5"/>
      <c r="B299" s="5"/>
      <c r="C299" s="5"/>
      <c r="D299" s="5"/>
      <c r="E299" s="5"/>
      <c r="F299" s="5"/>
      <c r="G299" s="5"/>
      <c r="H299" s="306"/>
      <c r="I299" s="306"/>
      <c r="J299" s="5"/>
      <c r="K299" s="5"/>
      <c r="L299" s="5"/>
      <c r="M299" s="5"/>
      <c r="N299" s="5"/>
      <c r="O299" s="5"/>
      <c r="P299" s="57"/>
      <c r="Q299" s="5"/>
      <c r="R299" s="5"/>
      <c r="S299" s="5"/>
      <c r="T299" s="5"/>
      <c r="U299" s="5"/>
      <c r="V299" s="5"/>
      <c r="W299" s="5"/>
      <c r="X299" s="5"/>
      <c r="Y299" s="5"/>
      <c r="Z299" s="5"/>
      <c r="AA299" s="5"/>
    </row>
    <row r="300" spans="1:27" ht="12.75" customHeight="1">
      <c r="A300" s="5"/>
      <c r="B300" s="5"/>
      <c r="C300" s="5"/>
      <c r="D300" s="5"/>
      <c r="E300" s="5"/>
      <c r="F300" s="5"/>
      <c r="G300" s="5"/>
      <c r="H300" s="306"/>
      <c r="I300" s="306"/>
      <c r="J300" s="5"/>
      <c r="K300" s="5"/>
      <c r="L300" s="5"/>
      <c r="M300" s="5"/>
      <c r="N300" s="5"/>
      <c r="O300" s="5"/>
      <c r="P300" s="57"/>
      <c r="Q300" s="5"/>
      <c r="R300" s="5"/>
      <c r="S300" s="5"/>
      <c r="T300" s="5"/>
      <c r="U300" s="5"/>
      <c r="V300" s="5"/>
      <c r="W300" s="5"/>
      <c r="X300" s="5"/>
      <c r="Y300" s="5"/>
      <c r="Z300" s="5"/>
      <c r="AA300" s="5"/>
    </row>
    <row r="301" spans="1:27" ht="12.75" customHeight="1">
      <c r="A301" s="5"/>
      <c r="B301" s="5"/>
      <c r="C301" s="5"/>
      <c r="D301" s="5"/>
      <c r="E301" s="5"/>
      <c r="F301" s="5"/>
      <c r="G301" s="5"/>
      <c r="H301" s="306"/>
      <c r="I301" s="306"/>
      <c r="J301" s="5"/>
      <c r="K301" s="5"/>
      <c r="L301" s="5"/>
      <c r="M301" s="5"/>
      <c r="N301" s="5"/>
      <c r="O301" s="5"/>
      <c r="P301" s="57"/>
      <c r="Q301" s="5"/>
      <c r="R301" s="5"/>
      <c r="S301" s="5"/>
      <c r="T301" s="5"/>
      <c r="U301" s="5"/>
      <c r="V301" s="5"/>
      <c r="W301" s="5"/>
      <c r="X301" s="5"/>
      <c r="Y301" s="5"/>
      <c r="Z301" s="5"/>
      <c r="AA301" s="5"/>
    </row>
    <row r="302" spans="1:27" ht="12.75" customHeight="1">
      <c r="A302" s="5"/>
      <c r="B302" s="5"/>
      <c r="C302" s="5"/>
      <c r="D302" s="5"/>
      <c r="E302" s="5"/>
      <c r="F302" s="5"/>
      <c r="G302" s="5"/>
      <c r="H302" s="306"/>
      <c r="I302" s="306"/>
      <c r="J302" s="5"/>
      <c r="K302" s="5"/>
      <c r="L302" s="5"/>
      <c r="M302" s="5"/>
      <c r="N302" s="5"/>
      <c r="O302" s="5"/>
      <c r="P302" s="57"/>
      <c r="Q302" s="5"/>
      <c r="R302" s="5"/>
      <c r="S302" s="5"/>
      <c r="T302" s="5"/>
      <c r="U302" s="5"/>
      <c r="V302" s="5"/>
      <c r="W302" s="5"/>
      <c r="X302" s="5"/>
      <c r="Y302" s="5"/>
      <c r="Z302" s="5"/>
      <c r="AA302" s="5"/>
    </row>
    <row r="303" spans="1:27" ht="12.75" customHeight="1">
      <c r="A303" s="5"/>
      <c r="B303" s="5"/>
      <c r="C303" s="5"/>
      <c r="D303" s="5"/>
      <c r="E303" s="5"/>
      <c r="F303" s="5"/>
      <c r="G303" s="5"/>
      <c r="H303" s="306"/>
      <c r="I303" s="306"/>
      <c r="J303" s="5"/>
      <c r="K303" s="5"/>
      <c r="L303" s="5"/>
      <c r="M303" s="5"/>
      <c r="N303" s="5"/>
      <c r="O303" s="5"/>
      <c r="P303" s="57"/>
      <c r="Q303" s="5"/>
      <c r="R303" s="5"/>
      <c r="S303" s="5"/>
      <c r="T303" s="5"/>
      <c r="U303" s="5"/>
      <c r="V303" s="5"/>
      <c r="W303" s="5"/>
      <c r="X303" s="5"/>
      <c r="Y303" s="5"/>
      <c r="Z303" s="5"/>
      <c r="AA303" s="5"/>
    </row>
    <row r="304" spans="1:27" ht="12.75" customHeight="1">
      <c r="A304" s="5"/>
      <c r="B304" s="5"/>
      <c r="C304" s="5"/>
      <c r="D304" s="5"/>
      <c r="E304" s="5"/>
      <c r="F304" s="5"/>
      <c r="G304" s="5"/>
      <c r="H304" s="306"/>
      <c r="I304" s="306"/>
      <c r="J304" s="5"/>
      <c r="K304" s="5"/>
      <c r="L304" s="5"/>
      <c r="M304" s="5"/>
      <c r="N304" s="5"/>
      <c r="O304" s="5"/>
      <c r="P304" s="57"/>
      <c r="Q304" s="5"/>
      <c r="R304" s="5"/>
      <c r="S304" s="5"/>
      <c r="T304" s="5"/>
      <c r="U304" s="5"/>
      <c r="V304" s="5"/>
      <c r="W304" s="5"/>
      <c r="X304" s="5"/>
      <c r="Y304" s="5"/>
      <c r="Z304" s="5"/>
      <c r="AA304" s="5"/>
    </row>
    <row r="305" spans="1:27" ht="12.75" customHeight="1">
      <c r="A305" s="5"/>
      <c r="B305" s="5"/>
      <c r="C305" s="5"/>
      <c r="D305" s="5"/>
      <c r="E305" s="5"/>
      <c r="F305" s="5"/>
      <c r="G305" s="5"/>
      <c r="H305" s="306"/>
      <c r="I305" s="306"/>
      <c r="J305" s="5"/>
      <c r="K305" s="5"/>
      <c r="L305" s="5"/>
      <c r="M305" s="5"/>
      <c r="N305" s="5"/>
      <c r="O305" s="5"/>
      <c r="P305" s="57"/>
      <c r="Q305" s="5"/>
      <c r="R305" s="5"/>
      <c r="S305" s="5"/>
      <c r="T305" s="5"/>
      <c r="U305" s="5"/>
      <c r="V305" s="5"/>
      <c r="W305" s="5"/>
      <c r="X305" s="5"/>
      <c r="Y305" s="5"/>
      <c r="Z305" s="5"/>
      <c r="AA305" s="5"/>
    </row>
    <row r="306" spans="1:27" ht="12.75" customHeight="1">
      <c r="A306" s="5"/>
      <c r="B306" s="5"/>
      <c r="C306" s="5"/>
      <c r="D306" s="5"/>
      <c r="E306" s="5"/>
      <c r="F306" s="5"/>
      <c r="G306" s="5"/>
      <c r="H306" s="306"/>
      <c r="I306" s="306"/>
      <c r="J306" s="5"/>
      <c r="K306" s="5"/>
      <c r="L306" s="5"/>
      <c r="M306" s="5"/>
      <c r="N306" s="5"/>
      <c r="O306" s="5"/>
      <c r="P306" s="57"/>
      <c r="Q306" s="5"/>
      <c r="R306" s="5"/>
      <c r="S306" s="5"/>
      <c r="T306" s="5"/>
      <c r="U306" s="5"/>
      <c r="V306" s="5"/>
      <c r="W306" s="5"/>
      <c r="X306" s="5"/>
      <c r="Y306" s="5"/>
      <c r="Z306" s="5"/>
      <c r="AA306" s="5"/>
    </row>
    <row r="307" spans="1:27" ht="12.75" customHeight="1">
      <c r="A307" s="5"/>
      <c r="B307" s="5"/>
      <c r="C307" s="5"/>
      <c r="D307" s="5"/>
      <c r="E307" s="5"/>
      <c r="F307" s="5"/>
      <c r="G307" s="5"/>
      <c r="H307" s="306"/>
      <c r="I307" s="306"/>
      <c r="J307" s="5"/>
      <c r="K307" s="5"/>
      <c r="L307" s="5"/>
      <c r="M307" s="5"/>
      <c r="N307" s="5"/>
      <c r="O307" s="5"/>
      <c r="P307" s="57"/>
      <c r="Q307" s="5"/>
      <c r="R307" s="5"/>
      <c r="S307" s="5"/>
      <c r="T307" s="5"/>
      <c r="U307" s="5"/>
      <c r="V307" s="5"/>
      <c r="W307" s="5"/>
      <c r="X307" s="5"/>
      <c r="Y307" s="5"/>
      <c r="Z307" s="5"/>
      <c r="AA307" s="5"/>
    </row>
    <row r="308" spans="1:27" ht="12.75" customHeight="1">
      <c r="A308" s="5"/>
      <c r="B308" s="5"/>
      <c r="C308" s="5"/>
      <c r="D308" s="5"/>
      <c r="E308" s="5"/>
      <c r="F308" s="5"/>
      <c r="G308" s="5"/>
      <c r="H308" s="306"/>
      <c r="I308" s="306"/>
      <c r="J308" s="5"/>
      <c r="K308" s="5"/>
      <c r="L308" s="5"/>
      <c r="M308" s="5"/>
      <c r="N308" s="5"/>
      <c r="O308" s="5"/>
      <c r="P308" s="57"/>
      <c r="Q308" s="5"/>
      <c r="R308" s="5"/>
      <c r="S308" s="5"/>
      <c r="T308" s="5"/>
      <c r="U308" s="5"/>
      <c r="V308" s="5"/>
      <c r="W308" s="5"/>
      <c r="X308" s="5"/>
      <c r="Y308" s="5"/>
      <c r="Z308" s="5"/>
      <c r="AA308" s="5"/>
    </row>
    <row r="309" spans="1:27" ht="12.75" customHeight="1">
      <c r="A309" s="5"/>
      <c r="B309" s="5"/>
      <c r="C309" s="5"/>
      <c r="D309" s="5"/>
      <c r="E309" s="5"/>
      <c r="F309" s="5"/>
      <c r="G309" s="5"/>
      <c r="H309" s="306"/>
      <c r="I309" s="306"/>
      <c r="J309" s="5"/>
      <c r="K309" s="5"/>
      <c r="L309" s="5"/>
      <c r="M309" s="5"/>
      <c r="N309" s="5"/>
      <c r="O309" s="5"/>
      <c r="P309" s="57"/>
      <c r="Q309" s="5"/>
      <c r="R309" s="5"/>
      <c r="S309" s="5"/>
      <c r="T309" s="5"/>
      <c r="U309" s="5"/>
      <c r="V309" s="5"/>
      <c r="W309" s="5"/>
      <c r="X309" s="5"/>
      <c r="Y309" s="5"/>
      <c r="Z309" s="5"/>
      <c r="AA309" s="5"/>
    </row>
    <row r="310" spans="1:27" ht="12.75" customHeight="1">
      <c r="A310" s="5"/>
      <c r="B310" s="5"/>
      <c r="C310" s="5"/>
      <c r="D310" s="5"/>
      <c r="E310" s="5"/>
      <c r="F310" s="5"/>
      <c r="G310" s="5"/>
      <c r="H310" s="306"/>
      <c r="I310" s="306"/>
      <c r="J310" s="5"/>
      <c r="K310" s="5"/>
      <c r="L310" s="5"/>
      <c r="M310" s="5"/>
      <c r="N310" s="5"/>
      <c r="O310" s="5"/>
      <c r="P310" s="57"/>
      <c r="Q310" s="5"/>
      <c r="R310" s="5"/>
      <c r="S310" s="5"/>
      <c r="T310" s="5"/>
      <c r="U310" s="5"/>
      <c r="V310" s="5"/>
      <c r="W310" s="5"/>
      <c r="X310" s="5"/>
      <c r="Y310" s="5"/>
      <c r="Z310" s="5"/>
      <c r="AA310" s="5"/>
    </row>
    <row r="311" spans="1:27" ht="12.75" customHeight="1">
      <c r="A311" s="5"/>
      <c r="B311" s="5"/>
      <c r="C311" s="5"/>
      <c r="D311" s="5"/>
      <c r="E311" s="5"/>
      <c r="F311" s="5"/>
      <c r="G311" s="5"/>
      <c r="H311" s="306"/>
      <c r="I311" s="306"/>
      <c r="J311" s="5"/>
      <c r="K311" s="5"/>
      <c r="L311" s="5"/>
      <c r="M311" s="5"/>
      <c r="N311" s="5"/>
      <c r="O311" s="5"/>
      <c r="P311" s="57"/>
      <c r="Q311" s="5"/>
      <c r="R311" s="5"/>
      <c r="S311" s="5"/>
      <c r="T311" s="5"/>
      <c r="U311" s="5"/>
      <c r="V311" s="5"/>
      <c r="W311" s="5"/>
      <c r="X311" s="5"/>
      <c r="Y311" s="5"/>
      <c r="Z311" s="5"/>
      <c r="AA311" s="5"/>
    </row>
    <row r="312" spans="1:27" ht="12.75" customHeight="1">
      <c r="A312" s="5"/>
      <c r="B312" s="5"/>
      <c r="C312" s="5"/>
      <c r="D312" s="5"/>
      <c r="E312" s="5"/>
      <c r="F312" s="5"/>
      <c r="G312" s="5"/>
      <c r="H312" s="306"/>
      <c r="I312" s="306"/>
      <c r="J312" s="5"/>
      <c r="K312" s="5"/>
      <c r="L312" s="5"/>
      <c r="M312" s="5"/>
      <c r="N312" s="5"/>
      <c r="O312" s="5"/>
      <c r="P312" s="57"/>
      <c r="Q312" s="5"/>
      <c r="R312" s="5"/>
      <c r="S312" s="5"/>
      <c r="T312" s="5"/>
      <c r="U312" s="5"/>
      <c r="V312" s="5"/>
      <c r="W312" s="5"/>
      <c r="X312" s="5"/>
      <c r="Y312" s="5"/>
      <c r="Z312" s="5"/>
      <c r="AA312" s="5"/>
    </row>
    <row r="313" spans="1:27" ht="12.75" customHeight="1">
      <c r="A313" s="5"/>
      <c r="B313" s="5"/>
      <c r="C313" s="5"/>
      <c r="D313" s="5"/>
      <c r="E313" s="5"/>
      <c r="F313" s="5"/>
      <c r="G313" s="5"/>
      <c r="H313" s="306"/>
      <c r="I313" s="306"/>
      <c r="J313" s="5"/>
      <c r="K313" s="5"/>
      <c r="L313" s="5"/>
      <c r="M313" s="5"/>
      <c r="N313" s="5"/>
      <c r="O313" s="5"/>
      <c r="P313" s="57"/>
      <c r="Q313" s="5"/>
      <c r="R313" s="5"/>
      <c r="S313" s="5"/>
      <c r="T313" s="5"/>
      <c r="U313" s="5"/>
      <c r="V313" s="5"/>
      <c r="W313" s="5"/>
      <c r="X313" s="5"/>
      <c r="Y313" s="5"/>
      <c r="Z313" s="5"/>
      <c r="AA313" s="5"/>
    </row>
    <row r="314" spans="1:27" ht="12.75" customHeight="1">
      <c r="A314" s="5"/>
      <c r="B314" s="5"/>
      <c r="C314" s="5"/>
      <c r="D314" s="5"/>
      <c r="E314" s="5"/>
      <c r="F314" s="5"/>
      <c r="G314" s="5"/>
      <c r="H314" s="306"/>
      <c r="I314" s="306"/>
      <c r="J314" s="5"/>
      <c r="K314" s="5"/>
      <c r="L314" s="5"/>
      <c r="M314" s="5"/>
      <c r="N314" s="5"/>
      <c r="O314" s="5"/>
      <c r="P314" s="57"/>
      <c r="Q314" s="5"/>
      <c r="R314" s="5"/>
      <c r="S314" s="5"/>
      <c r="T314" s="5"/>
      <c r="U314" s="5"/>
      <c r="V314" s="5"/>
      <c r="W314" s="5"/>
      <c r="X314" s="5"/>
      <c r="Y314" s="5"/>
      <c r="Z314" s="5"/>
      <c r="AA314" s="5"/>
    </row>
    <row r="315" spans="1:27" ht="12.75" customHeight="1">
      <c r="A315" s="5"/>
      <c r="B315" s="5"/>
      <c r="C315" s="5"/>
      <c r="D315" s="5"/>
      <c r="E315" s="5"/>
      <c r="F315" s="5"/>
      <c r="G315" s="5"/>
      <c r="H315" s="306"/>
      <c r="I315" s="306"/>
      <c r="J315" s="5"/>
      <c r="K315" s="5"/>
      <c r="L315" s="5"/>
      <c r="M315" s="5"/>
      <c r="N315" s="5"/>
      <c r="O315" s="5"/>
      <c r="P315" s="57"/>
      <c r="Q315" s="5"/>
      <c r="R315" s="5"/>
      <c r="S315" s="5"/>
      <c r="T315" s="5"/>
      <c r="U315" s="5"/>
      <c r="V315" s="5"/>
      <c r="W315" s="5"/>
      <c r="X315" s="5"/>
      <c r="Y315" s="5"/>
      <c r="Z315" s="5"/>
      <c r="AA315" s="5"/>
    </row>
    <row r="316" spans="1:27" ht="12.75" customHeight="1">
      <c r="A316" s="5"/>
      <c r="B316" s="5"/>
      <c r="C316" s="5"/>
      <c r="D316" s="5"/>
      <c r="E316" s="5"/>
      <c r="F316" s="5"/>
      <c r="G316" s="5"/>
      <c r="H316" s="306"/>
      <c r="I316" s="306"/>
      <c r="J316" s="5"/>
      <c r="K316" s="5"/>
      <c r="L316" s="5"/>
      <c r="M316" s="5"/>
      <c r="N316" s="5"/>
      <c r="O316" s="5"/>
      <c r="P316" s="57"/>
      <c r="Q316" s="5"/>
      <c r="R316" s="5"/>
      <c r="S316" s="5"/>
      <c r="T316" s="5"/>
      <c r="U316" s="5"/>
      <c r="V316" s="5"/>
      <c r="W316" s="5"/>
      <c r="X316" s="5"/>
      <c r="Y316" s="5"/>
      <c r="Z316" s="5"/>
      <c r="AA316" s="5"/>
    </row>
    <row r="317" spans="1:27" ht="12.75" customHeight="1">
      <c r="A317" s="5"/>
      <c r="B317" s="5"/>
      <c r="C317" s="5"/>
      <c r="D317" s="5"/>
      <c r="E317" s="5"/>
      <c r="F317" s="5"/>
      <c r="G317" s="5"/>
      <c r="H317" s="306"/>
      <c r="I317" s="306"/>
      <c r="J317" s="5"/>
      <c r="K317" s="5"/>
      <c r="L317" s="5"/>
      <c r="M317" s="5"/>
      <c r="N317" s="5"/>
      <c r="O317" s="5"/>
      <c r="P317" s="57"/>
      <c r="Q317" s="5"/>
      <c r="R317" s="5"/>
      <c r="S317" s="5"/>
      <c r="T317" s="5"/>
      <c r="U317" s="5"/>
      <c r="V317" s="5"/>
      <c r="W317" s="5"/>
      <c r="X317" s="5"/>
      <c r="Y317" s="5"/>
      <c r="Z317" s="5"/>
      <c r="AA317" s="5"/>
    </row>
    <row r="318" spans="1:27" ht="12.75" customHeight="1">
      <c r="A318" s="5"/>
      <c r="B318" s="5"/>
      <c r="C318" s="5"/>
      <c r="D318" s="5"/>
      <c r="E318" s="5"/>
      <c r="F318" s="5"/>
      <c r="G318" s="5"/>
      <c r="H318" s="306"/>
      <c r="I318" s="306"/>
      <c r="J318" s="5"/>
      <c r="K318" s="5"/>
      <c r="L318" s="5"/>
      <c r="M318" s="5"/>
      <c r="N318" s="5"/>
      <c r="O318" s="5"/>
      <c r="P318" s="57"/>
      <c r="Q318" s="5"/>
      <c r="R318" s="5"/>
      <c r="S318" s="5"/>
      <c r="T318" s="5"/>
      <c r="U318" s="5"/>
      <c r="V318" s="5"/>
      <c r="W318" s="5"/>
      <c r="X318" s="5"/>
      <c r="Y318" s="5"/>
      <c r="Z318" s="5"/>
      <c r="AA318" s="5"/>
    </row>
    <row r="319" spans="1:27" ht="12.75" customHeight="1">
      <c r="A319" s="5"/>
      <c r="B319" s="5"/>
      <c r="C319" s="5"/>
      <c r="D319" s="5"/>
      <c r="E319" s="5"/>
      <c r="F319" s="5"/>
      <c r="G319" s="5"/>
      <c r="H319" s="306"/>
      <c r="I319" s="306"/>
      <c r="J319" s="5"/>
      <c r="K319" s="5"/>
      <c r="L319" s="5"/>
      <c r="M319" s="5"/>
      <c r="N319" s="5"/>
      <c r="O319" s="5"/>
      <c r="P319" s="57"/>
      <c r="Q319" s="5"/>
      <c r="R319" s="5"/>
      <c r="S319" s="5"/>
      <c r="T319" s="5"/>
      <c r="U319" s="5"/>
      <c r="V319" s="5"/>
      <c r="W319" s="5"/>
      <c r="X319" s="5"/>
      <c r="Y319" s="5"/>
      <c r="Z319" s="5"/>
      <c r="AA319" s="5"/>
    </row>
    <row r="320" spans="1:27" ht="12.75" customHeight="1">
      <c r="A320" s="5"/>
      <c r="B320" s="5"/>
      <c r="C320" s="5"/>
      <c r="D320" s="5"/>
      <c r="E320" s="5"/>
      <c r="F320" s="5"/>
      <c r="G320" s="5"/>
      <c r="H320" s="306"/>
      <c r="I320" s="306"/>
      <c r="J320" s="5"/>
      <c r="K320" s="5"/>
      <c r="L320" s="5"/>
      <c r="M320" s="5"/>
      <c r="N320" s="5"/>
      <c r="O320" s="5"/>
      <c r="P320" s="57"/>
      <c r="Q320" s="5"/>
      <c r="R320" s="5"/>
      <c r="S320" s="5"/>
      <c r="T320" s="5"/>
      <c r="U320" s="5"/>
      <c r="V320" s="5"/>
      <c r="W320" s="5"/>
      <c r="X320" s="5"/>
      <c r="Y320" s="5"/>
      <c r="Z320" s="5"/>
      <c r="AA320" s="5"/>
    </row>
    <row r="321" spans="1:27" ht="12.75" customHeight="1">
      <c r="A321" s="5"/>
      <c r="B321" s="5"/>
      <c r="C321" s="5"/>
      <c r="D321" s="5"/>
      <c r="E321" s="5"/>
      <c r="F321" s="5"/>
      <c r="G321" s="5"/>
      <c r="H321" s="306"/>
      <c r="I321" s="306"/>
      <c r="J321" s="5"/>
      <c r="K321" s="5"/>
      <c r="L321" s="5"/>
      <c r="M321" s="5"/>
      <c r="N321" s="5"/>
      <c r="O321" s="5"/>
      <c r="P321" s="57"/>
      <c r="Q321" s="5"/>
      <c r="R321" s="5"/>
      <c r="S321" s="5"/>
      <c r="T321" s="5"/>
      <c r="U321" s="5"/>
      <c r="V321" s="5"/>
      <c r="W321" s="5"/>
      <c r="X321" s="5"/>
      <c r="Y321" s="5"/>
      <c r="Z321" s="5"/>
      <c r="AA321" s="5"/>
    </row>
    <row r="322" spans="1:27" ht="12.75" customHeight="1">
      <c r="A322" s="5"/>
      <c r="B322" s="5"/>
      <c r="C322" s="5"/>
      <c r="D322" s="5"/>
      <c r="E322" s="5"/>
      <c r="F322" s="5"/>
      <c r="G322" s="5"/>
      <c r="H322" s="306"/>
      <c r="I322" s="306"/>
      <c r="J322" s="5"/>
      <c r="K322" s="5"/>
      <c r="L322" s="5"/>
      <c r="M322" s="5"/>
      <c r="N322" s="5"/>
      <c r="O322" s="5"/>
      <c r="P322" s="57"/>
      <c r="Q322" s="5"/>
      <c r="R322" s="5"/>
      <c r="S322" s="5"/>
      <c r="T322" s="5"/>
      <c r="U322" s="5"/>
      <c r="V322" s="5"/>
      <c r="W322" s="5"/>
      <c r="X322" s="5"/>
      <c r="Y322" s="5"/>
      <c r="Z322" s="5"/>
      <c r="AA322" s="5"/>
    </row>
    <row r="323" spans="1:27" ht="12.75" customHeight="1">
      <c r="A323" s="5"/>
      <c r="B323" s="5"/>
      <c r="C323" s="5"/>
      <c r="D323" s="5"/>
      <c r="E323" s="5"/>
      <c r="F323" s="5"/>
      <c r="G323" s="5"/>
      <c r="H323" s="306"/>
      <c r="I323" s="306"/>
      <c r="J323" s="5"/>
      <c r="K323" s="5"/>
      <c r="L323" s="5"/>
      <c r="M323" s="5"/>
      <c r="N323" s="5"/>
      <c r="O323" s="5"/>
      <c r="P323" s="57"/>
      <c r="Q323" s="5"/>
      <c r="R323" s="5"/>
      <c r="S323" s="5"/>
      <c r="T323" s="5"/>
      <c r="U323" s="5"/>
      <c r="V323" s="5"/>
      <c r="W323" s="5"/>
      <c r="X323" s="5"/>
      <c r="Y323" s="5"/>
      <c r="Z323" s="5"/>
      <c r="AA323" s="5"/>
    </row>
    <row r="324" spans="1:27" ht="12.75" customHeight="1">
      <c r="A324" s="5"/>
      <c r="B324" s="5"/>
      <c r="C324" s="5"/>
      <c r="D324" s="5"/>
      <c r="E324" s="5"/>
      <c r="F324" s="5"/>
      <c r="G324" s="5"/>
      <c r="H324" s="306"/>
      <c r="I324" s="306"/>
      <c r="J324" s="5"/>
      <c r="K324" s="5"/>
      <c r="L324" s="5"/>
      <c r="M324" s="5"/>
      <c r="N324" s="5"/>
      <c r="O324" s="5"/>
      <c r="P324" s="57"/>
      <c r="Q324" s="5"/>
      <c r="R324" s="5"/>
      <c r="S324" s="5"/>
      <c r="T324" s="5"/>
      <c r="U324" s="5"/>
      <c r="V324" s="5"/>
      <c r="W324" s="5"/>
      <c r="X324" s="5"/>
      <c r="Y324" s="5"/>
      <c r="Z324" s="5"/>
      <c r="AA324" s="5"/>
    </row>
    <row r="325" spans="1:27" ht="12.75" customHeight="1">
      <c r="A325" s="5"/>
      <c r="B325" s="5"/>
      <c r="C325" s="5"/>
      <c r="D325" s="5"/>
      <c r="E325" s="5"/>
      <c r="F325" s="5"/>
      <c r="G325" s="5"/>
      <c r="H325" s="306"/>
      <c r="I325" s="306"/>
      <c r="J325" s="5"/>
      <c r="K325" s="5"/>
      <c r="L325" s="5"/>
      <c r="M325" s="5"/>
      <c r="N325" s="5"/>
      <c r="O325" s="5"/>
      <c r="P325" s="57"/>
      <c r="Q325" s="5"/>
      <c r="R325" s="5"/>
      <c r="S325" s="5"/>
      <c r="T325" s="5"/>
      <c r="U325" s="5"/>
      <c r="V325" s="5"/>
      <c r="W325" s="5"/>
      <c r="X325" s="5"/>
      <c r="Y325" s="5"/>
      <c r="Z325" s="5"/>
      <c r="AA325" s="5"/>
    </row>
    <row r="326" spans="1:27" ht="12.75" customHeight="1">
      <c r="A326" s="5"/>
      <c r="B326" s="5"/>
      <c r="C326" s="5"/>
      <c r="D326" s="5"/>
      <c r="E326" s="5"/>
      <c r="F326" s="5"/>
      <c r="G326" s="5"/>
      <c r="H326" s="306"/>
      <c r="I326" s="306"/>
      <c r="J326" s="5"/>
      <c r="K326" s="5"/>
      <c r="L326" s="5"/>
      <c r="M326" s="5"/>
      <c r="N326" s="5"/>
      <c r="O326" s="5"/>
      <c r="P326" s="57"/>
      <c r="Q326" s="5"/>
      <c r="R326" s="5"/>
      <c r="S326" s="5"/>
      <c r="T326" s="5"/>
      <c r="U326" s="5"/>
      <c r="V326" s="5"/>
      <c r="W326" s="5"/>
      <c r="X326" s="5"/>
      <c r="Y326" s="5"/>
      <c r="Z326" s="5"/>
      <c r="AA326" s="5"/>
    </row>
    <row r="327" spans="1:27" ht="12.75" customHeight="1">
      <c r="A327" s="5"/>
      <c r="B327" s="5"/>
      <c r="C327" s="5"/>
      <c r="D327" s="5"/>
      <c r="E327" s="5"/>
      <c r="F327" s="5"/>
      <c r="G327" s="5"/>
      <c r="H327" s="306"/>
      <c r="I327" s="306"/>
      <c r="J327" s="5"/>
      <c r="K327" s="5"/>
      <c r="L327" s="5"/>
      <c r="M327" s="5"/>
      <c r="N327" s="5"/>
      <c r="O327" s="5"/>
      <c r="P327" s="57"/>
      <c r="Q327" s="5"/>
      <c r="R327" s="5"/>
      <c r="S327" s="5"/>
      <c r="T327" s="5"/>
      <c r="U327" s="5"/>
      <c r="V327" s="5"/>
      <c r="W327" s="5"/>
      <c r="X327" s="5"/>
      <c r="Y327" s="5"/>
      <c r="Z327" s="5"/>
      <c r="AA327" s="5"/>
    </row>
    <row r="328" spans="1:27" ht="12.75" customHeight="1">
      <c r="A328" s="5"/>
      <c r="B328" s="5"/>
      <c r="C328" s="5"/>
      <c r="D328" s="5"/>
      <c r="E328" s="5"/>
      <c r="F328" s="5"/>
      <c r="G328" s="5"/>
      <c r="H328" s="306"/>
      <c r="I328" s="306"/>
      <c r="J328" s="5"/>
      <c r="K328" s="5"/>
      <c r="L328" s="5"/>
      <c r="M328" s="5"/>
      <c r="N328" s="5"/>
      <c r="O328" s="5"/>
      <c r="P328" s="57"/>
      <c r="Q328" s="5"/>
      <c r="R328" s="5"/>
      <c r="S328" s="5"/>
      <c r="T328" s="5"/>
      <c r="U328" s="5"/>
      <c r="V328" s="5"/>
      <c r="W328" s="5"/>
      <c r="X328" s="5"/>
      <c r="Y328" s="5"/>
      <c r="Z328" s="5"/>
      <c r="AA328" s="5"/>
    </row>
    <row r="329" spans="1:27" ht="12.75" customHeight="1">
      <c r="A329" s="5"/>
      <c r="B329" s="5"/>
      <c r="C329" s="5"/>
      <c r="D329" s="5"/>
      <c r="E329" s="5"/>
      <c r="F329" s="5"/>
      <c r="G329" s="5"/>
      <c r="H329" s="306"/>
      <c r="I329" s="306"/>
      <c r="J329" s="5"/>
      <c r="K329" s="5"/>
      <c r="L329" s="5"/>
      <c r="M329" s="5"/>
      <c r="N329" s="5"/>
      <c r="O329" s="5"/>
      <c r="P329" s="57"/>
      <c r="Q329" s="5"/>
      <c r="R329" s="5"/>
      <c r="S329" s="5"/>
      <c r="T329" s="5"/>
      <c r="U329" s="5"/>
      <c r="V329" s="5"/>
      <c r="W329" s="5"/>
      <c r="X329" s="5"/>
      <c r="Y329" s="5"/>
      <c r="Z329" s="5"/>
      <c r="AA329" s="5"/>
    </row>
    <row r="330" spans="1:27" ht="12.75" customHeight="1">
      <c r="A330" s="5"/>
      <c r="B330" s="5"/>
      <c r="C330" s="5"/>
      <c r="D330" s="5"/>
      <c r="E330" s="5"/>
      <c r="F330" s="5"/>
      <c r="G330" s="5"/>
      <c r="H330" s="306"/>
      <c r="I330" s="306"/>
      <c r="J330" s="5"/>
      <c r="K330" s="5"/>
      <c r="L330" s="5"/>
      <c r="M330" s="5"/>
      <c r="N330" s="5"/>
      <c r="O330" s="5"/>
      <c r="P330" s="57"/>
      <c r="Q330" s="5"/>
      <c r="R330" s="5"/>
      <c r="S330" s="5"/>
      <c r="T330" s="5"/>
      <c r="U330" s="5"/>
      <c r="V330" s="5"/>
      <c r="W330" s="5"/>
      <c r="X330" s="5"/>
      <c r="Y330" s="5"/>
      <c r="Z330" s="5"/>
      <c r="AA330" s="5"/>
    </row>
    <row r="331" spans="1:27" ht="12.75" customHeight="1">
      <c r="A331" s="5"/>
      <c r="B331" s="5"/>
      <c r="C331" s="5"/>
      <c r="D331" s="5"/>
      <c r="E331" s="5"/>
      <c r="F331" s="5"/>
      <c r="G331" s="5"/>
      <c r="H331" s="306"/>
      <c r="I331" s="306"/>
      <c r="J331" s="5"/>
      <c r="K331" s="5"/>
      <c r="L331" s="5"/>
      <c r="M331" s="5"/>
      <c r="N331" s="5"/>
      <c r="O331" s="5"/>
      <c r="P331" s="57"/>
      <c r="Q331" s="5"/>
      <c r="R331" s="5"/>
      <c r="S331" s="5"/>
      <c r="T331" s="5"/>
      <c r="U331" s="5"/>
      <c r="V331" s="5"/>
      <c r="W331" s="5"/>
      <c r="X331" s="5"/>
      <c r="Y331" s="5"/>
      <c r="Z331" s="5"/>
      <c r="AA331" s="5"/>
    </row>
    <row r="332" spans="1:27" ht="12.75" customHeight="1">
      <c r="A332" s="5"/>
      <c r="B332" s="5"/>
      <c r="C332" s="5"/>
      <c r="D332" s="5"/>
      <c r="E332" s="5"/>
      <c r="F332" s="5"/>
      <c r="G332" s="5"/>
      <c r="H332" s="306"/>
      <c r="I332" s="306"/>
      <c r="J332" s="5"/>
      <c r="K332" s="5"/>
      <c r="L332" s="5"/>
      <c r="M332" s="5"/>
      <c r="N332" s="5"/>
      <c r="O332" s="5"/>
      <c r="P332" s="57"/>
      <c r="Q332" s="5"/>
      <c r="R332" s="5"/>
      <c r="S332" s="5"/>
      <c r="T332" s="5"/>
      <c r="U332" s="5"/>
      <c r="V332" s="5"/>
      <c r="W332" s="5"/>
      <c r="X332" s="5"/>
      <c r="Y332" s="5"/>
      <c r="Z332" s="5"/>
      <c r="AA332" s="5"/>
    </row>
    <row r="333" spans="1:27" ht="12.75" customHeight="1">
      <c r="A333" s="5"/>
      <c r="B333" s="5"/>
      <c r="C333" s="5"/>
      <c r="D333" s="5"/>
      <c r="E333" s="5"/>
      <c r="F333" s="5"/>
      <c r="G333" s="5"/>
      <c r="H333" s="306"/>
      <c r="I333" s="306"/>
      <c r="J333" s="5"/>
      <c r="K333" s="5"/>
      <c r="L333" s="5"/>
      <c r="M333" s="5"/>
      <c r="N333" s="5"/>
      <c r="O333" s="5"/>
      <c r="P333" s="57"/>
      <c r="Q333" s="5"/>
      <c r="R333" s="5"/>
      <c r="S333" s="5"/>
      <c r="T333" s="5"/>
      <c r="U333" s="5"/>
      <c r="V333" s="5"/>
      <c r="W333" s="5"/>
      <c r="X333" s="5"/>
      <c r="Y333" s="5"/>
      <c r="Z333" s="5"/>
      <c r="AA333" s="5"/>
    </row>
    <row r="334" spans="1:27" ht="12.75" customHeight="1">
      <c r="A334" s="5"/>
      <c r="B334" s="5"/>
      <c r="C334" s="5"/>
      <c r="D334" s="5"/>
      <c r="E334" s="5"/>
      <c r="F334" s="5"/>
      <c r="G334" s="5"/>
      <c r="H334" s="306"/>
      <c r="I334" s="306"/>
      <c r="J334" s="5"/>
      <c r="K334" s="5"/>
      <c r="L334" s="5"/>
      <c r="M334" s="5"/>
      <c r="N334" s="5"/>
      <c r="O334" s="5"/>
      <c r="P334" s="57"/>
      <c r="Q334" s="5"/>
      <c r="R334" s="5"/>
      <c r="S334" s="5"/>
      <c r="T334" s="5"/>
      <c r="U334" s="5"/>
      <c r="V334" s="5"/>
      <c r="W334" s="5"/>
      <c r="X334" s="5"/>
      <c r="Y334" s="5"/>
      <c r="Z334" s="5"/>
      <c r="AA334" s="5"/>
    </row>
    <row r="335" spans="1:27" ht="12.75" customHeight="1">
      <c r="A335" s="5"/>
      <c r="B335" s="5"/>
      <c r="C335" s="5"/>
      <c r="D335" s="5"/>
      <c r="E335" s="5"/>
      <c r="F335" s="5"/>
      <c r="G335" s="5"/>
      <c r="H335" s="306"/>
      <c r="I335" s="306"/>
      <c r="J335" s="5"/>
      <c r="K335" s="5"/>
      <c r="L335" s="5"/>
      <c r="M335" s="5"/>
      <c r="N335" s="5"/>
      <c r="O335" s="5"/>
      <c r="P335" s="57"/>
      <c r="Q335" s="5"/>
      <c r="R335" s="5"/>
      <c r="S335" s="5"/>
      <c r="T335" s="5"/>
      <c r="U335" s="5"/>
      <c r="V335" s="5"/>
      <c r="W335" s="5"/>
      <c r="X335" s="5"/>
      <c r="Y335" s="5"/>
      <c r="Z335" s="5"/>
      <c r="AA335" s="5"/>
    </row>
    <row r="336" spans="1:27" ht="12.75" customHeight="1">
      <c r="A336" s="5"/>
      <c r="B336" s="5"/>
      <c r="C336" s="5"/>
      <c r="D336" s="5"/>
      <c r="E336" s="5"/>
      <c r="F336" s="5"/>
      <c r="G336" s="5"/>
      <c r="H336" s="306"/>
      <c r="I336" s="306"/>
      <c r="J336" s="5"/>
      <c r="K336" s="5"/>
      <c r="L336" s="5"/>
      <c r="M336" s="5"/>
      <c r="N336" s="5"/>
      <c r="O336" s="5"/>
      <c r="P336" s="57"/>
      <c r="Q336" s="5"/>
      <c r="R336" s="5"/>
      <c r="S336" s="5"/>
      <c r="T336" s="5"/>
      <c r="U336" s="5"/>
      <c r="V336" s="5"/>
      <c r="W336" s="5"/>
      <c r="X336" s="5"/>
      <c r="Y336" s="5"/>
      <c r="Z336" s="5"/>
      <c r="AA336" s="5"/>
    </row>
    <row r="337" spans="1:27" ht="12.75" customHeight="1">
      <c r="A337" s="5"/>
      <c r="B337" s="5"/>
      <c r="C337" s="5"/>
      <c r="D337" s="5"/>
      <c r="E337" s="5"/>
      <c r="F337" s="5"/>
      <c r="G337" s="5"/>
      <c r="H337" s="306"/>
      <c r="I337" s="306"/>
      <c r="J337" s="5"/>
      <c r="K337" s="5"/>
      <c r="L337" s="5"/>
      <c r="M337" s="5"/>
      <c r="N337" s="5"/>
      <c r="O337" s="5"/>
      <c r="P337" s="57"/>
      <c r="Q337" s="5"/>
      <c r="R337" s="5"/>
      <c r="S337" s="5"/>
      <c r="T337" s="5"/>
      <c r="U337" s="5"/>
      <c r="V337" s="5"/>
      <c r="W337" s="5"/>
      <c r="X337" s="5"/>
      <c r="Y337" s="5"/>
      <c r="Z337" s="5"/>
      <c r="AA337" s="5"/>
    </row>
    <row r="338" spans="1:27" ht="12.75" customHeight="1">
      <c r="A338" s="5"/>
      <c r="B338" s="5"/>
      <c r="C338" s="5"/>
      <c r="D338" s="5"/>
      <c r="E338" s="5"/>
      <c r="F338" s="5"/>
      <c r="G338" s="5"/>
      <c r="H338" s="306"/>
      <c r="I338" s="306"/>
      <c r="J338" s="5"/>
      <c r="K338" s="5"/>
      <c r="L338" s="5"/>
      <c r="M338" s="5"/>
      <c r="N338" s="5"/>
      <c r="O338" s="5"/>
      <c r="P338" s="57"/>
      <c r="Q338" s="5"/>
      <c r="R338" s="5"/>
      <c r="S338" s="5"/>
      <c r="T338" s="5"/>
      <c r="U338" s="5"/>
      <c r="V338" s="5"/>
      <c r="W338" s="5"/>
      <c r="X338" s="5"/>
      <c r="Y338" s="5"/>
      <c r="Z338" s="5"/>
      <c r="AA338" s="5"/>
    </row>
    <row r="339" spans="1:27" ht="12.75" customHeight="1">
      <c r="A339" s="5"/>
      <c r="B339" s="5"/>
      <c r="C339" s="5"/>
      <c r="D339" s="5"/>
      <c r="E339" s="5"/>
      <c r="F339" s="5"/>
      <c r="G339" s="5"/>
      <c r="H339" s="306"/>
      <c r="I339" s="306"/>
      <c r="J339" s="5"/>
      <c r="K339" s="5"/>
      <c r="L339" s="5"/>
      <c r="M339" s="5"/>
      <c r="N339" s="5"/>
      <c r="O339" s="5"/>
      <c r="P339" s="57"/>
      <c r="Q339" s="5"/>
      <c r="R339" s="5"/>
      <c r="S339" s="5"/>
      <c r="T339" s="5"/>
      <c r="U339" s="5"/>
      <c r="V339" s="5"/>
      <c r="W339" s="5"/>
      <c r="X339" s="5"/>
      <c r="Y339" s="5"/>
      <c r="Z339" s="5"/>
      <c r="AA339" s="5"/>
    </row>
    <row r="340" spans="1:27" ht="12.75" customHeight="1">
      <c r="A340" s="5"/>
      <c r="B340" s="5"/>
      <c r="C340" s="5"/>
      <c r="D340" s="5"/>
      <c r="E340" s="5"/>
      <c r="F340" s="5"/>
      <c r="G340" s="5"/>
      <c r="H340" s="306"/>
      <c r="I340" s="306"/>
      <c r="J340" s="5"/>
      <c r="K340" s="5"/>
      <c r="L340" s="5"/>
      <c r="M340" s="5"/>
      <c r="N340" s="5"/>
      <c r="O340" s="5"/>
      <c r="P340" s="57"/>
      <c r="Q340" s="5"/>
      <c r="R340" s="5"/>
      <c r="S340" s="5"/>
      <c r="T340" s="5"/>
      <c r="U340" s="5"/>
      <c r="V340" s="5"/>
      <c r="W340" s="5"/>
      <c r="X340" s="5"/>
      <c r="Y340" s="5"/>
      <c r="Z340" s="5"/>
      <c r="AA340" s="5"/>
    </row>
    <row r="341" spans="1:27" ht="12.75" customHeight="1">
      <c r="A341" s="5"/>
      <c r="B341" s="5"/>
      <c r="C341" s="5"/>
      <c r="D341" s="5"/>
      <c r="E341" s="5"/>
      <c r="F341" s="5"/>
      <c r="G341" s="5"/>
      <c r="H341" s="306"/>
      <c r="I341" s="306"/>
      <c r="J341" s="5"/>
      <c r="K341" s="5"/>
      <c r="L341" s="5"/>
      <c r="M341" s="5"/>
      <c r="N341" s="5"/>
      <c r="O341" s="5"/>
      <c r="P341" s="57"/>
      <c r="Q341" s="5"/>
      <c r="R341" s="5"/>
      <c r="S341" s="5"/>
      <c r="T341" s="5"/>
      <c r="U341" s="5"/>
      <c r="V341" s="5"/>
      <c r="W341" s="5"/>
      <c r="X341" s="5"/>
      <c r="Y341" s="5"/>
      <c r="Z341" s="5"/>
      <c r="AA341" s="5"/>
    </row>
    <row r="342" spans="1:27" ht="12.75" customHeight="1">
      <c r="A342" s="5"/>
      <c r="B342" s="5"/>
      <c r="C342" s="5"/>
      <c r="D342" s="5"/>
      <c r="E342" s="5"/>
      <c r="F342" s="5"/>
      <c r="G342" s="5"/>
      <c r="H342" s="306"/>
      <c r="I342" s="306"/>
      <c r="J342" s="5"/>
      <c r="K342" s="5"/>
      <c r="L342" s="5"/>
      <c r="M342" s="5"/>
      <c r="N342" s="5"/>
      <c r="O342" s="5"/>
      <c r="P342" s="57"/>
      <c r="Q342" s="5"/>
      <c r="R342" s="5"/>
      <c r="S342" s="5"/>
      <c r="T342" s="5"/>
      <c r="U342" s="5"/>
      <c r="V342" s="5"/>
      <c r="W342" s="5"/>
      <c r="X342" s="5"/>
      <c r="Y342" s="5"/>
      <c r="Z342" s="5"/>
      <c r="AA342" s="5"/>
    </row>
    <row r="343" spans="1:27" ht="12.75" customHeight="1">
      <c r="A343" s="5"/>
      <c r="B343" s="5"/>
      <c r="C343" s="5"/>
      <c r="D343" s="5"/>
      <c r="E343" s="5"/>
      <c r="F343" s="5"/>
      <c r="G343" s="5"/>
      <c r="H343" s="306"/>
      <c r="I343" s="306"/>
      <c r="J343" s="5"/>
      <c r="K343" s="5"/>
      <c r="L343" s="5"/>
      <c r="M343" s="5"/>
      <c r="N343" s="5"/>
      <c r="O343" s="5"/>
      <c r="P343" s="57"/>
      <c r="Q343" s="5"/>
      <c r="R343" s="5"/>
      <c r="S343" s="5"/>
      <c r="T343" s="5"/>
      <c r="U343" s="5"/>
      <c r="V343" s="5"/>
      <c r="W343" s="5"/>
      <c r="X343" s="5"/>
      <c r="Y343" s="5"/>
      <c r="Z343" s="5"/>
      <c r="AA343" s="5"/>
    </row>
    <row r="344" spans="1:27" ht="12.75" customHeight="1">
      <c r="A344" s="5"/>
      <c r="B344" s="5"/>
      <c r="C344" s="5"/>
      <c r="D344" s="5"/>
      <c r="E344" s="5"/>
      <c r="F344" s="5"/>
      <c r="G344" s="5"/>
      <c r="H344" s="306"/>
      <c r="I344" s="306"/>
      <c r="J344" s="5"/>
      <c r="K344" s="5"/>
      <c r="L344" s="5"/>
      <c r="M344" s="5"/>
      <c r="N344" s="5"/>
      <c r="O344" s="5"/>
      <c r="P344" s="57"/>
      <c r="Q344" s="5"/>
      <c r="R344" s="5"/>
      <c r="S344" s="5"/>
      <c r="T344" s="5"/>
      <c r="U344" s="5"/>
      <c r="V344" s="5"/>
      <c r="W344" s="5"/>
      <c r="X344" s="5"/>
      <c r="Y344" s="5"/>
      <c r="Z344" s="5"/>
      <c r="AA344" s="5"/>
    </row>
    <row r="345" spans="1:27" ht="12.75" customHeight="1">
      <c r="A345" s="5"/>
      <c r="B345" s="5"/>
      <c r="C345" s="5"/>
      <c r="D345" s="5"/>
      <c r="E345" s="5"/>
      <c r="F345" s="5"/>
      <c r="G345" s="5"/>
      <c r="H345" s="306"/>
      <c r="I345" s="306"/>
      <c r="J345" s="5"/>
      <c r="K345" s="5"/>
      <c r="L345" s="5"/>
      <c r="M345" s="5"/>
      <c r="N345" s="5"/>
      <c r="O345" s="5"/>
      <c r="P345" s="57"/>
      <c r="Q345" s="5"/>
      <c r="R345" s="5"/>
      <c r="S345" s="5"/>
      <c r="T345" s="5"/>
      <c r="U345" s="5"/>
      <c r="V345" s="5"/>
      <c r="W345" s="5"/>
      <c r="X345" s="5"/>
      <c r="Y345" s="5"/>
      <c r="Z345" s="5"/>
      <c r="AA345" s="5"/>
    </row>
    <row r="346" spans="1:27" ht="12.75" customHeight="1">
      <c r="A346" s="5"/>
      <c r="B346" s="5"/>
      <c r="C346" s="5"/>
      <c r="D346" s="5"/>
      <c r="E346" s="5"/>
      <c r="F346" s="5"/>
      <c r="G346" s="5"/>
      <c r="H346" s="306"/>
      <c r="I346" s="306"/>
      <c r="J346" s="5"/>
      <c r="K346" s="5"/>
      <c r="L346" s="5"/>
      <c r="M346" s="5"/>
      <c r="N346" s="5"/>
      <c r="O346" s="5"/>
      <c r="P346" s="57"/>
      <c r="Q346" s="5"/>
      <c r="R346" s="5"/>
      <c r="S346" s="5"/>
      <c r="T346" s="5"/>
      <c r="U346" s="5"/>
      <c r="V346" s="5"/>
      <c r="W346" s="5"/>
      <c r="X346" s="5"/>
      <c r="Y346" s="5"/>
      <c r="Z346" s="5"/>
      <c r="AA346" s="5"/>
    </row>
    <row r="347" spans="1:27" ht="12.75" customHeight="1">
      <c r="A347" s="5"/>
      <c r="B347" s="5"/>
      <c r="C347" s="5"/>
      <c r="D347" s="5"/>
      <c r="E347" s="5"/>
      <c r="F347" s="5"/>
      <c r="G347" s="5"/>
      <c r="H347" s="306"/>
      <c r="I347" s="306"/>
      <c r="J347" s="5"/>
      <c r="K347" s="5"/>
      <c r="L347" s="5"/>
      <c r="M347" s="5"/>
      <c r="N347" s="5"/>
      <c r="O347" s="5"/>
      <c r="P347" s="57"/>
      <c r="Q347" s="5"/>
      <c r="R347" s="5"/>
      <c r="S347" s="5"/>
      <c r="T347" s="5"/>
      <c r="U347" s="5"/>
      <c r="V347" s="5"/>
      <c r="W347" s="5"/>
      <c r="X347" s="5"/>
      <c r="Y347" s="5"/>
      <c r="Z347" s="5"/>
      <c r="AA347" s="5"/>
    </row>
    <row r="348" spans="1:27" ht="12.75" customHeight="1">
      <c r="A348" s="5"/>
      <c r="B348" s="5"/>
      <c r="C348" s="5"/>
      <c r="D348" s="5"/>
      <c r="E348" s="5"/>
      <c r="F348" s="5"/>
      <c r="G348" s="5"/>
      <c r="H348" s="306"/>
      <c r="I348" s="306"/>
      <c r="J348" s="5"/>
      <c r="K348" s="5"/>
      <c r="L348" s="5"/>
      <c r="M348" s="5"/>
      <c r="N348" s="5"/>
      <c r="O348" s="5"/>
      <c r="P348" s="57"/>
      <c r="Q348" s="5"/>
      <c r="R348" s="5"/>
      <c r="S348" s="5"/>
      <c r="T348" s="5"/>
      <c r="U348" s="5"/>
      <c r="V348" s="5"/>
      <c r="W348" s="5"/>
      <c r="X348" s="5"/>
      <c r="Y348" s="5"/>
      <c r="Z348" s="5"/>
      <c r="AA348" s="5"/>
    </row>
    <row r="349" spans="1:27" ht="12.75" customHeight="1">
      <c r="A349" s="5"/>
      <c r="B349" s="5"/>
      <c r="C349" s="5"/>
      <c r="D349" s="5"/>
      <c r="E349" s="5"/>
      <c r="F349" s="5"/>
      <c r="G349" s="5"/>
      <c r="H349" s="306"/>
      <c r="I349" s="306"/>
      <c r="J349" s="5"/>
      <c r="K349" s="5"/>
      <c r="L349" s="5"/>
      <c r="M349" s="5"/>
      <c r="N349" s="5"/>
      <c r="O349" s="5"/>
      <c r="P349" s="57"/>
      <c r="Q349" s="5"/>
      <c r="R349" s="5"/>
      <c r="S349" s="5"/>
      <c r="T349" s="5"/>
      <c r="U349" s="5"/>
      <c r="V349" s="5"/>
      <c r="W349" s="5"/>
      <c r="X349" s="5"/>
      <c r="Y349" s="5"/>
      <c r="Z349" s="5"/>
      <c r="AA349" s="5"/>
    </row>
    <row r="350" spans="1:27" ht="12.75" customHeight="1">
      <c r="A350" s="5"/>
      <c r="B350" s="5"/>
      <c r="C350" s="5"/>
      <c r="D350" s="5"/>
      <c r="E350" s="5"/>
      <c r="F350" s="5"/>
      <c r="G350" s="5"/>
      <c r="H350" s="306"/>
      <c r="I350" s="306"/>
      <c r="J350" s="5"/>
      <c r="K350" s="5"/>
      <c r="L350" s="5"/>
      <c r="M350" s="5"/>
      <c r="N350" s="5"/>
      <c r="O350" s="5"/>
      <c r="P350" s="57"/>
      <c r="Q350" s="5"/>
      <c r="R350" s="5"/>
      <c r="S350" s="5"/>
      <c r="T350" s="5"/>
      <c r="U350" s="5"/>
      <c r="V350" s="5"/>
      <c r="W350" s="5"/>
      <c r="X350" s="5"/>
      <c r="Y350" s="5"/>
      <c r="Z350" s="5"/>
      <c r="AA350" s="5"/>
    </row>
    <row r="351" spans="1:27" ht="12.75" customHeight="1">
      <c r="A351" s="5"/>
      <c r="B351" s="5"/>
      <c r="C351" s="5"/>
      <c r="D351" s="5"/>
      <c r="E351" s="5"/>
      <c r="F351" s="5"/>
      <c r="G351" s="5"/>
      <c r="H351" s="306"/>
      <c r="I351" s="306"/>
      <c r="J351" s="5"/>
      <c r="K351" s="5"/>
      <c r="L351" s="5"/>
      <c r="M351" s="5"/>
      <c r="N351" s="5"/>
      <c r="O351" s="5"/>
      <c r="P351" s="57"/>
      <c r="Q351" s="5"/>
      <c r="R351" s="5"/>
      <c r="S351" s="5"/>
      <c r="T351" s="5"/>
      <c r="U351" s="5"/>
      <c r="V351" s="5"/>
      <c r="W351" s="5"/>
      <c r="X351" s="5"/>
      <c r="Y351" s="5"/>
      <c r="Z351" s="5"/>
      <c r="AA351" s="5"/>
    </row>
    <row r="352" spans="1:27" ht="12.75" customHeight="1">
      <c r="A352" s="5"/>
      <c r="B352" s="5"/>
      <c r="C352" s="5"/>
      <c r="D352" s="5"/>
      <c r="E352" s="5"/>
      <c r="F352" s="5"/>
      <c r="G352" s="5"/>
      <c r="H352" s="306"/>
      <c r="I352" s="306"/>
      <c r="J352" s="5"/>
      <c r="K352" s="5"/>
      <c r="L352" s="5"/>
      <c r="M352" s="5"/>
      <c r="N352" s="5"/>
      <c r="O352" s="5"/>
      <c r="P352" s="57"/>
      <c r="Q352" s="5"/>
      <c r="R352" s="5"/>
      <c r="S352" s="5"/>
      <c r="T352" s="5"/>
      <c r="U352" s="5"/>
      <c r="V352" s="5"/>
      <c r="W352" s="5"/>
      <c r="X352" s="5"/>
      <c r="Y352" s="5"/>
      <c r="Z352" s="5"/>
      <c r="AA352" s="5"/>
    </row>
    <row r="353" spans="1:27" ht="12.75" customHeight="1">
      <c r="A353" s="5"/>
      <c r="B353" s="5"/>
      <c r="C353" s="5"/>
      <c r="D353" s="5"/>
      <c r="E353" s="5"/>
      <c r="F353" s="5"/>
      <c r="G353" s="5"/>
      <c r="H353" s="306"/>
      <c r="I353" s="306"/>
      <c r="J353" s="5"/>
      <c r="K353" s="5"/>
      <c r="L353" s="5"/>
      <c r="M353" s="5"/>
      <c r="N353" s="5"/>
      <c r="O353" s="5"/>
      <c r="P353" s="57"/>
      <c r="Q353" s="5"/>
      <c r="R353" s="5"/>
      <c r="S353" s="5"/>
      <c r="T353" s="5"/>
      <c r="U353" s="5"/>
      <c r="V353" s="5"/>
      <c r="W353" s="5"/>
      <c r="X353" s="5"/>
      <c r="Y353" s="5"/>
      <c r="Z353" s="5"/>
      <c r="AA353" s="5"/>
    </row>
    <row r="354" spans="1:27" ht="12.75" customHeight="1">
      <c r="A354" s="5"/>
      <c r="B354" s="5"/>
      <c r="C354" s="5"/>
      <c r="D354" s="5"/>
      <c r="E354" s="5"/>
      <c r="F354" s="5"/>
      <c r="G354" s="5"/>
      <c r="H354" s="306"/>
      <c r="I354" s="306"/>
      <c r="J354" s="5"/>
      <c r="K354" s="5"/>
      <c r="L354" s="5"/>
      <c r="M354" s="5"/>
      <c r="N354" s="5"/>
      <c r="O354" s="5"/>
      <c r="P354" s="57"/>
      <c r="Q354" s="5"/>
      <c r="R354" s="5"/>
      <c r="S354" s="5"/>
      <c r="T354" s="5"/>
      <c r="U354" s="5"/>
      <c r="V354" s="5"/>
      <c r="W354" s="5"/>
      <c r="X354" s="5"/>
      <c r="Y354" s="5"/>
      <c r="Z354" s="5"/>
      <c r="AA354" s="5"/>
    </row>
    <row r="355" spans="1:27" ht="12.75" customHeight="1">
      <c r="A355" s="5"/>
      <c r="B355" s="5"/>
      <c r="C355" s="5"/>
      <c r="D355" s="5"/>
      <c r="E355" s="5"/>
      <c r="F355" s="5"/>
      <c r="G355" s="5"/>
      <c r="H355" s="306"/>
      <c r="I355" s="306"/>
      <c r="J355" s="5"/>
      <c r="K355" s="5"/>
      <c r="L355" s="5"/>
      <c r="M355" s="5"/>
      <c r="N355" s="5"/>
      <c r="O355" s="5"/>
      <c r="P355" s="57"/>
      <c r="Q355" s="5"/>
      <c r="R355" s="5"/>
      <c r="S355" s="5"/>
      <c r="T355" s="5"/>
      <c r="U355" s="5"/>
      <c r="V355" s="5"/>
      <c r="W355" s="5"/>
      <c r="X355" s="5"/>
      <c r="Y355" s="5"/>
      <c r="Z355" s="5"/>
      <c r="AA355" s="5"/>
    </row>
    <row r="356" spans="1:27" ht="12.75" customHeight="1">
      <c r="A356" s="5"/>
      <c r="B356" s="5"/>
      <c r="C356" s="5"/>
      <c r="D356" s="5"/>
      <c r="E356" s="5"/>
      <c r="F356" s="5"/>
      <c r="G356" s="5"/>
      <c r="H356" s="306"/>
      <c r="I356" s="306"/>
      <c r="J356" s="5"/>
      <c r="K356" s="5"/>
      <c r="L356" s="5"/>
      <c r="M356" s="5"/>
      <c r="N356" s="5"/>
      <c r="O356" s="5"/>
      <c r="P356" s="57"/>
      <c r="Q356" s="5"/>
      <c r="R356" s="5"/>
      <c r="S356" s="5"/>
      <c r="T356" s="5"/>
      <c r="U356" s="5"/>
      <c r="V356" s="5"/>
      <c r="W356" s="5"/>
      <c r="X356" s="5"/>
      <c r="Y356" s="5"/>
      <c r="Z356" s="5"/>
      <c r="AA356" s="5"/>
    </row>
    <row r="357" spans="1:27" ht="12.75" customHeight="1">
      <c r="A357" s="5"/>
      <c r="B357" s="5"/>
      <c r="C357" s="5"/>
      <c r="D357" s="5"/>
      <c r="E357" s="5"/>
      <c r="F357" s="5"/>
      <c r="G357" s="5"/>
      <c r="H357" s="306"/>
      <c r="I357" s="306"/>
      <c r="J357" s="5"/>
      <c r="K357" s="5"/>
      <c r="L357" s="5"/>
      <c r="M357" s="5"/>
      <c r="N357" s="5"/>
      <c r="O357" s="5"/>
      <c r="P357" s="57"/>
      <c r="Q357" s="5"/>
      <c r="R357" s="5"/>
      <c r="S357" s="5"/>
      <c r="T357" s="5"/>
      <c r="U357" s="5"/>
      <c r="V357" s="5"/>
      <c r="W357" s="5"/>
      <c r="X357" s="5"/>
      <c r="Y357" s="5"/>
      <c r="Z357" s="5"/>
      <c r="AA357" s="5"/>
    </row>
    <row r="358" spans="1:27" ht="12.75" customHeight="1">
      <c r="A358" s="5"/>
      <c r="B358" s="5"/>
      <c r="C358" s="5"/>
      <c r="D358" s="5"/>
      <c r="E358" s="5"/>
      <c r="F358" s="5"/>
      <c r="G358" s="5"/>
      <c r="H358" s="306"/>
      <c r="I358" s="306"/>
      <c r="J358" s="5"/>
      <c r="K358" s="5"/>
      <c r="L358" s="5"/>
      <c r="M358" s="5"/>
      <c r="N358" s="5"/>
      <c r="O358" s="5"/>
      <c r="P358" s="57"/>
      <c r="Q358" s="5"/>
      <c r="R358" s="5"/>
      <c r="S358" s="5"/>
      <c r="T358" s="5"/>
      <c r="U358" s="5"/>
      <c r="V358" s="5"/>
      <c r="W358" s="5"/>
      <c r="X358" s="5"/>
      <c r="Y358" s="5"/>
      <c r="Z358" s="5"/>
      <c r="AA358" s="5"/>
    </row>
    <row r="359" spans="1:27" ht="12.75" customHeight="1">
      <c r="A359" s="5"/>
      <c r="B359" s="5"/>
      <c r="C359" s="5"/>
      <c r="D359" s="5"/>
      <c r="E359" s="5"/>
      <c r="F359" s="5"/>
      <c r="G359" s="5"/>
      <c r="H359" s="306"/>
      <c r="I359" s="306"/>
      <c r="J359" s="5"/>
      <c r="K359" s="5"/>
      <c r="L359" s="5"/>
      <c r="M359" s="5"/>
      <c r="N359" s="5"/>
      <c r="O359" s="5"/>
      <c r="P359" s="57"/>
      <c r="Q359" s="5"/>
      <c r="R359" s="5"/>
      <c r="S359" s="5"/>
      <c r="T359" s="5"/>
      <c r="U359" s="5"/>
      <c r="V359" s="5"/>
      <c r="W359" s="5"/>
      <c r="X359" s="5"/>
      <c r="Y359" s="5"/>
      <c r="Z359" s="5"/>
      <c r="AA359" s="5"/>
    </row>
    <row r="360" spans="1:27" ht="12.75" customHeight="1">
      <c r="A360" s="5"/>
      <c r="B360" s="5"/>
      <c r="C360" s="5"/>
      <c r="D360" s="5"/>
      <c r="E360" s="5"/>
      <c r="F360" s="5"/>
      <c r="G360" s="5"/>
      <c r="H360" s="306"/>
      <c r="I360" s="306"/>
      <c r="J360" s="5"/>
      <c r="K360" s="5"/>
      <c r="L360" s="5"/>
      <c r="M360" s="5"/>
      <c r="N360" s="5"/>
      <c r="O360" s="5"/>
      <c r="P360" s="57"/>
      <c r="Q360" s="5"/>
      <c r="R360" s="5"/>
      <c r="S360" s="5"/>
      <c r="T360" s="5"/>
      <c r="U360" s="5"/>
      <c r="V360" s="5"/>
      <c r="W360" s="5"/>
      <c r="X360" s="5"/>
      <c r="Y360" s="5"/>
      <c r="Z360" s="5"/>
      <c r="AA360" s="5"/>
    </row>
    <row r="361" spans="1:27" ht="12.75" customHeight="1">
      <c r="A361" s="5"/>
      <c r="B361" s="5"/>
      <c r="C361" s="5"/>
      <c r="D361" s="5"/>
      <c r="E361" s="5"/>
      <c r="F361" s="5"/>
      <c r="G361" s="5"/>
      <c r="H361" s="306"/>
      <c r="I361" s="306"/>
      <c r="J361" s="5"/>
      <c r="K361" s="5"/>
      <c r="L361" s="5"/>
      <c r="M361" s="5"/>
      <c r="N361" s="5"/>
      <c r="O361" s="5"/>
      <c r="P361" s="57"/>
      <c r="Q361" s="5"/>
      <c r="R361" s="5"/>
      <c r="S361" s="5"/>
      <c r="T361" s="5"/>
      <c r="U361" s="5"/>
      <c r="V361" s="5"/>
      <c r="W361" s="5"/>
      <c r="X361" s="5"/>
      <c r="Y361" s="5"/>
      <c r="Z361" s="5"/>
      <c r="AA361" s="5"/>
    </row>
    <row r="362" spans="1:27" ht="12.75" customHeight="1">
      <c r="A362" s="5"/>
      <c r="B362" s="5"/>
      <c r="C362" s="5"/>
      <c r="D362" s="5"/>
      <c r="E362" s="5"/>
      <c r="F362" s="5"/>
      <c r="G362" s="5"/>
      <c r="H362" s="306"/>
      <c r="I362" s="306"/>
      <c r="J362" s="5"/>
      <c r="K362" s="5"/>
      <c r="L362" s="5"/>
      <c r="M362" s="5"/>
      <c r="N362" s="5"/>
      <c r="O362" s="5"/>
      <c r="P362" s="57"/>
      <c r="Q362" s="5"/>
      <c r="R362" s="5"/>
      <c r="S362" s="5"/>
      <c r="T362" s="5"/>
      <c r="U362" s="5"/>
      <c r="V362" s="5"/>
      <c r="W362" s="5"/>
      <c r="X362" s="5"/>
      <c r="Y362" s="5"/>
      <c r="Z362" s="5"/>
      <c r="AA362" s="5"/>
    </row>
    <row r="363" spans="1:27" ht="12.75" customHeight="1">
      <c r="A363" s="5"/>
      <c r="B363" s="5"/>
      <c r="C363" s="5"/>
      <c r="D363" s="5"/>
      <c r="E363" s="5"/>
      <c r="F363" s="5"/>
      <c r="G363" s="5"/>
      <c r="H363" s="306"/>
      <c r="I363" s="306"/>
      <c r="J363" s="5"/>
      <c r="K363" s="5"/>
      <c r="L363" s="5"/>
      <c r="M363" s="5"/>
      <c r="N363" s="5"/>
      <c r="O363" s="5"/>
      <c r="P363" s="57"/>
      <c r="Q363" s="5"/>
      <c r="R363" s="5"/>
      <c r="S363" s="5"/>
      <c r="T363" s="5"/>
      <c r="U363" s="5"/>
      <c r="V363" s="5"/>
      <c r="W363" s="5"/>
      <c r="X363" s="5"/>
      <c r="Y363" s="5"/>
      <c r="Z363" s="5"/>
      <c r="AA363" s="5"/>
    </row>
    <row r="364" spans="1:27" ht="12.75" customHeight="1">
      <c r="A364" s="5"/>
      <c r="B364" s="5"/>
      <c r="C364" s="5"/>
      <c r="D364" s="5"/>
      <c r="E364" s="5"/>
      <c r="F364" s="5"/>
      <c r="G364" s="5"/>
      <c r="H364" s="306"/>
      <c r="I364" s="306"/>
      <c r="J364" s="5"/>
      <c r="K364" s="5"/>
      <c r="L364" s="5"/>
      <c r="M364" s="5"/>
      <c r="N364" s="5"/>
      <c r="O364" s="5"/>
      <c r="P364" s="57"/>
      <c r="Q364" s="5"/>
      <c r="R364" s="5"/>
      <c r="S364" s="5"/>
      <c r="T364" s="5"/>
      <c r="U364" s="5"/>
      <c r="V364" s="5"/>
      <c r="W364" s="5"/>
      <c r="X364" s="5"/>
      <c r="Y364" s="5"/>
      <c r="Z364" s="5"/>
      <c r="AA364" s="5"/>
    </row>
    <row r="365" spans="1:27" ht="12.75" customHeight="1">
      <c r="A365" s="5"/>
      <c r="B365" s="5"/>
      <c r="C365" s="5"/>
      <c r="D365" s="5"/>
      <c r="E365" s="5"/>
      <c r="F365" s="5"/>
      <c r="G365" s="5"/>
      <c r="H365" s="306"/>
      <c r="I365" s="306"/>
      <c r="J365" s="5"/>
      <c r="K365" s="5"/>
      <c r="L365" s="5"/>
      <c r="M365" s="5"/>
      <c r="N365" s="5"/>
      <c r="O365" s="5"/>
      <c r="P365" s="57"/>
      <c r="Q365" s="5"/>
      <c r="R365" s="5"/>
      <c r="S365" s="5"/>
      <c r="T365" s="5"/>
      <c r="U365" s="5"/>
      <c r="V365" s="5"/>
      <c r="W365" s="5"/>
      <c r="X365" s="5"/>
      <c r="Y365" s="5"/>
      <c r="Z365" s="5"/>
      <c r="AA365" s="5"/>
    </row>
    <row r="366" spans="1:27" ht="12.75" customHeight="1">
      <c r="A366" s="5"/>
      <c r="B366" s="5"/>
      <c r="C366" s="5"/>
      <c r="D366" s="5"/>
      <c r="E366" s="5"/>
      <c r="F366" s="5"/>
      <c r="G366" s="5"/>
      <c r="H366" s="306"/>
      <c r="I366" s="306"/>
      <c r="J366" s="5"/>
      <c r="K366" s="5"/>
      <c r="L366" s="5"/>
      <c r="M366" s="5"/>
      <c r="N366" s="5"/>
      <c r="O366" s="5"/>
      <c r="P366" s="57"/>
      <c r="Q366" s="5"/>
      <c r="R366" s="5"/>
      <c r="S366" s="5"/>
      <c r="T366" s="5"/>
      <c r="U366" s="5"/>
      <c r="V366" s="5"/>
      <c r="W366" s="5"/>
      <c r="X366" s="5"/>
      <c r="Y366" s="5"/>
      <c r="Z366" s="5"/>
      <c r="AA366" s="5"/>
    </row>
    <row r="367" spans="1:27" ht="12.75" customHeight="1">
      <c r="A367" s="5"/>
      <c r="B367" s="5"/>
      <c r="C367" s="5"/>
      <c r="D367" s="5"/>
      <c r="E367" s="5"/>
      <c r="F367" s="5"/>
      <c r="G367" s="5"/>
      <c r="H367" s="306"/>
      <c r="I367" s="306"/>
      <c r="J367" s="5"/>
      <c r="K367" s="5"/>
      <c r="L367" s="5"/>
      <c r="M367" s="5"/>
      <c r="N367" s="5"/>
      <c r="O367" s="5"/>
      <c r="P367" s="57"/>
      <c r="Q367" s="5"/>
      <c r="R367" s="5"/>
      <c r="S367" s="5"/>
      <c r="T367" s="5"/>
      <c r="U367" s="5"/>
      <c r="V367" s="5"/>
      <c r="W367" s="5"/>
      <c r="X367" s="5"/>
      <c r="Y367" s="5"/>
      <c r="Z367" s="5"/>
      <c r="AA367" s="5"/>
    </row>
    <row r="368" spans="1:27" ht="12.75" customHeight="1">
      <c r="A368" s="5"/>
      <c r="B368" s="5"/>
      <c r="C368" s="5"/>
      <c r="D368" s="5"/>
      <c r="E368" s="5"/>
      <c r="F368" s="5"/>
      <c r="G368" s="5"/>
      <c r="H368" s="306"/>
      <c r="I368" s="306"/>
      <c r="J368" s="5"/>
      <c r="K368" s="5"/>
      <c r="L368" s="5"/>
      <c r="M368" s="5"/>
      <c r="N368" s="5"/>
      <c r="O368" s="5"/>
      <c r="P368" s="57"/>
      <c r="Q368" s="5"/>
      <c r="R368" s="5"/>
      <c r="S368" s="5"/>
      <c r="T368" s="5"/>
      <c r="U368" s="5"/>
      <c r="V368" s="5"/>
      <c r="W368" s="5"/>
      <c r="X368" s="5"/>
      <c r="Y368" s="5"/>
      <c r="Z368" s="5"/>
      <c r="AA368" s="5"/>
    </row>
    <row r="369" spans="1:27" ht="12.75" customHeight="1">
      <c r="A369" s="5"/>
      <c r="B369" s="5"/>
      <c r="C369" s="5"/>
      <c r="D369" s="5"/>
      <c r="E369" s="5"/>
      <c r="F369" s="5"/>
      <c r="G369" s="5"/>
      <c r="H369" s="306"/>
      <c r="I369" s="306"/>
      <c r="J369" s="5"/>
      <c r="K369" s="5"/>
      <c r="L369" s="5"/>
      <c r="M369" s="5"/>
      <c r="N369" s="5"/>
      <c r="O369" s="5"/>
      <c r="P369" s="57"/>
      <c r="Q369" s="5"/>
      <c r="R369" s="5"/>
      <c r="S369" s="5"/>
      <c r="T369" s="5"/>
      <c r="U369" s="5"/>
      <c r="V369" s="5"/>
      <c r="W369" s="5"/>
      <c r="X369" s="5"/>
      <c r="Y369" s="5"/>
      <c r="Z369" s="5"/>
      <c r="AA369" s="5"/>
    </row>
    <row r="370" spans="1:27" ht="12.75" customHeight="1">
      <c r="A370" s="5"/>
      <c r="B370" s="5"/>
      <c r="C370" s="5"/>
      <c r="D370" s="5"/>
      <c r="E370" s="5"/>
      <c r="F370" s="5"/>
      <c r="G370" s="5"/>
      <c r="H370" s="306"/>
      <c r="I370" s="306"/>
      <c r="J370" s="5"/>
      <c r="K370" s="5"/>
      <c r="L370" s="5"/>
      <c r="M370" s="5"/>
      <c r="N370" s="5"/>
      <c r="O370" s="5"/>
      <c r="P370" s="57"/>
      <c r="Q370" s="5"/>
      <c r="R370" s="5"/>
      <c r="S370" s="5"/>
      <c r="T370" s="5"/>
      <c r="U370" s="5"/>
      <c r="V370" s="5"/>
      <c r="W370" s="5"/>
      <c r="X370" s="5"/>
      <c r="Y370" s="5"/>
      <c r="Z370" s="5"/>
      <c r="AA370" s="5"/>
    </row>
    <row r="371" spans="1:27" ht="12.75" customHeight="1">
      <c r="A371" s="5"/>
      <c r="B371" s="5"/>
      <c r="C371" s="5"/>
      <c r="D371" s="5"/>
      <c r="E371" s="5"/>
      <c r="F371" s="5"/>
      <c r="G371" s="5"/>
      <c r="H371" s="306"/>
      <c r="I371" s="306"/>
      <c r="J371" s="5"/>
      <c r="K371" s="5"/>
      <c r="L371" s="5"/>
      <c r="M371" s="5"/>
      <c r="N371" s="5"/>
      <c r="O371" s="5"/>
      <c r="P371" s="57"/>
      <c r="Q371" s="5"/>
      <c r="R371" s="5"/>
      <c r="S371" s="5"/>
      <c r="T371" s="5"/>
      <c r="U371" s="5"/>
      <c r="V371" s="5"/>
      <c r="W371" s="5"/>
      <c r="X371" s="5"/>
      <c r="Y371" s="5"/>
      <c r="Z371" s="5"/>
      <c r="AA371" s="5"/>
    </row>
    <row r="372" spans="1:27" ht="12.75" customHeight="1">
      <c r="A372" s="5"/>
      <c r="B372" s="5"/>
      <c r="C372" s="5"/>
      <c r="D372" s="5"/>
      <c r="E372" s="5"/>
      <c r="F372" s="5"/>
      <c r="G372" s="5"/>
      <c r="H372" s="306"/>
      <c r="I372" s="306"/>
      <c r="J372" s="5"/>
      <c r="K372" s="5"/>
      <c r="L372" s="5"/>
      <c r="M372" s="5"/>
      <c r="N372" s="5"/>
      <c r="O372" s="5"/>
      <c r="P372" s="57"/>
      <c r="Q372" s="5"/>
      <c r="R372" s="5"/>
      <c r="S372" s="5"/>
      <c r="T372" s="5"/>
      <c r="U372" s="5"/>
      <c r="V372" s="5"/>
      <c r="W372" s="5"/>
      <c r="X372" s="5"/>
      <c r="Y372" s="5"/>
      <c r="Z372" s="5"/>
      <c r="AA372" s="5"/>
    </row>
    <row r="373" spans="1:27" ht="12.75" customHeight="1">
      <c r="A373" s="5"/>
      <c r="B373" s="5"/>
      <c r="C373" s="5"/>
      <c r="D373" s="5"/>
      <c r="E373" s="5"/>
      <c r="F373" s="5"/>
      <c r="G373" s="5"/>
      <c r="H373" s="306"/>
      <c r="I373" s="306"/>
      <c r="J373" s="5"/>
      <c r="K373" s="5"/>
      <c r="L373" s="5"/>
      <c r="M373" s="5"/>
      <c r="N373" s="5"/>
      <c r="O373" s="5"/>
      <c r="P373" s="57"/>
      <c r="Q373" s="5"/>
      <c r="R373" s="5"/>
      <c r="S373" s="5"/>
      <c r="T373" s="5"/>
      <c r="U373" s="5"/>
      <c r="V373" s="5"/>
      <c r="W373" s="5"/>
      <c r="X373" s="5"/>
      <c r="Y373" s="5"/>
      <c r="Z373" s="5"/>
      <c r="AA373" s="5"/>
    </row>
    <row r="374" spans="1:27" ht="12.75" customHeight="1">
      <c r="A374" s="5"/>
      <c r="B374" s="5"/>
      <c r="C374" s="5"/>
      <c r="D374" s="5"/>
      <c r="E374" s="5"/>
      <c r="F374" s="5"/>
      <c r="G374" s="5"/>
      <c r="H374" s="306"/>
      <c r="I374" s="306"/>
      <c r="J374" s="5"/>
      <c r="K374" s="5"/>
      <c r="L374" s="5"/>
      <c r="M374" s="5"/>
      <c r="N374" s="5"/>
      <c r="O374" s="5"/>
      <c r="P374" s="57"/>
      <c r="Q374" s="5"/>
      <c r="R374" s="5"/>
      <c r="S374" s="5"/>
      <c r="T374" s="5"/>
      <c r="U374" s="5"/>
      <c r="V374" s="5"/>
      <c r="W374" s="5"/>
      <c r="X374" s="5"/>
      <c r="Y374" s="5"/>
      <c r="Z374" s="5"/>
      <c r="AA374" s="5"/>
    </row>
    <row r="375" spans="1:27" ht="12.75" customHeight="1">
      <c r="A375" s="5"/>
      <c r="B375" s="5"/>
      <c r="C375" s="5"/>
      <c r="D375" s="5"/>
      <c r="E375" s="5"/>
      <c r="F375" s="5"/>
      <c r="G375" s="5"/>
      <c r="H375" s="306"/>
      <c r="I375" s="306"/>
      <c r="J375" s="5"/>
      <c r="K375" s="5"/>
      <c r="L375" s="5"/>
      <c r="M375" s="5"/>
      <c r="N375" s="5"/>
      <c r="O375" s="5"/>
      <c r="P375" s="57"/>
      <c r="Q375" s="5"/>
      <c r="R375" s="5"/>
      <c r="S375" s="5"/>
      <c r="T375" s="5"/>
      <c r="U375" s="5"/>
      <c r="V375" s="5"/>
      <c r="W375" s="5"/>
      <c r="X375" s="5"/>
      <c r="Y375" s="5"/>
      <c r="Z375" s="5"/>
      <c r="AA375" s="5"/>
    </row>
    <row r="376" spans="1:27" ht="12.75" customHeight="1">
      <c r="A376" s="5"/>
      <c r="B376" s="5"/>
      <c r="C376" s="5"/>
      <c r="D376" s="5"/>
      <c r="E376" s="5"/>
      <c r="F376" s="5"/>
      <c r="G376" s="5"/>
      <c r="H376" s="306"/>
      <c r="I376" s="306"/>
      <c r="J376" s="5"/>
      <c r="K376" s="5"/>
      <c r="L376" s="5"/>
      <c r="M376" s="5"/>
      <c r="N376" s="5"/>
      <c r="O376" s="5"/>
      <c r="P376" s="57"/>
      <c r="Q376" s="5"/>
      <c r="R376" s="5"/>
      <c r="S376" s="5"/>
      <c r="T376" s="5"/>
      <c r="U376" s="5"/>
      <c r="V376" s="5"/>
      <c r="W376" s="5"/>
      <c r="X376" s="5"/>
      <c r="Y376" s="5"/>
      <c r="Z376" s="5"/>
      <c r="AA376" s="5"/>
    </row>
    <row r="377" spans="1:27" ht="12.75" customHeight="1">
      <c r="A377" s="5"/>
      <c r="B377" s="5"/>
      <c r="C377" s="5"/>
      <c r="D377" s="5"/>
      <c r="E377" s="5"/>
      <c r="F377" s="5"/>
      <c r="G377" s="5"/>
      <c r="H377" s="306"/>
      <c r="I377" s="306"/>
      <c r="J377" s="5"/>
      <c r="K377" s="5"/>
      <c r="L377" s="5"/>
      <c r="M377" s="5"/>
      <c r="N377" s="5"/>
      <c r="O377" s="5"/>
      <c r="P377" s="57"/>
      <c r="Q377" s="5"/>
      <c r="R377" s="5"/>
      <c r="S377" s="5"/>
      <c r="T377" s="5"/>
      <c r="U377" s="5"/>
      <c r="V377" s="5"/>
      <c r="W377" s="5"/>
      <c r="X377" s="5"/>
      <c r="Y377" s="5"/>
      <c r="Z377" s="5"/>
      <c r="AA377" s="5"/>
    </row>
    <row r="378" spans="1:27" ht="12.75" customHeight="1">
      <c r="A378" s="5"/>
      <c r="B378" s="5"/>
      <c r="C378" s="5"/>
      <c r="D378" s="5"/>
      <c r="E378" s="5"/>
      <c r="F378" s="5"/>
      <c r="G378" s="5"/>
      <c r="H378" s="306"/>
      <c r="I378" s="306"/>
      <c r="J378" s="5"/>
      <c r="K378" s="5"/>
      <c r="L378" s="5"/>
      <c r="M378" s="5"/>
      <c r="N378" s="5"/>
      <c r="O378" s="5"/>
      <c r="P378" s="57"/>
      <c r="Q378" s="5"/>
      <c r="R378" s="5"/>
      <c r="S378" s="5"/>
      <c r="T378" s="5"/>
      <c r="U378" s="5"/>
      <c r="V378" s="5"/>
      <c r="W378" s="5"/>
      <c r="X378" s="5"/>
      <c r="Y378" s="5"/>
      <c r="Z378" s="5"/>
      <c r="AA378" s="5"/>
    </row>
    <row r="379" spans="1:27" ht="12.75" customHeight="1">
      <c r="A379" s="5"/>
      <c r="B379" s="5"/>
      <c r="C379" s="5"/>
      <c r="D379" s="5"/>
      <c r="E379" s="5"/>
      <c r="F379" s="5"/>
      <c r="G379" s="5"/>
      <c r="H379" s="306"/>
      <c r="I379" s="306"/>
      <c r="J379" s="5"/>
      <c r="K379" s="5"/>
      <c r="L379" s="5"/>
      <c r="M379" s="5"/>
      <c r="N379" s="5"/>
      <c r="O379" s="5"/>
      <c r="P379" s="57"/>
      <c r="Q379" s="5"/>
      <c r="R379" s="5"/>
      <c r="S379" s="5"/>
      <c r="T379" s="5"/>
      <c r="U379" s="5"/>
      <c r="V379" s="5"/>
      <c r="W379" s="5"/>
      <c r="X379" s="5"/>
      <c r="Y379" s="5"/>
      <c r="Z379" s="5"/>
      <c r="AA379" s="5"/>
    </row>
    <row r="380" spans="1:27" ht="12.75" customHeight="1">
      <c r="A380" s="5"/>
      <c r="B380" s="5"/>
      <c r="C380" s="5"/>
      <c r="D380" s="5"/>
      <c r="E380" s="5"/>
      <c r="F380" s="5"/>
      <c r="G380" s="5"/>
      <c r="H380" s="306"/>
      <c r="I380" s="306"/>
      <c r="J380" s="5"/>
      <c r="K380" s="5"/>
      <c r="L380" s="5"/>
      <c r="M380" s="5"/>
      <c r="N380" s="5"/>
      <c r="O380" s="5"/>
      <c r="P380" s="57"/>
      <c r="Q380" s="5"/>
      <c r="R380" s="5"/>
      <c r="S380" s="5"/>
      <c r="T380" s="5"/>
      <c r="U380" s="5"/>
      <c r="V380" s="5"/>
      <c r="W380" s="5"/>
      <c r="X380" s="5"/>
      <c r="Y380" s="5"/>
      <c r="Z380" s="5"/>
      <c r="AA380" s="5"/>
    </row>
    <row r="381" spans="1:27" ht="12.75" customHeight="1">
      <c r="A381" s="5"/>
      <c r="B381" s="5"/>
      <c r="C381" s="5"/>
      <c r="D381" s="5"/>
      <c r="E381" s="5"/>
      <c r="F381" s="5"/>
      <c r="G381" s="5"/>
      <c r="H381" s="306"/>
      <c r="I381" s="306"/>
      <c r="J381" s="5"/>
      <c r="K381" s="5"/>
      <c r="L381" s="5"/>
      <c r="M381" s="5"/>
      <c r="N381" s="5"/>
      <c r="O381" s="5"/>
      <c r="P381" s="57"/>
      <c r="Q381" s="5"/>
      <c r="R381" s="5"/>
      <c r="S381" s="5"/>
      <c r="T381" s="5"/>
      <c r="U381" s="5"/>
      <c r="V381" s="5"/>
      <c r="W381" s="5"/>
      <c r="X381" s="5"/>
      <c r="Y381" s="5"/>
      <c r="Z381" s="5"/>
      <c r="AA381" s="5"/>
    </row>
    <row r="382" spans="1:27" ht="12.75" customHeight="1">
      <c r="A382" s="5"/>
      <c r="B382" s="5"/>
      <c r="C382" s="5"/>
      <c r="D382" s="5"/>
      <c r="E382" s="5"/>
      <c r="F382" s="5"/>
      <c r="G382" s="5"/>
      <c r="H382" s="306"/>
      <c r="I382" s="306"/>
      <c r="J382" s="5"/>
      <c r="K382" s="5"/>
      <c r="L382" s="5"/>
      <c r="M382" s="5"/>
      <c r="N382" s="5"/>
      <c r="O382" s="5"/>
      <c r="P382" s="57"/>
      <c r="Q382" s="5"/>
      <c r="R382" s="5"/>
      <c r="S382" s="5"/>
      <c r="T382" s="5"/>
      <c r="U382" s="5"/>
      <c r="V382" s="5"/>
      <c r="W382" s="5"/>
      <c r="X382" s="5"/>
      <c r="Y382" s="5"/>
      <c r="Z382" s="5"/>
      <c r="AA382" s="5"/>
    </row>
    <row r="383" spans="1:27" ht="12.75" customHeight="1">
      <c r="A383" s="5"/>
      <c r="B383" s="5"/>
      <c r="C383" s="5"/>
      <c r="D383" s="5"/>
      <c r="E383" s="5"/>
      <c r="F383" s="5"/>
      <c r="G383" s="5"/>
      <c r="H383" s="306"/>
      <c r="I383" s="306"/>
      <c r="J383" s="5"/>
      <c r="K383" s="5"/>
      <c r="L383" s="5"/>
      <c r="M383" s="5"/>
      <c r="N383" s="5"/>
      <c r="O383" s="5"/>
      <c r="P383" s="57"/>
      <c r="Q383" s="5"/>
      <c r="R383" s="5"/>
      <c r="S383" s="5"/>
      <c r="T383" s="5"/>
      <c r="U383" s="5"/>
      <c r="V383" s="5"/>
      <c r="W383" s="5"/>
      <c r="X383" s="5"/>
      <c r="Y383" s="5"/>
      <c r="Z383" s="5"/>
      <c r="AA383" s="5"/>
    </row>
    <row r="384" spans="1:27" ht="12.75" customHeight="1">
      <c r="A384" s="5"/>
      <c r="B384" s="5"/>
      <c r="C384" s="5"/>
      <c r="D384" s="5"/>
      <c r="E384" s="5"/>
      <c r="F384" s="5"/>
      <c r="G384" s="5"/>
      <c r="H384" s="306"/>
      <c r="I384" s="306"/>
      <c r="J384" s="5"/>
      <c r="K384" s="5"/>
      <c r="L384" s="5"/>
      <c r="M384" s="5"/>
      <c r="N384" s="5"/>
      <c r="O384" s="5"/>
      <c r="P384" s="57"/>
      <c r="Q384" s="5"/>
      <c r="R384" s="5"/>
      <c r="S384" s="5"/>
      <c r="T384" s="5"/>
      <c r="U384" s="5"/>
      <c r="V384" s="5"/>
      <c r="W384" s="5"/>
      <c r="X384" s="5"/>
      <c r="Y384" s="5"/>
      <c r="Z384" s="5"/>
      <c r="AA384" s="5"/>
    </row>
    <row r="385" spans="1:27" ht="12.75" customHeight="1">
      <c r="A385" s="5"/>
      <c r="B385" s="5"/>
      <c r="C385" s="5"/>
      <c r="D385" s="5"/>
      <c r="E385" s="5"/>
      <c r="F385" s="5"/>
      <c r="G385" s="5"/>
      <c r="H385" s="306"/>
      <c r="I385" s="306"/>
      <c r="J385" s="5"/>
      <c r="K385" s="5"/>
      <c r="L385" s="5"/>
      <c r="M385" s="5"/>
      <c r="N385" s="5"/>
      <c r="O385" s="5"/>
      <c r="P385" s="57"/>
      <c r="Q385" s="5"/>
      <c r="R385" s="5"/>
      <c r="S385" s="5"/>
      <c r="T385" s="5"/>
      <c r="U385" s="5"/>
      <c r="V385" s="5"/>
      <c r="W385" s="5"/>
      <c r="X385" s="5"/>
      <c r="Y385" s="5"/>
      <c r="Z385" s="5"/>
      <c r="AA385" s="5"/>
    </row>
    <row r="386" spans="1:27" ht="12.75" customHeight="1">
      <c r="A386" s="5"/>
      <c r="B386" s="5"/>
      <c r="C386" s="5"/>
      <c r="D386" s="5"/>
      <c r="E386" s="5"/>
      <c r="F386" s="5"/>
      <c r="G386" s="5"/>
      <c r="H386" s="306"/>
      <c r="I386" s="306"/>
      <c r="J386" s="5"/>
      <c r="K386" s="5"/>
      <c r="L386" s="5"/>
      <c r="M386" s="5"/>
      <c r="N386" s="5"/>
      <c r="O386" s="5"/>
      <c r="P386" s="57"/>
      <c r="Q386" s="5"/>
      <c r="R386" s="5"/>
      <c r="S386" s="5"/>
      <c r="T386" s="5"/>
      <c r="U386" s="5"/>
      <c r="V386" s="5"/>
      <c r="W386" s="5"/>
      <c r="X386" s="5"/>
      <c r="Y386" s="5"/>
      <c r="Z386" s="5"/>
      <c r="AA386" s="5"/>
    </row>
    <row r="387" spans="1:27" ht="12.75" customHeight="1">
      <c r="A387" s="5"/>
      <c r="B387" s="5"/>
      <c r="C387" s="5"/>
      <c r="D387" s="5"/>
      <c r="E387" s="5"/>
      <c r="F387" s="5"/>
      <c r="G387" s="5"/>
      <c r="H387" s="306"/>
      <c r="I387" s="306"/>
      <c r="J387" s="5"/>
      <c r="K387" s="5"/>
      <c r="L387" s="5"/>
      <c r="M387" s="5"/>
      <c r="N387" s="5"/>
      <c r="O387" s="5"/>
      <c r="P387" s="57"/>
      <c r="Q387" s="5"/>
      <c r="R387" s="5"/>
      <c r="S387" s="5"/>
      <c r="T387" s="5"/>
      <c r="U387" s="5"/>
      <c r="V387" s="5"/>
      <c r="W387" s="5"/>
      <c r="X387" s="5"/>
      <c r="Y387" s="5"/>
      <c r="Z387" s="5"/>
      <c r="AA387" s="5"/>
    </row>
    <row r="388" spans="1:27" ht="12.75" customHeight="1">
      <c r="A388" s="5"/>
      <c r="B388" s="5"/>
      <c r="C388" s="5"/>
      <c r="D388" s="5"/>
      <c r="E388" s="5"/>
      <c r="F388" s="5"/>
      <c r="G388" s="5"/>
      <c r="H388" s="306"/>
      <c r="I388" s="306"/>
      <c r="J388" s="5"/>
      <c r="K388" s="5"/>
      <c r="L388" s="5"/>
      <c r="M388" s="5"/>
      <c r="N388" s="5"/>
      <c r="O388" s="5"/>
      <c r="P388" s="57"/>
      <c r="Q388" s="5"/>
      <c r="R388" s="5"/>
      <c r="S388" s="5"/>
      <c r="T388" s="5"/>
      <c r="U388" s="5"/>
      <c r="V388" s="5"/>
      <c r="W388" s="5"/>
      <c r="X388" s="5"/>
      <c r="Y388" s="5"/>
      <c r="Z388" s="5"/>
      <c r="AA388" s="5"/>
    </row>
    <row r="389" spans="1:27" ht="12.75" customHeight="1">
      <c r="A389" s="5"/>
      <c r="B389" s="5"/>
      <c r="C389" s="5"/>
      <c r="D389" s="5"/>
      <c r="E389" s="5"/>
      <c r="F389" s="5"/>
      <c r="G389" s="5"/>
      <c r="H389" s="306"/>
      <c r="I389" s="306"/>
      <c r="J389" s="5"/>
      <c r="K389" s="5"/>
      <c r="L389" s="5"/>
      <c r="M389" s="5"/>
      <c r="N389" s="5"/>
      <c r="O389" s="5"/>
      <c r="P389" s="57"/>
      <c r="Q389" s="5"/>
      <c r="R389" s="5"/>
      <c r="S389" s="5"/>
      <c r="T389" s="5"/>
      <c r="U389" s="5"/>
      <c r="V389" s="5"/>
      <c r="W389" s="5"/>
      <c r="X389" s="5"/>
      <c r="Y389" s="5"/>
      <c r="Z389" s="5"/>
      <c r="AA389" s="5"/>
    </row>
    <row r="390" spans="1:27" ht="12.75" customHeight="1">
      <c r="A390" s="5"/>
      <c r="B390" s="5"/>
      <c r="C390" s="5"/>
      <c r="D390" s="5"/>
      <c r="E390" s="5"/>
      <c r="F390" s="5"/>
      <c r="G390" s="5"/>
      <c r="H390" s="306"/>
      <c r="I390" s="306"/>
      <c r="J390" s="5"/>
      <c r="K390" s="5"/>
      <c r="L390" s="5"/>
      <c r="M390" s="5"/>
      <c r="N390" s="5"/>
      <c r="O390" s="5"/>
      <c r="P390" s="57"/>
      <c r="Q390" s="5"/>
      <c r="R390" s="5"/>
      <c r="S390" s="5"/>
      <c r="T390" s="5"/>
      <c r="U390" s="5"/>
      <c r="V390" s="5"/>
      <c r="W390" s="5"/>
      <c r="X390" s="5"/>
      <c r="Y390" s="5"/>
      <c r="Z390" s="5"/>
      <c r="AA390" s="5"/>
    </row>
    <row r="391" spans="1:27" ht="12.75" customHeight="1">
      <c r="A391" s="5"/>
      <c r="B391" s="5"/>
      <c r="C391" s="5"/>
      <c r="D391" s="5"/>
      <c r="E391" s="5"/>
      <c r="F391" s="5"/>
      <c r="G391" s="5"/>
      <c r="H391" s="306"/>
      <c r="I391" s="306"/>
      <c r="J391" s="5"/>
      <c r="K391" s="5"/>
      <c r="L391" s="5"/>
      <c r="M391" s="5"/>
      <c r="N391" s="5"/>
      <c r="O391" s="5"/>
      <c r="P391" s="57"/>
      <c r="Q391" s="5"/>
      <c r="R391" s="5"/>
      <c r="S391" s="5"/>
      <c r="T391" s="5"/>
      <c r="U391" s="5"/>
      <c r="V391" s="5"/>
      <c r="W391" s="5"/>
      <c r="X391" s="5"/>
      <c r="Y391" s="5"/>
      <c r="Z391" s="5"/>
      <c r="AA391" s="5"/>
    </row>
    <row r="392" spans="1:27" ht="12.75" customHeight="1">
      <c r="A392" s="5"/>
      <c r="B392" s="5"/>
      <c r="C392" s="5"/>
      <c r="D392" s="5"/>
      <c r="E392" s="5"/>
      <c r="F392" s="5"/>
      <c r="G392" s="5"/>
      <c r="H392" s="306"/>
      <c r="I392" s="306"/>
      <c r="J392" s="5"/>
      <c r="K392" s="5"/>
      <c r="L392" s="5"/>
      <c r="M392" s="5"/>
      <c r="N392" s="5"/>
      <c r="O392" s="5"/>
      <c r="P392" s="57"/>
      <c r="Q392" s="5"/>
      <c r="R392" s="5"/>
      <c r="S392" s="5"/>
      <c r="T392" s="5"/>
      <c r="U392" s="5"/>
      <c r="V392" s="5"/>
      <c r="W392" s="5"/>
      <c r="X392" s="5"/>
      <c r="Y392" s="5"/>
      <c r="Z392" s="5"/>
      <c r="AA392" s="5"/>
    </row>
    <row r="393" spans="1:27" ht="12.75" customHeight="1">
      <c r="A393" s="5"/>
      <c r="B393" s="5"/>
      <c r="C393" s="5"/>
      <c r="D393" s="5"/>
      <c r="E393" s="5"/>
      <c r="F393" s="5"/>
      <c r="G393" s="5"/>
      <c r="H393" s="306"/>
      <c r="I393" s="306"/>
      <c r="J393" s="5"/>
      <c r="K393" s="5"/>
      <c r="L393" s="5"/>
      <c r="M393" s="5"/>
      <c r="N393" s="5"/>
      <c r="O393" s="5"/>
      <c r="P393" s="57"/>
      <c r="Q393" s="5"/>
      <c r="R393" s="5"/>
      <c r="S393" s="5"/>
      <c r="T393" s="5"/>
      <c r="U393" s="5"/>
      <c r="V393" s="5"/>
      <c r="W393" s="5"/>
      <c r="X393" s="5"/>
      <c r="Y393" s="5"/>
      <c r="Z393" s="5"/>
      <c r="AA393" s="5"/>
    </row>
    <row r="394" spans="1:27" ht="12.75" customHeight="1">
      <c r="A394" s="5"/>
      <c r="B394" s="5"/>
      <c r="C394" s="5"/>
      <c r="D394" s="5"/>
      <c r="E394" s="5"/>
      <c r="F394" s="5"/>
      <c r="G394" s="5"/>
      <c r="H394" s="306"/>
      <c r="I394" s="306"/>
      <c r="J394" s="5"/>
      <c r="K394" s="5"/>
      <c r="L394" s="5"/>
      <c r="M394" s="5"/>
      <c r="N394" s="5"/>
      <c r="O394" s="5"/>
      <c r="P394" s="57"/>
      <c r="Q394" s="5"/>
      <c r="R394" s="5"/>
      <c r="S394" s="5"/>
      <c r="T394" s="5"/>
      <c r="U394" s="5"/>
      <c r="V394" s="5"/>
      <c r="W394" s="5"/>
      <c r="X394" s="5"/>
      <c r="Y394" s="5"/>
      <c r="Z394" s="5"/>
      <c r="AA394" s="5"/>
    </row>
    <row r="395" spans="1:27" ht="12.75" customHeight="1">
      <c r="A395" s="5"/>
      <c r="B395" s="5"/>
      <c r="C395" s="5"/>
      <c r="D395" s="5"/>
      <c r="E395" s="5"/>
      <c r="F395" s="5"/>
      <c r="G395" s="5"/>
      <c r="H395" s="306"/>
      <c r="I395" s="306"/>
      <c r="J395" s="5"/>
      <c r="K395" s="5"/>
      <c r="L395" s="5"/>
      <c r="M395" s="5"/>
      <c r="N395" s="5"/>
      <c r="O395" s="5"/>
      <c r="P395" s="57"/>
      <c r="Q395" s="5"/>
      <c r="R395" s="5"/>
      <c r="S395" s="5"/>
      <c r="T395" s="5"/>
      <c r="U395" s="5"/>
      <c r="V395" s="5"/>
      <c r="W395" s="5"/>
      <c r="X395" s="5"/>
      <c r="Y395" s="5"/>
      <c r="Z395" s="5"/>
      <c r="AA395" s="5"/>
    </row>
    <row r="396" spans="1:27" ht="12.75" customHeight="1">
      <c r="A396" s="5"/>
      <c r="B396" s="5"/>
      <c r="C396" s="5"/>
      <c r="D396" s="5"/>
      <c r="E396" s="5"/>
      <c r="F396" s="5"/>
      <c r="G396" s="5"/>
      <c r="H396" s="306"/>
      <c r="I396" s="306"/>
      <c r="J396" s="5"/>
      <c r="K396" s="5"/>
      <c r="L396" s="5"/>
      <c r="M396" s="5"/>
      <c r="N396" s="5"/>
      <c r="O396" s="5"/>
      <c r="P396" s="57"/>
      <c r="Q396" s="5"/>
      <c r="R396" s="5"/>
      <c r="S396" s="5"/>
      <c r="T396" s="5"/>
      <c r="U396" s="5"/>
      <c r="V396" s="5"/>
      <c r="W396" s="5"/>
      <c r="X396" s="5"/>
      <c r="Y396" s="5"/>
      <c r="Z396" s="5"/>
      <c r="AA396" s="5"/>
    </row>
    <row r="397" spans="1:27" ht="12.75" customHeight="1">
      <c r="A397" s="5"/>
      <c r="B397" s="5"/>
      <c r="C397" s="5"/>
      <c r="D397" s="5"/>
      <c r="E397" s="5"/>
      <c r="F397" s="5"/>
      <c r="G397" s="5"/>
      <c r="H397" s="306"/>
      <c r="I397" s="306"/>
      <c r="J397" s="5"/>
      <c r="K397" s="5"/>
      <c r="L397" s="5"/>
      <c r="M397" s="5"/>
      <c r="N397" s="5"/>
      <c r="O397" s="5"/>
      <c r="P397" s="57"/>
      <c r="Q397" s="5"/>
      <c r="R397" s="5"/>
      <c r="S397" s="5"/>
      <c r="T397" s="5"/>
      <c r="U397" s="5"/>
      <c r="V397" s="5"/>
      <c r="W397" s="5"/>
      <c r="X397" s="5"/>
      <c r="Y397" s="5"/>
      <c r="Z397" s="5"/>
      <c r="AA397" s="5"/>
    </row>
    <row r="398" spans="1:27" ht="12.75" customHeight="1">
      <c r="A398" s="5"/>
      <c r="B398" s="5"/>
      <c r="C398" s="5"/>
      <c r="D398" s="5"/>
      <c r="E398" s="5"/>
      <c r="F398" s="5"/>
      <c r="G398" s="5"/>
      <c r="H398" s="306"/>
      <c r="I398" s="306"/>
      <c r="J398" s="5"/>
      <c r="K398" s="5"/>
      <c r="L398" s="5"/>
      <c r="M398" s="5"/>
      <c r="N398" s="5"/>
      <c r="O398" s="5"/>
      <c r="P398" s="57"/>
      <c r="Q398" s="5"/>
      <c r="R398" s="5"/>
      <c r="S398" s="5"/>
      <c r="T398" s="5"/>
      <c r="U398" s="5"/>
      <c r="V398" s="5"/>
      <c r="W398" s="5"/>
      <c r="X398" s="5"/>
      <c r="Y398" s="5"/>
      <c r="Z398" s="5"/>
      <c r="AA398" s="5"/>
    </row>
    <row r="399" spans="1:27" ht="12.75" customHeight="1">
      <c r="A399" s="5"/>
      <c r="B399" s="5"/>
      <c r="C399" s="5"/>
      <c r="D399" s="5"/>
      <c r="E399" s="5"/>
      <c r="F399" s="5"/>
      <c r="G399" s="5"/>
      <c r="H399" s="306"/>
      <c r="I399" s="306"/>
      <c r="J399" s="5"/>
      <c r="K399" s="5"/>
      <c r="L399" s="5"/>
      <c r="M399" s="5"/>
      <c r="N399" s="5"/>
      <c r="O399" s="5"/>
      <c r="P399" s="57"/>
      <c r="Q399" s="5"/>
      <c r="R399" s="5"/>
      <c r="S399" s="5"/>
      <c r="T399" s="5"/>
      <c r="U399" s="5"/>
      <c r="V399" s="5"/>
      <c r="W399" s="5"/>
      <c r="X399" s="5"/>
      <c r="Y399" s="5"/>
      <c r="Z399" s="5"/>
      <c r="AA399" s="5"/>
    </row>
    <row r="400" spans="1:27" ht="12.75" customHeight="1">
      <c r="A400" s="5"/>
      <c r="B400" s="5"/>
      <c r="C400" s="5"/>
      <c r="D400" s="5"/>
      <c r="E400" s="5"/>
      <c r="F400" s="5"/>
      <c r="G400" s="5"/>
      <c r="H400" s="306"/>
      <c r="I400" s="306"/>
      <c r="J400" s="5"/>
      <c r="K400" s="5"/>
      <c r="L400" s="5"/>
      <c r="M400" s="5"/>
      <c r="N400" s="5"/>
      <c r="O400" s="5"/>
      <c r="P400" s="57"/>
      <c r="Q400" s="5"/>
      <c r="R400" s="5"/>
      <c r="S400" s="5"/>
      <c r="T400" s="5"/>
      <c r="U400" s="5"/>
      <c r="V400" s="5"/>
      <c r="W400" s="5"/>
      <c r="X400" s="5"/>
      <c r="Y400" s="5"/>
      <c r="Z400" s="5"/>
      <c r="AA400" s="5"/>
    </row>
    <row r="401" spans="1:27" ht="12.75" customHeight="1">
      <c r="A401" s="5"/>
      <c r="B401" s="5"/>
      <c r="C401" s="5"/>
      <c r="D401" s="5"/>
      <c r="E401" s="5"/>
      <c r="F401" s="5"/>
      <c r="G401" s="5"/>
      <c r="H401" s="306"/>
      <c r="I401" s="306"/>
      <c r="J401" s="5"/>
      <c r="K401" s="5"/>
      <c r="L401" s="5"/>
      <c r="M401" s="5"/>
      <c r="N401" s="5"/>
      <c r="O401" s="5"/>
      <c r="P401" s="57"/>
      <c r="Q401" s="5"/>
      <c r="R401" s="5"/>
      <c r="S401" s="5"/>
      <c r="T401" s="5"/>
      <c r="U401" s="5"/>
      <c r="V401" s="5"/>
      <c r="W401" s="5"/>
      <c r="X401" s="5"/>
      <c r="Y401" s="5"/>
      <c r="Z401" s="5"/>
      <c r="AA401" s="5"/>
    </row>
    <row r="402" spans="1:27" ht="12.75" customHeight="1">
      <c r="A402" s="5"/>
      <c r="B402" s="5"/>
      <c r="C402" s="5"/>
      <c r="D402" s="5"/>
      <c r="E402" s="5"/>
      <c r="F402" s="5"/>
      <c r="G402" s="5"/>
      <c r="H402" s="306"/>
      <c r="I402" s="306"/>
      <c r="J402" s="5"/>
      <c r="K402" s="5"/>
      <c r="L402" s="5"/>
      <c r="M402" s="5"/>
      <c r="N402" s="5"/>
      <c r="O402" s="5"/>
      <c r="P402" s="57"/>
      <c r="Q402" s="5"/>
      <c r="R402" s="5"/>
      <c r="S402" s="5"/>
      <c r="T402" s="5"/>
      <c r="U402" s="5"/>
      <c r="V402" s="5"/>
      <c r="W402" s="5"/>
      <c r="X402" s="5"/>
      <c r="Y402" s="5"/>
      <c r="Z402" s="5"/>
      <c r="AA402" s="5"/>
    </row>
    <row r="403" spans="1:27" ht="12.75" customHeight="1">
      <c r="A403" s="5"/>
      <c r="B403" s="5"/>
      <c r="C403" s="5"/>
      <c r="D403" s="5"/>
      <c r="E403" s="5"/>
      <c r="F403" s="5"/>
      <c r="G403" s="5"/>
      <c r="H403" s="306"/>
      <c r="I403" s="306"/>
      <c r="J403" s="5"/>
      <c r="K403" s="5"/>
      <c r="L403" s="5"/>
      <c r="M403" s="5"/>
      <c r="N403" s="5"/>
      <c r="O403" s="5"/>
      <c r="P403" s="57"/>
      <c r="Q403" s="5"/>
      <c r="R403" s="5"/>
      <c r="S403" s="5"/>
      <c r="T403" s="5"/>
      <c r="U403" s="5"/>
      <c r="V403" s="5"/>
      <c r="W403" s="5"/>
      <c r="X403" s="5"/>
      <c r="Y403" s="5"/>
      <c r="Z403" s="5"/>
      <c r="AA403" s="5"/>
    </row>
    <row r="404" spans="1:27" ht="12.75" customHeight="1">
      <c r="A404" s="5"/>
      <c r="B404" s="5"/>
      <c r="C404" s="5"/>
      <c r="D404" s="5"/>
      <c r="E404" s="5"/>
      <c r="F404" s="5"/>
      <c r="G404" s="5"/>
      <c r="H404" s="306"/>
      <c r="I404" s="306"/>
      <c r="J404" s="5"/>
      <c r="K404" s="5"/>
      <c r="L404" s="5"/>
      <c r="M404" s="5"/>
      <c r="N404" s="5"/>
      <c r="O404" s="5"/>
      <c r="P404" s="57"/>
      <c r="Q404" s="5"/>
      <c r="R404" s="5"/>
      <c r="S404" s="5"/>
      <c r="T404" s="5"/>
      <c r="U404" s="5"/>
      <c r="V404" s="5"/>
      <c r="W404" s="5"/>
      <c r="X404" s="5"/>
      <c r="Y404" s="5"/>
      <c r="Z404" s="5"/>
      <c r="AA404" s="5"/>
    </row>
    <row r="405" spans="1:27" ht="12.75" customHeight="1">
      <c r="A405" s="5"/>
      <c r="B405" s="5"/>
      <c r="C405" s="5"/>
      <c r="D405" s="5"/>
      <c r="E405" s="5"/>
      <c r="F405" s="5"/>
      <c r="G405" s="5"/>
      <c r="H405" s="306"/>
      <c r="I405" s="306"/>
      <c r="J405" s="5"/>
      <c r="K405" s="5"/>
      <c r="L405" s="5"/>
      <c r="M405" s="5"/>
      <c r="N405" s="5"/>
      <c r="O405" s="5"/>
      <c r="P405" s="57"/>
      <c r="Q405" s="5"/>
      <c r="R405" s="5"/>
      <c r="S405" s="5"/>
      <c r="T405" s="5"/>
      <c r="U405" s="5"/>
      <c r="V405" s="5"/>
      <c r="W405" s="5"/>
      <c r="X405" s="5"/>
      <c r="Y405" s="5"/>
      <c r="Z405" s="5"/>
      <c r="AA405" s="5"/>
    </row>
    <row r="406" spans="1:27" ht="12.75" customHeight="1">
      <c r="A406" s="5"/>
      <c r="B406" s="5"/>
      <c r="C406" s="5"/>
      <c r="D406" s="5"/>
      <c r="E406" s="5"/>
      <c r="F406" s="5"/>
      <c r="G406" s="5"/>
      <c r="H406" s="306"/>
      <c r="I406" s="306"/>
      <c r="J406" s="5"/>
      <c r="K406" s="5"/>
      <c r="L406" s="5"/>
      <c r="M406" s="5"/>
      <c r="N406" s="5"/>
      <c r="O406" s="5"/>
      <c r="P406" s="57"/>
      <c r="Q406" s="5"/>
      <c r="R406" s="5"/>
      <c r="S406" s="5"/>
      <c r="T406" s="5"/>
      <c r="U406" s="5"/>
      <c r="V406" s="5"/>
      <c r="W406" s="5"/>
      <c r="X406" s="5"/>
      <c r="Y406" s="5"/>
      <c r="Z406" s="5"/>
      <c r="AA406" s="5"/>
    </row>
    <row r="407" spans="1:27" ht="12.75" customHeight="1">
      <c r="A407" s="5"/>
      <c r="B407" s="5"/>
      <c r="C407" s="5"/>
      <c r="D407" s="5"/>
      <c r="E407" s="5"/>
      <c r="F407" s="5"/>
      <c r="G407" s="5"/>
      <c r="H407" s="306"/>
      <c r="I407" s="306"/>
      <c r="J407" s="5"/>
      <c r="K407" s="5"/>
      <c r="L407" s="5"/>
      <c r="M407" s="5"/>
      <c r="N407" s="5"/>
      <c r="O407" s="5"/>
      <c r="P407" s="57"/>
      <c r="Q407" s="5"/>
      <c r="R407" s="5"/>
      <c r="S407" s="5"/>
      <c r="T407" s="5"/>
      <c r="U407" s="5"/>
      <c r="V407" s="5"/>
      <c r="W407" s="5"/>
      <c r="X407" s="5"/>
      <c r="Y407" s="5"/>
      <c r="Z407" s="5"/>
      <c r="AA407" s="5"/>
    </row>
    <row r="408" spans="1:27" ht="12.75" customHeight="1">
      <c r="A408" s="5"/>
      <c r="B408" s="5"/>
      <c r="C408" s="5"/>
      <c r="D408" s="5"/>
      <c r="E408" s="5"/>
      <c r="F408" s="5"/>
      <c r="G408" s="5"/>
      <c r="H408" s="306"/>
      <c r="I408" s="306"/>
      <c r="J408" s="5"/>
      <c r="K408" s="5"/>
      <c r="L408" s="5"/>
      <c r="M408" s="5"/>
      <c r="N408" s="5"/>
      <c r="O408" s="5"/>
      <c r="P408" s="57"/>
      <c r="Q408" s="5"/>
      <c r="R408" s="5"/>
      <c r="S408" s="5"/>
      <c r="T408" s="5"/>
      <c r="U408" s="5"/>
      <c r="V408" s="5"/>
      <c r="W408" s="5"/>
      <c r="X408" s="5"/>
      <c r="Y408" s="5"/>
      <c r="Z408" s="5"/>
      <c r="AA408" s="5"/>
    </row>
    <row r="409" spans="1:27" ht="12.75" customHeight="1">
      <c r="A409" s="5"/>
      <c r="B409" s="5"/>
      <c r="C409" s="5"/>
      <c r="D409" s="5"/>
      <c r="E409" s="5"/>
      <c r="F409" s="5"/>
      <c r="G409" s="5"/>
      <c r="H409" s="306"/>
      <c r="I409" s="306"/>
      <c r="J409" s="5"/>
      <c r="K409" s="5"/>
      <c r="L409" s="5"/>
      <c r="M409" s="5"/>
      <c r="N409" s="5"/>
      <c r="O409" s="5"/>
      <c r="P409" s="57"/>
      <c r="Q409" s="5"/>
      <c r="R409" s="5"/>
      <c r="S409" s="5"/>
      <c r="T409" s="5"/>
      <c r="U409" s="5"/>
      <c r="V409" s="5"/>
      <c r="W409" s="5"/>
      <c r="X409" s="5"/>
      <c r="Y409" s="5"/>
      <c r="Z409" s="5"/>
      <c r="AA409" s="5"/>
    </row>
    <row r="410" spans="1:27" ht="12.75" customHeight="1">
      <c r="A410" s="5"/>
      <c r="B410" s="5"/>
      <c r="C410" s="5"/>
      <c r="D410" s="5"/>
      <c r="E410" s="5"/>
      <c r="F410" s="5"/>
      <c r="G410" s="5"/>
      <c r="H410" s="306"/>
      <c r="I410" s="306"/>
      <c r="J410" s="5"/>
      <c r="K410" s="5"/>
      <c r="L410" s="5"/>
      <c r="M410" s="5"/>
      <c r="N410" s="5"/>
      <c r="O410" s="5"/>
      <c r="P410" s="57"/>
      <c r="Q410" s="5"/>
      <c r="R410" s="5"/>
      <c r="S410" s="5"/>
      <c r="T410" s="5"/>
      <c r="U410" s="5"/>
      <c r="V410" s="5"/>
      <c r="W410" s="5"/>
      <c r="X410" s="5"/>
      <c r="Y410" s="5"/>
      <c r="Z410" s="5"/>
      <c r="AA410" s="5"/>
    </row>
    <row r="411" spans="1:27" ht="12.75" customHeight="1">
      <c r="A411" s="5"/>
      <c r="B411" s="5"/>
      <c r="C411" s="5"/>
      <c r="D411" s="5"/>
      <c r="E411" s="5"/>
      <c r="F411" s="5"/>
      <c r="G411" s="5"/>
      <c r="H411" s="306"/>
      <c r="I411" s="306"/>
      <c r="J411" s="5"/>
      <c r="K411" s="5"/>
      <c r="L411" s="5"/>
      <c r="M411" s="5"/>
      <c r="N411" s="5"/>
      <c r="O411" s="5"/>
      <c r="P411" s="57"/>
      <c r="Q411" s="5"/>
      <c r="R411" s="5"/>
      <c r="S411" s="5"/>
      <c r="T411" s="5"/>
      <c r="U411" s="5"/>
      <c r="V411" s="5"/>
      <c r="W411" s="5"/>
      <c r="X411" s="5"/>
      <c r="Y411" s="5"/>
      <c r="Z411" s="5"/>
      <c r="AA411" s="5"/>
    </row>
    <row r="412" spans="1:27" ht="12.75" customHeight="1">
      <c r="A412" s="5"/>
      <c r="B412" s="5"/>
      <c r="C412" s="5"/>
      <c r="D412" s="5"/>
      <c r="E412" s="5"/>
      <c r="F412" s="5"/>
      <c r="G412" s="5"/>
      <c r="H412" s="306"/>
      <c r="I412" s="306"/>
      <c r="J412" s="5"/>
      <c r="K412" s="5"/>
      <c r="L412" s="5"/>
      <c r="M412" s="5"/>
      <c r="N412" s="5"/>
      <c r="O412" s="5"/>
      <c r="P412" s="57"/>
      <c r="Q412" s="5"/>
      <c r="R412" s="5"/>
      <c r="S412" s="5"/>
      <c r="T412" s="5"/>
      <c r="U412" s="5"/>
      <c r="V412" s="5"/>
      <c r="W412" s="5"/>
      <c r="X412" s="5"/>
      <c r="Y412" s="5"/>
      <c r="Z412" s="5"/>
      <c r="AA412" s="5"/>
    </row>
    <row r="413" spans="1:27" ht="12.75" customHeight="1">
      <c r="A413" s="5"/>
      <c r="B413" s="5"/>
      <c r="C413" s="5"/>
      <c r="D413" s="5"/>
      <c r="E413" s="5"/>
      <c r="F413" s="5"/>
      <c r="G413" s="5"/>
      <c r="H413" s="306"/>
      <c r="I413" s="306"/>
      <c r="J413" s="5"/>
      <c r="K413" s="5"/>
      <c r="L413" s="5"/>
      <c r="M413" s="5"/>
      <c r="N413" s="5"/>
      <c r="O413" s="5"/>
      <c r="P413" s="57"/>
      <c r="Q413" s="5"/>
      <c r="R413" s="5"/>
      <c r="S413" s="5"/>
      <c r="T413" s="5"/>
      <c r="U413" s="5"/>
      <c r="V413" s="5"/>
      <c r="W413" s="5"/>
      <c r="X413" s="5"/>
      <c r="Y413" s="5"/>
      <c r="Z413" s="5"/>
      <c r="AA413" s="5"/>
    </row>
    <row r="414" spans="1:27" ht="12.75" customHeight="1">
      <c r="A414" s="5"/>
      <c r="B414" s="5"/>
      <c r="C414" s="5"/>
      <c r="D414" s="5"/>
      <c r="E414" s="5"/>
      <c r="F414" s="5"/>
      <c r="G414" s="5"/>
      <c r="H414" s="306"/>
      <c r="I414" s="306"/>
      <c r="J414" s="5"/>
      <c r="K414" s="5"/>
      <c r="L414" s="5"/>
      <c r="M414" s="5"/>
      <c r="N414" s="5"/>
      <c r="O414" s="5"/>
      <c r="P414" s="57"/>
      <c r="Q414" s="5"/>
      <c r="R414" s="5"/>
      <c r="S414" s="5"/>
      <c r="T414" s="5"/>
      <c r="U414" s="5"/>
      <c r="V414" s="5"/>
      <c r="W414" s="5"/>
      <c r="X414" s="5"/>
      <c r="Y414" s="5"/>
      <c r="Z414" s="5"/>
      <c r="AA414" s="5"/>
    </row>
    <row r="415" spans="1:27" ht="12.75" customHeight="1">
      <c r="A415" s="5"/>
      <c r="B415" s="5"/>
      <c r="C415" s="5"/>
      <c r="D415" s="5"/>
      <c r="E415" s="5"/>
      <c r="F415" s="5"/>
      <c r="G415" s="5"/>
      <c r="H415" s="306"/>
      <c r="I415" s="306"/>
      <c r="J415" s="5"/>
      <c r="K415" s="5"/>
      <c r="L415" s="5"/>
      <c r="M415" s="5"/>
      <c r="N415" s="5"/>
      <c r="O415" s="5"/>
      <c r="P415" s="57"/>
      <c r="Q415" s="5"/>
      <c r="R415" s="5"/>
      <c r="S415" s="5"/>
      <c r="T415" s="5"/>
      <c r="U415" s="5"/>
      <c r="V415" s="5"/>
      <c r="W415" s="5"/>
      <c r="X415" s="5"/>
      <c r="Y415" s="5"/>
      <c r="Z415" s="5"/>
      <c r="AA415" s="5"/>
    </row>
    <row r="416" spans="1:27" ht="12.75" customHeight="1">
      <c r="A416" s="5"/>
      <c r="B416" s="5"/>
      <c r="C416" s="5"/>
      <c r="D416" s="5"/>
      <c r="E416" s="5"/>
      <c r="F416" s="5"/>
      <c r="G416" s="5"/>
      <c r="H416" s="306"/>
      <c r="I416" s="306"/>
      <c r="J416" s="5"/>
      <c r="K416" s="5"/>
      <c r="L416" s="5"/>
      <c r="M416" s="5"/>
      <c r="N416" s="5"/>
      <c r="O416" s="5"/>
      <c r="P416" s="57"/>
      <c r="Q416" s="5"/>
      <c r="R416" s="5"/>
      <c r="S416" s="5"/>
      <c r="T416" s="5"/>
      <c r="U416" s="5"/>
      <c r="V416" s="5"/>
      <c r="W416" s="5"/>
      <c r="X416" s="5"/>
      <c r="Y416" s="5"/>
      <c r="Z416" s="5"/>
      <c r="AA416" s="5"/>
    </row>
    <row r="417" spans="1:27" ht="12.75" customHeight="1">
      <c r="A417" s="5"/>
      <c r="B417" s="5"/>
      <c r="C417" s="5"/>
      <c r="D417" s="5"/>
      <c r="E417" s="5"/>
      <c r="F417" s="5"/>
      <c r="G417" s="5"/>
      <c r="H417" s="306"/>
      <c r="I417" s="306"/>
      <c r="J417" s="5"/>
      <c r="K417" s="5"/>
      <c r="L417" s="5"/>
      <c r="M417" s="5"/>
      <c r="N417" s="5"/>
      <c r="O417" s="5"/>
      <c r="P417" s="57"/>
      <c r="Q417" s="5"/>
      <c r="R417" s="5"/>
      <c r="S417" s="5"/>
      <c r="T417" s="5"/>
      <c r="U417" s="5"/>
      <c r="V417" s="5"/>
      <c r="W417" s="5"/>
      <c r="X417" s="5"/>
      <c r="Y417" s="5"/>
      <c r="Z417" s="5"/>
      <c r="AA417" s="5"/>
    </row>
    <row r="418" spans="1:27" ht="12.75" customHeight="1">
      <c r="A418" s="5"/>
      <c r="B418" s="5"/>
      <c r="C418" s="5"/>
      <c r="D418" s="5"/>
      <c r="E418" s="5"/>
      <c r="F418" s="5"/>
      <c r="G418" s="5"/>
      <c r="H418" s="306"/>
      <c r="I418" s="306"/>
      <c r="J418" s="5"/>
      <c r="K418" s="5"/>
      <c r="L418" s="5"/>
      <c r="M418" s="5"/>
      <c r="N418" s="5"/>
      <c r="O418" s="5"/>
      <c r="P418" s="57"/>
      <c r="Q418" s="5"/>
      <c r="R418" s="5"/>
      <c r="S418" s="5"/>
      <c r="T418" s="5"/>
      <c r="U418" s="5"/>
      <c r="V418" s="5"/>
      <c r="W418" s="5"/>
      <c r="X418" s="5"/>
      <c r="Y418" s="5"/>
      <c r="Z418" s="5"/>
      <c r="AA418" s="5"/>
    </row>
    <row r="419" spans="1:27" ht="12.75" customHeight="1">
      <c r="A419" s="5"/>
      <c r="B419" s="5"/>
      <c r="C419" s="5"/>
      <c r="D419" s="5"/>
      <c r="E419" s="5"/>
      <c r="F419" s="5"/>
      <c r="G419" s="5"/>
      <c r="H419" s="306"/>
      <c r="I419" s="306"/>
      <c r="J419" s="5"/>
      <c r="K419" s="5"/>
      <c r="L419" s="5"/>
      <c r="M419" s="5"/>
      <c r="N419" s="5"/>
      <c r="O419" s="5"/>
      <c r="P419" s="57"/>
      <c r="Q419" s="5"/>
      <c r="R419" s="5"/>
      <c r="S419" s="5"/>
      <c r="T419" s="5"/>
      <c r="U419" s="5"/>
      <c r="V419" s="5"/>
      <c r="W419" s="5"/>
      <c r="X419" s="5"/>
      <c r="Y419" s="5"/>
      <c r="Z419" s="5"/>
      <c r="AA419" s="5"/>
    </row>
    <row r="420" spans="1:27" ht="12.75" customHeight="1">
      <c r="A420" s="5"/>
      <c r="B420" s="5"/>
      <c r="C420" s="5"/>
      <c r="D420" s="5"/>
      <c r="E420" s="5"/>
      <c r="F420" s="5"/>
      <c r="G420" s="5"/>
      <c r="H420" s="306"/>
      <c r="I420" s="306"/>
      <c r="J420" s="5"/>
      <c r="K420" s="5"/>
      <c r="L420" s="5"/>
      <c r="M420" s="5"/>
      <c r="N420" s="5"/>
      <c r="O420" s="5"/>
      <c r="P420" s="57"/>
      <c r="Q420" s="5"/>
      <c r="R420" s="5"/>
      <c r="S420" s="5"/>
      <c r="T420" s="5"/>
      <c r="U420" s="5"/>
      <c r="V420" s="5"/>
      <c r="W420" s="5"/>
      <c r="X420" s="5"/>
      <c r="Y420" s="5"/>
      <c r="Z420" s="5"/>
      <c r="AA420" s="5"/>
    </row>
    <row r="421" spans="1:27" ht="12.75" customHeight="1">
      <c r="A421" s="5"/>
      <c r="B421" s="5"/>
      <c r="C421" s="5"/>
      <c r="D421" s="5"/>
      <c r="E421" s="5"/>
      <c r="F421" s="5"/>
      <c r="G421" s="5"/>
      <c r="H421" s="306"/>
      <c r="I421" s="306"/>
      <c r="J421" s="5"/>
      <c r="K421" s="5"/>
      <c r="L421" s="5"/>
      <c r="M421" s="5"/>
      <c r="N421" s="5"/>
      <c r="O421" s="5"/>
      <c r="P421" s="57"/>
      <c r="Q421" s="5"/>
      <c r="R421" s="5"/>
      <c r="S421" s="5"/>
      <c r="T421" s="5"/>
      <c r="U421" s="5"/>
      <c r="V421" s="5"/>
      <c r="W421" s="5"/>
      <c r="X421" s="5"/>
      <c r="Y421" s="5"/>
      <c r="Z421" s="5"/>
      <c r="AA421" s="5"/>
    </row>
    <row r="422" spans="1:27" ht="12.75" customHeight="1">
      <c r="A422" s="5"/>
      <c r="B422" s="5"/>
      <c r="C422" s="5"/>
      <c r="D422" s="5"/>
      <c r="E422" s="5"/>
      <c r="F422" s="5"/>
      <c r="G422" s="5"/>
      <c r="H422" s="306"/>
      <c r="I422" s="306"/>
      <c r="J422" s="5"/>
      <c r="K422" s="5"/>
      <c r="L422" s="5"/>
      <c r="M422" s="5"/>
      <c r="N422" s="5"/>
      <c r="O422" s="5"/>
      <c r="P422" s="57"/>
      <c r="Q422" s="5"/>
      <c r="R422" s="5"/>
      <c r="S422" s="5"/>
      <c r="T422" s="5"/>
      <c r="U422" s="5"/>
      <c r="V422" s="5"/>
      <c r="W422" s="5"/>
      <c r="X422" s="5"/>
      <c r="Y422" s="5"/>
      <c r="Z422" s="5"/>
      <c r="AA422" s="5"/>
    </row>
    <row r="423" spans="1:27" ht="12.75" customHeight="1">
      <c r="A423" s="5"/>
      <c r="B423" s="5"/>
      <c r="C423" s="5"/>
      <c r="D423" s="5"/>
      <c r="E423" s="5"/>
      <c r="F423" s="5"/>
      <c r="G423" s="5"/>
      <c r="H423" s="306"/>
      <c r="I423" s="306"/>
      <c r="J423" s="5"/>
      <c r="K423" s="5"/>
      <c r="L423" s="5"/>
      <c r="M423" s="5"/>
      <c r="N423" s="5"/>
      <c r="O423" s="5"/>
      <c r="P423" s="57"/>
      <c r="Q423" s="5"/>
      <c r="R423" s="5"/>
      <c r="S423" s="5"/>
      <c r="T423" s="5"/>
      <c r="U423" s="5"/>
      <c r="V423" s="5"/>
      <c r="W423" s="5"/>
      <c r="X423" s="5"/>
      <c r="Y423" s="5"/>
      <c r="Z423" s="5"/>
      <c r="AA423" s="5"/>
    </row>
    <row r="424" spans="1:27" ht="12.75" customHeight="1">
      <c r="A424" s="5"/>
      <c r="B424" s="5"/>
      <c r="C424" s="5"/>
      <c r="D424" s="5"/>
      <c r="E424" s="5"/>
      <c r="F424" s="5"/>
      <c r="G424" s="5"/>
      <c r="H424" s="306"/>
      <c r="I424" s="306"/>
      <c r="J424" s="5"/>
      <c r="K424" s="5"/>
      <c r="L424" s="5"/>
      <c r="M424" s="5"/>
      <c r="N424" s="5"/>
      <c r="O424" s="5"/>
      <c r="P424" s="57"/>
      <c r="Q424" s="5"/>
      <c r="R424" s="5"/>
      <c r="S424" s="5"/>
      <c r="T424" s="5"/>
      <c r="U424" s="5"/>
      <c r="V424" s="5"/>
      <c r="W424" s="5"/>
      <c r="X424" s="5"/>
      <c r="Y424" s="5"/>
      <c r="Z424" s="5"/>
      <c r="AA424" s="5"/>
    </row>
    <row r="425" spans="1:27" ht="12.75" customHeight="1">
      <c r="A425" s="5"/>
      <c r="B425" s="5"/>
      <c r="C425" s="5"/>
      <c r="D425" s="5"/>
      <c r="E425" s="5"/>
      <c r="F425" s="5"/>
      <c r="G425" s="5"/>
      <c r="H425" s="306"/>
      <c r="I425" s="306"/>
      <c r="J425" s="5"/>
      <c r="K425" s="5"/>
      <c r="L425" s="5"/>
      <c r="M425" s="5"/>
      <c r="N425" s="5"/>
      <c r="O425" s="5"/>
      <c r="P425" s="57"/>
      <c r="Q425" s="5"/>
      <c r="R425" s="5"/>
      <c r="S425" s="5"/>
      <c r="T425" s="5"/>
      <c r="U425" s="5"/>
      <c r="V425" s="5"/>
      <c r="W425" s="5"/>
      <c r="X425" s="5"/>
      <c r="Y425" s="5"/>
      <c r="Z425" s="5"/>
      <c r="AA425" s="5"/>
    </row>
    <row r="426" spans="1:27" ht="12.75" customHeight="1">
      <c r="A426" s="5"/>
      <c r="B426" s="5"/>
      <c r="C426" s="5"/>
      <c r="D426" s="5"/>
      <c r="E426" s="5"/>
      <c r="F426" s="5"/>
      <c r="G426" s="5"/>
      <c r="H426" s="306"/>
      <c r="I426" s="306"/>
      <c r="J426" s="5"/>
      <c r="K426" s="5"/>
      <c r="L426" s="5"/>
      <c r="M426" s="5"/>
      <c r="N426" s="5"/>
      <c r="O426" s="5"/>
      <c r="P426" s="57"/>
      <c r="Q426" s="5"/>
      <c r="R426" s="5"/>
      <c r="S426" s="5"/>
      <c r="T426" s="5"/>
      <c r="U426" s="5"/>
      <c r="V426" s="5"/>
      <c r="W426" s="5"/>
      <c r="X426" s="5"/>
      <c r="Y426" s="5"/>
      <c r="Z426" s="5"/>
      <c r="AA426" s="5"/>
    </row>
    <row r="427" spans="1:27" ht="12.75" customHeight="1">
      <c r="A427" s="5"/>
      <c r="B427" s="5"/>
      <c r="C427" s="5"/>
      <c r="D427" s="5"/>
      <c r="E427" s="5"/>
      <c r="F427" s="5"/>
      <c r="G427" s="5"/>
      <c r="H427" s="306"/>
      <c r="I427" s="306"/>
      <c r="J427" s="5"/>
      <c r="K427" s="5"/>
      <c r="L427" s="5"/>
      <c r="M427" s="5"/>
      <c r="N427" s="5"/>
      <c r="O427" s="5"/>
      <c r="P427" s="57"/>
      <c r="Q427" s="5"/>
      <c r="R427" s="5"/>
      <c r="S427" s="5"/>
      <c r="T427" s="5"/>
      <c r="U427" s="5"/>
      <c r="V427" s="5"/>
      <c r="W427" s="5"/>
      <c r="X427" s="5"/>
      <c r="Y427" s="5"/>
      <c r="Z427" s="5"/>
      <c r="AA427" s="5"/>
    </row>
    <row r="428" spans="1:27" ht="12.75" customHeight="1">
      <c r="A428" s="5"/>
      <c r="B428" s="5"/>
      <c r="C428" s="5"/>
      <c r="D428" s="5"/>
      <c r="E428" s="5"/>
      <c r="F428" s="5"/>
      <c r="G428" s="5"/>
      <c r="H428" s="306"/>
      <c r="I428" s="306"/>
      <c r="J428" s="5"/>
      <c r="K428" s="5"/>
      <c r="L428" s="5"/>
      <c r="M428" s="5"/>
      <c r="N428" s="5"/>
      <c r="O428" s="5"/>
      <c r="P428" s="57"/>
      <c r="Q428" s="5"/>
      <c r="R428" s="5"/>
      <c r="S428" s="5"/>
      <c r="T428" s="5"/>
      <c r="U428" s="5"/>
      <c r="V428" s="5"/>
      <c r="W428" s="5"/>
      <c r="X428" s="5"/>
      <c r="Y428" s="5"/>
      <c r="Z428" s="5"/>
      <c r="AA428" s="5"/>
    </row>
    <row r="429" spans="1:27" ht="12.75" customHeight="1">
      <c r="A429" s="5"/>
      <c r="B429" s="5"/>
      <c r="C429" s="5"/>
      <c r="D429" s="5"/>
      <c r="E429" s="5"/>
      <c r="F429" s="5"/>
      <c r="G429" s="5"/>
      <c r="H429" s="306"/>
      <c r="I429" s="306"/>
      <c r="J429" s="5"/>
      <c r="K429" s="5"/>
      <c r="L429" s="5"/>
      <c r="M429" s="5"/>
      <c r="N429" s="5"/>
      <c r="O429" s="5"/>
      <c r="P429" s="57"/>
      <c r="Q429" s="5"/>
      <c r="R429" s="5"/>
      <c r="S429" s="5"/>
      <c r="T429" s="5"/>
      <c r="U429" s="5"/>
      <c r="V429" s="5"/>
      <c r="W429" s="5"/>
      <c r="X429" s="5"/>
      <c r="Y429" s="5"/>
      <c r="Z429" s="5"/>
      <c r="AA429" s="5"/>
    </row>
    <row r="430" spans="1:27" ht="12.75" customHeight="1">
      <c r="A430" s="5"/>
      <c r="B430" s="5"/>
      <c r="C430" s="5"/>
      <c r="D430" s="5"/>
      <c r="E430" s="5"/>
      <c r="F430" s="5"/>
      <c r="G430" s="5"/>
      <c r="H430" s="306"/>
      <c r="I430" s="306"/>
      <c r="J430" s="5"/>
      <c r="K430" s="5"/>
      <c r="L430" s="5"/>
      <c r="M430" s="5"/>
      <c r="N430" s="5"/>
      <c r="O430" s="5"/>
      <c r="P430" s="57"/>
      <c r="Q430" s="5"/>
      <c r="R430" s="5"/>
      <c r="S430" s="5"/>
      <c r="T430" s="5"/>
      <c r="U430" s="5"/>
      <c r="V430" s="5"/>
      <c r="W430" s="5"/>
      <c r="X430" s="5"/>
      <c r="Y430" s="5"/>
      <c r="Z430" s="5"/>
      <c r="AA430" s="5"/>
    </row>
    <row r="431" spans="1:27" ht="12.75" customHeight="1">
      <c r="A431" s="5"/>
      <c r="B431" s="5"/>
      <c r="C431" s="5"/>
      <c r="D431" s="5"/>
      <c r="E431" s="5"/>
      <c r="F431" s="5"/>
      <c r="G431" s="5"/>
      <c r="H431" s="306"/>
      <c r="I431" s="306"/>
      <c r="J431" s="5"/>
      <c r="K431" s="5"/>
      <c r="L431" s="5"/>
      <c r="M431" s="5"/>
      <c r="N431" s="5"/>
      <c r="O431" s="5"/>
      <c r="P431" s="57"/>
      <c r="Q431" s="5"/>
      <c r="R431" s="5"/>
      <c r="S431" s="5"/>
      <c r="T431" s="5"/>
      <c r="U431" s="5"/>
      <c r="V431" s="5"/>
      <c r="W431" s="5"/>
      <c r="X431" s="5"/>
      <c r="Y431" s="5"/>
      <c r="Z431" s="5"/>
      <c r="AA431" s="5"/>
    </row>
    <row r="432" spans="1:27" ht="12.75" customHeight="1">
      <c r="A432" s="5"/>
      <c r="B432" s="5"/>
      <c r="C432" s="5"/>
      <c r="D432" s="5"/>
      <c r="E432" s="5"/>
      <c r="F432" s="5"/>
      <c r="G432" s="5"/>
      <c r="H432" s="306"/>
      <c r="I432" s="306"/>
      <c r="J432" s="5"/>
      <c r="K432" s="5"/>
      <c r="L432" s="5"/>
      <c r="M432" s="5"/>
      <c r="N432" s="5"/>
      <c r="O432" s="5"/>
      <c r="P432" s="57"/>
      <c r="Q432" s="5"/>
      <c r="R432" s="5"/>
      <c r="S432" s="5"/>
      <c r="T432" s="5"/>
      <c r="U432" s="5"/>
      <c r="V432" s="5"/>
      <c r="W432" s="5"/>
      <c r="X432" s="5"/>
      <c r="Y432" s="5"/>
      <c r="Z432" s="5"/>
      <c r="AA432" s="5"/>
    </row>
    <row r="433" spans="1:27" ht="12.75" customHeight="1">
      <c r="A433" s="5"/>
      <c r="B433" s="5"/>
      <c r="C433" s="5"/>
      <c r="D433" s="5"/>
      <c r="E433" s="5"/>
      <c r="F433" s="5"/>
      <c r="G433" s="5"/>
      <c r="H433" s="306"/>
      <c r="I433" s="306"/>
      <c r="J433" s="5"/>
      <c r="K433" s="5"/>
      <c r="L433" s="5"/>
      <c r="M433" s="5"/>
      <c r="N433" s="5"/>
      <c r="O433" s="5"/>
      <c r="P433" s="57"/>
      <c r="Q433" s="5"/>
      <c r="R433" s="5"/>
      <c r="S433" s="5"/>
      <c r="T433" s="5"/>
      <c r="U433" s="5"/>
      <c r="V433" s="5"/>
      <c r="W433" s="5"/>
      <c r="X433" s="5"/>
      <c r="Y433" s="5"/>
      <c r="Z433" s="5"/>
      <c r="AA433" s="5"/>
    </row>
    <row r="434" spans="1:27" ht="12.75" customHeight="1">
      <c r="A434" s="5"/>
      <c r="B434" s="5"/>
      <c r="C434" s="5"/>
      <c r="D434" s="5"/>
      <c r="E434" s="5"/>
      <c r="F434" s="5"/>
      <c r="G434" s="5"/>
      <c r="H434" s="306"/>
      <c r="I434" s="306"/>
      <c r="J434" s="5"/>
      <c r="K434" s="5"/>
      <c r="L434" s="5"/>
      <c r="M434" s="5"/>
      <c r="N434" s="5"/>
      <c r="O434" s="5"/>
      <c r="P434" s="57"/>
      <c r="Q434" s="5"/>
      <c r="R434" s="5"/>
      <c r="S434" s="5"/>
      <c r="T434" s="5"/>
      <c r="U434" s="5"/>
      <c r="V434" s="5"/>
      <c r="W434" s="5"/>
      <c r="X434" s="5"/>
      <c r="Y434" s="5"/>
      <c r="Z434" s="5"/>
      <c r="AA434" s="5"/>
    </row>
    <row r="435" spans="1:27" ht="12.75" customHeight="1">
      <c r="A435" s="5"/>
      <c r="B435" s="5"/>
      <c r="C435" s="5"/>
      <c r="D435" s="5"/>
      <c r="E435" s="5"/>
      <c r="F435" s="5"/>
      <c r="G435" s="5"/>
      <c r="H435" s="306"/>
      <c r="I435" s="306"/>
      <c r="J435" s="5"/>
      <c r="K435" s="5"/>
      <c r="L435" s="5"/>
      <c r="M435" s="5"/>
      <c r="N435" s="5"/>
      <c r="O435" s="5"/>
      <c r="P435" s="57"/>
      <c r="Q435" s="5"/>
      <c r="R435" s="5"/>
      <c r="S435" s="5"/>
      <c r="T435" s="5"/>
      <c r="U435" s="5"/>
      <c r="V435" s="5"/>
      <c r="W435" s="5"/>
      <c r="X435" s="5"/>
      <c r="Y435" s="5"/>
      <c r="Z435" s="5"/>
      <c r="AA435" s="5"/>
    </row>
    <row r="436" spans="1:27" ht="12.75" customHeight="1">
      <c r="A436" s="5"/>
      <c r="B436" s="5"/>
      <c r="C436" s="5"/>
      <c r="D436" s="5"/>
      <c r="E436" s="5"/>
      <c r="F436" s="5"/>
      <c r="G436" s="5"/>
      <c r="H436" s="306"/>
      <c r="I436" s="306"/>
      <c r="J436" s="5"/>
      <c r="K436" s="5"/>
      <c r="L436" s="5"/>
      <c r="M436" s="5"/>
      <c r="N436" s="5"/>
      <c r="O436" s="5"/>
      <c r="P436" s="57"/>
      <c r="Q436" s="5"/>
      <c r="R436" s="5"/>
      <c r="S436" s="5"/>
      <c r="T436" s="5"/>
      <c r="U436" s="5"/>
      <c r="V436" s="5"/>
      <c r="W436" s="5"/>
      <c r="X436" s="5"/>
      <c r="Y436" s="5"/>
      <c r="Z436" s="5"/>
      <c r="AA436" s="5"/>
    </row>
    <row r="437" spans="1:27" ht="12.75" customHeight="1">
      <c r="A437" s="5"/>
      <c r="B437" s="5"/>
      <c r="C437" s="5"/>
      <c r="D437" s="5"/>
      <c r="E437" s="5"/>
      <c r="F437" s="5"/>
      <c r="G437" s="5"/>
      <c r="H437" s="306"/>
      <c r="I437" s="306"/>
      <c r="J437" s="5"/>
      <c r="K437" s="5"/>
      <c r="L437" s="5"/>
      <c r="M437" s="5"/>
      <c r="N437" s="5"/>
      <c r="O437" s="5"/>
      <c r="P437" s="57"/>
      <c r="Q437" s="5"/>
      <c r="R437" s="5"/>
      <c r="S437" s="5"/>
      <c r="T437" s="5"/>
      <c r="U437" s="5"/>
      <c r="V437" s="5"/>
      <c r="W437" s="5"/>
      <c r="X437" s="5"/>
      <c r="Y437" s="5"/>
      <c r="Z437" s="5"/>
      <c r="AA437" s="5"/>
    </row>
    <row r="438" spans="1:27" ht="12.75" customHeight="1">
      <c r="A438" s="5"/>
      <c r="B438" s="5"/>
      <c r="C438" s="5"/>
      <c r="D438" s="5"/>
      <c r="E438" s="5"/>
      <c r="F438" s="5"/>
      <c r="G438" s="5"/>
      <c r="H438" s="306"/>
      <c r="I438" s="306"/>
      <c r="J438" s="5"/>
      <c r="K438" s="5"/>
      <c r="L438" s="5"/>
      <c r="M438" s="5"/>
      <c r="N438" s="5"/>
      <c r="O438" s="5"/>
      <c r="P438" s="57"/>
      <c r="Q438" s="5"/>
      <c r="R438" s="5"/>
      <c r="S438" s="5"/>
      <c r="T438" s="5"/>
      <c r="U438" s="5"/>
      <c r="V438" s="5"/>
      <c r="W438" s="5"/>
      <c r="X438" s="5"/>
      <c r="Y438" s="5"/>
      <c r="Z438" s="5"/>
      <c r="AA438" s="5"/>
    </row>
    <row r="439" spans="1:27" ht="12.75" customHeight="1">
      <c r="A439" s="5"/>
      <c r="B439" s="5"/>
      <c r="C439" s="5"/>
      <c r="D439" s="5"/>
      <c r="E439" s="5"/>
      <c r="F439" s="5"/>
      <c r="G439" s="5"/>
      <c r="H439" s="306"/>
      <c r="I439" s="306"/>
      <c r="J439" s="5"/>
      <c r="K439" s="5"/>
      <c r="L439" s="5"/>
      <c r="M439" s="5"/>
      <c r="N439" s="5"/>
      <c r="O439" s="5"/>
      <c r="P439" s="57"/>
      <c r="Q439" s="5"/>
      <c r="R439" s="5"/>
      <c r="S439" s="5"/>
      <c r="T439" s="5"/>
      <c r="U439" s="5"/>
      <c r="V439" s="5"/>
      <c r="W439" s="5"/>
      <c r="X439" s="5"/>
      <c r="Y439" s="5"/>
      <c r="Z439" s="5"/>
      <c r="AA439" s="5"/>
    </row>
    <row r="440" spans="1:27" ht="12.75" customHeight="1">
      <c r="A440" s="5"/>
      <c r="B440" s="5"/>
      <c r="C440" s="5"/>
      <c r="D440" s="5"/>
      <c r="E440" s="5"/>
      <c r="F440" s="5"/>
      <c r="G440" s="5"/>
      <c r="H440" s="306"/>
      <c r="I440" s="306"/>
      <c r="J440" s="5"/>
      <c r="K440" s="5"/>
      <c r="L440" s="5"/>
      <c r="M440" s="5"/>
      <c r="N440" s="5"/>
      <c r="O440" s="5"/>
      <c r="P440" s="57"/>
      <c r="Q440" s="5"/>
      <c r="R440" s="5"/>
      <c r="S440" s="5"/>
      <c r="T440" s="5"/>
      <c r="U440" s="5"/>
      <c r="V440" s="5"/>
      <c r="W440" s="5"/>
      <c r="X440" s="5"/>
      <c r="Y440" s="5"/>
      <c r="Z440" s="5"/>
      <c r="AA440" s="5"/>
    </row>
    <row r="441" spans="1:27" ht="12.75" customHeight="1">
      <c r="A441" s="5"/>
      <c r="B441" s="5"/>
      <c r="C441" s="5"/>
      <c r="D441" s="5"/>
      <c r="E441" s="5"/>
      <c r="F441" s="5"/>
      <c r="G441" s="5"/>
      <c r="H441" s="306"/>
      <c r="I441" s="306"/>
      <c r="J441" s="5"/>
      <c r="K441" s="5"/>
      <c r="L441" s="5"/>
      <c r="M441" s="5"/>
      <c r="N441" s="5"/>
      <c r="O441" s="5"/>
      <c r="P441" s="57"/>
      <c r="Q441" s="5"/>
      <c r="R441" s="5"/>
      <c r="S441" s="5"/>
      <c r="T441" s="5"/>
      <c r="U441" s="5"/>
      <c r="V441" s="5"/>
      <c r="W441" s="5"/>
      <c r="X441" s="5"/>
      <c r="Y441" s="5"/>
      <c r="Z441" s="5"/>
      <c r="AA441" s="5"/>
    </row>
    <row r="442" spans="1:27" ht="12.75" customHeight="1">
      <c r="A442" s="5"/>
      <c r="B442" s="5"/>
      <c r="C442" s="5"/>
      <c r="D442" s="5"/>
      <c r="E442" s="5"/>
      <c r="F442" s="5"/>
      <c r="G442" s="5"/>
      <c r="H442" s="306"/>
      <c r="I442" s="306"/>
      <c r="J442" s="5"/>
      <c r="K442" s="5"/>
      <c r="L442" s="5"/>
      <c r="M442" s="5"/>
      <c r="N442" s="5"/>
      <c r="O442" s="5"/>
      <c r="P442" s="57"/>
      <c r="Q442" s="5"/>
      <c r="R442" s="5"/>
      <c r="S442" s="5"/>
      <c r="T442" s="5"/>
      <c r="U442" s="5"/>
      <c r="V442" s="5"/>
      <c r="W442" s="5"/>
      <c r="X442" s="5"/>
      <c r="Y442" s="5"/>
      <c r="Z442" s="5"/>
      <c r="AA442" s="5"/>
    </row>
    <row r="443" spans="1:27" ht="12.75" customHeight="1">
      <c r="A443" s="5"/>
      <c r="B443" s="5"/>
      <c r="C443" s="5"/>
      <c r="D443" s="5"/>
      <c r="E443" s="5"/>
      <c r="F443" s="5"/>
      <c r="G443" s="5"/>
      <c r="H443" s="306"/>
      <c r="I443" s="306"/>
      <c r="J443" s="5"/>
      <c r="K443" s="5"/>
      <c r="L443" s="5"/>
      <c r="M443" s="5"/>
      <c r="N443" s="5"/>
      <c r="O443" s="5"/>
      <c r="P443" s="57"/>
      <c r="Q443" s="5"/>
      <c r="R443" s="5"/>
      <c r="S443" s="5"/>
      <c r="T443" s="5"/>
      <c r="U443" s="5"/>
      <c r="V443" s="5"/>
      <c r="W443" s="5"/>
      <c r="X443" s="5"/>
      <c r="Y443" s="5"/>
      <c r="Z443" s="5"/>
      <c r="AA443" s="5"/>
    </row>
    <row r="444" spans="1:27" ht="12.75" customHeight="1">
      <c r="A444" s="5"/>
      <c r="B444" s="5"/>
      <c r="C444" s="5"/>
      <c r="D444" s="5"/>
      <c r="E444" s="5"/>
      <c r="F444" s="5"/>
      <c r="G444" s="5"/>
      <c r="H444" s="306"/>
      <c r="I444" s="306"/>
      <c r="J444" s="5"/>
      <c r="K444" s="5"/>
      <c r="L444" s="5"/>
      <c r="M444" s="5"/>
      <c r="N444" s="5"/>
      <c r="O444" s="5"/>
      <c r="P444" s="57"/>
      <c r="Q444" s="5"/>
      <c r="R444" s="5"/>
      <c r="S444" s="5"/>
      <c r="T444" s="5"/>
      <c r="U444" s="5"/>
      <c r="V444" s="5"/>
      <c r="W444" s="5"/>
      <c r="X444" s="5"/>
      <c r="Y444" s="5"/>
      <c r="Z444" s="5"/>
      <c r="AA444" s="5"/>
    </row>
    <row r="445" spans="1:27" ht="12.75" customHeight="1">
      <c r="A445" s="5"/>
      <c r="B445" s="5"/>
      <c r="C445" s="5"/>
      <c r="D445" s="5"/>
      <c r="E445" s="5"/>
      <c r="F445" s="5"/>
      <c r="G445" s="5"/>
      <c r="H445" s="306"/>
      <c r="I445" s="306"/>
      <c r="J445" s="5"/>
      <c r="K445" s="5"/>
      <c r="L445" s="5"/>
      <c r="M445" s="5"/>
      <c r="N445" s="5"/>
      <c r="O445" s="5"/>
      <c r="P445" s="57"/>
      <c r="Q445" s="5"/>
      <c r="R445" s="5"/>
      <c r="S445" s="5"/>
      <c r="T445" s="5"/>
      <c r="U445" s="5"/>
      <c r="V445" s="5"/>
      <c r="W445" s="5"/>
      <c r="X445" s="5"/>
      <c r="Y445" s="5"/>
      <c r="Z445" s="5"/>
      <c r="AA445" s="5"/>
    </row>
    <row r="446" spans="1:27" ht="12.75" customHeight="1">
      <c r="A446" s="5"/>
      <c r="B446" s="5"/>
      <c r="C446" s="5"/>
      <c r="D446" s="5"/>
      <c r="E446" s="5"/>
      <c r="F446" s="5"/>
      <c r="G446" s="5"/>
      <c r="H446" s="306"/>
      <c r="I446" s="306"/>
      <c r="J446" s="5"/>
      <c r="K446" s="5"/>
      <c r="L446" s="5"/>
      <c r="M446" s="5"/>
      <c r="N446" s="5"/>
      <c r="O446" s="5"/>
      <c r="P446" s="57"/>
      <c r="Q446" s="5"/>
      <c r="R446" s="5"/>
      <c r="S446" s="5"/>
      <c r="T446" s="5"/>
      <c r="U446" s="5"/>
      <c r="V446" s="5"/>
      <c r="W446" s="5"/>
      <c r="X446" s="5"/>
      <c r="Y446" s="5"/>
      <c r="Z446" s="5"/>
      <c r="AA446" s="5"/>
    </row>
    <row r="447" spans="1:27" ht="12.75" customHeight="1">
      <c r="A447" s="5"/>
      <c r="B447" s="5"/>
      <c r="C447" s="5"/>
      <c r="D447" s="5"/>
      <c r="E447" s="5"/>
      <c r="F447" s="5"/>
      <c r="G447" s="5"/>
      <c r="H447" s="306"/>
      <c r="I447" s="306"/>
      <c r="J447" s="5"/>
      <c r="K447" s="5"/>
      <c r="L447" s="5"/>
      <c r="M447" s="5"/>
      <c r="N447" s="5"/>
      <c r="O447" s="5"/>
      <c r="P447" s="57"/>
      <c r="Q447" s="5"/>
      <c r="R447" s="5"/>
      <c r="S447" s="5"/>
      <c r="T447" s="5"/>
      <c r="U447" s="5"/>
      <c r="V447" s="5"/>
      <c r="W447" s="5"/>
      <c r="X447" s="5"/>
      <c r="Y447" s="5"/>
      <c r="Z447" s="5"/>
      <c r="AA447" s="5"/>
    </row>
    <row r="448" spans="1:27" ht="12.75" customHeight="1">
      <c r="A448" s="5"/>
      <c r="B448" s="5"/>
      <c r="C448" s="5"/>
      <c r="D448" s="5"/>
      <c r="E448" s="5"/>
      <c r="F448" s="5"/>
      <c r="G448" s="5"/>
      <c r="H448" s="306"/>
      <c r="I448" s="306"/>
      <c r="J448" s="5"/>
      <c r="K448" s="5"/>
      <c r="L448" s="5"/>
      <c r="M448" s="5"/>
      <c r="N448" s="5"/>
      <c r="O448" s="5"/>
      <c r="P448" s="57"/>
      <c r="Q448" s="5"/>
      <c r="R448" s="5"/>
      <c r="S448" s="5"/>
      <c r="T448" s="5"/>
      <c r="U448" s="5"/>
      <c r="V448" s="5"/>
      <c r="W448" s="5"/>
      <c r="X448" s="5"/>
      <c r="Y448" s="5"/>
      <c r="Z448" s="5"/>
      <c r="AA448" s="5"/>
    </row>
    <row r="449" spans="1:27" ht="12.75" customHeight="1">
      <c r="A449" s="5"/>
      <c r="B449" s="5"/>
      <c r="C449" s="5"/>
      <c r="D449" s="5"/>
      <c r="E449" s="5"/>
      <c r="F449" s="5"/>
      <c r="G449" s="5"/>
      <c r="H449" s="306"/>
      <c r="I449" s="306"/>
      <c r="J449" s="5"/>
      <c r="K449" s="5"/>
      <c r="L449" s="5"/>
      <c r="M449" s="5"/>
      <c r="N449" s="5"/>
      <c r="O449" s="5"/>
      <c r="P449" s="57"/>
      <c r="Q449" s="5"/>
      <c r="R449" s="5"/>
      <c r="S449" s="5"/>
      <c r="T449" s="5"/>
      <c r="U449" s="5"/>
      <c r="V449" s="5"/>
      <c r="W449" s="5"/>
      <c r="X449" s="5"/>
      <c r="Y449" s="5"/>
      <c r="Z449" s="5"/>
      <c r="AA449" s="5"/>
    </row>
    <row r="450" spans="1:27" ht="12.75" customHeight="1">
      <c r="A450" s="5"/>
      <c r="B450" s="5"/>
      <c r="C450" s="5"/>
      <c r="D450" s="5"/>
      <c r="E450" s="5"/>
      <c r="F450" s="5"/>
      <c r="G450" s="5"/>
      <c r="H450" s="306"/>
      <c r="I450" s="306"/>
      <c r="J450" s="5"/>
      <c r="K450" s="5"/>
      <c r="L450" s="5"/>
      <c r="M450" s="5"/>
      <c r="N450" s="5"/>
      <c r="O450" s="5"/>
      <c r="P450" s="57"/>
      <c r="Q450" s="5"/>
      <c r="R450" s="5"/>
      <c r="S450" s="5"/>
      <c r="T450" s="5"/>
      <c r="U450" s="5"/>
      <c r="V450" s="5"/>
      <c r="W450" s="5"/>
      <c r="X450" s="5"/>
      <c r="Y450" s="5"/>
      <c r="Z450" s="5"/>
      <c r="AA450" s="5"/>
    </row>
    <row r="451" spans="1:27" ht="12.75" customHeight="1">
      <c r="A451" s="5"/>
      <c r="B451" s="5"/>
      <c r="C451" s="5"/>
      <c r="D451" s="5"/>
      <c r="E451" s="5"/>
      <c r="F451" s="5"/>
      <c r="G451" s="5"/>
      <c r="H451" s="306"/>
      <c r="I451" s="306"/>
      <c r="J451" s="5"/>
      <c r="K451" s="5"/>
      <c r="L451" s="5"/>
      <c r="M451" s="5"/>
      <c r="N451" s="5"/>
      <c r="O451" s="5"/>
      <c r="P451" s="57"/>
      <c r="Q451" s="5"/>
      <c r="R451" s="5"/>
      <c r="S451" s="5"/>
      <c r="T451" s="5"/>
      <c r="U451" s="5"/>
      <c r="V451" s="5"/>
      <c r="W451" s="5"/>
      <c r="X451" s="5"/>
      <c r="Y451" s="5"/>
      <c r="Z451" s="5"/>
      <c r="AA451" s="5"/>
    </row>
    <row r="452" spans="1:27" ht="12.75" customHeight="1">
      <c r="A452" s="5"/>
      <c r="B452" s="5"/>
      <c r="C452" s="5"/>
      <c r="D452" s="5"/>
      <c r="E452" s="5"/>
      <c r="F452" s="5"/>
      <c r="G452" s="5"/>
      <c r="H452" s="306"/>
      <c r="I452" s="306"/>
      <c r="J452" s="5"/>
      <c r="K452" s="5"/>
      <c r="L452" s="5"/>
      <c r="M452" s="5"/>
      <c r="N452" s="5"/>
      <c r="O452" s="5"/>
      <c r="P452" s="57"/>
      <c r="Q452" s="5"/>
      <c r="R452" s="5"/>
      <c r="S452" s="5"/>
      <c r="T452" s="5"/>
      <c r="U452" s="5"/>
      <c r="V452" s="5"/>
      <c r="W452" s="5"/>
      <c r="X452" s="5"/>
      <c r="Y452" s="5"/>
      <c r="Z452" s="5"/>
      <c r="AA452" s="5"/>
    </row>
    <row r="453" spans="1:27" ht="12.75" customHeight="1">
      <c r="A453" s="5"/>
      <c r="B453" s="5"/>
      <c r="C453" s="5"/>
      <c r="D453" s="5"/>
      <c r="E453" s="5"/>
      <c r="F453" s="5"/>
      <c r="G453" s="5"/>
      <c r="H453" s="306"/>
      <c r="I453" s="306"/>
      <c r="J453" s="5"/>
      <c r="K453" s="5"/>
      <c r="L453" s="5"/>
      <c r="M453" s="5"/>
      <c r="N453" s="5"/>
      <c r="O453" s="5"/>
      <c r="P453" s="57"/>
      <c r="Q453" s="5"/>
      <c r="R453" s="5"/>
      <c r="S453" s="5"/>
      <c r="T453" s="5"/>
      <c r="U453" s="5"/>
      <c r="V453" s="5"/>
      <c r="W453" s="5"/>
      <c r="X453" s="5"/>
      <c r="Y453" s="5"/>
      <c r="Z453" s="5"/>
      <c r="AA453" s="5"/>
    </row>
    <row r="454" spans="1:27" ht="12.75" customHeight="1">
      <c r="A454" s="5"/>
      <c r="B454" s="5"/>
      <c r="C454" s="5"/>
      <c r="D454" s="5"/>
      <c r="E454" s="5"/>
      <c r="F454" s="5"/>
      <c r="G454" s="5"/>
      <c r="H454" s="306"/>
      <c r="I454" s="306"/>
      <c r="J454" s="5"/>
      <c r="K454" s="5"/>
      <c r="L454" s="5"/>
      <c r="M454" s="5"/>
      <c r="N454" s="5"/>
      <c r="O454" s="5"/>
      <c r="P454" s="57"/>
      <c r="Q454" s="5"/>
      <c r="R454" s="5"/>
      <c r="S454" s="5"/>
      <c r="T454" s="5"/>
      <c r="U454" s="5"/>
      <c r="V454" s="5"/>
      <c r="W454" s="5"/>
      <c r="X454" s="5"/>
      <c r="Y454" s="5"/>
      <c r="Z454" s="5"/>
      <c r="AA454" s="5"/>
    </row>
    <row r="455" spans="1:27" ht="12.75" customHeight="1">
      <c r="A455" s="5"/>
      <c r="B455" s="5"/>
      <c r="C455" s="5"/>
      <c r="D455" s="5"/>
      <c r="E455" s="5"/>
      <c r="F455" s="5"/>
      <c r="G455" s="5"/>
      <c r="H455" s="306"/>
      <c r="I455" s="306"/>
      <c r="J455" s="5"/>
      <c r="K455" s="5"/>
      <c r="L455" s="5"/>
      <c r="M455" s="5"/>
      <c r="N455" s="5"/>
      <c r="O455" s="5"/>
      <c r="P455" s="57"/>
      <c r="Q455" s="5"/>
      <c r="R455" s="5"/>
      <c r="S455" s="5"/>
      <c r="T455" s="5"/>
      <c r="U455" s="5"/>
      <c r="V455" s="5"/>
      <c r="W455" s="5"/>
      <c r="X455" s="5"/>
      <c r="Y455" s="5"/>
      <c r="Z455" s="5"/>
      <c r="AA455" s="5"/>
    </row>
    <row r="456" spans="1:27" ht="12.75" customHeight="1">
      <c r="A456" s="5"/>
      <c r="B456" s="5"/>
      <c r="C456" s="5"/>
      <c r="D456" s="5"/>
      <c r="E456" s="5"/>
      <c r="F456" s="5"/>
      <c r="G456" s="5"/>
      <c r="H456" s="306"/>
      <c r="I456" s="306"/>
      <c r="J456" s="5"/>
      <c r="K456" s="5"/>
      <c r="L456" s="5"/>
      <c r="M456" s="5"/>
      <c r="N456" s="5"/>
      <c r="O456" s="5"/>
      <c r="P456" s="57"/>
      <c r="Q456" s="5"/>
      <c r="R456" s="5"/>
      <c r="S456" s="5"/>
      <c r="T456" s="5"/>
      <c r="U456" s="5"/>
      <c r="V456" s="5"/>
      <c r="W456" s="5"/>
      <c r="X456" s="5"/>
      <c r="Y456" s="5"/>
      <c r="Z456" s="5"/>
      <c r="AA456" s="5"/>
    </row>
    <row r="457" spans="1:27" ht="12.75" customHeight="1">
      <c r="A457" s="5"/>
      <c r="B457" s="5"/>
      <c r="C457" s="5"/>
      <c r="D457" s="5"/>
      <c r="E457" s="5"/>
      <c r="F457" s="5"/>
      <c r="G457" s="5"/>
      <c r="H457" s="306"/>
      <c r="I457" s="306"/>
      <c r="J457" s="5"/>
      <c r="K457" s="5"/>
      <c r="L457" s="5"/>
      <c r="M457" s="5"/>
      <c r="N457" s="5"/>
      <c r="O457" s="5"/>
      <c r="P457" s="57"/>
      <c r="Q457" s="5"/>
      <c r="R457" s="5"/>
      <c r="S457" s="5"/>
      <c r="T457" s="5"/>
      <c r="U457" s="5"/>
      <c r="V457" s="5"/>
      <c r="W457" s="5"/>
      <c r="X457" s="5"/>
      <c r="Y457" s="5"/>
      <c r="Z457" s="5"/>
      <c r="AA457" s="5"/>
    </row>
    <row r="458" spans="1:27" ht="12.75" customHeight="1">
      <c r="A458" s="5"/>
      <c r="B458" s="5"/>
      <c r="C458" s="5"/>
      <c r="D458" s="5"/>
      <c r="E458" s="5"/>
      <c r="F458" s="5"/>
      <c r="G458" s="5"/>
      <c r="H458" s="306"/>
      <c r="I458" s="306"/>
      <c r="J458" s="5"/>
      <c r="K458" s="5"/>
      <c r="L458" s="5"/>
      <c r="M458" s="5"/>
      <c r="N458" s="5"/>
      <c r="O458" s="5"/>
      <c r="P458" s="57"/>
      <c r="Q458" s="5"/>
      <c r="R458" s="5"/>
      <c r="S458" s="5"/>
      <c r="T458" s="5"/>
      <c r="U458" s="5"/>
      <c r="V458" s="5"/>
      <c r="W458" s="5"/>
      <c r="X458" s="5"/>
      <c r="Y458" s="5"/>
      <c r="Z458" s="5"/>
      <c r="AA458" s="5"/>
    </row>
    <row r="459" spans="1:27" ht="12.75" customHeight="1">
      <c r="A459" s="5"/>
      <c r="B459" s="5"/>
      <c r="C459" s="5"/>
      <c r="D459" s="5"/>
      <c r="E459" s="5"/>
      <c r="F459" s="5"/>
      <c r="G459" s="5"/>
      <c r="H459" s="306"/>
      <c r="I459" s="306"/>
      <c r="J459" s="5"/>
      <c r="K459" s="5"/>
      <c r="L459" s="5"/>
      <c r="M459" s="5"/>
      <c r="N459" s="5"/>
      <c r="O459" s="5"/>
      <c r="P459" s="57"/>
      <c r="Q459" s="5"/>
      <c r="R459" s="5"/>
      <c r="S459" s="5"/>
      <c r="T459" s="5"/>
      <c r="U459" s="5"/>
      <c r="V459" s="5"/>
      <c r="W459" s="5"/>
      <c r="X459" s="5"/>
      <c r="Y459" s="5"/>
      <c r="Z459" s="5"/>
      <c r="AA459" s="5"/>
    </row>
    <row r="460" spans="1:27" ht="12.75" customHeight="1">
      <c r="A460" s="5"/>
      <c r="B460" s="5"/>
      <c r="C460" s="5"/>
      <c r="D460" s="5"/>
      <c r="E460" s="5"/>
      <c r="F460" s="5"/>
      <c r="G460" s="5"/>
      <c r="H460" s="306"/>
      <c r="I460" s="306"/>
      <c r="J460" s="5"/>
      <c r="K460" s="5"/>
      <c r="L460" s="5"/>
      <c r="M460" s="5"/>
      <c r="N460" s="5"/>
      <c r="O460" s="5"/>
      <c r="P460" s="57"/>
      <c r="Q460" s="5"/>
      <c r="R460" s="5"/>
      <c r="S460" s="5"/>
      <c r="T460" s="5"/>
      <c r="U460" s="5"/>
      <c r="V460" s="5"/>
      <c r="W460" s="5"/>
      <c r="X460" s="5"/>
      <c r="Y460" s="5"/>
      <c r="Z460" s="5"/>
      <c r="AA460" s="5"/>
    </row>
    <row r="461" spans="1:27" ht="12.75" customHeight="1">
      <c r="A461" s="5"/>
      <c r="B461" s="5"/>
      <c r="C461" s="5"/>
      <c r="D461" s="5"/>
      <c r="E461" s="5"/>
      <c r="F461" s="5"/>
      <c r="G461" s="5"/>
      <c r="H461" s="306"/>
      <c r="I461" s="306"/>
      <c r="J461" s="5"/>
      <c r="K461" s="5"/>
      <c r="L461" s="5"/>
      <c r="M461" s="5"/>
      <c r="N461" s="5"/>
      <c r="O461" s="5"/>
      <c r="P461" s="57"/>
      <c r="Q461" s="5"/>
      <c r="R461" s="5"/>
      <c r="S461" s="5"/>
      <c r="T461" s="5"/>
      <c r="U461" s="5"/>
      <c r="V461" s="5"/>
      <c r="W461" s="5"/>
      <c r="X461" s="5"/>
      <c r="Y461" s="5"/>
      <c r="Z461" s="5"/>
      <c r="AA461" s="5"/>
    </row>
    <row r="462" spans="1:27" ht="12.75" customHeight="1">
      <c r="A462" s="5"/>
      <c r="B462" s="5"/>
      <c r="C462" s="5"/>
      <c r="D462" s="5"/>
      <c r="E462" s="5"/>
      <c r="F462" s="5"/>
      <c r="G462" s="5"/>
      <c r="H462" s="306"/>
      <c r="I462" s="306"/>
      <c r="J462" s="5"/>
      <c r="K462" s="5"/>
      <c r="L462" s="5"/>
      <c r="M462" s="5"/>
      <c r="N462" s="5"/>
      <c r="O462" s="5"/>
      <c r="P462" s="57"/>
      <c r="Q462" s="5"/>
      <c r="R462" s="5"/>
      <c r="S462" s="5"/>
      <c r="T462" s="5"/>
      <c r="U462" s="5"/>
      <c r="V462" s="5"/>
      <c r="W462" s="5"/>
      <c r="X462" s="5"/>
      <c r="Y462" s="5"/>
      <c r="Z462" s="5"/>
      <c r="AA462" s="5"/>
    </row>
    <row r="463" spans="1:27" ht="12.75" customHeight="1">
      <c r="A463" s="5"/>
      <c r="B463" s="5"/>
      <c r="C463" s="5"/>
      <c r="D463" s="5"/>
      <c r="E463" s="5"/>
      <c r="F463" s="5"/>
      <c r="G463" s="5"/>
      <c r="H463" s="306"/>
      <c r="I463" s="306"/>
      <c r="J463" s="5"/>
      <c r="K463" s="5"/>
      <c r="L463" s="5"/>
      <c r="M463" s="5"/>
      <c r="N463" s="5"/>
      <c r="O463" s="5"/>
      <c r="P463" s="57"/>
      <c r="Q463" s="5"/>
      <c r="R463" s="5"/>
      <c r="S463" s="5"/>
      <c r="T463" s="5"/>
      <c r="U463" s="5"/>
      <c r="V463" s="5"/>
      <c r="W463" s="5"/>
      <c r="X463" s="5"/>
      <c r="Y463" s="5"/>
      <c r="Z463" s="5"/>
      <c r="AA463" s="5"/>
    </row>
    <row r="464" spans="1:27" ht="12.75" customHeight="1">
      <c r="A464" s="5"/>
      <c r="B464" s="5"/>
      <c r="C464" s="5"/>
      <c r="D464" s="5"/>
      <c r="E464" s="5"/>
      <c r="F464" s="5"/>
      <c r="G464" s="5"/>
      <c r="H464" s="306"/>
      <c r="I464" s="306"/>
      <c r="J464" s="5"/>
      <c r="K464" s="5"/>
      <c r="L464" s="5"/>
      <c r="M464" s="5"/>
      <c r="N464" s="5"/>
      <c r="O464" s="5"/>
      <c r="P464" s="57"/>
      <c r="Q464" s="5"/>
      <c r="R464" s="5"/>
      <c r="S464" s="5"/>
      <c r="T464" s="5"/>
      <c r="U464" s="5"/>
      <c r="V464" s="5"/>
      <c r="W464" s="5"/>
      <c r="X464" s="5"/>
      <c r="Y464" s="5"/>
      <c r="Z464" s="5"/>
      <c r="AA464" s="5"/>
    </row>
    <row r="465" spans="1:27" ht="12.75" customHeight="1">
      <c r="A465" s="5"/>
      <c r="B465" s="5"/>
      <c r="C465" s="5"/>
      <c r="D465" s="5"/>
      <c r="E465" s="5"/>
      <c r="F465" s="5"/>
      <c r="G465" s="5"/>
      <c r="H465" s="306"/>
      <c r="I465" s="306"/>
      <c r="J465" s="5"/>
      <c r="K465" s="5"/>
      <c r="L465" s="5"/>
      <c r="M465" s="5"/>
      <c r="N465" s="5"/>
      <c r="O465" s="5"/>
      <c r="P465" s="57"/>
      <c r="Q465" s="5"/>
      <c r="R465" s="5"/>
      <c r="S465" s="5"/>
      <c r="T465" s="5"/>
      <c r="U465" s="5"/>
      <c r="V465" s="5"/>
      <c r="W465" s="5"/>
      <c r="X465" s="5"/>
      <c r="Y465" s="5"/>
      <c r="Z465" s="5"/>
      <c r="AA465" s="5"/>
    </row>
    <row r="466" spans="1:27" ht="12.75" customHeight="1">
      <c r="A466" s="5"/>
      <c r="B466" s="5"/>
      <c r="C466" s="5"/>
      <c r="D466" s="5"/>
      <c r="E466" s="5"/>
      <c r="F466" s="5"/>
      <c r="G466" s="5"/>
      <c r="H466" s="306"/>
      <c r="I466" s="306"/>
      <c r="J466" s="5"/>
      <c r="K466" s="5"/>
      <c r="L466" s="5"/>
      <c r="M466" s="5"/>
      <c r="N466" s="5"/>
      <c r="O466" s="5"/>
      <c r="P466" s="57"/>
      <c r="Q466" s="5"/>
      <c r="R466" s="5"/>
      <c r="S466" s="5"/>
      <c r="T466" s="5"/>
      <c r="U466" s="5"/>
      <c r="V466" s="5"/>
      <c r="W466" s="5"/>
      <c r="X466" s="5"/>
      <c r="Y466" s="5"/>
      <c r="Z466" s="5"/>
      <c r="AA466" s="5"/>
    </row>
    <row r="467" spans="1:27" ht="12.75" customHeight="1">
      <c r="A467" s="5"/>
      <c r="B467" s="5"/>
      <c r="C467" s="5"/>
      <c r="D467" s="5"/>
      <c r="E467" s="5"/>
      <c r="F467" s="5"/>
      <c r="G467" s="5"/>
      <c r="H467" s="306"/>
      <c r="I467" s="306"/>
      <c r="J467" s="5"/>
      <c r="K467" s="5"/>
      <c r="L467" s="5"/>
      <c r="M467" s="5"/>
      <c r="N467" s="5"/>
      <c r="O467" s="5"/>
      <c r="P467" s="57"/>
      <c r="Q467" s="5"/>
      <c r="R467" s="5"/>
      <c r="S467" s="5"/>
      <c r="T467" s="5"/>
      <c r="U467" s="5"/>
      <c r="V467" s="5"/>
      <c r="W467" s="5"/>
      <c r="X467" s="5"/>
      <c r="Y467" s="5"/>
      <c r="Z467" s="5"/>
      <c r="AA467" s="5"/>
    </row>
    <row r="468" spans="1:27" ht="12.75" customHeight="1">
      <c r="A468" s="5"/>
      <c r="B468" s="5"/>
      <c r="C468" s="5"/>
      <c r="D468" s="5"/>
      <c r="E468" s="5"/>
      <c r="F468" s="5"/>
      <c r="G468" s="5"/>
      <c r="H468" s="306"/>
      <c r="I468" s="306"/>
      <c r="J468" s="5"/>
      <c r="K468" s="5"/>
      <c r="L468" s="5"/>
      <c r="M468" s="5"/>
      <c r="N468" s="5"/>
      <c r="O468" s="5"/>
      <c r="P468" s="57"/>
      <c r="Q468" s="5"/>
      <c r="R468" s="5"/>
      <c r="S468" s="5"/>
      <c r="T468" s="5"/>
      <c r="U468" s="5"/>
      <c r="V468" s="5"/>
      <c r="W468" s="5"/>
      <c r="X468" s="5"/>
      <c r="Y468" s="5"/>
      <c r="Z468" s="5"/>
      <c r="AA468" s="5"/>
    </row>
    <row r="469" spans="1:27" ht="12.75" customHeight="1">
      <c r="A469" s="5"/>
      <c r="B469" s="5"/>
      <c r="C469" s="5"/>
      <c r="D469" s="5"/>
      <c r="E469" s="5"/>
      <c r="F469" s="5"/>
      <c r="G469" s="5"/>
      <c r="H469" s="306"/>
      <c r="I469" s="306"/>
      <c r="J469" s="5"/>
      <c r="K469" s="5"/>
      <c r="L469" s="5"/>
      <c r="M469" s="5"/>
      <c r="N469" s="5"/>
      <c r="O469" s="5"/>
      <c r="P469" s="57"/>
      <c r="Q469" s="5"/>
      <c r="R469" s="5"/>
      <c r="S469" s="5"/>
      <c r="T469" s="5"/>
      <c r="U469" s="5"/>
      <c r="V469" s="5"/>
      <c r="W469" s="5"/>
      <c r="X469" s="5"/>
      <c r="Y469" s="5"/>
      <c r="Z469" s="5"/>
      <c r="AA469" s="5"/>
    </row>
    <row r="470" spans="1:27" ht="12.75" customHeight="1">
      <c r="A470" s="5"/>
      <c r="B470" s="5"/>
      <c r="C470" s="5"/>
      <c r="D470" s="5"/>
      <c r="E470" s="5"/>
      <c r="F470" s="5"/>
      <c r="G470" s="5"/>
      <c r="H470" s="306"/>
      <c r="I470" s="306"/>
      <c r="J470" s="5"/>
      <c r="K470" s="5"/>
      <c r="L470" s="5"/>
      <c r="M470" s="5"/>
      <c r="N470" s="5"/>
      <c r="O470" s="5"/>
      <c r="P470" s="57"/>
      <c r="Q470" s="5"/>
      <c r="R470" s="5"/>
      <c r="S470" s="5"/>
      <c r="T470" s="5"/>
      <c r="U470" s="5"/>
      <c r="V470" s="5"/>
      <c r="W470" s="5"/>
      <c r="X470" s="5"/>
      <c r="Y470" s="5"/>
      <c r="Z470" s="5"/>
      <c r="AA470" s="5"/>
    </row>
    <row r="471" spans="1:27" ht="12.75" customHeight="1">
      <c r="A471" s="5"/>
      <c r="B471" s="5"/>
      <c r="C471" s="5"/>
      <c r="D471" s="5"/>
      <c r="E471" s="5"/>
      <c r="F471" s="5"/>
      <c r="G471" s="5"/>
      <c r="H471" s="306"/>
      <c r="I471" s="306"/>
      <c r="J471" s="5"/>
      <c r="K471" s="5"/>
      <c r="L471" s="5"/>
      <c r="M471" s="5"/>
      <c r="N471" s="5"/>
      <c r="O471" s="5"/>
      <c r="P471" s="57"/>
      <c r="Q471" s="5"/>
      <c r="R471" s="5"/>
      <c r="S471" s="5"/>
      <c r="T471" s="5"/>
      <c r="U471" s="5"/>
      <c r="V471" s="5"/>
      <c r="W471" s="5"/>
      <c r="X471" s="5"/>
      <c r="Y471" s="5"/>
      <c r="Z471" s="5"/>
      <c r="AA471" s="5"/>
    </row>
    <row r="472" spans="1:27" ht="12.75" customHeight="1">
      <c r="A472" s="5"/>
      <c r="B472" s="5"/>
      <c r="C472" s="5"/>
      <c r="D472" s="5"/>
      <c r="E472" s="5"/>
      <c r="F472" s="5"/>
      <c r="G472" s="5"/>
      <c r="H472" s="306"/>
      <c r="I472" s="306"/>
      <c r="J472" s="5"/>
      <c r="K472" s="5"/>
      <c r="L472" s="5"/>
      <c r="M472" s="5"/>
      <c r="N472" s="5"/>
      <c r="O472" s="5"/>
      <c r="P472" s="57"/>
      <c r="Q472" s="5"/>
      <c r="R472" s="5"/>
      <c r="S472" s="5"/>
      <c r="T472" s="5"/>
      <c r="U472" s="5"/>
      <c r="V472" s="5"/>
      <c r="W472" s="5"/>
      <c r="X472" s="5"/>
      <c r="Y472" s="5"/>
      <c r="Z472" s="5"/>
      <c r="AA472" s="5"/>
    </row>
    <row r="473" spans="1:27" ht="12.75" customHeight="1">
      <c r="A473" s="5"/>
      <c r="B473" s="5"/>
      <c r="C473" s="5"/>
      <c r="D473" s="5"/>
      <c r="E473" s="5"/>
      <c r="F473" s="5"/>
      <c r="G473" s="5"/>
      <c r="H473" s="306"/>
      <c r="I473" s="306"/>
      <c r="J473" s="5"/>
      <c r="K473" s="5"/>
      <c r="L473" s="5"/>
      <c r="M473" s="5"/>
      <c r="N473" s="5"/>
      <c r="O473" s="5"/>
      <c r="P473" s="57"/>
      <c r="Q473" s="5"/>
      <c r="R473" s="5"/>
      <c r="S473" s="5"/>
      <c r="T473" s="5"/>
      <c r="U473" s="5"/>
      <c r="V473" s="5"/>
      <c r="W473" s="5"/>
      <c r="X473" s="5"/>
      <c r="Y473" s="5"/>
      <c r="Z473" s="5"/>
      <c r="AA473" s="5"/>
    </row>
    <row r="474" spans="1:27" ht="12.75" customHeight="1">
      <c r="A474" s="5"/>
      <c r="B474" s="5"/>
      <c r="C474" s="5"/>
      <c r="D474" s="5"/>
      <c r="E474" s="5"/>
      <c r="F474" s="5"/>
      <c r="G474" s="5"/>
      <c r="H474" s="306"/>
      <c r="I474" s="306"/>
      <c r="J474" s="5"/>
      <c r="K474" s="5"/>
      <c r="L474" s="5"/>
      <c r="M474" s="5"/>
      <c r="N474" s="5"/>
      <c r="O474" s="5"/>
      <c r="P474" s="57"/>
      <c r="Q474" s="5"/>
      <c r="R474" s="5"/>
      <c r="S474" s="5"/>
      <c r="T474" s="5"/>
      <c r="U474" s="5"/>
      <c r="V474" s="5"/>
      <c r="W474" s="5"/>
      <c r="X474" s="5"/>
      <c r="Y474" s="5"/>
      <c r="Z474" s="5"/>
      <c r="AA474" s="5"/>
    </row>
    <row r="475" spans="1:27" ht="12.75" customHeight="1">
      <c r="A475" s="5"/>
      <c r="B475" s="5"/>
      <c r="C475" s="5"/>
      <c r="D475" s="5"/>
      <c r="E475" s="5"/>
      <c r="F475" s="5"/>
      <c r="G475" s="5"/>
      <c r="H475" s="306"/>
      <c r="I475" s="306"/>
      <c r="J475" s="5"/>
      <c r="K475" s="5"/>
      <c r="L475" s="5"/>
      <c r="M475" s="5"/>
      <c r="N475" s="5"/>
      <c r="O475" s="5"/>
      <c r="P475" s="57"/>
      <c r="Q475" s="5"/>
      <c r="R475" s="5"/>
      <c r="S475" s="5"/>
      <c r="T475" s="5"/>
      <c r="U475" s="5"/>
      <c r="V475" s="5"/>
      <c r="W475" s="5"/>
      <c r="X475" s="5"/>
      <c r="Y475" s="5"/>
      <c r="Z475" s="5"/>
      <c r="AA475" s="5"/>
    </row>
    <row r="476" spans="1:27" ht="12.75" customHeight="1">
      <c r="A476" s="5"/>
      <c r="B476" s="5"/>
      <c r="C476" s="5"/>
      <c r="D476" s="5"/>
      <c r="E476" s="5"/>
      <c r="F476" s="5"/>
      <c r="G476" s="5"/>
      <c r="H476" s="306"/>
      <c r="I476" s="306"/>
      <c r="J476" s="5"/>
      <c r="K476" s="5"/>
      <c r="L476" s="5"/>
      <c r="M476" s="5"/>
      <c r="N476" s="5"/>
      <c r="O476" s="5"/>
      <c r="P476" s="57"/>
      <c r="Q476" s="5"/>
      <c r="R476" s="5"/>
      <c r="S476" s="5"/>
      <c r="T476" s="5"/>
      <c r="U476" s="5"/>
      <c r="V476" s="5"/>
      <c r="W476" s="5"/>
      <c r="X476" s="5"/>
      <c r="Y476" s="5"/>
      <c r="Z476" s="5"/>
      <c r="AA476" s="5"/>
    </row>
    <row r="477" spans="1:27" ht="12.75" customHeight="1">
      <c r="A477" s="5"/>
      <c r="B477" s="5"/>
      <c r="C477" s="5"/>
      <c r="D477" s="5"/>
      <c r="E477" s="5"/>
      <c r="F477" s="5"/>
      <c r="G477" s="5"/>
      <c r="H477" s="306"/>
      <c r="I477" s="306"/>
      <c r="J477" s="5"/>
      <c r="K477" s="5"/>
      <c r="L477" s="5"/>
      <c r="M477" s="5"/>
      <c r="N477" s="5"/>
      <c r="O477" s="5"/>
      <c r="P477" s="57"/>
      <c r="Q477" s="5"/>
      <c r="R477" s="5"/>
      <c r="S477" s="5"/>
      <c r="T477" s="5"/>
      <c r="U477" s="5"/>
      <c r="V477" s="5"/>
      <c r="W477" s="5"/>
      <c r="X477" s="5"/>
      <c r="Y477" s="5"/>
      <c r="Z477" s="5"/>
      <c r="AA477" s="5"/>
    </row>
    <row r="478" spans="1:27" ht="12.75" customHeight="1">
      <c r="A478" s="5"/>
      <c r="B478" s="5"/>
      <c r="C478" s="5"/>
      <c r="D478" s="5"/>
      <c r="E478" s="5"/>
      <c r="F478" s="5"/>
      <c r="G478" s="5"/>
      <c r="H478" s="306"/>
      <c r="I478" s="306"/>
      <c r="J478" s="5"/>
      <c r="K478" s="5"/>
      <c r="L478" s="5"/>
      <c r="M478" s="5"/>
      <c r="N478" s="5"/>
      <c r="O478" s="5"/>
      <c r="P478" s="57"/>
      <c r="Q478" s="5"/>
      <c r="R478" s="5"/>
      <c r="S478" s="5"/>
      <c r="T478" s="5"/>
      <c r="U478" s="5"/>
      <c r="V478" s="5"/>
      <c r="W478" s="5"/>
      <c r="X478" s="5"/>
      <c r="Y478" s="5"/>
      <c r="Z478" s="5"/>
      <c r="AA478" s="5"/>
    </row>
    <row r="479" spans="1:27" ht="12.75" customHeight="1">
      <c r="A479" s="5"/>
      <c r="B479" s="5"/>
      <c r="C479" s="5"/>
      <c r="D479" s="5"/>
      <c r="E479" s="5"/>
      <c r="F479" s="5"/>
      <c r="G479" s="5"/>
      <c r="H479" s="306"/>
      <c r="I479" s="306"/>
      <c r="J479" s="5"/>
      <c r="K479" s="5"/>
      <c r="L479" s="5"/>
      <c r="M479" s="5"/>
      <c r="N479" s="5"/>
      <c r="O479" s="5"/>
      <c r="P479" s="57"/>
      <c r="Q479" s="5"/>
      <c r="R479" s="5"/>
      <c r="S479" s="5"/>
      <c r="T479" s="5"/>
      <c r="U479" s="5"/>
      <c r="V479" s="5"/>
      <c r="W479" s="5"/>
      <c r="X479" s="5"/>
      <c r="Y479" s="5"/>
      <c r="Z479" s="5"/>
      <c r="AA479" s="5"/>
    </row>
    <row r="480" spans="1:27" ht="12.75" customHeight="1">
      <c r="A480" s="5"/>
      <c r="B480" s="5"/>
      <c r="C480" s="5"/>
      <c r="D480" s="5"/>
      <c r="E480" s="5"/>
      <c r="F480" s="5"/>
      <c r="G480" s="5"/>
      <c r="H480" s="306"/>
      <c r="I480" s="306"/>
      <c r="J480" s="5"/>
      <c r="K480" s="5"/>
      <c r="L480" s="5"/>
      <c r="M480" s="5"/>
      <c r="N480" s="5"/>
      <c r="O480" s="5"/>
      <c r="P480" s="57"/>
      <c r="Q480" s="5"/>
      <c r="R480" s="5"/>
      <c r="S480" s="5"/>
      <c r="T480" s="5"/>
      <c r="U480" s="5"/>
      <c r="V480" s="5"/>
      <c r="W480" s="5"/>
      <c r="X480" s="5"/>
      <c r="Y480" s="5"/>
      <c r="Z480" s="5"/>
      <c r="AA480" s="5"/>
    </row>
    <row r="481" spans="1:27" ht="12.75" customHeight="1">
      <c r="A481" s="5"/>
      <c r="B481" s="5"/>
      <c r="C481" s="5"/>
      <c r="D481" s="5"/>
      <c r="E481" s="5"/>
      <c r="F481" s="5"/>
      <c r="G481" s="5"/>
      <c r="H481" s="306"/>
      <c r="I481" s="306"/>
      <c r="J481" s="5"/>
      <c r="K481" s="5"/>
      <c r="L481" s="5"/>
      <c r="M481" s="5"/>
      <c r="N481" s="5"/>
      <c r="O481" s="5"/>
      <c r="P481" s="57"/>
      <c r="Q481" s="5"/>
      <c r="R481" s="5"/>
      <c r="S481" s="5"/>
      <c r="T481" s="5"/>
      <c r="U481" s="5"/>
      <c r="V481" s="5"/>
      <c r="W481" s="5"/>
      <c r="X481" s="5"/>
      <c r="Y481" s="5"/>
      <c r="Z481" s="5"/>
      <c r="AA481" s="5"/>
    </row>
    <row r="482" spans="1:27" ht="12.75" customHeight="1">
      <c r="A482" s="5"/>
      <c r="B482" s="5"/>
      <c r="C482" s="5"/>
      <c r="D482" s="5"/>
      <c r="E482" s="5"/>
      <c r="F482" s="5"/>
      <c r="G482" s="5"/>
      <c r="H482" s="306"/>
      <c r="I482" s="306"/>
      <c r="J482" s="5"/>
      <c r="K482" s="5"/>
      <c r="L482" s="5"/>
      <c r="M482" s="5"/>
      <c r="N482" s="5"/>
      <c r="O482" s="5"/>
      <c r="P482" s="57"/>
      <c r="Q482" s="5"/>
      <c r="R482" s="5"/>
      <c r="S482" s="5"/>
      <c r="T482" s="5"/>
      <c r="U482" s="5"/>
      <c r="V482" s="5"/>
      <c r="W482" s="5"/>
      <c r="X482" s="5"/>
      <c r="Y482" s="5"/>
      <c r="Z482" s="5"/>
      <c r="AA482" s="5"/>
    </row>
    <row r="483" spans="1:27" ht="12.75" customHeight="1">
      <c r="A483" s="5"/>
      <c r="B483" s="5"/>
      <c r="C483" s="5"/>
      <c r="D483" s="5"/>
      <c r="E483" s="5"/>
      <c r="F483" s="5"/>
      <c r="G483" s="5"/>
      <c r="H483" s="306"/>
      <c r="I483" s="306"/>
      <c r="J483" s="5"/>
      <c r="K483" s="5"/>
      <c r="L483" s="5"/>
      <c r="M483" s="5"/>
      <c r="N483" s="5"/>
      <c r="O483" s="5"/>
      <c r="P483" s="57"/>
      <c r="Q483" s="5"/>
      <c r="R483" s="5"/>
      <c r="S483" s="5"/>
      <c r="T483" s="5"/>
      <c r="U483" s="5"/>
      <c r="V483" s="5"/>
      <c r="W483" s="5"/>
      <c r="X483" s="5"/>
      <c r="Y483" s="5"/>
      <c r="Z483" s="5"/>
      <c r="AA483" s="5"/>
    </row>
    <row r="484" spans="1:27" ht="12.75" customHeight="1">
      <c r="A484" s="5"/>
      <c r="B484" s="5"/>
      <c r="C484" s="5"/>
      <c r="D484" s="5"/>
      <c r="E484" s="5"/>
      <c r="F484" s="5"/>
      <c r="G484" s="5"/>
      <c r="H484" s="306"/>
      <c r="I484" s="306"/>
      <c r="J484" s="5"/>
      <c r="K484" s="5"/>
      <c r="L484" s="5"/>
      <c r="M484" s="5"/>
      <c r="N484" s="5"/>
      <c r="O484" s="5"/>
      <c r="P484" s="57"/>
      <c r="Q484" s="5"/>
      <c r="R484" s="5"/>
      <c r="S484" s="5"/>
      <c r="T484" s="5"/>
      <c r="U484" s="5"/>
      <c r="V484" s="5"/>
      <c r="W484" s="5"/>
      <c r="X484" s="5"/>
      <c r="Y484" s="5"/>
      <c r="Z484" s="5"/>
      <c r="AA484" s="5"/>
    </row>
    <row r="485" spans="1:27" ht="12.75" customHeight="1">
      <c r="A485" s="5"/>
      <c r="B485" s="5"/>
      <c r="C485" s="5"/>
      <c r="D485" s="5"/>
      <c r="E485" s="5"/>
      <c r="F485" s="5"/>
      <c r="G485" s="5"/>
      <c r="H485" s="306"/>
      <c r="I485" s="306"/>
      <c r="J485" s="5"/>
      <c r="K485" s="5"/>
      <c r="L485" s="5"/>
      <c r="M485" s="5"/>
      <c r="N485" s="5"/>
      <c r="O485" s="5"/>
      <c r="P485" s="57"/>
      <c r="Q485" s="5"/>
      <c r="R485" s="5"/>
      <c r="S485" s="5"/>
      <c r="T485" s="5"/>
      <c r="U485" s="5"/>
      <c r="V485" s="5"/>
      <c r="W485" s="5"/>
      <c r="X485" s="5"/>
      <c r="Y485" s="5"/>
      <c r="Z485" s="5"/>
      <c r="AA485" s="5"/>
    </row>
    <row r="486" spans="1:27" ht="12.75" customHeight="1">
      <c r="A486" s="5"/>
      <c r="B486" s="5"/>
      <c r="C486" s="5"/>
      <c r="D486" s="5"/>
      <c r="E486" s="5"/>
      <c r="F486" s="5"/>
      <c r="G486" s="5"/>
      <c r="H486" s="306"/>
      <c r="I486" s="306"/>
      <c r="J486" s="5"/>
      <c r="K486" s="5"/>
      <c r="L486" s="5"/>
      <c r="M486" s="5"/>
      <c r="N486" s="5"/>
      <c r="O486" s="5"/>
      <c r="P486" s="57"/>
      <c r="Q486" s="5"/>
      <c r="R486" s="5"/>
      <c r="S486" s="5"/>
      <c r="T486" s="5"/>
      <c r="U486" s="5"/>
      <c r="V486" s="5"/>
      <c r="W486" s="5"/>
      <c r="X486" s="5"/>
      <c r="Y486" s="5"/>
      <c r="Z486" s="5"/>
      <c r="AA486" s="5"/>
    </row>
    <row r="487" spans="1:27" ht="12.75" customHeight="1">
      <c r="A487" s="5"/>
      <c r="B487" s="5"/>
      <c r="C487" s="5"/>
      <c r="D487" s="5"/>
      <c r="E487" s="5"/>
      <c r="F487" s="5"/>
      <c r="G487" s="5"/>
      <c r="H487" s="306"/>
      <c r="I487" s="306"/>
      <c r="J487" s="5"/>
      <c r="K487" s="5"/>
      <c r="L487" s="5"/>
      <c r="M487" s="5"/>
      <c r="N487" s="5"/>
      <c r="O487" s="5"/>
      <c r="P487" s="57"/>
      <c r="Q487" s="5"/>
      <c r="R487" s="5"/>
      <c r="S487" s="5"/>
      <c r="T487" s="5"/>
      <c r="U487" s="5"/>
      <c r="V487" s="5"/>
      <c r="W487" s="5"/>
      <c r="X487" s="5"/>
      <c r="Y487" s="5"/>
      <c r="Z487" s="5"/>
      <c r="AA487" s="5"/>
    </row>
    <row r="488" spans="1:27" ht="12.75" customHeight="1">
      <c r="A488" s="5"/>
      <c r="B488" s="5"/>
      <c r="C488" s="5"/>
      <c r="D488" s="5"/>
      <c r="E488" s="5"/>
      <c r="F488" s="5"/>
      <c r="G488" s="5"/>
      <c r="H488" s="306"/>
      <c r="I488" s="306"/>
      <c r="J488" s="5"/>
      <c r="K488" s="5"/>
      <c r="L488" s="5"/>
      <c r="M488" s="5"/>
      <c r="N488" s="5"/>
      <c r="O488" s="5"/>
      <c r="P488" s="57"/>
      <c r="Q488" s="5"/>
      <c r="R488" s="5"/>
      <c r="S488" s="5"/>
      <c r="T488" s="5"/>
      <c r="U488" s="5"/>
      <c r="V488" s="5"/>
      <c r="W488" s="5"/>
      <c r="X488" s="5"/>
      <c r="Y488" s="5"/>
      <c r="Z488" s="5"/>
      <c r="AA488" s="5"/>
    </row>
    <row r="489" spans="1:27" ht="12.75" customHeight="1">
      <c r="A489" s="5"/>
      <c r="B489" s="5"/>
      <c r="C489" s="5"/>
      <c r="D489" s="5"/>
      <c r="E489" s="5"/>
      <c r="F489" s="5"/>
      <c r="G489" s="5"/>
      <c r="H489" s="306"/>
      <c r="I489" s="306"/>
      <c r="J489" s="5"/>
      <c r="K489" s="5"/>
      <c r="L489" s="5"/>
      <c r="M489" s="5"/>
      <c r="N489" s="5"/>
      <c r="O489" s="5"/>
      <c r="P489" s="57"/>
      <c r="Q489" s="5"/>
      <c r="R489" s="5"/>
      <c r="S489" s="5"/>
      <c r="T489" s="5"/>
      <c r="U489" s="5"/>
      <c r="V489" s="5"/>
      <c r="W489" s="5"/>
      <c r="X489" s="5"/>
      <c r="Y489" s="5"/>
      <c r="Z489" s="5"/>
      <c r="AA489" s="5"/>
    </row>
    <row r="490" spans="1:27" ht="12.75" customHeight="1">
      <c r="A490" s="5"/>
      <c r="B490" s="5"/>
      <c r="C490" s="5"/>
      <c r="D490" s="5"/>
      <c r="E490" s="5"/>
      <c r="F490" s="5"/>
      <c r="G490" s="5"/>
      <c r="H490" s="306"/>
      <c r="I490" s="306"/>
      <c r="J490" s="5"/>
      <c r="K490" s="5"/>
      <c r="L490" s="5"/>
      <c r="M490" s="5"/>
      <c r="N490" s="5"/>
      <c r="O490" s="5"/>
      <c r="P490" s="57"/>
      <c r="Q490" s="5"/>
      <c r="R490" s="5"/>
      <c r="S490" s="5"/>
      <c r="T490" s="5"/>
      <c r="U490" s="5"/>
      <c r="V490" s="5"/>
      <c r="W490" s="5"/>
      <c r="X490" s="5"/>
      <c r="Y490" s="5"/>
      <c r="Z490" s="5"/>
      <c r="AA490" s="5"/>
    </row>
    <row r="491" spans="1:27" ht="12.75" customHeight="1">
      <c r="A491" s="5"/>
      <c r="B491" s="5"/>
      <c r="C491" s="5"/>
      <c r="D491" s="5"/>
      <c r="E491" s="5"/>
      <c r="F491" s="5"/>
      <c r="G491" s="5"/>
      <c r="H491" s="306"/>
      <c r="I491" s="306"/>
      <c r="J491" s="5"/>
      <c r="K491" s="5"/>
      <c r="L491" s="5"/>
      <c r="M491" s="5"/>
      <c r="N491" s="5"/>
      <c r="O491" s="5"/>
      <c r="P491" s="57"/>
      <c r="Q491" s="5"/>
      <c r="R491" s="5"/>
      <c r="S491" s="5"/>
      <c r="T491" s="5"/>
      <c r="U491" s="5"/>
      <c r="V491" s="5"/>
      <c r="W491" s="5"/>
      <c r="X491" s="5"/>
      <c r="Y491" s="5"/>
      <c r="Z491" s="5"/>
      <c r="AA491" s="5"/>
    </row>
    <row r="492" spans="1:27" ht="12.75" customHeight="1">
      <c r="A492" s="5"/>
      <c r="B492" s="5"/>
      <c r="C492" s="5"/>
      <c r="D492" s="5"/>
      <c r="E492" s="5"/>
      <c r="F492" s="5"/>
      <c r="G492" s="5"/>
      <c r="H492" s="306"/>
      <c r="I492" s="306"/>
      <c r="J492" s="5"/>
      <c r="K492" s="5"/>
      <c r="L492" s="5"/>
      <c r="M492" s="5"/>
      <c r="N492" s="5"/>
      <c r="O492" s="5"/>
      <c r="P492" s="57"/>
      <c r="Q492" s="5"/>
      <c r="R492" s="5"/>
      <c r="S492" s="5"/>
      <c r="T492" s="5"/>
      <c r="U492" s="5"/>
      <c r="V492" s="5"/>
      <c r="W492" s="5"/>
      <c r="X492" s="5"/>
      <c r="Y492" s="5"/>
      <c r="Z492" s="5"/>
      <c r="AA492" s="5"/>
    </row>
    <row r="493" spans="1:27" ht="12.75" customHeight="1">
      <c r="A493" s="5"/>
      <c r="B493" s="5"/>
      <c r="C493" s="5"/>
      <c r="D493" s="5"/>
      <c r="E493" s="5"/>
      <c r="F493" s="5"/>
      <c r="G493" s="5"/>
      <c r="H493" s="306"/>
      <c r="I493" s="306"/>
      <c r="J493" s="5"/>
      <c r="K493" s="5"/>
      <c r="L493" s="5"/>
      <c r="M493" s="5"/>
      <c r="N493" s="5"/>
      <c r="O493" s="5"/>
      <c r="P493" s="57"/>
      <c r="Q493" s="5"/>
      <c r="R493" s="5"/>
      <c r="S493" s="5"/>
      <c r="T493" s="5"/>
      <c r="U493" s="5"/>
      <c r="V493" s="5"/>
      <c r="W493" s="5"/>
      <c r="X493" s="5"/>
      <c r="Y493" s="5"/>
      <c r="Z493" s="5"/>
      <c r="AA493" s="5"/>
    </row>
    <row r="494" spans="1:27" ht="12.75" customHeight="1">
      <c r="A494" s="5"/>
      <c r="B494" s="5"/>
      <c r="C494" s="5"/>
      <c r="D494" s="5"/>
      <c r="E494" s="5"/>
      <c r="F494" s="5"/>
      <c r="G494" s="5"/>
      <c r="H494" s="306"/>
      <c r="I494" s="306"/>
      <c r="J494" s="5"/>
      <c r="K494" s="5"/>
      <c r="L494" s="5"/>
      <c r="M494" s="5"/>
      <c r="N494" s="5"/>
      <c r="O494" s="5"/>
      <c r="P494" s="57"/>
      <c r="Q494" s="5"/>
      <c r="R494" s="5"/>
      <c r="S494" s="5"/>
      <c r="T494" s="5"/>
      <c r="U494" s="5"/>
      <c r="V494" s="5"/>
      <c r="W494" s="5"/>
      <c r="X494" s="5"/>
      <c r="Y494" s="5"/>
      <c r="Z494" s="5"/>
      <c r="AA494" s="5"/>
    </row>
    <row r="495" spans="1:27" ht="12.75" customHeight="1">
      <c r="A495" s="5"/>
      <c r="B495" s="5"/>
      <c r="C495" s="5"/>
      <c r="D495" s="5"/>
      <c r="E495" s="5"/>
      <c r="F495" s="5"/>
      <c r="G495" s="5"/>
      <c r="H495" s="306"/>
      <c r="I495" s="306"/>
      <c r="J495" s="5"/>
      <c r="K495" s="5"/>
      <c r="L495" s="5"/>
      <c r="M495" s="5"/>
      <c r="N495" s="5"/>
      <c r="O495" s="5"/>
      <c r="P495" s="57"/>
      <c r="Q495" s="5"/>
      <c r="R495" s="5"/>
      <c r="S495" s="5"/>
      <c r="T495" s="5"/>
      <c r="U495" s="5"/>
      <c r="V495" s="5"/>
      <c r="W495" s="5"/>
      <c r="X495" s="5"/>
      <c r="Y495" s="5"/>
      <c r="Z495" s="5"/>
      <c r="AA495" s="5"/>
    </row>
    <row r="496" spans="1:27" ht="12.75" customHeight="1">
      <c r="A496" s="5"/>
      <c r="B496" s="5"/>
      <c r="C496" s="5"/>
      <c r="D496" s="5"/>
      <c r="E496" s="5"/>
      <c r="F496" s="5"/>
      <c r="G496" s="5"/>
      <c r="H496" s="306"/>
      <c r="I496" s="306"/>
      <c r="J496" s="5"/>
      <c r="K496" s="5"/>
      <c r="L496" s="5"/>
      <c r="M496" s="5"/>
      <c r="N496" s="5"/>
      <c r="O496" s="5"/>
      <c r="P496" s="57"/>
      <c r="Q496" s="5"/>
      <c r="R496" s="5"/>
      <c r="S496" s="5"/>
      <c r="T496" s="5"/>
      <c r="U496" s="5"/>
      <c r="V496" s="5"/>
      <c r="W496" s="5"/>
      <c r="X496" s="5"/>
      <c r="Y496" s="5"/>
      <c r="Z496" s="5"/>
      <c r="AA496" s="5"/>
    </row>
    <row r="497" spans="1:27" ht="12.75" customHeight="1">
      <c r="A497" s="5"/>
      <c r="B497" s="5"/>
      <c r="C497" s="5"/>
      <c r="D497" s="5"/>
      <c r="E497" s="5"/>
      <c r="F497" s="5"/>
      <c r="G497" s="5"/>
      <c r="H497" s="306"/>
      <c r="I497" s="306"/>
      <c r="J497" s="5"/>
      <c r="K497" s="5"/>
      <c r="L497" s="5"/>
      <c r="M497" s="5"/>
      <c r="N497" s="5"/>
      <c r="O497" s="5"/>
      <c r="P497" s="57"/>
      <c r="Q497" s="5"/>
      <c r="R497" s="5"/>
      <c r="S497" s="5"/>
      <c r="T497" s="5"/>
      <c r="U497" s="5"/>
      <c r="V497" s="5"/>
      <c r="W497" s="5"/>
      <c r="X497" s="5"/>
      <c r="Y497" s="5"/>
      <c r="Z497" s="5"/>
      <c r="AA497" s="5"/>
    </row>
    <row r="498" spans="1:27" ht="12.75" customHeight="1">
      <c r="A498" s="5"/>
      <c r="B498" s="5"/>
      <c r="C498" s="5"/>
      <c r="D498" s="5"/>
      <c r="E498" s="5"/>
      <c r="F498" s="5"/>
      <c r="G498" s="5"/>
      <c r="H498" s="306"/>
      <c r="I498" s="306"/>
      <c r="J498" s="5"/>
      <c r="K498" s="5"/>
      <c r="L498" s="5"/>
      <c r="M498" s="5"/>
      <c r="N498" s="5"/>
      <c r="O498" s="5"/>
      <c r="P498" s="57"/>
      <c r="Q498" s="5"/>
      <c r="R498" s="5"/>
      <c r="S498" s="5"/>
      <c r="T498" s="5"/>
      <c r="U498" s="5"/>
      <c r="V498" s="5"/>
      <c r="W498" s="5"/>
      <c r="X498" s="5"/>
      <c r="Y498" s="5"/>
      <c r="Z498" s="5"/>
      <c r="AA498" s="5"/>
    </row>
    <row r="499" spans="1:27" ht="12.75" customHeight="1">
      <c r="A499" s="5"/>
      <c r="B499" s="5"/>
      <c r="C499" s="5"/>
      <c r="D499" s="5"/>
      <c r="E499" s="5"/>
      <c r="F499" s="5"/>
      <c r="G499" s="5"/>
      <c r="H499" s="306"/>
      <c r="I499" s="306"/>
      <c r="J499" s="5"/>
      <c r="K499" s="5"/>
      <c r="L499" s="5"/>
      <c r="M499" s="5"/>
      <c r="N499" s="5"/>
      <c r="O499" s="5"/>
      <c r="P499" s="57"/>
      <c r="Q499" s="5"/>
      <c r="R499" s="5"/>
      <c r="S499" s="5"/>
      <c r="T499" s="5"/>
      <c r="U499" s="5"/>
      <c r="V499" s="5"/>
      <c r="W499" s="5"/>
      <c r="X499" s="5"/>
      <c r="Y499" s="5"/>
      <c r="Z499" s="5"/>
      <c r="AA499" s="5"/>
    </row>
    <row r="500" spans="1:27" ht="12.75" customHeight="1">
      <c r="A500" s="5"/>
      <c r="B500" s="5"/>
      <c r="C500" s="5"/>
      <c r="D500" s="5"/>
      <c r="E500" s="5"/>
      <c r="F500" s="5"/>
      <c r="G500" s="5"/>
      <c r="H500" s="306"/>
      <c r="I500" s="306"/>
      <c r="J500" s="5"/>
      <c r="K500" s="5"/>
      <c r="L500" s="5"/>
      <c r="M500" s="5"/>
      <c r="N500" s="5"/>
      <c r="O500" s="5"/>
      <c r="P500" s="57"/>
      <c r="Q500" s="5"/>
      <c r="R500" s="5"/>
      <c r="S500" s="5"/>
      <c r="T500" s="5"/>
      <c r="U500" s="5"/>
      <c r="V500" s="5"/>
      <c r="W500" s="5"/>
      <c r="X500" s="5"/>
      <c r="Y500" s="5"/>
      <c r="Z500" s="5"/>
      <c r="AA500" s="5"/>
    </row>
    <row r="501" spans="1:27" ht="12.75" customHeight="1">
      <c r="A501" s="5"/>
      <c r="B501" s="5"/>
      <c r="C501" s="5"/>
      <c r="D501" s="5"/>
      <c r="E501" s="5"/>
      <c r="F501" s="5"/>
      <c r="G501" s="5"/>
      <c r="H501" s="306"/>
      <c r="I501" s="306"/>
      <c r="J501" s="5"/>
      <c r="K501" s="5"/>
      <c r="L501" s="5"/>
      <c r="M501" s="5"/>
      <c r="N501" s="5"/>
      <c r="O501" s="5"/>
      <c r="P501" s="57"/>
      <c r="Q501" s="5"/>
      <c r="R501" s="5"/>
      <c r="S501" s="5"/>
      <c r="T501" s="5"/>
      <c r="U501" s="5"/>
      <c r="V501" s="5"/>
      <c r="W501" s="5"/>
      <c r="X501" s="5"/>
      <c r="Y501" s="5"/>
      <c r="Z501" s="5"/>
      <c r="AA501" s="5"/>
    </row>
    <row r="502" spans="1:27" ht="12.75" customHeight="1">
      <c r="A502" s="5"/>
      <c r="B502" s="5"/>
      <c r="C502" s="5"/>
      <c r="D502" s="5"/>
      <c r="E502" s="5"/>
      <c r="F502" s="5"/>
      <c r="G502" s="5"/>
      <c r="H502" s="306"/>
      <c r="I502" s="306"/>
      <c r="J502" s="5"/>
      <c r="K502" s="5"/>
      <c r="L502" s="5"/>
      <c r="M502" s="5"/>
      <c r="N502" s="5"/>
      <c r="O502" s="5"/>
      <c r="P502" s="57"/>
      <c r="Q502" s="5"/>
      <c r="R502" s="5"/>
      <c r="S502" s="5"/>
      <c r="T502" s="5"/>
      <c r="U502" s="5"/>
      <c r="V502" s="5"/>
      <c r="W502" s="5"/>
      <c r="X502" s="5"/>
      <c r="Y502" s="5"/>
      <c r="Z502" s="5"/>
      <c r="AA502" s="5"/>
    </row>
    <row r="503" spans="1:27" ht="12.75" customHeight="1">
      <c r="A503" s="5"/>
      <c r="B503" s="5"/>
      <c r="C503" s="5"/>
      <c r="D503" s="5"/>
      <c r="E503" s="5"/>
      <c r="F503" s="5"/>
      <c r="G503" s="5"/>
      <c r="H503" s="306"/>
      <c r="I503" s="306"/>
      <c r="J503" s="5"/>
      <c r="K503" s="5"/>
      <c r="L503" s="5"/>
      <c r="M503" s="5"/>
      <c r="N503" s="5"/>
      <c r="O503" s="5"/>
      <c r="P503" s="57"/>
      <c r="Q503" s="5"/>
      <c r="R503" s="5"/>
      <c r="S503" s="5"/>
      <c r="T503" s="5"/>
      <c r="U503" s="5"/>
      <c r="V503" s="5"/>
      <c r="W503" s="5"/>
      <c r="X503" s="5"/>
      <c r="Y503" s="5"/>
      <c r="Z503" s="5"/>
      <c r="AA503" s="5"/>
    </row>
    <row r="504" spans="1:27" ht="12.75" customHeight="1">
      <c r="A504" s="5"/>
      <c r="B504" s="5"/>
      <c r="C504" s="5"/>
      <c r="D504" s="5"/>
      <c r="E504" s="5"/>
      <c r="F504" s="5"/>
      <c r="G504" s="5"/>
      <c r="H504" s="306"/>
      <c r="I504" s="306"/>
      <c r="J504" s="5"/>
      <c r="K504" s="5"/>
      <c r="L504" s="5"/>
      <c r="M504" s="5"/>
      <c r="N504" s="5"/>
      <c r="O504" s="5"/>
      <c r="P504" s="57"/>
      <c r="Q504" s="5"/>
      <c r="R504" s="5"/>
      <c r="S504" s="5"/>
      <c r="T504" s="5"/>
      <c r="U504" s="5"/>
      <c r="V504" s="5"/>
      <c r="W504" s="5"/>
      <c r="X504" s="5"/>
      <c r="Y504" s="5"/>
      <c r="Z504" s="5"/>
      <c r="AA504" s="5"/>
    </row>
    <row r="505" spans="1:27" ht="12.75" customHeight="1">
      <c r="A505" s="5"/>
      <c r="B505" s="5"/>
      <c r="C505" s="5"/>
      <c r="D505" s="5"/>
      <c r="E505" s="5"/>
      <c r="F505" s="5"/>
      <c r="G505" s="5"/>
      <c r="H505" s="306"/>
      <c r="I505" s="306"/>
      <c r="J505" s="5"/>
      <c r="K505" s="5"/>
      <c r="L505" s="5"/>
      <c r="M505" s="5"/>
      <c r="N505" s="5"/>
      <c r="O505" s="5"/>
      <c r="P505" s="57"/>
      <c r="Q505" s="5"/>
      <c r="R505" s="5"/>
      <c r="S505" s="5"/>
      <c r="T505" s="5"/>
      <c r="U505" s="5"/>
      <c r="V505" s="5"/>
      <c r="W505" s="5"/>
      <c r="X505" s="5"/>
      <c r="Y505" s="5"/>
      <c r="Z505" s="5"/>
      <c r="AA505" s="5"/>
    </row>
    <row r="506" spans="1:27" ht="12.75" customHeight="1">
      <c r="A506" s="5"/>
      <c r="B506" s="5"/>
      <c r="C506" s="5"/>
      <c r="D506" s="5"/>
      <c r="E506" s="5"/>
      <c r="F506" s="5"/>
      <c r="G506" s="5"/>
      <c r="H506" s="306"/>
      <c r="I506" s="306"/>
      <c r="J506" s="5"/>
      <c r="K506" s="5"/>
      <c r="L506" s="5"/>
      <c r="M506" s="5"/>
      <c r="N506" s="5"/>
      <c r="O506" s="5"/>
      <c r="P506" s="57"/>
      <c r="Q506" s="5"/>
      <c r="R506" s="5"/>
      <c r="S506" s="5"/>
      <c r="T506" s="5"/>
      <c r="U506" s="5"/>
      <c r="V506" s="5"/>
      <c r="W506" s="5"/>
      <c r="X506" s="5"/>
      <c r="Y506" s="5"/>
      <c r="Z506" s="5"/>
      <c r="AA506" s="5"/>
    </row>
    <row r="507" spans="1:27" ht="12.75" customHeight="1">
      <c r="A507" s="5"/>
      <c r="B507" s="5"/>
      <c r="C507" s="5"/>
      <c r="D507" s="5"/>
      <c r="E507" s="5"/>
      <c r="F507" s="5"/>
      <c r="G507" s="5"/>
      <c r="H507" s="306"/>
      <c r="I507" s="306"/>
      <c r="J507" s="5"/>
      <c r="K507" s="5"/>
      <c r="L507" s="5"/>
      <c r="M507" s="5"/>
      <c r="N507" s="5"/>
      <c r="O507" s="5"/>
      <c r="P507" s="57"/>
      <c r="Q507" s="5"/>
      <c r="R507" s="5"/>
      <c r="S507" s="5"/>
      <c r="T507" s="5"/>
      <c r="U507" s="5"/>
      <c r="V507" s="5"/>
      <c r="W507" s="5"/>
      <c r="X507" s="5"/>
      <c r="Y507" s="5"/>
      <c r="Z507" s="5"/>
      <c r="AA507" s="5"/>
    </row>
    <row r="508" spans="1:27" ht="12.75" customHeight="1">
      <c r="A508" s="5"/>
      <c r="B508" s="5"/>
      <c r="C508" s="5"/>
      <c r="D508" s="5"/>
      <c r="E508" s="5"/>
      <c r="F508" s="5"/>
      <c r="G508" s="5"/>
      <c r="H508" s="306"/>
      <c r="I508" s="306"/>
      <c r="J508" s="5"/>
      <c r="K508" s="5"/>
      <c r="L508" s="5"/>
      <c r="M508" s="5"/>
      <c r="N508" s="5"/>
      <c r="O508" s="5"/>
      <c r="P508" s="57"/>
      <c r="Q508" s="5"/>
      <c r="R508" s="5"/>
      <c r="S508" s="5"/>
      <c r="T508" s="5"/>
      <c r="U508" s="5"/>
      <c r="V508" s="5"/>
      <c r="W508" s="5"/>
      <c r="X508" s="5"/>
      <c r="Y508" s="5"/>
      <c r="Z508" s="5"/>
      <c r="AA508" s="5"/>
    </row>
    <row r="509" spans="1:27" ht="12.75" customHeight="1">
      <c r="A509" s="5"/>
      <c r="B509" s="5"/>
      <c r="C509" s="5"/>
      <c r="D509" s="5"/>
      <c r="E509" s="5"/>
      <c r="F509" s="5"/>
      <c r="G509" s="5"/>
      <c r="H509" s="306"/>
      <c r="I509" s="306"/>
      <c r="J509" s="5"/>
      <c r="K509" s="5"/>
      <c r="L509" s="5"/>
      <c r="M509" s="5"/>
      <c r="N509" s="5"/>
      <c r="O509" s="5"/>
      <c r="P509" s="57"/>
      <c r="Q509" s="5"/>
      <c r="R509" s="5"/>
      <c r="S509" s="5"/>
      <c r="T509" s="5"/>
      <c r="U509" s="5"/>
      <c r="V509" s="5"/>
      <c r="W509" s="5"/>
      <c r="X509" s="5"/>
      <c r="Y509" s="5"/>
      <c r="Z509" s="5"/>
      <c r="AA509" s="5"/>
    </row>
    <row r="510" spans="1:27" ht="12.75" customHeight="1">
      <c r="A510" s="5"/>
      <c r="B510" s="5"/>
      <c r="C510" s="5"/>
      <c r="D510" s="5"/>
      <c r="E510" s="5"/>
      <c r="F510" s="5"/>
      <c r="G510" s="5"/>
      <c r="H510" s="306"/>
      <c r="I510" s="306"/>
      <c r="J510" s="5"/>
      <c r="K510" s="5"/>
      <c r="L510" s="5"/>
      <c r="M510" s="5"/>
      <c r="N510" s="5"/>
      <c r="O510" s="5"/>
      <c r="P510" s="57"/>
      <c r="Q510" s="5"/>
      <c r="R510" s="5"/>
      <c r="S510" s="5"/>
      <c r="T510" s="5"/>
      <c r="U510" s="5"/>
      <c r="V510" s="5"/>
      <c r="W510" s="5"/>
      <c r="X510" s="5"/>
      <c r="Y510" s="5"/>
      <c r="Z510" s="5"/>
      <c r="AA510" s="5"/>
    </row>
    <row r="511" spans="1:27" ht="12.75" customHeight="1">
      <c r="A511" s="5"/>
      <c r="B511" s="5"/>
      <c r="C511" s="5"/>
      <c r="D511" s="5"/>
      <c r="E511" s="5"/>
      <c r="F511" s="5"/>
      <c r="G511" s="5"/>
      <c r="H511" s="306"/>
      <c r="I511" s="306"/>
      <c r="J511" s="5"/>
      <c r="K511" s="5"/>
      <c r="L511" s="5"/>
      <c r="M511" s="5"/>
      <c r="N511" s="5"/>
      <c r="O511" s="5"/>
      <c r="P511" s="57"/>
      <c r="Q511" s="5"/>
      <c r="R511" s="5"/>
      <c r="S511" s="5"/>
      <c r="T511" s="5"/>
      <c r="U511" s="5"/>
      <c r="V511" s="5"/>
      <c r="W511" s="5"/>
      <c r="X511" s="5"/>
      <c r="Y511" s="5"/>
      <c r="Z511" s="5"/>
      <c r="AA511" s="5"/>
    </row>
    <row r="512" spans="1:27" ht="12.75" customHeight="1">
      <c r="A512" s="5"/>
      <c r="B512" s="5"/>
      <c r="C512" s="5"/>
      <c r="D512" s="5"/>
      <c r="E512" s="5"/>
      <c r="F512" s="5"/>
      <c r="G512" s="5"/>
      <c r="H512" s="306"/>
      <c r="I512" s="306"/>
      <c r="J512" s="5"/>
      <c r="K512" s="5"/>
      <c r="L512" s="5"/>
      <c r="M512" s="5"/>
      <c r="N512" s="5"/>
      <c r="O512" s="5"/>
      <c r="P512" s="57"/>
      <c r="Q512" s="5"/>
      <c r="R512" s="5"/>
      <c r="S512" s="5"/>
      <c r="T512" s="5"/>
      <c r="U512" s="5"/>
      <c r="V512" s="5"/>
      <c r="W512" s="5"/>
      <c r="X512" s="5"/>
      <c r="Y512" s="5"/>
      <c r="Z512" s="5"/>
      <c r="AA512" s="5"/>
    </row>
    <row r="513" spans="1:27" ht="12.75" customHeight="1">
      <c r="A513" s="5"/>
      <c r="B513" s="5"/>
      <c r="C513" s="5"/>
      <c r="D513" s="5"/>
      <c r="E513" s="5"/>
      <c r="F513" s="5"/>
      <c r="G513" s="5"/>
      <c r="H513" s="306"/>
      <c r="I513" s="306"/>
      <c r="J513" s="5"/>
      <c r="K513" s="5"/>
      <c r="L513" s="5"/>
      <c r="M513" s="5"/>
      <c r="N513" s="5"/>
      <c r="O513" s="5"/>
      <c r="P513" s="57"/>
      <c r="Q513" s="5"/>
      <c r="R513" s="5"/>
      <c r="S513" s="5"/>
      <c r="T513" s="5"/>
      <c r="U513" s="5"/>
      <c r="V513" s="5"/>
      <c r="W513" s="5"/>
      <c r="X513" s="5"/>
      <c r="Y513" s="5"/>
      <c r="Z513" s="5"/>
      <c r="AA513" s="5"/>
    </row>
    <row r="514" spans="1:27" ht="12.75" customHeight="1">
      <c r="A514" s="5"/>
      <c r="B514" s="5"/>
      <c r="C514" s="5"/>
      <c r="D514" s="5"/>
      <c r="E514" s="5"/>
      <c r="F514" s="5"/>
      <c r="G514" s="5"/>
      <c r="H514" s="306"/>
      <c r="I514" s="306"/>
      <c r="J514" s="5"/>
      <c r="K514" s="5"/>
      <c r="L514" s="5"/>
      <c r="M514" s="5"/>
      <c r="N514" s="5"/>
      <c r="O514" s="5"/>
      <c r="P514" s="57"/>
      <c r="Q514" s="5"/>
      <c r="R514" s="5"/>
      <c r="S514" s="5"/>
      <c r="T514" s="5"/>
      <c r="U514" s="5"/>
      <c r="V514" s="5"/>
      <c r="W514" s="5"/>
      <c r="X514" s="5"/>
      <c r="Y514" s="5"/>
      <c r="Z514" s="5"/>
      <c r="AA514" s="5"/>
    </row>
    <row r="515" spans="1:27" ht="12.75" customHeight="1">
      <c r="A515" s="5"/>
      <c r="B515" s="5"/>
      <c r="C515" s="5"/>
      <c r="D515" s="5"/>
      <c r="E515" s="5"/>
      <c r="F515" s="5"/>
      <c r="G515" s="5"/>
      <c r="H515" s="306"/>
      <c r="I515" s="306"/>
      <c r="J515" s="5"/>
      <c r="K515" s="5"/>
      <c r="L515" s="5"/>
      <c r="M515" s="5"/>
      <c r="N515" s="5"/>
      <c r="O515" s="5"/>
      <c r="P515" s="57"/>
      <c r="Q515" s="5"/>
      <c r="R515" s="5"/>
      <c r="S515" s="5"/>
      <c r="T515" s="5"/>
      <c r="U515" s="5"/>
      <c r="V515" s="5"/>
      <c r="W515" s="5"/>
      <c r="X515" s="5"/>
      <c r="Y515" s="5"/>
      <c r="Z515" s="5"/>
      <c r="AA515" s="5"/>
    </row>
    <row r="516" spans="1:27" ht="12.75" customHeight="1">
      <c r="A516" s="5"/>
      <c r="B516" s="5"/>
      <c r="C516" s="5"/>
      <c r="D516" s="5"/>
      <c r="E516" s="5"/>
      <c r="F516" s="5"/>
      <c r="G516" s="5"/>
      <c r="H516" s="306"/>
      <c r="I516" s="306"/>
      <c r="J516" s="5"/>
      <c r="K516" s="5"/>
      <c r="L516" s="5"/>
      <c r="M516" s="5"/>
      <c r="N516" s="5"/>
      <c r="O516" s="5"/>
      <c r="P516" s="57"/>
      <c r="Q516" s="5"/>
      <c r="R516" s="5"/>
      <c r="S516" s="5"/>
      <c r="T516" s="5"/>
      <c r="U516" s="5"/>
      <c r="V516" s="5"/>
      <c r="W516" s="5"/>
      <c r="X516" s="5"/>
      <c r="Y516" s="5"/>
      <c r="Z516" s="5"/>
      <c r="AA516" s="5"/>
    </row>
    <row r="517" spans="1:27" ht="12.75" customHeight="1">
      <c r="A517" s="5"/>
      <c r="B517" s="5"/>
      <c r="C517" s="5"/>
      <c r="D517" s="5"/>
      <c r="E517" s="5"/>
      <c r="F517" s="5"/>
      <c r="G517" s="5"/>
      <c r="H517" s="306"/>
      <c r="I517" s="306"/>
      <c r="J517" s="5"/>
      <c r="K517" s="5"/>
      <c r="L517" s="5"/>
      <c r="M517" s="5"/>
      <c r="N517" s="5"/>
      <c r="O517" s="5"/>
      <c r="P517" s="57"/>
      <c r="Q517" s="5"/>
      <c r="R517" s="5"/>
      <c r="S517" s="5"/>
      <c r="T517" s="5"/>
      <c r="U517" s="5"/>
      <c r="V517" s="5"/>
      <c r="W517" s="5"/>
      <c r="X517" s="5"/>
      <c r="Y517" s="5"/>
      <c r="Z517" s="5"/>
      <c r="AA517" s="5"/>
    </row>
    <row r="518" spans="1:27" ht="12.75" customHeight="1">
      <c r="A518" s="5"/>
      <c r="B518" s="5"/>
      <c r="C518" s="5"/>
      <c r="D518" s="5"/>
      <c r="E518" s="5"/>
      <c r="F518" s="5"/>
      <c r="G518" s="5"/>
      <c r="H518" s="306"/>
      <c r="I518" s="306"/>
      <c r="J518" s="5"/>
      <c r="K518" s="5"/>
      <c r="L518" s="5"/>
      <c r="M518" s="5"/>
      <c r="N518" s="5"/>
      <c r="O518" s="5"/>
      <c r="P518" s="57"/>
      <c r="Q518" s="5"/>
      <c r="R518" s="5"/>
      <c r="S518" s="5"/>
      <c r="T518" s="5"/>
      <c r="U518" s="5"/>
      <c r="V518" s="5"/>
      <c r="W518" s="5"/>
      <c r="X518" s="5"/>
      <c r="Y518" s="5"/>
      <c r="Z518" s="5"/>
      <c r="AA518" s="5"/>
    </row>
    <row r="519" spans="1:27" ht="12.75" customHeight="1">
      <c r="A519" s="5"/>
      <c r="B519" s="5"/>
      <c r="C519" s="5"/>
      <c r="D519" s="5"/>
      <c r="E519" s="5"/>
      <c r="F519" s="5"/>
      <c r="G519" s="5"/>
      <c r="H519" s="306"/>
      <c r="I519" s="306"/>
      <c r="J519" s="5"/>
      <c r="K519" s="5"/>
      <c r="L519" s="5"/>
      <c r="M519" s="5"/>
      <c r="N519" s="5"/>
      <c r="O519" s="5"/>
      <c r="P519" s="57"/>
      <c r="Q519" s="5"/>
      <c r="R519" s="5"/>
      <c r="S519" s="5"/>
      <c r="T519" s="5"/>
      <c r="U519" s="5"/>
      <c r="V519" s="5"/>
      <c r="W519" s="5"/>
      <c r="X519" s="5"/>
      <c r="Y519" s="5"/>
      <c r="Z519" s="5"/>
      <c r="AA519" s="5"/>
    </row>
    <row r="520" spans="1:27" ht="12.75" customHeight="1">
      <c r="A520" s="5"/>
      <c r="B520" s="5"/>
      <c r="C520" s="5"/>
      <c r="D520" s="5"/>
      <c r="E520" s="5"/>
      <c r="F520" s="5"/>
      <c r="G520" s="5"/>
      <c r="H520" s="306"/>
      <c r="I520" s="306"/>
      <c r="J520" s="5"/>
      <c r="K520" s="5"/>
      <c r="L520" s="5"/>
      <c r="M520" s="5"/>
      <c r="N520" s="5"/>
      <c r="O520" s="5"/>
      <c r="P520" s="57"/>
      <c r="Q520" s="5"/>
      <c r="R520" s="5"/>
      <c r="S520" s="5"/>
      <c r="T520" s="5"/>
      <c r="U520" s="5"/>
      <c r="V520" s="5"/>
      <c r="W520" s="5"/>
      <c r="X520" s="5"/>
      <c r="Y520" s="5"/>
      <c r="Z520" s="5"/>
      <c r="AA520" s="5"/>
    </row>
    <row r="521" spans="1:27" ht="12.75" customHeight="1">
      <c r="A521" s="5"/>
      <c r="B521" s="5"/>
      <c r="C521" s="5"/>
      <c r="D521" s="5"/>
      <c r="E521" s="5"/>
      <c r="F521" s="5"/>
      <c r="G521" s="5"/>
      <c r="H521" s="306"/>
      <c r="I521" s="306"/>
      <c r="J521" s="5"/>
      <c r="K521" s="5"/>
      <c r="L521" s="5"/>
      <c r="M521" s="5"/>
      <c r="N521" s="5"/>
      <c r="O521" s="5"/>
      <c r="P521" s="57"/>
      <c r="Q521" s="5"/>
      <c r="R521" s="5"/>
      <c r="S521" s="5"/>
      <c r="T521" s="5"/>
      <c r="U521" s="5"/>
      <c r="V521" s="5"/>
      <c r="W521" s="5"/>
      <c r="X521" s="5"/>
      <c r="Y521" s="5"/>
      <c r="Z521" s="5"/>
      <c r="AA521" s="5"/>
    </row>
    <row r="522" spans="1:27" ht="12.75" customHeight="1">
      <c r="A522" s="5"/>
      <c r="B522" s="5"/>
      <c r="C522" s="5"/>
      <c r="D522" s="5"/>
      <c r="E522" s="5"/>
      <c r="F522" s="5"/>
      <c r="G522" s="5"/>
      <c r="H522" s="306"/>
      <c r="I522" s="306"/>
      <c r="J522" s="5"/>
      <c r="K522" s="5"/>
      <c r="L522" s="5"/>
      <c r="M522" s="5"/>
      <c r="N522" s="5"/>
      <c r="O522" s="5"/>
      <c r="P522" s="57"/>
      <c r="Q522" s="5"/>
      <c r="R522" s="5"/>
      <c r="S522" s="5"/>
      <c r="T522" s="5"/>
      <c r="U522" s="5"/>
      <c r="V522" s="5"/>
      <c r="W522" s="5"/>
      <c r="X522" s="5"/>
      <c r="Y522" s="5"/>
      <c r="Z522" s="5"/>
      <c r="AA522" s="5"/>
    </row>
    <row r="523" spans="1:27" ht="12.75" customHeight="1">
      <c r="A523" s="5"/>
      <c r="B523" s="5"/>
      <c r="C523" s="5"/>
      <c r="D523" s="5"/>
      <c r="E523" s="5"/>
      <c r="F523" s="5"/>
      <c r="G523" s="5"/>
      <c r="H523" s="306"/>
      <c r="I523" s="306"/>
      <c r="J523" s="5"/>
      <c r="K523" s="5"/>
      <c r="L523" s="5"/>
      <c r="M523" s="5"/>
      <c r="N523" s="5"/>
      <c r="O523" s="5"/>
      <c r="P523" s="57"/>
      <c r="Q523" s="5"/>
      <c r="R523" s="5"/>
      <c r="S523" s="5"/>
      <c r="T523" s="5"/>
      <c r="U523" s="5"/>
      <c r="V523" s="5"/>
      <c r="W523" s="5"/>
      <c r="X523" s="5"/>
      <c r="Y523" s="5"/>
      <c r="Z523" s="5"/>
      <c r="AA523" s="5"/>
    </row>
    <row r="524" spans="1:27" ht="12.75" customHeight="1">
      <c r="A524" s="5"/>
      <c r="B524" s="5"/>
      <c r="C524" s="5"/>
      <c r="D524" s="5"/>
      <c r="E524" s="5"/>
      <c r="F524" s="5"/>
      <c r="G524" s="5"/>
      <c r="H524" s="306"/>
      <c r="I524" s="306"/>
      <c r="J524" s="5"/>
      <c r="K524" s="5"/>
      <c r="L524" s="5"/>
      <c r="M524" s="5"/>
      <c r="N524" s="5"/>
      <c r="O524" s="5"/>
      <c r="P524" s="57"/>
      <c r="Q524" s="5"/>
      <c r="R524" s="5"/>
      <c r="S524" s="5"/>
      <c r="T524" s="5"/>
      <c r="U524" s="5"/>
      <c r="V524" s="5"/>
      <c r="W524" s="5"/>
      <c r="X524" s="5"/>
      <c r="Y524" s="5"/>
      <c r="Z524" s="5"/>
      <c r="AA524" s="5"/>
    </row>
    <row r="525" spans="1:27" ht="12.75" customHeight="1">
      <c r="A525" s="5"/>
      <c r="B525" s="5"/>
      <c r="C525" s="5"/>
      <c r="D525" s="5"/>
      <c r="E525" s="5"/>
      <c r="F525" s="5"/>
      <c r="G525" s="5"/>
      <c r="H525" s="306"/>
      <c r="I525" s="306"/>
      <c r="J525" s="5"/>
      <c r="K525" s="5"/>
      <c r="L525" s="5"/>
      <c r="M525" s="5"/>
      <c r="N525" s="5"/>
      <c r="O525" s="5"/>
      <c r="P525" s="57"/>
      <c r="Q525" s="5"/>
      <c r="R525" s="5"/>
      <c r="S525" s="5"/>
      <c r="T525" s="5"/>
      <c r="U525" s="5"/>
      <c r="V525" s="5"/>
      <c r="W525" s="5"/>
      <c r="X525" s="5"/>
      <c r="Y525" s="5"/>
      <c r="Z525" s="5"/>
      <c r="AA525" s="5"/>
    </row>
    <row r="526" spans="1:27" ht="12.75" customHeight="1">
      <c r="A526" s="5"/>
      <c r="B526" s="5"/>
      <c r="C526" s="5"/>
      <c r="D526" s="5"/>
      <c r="E526" s="5"/>
      <c r="F526" s="5"/>
      <c r="G526" s="5"/>
      <c r="H526" s="306"/>
      <c r="I526" s="306"/>
      <c r="J526" s="5"/>
      <c r="K526" s="5"/>
      <c r="L526" s="5"/>
      <c r="M526" s="5"/>
      <c r="N526" s="5"/>
      <c r="O526" s="5"/>
      <c r="P526" s="57"/>
      <c r="Q526" s="5"/>
      <c r="R526" s="5"/>
      <c r="S526" s="5"/>
      <c r="T526" s="5"/>
      <c r="U526" s="5"/>
      <c r="V526" s="5"/>
      <c r="W526" s="5"/>
      <c r="X526" s="5"/>
      <c r="Y526" s="5"/>
      <c r="Z526" s="5"/>
      <c r="AA526" s="5"/>
    </row>
    <row r="527" spans="1:27" ht="12.75" customHeight="1">
      <c r="A527" s="5"/>
      <c r="B527" s="5"/>
      <c r="C527" s="5"/>
      <c r="D527" s="5"/>
      <c r="E527" s="5"/>
      <c r="F527" s="5"/>
      <c r="G527" s="5"/>
      <c r="H527" s="306"/>
      <c r="I527" s="306"/>
      <c r="J527" s="5"/>
      <c r="K527" s="5"/>
      <c r="L527" s="5"/>
      <c r="M527" s="5"/>
      <c r="N527" s="5"/>
      <c r="O527" s="5"/>
      <c r="P527" s="57"/>
      <c r="Q527" s="5"/>
      <c r="R527" s="5"/>
      <c r="S527" s="5"/>
      <c r="T527" s="5"/>
      <c r="U527" s="5"/>
      <c r="V527" s="5"/>
      <c r="W527" s="5"/>
      <c r="X527" s="5"/>
      <c r="Y527" s="5"/>
      <c r="Z527" s="5"/>
      <c r="AA527" s="5"/>
    </row>
    <row r="528" spans="1:27" ht="12.75" customHeight="1">
      <c r="A528" s="5"/>
      <c r="B528" s="5"/>
      <c r="C528" s="5"/>
      <c r="D528" s="5"/>
      <c r="E528" s="5"/>
      <c r="F528" s="5"/>
      <c r="G528" s="5"/>
      <c r="H528" s="306"/>
      <c r="I528" s="306"/>
      <c r="J528" s="5"/>
      <c r="K528" s="5"/>
      <c r="L528" s="5"/>
      <c r="M528" s="5"/>
      <c r="N528" s="5"/>
      <c r="O528" s="5"/>
      <c r="P528" s="57"/>
      <c r="Q528" s="5"/>
      <c r="R528" s="5"/>
      <c r="S528" s="5"/>
      <c r="T528" s="5"/>
      <c r="U528" s="5"/>
      <c r="V528" s="5"/>
      <c r="W528" s="5"/>
      <c r="X528" s="5"/>
      <c r="Y528" s="5"/>
      <c r="Z528" s="5"/>
      <c r="AA528" s="5"/>
    </row>
    <row r="529" spans="1:27" ht="12.75" customHeight="1">
      <c r="A529" s="5"/>
      <c r="B529" s="5"/>
      <c r="C529" s="5"/>
      <c r="D529" s="5"/>
      <c r="E529" s="5"/>
      <c r="F529" s="5"/>
      <c r="G529" s="5"/>
      <c r="H529" s="306"/>
      <c r="I529" s="306"/>
      <c r="J529" s="5"/>
      <c r="K529" s="5"/>
      <c r="L529" s="5"/>
      <c r="M529" s="5"/>
      <c r="N529" s="5"/>
      <c r="O529" s="5"/>
      <c r="P529" s="57"/>
      <c r="Q529" s="5"/>
      <c r="R529" s="5"/>
      <c r="S529" s="5"/>
      <c r="T529" s="5"/>
      <c r="U529" s="5"/>
      <c r="V529" s="5"/>
      <c r="W529" s="5"/>
      <c r="X529" s="5"/>
      <c r="Y529" s="5"/>
      <c r="Z529" s="5"/>
      <c r="AA529" s="5"/>
    </row>
    <row r="530" spans="1:27" ht="12.75" customHeight="1">
      <c r="A530" s="5"/>
      <c r="B530" s="5"/>
      <c r="C530" s="5"/>
      <c r="D530" s="5"/>
      <c r="E530" s="5"/>
      <c r="F530" s="5"/>
      <c r="G530" s="5"/>
      <c r="H530" s="306"/>
      <c r="I530" s="306"/>
      <c r="J530" s="5"/>
      <c r="K530" s="5"/>
      <c r="L530" s="5"/>
      <c r="M530" s="5"/>
      <c r="N530" s="5"/>
      <c r="O530" s="5"/>
      <c r="P530" s="57"/>
      <c r="Q530" s="5"/>
      <c r="R530" s="5"/>
      <c r="S530" s="5"/>
      <c r="T530" s="5"/>
      <c r="U530" s="5"/>
      <c r="V530" s="5"/>
      <c r="W530" s="5"/>
      <c r="X530" s="5"/>
      <c r="Y530" s="5"/>
      <c r="Z530" s="5"/>
      <c r="AA530" s="5"/>
    </row>
    <row r="531" spans="1:27" ht="12.75" customHeight="1">
      <c r="A531" s="5"/>
      <c r="B531" s="5"/>
      <c r="C531" s="5"/>
      <c r="D531" s="5"/>
      <c r="E531" s="5"/>
      <c r="F531" s="5"/>
      <c r="G531" s="5"/>
      <c r="H531" s="306"/>
      <c r="I531" s="306"/>
      <c r="J531" s="5"/>
      <c r="K531" s="5"/>
      <c r="L531" s="5"/>
      <c r="M531" s="5"/>
      <c r="N531" s="5"/>
      <c r="O531" s="5"/>
      <c r="P531" s="57"/>
      <c r="Q531" s="5"/>
      <c r="R531" s="5"/>
      <c r="S531" s="5"/>
      <c r="T531" s="5"/>
      <c r="U531" s="5"/>
      <c r="V531" s="5"/>
      <c r="W531" s="5"/>
      <c r="X531" s="5"/>
      <c r="Y531" s="5"/>
      <c r="Z531" s="5"/>
      <c r="AA531" s="5"/>
    </row>
    <row r="532" spans="1:27" ht="12.75" customHeight="1">
      <c r="A532" s="5"/>
      <c r="B532" s="5"/>
      <c r="C532" s="5"/>
      <c r="D532" s="5"/>
      <c r="E532" s="5"/>
      <c r="F532" s="5"/>
      <c r="G532" s="5"/>
      <c r="H532" s="306"/>
      <c r="I532" s="306"/>
      <c r="J532" s="5"/>
      <c r="K532" s="5"/>
      <c r="L532" s="5"/>
      <c r="M532" s="5"/>
      <c r="N532" s="5"/>
      <c r="O532" s="5"/>
      <c r="P532" s="57"/>
      <c r="Q532" s="5"/>
      <c r="R532" s="5"/>
      <c r="S532" s="5"/>
      <c r="T532" s="5"/>
      <c r="U532" s="5"/>
      <c r="V532" s="5"/>
      <c r="W532" s="5"/>
      <c r="X532" s="5"/>
      <c r="Y532" s="5"/>
      <c r="Z532" s="5"/>
      <c r="AA532" s="5"/>
    </row>
    <row r="533" spans="1:27" ht="12.75" customHeight="1">
      <c r="A533" s="5"/>
      <c r="B533" s="5"/>
      <c r="C533" s="5"/>
      <c r="D533" s="5"/>
      <c r="E533" s="5"/>
      <c r="F533" s="5"/>
      <c r="G533" s="5"/>
      <c r="H533" s="306"/>
      <c r="I533" s="306"/>
      <c r="J533" s="5"/>
      <c r="K533" s="5"/>
      <c r="L533" s="5"/>
      <c r="M533" s="5"/>
      <c r="N533" s="5"/>
      <c r="O533" s="5"/>
      <c r="P533" s="57"/>
      <c r="Q533" s="5"/>
      <c r="R533" s="5"/>
      <c r="S533" s="5"/>
      <c r="T533" s="5"/>
      <c r="U533" s="5"/>
      <c r="V533" s="5"/>
      <c r="W533" s="5"/>
      <c r="X533" s="5"/>
      <c r="Y533" s="5"/>
      <c r="Z533" s="5"/>
      <c r="AA533" s="5"/>
    </row>
    <row r="534" spans="1:27" ht="12.75" customHeight="1">
      <c r="A534" s="5"/>
      <c r="B534" s="5"/>
      <c r="C534" s="5"/>
      <c r="D534" s="5"/>
      <c r="E534" s="5"/>
      <c r="F534" s="5"/>
      <c r="G534" s="5"/>
      <c r="H534" s="306"/>
      <c r="I534" s="306"/>
      <c r="J534" s="5"/>
      <c r="K534" s="5"/>
      <c r="L534" s="5"/>
      <c r="M534" s="5"/>
      <c r="N534" s="5"/>
      <c r="O534" s="5"/>
      <c r="P534" s="57"/>
      <c r="Q534" s="5"/>
      <c r="R534" s="5"/>
      <c r="S534" s="5"/>
      <c r="T534" s="5"/>
      <c r="U534" s="5"/>
      <c r="V534" s="5"/>
      <c r="W534" s="5"/>
      <c r="X534" s="5"/>
      <c r="Y534" s="5"/>
      <c r="Z534" s="5"/>
      <c r="AA534" s="5"/>
    </row>
    <row r="535" spans="1:27" ht="12.75" customHeight="1">
      <c r="A535" s="5"/>
      <c r="B535" s="5"/>
      <c r="C535" s="5"/>
      <c r="D535" s="5"/>
      <c r="E535" s="5"/>
      <c r="F535" s="5"/>
      <c r="G535" s="5"/>
      <c r="H535" s="306"/>
      <c r="I535" s="306"/>
      <c r="J535" s="5"/>
      <c r="K535" s="5"/>
      <c r="L535" s="5"/>
      <c r="M535" s="5"/>
      <c r="N535" s="5"/>
      <c r="O535" s="5"/>
      <c r="P535" s="57"/>
      <c r="Q535" s="5"/>
      <c r="R535" s="5"/>
      <c r="S535" s="5"/>
      <c r="T535" s="5"/>
      <c r="U535" s="5"/>
      <c r="V535" s="5"/>
      <c r="W535" s="5"/>
      <c r="X535" s="5"/>
      <c r="Y535" s="5"/>
      <c r="Z535" s="5"/>
      <c r="AA535" s="5"/>
    </row>
    <row r="536" spans="1:27" ht="12.75" customHeight="1">
      <c r="A536" s="5"/>
      <c r="B536" s="5"/>
      <c r="C536" s="5"/>
      <c r="D536" s="5"/>
      <c r="E536" s="5"/>
      <c r="F536" s="5"/>
      <c r="G536" s="5"/>
      <c r="H536" s="306"/>
      <c r="I536" s="306"/>
      <c r="J536" s="5"/>
      <c r="K536" s="5"/>
      <c r="L536" s="5"/>
      <c r="M536" s="5"/>
      <c r="N536" s="5"/>
      <c r="O536" s="5"/>
      <c r="P536" s="57"/>
      <c r="Q536" s="5"/>
      <c r="R536" s="5"/>
      <c r="S536" s="5"/>
      <c r="T536" s="5"/>
      <c r="U536" s="5"/>
      <c r="V536" s="5"/>
      <c r="W536" s="5"/>
      <c r="X536" s="5"/>
      <c r="Y536" s="5"/>
      <c r="Z536" s="5"/>
      <c r="AA536" s="5"/>
    </row>
    <row r="537" spans="1:27" ht="12.75" customHeight="1">
      <c r="A537" s="5"/>
      <c r="B537" s="5"/>
      <c r="C537" s="5"/>
      <c r="D537" s="5"/>
      <c r="E537" s="5"/>
      <c r="F537" s="5"/>
      <c r="G537" s="5"/>
      <c r="H537" s="306"/>
      <c r="I537" s="306"/>
      <c r="J537" s="5"/>
      <c r="K537" s="5"/>
      <c r="L537" s="5"/>
      <c r="M537" s="5"/>
      <c r="N537" s="5"/>
      <c r="O537" s="5"/>
      <c r="P537" s="57"/>
      <c r="Q537" s="5"/>
      <c r="R537" s="5"/>
      <c r="S537" s="5"/>
      <c r="T537" s="5"/>
      <c r="U537" s="5"/>
      <c r="V537" s="5"/>
      <c r="W537" s="5"/>
      <c r="X537" s="5"/>
      <c r="Y537" s="5"/>
      <c r="Z537" s="5"/>
      <c r="AA537" s="5"/>
    </row>
    <row r="538" spans="1:27" ht="12.75" customHeight="1">
      <c r="A538" s="5"/>
      <c r="B538" s="5"/>
      <c r="C538" s="5"/>
      <c r="D538" s="5"/>
      <c r="E538" s="5"/>
      <c r="F538" s="5"/>
      <c r="G538" s="5"/>
      <c r="H538" s="306"/>
      <c r="I538" s="306"/>
      <c r="J538" s="5"/>
      <c r="K538" s="5"/>
      <c r="L538" s="5"/>
      <c r="M538" s="5"/>
      <c r="N538" s="5"/>
      <c r="O538" s="5"/>
      <c r="P538" s="57"/>
      <c r="Q538" s="5"/>
      <c r="R538" s="5"/>
      <c r="S538" s="5"/>
      <c r="T538" s="5"/>
      <c r="U538" s="5"/>
      <c r="V538" s="5"/>
      <c r="W538" s="5"/>
      <c r="X538" s="5"/>
      <c r="Y538" s="5"/>
      <c r="Z538" s="5"/>
      <c r="AA538" s="5"/>
    </row>
    <row r="539" spans="1:27" ht="12.75" customHeight="1">
      <c r="A539" s="5"/>
      <c r="B539" s="5"/>
      <c r="C539" s="5"/>
      <c r="D539" s="5"/>
      <c r="E539" s="5"/>
      <c r="F539" s="5"/>
      <c r="G539" s="5"/>
      <c r="H539" s="306"/>
      <c r="I539" s="306"/>
      <c r="J539" s="5"/>
      <c r="K539" s="5"/>
      <c r="L539" s="5"/>
      <c r="M539" s="5"/>
      <c r="N539" s="5"/>
      <c r="O539" s="5"/>
      <c r="P539" s="57"/>
      <c r="Q539" s="5"/>
      <c r="R539" s="5"/>
      <c r="S539" s="5"/>
      <c r="T539" s="5"/>
      <c r="U539" s="5"/>
      <c r="V539" s="5"/>
      <c r="W539" s="5"/>
      <c r="X539" s="5"/>
      <c r="Y539" s="5"/>
      <c r="Z539" s="5"/>
      <c r="AA539" s="5"/>
    </row>
    <row r="540" spans="1:27" ht="12.75" customHeight="1">
      <c r="A540" s="5"/>
      <c r="B540" s="5"/>
      <c r="C540" s="5"/>
      <c r="D540" s="5"/>
      <c r="E540" s="5"/>
      <c r="F540" s="5"/>
      <c r="G540" s="5"/>
      <c r="H540" s="306"/>
      <c r="I540" s="306"/>
      <c r="J540" s="5"/>
      <c r="K540" s="5"/>
      <c r="L540" s="5"/>
      <c r="M540" s="5"/>
      <c r="N540" s="5"/>
      <c r="O540" s="5"/>
      <c r="P540" s="57"/>
      <c r="Q540" s="5"/>
      <c r="R540" s="5"/>
      <c r="S540" s="5"/>
      <c r="T540" s="5"/>
      <c r="U540" s="5"/>
      <c r="V540" s="5"/>
      <c r="W540" s="5"/>
      <c r="X540" s="5"/>
      <c r="Y540" s="5"/>
      <c r="Z540" s="5"/>
      <c r="AA540" s="5"/>
    </row>
    <row r="541" spans="1:27" ht="12.75" customHeight="1">
      <c r="A541" s="5"/>
      <c r="B541" s="5"/>
      <c r="C541" s="5"/>
      <c r="D541" s="5"/>
      <c r="E541" s="5"/>
      <c r="F541" s="5"/>
      <c r="G541" s="5"/>
      <c r="H541" s="306"/>
      <c r="I541" s="306"/>
      <c r="J541" s="5"/>
      <c r="K541" s="5"/>
      <c r="L541" s="5"/>
      <c r="M541" s="5"/>
      <c r="N541" s="5"/>
      <c r="O541" s="5"/>
      <c r="P541" s="57"/>
      <c r="Q541" s="5"/>
      <c r="R541" s="5"/>
      <c r="S541" s="5"/>
      <c r="T541" s="5"/>
      <c r="U541" s="5"/>
      <c r="V541" s="5"/>
      <c r="W541" s="5"/>
      <c r="X541" s="5"/>
      <c r="Y541" s="5"/>
      <c r="Z541" s="5"/>
      <c r="AA541" s="5"/>
    </row>
    <row r="542" spans="1:27" ht="12.75" customHeight="1">
      <c r="A542" s="5"/>
      <c r="B542" s="5"/>
      <c r="C542" s="5"/>
      <c r="D542" s="5"/>
      <c r="E542" s="5"/>
      <c r="F542" s="5"/>
      <c r="G542" s="5"/>
      <c r="H542" s="306"/>
      <c r="I542" s="306"/>
      <c r="J542" s="5"/>
      <c r="K542" s="5"/>
      <c r="L542" s="5"/>
      <c r="M542" s="5"/>
      <c r="N542" s="5"/>
      <c r="O542" s="5"/>
      <c r="P542" s="57"/>
      <c r="Q542" s="5"/>
      <c r="R542" s="5"/>
      <c r="S542" s="5"/>
      <c r="T542" s="5"/>
      <c r="U542" s="5"/>
      <c r="V542" s="5"/>
      <c r="W542" s="5"/>
      <c r="X542" s="5"/>
      <c r="Y542" s="5"/>
      <c r="Z542" s="5"/>
      <c r="AA542" s="5"/>
    </row>
    <row r="543" spans="1:27" ht="12.75" customHeight="1">
      <c r="A543" s="5"/>
      <c r="B543" s="5"/>
      <c r="C543" s="5"/>
      <c r="D543" s="5"/>
      <c r="E543" s="5"/>
      <c r="F543" s="5"/>
      <c r="G543" s="5"/>
      <c r="H543" s="306"/>
      <c r="I543" s="306"/>
      <c r="J543" s="5"/>
      <c r="K543" s="5"/>
      <c r="L543" s="5"/>
      <c r="M543" s="5"/>
      <c r="N543" s="5"/>
      <c r="O543" s="5"/>
      <c r="P543" s="57"/>
      <c r="Q543" s="5"/>
      <c r="R543" s="5"/>
      <c r="S543" s="5"/>
      <c r="T543" s="5"/>
      <c r="U543" s="5"/>
      <c r="V543" s="5"/>
      <c r="W543" s="5"/>
      <c r="X543" s="5"/>
      <c r="Y543" s="5"/>
      <c r="Z543" s="5"/>
      <c r="AA543" s="5"/>
    </row>
    <row r="544" spans="1:27" ht="12.75" customHeight="1">
      <c r="A544" s="5"/>
      <c r="B544" s="5"/>
      <c r="C544" s="5"/>
      <c r="D544" s="5"/>
      <c r="E544" s="5"/>
      <c r="F544" s="5"/>
      <c r="G544" s="5"/>
      <c r="H544" s="306"/>
      <c r="I544" s="306"/>
      <c r="J544" s="5"/>
      <c r="K544" s="5"/>
      <c r="L544" s="5"/>
      <c r="M544" s="5"/>
      <c r="N544" s="5"/>
      <c r="O544" s="5"/>
      <c r="P544" s="57"/>
      <c r="Q544" s="5"/>
      <c r="R544" s="5"/>
      <c r="S544" s="5"/>
      <c r="T544" s="5"/>
      <c r="U544" s="5"/>
      <c r="V544" s="5"/>
      <c r="W544" s="5"/>
      <c r="X544" s="5"/>
      <c r="Y544" s="5"/>
      <c r="Z544" s="5"/>
      <c r="AA544" s="5"/>
    </row>
    <row r="545" spans="1:27" ht="12.75" customHeight="1">
      <c r="A545" s="5"/>
      <c r="B545" s="5"/>
      <c r="C545" s="5"/>
      <c r="D545" s="5"/>
      <c r="E545" s="5"/>
      <c r="F545" s="5"/>
      <c r="G545" s="5"/>
      <c r="H545" s="306"/>
      <c r="I545" s="306"/>
      <c r="J545" s="5"/>
      <c r="K545" s="5"/>
      <c r="L545" s="5"/>
      <c r="M545" s="5"/>
      <c r="N545" s="5"/>
      <c r="O545" s="5"/>
      <c r="P545" s="57"/>
      <c r="Q545" s="5"/>
      <c r="R545" s="5"/>
      <c r="S545" s="5"/>
      <c r="T545" s="5"/>
      <c r="U545" s="5"/>
      <c r="V545" s="5"/>
      <c r="W545" s="5"/>
      <c r="X545" s="5"/>
      <c r="Y545" s="5"/>
      <c r="Z545" s="5"/>
      <c r="AA545" s="5"/>
    </row>
    <row r="546" spans="1:27" ht="12.75" customHeight="1">
      <c r="A546" s="5"/>
      <c r="B546" s="5"/>
      <c r="C546" s="5"/>
      <c r="D546" s="5"/>
      <c r="E546" s="5"/>
      <c r="F546" s="5"/>
      <c r="G546" s="5"/>
      <c r="H546" s="306"/>
      <c r="I546" s="306"/>
      <c r="J546" s="5"/>
      <c r="K546" s="5"/>
      <c r="L546" s="5"/>
      <c r="M546" s="5"/>
      <c r="N546" s="5"/>
      <c r="O546" s="5"/>
      <c r="P546" s="57"/>
      <c r="Q546" s="5"/>
      <c r="R546" s="5"/>
      <c r="S546" s="5"/>
      <c r="T546" s="5"/>
      <c r="U546" s="5"/>
      <c r="V546" s="5"/>
      <c r="W546" s="5"/>
      <c r="X546" s="5"/>
      <c r="Y546" s="5"/>
      <c r="Z546" s="5"/>
      <c r="AA546" s="5"/>
    </row>
    <row r="547" spans="1:27" ht="12.75" customHeight="1">
      <c r="A547" s="5"/>
      <c r="B547" s="5"/>
      <c r="C547" s="5"/>
      <c r="D547" s="5"/>
      <c r="E547" s="5"/>
      <c r="F547" s="5"/>
      <c r="G547" s="5"/>
      <c r="H547" s="306"/>
      <c r="I547" s="306"/>
      <c r="J547" s="5"/>
      <c r="K547" s="5"/>
      <c r="L547" s="5"/>
      <c r="M547" s="5"/>
      <c r="N547" s="5"/>
      <c r="O547" s="5"/>
      <c r="P547" s="57"/>
      <c r="Q547" s="5"/>
      <c r="R547" s="5"/>
      <c r="S547" s="5"/>
      <c r="T547" s="5"/>
      <c r="U547" s="5"/>
      <c r="V547" s="5"/>
      <c r="W547" s="5"/>
      <c r="X547" s="5"/>
      <c r="Y547" s="5"/>
      <c r="Z547" s="5"/>
      <c r="AA547" s="5"/>
    </row>
    <row r="548" spans="1:27" ht="12.75" customHeight="1">
      <c r="A548" s="5"/>
      <c r="B548" s="5"/>
      <c r="C548" s="5"/>
      <c r="D548" s="5"/>
      <c r="E548" s="5"/>
      <c r="F548" s="5"/>
      <c r="G548" s="5"/>
      <c r="H548" s="306"/>
      <c r="I548" s="306"/>
      <c r="J548" s="5"/>
      <c r="K548" s="5"/>
      <c r="L548" s="5"/>
      <c r="M548" s="5"/>
      <c r="N548" s="5"/>
      <c r="O548" s="5"/>
      <c r="P548" s="57"/>
      <c r="Q548" s="5"/>
      <c r="R548" s="5"/>
      <c r="S548" s="5"/>
      <c r="T548" s="5"/>
      <c r="U548" s="5"/>
      <c r="V548" s="5"/>
      <c r="W548" s="5"/>
      <c r="X548" s="5"/>
      <c r="Y548" s="5"/>
      <c r="Z548" s="5"/>
      <c r="AA548" s="5"/>
    </row>
    <row r="549" spans="1:27" ht="12.75" customHeight="1">
      <c r="A549" s="5"/>
      <c r="B549" s="5"/>
      <c r="C549" s="5"/>
      <c r="D549" s="5"/>
      <c r="E549" s="5"/>
      <c r="F549" s="5"/>
      <c r="G549" s="5"/>
      <c r="H549" s="306"/>
      <c r="I549" s="306"/>
      <c r="J549" s="5"/>
      <c r="K549" s="5"/>
      <c r="L549" s="5"/>
      <c r="M549" s="5"/>
      <c r="N549" s="5"/>
      <c r="O549" s="5"/>
      <c r="P549" s="57"/>
      <c r="Q549" s="5"/>
      <c r="R549" s="5"/>
      <c r="S549" s="5"/>
      <c r="T549" s="5"/>
      <c r="U549" s="5"/>
      <c r="V549" s="5"/>
      <c r="W549" s="5"/>
      <c r="X549" s="5"/>
      <c r="Y549" s="5"/>
      <c r="Z549" s="5"/>
      <c r="AA549" s="5"/>
    </row>
    <row r="550" spans="1:27" ht="12.75" customHeight="1">
      <c r="A550" s="5"/>
      <c r="B550" s="5"/>
      <c r="C550" s="5"/>
      <c r="D550" s="5"/>
      <c r="E550" s="5"/>
      <c r="F550" s="5"/>
      <c r="G550" s="5"/>
      <c r="H550" s="306"/>
      <c r="I550" s="306"/>
      <c r="J550" s="5"/>
      <c r="K550" s="5"/>
      <c r="L550" s="5"/>
      <c r="M550" s="5"/>
      <c r="N550" s="5"/>
      <c r="O550" s="5"/>
      <c r="P550" s="57"/>
      <c r="Q550" s="5"/>
      <c r="R550" s="5"/>
      <c r="S550" s="5"/>
      <c r="T550" s="5"/>
      <c r="U550" s="5"/>
      <c r="V550" s="5"/>
      <c r="W550" s="5"/>
      <c r="X550" s="5"/>
      <c r="Y550" s="5"/>
      <c r="Z550" s="5"/>
      <c r="AA550" s="5"/>
    </row>
    <row r="551" spans="1:27" ht="12.75" customHeight="1">
      <c r="A551" s="5"/>
      <c r="B551" s="5"/>
      <c r="C551" s="5"/>
      <c r="D551" s="5"/>
      <c r="E551" s="5"/>
      <c r="F551" s="5"/>
      <c r="G551" s="5"/>
      <c r="H551" s="306"/>
      <c r="I551" s="306"/>
      <c r="J551" s="5"/>
      <c r="K551" s="5"/>
      <c r="L551" s="5"/>
      <c r="M551" s="5"/>
      <c r="N551" s="5"/>
      <c r="O551" s="5"/>
      <c r="P551" s="57"/>
      <c r="Q551" s="5"/>
      <c r="R551" s="5"/>
      <c r="S551" s="5"/>
      <c r="T551" s="5"/>
      <c r="U551" s="5"/>
      <c r="V551" s="5"/>
      <c r="W551" s="5"/>
      <c r="X551" s="5"/>
      <c r="Y551" s="5"/>
      <c r="Z551" s="5"/>
      <c r="AA551" s="5"/>
    </row>
    <row r="552" spans="1:27" ht="12.75" customHeight="1">
      <c r="A552" s="5"/>
      <c r="B552" s="5"/>
      <c r="C552" s="5"/>
      <c r="D552" s="5"/>
      <c r="E552" s="5"/>
      <c r="F552" s="5"/>
      <c r="G552" s="5"/>
      <c r="H552" s="306"/>
      <c r="I552" s="306"/>
      <c r="J552" s="5"/>
      <c r="K552" s="5"/>
      <c r="L552" s="5"/>
      <c r="M552" s="5"/>
      <c r="N552" s="5"/>
      <c r="O552" s="5"/>
      <c r="P552" s="57"/>
      <c r="Q552" s="5"/>
      <c r="R552" s="5"/>
      <c r="S552" s="5"/>
      <c r="T552" s="5"/>
      <c r="U552" s="5"/>
      <c r="V552" s="5"/>
      <c r="W552" s="5"/>
      <c r="X552" s="5"/>
      <c r="Y552" s="5"/>
      <c r="Z552" s="5"/>
      <c r="AA552" s="5"/>
    </row>
    <row r="553" spans="1:27" ht="12.75" customHeight="1">
      <c r="A553" s="5"/>
      <c r="B553" s="5"/>
      <c r="C553" s="5"/>
      <c r="D553" s="5"/>
      <c r="E553" s="5"/>
      <c r="F553" s="5"/>
      <c r="G553" s="5"/>
      <c r="H553" s="306"/>
      <c r="I553" s="306"/>
      <c r="J553" s="5"/>
      <c r="K553" s="5"/>
      <c r="L553" s="5"/>
      <c r="M553" s="5"/>
      <c r="N553" s="5"/>
      <c r="O553" s="5"/>
      <c r="P553" s="57"/>
      <c r="Q553" s="5"/>
      <c r="R553" s="5"/>
      <c r="S553" s="5"/>
      <c r="T553" s="5"/>
      <c r="U553" s="5"/>
      <c r="V553" s="5"/>
      <c r="W553" s="5"/>
      <c r="X553" s="5"/>
      <c r="Y553" s="5"/>
      <c r="Z553" s="5"/>
      <c r="AA553" s="5"/>
    </row>
    <row r="554" spans="1:27" ht="12.75" customHeight="1">
      <c r="A554" s="5"/>
      <c r="B554" s="5"/>
      <c r="C554" s="5"/>
      <c r="D554" s="5"/>
      <c r="E554" s="5"/>
      <c r="F554" s="5"/>
      <c r="G554" s="5"/>
      <c r="H554" s="306"/>
      <c r="I554" s="306"/>
      <c r="J554" s="5"/>
      <c r="K554" s="5"/>
      <c r="L554" s="5"/>
      <c r="M554" s="5"/>
      <c r="N554" s="5"/>
      <c r="O554" s="5"/>
      <c r="P554" s="57"/>
      <c r="Q554" s="5"/>
      <c r="R554" s="5"/>
      <c r="S554" s="5"/>
      <c r="T554" s="5"/>
      <c r="U554" s="5"/>
      <c r="V554" s="5"/>
      <c r="W554" s="5"/>
      <c r="X554" s="5"/>
      <c r="Y554" s="5"/>
      <c r="Z554" s="5"/>
      <c r="AA554" s="5"/>
    </row>
    <row r="555" spans="1:27" ht="12.75" customHeight="1">
      <c r="A555" s="5"/>
      <c r="B555" s="5"/>
      <c r="C555" s="5"/>
      <c r="D555" s="5"/>
      <c r="E555" s="5"/>
      <c r="F555" s="5"/>
      <c r="G555" s="5"/>
      <c r="H555" s="306"/>
      <c r="I555" s="306"/>
      <c r="J555" s="5"/>
      <c r="K555" s="5"/>
      <c r="L555" s="5"/>
      <c r="M555" s="5"/>
      <c r="N555" s="5"/>
      <c r="O555" s="5"/>
      <c r="P555" s="57"/>
      <c r="Q555" s="5"/>
      <c r="R555" s="5"/>
      <c r="S555" s="5"/>
      <c r="T555" s="5"/>
      <c r="U555" s="5"/>
      <c r="V555" s="5"/>
      <c r="W555" s="5"/>
      <c r="X555" s="5"/>
      <c r="Y555" s="5"/>
      <c r="Z555" s="5"/>
      <c r="AA555" s="5"/>
    </row>
    <row r="556" spans="1:27" ht="12.75" customHeight="1">
      <c r="A556" s="5"/>
      <c r="B556" s="5"/>
      <c r="C556" s="5"/>
      <c r="D556" s="5"/>
      <c r="E556" s="5"/>
      <c r="F556" s="5"/>
      <c r="G556" s="5"/>
      <c r="H556" s="306"/>
      <c r="I556" s="306"/>
      <c r="J556" s="5"/>
      <c r="K556" s="5"/>
      <c r="L556" s="5"/>
      <c r="M556" s="5"/>
      <c r="N556" s="5"/>
      <c r="O556" s="5"/>
      <c r="P556" s="57"/>
      <c r="Q556" s="5"/>
      <c r="R556" s="5"/>
      <c r="S556" s="5"/>
      <c r="T556" s="5"/>
      <c r="U556" s="5"/>
      <c r="V556" s="5"/>
      <c r="W556" s="5"/>
      <c r="X556" s="5"/>
      <c r="Y556" s="5"/>
      <c r="Z556" s="5"/>
      <c r="AA556" s="5"/>
    </row>
    <row r="557" spans="1:27" ht="12.75" customHeight="1">
      <c r="A557" s="5"/>
      <c r="B557" s="5"/>
      <c r="C557" s="5"/>
      <c r="D557" s="5"/>
      <c r="E557" s="5"/>
      <c r="F557" s="5"/>
      <c r="G557" s="5"/>
      <c r="H557" s="306"/>
      <c r="I557" s="306"/>
      <c r="J557" s="5"/>
      <c r="K557" s="5"/>
      <c r="L557" s="5"/>
      <c r="M557" s="5"/>
      <c r="N557" s="5"/>
      <c r="O557" s="5"/>
      <c r="P557" s="57"/>
      <c r="Q557" s="5"/>
      <c r="R557" s="5"/>
      <c r="S557" s="5"/>
      <c r="T557" s="5"/>
      <c r="U557" s="5"/>
      <c r="V557" s="5"/>
      <c r="W557" s="5"/>
      <c r="X557" s="5"/>
      <c r="Y557" s="5"/>
      <c r="Z557" s="5"/>
      <c r="AA557" s="5"/>
    </row>
    <row r="558" spans="1:27" ht="12.75" customHeight="1">
      <c r="A558" s="5"/>
      <c r="B558" s="5"/>
      <c r="C558" s="5"/>
      <c r="D558" s="5"/>
      <c r="E558" s="5"/>
      <c r="F558" s="5"/>
      <c r="G558" s="5"/>
      <c r="H558" s="306"/>
      <c r="I558" s="306"/>
      <c r="J558" s="5"/>
      <c r="K558" s="5"/>
      <c r="L558" s="5"/>
      <c r="M558" s="5"/>
      <c r="N558" s="5"/>
      <c r="O558" s="5"/>
      <c r="P558" s="57"/>
      <c r="Q558" s="5"/>
      <c r="R558" s="5"/>
      <c r="S558" s="5"/>
      <c r="T558" s="5"/>
      <c r="U558" s="5"/>
      <c r="V558" s="5"/>
      <c r="W558" s="5"/>
      <c r="X558" s="5"/>
      <c r="Y558" s="5"/>
      <c r="Z558" s="5"/>
      <c r="AA558" s="5"/>
    </row>
    <row r="559" spans="1:27" ht="12.75" customHeight="1">
      <c r="A559" s="5"/>
      <c r="B559" s="5"/>
      <c r="C559" s="5"/>
      <c r="D559" s="5"/>
      <c r="E559" s="5"/>
      <c r="F559" s="5"/>
      <c r="G559" s="5"/>
      <c r="H559" s="306"/>
      <c r="I559" s="306"/>
      <c r="J559" s="5"/>
      <c r="K559" s="5"/>
      <c r="L559" s="5"/>
      <c r="M559" s="5"/>
      <c r="N559" s="5"/>
      <c r="O559" s="5"/>
      <c r="P559" s="57"/>
      <c r="Q559" s="5"/>
      <c r="R559" s="5"/>
      <c r="S559" s="5"/>
      <c r="T559" s="5"/>
      <c r="U559" s="5"/>
      <c r="V559" s="5"/>
      <c r="W559" s="5"/>
      <c r="X559" s="5"/>
      <c r="Y559" s="5"/>
      <c r="Z559" s="5"/>
      <c r="AA559" s="5"/>
    </row>
    <row r="560" spans="1:27" ht="12.75" customHeight="1">
      <c r="A560" s="5"/>
      <c r="B560" s="5"/>
      <c r="C560" s="5"/>
      <c r="D560" s="5"/>
      <c r="E560" s="5"/>
      <c r="F560" s="5"/>
      <c r="G560" s="5"/>
      <c r="H560" s="306"/>
      <c r="I560" s="306"/>
      <c r="J560" s="5"/>
      <c r="K560" s="5"/>
      <c r="L560" s="5"/>
      <c r="M560" s="5"/>
      <c r="N560" s="5"/>
      <c r="O560" s="5"/>
      <c r="P560" s="57"/>
      <c r="Q560" s="5"/>
      <c r="R560" s="5"/>
      <c r="S560" s="5"/>
      <c r="T560" s="5"/>
      <c r="U560" s="5"/>
      <c r="V560" s="5"/>
      <c r="W560" s="5"/>
      <c r="X560" s="5"/>
      <c r="Y560" s="5"/>
      <c r="Z560" s="5"/>
      <c r="AA560" s="5"/>
    </row>
    <row r="561" spans="1:27" ht="12.75" customHeight="1">
      <c r="A561" s="5"/>
      <c r="B561" s="5"/>
      <c r="C561" s="5"/>
      <c r="D561" s="5"/>
      <c r="E561" s="5"/>
      <c r="F561" s="5"/>
      <c r="G561" s="5"/>
      <c r="H561" s="306"/>
      <c r="I561" s="306"/>
      <c r="J561" s="5"/>
      <c r="K561" s="5"/>
      <c r="L561" s="5"/>
      <c r="M561" s="5"/>
      <c r="N561" s="5"/>
      <c r="O561" s="5"/>
      <c r="P561" s="57"/>
      <c r="Q561" s="5"/>
      <c r="R561" s="5"/>
      <c r="S561" s="5"/>
      <c r="T561" s="5"/>
      <c r="U561" s="5"/>
      <c r="V561" s="5"/>
      <c r="W561" s="5"/>
      <c r="X561" s="5"/>
      <c r="Y561" s="5"/>
      <c r="Z561" s="5"/>
      <c r="AA561" s="5"/>
    </row>
    <row r="562" spans="1:27" ht="12.75" customHeight="1">
      <c r="A562" s="5"/>
      <c r="B562" s="5"/>
      <c r="C562" s="5"/>
      <c r="D562" s="5"/>
      <c r="E562" s="5"/>
      <c r="F562" s="5"/>
      <c r="G562" s="5"/>
      <c r="H562" s="306"/>
      <c r="I562" s="306"/>
      <c r="J562" s="5"/>
      <c r="K562" s="5"/>
      <c r="L562" s="5"/>
      <c r="M562" s="5"/>
      <c r="N562" s="5"/>
      <c r="O562" s="5"/>
      <c r="P562" s="57"/>
      <c r="Q562" s="5"/>
      <c r="R562" s="5"/>
      <c r="S562" s="5"/>
      <c r="T562" s="5"/>
      <c r="U562" s="5"/>
      <c r="V562" s="5"/>
      <c r="W562" s="5"/>
      <c r="X562" s="5"/>
      <c r="Y562" s="5"/>
      <c r="Z562" s="5"/>
      <c r="AA562" s="5"/>
    </row>
    <row r="563" spans="1:27" ht="12.75" customHeight="1">
      <c r="A563" s="5"/>
      <c r="B563" s="5"/>
      <c r="C563" s="5"/>
      <c r="D563" s="5"/>
      <c r="E563" s="5"/>
      <c r="F563" s="5"/>
      <c r="G563" s="5"/>
      <c r="H563" s="306"/>
      <c r="I563" s="306"/>
      <c r="J563" s="5"/>
      <c r="K563" s="5"/>
      <c r="L563" s="5"/>
      <c r="M563" s="5"/>
      <c r="N563" s="5"/>
      <c r="O563" s="5"/>
      <c r="P563" s="57"/>
      <c r="Q563" s="5"/>
      <c r="R563" s="5"/>
      <c r="S563" s="5"/>
      <c r="T563" s="5"/>
      <c r="U563" s="5"/>
      <c r="V563" s="5"/>
      <c r="W563" s="5"/>
      <c r="X563" s="5"/>
      <c r="Y563" s="5"/>
      <c r="Z563" s="5"/>
      <c r="AA563" s="5"/>
    </row>
    <row r="564" spans="1:27" ht="12.75" customHeight="1">
      <c r="A564" s="5"/>
      <c r="B564" s="5"/>
      <c r="C564" s="5"/>
      <c r="D564" s="5"/>
      <c r="E564" s="5"/>
      <c r="F564" s="5"/>
      <c r="G564" s="5"/>
      <c r="H564" s="306"/>
      <c r="I564" s="306"/>
      <c r="J564" s="5"/>
      <c r="K564" s="5"/>
      <c r="L564" s="5"/>
      <c r="M564" s="5"/>
      <c r="N564" s="5"/>
      <c r="O564" s="5"/>
      <c r="P564" s="57"/>
      <c r="Q564" s="5"/>
      <c r="R564" s="5"/>
      <c r="S564" s="5"/>
      <c r="T564" s="5"/>
      <c r="U564" s="5"/>
      <c r="V564" s="5"/>
      <c r="W564" s="5"/>
      <c r="X564" s="5"/>
      <c r="Y564" s="5"/>
      <c r="Z564" s="5"/>
      <c r="AA564" s="5"/>
    </row>
    <row r="565" spans="1:27" ht="12.75" customHeight="1">
      <c r="A565" s="5"/>
      <c r="B565" s="5"/>
      <c r="C565" s="5"/>
      <c r="D565" s="5"/>
      <c r="E565" s="5"/>
      <c r="F565" s="5"/>
      <c r="G565" s="5"/>
      <c r="H565" s="306"/>
      <c r="I565" s="306"/>
      <c r="J565" s="5"/>
      <c r="K565" s="5"/>
      <c r="L565" s="5"/>
      <c r="M565" s="5"/>
      <c r="N565" s="5"/>
      <c r="O565" s="5"/>
      <c r="P565" s="57"/>
      <c r="Q565" s="5"/>
      <c r="R565" s="5"/>
      <c r="S565" s="5"/>
      <c r="T565" s="5"/>
      <c r="U565" s="5"/>
      <c r="V565" s="5"/>
      <c r="W565" s="5"/>
      <c r="X565" s="5"/>
      <c r="Y565" s="5"/>
      <c r="Z565" s="5"/>
      <c r="AA565" s="5"/>
    </row>
    <row r="566" spans="1:27" ht="12.75" customHeight="1">
      <c r="A566" s="5"/>
      <c r="B566" s="5"/>
      <c r="C566" s="5"/>
      <c r="D566" s="5"/>
      <c r="E566" s="5"/>
      <c r="F566" s="5"/>
      <c r="G566" s="5"/>
      <c r="H566" s="306"/>
      <c r="I566" s="306"/>
      <c r="J566" s="5"/>
      <c r="K566" s="5"/>
      <c r="L566" s="5"/>
      <c r="M566" s="5"/>
      <c r="N566" s="5"/>
      <c r="O566" s="5"/>
      <c r="P566" s="57"/>
      <c r="Q566" s="5"/>
      <c r="R566" s="5"/>
      <c r="S566" s="5"/>
      <c r="T566" s="5"/>
      <c r="U566" s="5"/>
      <c r="V566" s="5"/>
      <c r="W566" s="5"/>
      <c r="X566" s="5"/>
      <c r="Y566" s="5"/>
      <c r="Z566" s="5"/>
      <c r="AA566" s="5"/>
    </row>
    <row r="567" spans="1:27" ht="12.75" customHeight="1">
      <c r="A567" s="5"/>
      <c r="B567" s="5"/>
      <c r="C567" s="5"/>
      <c r="D567" s="5"/>
      <c r="E567" s="5"/>
      <c r="F567" s="5"/>
      <c r="G567" s="5"/>
      <c r="H567" s="306"/>
      <c r="I567" s="306"/>
      <c r="J567" s="5"/>
      <c r="K567" s="5"/>
      <c r="L567" s="5"/>
      <c r="M567" s="5"/>
      <c r="N567" s="5"/>
      <c r="O567" s="5"/>
      <c r="P567" s="57"/>
      <c r="Q567" s="5"/>
      <c r="R567" s="5"/>
      <c r="S567" s="5"/>
      <c r="T567" s="5"/>
      <c r="U567" s="5"/>
      <c r="V567" s="5"/>
      <c r="W567" s="5"/>
      <c r="X567" s="5"/>
      <c r="Y567" s="5"/>
      <c r="Z567" s="5"/>
      <c r="AA567" s="5"/>
    </row>
    <row r="568" spans="1:27" ht="12.75" customHeight="1">
      <c r="A568" s="5"/>
      <c r="B568" s="5"/>
      <c r="C568" s="5"/>
      <c r="D568" s="5"/>
      <c r="E568" s="5"/>
      <c r="F568" s="5"/>
      <c r="G568" s="5"/>
      <c r="H568" s="306"/>
      <c r="I568" s="306"/>
      <c r="J568" s="5"/>
      <c r="K568" s="5"/>
      <c r="L568" s="5"/>
      <c r="M568" s="5"/>
      <c r="N568" s="5"/>
      <c r="O568" s="5"/>
      <c r="P568" s="57"/>
      <c r="Q568" s="5"/>
      <c r="R568" s="5"/>
      <c r="S568" s="5"/>
      <c r="T568" s="5"/>
      <c r="U568" s="5"/>
      <c r="V568" s="5"/>
      <c r="W568" s="5"/>
      <c r="X568" s="5"/>
      <c r="Y568" s="5"/>
      <c r="Z568" s="5"/>
      <c r="AA568" s="5"/>
    </row>
    <row r="569" spans="1:27" ht="12.75" customHeight="1">
      <c r="A569" s="5"/>
      <c r="B569" s="5"/>
      <c r="C569" s="5"/>
      <c r="D569" s="5"/>
      <c r="E569" s="5"/>
      <c r="F569" s="5"/>
      <c r="G569" s="5"/>
      <c r="H569" s="306"/>
      <c r="I569" s="306"/>
      <c r="J569" s="5"/>
      <c r="K569" s="5"/>
      <c r="L569" s="5"/>
      <c r="M569" s="5"/>
      <c r="N569" s="5"/>
      <c r="O569" s="5"/>
      <c r="P569" s="57"/>
      <c r="Q569" s="5"/>
      <c r="R569" s="5"/>
      <c r="S569" s="5"/>
      <c r="T569" s="5"/>
      <c r="U569" s="5"/>
      <c r="V569" s="5"/>
      <c r="W569" s="5"/>
      <c r="X569" s="5"/>
      <c r="Y569" s="5"/>
      <c r="Z569" s="5"/>
      <c r="AA569" s="5"/>
    </row>
    <row r="570" spans="1:27" ht="12.75" customHeight="1">
      <c r="A570" s="5"/>
      <c r="B570" s="5"/>
      <c r="C570" s="5"/>
      <c r="D570" s="5"/>
      <c r="E570" s="5"/>
      <c r="F570" s="5"/>
      <c r="G570" s="5"/>
      <c r="H570" s="306"/>
      <c r="I570" s="306"/>
      <c r="J570" s="5"/>
      <c r="K570" s="5"/>
      <c r="L570" s="5"/>
      <c r="M570" s="5"/>
      <c r="N570" s="5"/>
      <c r="O570" s="5"/>
      <c r="P570" s="57"/>
      <c r="Q570" s="5"/>
      <c r="R570" s="5"/>
      <c r="S570" s="5"/>
      <c r="T570" s="5"/>
      <c r="U570" s="5"/>
      <c r="V570" s="5"/>
      <c r="W570" s="5"/>
      <c r="X570" s="5"/>
      <c r="Y570" s="5"/>
      <c r="Z570" s="5"/>
      <c r="AA570" s="5"/>
    </row>
    <row r="571" spans="1:27" ht="12.75" customHeight="1">
      <c r="A571" s="5"/>
      <c r="B571" s="5"/>
      <c r="C571" s="5"/>
      <c r="D571" s="5"/>
      <c r="E571" s="5"/>
      <c r="F571" s="5"/>
      <c r="G571" s="5"/>
      <c r="H571" s="306"/>
      <c r="I571" s="306"/>
      <c r="J571" s="5"/>
      <c r="K571" s="5"/>
      <c r="L571" s="5"/>
      <c r="M571" s="5"/>
      <c r="N571" s="5"/>
      <c r="O571" s="5"/>
      <c r="P571" s="57"/>
      <c r="Q571" s="5"/>
      <c r="R571" s="5"/>
      <c r="S571" s="5"/>
      <c r="T571" s="5"/>
      <c r="U571" s="5"/>
      <c r="V571" s="5"/>
      <c r="W571" s="5"/>
      <c r="X571" s="5"/>
      <c r="Y571" s="5"/>
      <c r="Z571" s="5"/>
      <c r="AA571" s="5"/>
    </row>
    <row r="572" spans="1:27" ht="12.75" customHeight="1">
      <c r="A572" s="5"/>
      <c r="B572" s="5"/>
      <c r="C572" s="5"/>
      <c r="D572" s="5"/>
      <c r="E572" s="5"/>
      <c r="F572" s="5"/>
      <c r="G572" s="5"/>
      <c r="H572" s="306"/>
      <c r="I572" s="306"/>
      <c r="J572" s="5"/>
      <c r="K572" s="5"/>
      <c r="L572" s="5"/>
      <c r="M572" s="5"/>
      <c r="N572" s="5"/>
      <c r="O572" s="5"/>
      <c r="P572" s="57"/>
      <c r="Q572" s="5"/>
      <c r="R572" s="5"/>
      <c r="S572" s="5"/>
      <c r="T572" s="5"/>
      <c r="U572" s="5"/>
      <c r="V572" s="5"/>
      <c r="W572" s="5"/>
      <c r="X572" s="5"/>
      <c r="Y572" s="5"/>
      <c r="Z572" s="5"/>
      <c r="AA572" s="5"/>
    </row>
    <row r="573" spans="1:27" ht="12.75" customHeight="1">
      <c r="A573" s="5"/>
      <c r="B573" s="5"/>
      <c r="C573" s="5"/>
      <c r="D573" s="5"/>
      <c r="E573" s="5"/>
      <c r="F573" s="5"/>
      <c r="G573" s="5"/>
      <c r="H573" s="306"/>
      <c r="I573" s="306"/>
      <c r="J573" s="5"/>
      <c r="K573" s="5"/>
      <c r="L573" s="5"/>
      <c r="M573" s="5"/>
      <c r="N573" s="5"/>
      <c r="O573" s="5"/>
      <c r="P573" s="57"/>
      <c r="Q573" s="5"/>
      <c r="R573" s="5"/>
      <c r="S573" s="5"/>
      <c r="T573" s="5"/>
      <c r="U573" s="5"/>
      <c r="V573" s="5"/>
      <c r="W573" s="5"/>
      <c r="X573" s="5"/>
      <c r="Y573" s="5"/>
      <c r="Z573" s="5"/>
      <c r="AA573" s="5"/>
    </row>
    <row r="574" spans="1:27" ht="12.75" customHeight="1">
      <c r="A574" s="5"/>
      <c r="B574" s="5"/>
      <c r="C574" s="5"/>
      <c r="D574" s="5"/>
      <c r="E574" s="5"/>
      <c r="F574" s="5"/>
      <c r="G574" s="5"/>
      <c r="H574" s="306"/>
      <c r="I574" s="306"/>
      <c r="J574" s="5"/>
      <c r="K574" s="5"/>
      <c r="L574" s="5"/>
      <c r="M574" s="5"/>
      <c r="N574" s="5"/>
      <c r="O574" s="5"/>
      <c r="P574" s="57"/>
      <c r="Q574" s="5"/>
      <c r="R574" s="5"/>
      <c r="S574" s="5"/>
      <c r="T574" s="5"/>
      <c r="U574" s="5"/>
      <c r="V574" s="5"/>
      <c r="W574" s="5"/>
      <c r="X574" s="5"/>
      <c r="Y574" s="5"/>
      <c r="Z574" s="5"/>
      <c r="AA574" s="5"/>
    </row>
    <row r="575" spans="1:27" ht="12.75" customHeight="1">
      <c r="A575" s="5"/>
      <c r="B575" s="5"/>
      <c r="C575" s="5"/>
      <c r="D575" s="5"/>
      <c r="E575" s="5"/>
      <c r="F575" s="5"/>
      <c r="G575" s="5"/>
      <c r="H575" s="306"/>
      <c r="I575" s="306"/>
      <c r="J575" s="5"/>
      <c r="K575" s="5"/>
      <c r="L575" s="5"/>
      <c r="M575" s="5"/>
      <c r="N575" s="5"/>
      <c r="O575" s="5"/>
      <c r="P575" s="57"/>
      <c r="Q575" s="5"/>
      <c r="R575" s="5"/>
      <c r="S575" s="5"/>
      <c r="T575" s="5"/>
      <c r="U575" s="5"/>
      <c r="V575" s="5"/>
      <c r="W575" s="5"/>
      <c r="X575" s="5"/>
      <c r="Y575" s="5"/>
      <c r="Z575" s="5"/>
      <c r="AA575" s="5"/>
    </row>
    <row r="576" spans="1:27" ht="12.75" customHeight="1">
      <c r="A576" s="5"/>
      <c r="B576" s="5"/>
      <c r="C576" s="5"/>
      <c r="D576" s="5"/>
      <c r="E576" s="5"/>
      <c r="F576" s="5"/>
      <c r="G576" s="5"/>
      <c r="H576" s="306"/>
      <c r="I576" s="306"/>
      <c r="J576" s="5"/>
      <c r="K576" s="5"/>
      <c r="L576" s="5"/>
      <c r="M576" s="5"/>
      <c r="N576" s="5"/>
      <c r="O576" s="5"/>
      <c r="P576" s="57"/>
      <c r="Q576" s="5"/>
      <c r="R576" s="5"/>
      <c r="S576" s="5"/>
      <c r="T576" s="5"/>
      <c r="U576" s="5"/>
      <c r="V576" s="5"/>
      <c r="W576" s="5"/>
      <c r="X576" s="5"/>
      <c r="Y576" s="5"/>
      <c r="Z576" s="5"/>
      <c r="AA576" s="5"/>
    </row>
    <row r="577" spans="1:27" ht="12.75" customHeight="1">
      <c r="A577" s="5"/>
      <c r="B577" s="5"/>
      <c r="C577" s="5"/>
      <c r="D577" s="5"/>
      <c r="E577" s="5"/>
      <c r="F577" s="5"/>
      <c r="G577" s="5"/>
      <c r="H577" s="306"/>
      <c r="I577" s="306"/>
      <c r="J577" s="5"/>
      <c r="K577" s="5"/>
      <c r="L577" s="5"/>
      <c r="M577" s="5"/>
      <c r="N577" s="5"/>
      <c r="O577" s="5"/>
      <c r="P577" s="57"/>
      <c r="Q577" s="5"/>
      <c r="R577" s="5"/>
      <c r="S577" s="5"/>
      <c r="T577" s="5"/>
      <c r="U577" s="5"/>
      <c r="V577" s="5"/>
      <c r="W577" s="5"/>
      <c r="X577" s="5"/>
      <c r="Y577" s="5"/>
      <c r="Z577" s="5"/>
      <c r="AA577" s="5"/>
    </row>
    <row r="578" spans="1:27" ht="12.75" customHeight="1">
      <c r="A578" s="5"/>
      <c r="B578" s="5"/>
      <c r="C578" s="5"/>
      <c r="D578" s="5"/>
      <c r="E578" s="5"/>
      <c r="F578" s="5"/>
      <c r="G578" s="5"/>
      <c r="H578" s="306"/>
      <c r="I578" s="306"/>
      <c r="J578" s="5"/>
      <c r="K578" s="5"/>
      <c r="L578" s="5"/>
      <c r="M578" s="5"/>
      <c r="N578" s="5"/>
      <c r="O578" s="5"/>
      <c r="P578" s="57"/>
      <c r="Q578" s="5"/>
      <c r="R578" s="5"/>
      <c r="S578" s="5"/>
      <c r="T578" s="5"/>
      <c r="U578" s="5"/>
      <c r="V578" s="5"/>
      <c r="W578" s="5"/>
      <c r="X578" s="5"/>
      <c r="Y578" s="5"/>
      <c r="Z578" s="5"/>
      <c r="AA578" s="5"/>
    </row>
    <row r="579" spans="1:27" ht="12.75" customHeight="1">
      <c r="A579" s="5"/>
      <c r="B579" s="5"/>
      <c r="C579" s="5"/>
      <c r="D579" s="5"/>
      <c r="E579" s="5"/>
      <c r="F579" s="5"/>
      <c r="G579" s="5"/>
      <c r="H579" s="306"/>
      <c r="I579" s="306"/>
      <c r="J579" s="5"/>
      <c r="K579" s="5"/>
      <c r="L579" s="5"/>
      <c r="M579" s="5"/>
      <c r="N579" s="5"/>
      <c r="O579" s="5"/>
      <c r="P579" s="57"/>
      <c r="Q579" s="5"/>
      <c r="R579" s="5"/>
      <c r="S579" s="5"/>
      <c r="T579" s="5"/>
      <c r="U579" s="5"/>
      <c r="V579" s="5"/>
      <c r="W579" s="5"/>
      <c r="X579" s="5"/>
      <c r="Y579" s="5"/>
      <c r="Z579" s="5"/>
      <c r="AA579" s="5"/>
    </row>
    <row r="580" spans="1:27" ht="12.75" customHeight="1">
      <c r="A580" s="5"/>
      <c r="B580" s="5"/>
      <c r="C580" s="5"/>
      <c r="D580" s="5"/>
      <c r="E580" s="5"/>
      <c r="F580" s="5"/>
      <c r="G580" s="5"/>
      <c r="H580" s="306"/>
      <c r="I580" s="306"/>
      <c r="J580" s="5"/>
      <c r="K580" s="5"/>
      <c r="L580" s="5"/>
      <c r="M580" s="5"/>
      <c r="N580" s="5"/>
      <c r="O580" s="5"/>
      <c r="P580" s="57"/>
      <c r="Q580" s="5"/>
      <c r="R580" s="5"/>
      <c r="S580" s="5"/>
      <c r="T580" s="5"/>
      <c r="U580" s="5"/>
      <c r="V580" s="5"/>
      <c r="W580" s="5"/>
      <c r="X580" s="5"/>
      <c r="Y580" s="5"/>
      <c r="Z580" s="5"/>
      <c r="AA580" s="5"/>
    </row>
    <row r="581" spans="1:27" ht="12.75" customHeight="1">
      <c r="A581" s="5"/>
      <c r="B581" s="5"/>
      <c r="C581" s="5"/>
      <c r="D581" s="5"/>
      <c r="E581" s="5"/>
      <c r="F581" s="5"/>
      <c r="G581" s="5"/>
      <c r="H581" s="306"/>
      <c r="I581" s="306"/>
      <c r="J581" s="5"/>
      <c r="K581" s="5"/>
      <c r="L581" s="5"/>
      <c r="M581" s="5"/>
      <c r="N581" s="5"/>
      <c r="O581" s="5"/>
      <c r="P581" s="57"/>
      <c r="Q581" s="5"/>
      <c r="R581" s="5"/>
      <c r="S581" s="5"/>
      <c r="T581" s="5"/>
      <c r="U581" s="5"/>
      <c r="V581" s="5"/>
      <c r="W581" s="5"/>
      <c r="X581" s="5"/>
      <c r="Y581" s="5"/>
      <c r="Z581" s="5"/>
      <c r="AA581" s="5"/>
    </row>
    <row r="582" spans="1:27" ht="12.75" customHeight="1">
      <c r="A582" s="5"/>
      <c r="B582" s="5"/>
      <c r="C582" s="5"/>
      <c r="D582" s="5"/>
      <c r="E582" s="5"/>
      <c r="F582" s="5"/>
      <c r="G582" s="5"/>
      <c r="H582" s="306"/>
      <c r="I582" s="306"/>
      <c r="J582" s="5"/>
      <c r="K582" s="5"/>
      <c r="L582" s="5"/>
      <c r="M582" s="5"/>
      <c r="N582" s="5"/>
      <c r="O582" s="5"/>
      <c r="P582" s="57"/>
      <c r="Q582" s="5"/>
      <c r="R582" s="5"/>
      <c r="S582" s="5"/>
      <c r="T582" s="5"/>
      <c r="U582" s="5"/>
      <c r="V582" s="5"/>
      <c r="W582" s="5"/>
      <c r="X582" s="5"/>
      <c r="Y582" s="5"/>
      <c r="Z582" s="5"/>
      <c r="AA582" s="5"/>
    </row>
    <row r="583" spans="1:27" ht="12.75" customHeight="1">
      <c r="A583" s="5"/>
      <c r="B583" s="5"/>
      <c r="C583" s="5"/>
      <c r="D583" s="5"/>
      <c r="E583" s="5"/>
      <c r="F583" s="5"/>
      <c r="G583" s="5"/>
      <c r="H583" s="306"/>
      <c r="I583" s="306"/>
      <c r="J583" s="5"/>
      <c r="K583" s="5"/>
      <c r="L583" s="5"/>
      <c r="M583" s="5"/>
      <c r="N583" s="5"/>
      <c r="O583" s="5"/>
      <c r="P583" s="57"/>
      <c r="Q583" s="5"/>
      <c r="R583" s="5"/>
      <c r="S583" s="5"/>
      <c r="T583" s="5"/>
      <c r="U583" s="5"/>
      <c r="V583" s="5"/>
      <c r="W583" s="5"/>
      <c r="X583" s="5"/>
      <c r="Y583" s="5"/>
      <c r="Z583" s="5"/>
      <c r="AA583" s="5"/>
    </row>
    <row r="584" spans="1:27" ht="12.75" customHeight="1">
      <c r="A584" s="5"/>
      <c r="B584" s="5"/>
      <c r="C584" s="5"/>
      <c r="D584" s="5"/>
      <c r="E584" s="5"/>
      <c r="F584" s="5"/>
      <c r="G584" s="5"/>
      <c r="H584" s="306"/>
      <c r="I584" s="306"/>
      <c r="J584" s="5"/>
      <c r="K584" s="5"/>
      <c r="L584" s="5"/>
      <c r="M584" s="5"/>
      <c r="N584" s="5"/>
      <c r="O584" s="5"/>
      <c r="P584" s="57"/>
      <c r="Q584" s="5"/>
      <c r="R584" s="5"/>
      <c r="S584" s="5"/>
      <c r="T584" s="5"/>
      <c r="U584" s="5"/>
      <c r="V584" s="5"/>
      <c r="W584" s="5"/>
      <c r="X584" s="5"/>
      <c r="Y584" s="5"/>
      <c r="Z584" s="5"/>
      <c r="AA584" s="5"/>
    </row>
    <row r="585" spans="1:27" ht="12.75" customHeight="1">
      <c r="A585" s="5"/>
      <c r="B585" s="5"/>
      <c r="C585" s="5"/>
      <c r="D585" s="5"/>
      <c r="E585" s="5"/>
      <c r="F585" s="5"/>
      <c r="G585" s="5"/>
      <c r="H585" s="306"/>
      <c r="I585" s="306"/>
      <c r="J585" s="5"/>
      <c r="K585" s="5"/>
      <c r="L585" s="5"/>
      <c r="M585" s="5"/>
      <c r="N585" s="5"/>
      <c r="O585" s="5"/>
      <c r="P585" s="57"/>
      <c r="Q585" s="5"/>
      <c r="R585" s="5"/>
      <c r="S585" s="5"/>
      <c r="T585" s="5"/>
      <c r="U585" s="5"/>
      <c r="V585" s="5"/>
      <c r="W585" s="5"/>
      <c r="X585" s="5"/>
      <c r="Y585" s="5"/>
      <c r="Z585" s="5"/>
      <c r="AA585" s="5"/>
    </row>
    <row r="586" spans="1:27" ht="12.75" customHeight="1">
      <c r="A586" s="5"/>
      <c r="B586" s="5"/>
      <c r="C586" s="5"/>
      <c r="D586" s="5"/>
      <c r="E586" s="5"/>
      <c r="F586" s="5"/>
      <c r="G586" s="5"/>
      <c r="H586" s="306"/>
      <c r="I586" s="306"/>
      <c r="J586" s="5"/>
      <c r="K586" s="5"/>
      <c r="L586" s="5"/>
      <c r="M586" s="5"/>
      <c r="N586" s="5"/>
      <c r="O586" s="5"/>
      <c r="P586" s="57"/>
      <c r="Q586" s="5"/>
      <c r="R586" s="5"/>
      <c r="S586" s="5"/>
      <c r="T586" s="5"/>
      <c r="U586" s="5"/>
      <c r="V586" s="5"/>
      <c r="W586" s="5"/>
      <c r="X586" s="5"/>
      <c r="Y586" s="5"/>
      <c r="Z586" s="5"/>
      <c r="AA586" s="5"/>
    </row>
    <row r="587" spans="1:27" ht="12.75" customHeight="1">
      <c r="A587" s="5"/>
      <c r="B587" s="5"/>
      <c r="C587" s="5"/>
      <c r="D587" s="5"/>
      <c r="E587" s="5"/>
      <c r="F587" s="5"/>
      <c r="G587" s="5"/>
      <c r="H587" s="306"/>
      <c r="I587" s="306"/>
      <c r="J587" s="5"/>
      <c r="K587" s="5"/>
      <c r="L587" s="5"/>
      <c r="M587" s="5"/>
      <c r="N587" s="5"/>
      <c r="O587" s="5"/>
      <c r="P587" s="57"/>
      <c r="Q587" s="5"/>
      <c r="R587" s="5"/>
      <c r="S587" s="5"/>
      <c r="T587" s="5"/>
      <c r="U587" s="5"/>
      <c r="V587" s="5"/>
      <c r="W587" s="5"/>
      <c r="X587" s="5"/>
      <c r="Y587" s="5"/>
      <c r="Z587" s="5"/>
      <c r="AA587" s="5"/>
    </row>
    <row r="588" spans="1:27" ht="12.75" customHeight="1">
      <c r="A588" s="5"/>
      <c r="B588" s="5"/>
      <c r="C588" s="5"/>
      <c r="D588" s="5"/>
      <c r="E588" s="5"/>
      <c r="F588" s="5"/>
      <c r="G588" s="5"/>
      <c r="H588" s="306"/>
      <c r="I588" s="306"/>
      <c r="J588" s="5"/>
      <c r="K588" s="5"/>
      <c r="L588" s="5"/>
      <c r="M588" s="5"/>
      <c r="N588" s="5"/>
      <c r="O588" s="5"/>
      <c r="P588" s="57"/>
      <c r="Q588" s="5"/>
      <c r="R588" s="5"/>
      <c r="S588" s="5"/>
      <c r="T588" s="5"/>
      <c r="U588" s="5"/>
      <c r="V588" s="5"/>
      <c r="W588" s="5"/>
      <c r="X588" s="5"/>
      <c r="Y588" s="5"/>
      <c r="Z588" s="5"/>
      <c r="AA588" s="5"/>
    </row>
    <row r="589" spans="1:27" ht="12.75" customHeight="1">
      <c r="A589" s="5"/>
      <c r="B589" s="5"/>
      <c r="C589" s="5"/>
      <c r="D589" s="5"/>
      <c r="E589" s="5"/>
      <c r="F589" s="5"/>
      <c r="G589" s="5"/>
      <c r="H589" s="306"/>
      <c r="I589" s="306"/>
      <c r="J589" s="5"/>
      <c r="K589" s="5"/>
      <c r="L589" s="5"/>
      <c r="M589" s="5"/>
      <c r="N589" s="5"/>
      <c r="O589" s="5"/>
      <c r="P589" s="57"/>
      <c r="Q589" s="5"/>
      <c r="R589" s="5"/>
      <c r="S589" s="5"/>
      <c r="T589" s="5"/>
      <c r="U589" s="5"/>
      <c r="V589" s="5"/>
      <c r="W589" s="5"/>
      <c r="X589" s="5"/>
      <c r="Y589" s="5"/>
      <c r="Z589" s="5"/>
      <c r="AA589" s="5"/>
    </row>
    <row r="590" spans="1:27" ht="12.75" customHeight="1">
      <c r="A590" s="5"/>
      <c r="B590" s="5"/>
      <c r="C590" s="5"/>
      <c r="D590" s="5"/>
      <c r="E590" s="5"/>
      <c r="F590" s="5"/>
      <c r="G590" s="5"/>
      <c r="H590" s="306"/>
      <c r="I590" s="306"/>
      <c r="J590" s="5"/>
      <c r="K590" s="5"/>
      <c r="L590" s="5"/>
      <c r="M590" s="5"/>
      <c r="N590" s="5"/>
      <c r="O590" s="5"/>
      <c r="P590" s="57"/>
      <c r="Q590" s="5"/>
      <c r="R590" s="5"/>
      <c r="S590" s="5"/>
      <c r="T590" s="5"/>
      <c r="U590" s="5"/>
      <c r="V590" s="5"/>
      <c r="W590" s="5"/>
      <c r="X590" s="5"/>
      <c r="Y590" s="5"/>
      <c r="Z590" s="5"/>
      <c r="AA590" s="5"/>
    </row>
    <row r="591" spans="1:27" ht="12.75" customHeight="1">
      <c r="A591" s="5"/>
      <c r="B591" s="5"/>
      <c r="C591" s="5"/>
      <c r="D591" s="5"/>
      <c r="E591" s="5"/>
      <c r="F591" s="5"/>
      <c r="G591" s="5"/>
      <c r="H591" s="306"/>
      <c r="I591" s="306"/>
      <c r="J591" s="5"/>
      <c r="K591" s="5"/>
      <c r="L591" s="5"/>
      <c r="M591" s="5"/>
      <c r="N591" s="5"/>
      <c r="O591" s="5"/>
      <c r="P591" s="57"/>
      <c r="Q591" s="5"/>
      <c r="R591" s="5"/>
      <c r="S591" s="5"/>
      <c r="T591" s="5"/>
      <c r="U591" s="5"/>
      <c r="V591" s="5"/>
      <c r="W591" s="5"/>
      <c r="X591" s="5"/>
      <c r="Y591" s="5"/>
      <c r="Z591" s="5"/>
      <c r="AA591" s="5"/>
    </row>
    <row r="592" spans="1:27" ht="12.75" customHeight="1">
      <c r="A592" s="5"/>
      <c r="B592" s="5"/>
      <c r="C592" s="5"/>
      <c r="D592" s="5"/>
      <c r="E592" s="5"/>
      <c r="F592" s="5"/>
      <c r="G592" s="5"/>
      <c r="H592" s="306"/>
      <c r="I592" s="306"/>
      <c r="J592" s="5"/>
      <c r="K592" s="5"/>
      <c r="L592" s="5"/>
      <c r="M592" s="5"/>
      <c r="N592" s="5"/>
      <c r="O592" s="5"/>
      <c r="P592" s="57"/>
      <c r="Q592" s="5"/>
      <c r="R592" s="5"/>
      <c r="S592" s="5"/>
      <c r="T592" s="5"/>
      <c r="U592" s="5"/>
      <c r="V592" s="5"/>
      <c r="W592" s="5"/>
      <c r="X592" s="5"/>
      <c r="Y592" s="5"/>
      <c r="Z592" s="5"/>
      <c r="AA592" s="5"/>
    </row>
    <row r="593" spans="1:27" ht="12.75" customHeight="1">
      <c r="A593" s="5"/>
      <c r="B593" s="5"/>
      <c r="C593" s="5"/>
      <c r="D593" s="5"/>
      <c r="E593" s="5"/>
      <c r="F593" s="5"/>
      <c r="G593" s="5"/>
      <c r="H593" s="306"/>
      <c r="I593" s="306"/>
      <c r="J593" s="5"/>
      <c r="K593" s="5"/>
      <c r="L593" s="5"/>
      <c r="M593" s="5"/>
      <c r="N593" s="5"/>
      <c r="O593" s="5"/>
      <c r="P593" s="57"/>
      <c r="Q593" s="5"/>
      <c r="R593" s="5"/>
      <c r="S593" s="5"/>
      <c r="T593" s="5"/>
      <c r="U593" s="5"/>
      <c r="V593" s="5"/>
      <c r="W593" s="5"/>
      <c r="X593" s="5"/>
      <c r="Y593" s="5"/>
      <c r="Z593" s="5"/>
      <c r="AA593" s="5"/>
    </row>
    <row r="594" spans="1:27" ht="12.75" customHeight="1">
      <c r="A594" s="5"/>
      <c r="B594" s="5"/>
      <c r="C594" s="5"/>
      <c r="D594" s="5"/>
      <c r="E594" s="5"/>
      <c r="F594" s="5"/>
      <c r="G594" s="5"/>
      <c r="H594" s="306"/>
      <c r="I594" s="306"/>
      <c r="J594" s="5"/>
      <c r="K594" s="5"/>
      <c r="L594" s="5"/>
      <c r="M594" s="5"/>
      <c r="N594" s="5"/>
      <c r="O594" s="5"/>
      <c r="P594" s="57"/>
      <c r="Q594" s="5"/>
      <c r="R594" s="5"/>
      <c r="S594" s="5"/>
      <c r="T594" s="5"/>
      <c r="U594" s="5"/>
      <c r="V594" s="5"/>
      <c r="W594" s="5"/>
      <c r="X594" s="5"/>
      <c r="Y594" s="5"/>
      <c r="Z594" s="5"/>
      <c r="AA594" s="5"/>
    </row>
    <row r="595" spans="1:27" ht="12.75" customHeight="1">
      <c r="A595" s="5"/>
      <c r="B595" s="5"/>
      <c r="C595" s="5"/>
      <c r="D595" s="5"/>
      <c r="E595" s="5"/>
      <c r="F595" s="5"/>
      <c r="G595" s="5"/>
      <c r="H595" s="306"/>
      <c r="I595" s="306"/>
      <c r="J595" s="5"/>
      <c r="K595" s="5"/>
      <c r="L595" s="5"/>
      <c r="M595" s="5"/>
      <c r="N595" s="5"/>
      <c r="O595" s="5"/>
      <c r="P595" s="57"/>
      <c r="Q595" s="5"/>
      <c r="R595" s="5"/>
      <c r="S595" s="5"/>
      <c r="T595" s="5"/>
      <c r="U595" s="5"/>
      <c r="V595" s="5"/>
      <c r="W595" s="5"/>
      <c r="X595" s="5"/>
      <c r="Y595" s="5"/>
      <c r="Z595" s="5"/>
      <c r="AA595" s="5"/>
    </row>
    <row r="596" spans="1:27" ht="12.75" customHeight="1">
      <c r="A596" s="5"/>
      <c r="B596" s="5"/>
      <c r="C596" s="5"/>
      <c r="D596" s="5"/>
      <c r="E596" s="5"/>
      <c r="F596" s="5"/>
      <c r="G596" s="5"/>
      <c r="H596" s="306"/>
      <c r="I596" s="306"/>
      <c r="J596" s="5"/>
      <c r="K596" s="5"/>
      <c r="L596" s="5"/>
      <c r="M596" s="5"/>
      <c r="N596" s="5"/>
      <c r="O596" s="5"/>
      <c r="P596" s="57"/>
      <c r="Q596" s="5"/>
      <c r="R596" s="5"/>
      <c r="S596" s="5"/>
      <c r="T596" s="5"/>
      <c r="U596" s="5"/>
      <c r="V596" s="5"/>
      <c r="W596" s="5"/>
      <c r="X596" s="5"/>
      <c r="Y596" s="5"/>
      <c r="Z596" s="5"/>
      <c r="AA596" s="5"/>
    </row>
    <row r="597" spans="1:27" ht="12.75" customHeight="1">
      <c r="A597" s="5"/>
      <c r="B597" s="5"/>
      <c r="C597" s="5"/>
      <c r="D597" s="5"/>
      <c r="E597" s="5"/>
      <c r="F597" s="5"/>
      <c r="G597" s="5"/>
      <c r="H597" s="306"/>
      <c r="I597" s="306"/>
      <c r="J597" s="5"/>
      <c r="K597" s="5"/>
      <c r="L597" s="5"/>
      <c r="M597" s="5"/>
      <c r="N597" s="5"/>
      <c r="O597" s="5"/>
      <c r="P597" s="57"/>
      <c r="Q597" s="5"/>
      <c r="R597" s="5"/>
      <c r="S597" s="5"/>
      <c r="T597" s="5"/>
      <c r="U597" s="5"/>
      <c r="V597" s="5"/>
      <c r="W597" s="5"/>
      <c r="X597" s="5"/>
      <c r="Y597" s="5"/>
      <c r="Z597" s="5"/>
      <c r="AA597" s="5"/>
    </row>
    <row r="598" spans="1:27" ht="12.75" customHeight="1">
      <c r="A598" s="5"/>
      <c r="B598" s="5"/>
      <c r="C598" s="5"/>
      <c r="D598" s="5"/>
      <c r="E598" s="5"/>
      <c r="F598" s="5"/>
      <c r="G598" s="5"/>
      <c r="H598" s="306"/>
      <c r="I598" s="306"/>
      <c r="J598" s="5"/>
      <c r="K598" s="5"/>
      <c r="L598" s="5"/>
      <c r="M598" s="5"/>
      <c r="N598" s="5"/>
      <c r="O598" s="5"/>
      <c r="P598" s="57"/>
      <c r="Q598" s="5"/>
      <c r="R598" s="5"/>
      <c r="S598" s="5"/>
      <c r="T598" s="5"/>
      <c r="U598" s="5"/>
      <c r="V598" s="5"/>
      <c r="W598" s="5"/>
      <c r="X598" s="5"/>
      <c r="Y598" s="5"/>
      <c r="Z598" s="5"/>
      <c r="AA598" s="5"/>
    </row>
    <row r="599" spans="1:27" ht="12.75" customHeight="1">
      <c r="A599" s="5"/>
      <c r="B599" s="5"/>
      <c r="C599" s="5"/>
      <c r="D599" s="5"/>
      <c r="E599" s="5"/>
      <c r="F599" s="5"/>
      <c r="G599" s="5"/>
      <c r="H599" s="306"/>
      <c r="I599" s="306"/>
      <c r="J599" s="5"/>
      <c r="K599" s="5"/>
      <c r="L599" s="5"/>
      <c r="M599" s="5"/>
      <c r="N599" s="5"/>
      <c r="O599" s="5"/>
      <c r="P599" s="57"/>
      <c r="Q599" s="5"/>
      <c r="R599" s="5"/>
      <c r="S599" s="5"/>
      <c r="T599" s="5"/>
      <c r="U599" s="5"/>
      <c r="V599" s="5"/>
      <c r="W599" s="5"/>
      <c r="X599" s="5"/>
      <c r="Y599" s="5"/>
      <c r="Z599" s="5"/>
      <c r="AA599" s="5"/>
    </row>
    <row r="600" spans="1:27" ht="12.75" customHeight="1">
      <c r="A600" s="5"/>
      <c r="B600" s="5"/>
      <c r="C600" s="5"/>
      <c r="D600" s="5"/>
      <c r="E600" s="5"/>
      <c r="F600" s="5"/>
      <c r="G600" s="5"/>
      <c r="H600" s="306"/>
      <c r="I600" s="306"/>
      <c r="J600" s="5"/>
      <c r="K600" s="5"/>
      <c r="L600" s="5"/>
      <c r="M600" s="5"/>
      <c r="N600" s="5"/>
      <c r="O600" s="5"/>
      <c r="P600" s="57"/>
      <c r="Q600" s="5"/>
      <c r="R600" s="5"/>
      <c r="S600" s="5"/>
      <c r="T600" s="5"/>
      <c r="U600" s="5"/>
      <c r="V600" s="5"/>
      <c r="W600" s="5"/>
      <c r="X600" s="5"/>
      <c r="Y600" s="5"/>
      <c r="Z600" s="5"/>
      <c r="AA600" s="5"/>
    </row>
    <row r="601" spans="1:27" ht="12.75" customHeight="1">
      <c r="A601" s="5"/>
      <c r="B601" s="5"/>
      <c r="C601" s="5"/>
      <c r="D601" s="5"/>
      <c r="E601" s="5"/>
      <c r="F601" s="5"/>
      <c r="G601" s="5"/>
      <c r="H601" s="306"/>
      <c r="I601" s="306"/>
      <c r="J601" s="5"/>
      <c r="K601" s="5"/>
      <c r="L601" s="5"/>
      <c r="M601" s="5"/>
      <c r="N601" s="5"/>
      <c r="O601" s="5"/>
      <c r="P601" s="57"/>
      <c r="Q601" s="5"/>
      <c r="R601" s="5"/>
      <c r="S601" s="5"/>
      <c r="T601" s="5"/>
      <c r="U601" s="5"/>
      <c r="V601" s="5"/>
      <c r="W601" s="5"/>
      <c r="X601" s="5"/>
      <c r="Y601" s="5"/>
      <c r="Z601" s="5"/>
      <c r="AA601" s="5"/>
    </row>
    <row r="602" spans="1:27" ht="12.75" customHeight="1">
      <c r="A602" s="5"/>
      <c r="B602" s="5"/>
      <c r="C602" s="5"/>
      <c r="D602" s="5"/>
      <c r="E602" s="5"/>
      <c r="F602" s="5"/>
      <c r="G602" s="5"/>
      <c r="H602" s="306"/>
      <c r="I602" s="306"/>
      <c r="J602" s="5"/>
      <c r="K602" s="5"/>
      <c r="L602" s="5"/>
      <c r="M602" s="5"/>
      <c r="N602" s="5"/>
      <c r="O602" s="5"/>
      <c r="P602" s="57"/>
      <c r="Q602" s="5"/>
      <c r="R602" s="5"/>
      <c r="S602" s="5"/>
      <c r="T602" s="5"/>
      <c r="U602" s="5"/>
      <c r="V602" s="5"/>
      <c r="W602" s="5"/>
      <c r="X602" s="5"/>
      <c r="Y602" s="5"/>
      <c r="Z602" s="5"/>
      <c r="AA602" s="5"/>
    </row>
    <row r="603" spans="1:27" ht="12.75" customHeight="1">
      <c r="A603" s="5"/>
      <c r="B603" s="5"/>
      <c r="C603" s="5"/>
      <c r="D603" s="5"/>
      <c r="E603" s="5"/>
      <c r="F603" s="5"/>
      <c r="G603" s="5"/>
      <c r="H603" s="306"/>
      <c r="I603" s="306"/>
      <c r="J603" s="5"/>
      <c r="K603" s="5"/>
      <c r="L603" s="5"/>
      <c r="M603" s="5"/>
      <c r="N603" s="5"/>
      <c r="O603" s="5"/>
      <c r="P603" s="57"/>
      <c r="Q603" s="5"/>
      <c r="R603" s="5"/>
      <c r="S603" s="5"/>
      <c r="T603" s="5"/>
      <c r="U603" s="5"/>
      <c r="V603" s="5"/>
      <c r="W603" s="5"/>
      <c r="X603" s="5"/>
      <c r="Y603" s="5"/>
      <c r="Z603" s="5"/>
      <c r="AA603" s="5"/>
    </row>
    <row r="604" spans="1:27" ht="12.75" customHeight="1">
      <c r="A604" s="5"/>
      <c r="B604" s="5"/>
      <c r="C604" s="5"/>
      <c r="D604" s="5"/>
      <c r="E604" s="5"/>
      <c r="F604" s="5"/>
      <c r="G604" s="5"/>
      <c r="H604" s="306"/>
      <c r="I604" s="306"/>
      <c r="J604" s="5"/>
      <c r="K604" s="5"/>
      <c r="L604" s="5"/>
      <c r="M604" s="5"/>
      <c r="N604" s="5"/>
      <c r="O604" s="5"/>
      <c r="P604" s="57"/>
      <c r="Q604" s="5"/>
      <c r="R604" s="5"/>
      <c r="S604" s="5"/>
      <c r="T604" s="5"/>
      <c r="U604" s="5"/>
      <c r="V604" s="5"/>
      <c r="W604" s="5"/>
      <c r="X604" s="5"/>
      <c r="Y604" s="5"/>
      <c r="Z604" s="5"/>
      <c r="AA604" s="5"/>
    </row>
    <row r="605" spans="1:27" ht="12.75" customHeight="1">
      <c r="A605" s="5"/>
      <c r="B605" s="5"/>
      <c r="C605" s="5"/>
      <c r="D605" s="5"/>
      <c r="E605" s="5"/>
      <c r="F605" s="5"/>
      <c r="G605" s="5"/>
      <c r="H605" s="306"/>
      <c r="I605" s="306"/>
      <c r="J605" s="5"/>
      <c r="K605" s="5"/>
      <c r="L605" s="5"/>
      <c r="M605" s="5"/>
      <c r="N605" s="5"/>
      <c r="O605" s="5"/>
      <c r="P605" s="57"/>
      <c r="Q605" s="5"/>
      <c r="R605" s="5"/>
      <c r="S605" s="5"/>
      <c r="T605" s="5"/>
      <c r="U605" s="5"/>
      <c r="V605" s="5"/>
      <c r="W605" s="5"/>
      <c r="X605" s="5"/>
      <c r="Y605" s="5"/>
      <c r="Z605" s="5"/>
      <c r="AA605" s="5"/>
    </row>
    <row r="606" spans="1:27" ht="12.75" customHeight="1">
      <c r="A606" s="5"/>
      <c r="B606" s="5"/>
      <c r="C606" s="5"/>
      <c r="D606" s="5"/>
      <c r="E606" s="5"/>
      <c r="F606" s="5"/>
      <c r="G606" s="5"/>
      <c r="H606" s="306"/>
      <c r="I606" s="306"/>
      <c r="J606" s="5"/>
      <c r="K606" s="5"/>
      <c r="L606" s="5"/>
      <c r="M606" s="5"/>
      <c r="N606" s="5"/>
      <c r="O606" s="5"/>
      <c r="P606" s="57"/>
      <c r="Q606" s="5"/>
      <c r="R606" s="5"/>
      <c r="S606" s="5"/>
      <c r="T606" s="5"/>
      <c r="U606" s="5"/>
      <c r="V606" s="5"/>
      <c r="W606" s="5"/>
      <c r="X606" s="5"/>
      <c r="Y606" s="5"/>
      <c r="Z606" s="5"/>
      <c r="AA606" s="5"/>
    </row>
    <row r="607" spans="1:27" ht="12.75" customHeight="1">
      <c r="A607" s="5"/>
      <c r="B607" s="5"/>
      <c r="C607" s="5"/>
      <c r="D607" s="5"/>
      <c r="E607" s="5"/>
      <c r="F607" s="5"/>
      <c r="G607" s="5"/>
      <c r="H607" s="306"/>
      <c r="I607" s="306"/>
      <c r="J607" s="5"/>
      <c r="K607" s="5"/>
      <c r="L607" s="5"/>
      <c r="M607" s="5"/>
      <c r="N607" s="5"/>
      <c r="O607" s="5"/>
      <c r="P607" s="57"/>
      <c r="Q607" s="5"/>
      <c r="R607" s="5"/>
      <c r="S607" s="5"/>
      <c r="T607" s="5"/>
      <c r="U607" s="5"/>
      <c r="V607" s="5"/>
      <c r="W607" s="5"/>
      <c r="X607" s="5"/>
      <c r="Y607" s="5"/>
      <c r="Z607" s="5"/>
      <c r="AA607" s="5"/>
    </row>
    <row r="608" spans="1:27" ht="12.75" customHeight="1">
      <c r="A608" s="5"/>
      <c r="B608" s="5"/>
      <c r="C608" s="5"/>
      <c r="D608" s="5"/>
      <c r="E608" s="5"/>
      <c r="F608" s="5"/>
      <c r="G608" s="5"/>
      <c r="H608" s="306"/>
      <c r="I608" s="306"/>
      <c r="J608" s="5"/>
      <c r="K608" s="5"/>
      <c r="L608" s="5"/>
      <c r="M608" s="5"/>
      <c r="N608" s="5"/>
      <c r="O608" s="5"/>
      <c r="P608" s="57"/>
      <c r="Q608" s="5"/>
      <c r="R608" s="5"/>
      <c r="S608" s="5"/>
      <c r="T608" s="5"/>
      <c r="U608" s="5"/>
      <c r="V608" s="5"/>
      <c r="W608" s="5"/>
      <c r="X608" s="5"/>
      <c r="Y608" s="5"/>
      <c r="Z608" s="5"/>
      <c r="AA608" s="5"/>
    </row>
    <row r="609" spans="1:27" ht="12.75" customHeight="1">
      <c r="A609" s="5"/>
      <c r="B609" s="5"/>
      <c r="C609" s="5"/>
      <c r="D609" s="5"/>
      <c r="E609" s="5"/>
      <c r="F609" s="5"/>
      <c r="G609" s="5"/>
      <c r="H609" s="306"/>
      <c r="I609" s="306"/>
      <c r="J609" s="5"/>
      <c r="K609" s="5"/>
      <c r="L609" s="5"/>
      <c r="M609" s="5"/>
      <c r="N609" s="5"/>
      <c r="O609" s="5"/>
      <c r="P609" s="57"/>
      <c r="Q609" s="5"/>
      <c r="R609" s="5"/>
      <c r="S609" s="5"/>
      <c r="T609" s="5"/>
      <c r="U609" s="5"/>
      <c r="V609" s="5"/>
      <c r="W609" s="5"/>
      <c r="X609" s="5"/>
      <c r="Y609" s="5"/>
      <c r="Z609" s="5"/>
      <c r="AA609" s="5"/>
    </row>
    <row r="610" spans="1:27" ht="12.75" customHeight="1">
      <c r="A610" s="5"/>
      <c r="B610" s="5"/>
      <c r="C610" s="5"/>
      <c r="D610" s="5"/>
      <c r="E610" s="5"/>
      <c r="F610" s="5"/>
      <c r="G610" s="5"/>
      <c r="H610" s="306"/>
      <c r="I610" s="306"/>
      <c r="J610" s="5"/>
      <c r="K610" s="5"/>
      <c r="L610" s="5"/>
      <c r="M610" s="5"/>
      <c r="N610" s="5"/>
      <c r="O610" s="5"/>
      <c r="P610" s="57"/>
      <c r="Q610" s="5"/>
      <c r="R610" s="5"/>
      <c r="S610" s="5"/>
      <c r="T610" s="5"/>
      <c r="U610" s="5"/>
      <c r="V610" s="5"/>
      <c r="W610" s="5"/>
      <c r="X610" s="5"/>
      <c r="Y610" s="5"/>
      <c r="Z610" s="5"/>
      <c r="AA610" s="5"/>
    </row>
    <row r="611" spans="1:27" ht="12.75" customHeight="1">
      <c r="A611" s="5"/>
      <c r="B611" s="5"/>
      <c r="C611" s="5"/>
      <c r="D611" s="5"/>
      <c r="E611" s="5"/>
      <c r="F611" s="5"/>
      <c r="G611" s="5"/>
      <c r="H611" s="306"/>
      <c r="I611" s="306"/>
      <c r="J611" s="5"/>
      <c r="K611" s="5"/>
      <c r="L611" s="5"/>
      <c r="M611" s="5"/>
      <c r="N611" s="5"/>
      <c r="O611" s="5"/>
      <c r="P611" s="57"/>
      <c r="Q611" s="5"/>
      <c r="R611" s="5"/>
      <c r="S611" s="5"/>
      <c r="T611" s="5"/>
      <c r="U611" s="5"/>
      <c r="V611" s="5"/>
      <c r="W611" s="5"/>
      <c r="X611" s="5"/>
      <c r="Y611" s="5"/>
      <c r="Z611" s="5"/>
      <c r="AA611" s="5"/>
    </row>
    <row r="612" spans="1:27" ht="12.75" customHeight="1">
      <c r="A612" s="5"/>
      <c r="B612" s="5"/>
      <c r="C612" s="5"/>
      <c r="D612" s="5"/>
      <c r="E612" s="5"/>
      <c r="F612" s="5"/>
      <c r="G612" s="5"/>
      <c r="H612" s="306"/>
      <c r="I612" s="306"/>
      <c r="J612" s="5"/>
      <c r="K612" s="5"/>
      <c r="L612" s="5"/>
      <c r="M612" s="5"/>
      <c r="N612" s="5"/>
      <c r="O612" s="5"/>
      <c r="P612" s="57"/>
      <c r="Q612" s="5"/>
      <c r="R612" s="5"/>
      <c r="S612" s="5"/>
      <c r="T612" s="5"/>
      <c r="U612" s="5"/>
      <c r="V612" s="5"/>
      <c r="W612" s="5"/>
      <c r="X612" s="5"/>
      <c r="Y612" s="5"/>
      <c r="Z612" s="5"/>
      <c r="AA612" s="5"/>
    </row>
    <row r="613" spans="1:27" ht="12.75" customHeight="1">
      <c r="A613" s="5"/>
      <c r="B613" s="5"/>
      <c r="C613" s="5"/>
      <c r="D613" s="5"/>
      <c r="E613" s="5"/>
      <c r="F613" s="5"/>
      <c r="G613" s="5"/>
      <c r="H613" s="306"/>
      <c r="I613" s="306"/>
      <c r="J613" s="5"/>
      <c r="K613" s="5"/>
      <c r="L613" s="5"/>
      <c r="M613" s="5"/>
      <c r="N613" s="5"/>
      <c r="O613" s="5"/>
      <c r="P613" s="57"/>
      <c r="Q613" s="5"/>
      <c r="R613" s="5"/>
      <c r="S613" s="5"/>
      <c r="T613" s="5"/>
      <c r="U613" s="5"/>
      <c r="V613" s="5"/>
      <c r="W613" s="5"/>
      <c r="X613" s="5"/>
      <c r="Y613" s="5"/>
      <c r="Z613" s="5"/>
      <c r="AA613" s="5"/>
    </row>
    <row r="614" spans="1:27" ht="12.75" customHeight="1">
      <c r="A614" s="5"/>
      <c r="B614" s="5"/>
      <c r="C614" s="5"/>
      <c r="D614" s="5"/>
      <c r="E614" s="5"/>
      <c r="F614" s="5"/>
      <c r="G614" s="5"/>
      <c r="H614" s="306"/>
      <c r="I614" s="306"/>
      <c r="J614" s="5"/>
      <c r="K614" s="5"/>
      <c r="L614" s="5"/>
      <c r="M614" s="5"/>
      <c r="N614" s="5"/>
      <c r="O614" s="5"/>
      <c r="P614" s="57"/>
      <c r="Q614" s="5"/>
      <c r="R614" s="5"/>
      <c r="S614" s="5"/>
      <c r="T614" s="5"/>
      <c r="U614" s="5"/>
      <c r="V614" s="5"/>
      <c r="W614" s="5"/>
      <c r="X614" s="5"/>
      <c r="Y614" s="5"/>
      <c r="Z614" s="5"/>
      <c r="AA614" s="5"/>
    </row>
    <row r="615" spans="1:27" ht="12.75" customHeight="1">
      <c r="A615" s="5"/>
      <c r="B615" s="5"/>
      <c r="C615" s="5"/>
      <c r="D615" s="5"/>
      <c r="E615" s="5"/>
      <c r="F615" s="5"/>
      <c r="G615" s="5"/>
      <c r="H615" s="306"/>
      <c r="I615" s="306"/>
      <c r="J615" s="5"/>
      <c r="K615" s="5"/>
      <c r="L615" s="5"/>
      <c r="M615" s="5"/>
      <c r="N615" s="5"/>
      <c r="O615" s="5"/>
      <c r="P615" s="57"/>
      <c r="Q615" s="5"/>
      <c r="R615" s="5"/>
      <c r="S615" s="5"/>
      <c r="T615" s="5"/>
      <c r="U615" s="5"/>
      <c r="V615" s="5"/>
      <c r="W615" s="5"/>
      <c r="X615" s="5"/>
      <c r="Y615" s="5"/>
      <c r="Z615" s="5"/>
      <c r="AA615" s="5"/>
    </row>
    <row r="616" spans="1:27" ht="12.75" customHeight="1">
      <c r="A616" s="5"/>
      <c r="B616" s="5"/>
      <c r="C616" s="5"/>
      <c r="D616" s="5"/>
      <c r="E616" s="5"/>
      <c r="F616" s="5"/>
      <c r="G616" s="5"/>
      <c r="H616" s="306"/>
      <c r="I616" s="306"/>
      <c r="J616" s="5"/>
      <c r="K616" s="5"/>
      <c r="L616" s="5"/>
      <c r="M616" s="5"/>
      <c r="N616" s="5"/>
      <c r="O616" s="5"/>
      <c r="P616" s="57"/>
      <c r="Q616" s="5"/>
      <c r="R616" s="5"/>
      <c r="S616" s="5"/>
      <c r="T616" s="5"/>
      <c r="U616" s="5"/>
      <c r="V616" s="5"/>
      <c r="W616" s="5"/>
      <c r="X616" s="5"/>
      <c r="Y616" s="5"/>
      <c r="Z616" s="5"/>
      <c r="AA616" s="5"/>
    </row>
    <row r="617" spans="1:27" ht="12.75" customHeight="1">
      <c r="A617" s="5"/>
      <c r="B617" s="5"/>
      <c r="C617" s="5"/>
      <c r="D617" s="5"/>
      <c r="E617" s="5"/>
      <c r="F617" s="5"/>
      <c r="G617" s="5"/>
      <c r="H617" s="306"/>
      <c r="I617" s="306"/>
      <c r="J617" s="5"/>
      <c r="K617" s="5"/>
      <c r="L617" s="5"/>
      <c r="M617" s="5"/>
      <c r="N617" s="5"/>
      <c r="O617" s="5"/>
      <c r="P617" s="57"/>
      <c r="Q617" s="5"/>
      <c r="R617" s="5"/>
      <c r="S617" s="5"/>
      <c r="T617" s="5"/>
      <c r="U617" s="5"/>
      <c r="V617" s="5"/>
      <c r="W617" s="5"/>
      <c r="X617" s="5"/>
      <c r="Y617" s="5"/>
      <c r="Z617" s="5"/>
      <c r="AA617" s="5"/>
    </row>
    <row r="618" spans="1:27" ht="12.75" customHeight="1">
      <c r="A618" s="5"/>
      <c r="B618" s="5"/>
      <c r="C618" s="5"/>
      <c r="D618" s="5"/>
      <c r="E618" s="5"/>
      <c r="F618" s="5"/>
      <c r="G618" s="5"/>
      <c r="H618" s="306"/>
      <c r="I618" s="306"/>
      <c r="J618" s="5"/>
      <c r="K618" s="5"/>
      <c r="L618" s="5"/>
      <c r="M618" s="5"/>
      <c r="N618" s="5"/>
      <c r="O618" s="5"/>
      <c r="P618" s="57"/>
      <c r="Q618" s="5"/>
      <c r="R618" s="5"/>
      <c r="S618" s="5"/>
      <c r="T618" s="5"/>
      <c r="U618" s="5"/>
      <c r="V618" s="5"/>
      <c r="W618" s="5"/>
      <c r="X618" s="5"/>
      <c r="Y618" s="5"/>
      <c r="Z618" s="5"/>
      <c r="AA618" s="5"/>
    </row>
    <row r="619" spans="1:27" ht="12.75" customHeight="1">
      <c r="A619" s="5"/>
      <c r="B619" s="5"/>
      <c r="C619" s="5"/>
      <c r="D619" s="5"/>
      <c r="E619" s="5"/>
      <c r="F619" s="5"/>
      <c r="G619" s="5"/>
      <c r="H619" s="306"/>
      <c r="I619" s="306"/>
      <c r="J619" s="5"/>
      <c r="K619" s="5"/>
      <c r="L619" s="5"/>
      <c r="M619" s="5"/>
      <c r="N619" s="5"/>
      <c r="O619" s="5"/>
      <c r="P619" s="57"/>
      <c r="Q619" s="5"/>
      <c r="R619" s="5"/>
      <c r="S619" s="5"/>
      <c r="T619" s="5"/>
      <c r="U619" s="5"/>
      <c r="V619" s="5"/>
      <c r="W619" s="5"/>
      <c r="X619" s="5"/>
      <c r="Y619" s="5"/>
      <c r="Z619" s="5"/>
      <c r="AA619" s="5"/>
    </row>
    <row r="620" spans="1:27" ht="12.75" customHeight="1">
      <c r="A620" s="5"/>
      <c r="B620" s="5"/>
      <c r="C620" s="5"/>
      <c r="D620" s="5"/>
      <c r="E620" s="5"/>
      <c r="F620" s="5"/>
      <c r="G620" s="5"/>
      <c r="H620" s="306"/>
      <c r="I620" s="306"/>
      <c r="J620" s="5"/>
      <c r="K620" s="5"/>
      <c r="L620" s="5"/>
      <c r="M620" s="5"/>
      <c r="N620" s="5"/>
      <c r="O620" s="5"/>
      <c r="P620" s="57"/>
      <c r="Q620" s="5"/>
      <c r="R620" s="5"/>
      <c r="S620" s="5"/>
      <c r="T620" s="5"/>
      <c r="U620" s="5"/>
      <c r="V620" s="5"/>
      <c r="W620" s="5"/>
      <c r="X620" s="5"/>
      <c r="Y620" s="5"/>
      <c r="Z620" s="5"/>
      <c r="AA620" s="5"/>
    </row>
    <row r="621" spans="1:27" ht="12.75" customHeight="1">
      <c r="A621" s="5"/>
      <c r="B621" s="5"/>
      <c r="C621" s="5"/>
      <c r="D621" s="5"/>
      <c r="E621" s="5"/>
      <c r="F621" s="5"/>
      <c r="G621" s="5"/>
      <c r="H621" s="306"/>
      <c r="I621" s="306"/>
      <c r="J621" s="5"/>
      <c r="K621" s="5"/>
      <c r="L621" s="5"/>
      <c r="M621" s="5"/>
      <c r="N621" s="5"/>
      <c r="O621" s="5"/>
      <c r="P621" s="57"/>
      <c r="Q621" s="5"/>
      <c r="R621" s="5"/>
      <c r="S621" s="5"/>
      <c r="T621" s="5"/>
      <c r="U621" s="5"/>
      <c r="V621" s="5"/>
      <c r="W621" s="5"/>
      <c r="X621" s="5"/>
      <c r="Y621" s="5"/>
      <c r="Z621" s="5"/>
      <c r="AA621" s="5"/>
    </row>
    <row r="622" spans="1:27" ht="12.75" customHeight="1">
      <c r="A622" s="5"/>
      <c r="B622" s="5"/>
      <c r="C622" s="5"/>
      <c r="D622" s="5"/>
      <c r="E622" s="5"/>
      <c r="F622" s="5"/>
      <c r="G622" s="5"/>
      <c r="H622" s="306"/>
      <c r="I622" s="306"/>
      <c r="J622" s="5"/>
      <c r="K622" s="5"/>
      <c r="L622" s="5"/>
      <c r="M622" s="5"/>
      <c r="N622" s="5"/>
      <c r="O622" s="5"/>
      <c r="P622" s="57"/>
      <c r="Q622" s="5"/>
      <c r="R622" s="5"/>
      <c r="S622" s="5"/>
      <c r="T622" s="5"/>
      <c r="U622" s="5"/>
      <c r="V622" s="5"/>
      <c r="W622" s="5"/>
      <c r="X622" s="5"/>
      <c r="Y622" s="5"/>
      <c r="Z622" s="5"/>
      <c r="AA622" s="5"/>
    </row>
    <row r="623" spans="1:27" ht="12.75" customHeight="1">
      <c r="A623" s="5"/>
      <c r="B623" s="5"/>
      <c r="C623" s="5"/>
      <c r="D623" s="5"/>
      <c r="E623" s="5"/>
      <c r="F623" s="5"/>
      <c r="G623" s="5"/>
      <c r="H623" s="306"/>
      <c r="I623" s="306"/>
      <c r="J623" s="5"/>
      <c r="K623" s="5"/>
      <c r="L623" s="5"/>
      <c r="M623" s="5"/>
      <c r="N623" s="5"/>
      <c r="O623" s="5"/>
      <c r="P623" s="57"/>
      <c r="Q623" s="5"/>
      <c r="R623" s="5"/>
      <c r="S623" s="5"/>
      <c r="T623" s="5"/>
      <c r="U623" s="5"/>
      <c r="V623" s="5"/>
      <c r="W623" s="5"/>
      <c r="X623" s="5"/>
      <c r="Y623" s="5"/>
      <c r="Z623" s="5"/>
      <c r="AA623" s="5"/>
    </row>
    <row r="624" spans="1:27" ht="12.75" customHeight="1">
      <c r="A624" s="5"/>
      <c r="B624" s="5"/>
      <c r="C624" s="5"/>
      <c r="D624" s="5"/>
      <c r="E624" s="5"/>
      <c r="F624" s="5"/>
      <c r="G624" s="5"/>
      <c r="H624" s="306"/>
      <c r="I624" s="306"/>
      <c r="J624" s="5"/>
      <c r="K624" s="5"/>
      <c r="L624" s="5"/>
      <c r="M624" s="5"/>
      <c r="N624" s="5"/>
      <c r="O624" s="5"/>
      <c r="P624" s="57"/>
      <c r="Q624" s="5"/>
      <c r="R624" s="5"/>
      <c r="S624" s="5"/>
      <c r="T624" s="5"/>
      <c r="U624" s="5"/>
      <c r="V624" s="5"/>
      <c r="W624" s="5"/>
      <c r="X624" s="5"/>
      <c r="Y624" s="5"/>
      <c r="Z624" s="5"/>
      <c r="AA624" s="5"/>
    </row>
    <row r="625" spans="1:27" ht="12.75" customHeight="1">
      <c r="A625" s="5"/>
      <c r="B625" s="5"/>
      <c r="C625" s="5"/>
      <c r="D625" s="5"/>
      <c r="E625" s="5"/>
      <c r="F625" s="5"/>
      <c r="G625" s="5"/>
      <c r="H625" s="306"/>
      <c r="I625" s="306"/>
      <c r="J625" s="5"/>
      <c r="K625" s="5"/>
      <c r="L625" s="5"/>
      <c r="M625" s="5"/>
      <c r="N625" s="5"/>
      <c r="O625" s="5"/>
      <c r="P625" s="57"/>
      <c r="Q625" s="5"/>
      <c r="R625" s="5"/>
      <c r="S625" s="5"/>
      <c r="T625" s="5"/>
      <c r="U625" s="5"/>
      <c r="V625" s="5"/>
      <c r="W625" s="5"/>
      <c r="X625" s="5"/>
      <c r="Y625" s="5"/>
      <c r="Z625" s="5"/>
      <c r="AA625" s="5"/>
    </row>
    <row r="626" spans="1:27" ht="12.75" customHeight="1">
      <c r="A626" s="5"/>
      <c r="B626" s="5"/>
      <c r="C626" s="5"/>
      <c r="D626" s="5"/>
      <c r="E626" s="5"/>
      <c r="F626" s="5"/>
      <c r="G626" s="5"/>
      <c r="H626" s="306"/>
      <c r="I626" s="306"/>
      <c r="J626" s="5"/>
      <c r="K626" s="5"/>
      <c r="L626" s="5"/>
      <c r="M626" s="5"/>
      <c r="N626" s="5"/>
      <c r="O626" s="5"/>
      <c r="P626" s="57"/>
      <c r="Q626" s="5"/>
      <c r="R626" s="5"/>
      <c r="S626" s="5"/>
      <c r="T626" s="5"/>
      <c r="U626" s="5"/>
      <c r="V626" s="5"/>
      <c r="W626" s="5"/>
      <c r="X626" s="5"/>
      <c r="Y626" s="5"/>
      <c r="Z626" s="5"/>
      <c r="AA626" s="5"/>
    </row>
    <row r="627" spans="1:27" ht="12.75" customHeight="1">
      <c r="A627" s="5"/>
      <c r="B627" s="5"/>
      <c r="C627" s="5"/>
      <c r="D627" s="5"/>
      <c r="E627" s="5"/>
      <c r="F627" s="5"/>
      <c r="G627" s="5"/>
      <c r="H627" s="306"/>
      <c r="I627" s="306"/>
      <c r="J627" s="5"/>
      <c r="K627" s="5"/>
      <c r="L627" s="5"/>
      <c r="M627" s="5"/>
      <c r="N627" s="5"/>
      <c r="O627" s="5"/>
      <c r="P627" s="57"/>
      <c r="Q627" s="5"/>
      <c r="R627" s="5"/>
      <c r="S627" s="5"/>
      <c r="T627" s="5"/>
      <c r="U627" s="5"/>
      <c r="V627" s="5"/>
      <c r="W627" s="5"/>
      <c r="X627" s="5"/>
      <c r="Y627" s="5"/>
      <c r="Z627" s="5"/>
      <c r="AA627" s="5"/>
    </row>
    <row r="628" spans="1:27" ht="12.75" customHeight="1">
      <c r="A628" s="5"/>
      <c r="B628" s="5"/>
      <c r="C628" s="5"/>
      <c r="D628" s="5"/>
      <c r="E628" s="5"/>
      <c r="F628" s="5"/>
      <c r="G628" s="5"/>
      <c r="H628" s="306"/>
      <c r="I628" s="306"/>
      <c r="J628" s="5"/>
      <c r="K628" s="5"/>
      <c r="L628" s="5"/>
      <c r="M628" s="5"/>
      <c r="N628" s="5"/>
      <c r="O628" s="5"/>
      <c r="P628" s="57"/>
      <c r="Q628" s="5"/>
      <c r="R628" s="5"/>
      <c r="S628" s="5"/>
      <c r="T628" s="5"/>
      <c r="U628" s="5"/>
      <c r="V628" s="5"/>
      <c r="W628" s="5"/>
      <c r="X628" s="5"/>
      <c r="Y628" s="5"/>
      <c r="Z628" s="5"/>
      <c r="AA628" s="5"/>
    </row>
    <row r="629" spans="1:27" ht="12.75" customHeight="1">
      <c r="A629" s="5"/>
      <c r="B629" s="5"/>
      <c r="C629" s="5"/>
      <c r="D629" s="5"/>
      <c r="E629" s="5"/>
      <c r="F629" s="5"/>
      <c r="G629" s="5"/>
      <c r="H629" s="306"/>
      <c r="I629" s="306"/>
      <c r="J629" s="5"/>
      <c r="K629" s="5"/>
      <c r="L629" s="5"/>
      <c r="M629" s="5"/>
      <c r="N629" s="5"/>
      <c r="O629" s="5"/>
      <c r="P629" s="57"/>
      <c r="Q629" s="5"/>
      <c r="R629" s="5"/>
      <c r="S629" s="5"/>
      <c r="T629" s="5"/>
      <c r="U629" s="5"/>
      <c r="V629" s="5"/>
      <c r="W629" s="5"/>
      <c r="X629" s="5"/>
      <c r="Y629" s="5"/>
      <c r="Z629" s="5"/>
      <c r="AA629" s="5"/>
    </row>
    <row r="630" spans="1:27" ht="12.75" customHeight="1">
      <c r="A630" s="5"/>
      <c r="B630" s="5"/>
      <c r="C630" s="5"/>
      <c r="D630" s="5"/>
      <c r="E630" s="5"/>
      <c r="F630" s="5"/>
      <c r="G630" s="5"/>
      <c r="H630" s="306"/>
      <c r="I630" s="306"/>
      <c r="J630" s="5"/>
      <c r="K630" s="5"/>
      <c r="L630" s="5"/>
      <c r="M630" s="5"/>
      <c r="N630" s="5"/>
      <c r="O630" s="5"/>
      <c r="P630" s="57"/>
      <c r="Q630" s="5"/>
      <c r="R630" s="5"/>
      <c r="S630" s="5"/>
      <c r="T630" s="5"/>
      <c r="U630" s="5"/>
      <c r="V630" s="5"/>
      <c r="W630" s="5"/>
      <c r="X630" s="5"/>
      <c r="Y630" s="5"/>
      <c r="Z630" s="5"/>
      <c r="AA630" s="5"/>
    </row>
    <row r="631" spans="1:27" ht="12.75" customHeight="1">
      <c r="A631" s="5"/>
      <c r="B631" s="5"/>
      <c r="C631" s="5"/>
      <c r="D631" s="5"/>
      <c r="E631" s="5"/>
      <c r="F631" s="5"/>
      <c r="G631" s="5"/>
      <c r="H631" s="306"/>
      <c r="I631" s="306"/>
      <c r="J631" s="5"/>
      <c r="K631" s="5"/>
      <c r="L631" s="5"/>
      <c r="M631" s="5"/>
      <c r="N631" s="5"/>
      <c r="O631" s="5"/>
      <c r="P631" s="57"/>
      <c r="Q631" s="5"/>
      <c r="R631" s="5"/>
      <c r="S631" s="5"/>
      <c r="T631" s="5"/>
      <c r="U631" s="5"/>
      <c r="V631" s="5"/>
      <c r="W631" s="5"/>
      <c r="X631" s="5"/>
      <c r="Y631" s="5"/>
      <c r="Z631" s="5"/>
      <c r="AA631" s="5"/>
    </row>
    <row r="632" spans="1:27" ht="12.75" customHeight="1">
      <c r="A632" s="5"/>
      <c r="B632" s="5"/>
      <c r="C632" s="5"/>
      <c r="D632" s="5"/>
      <c r="E632" s="5"/>
      <c r="F632" s="5"/>
      <c r="G632" s="5"/>
      <c r="H632" s="306"/>
      <c r="I632" s="306"/>
      <c r="J632" s="5"/>
      <c r="K632" s="5"/>
      <c r="L632" s="5"/>
      <c r="M632" s="5"/>
      <c r="N632" s="5"/>
      <c r="O632" s="5"/>
      <c r="P632" s="57"/>
      <c r="Q632" s="5"/>
      <c r="R632" s="5"/>
      <c r="S632" s="5"/>
      <c r="T632" s="5"/>
      <c r="U632" s="5"/>
      <c r="V632" s="5"/>
      <c r="W632" s="5"/>
      <c r="X632" s="5"/>
      <c r="Y632" s="5"/>
      <c r="Z632" s="5"/>
      <c r="AA632" s="5"/>
    </row>
    <row r="633" spans="1:27" ht="12.75" customHeight="1">
      <c r="A633" s="5"/>
      <c r="B633" s="5"/>
      <c r="C633" s="5"/>
      <c r="D633" s="5"/>
      <c r="E633" s="5"/>
      <c r="F633" s="5"/>
      <c r="G633" s="5"/>
      <c r="H633" s="306"/>
      <c r="I633" s="306"/>
      <c r="J633" s="5"/>
      <c r="K633" s="5"/>
      <c r="L633" s="5"/>
      <c r="M633" s="5"/>
      <c r="N633" s="5"/>
      <c r="O633" s="5"/>
      <c r="P633" s="57"/>
      <c r="Q633" s="5"/>
      <c r="R633" s="5"/>
      <c r="S633" s="5"/>
      <c r="T633" s="5"/>
      <c r="U633" s="5"/>
      <c r="V633" s="5"/>
      <c r="W633" s="5"/>
      <c r="X633" s="5"/>
      <c r="Y633" s="5"/>
      <c r="Z633" s="5"/>
      <c r="AA633" s="5"/>
    </row>
    <row r="634" spans="1:27" ht="12.75" customHeight="1">
      <c r="A634" s="5"/>
      <c r="B634" s="5"/>
      <c r="C634" s="5"/>
      <c r="D634" s="5"/>
      <c r="E634" s="5"/>
      <c r="F634" s="5"/>
      <c r="G634" s="5"/>
      <c r="H634" s="306"/>
      <c r="I634" s="306"/>
      <c r="J634" s="5"/>
      <c r="K634" s="5"/>
      <c r="L634" s="5"/>
      <c r="M634" s="5"/>
      <c r="N634" s="5"/>
      <c r="O634" s="5"/>
      <c r="P634" s="57"/>
      <c r="Q634" s="5"/>
      <c r="R634" s="5"/>
      <c r="S634" s="5"/>
      <c r="T634" s="5"/>
      <c r="U634" s="5"/>
      <c r="V634" s="5"/>
      <c r="W634" s="5"/>
      <c r="X634" s="5"/>
      <c r="Y634" s="5"/>
      <c r="Z634" s="5"/>
      <c r="AA634" s="5"/>
    </row>
    <row r="635" spans="1:27" ht="12.75" customHeight="1">
      <c r="A635" s="5"/>
      <c r="B635" s="5"/>
      <c r="C635" s="5"/>
      <c r="D635" s="5"/>
      <c r="E635" s="5"/>
      <c r="F635" s="5"/>
      <c r="G635" s="5"/>
      <c r="H635" s="306"/>
      <c r="I635" s="306"/>
      <c r="J635" s="5"/>
      <c r="K635" s="5"/>
      <c r="L635" s="5"/>
      <c r="M635" s="5"/>
      <c r="N635" s="5"/>
      <c r="O635" s="5"/>
      <c r="P635" s="57"/>
      <c r="Q635" s="5"/>
      <c r="R635" s="5"/>
      <c r="S635" s="5"/>
      <c r="T635" s="5"/>
      <c r="U635" s="5"/>
      <c r="V635" s="5"/>
      <c r="W635" s="5"/>
      <c r="X635" s="5"/>
      <c r="Y635" s="5"/>
      <c r="Z635" s="5"/>
      <c r="AA635" s="5"/>
    </row>
    <row r="636" spans="1:27" ht="12.75" customHeight="1">
      <c r="A636" s="5"/>
      <c r="B636" s="5"/>
      <c r="C636" s="5"/>
      <c r="D636" s="5"/>
      <c r="E636" s="5"/>
      <c r="F636" s="5"/>
      <c r="G636" s="5"/>
      <c r="H636" s="306"/>
      <c r="I636" s="306"/>
      <c r="J636" s="5"/>
      <c r="K636" s="5"/>
      <c r="L636" s="5"/>
      <c r="M636" s="5"/>
      <c r="N636" s="5"/>
      <c r="O636" s="5"/>
      <c r="P636" s="57"/>
      <c r="Q636" s="5"/>
      <c r="R636" s="5"/>
      <c r="S636" s="5"/>
      <c r="T636" s="5"/>
      <c r="U636" s="5"/>
      <c r="V636" s="5"/>
      <c r="W636" s="5"/>
      <c r="X636" s="5"/>
      <c r="Y636" s="5"/>
      <c r="Z636" s="5"/>
      <c r="AA636" s="5"/>
    </row>
    <row r="637" spans="1:27" ht="12.75" customHeight="1">
      <c r="A637" s="5"/>
      <c r="B637" s="5"/>
      <c r="C637" s="5"/>
      <c r="D637" s="5"/>
      <c r="E637" s="5"/>
      <c r="F637" s="5"/>
      <c r="G637" s="5"/>
      <c r="H637" s="306"/>
      <c r="I637" s="306"/>
      <c r="J637" s="5"/>
      <c r="K637" s="5"/>
      <c r="L637" s="5"/>
      <c r="M637" s="5"/>
      <c r="N637" s="5"/>
      <c r="O637" s="5"/>
      <c r="P637" s="57"/>
      <c r="Q637" s="5"/>
      <c r="R637" s="5"/>
      <c r="S637" s="5"/>
      <c r="T637" s="5"/>
      <c r="U637" s="5"/>
      <c r="V637" s="5"/>
      <c r="W637" s="5"/>
      <c r="X637" s="5"/>
      <c r="Y637" s="5"/>
      <c r="Z637" s="5"/>
      <c r="AA637" s="5"/>
    </row>
    <row r="638" spans="1:27" ht="12.75" customHeight="1">
      <c r="A638" s="5"/>
      <c r="B638" s="5"/>
      <c r="C638" s="5"/>
      <c r="D638" s="5"/>
      <c r="E638" s="5"/>
      <c r="F638" s="5"/>
      <c r="G638" s="5"/>
      <c r="H638" s="306"/>
      <c r="I638" s="306"/>
      <c r="J638" s="5"/>
      <c r="K638" s="5"/>
      <c r="L638" s="5"/>
      <c r="M638" s="5"/>
      <c r="N638" s="5"/>
      <c r="O638" s="5"/>
      <c r="P638" s="57"/>
      <c r="Q638" s="5"/>
      <c r="R638" s="5"/>
      <c r="S638" s="5"/>
      <c r="T638" s="5"/>
      <c r="U638" s="5"/>
      <c r="V638" s="5"/>
      <c r="W638" s="5"/>
      <c r="X638" s="5"/>
      <c r="Y638" s="5"/>
      <c r="Z638" s="5"/>
      <c r="AA638" s="5"/>
    </row>
    <row r="639" spans="1:27" ht="12.75" customHeight="1">
      <c r="A639" s="5"/>
      <c r="B639" s="5"/>
      <c r="C639" s="5"/>
      <c r="D639" s="5"/>
      <c r="E639" s="5"/>
      <c r="F639" s="5"/>
      <c r="G639" s="5"/>
      <c r="H639" s="306"/>
      <c r="I639" s="306"/>
      <c r="J639" s="5"/>
      <c r="K639" s="5"/>
      <c r="L639" s="5"/>
      <c r="M639" s="5"/>
      <c r="N639" s="5"/>
      <c r="O639" s="5"/>
      <c r="P639" s="57"/>
      <c r="Q639" s="5"/>
      <c r="R639" s="5"/>
      <c r="S639" s="5"/>
      <c r="T639" s="5"/>
      <c r="U639" s="5"/>
      <c r="V639" s="5"/>
      <c r="W639" s="5"/>
      <c r="X639" s="5"/>
      <c r="Y639" s="5"/>
      <c r="Z639" s="5"/>
      <c r="AA639" s="5"/>
    </row>
    <row r="640" spans="1:27" ht="12.75" customHeight="1">
      <c r="A640" s="5"/>
      <c r="B640" s="5"/>
      <c r="C640" s="5"/>
      <c r="D640" s="5"/>
      <c r="E640" s="5"/>
      <c r="F640" s="5"/>
      <c r="G640" s="5"/>
      <c r="H640" s="306"/>
      <c r="I640" s="306"/>
      <c r="J640" s="5"/>
      <c r="K640" s="5"/>
      <c r="L640" s="5"/>
      <c r="M640" s="5"/>
      <c r="N640" s="5"/>
      <c r="O640" s="5"/>
      <c r="P640" s="57"/>
      <c r="Q640" s="5"/>
      <c r="R640" s="5"/>
      <c r="S640" s="5"/>
      <c r="T640" s="5"/>
      <c r="U640" s="5"/>
      <c r="V640" s="5"/>
      <c r="W640" s="5"/>
      <c r="X640" s="5"/>
      <c r="Y640" s="5"/>
      <c r="Z640" s="5"/>
      <c r="AA640" s="5"/>
    </row>
    <row r="641" spans="1:27" ht="12.75" customHeight="1">
      <c r="A641" s="5"/>
      <c r="B641" s="5"/>
      <c r="C641" s="5"/>
      <c r="D641" s="5"/>
      <c r="E641" s="5"/>
      <c r="F641" s="5"/>
      <c r="G641" s="5"/>
      <c r="H641" s="306"/>
      <c r="I641" s="306"/>
      <c r="J641" s="5"/>
      <c r="K641" s="5"/>
      <c r="L641" s="5"/>
      <c r="M641" s="5"/>
      <c r="N641" s="5"/>
      <c r="O641" s="5"/>
      <c r="P641" s="57"/>
      <c r="Q641" s="5"/>
      <c r="R641" s="5"/>
      <c r="S641" s="5"/>
      <c r="T641" s="5"/>
      <c r="U641" s="5"/>
      <c r="V641" s="5"/>
      <c r="W641" s="5"/>
      <c r="X641" s="5"/>
      <c r="Y641" s="5"/>
      <c r="Z641" s="5"/>
      <c r="AA641" s="5"/>
    </row>
    <row r="642" spans="1:27" ht="12.75" customHeight="1">
      <c r="A642" s="5"/>
      <c r="B642" s="5"/>
      <c r="C642" s="5"/>
      <c r="D642" s="5"/>
      <c r="E642" s="5"/>
      <c r="F642" s="5"/>
      <c r="G642" s="5"/>
      <c r="H642" s="306"/>
      <c r="I642" s="306"/>
      <c r="J642" s="5"/>
      <c r="K642" s="5"/>
      <c r="L642" s="5"/>
      <c r="M642" s="5"/>
      <c r="N642" s="5"/>
      <c r="O642" s="5"/>
      <c r="P642" s="57"/>
      <c r="Q642" s="5"/>
      <c r="R642" s="5"/>
      <c r="S642" s="5"/>
      <c r="T642" s="5"/>
      <c r="U642" s="5"/>
      <c r="V642" s="5"/>
      <c r="W642" s="5"/>
      <c r="X642" s="5"/>
      <c r="Y642" s="5"/>
      <c r="Z642" s="5"/>
      <c r="AA642" s="5"/>
    </row>
    <row r="643" spans="1:27" ht="12.75" customHeight="1">
      <c r="A643" s="5"/>
      <c r="B643" s="5"/>
      <c r="C643" s="5"/>
      <c r="D643" s="5"/>
      <c r="E643" s="5"/>
      <c r="F643" s="5"/>
      <c r="G643" s="5"/>
      <c r="H643" s="306"/>
      <c r="I643" s="306"/>
      <c r="J643" s="5"/>
      <c r="K643" s="5"/>
      <c r="L643" s="5"/>
      <c r="M643" s="5"/>
      <c r="N643" s="5"/>
      <c r="O643" s="5"/>
      <c r="P643" s="57"/>
      <c r="Q643" s="5"/>
      <c r="R643" s="5"/>
      <c r="S643" s="5"/>
      <c r="T643" s="5"/>
      <c r="U643" s="5"/>
      <c r="V643" s="5"/>
      <c r="W643" s="5"/>
      <c r="X643" s="5"/>
      <c r="Y643" s="5"/>
      <c r="Z643" s="5"/>
      <c r="AA643" s="5"/>
    </row>
    <row r="644" spans="1:27" ht="12.75" customHeight="1">
      <c r="A644" s="5"/>
      <c r="B644" s="5"/>
      <c r="C644" s="5"/>
      <c r="D644" s="5"/>
      <c r="E644" s="5"/>
      <c r="F644" s="5"/>
      <c r="G644" s="5"/>
      <c r="H644" s="306"/>
      <c r="I644" s="306"/>
      <c r="J644" s="5"/>
      <c r="K644" s="5"/>
      <c r="L644" s="5"/>
      <c r="M644" s="5"/>
      <c r="N644" s="5"/>
      <c r="O644" s="5"/>
      <c r="P644" s="57"/>
      <c r="Q644" s="5"/>
      <c r="R644" s="5"/>
      <c r="S644" s="5"/>
      <c r="T644" s="5"/>
      <c r="U644" s="5"/>
      <c r="V644" s="5"/>
      <c r="W644" s="5"/>
      <c r="X644" s="5"/>
      <c r="Y644" s="5"/>
      <c r="Z644" s="5"/>
      <c r="AA644" s="5"/>
    </row>
    <row r="645" spans="1:27" ht="12.75" customHeight="1">
      <c r="A645" s="5"/>
      <c r="B645" s="5"/>
      <c r="C645" s="5"/>
      <c r="D645" s="5"/>
      <c r="E645" s="5"/>
      <c r="F645" s="5"/>
      <c r="G645" s="5"/>
      <c r="H645" s="306"/>
      <c r="I645" s="306"/>
      <c r="J645" s="5"/>
      <c r="K645" s="5"/>
      <c r="L645" s="5"/>
      <c r="M645" s="5"/>
      <c r="N645" s="5"/>
      <c r="O645" s="5"/>
      <c r="P645" s="57"/>
      <c r="Q645" s="5"/>
      <c r="R645" s="5"/>
      <c r="S645" s="5"/>
      <c r="T645" s="5"/>
      <c r="U645" s="5"/>
      <c r="V645" s="5"/>
      <c r="W645" s="5"/>
      <c r="X645" s="5"/>
      <c r="Y645" s="5"/>
      <c r="Z645" s="5"/>
      <c r="AA645" s="5"/>
    </row>
    <row r="646" spans="1:27" ht="12.75" customHeight="1">
      <c r="A646" s="5"/>
      <c r="B646" s="5"/>
      <c r="C646" s="5"/>
      <c r="D646" s="5"/>
      <c r="E646" s="5"/>
      <c r="F646" s="5"/>
      <c r="G646" s="5"/>
      <c r="H646" s="306"/>
      <c r="I646" s="306"/>
      <c r="J646" s="5"/>
      <c r="K646" s="5"/>
      <c r="L646" s="5"/>
      <c r="M646" s="5"/>
      <c r="N646" s="5"/>
      <c r="O646" s="5"/>
      <c r="P646" s="57"/>
      <c r="Q646" s="5"/>
      <c r="R646" s="5"/>
      <c r="S646" s="5"/>
      <c r="T646" s="5"/>
      <c r="U646" s="5"/>
      <c r="V646" s="5"/>
      <c r="W646" s="5"/>
      <c r="X646" s="5"/>
      <c r="Y646" s="5"/>
      <c r="Z646" s="5"/>
      <c r="AA646" s="5"/>
    </row>
    <row r="647" spans="1:27" ht="12.75" customHeight="1">
      <c r="A647" s="5"/>
      <c r="B647" s="5"/>
      <c r="C647" s="5"/>
      <c r="D647" s="5"/>
      <c r="E647" s="5"/>
      <c r="F647" s="5"/>
      <c r="G647" s="5"/>
      <c r="H647" s="306"/>
      <c r="I647" s="306"/>
      <c r="J647" s="5"/>
      <c r="K647" s="5"/>
      <c r="L647" s="5"/>
      <c r="M647" s="5"/>
      <c r="N647" s="5"/>
      <c r="O647" s="5"/>
      <c r="P647" s="57"/>
      <c r="Q647" s="5"/>
      <c r="R647" s="5"/>
      <c r="S647" s="5"/>
      <c r="T647" s="5"/>
      <c r="U647" s="5"/>
      <c r="V647" s="5"/>
      <c r="W647" s="5"/>
      <c r="X647" s="5"/>
      <c r="Y647" s="5"/>
      <c r="Z647" s="5"/>
      <c r="AA647" s="5"/>
    </row>
    <row r="648" spans="1:27" ht="12.75" customHeight="1">
      <c r="A648" s="5"/>
      <c r="B648" s="5"/>
      <c r="C648" s="5"/>
      <c r="D648" s="5"/>
      <c r="E648" s="5"/>
      <c r="F648" s="5"/>
      <c r="G648" s="5"/>
      <c r="H648" s="306"/>
      <c r="I648" s="306"/>
      <c r="J648" s="5"/>
      <c r="K648" s="5"/>
      <c r="L648" s="5"/>
      <c r="M648" s="5"/>
      <c r="N648" s="5"/>
      <c r="O648" s="5"/>
      <c r="P648" s="57"/>
      <c r="Q648" s="5"/>
      <c r="R648" s="5"/>
      <c r="S648" s="5"/>
      <c r="T648" s="5"/>
      <c r="U648" s="5"/>
      <c r="V648" s="5"/>
      <c r="W648" s="5"/>
      <c r="X648" s="5"/>
      <c r="Y648" s="5"/>
      <c r="Z648" s="5"/>
      <c r="AA648" s="5"/>
    </row>
    <row r="649" spans="1:27" ht="12.75" customHeight="1">
      <c r="A649" s="5"/>
      <c r="B649" s="5"/>
      <c r="C649" s="5"/>
      <c r="D649" s="5"/>
      <c r="E649" s="5"/>
      <c r="F649" s="5"/>
      <c r="G649" s="5"/>
      <c r="H649" s="306"/>
      <c r="I649" s="306"/>
      <c r="J649" s="5"/>
      <c r="K649" s="5"/>
      <c r="L649" s="5"/>
      <c r="M649" s="5"/>
      <c r="N649" s="5"/>
      <c r="O649" s="5"/>
      <c r="P649" s="57"/>
      <c r="Q649" s="5"/>
      <c r="R649" s="5"/>
      <c r="S649" s="5"/>
      <c r="T649" s="5"/>
      <c r="U649" s="5"/>
      <c r="V649" s="5"/>
      <c r="W649" s="5"/>
      <c r="X649" s="5"/>
      <c r="Y649" s="5"/>
      <c r="Z649" s="5"/>
      <c r="AA649" s="5"/>
    </row>
    <row r="650" spans="1:27" ht="12.75" customHeight="1">
      <c r="A650" s="5"/>
      <c r="B650" s="5"/>
      <c r="C650" s="5"/>
      <c r="D650" s="5"/>
      <c r="E650" s="5"/>
      <c r="F650" s="5"/>
      <c r="G650" s="5"/>
      <c r="H650" s="306"/>
      <c r="I650" s="306"/>
      <c r="J650" s="5"/>
      <c r="K650" s="5"/>
      <c r="L650" s="5"/>
      <c r="M650" s="5"/>
      <c r="N650" s="5"/>
      <c r="O650" s="5"/>
      <c r="P650" s="57"/>
      <c r="Q650" s="5"/>
      <c r="R650" s="5"/>
      <c r="S650" s="5"/>
      <c r="T650" s="5"/>
      <c r="U650" s="5"/>
      <c r="V650" s="5"/>
      <c r="W650" s="5"/>
      <c r="X650" s="5"/>
      <c r="Y650" s="5"/>
      <c r="Z650" s="5"/>
      <c r="AA650" s="5"/>
    </row>
    <row r="651" spans="1:27" ht="12.75" customHeight="1">
      <c r="A651" s="5"/>
      <c r="B651" s="5"/>
      <c r="C651" s="5"/>
      <c r="D651" s="5"/>
      <c r="E651" s="5"/>
      <c r="F651" s="5"/>
      <c r="G651" s="5"/>
      <c r="H651" s="306"/>
      <c r="I651" s="306"/>
      <c r="J651" s="5"/>
      <c r="K651" s="5"/>
      <c r="L651" s="5"/>
      <c r="M651" s="5"/>
      <c r="N651" s="5"/>
      <c r="O651" s="5"/>
      <c r="P651" s="57"/>
      <c r="Q651" s="5"/>
      <c r="R651" s="5"/>
      <c r="S651" s="5"/>
      <c r="T651" s="5"/>
      <c r="U651" s="5"/>
      <c r="V651" s="5"/>
      <c r="W651" s="5"/>
      <c r="X651" s="5"/>
      <c r="Y651" s="5"/>
      <c r="Z651" s="5"/>
      <c r="AA651" s="5"/>
    </row>
    <row r="652" spans="1:27" ht="12.75" customHeight="1">
      <c r="A652" s="5"/>
      <c r="B652" s="5"/>
      <c r="C652" s="5"/>
      <c r="D652" s="5"/>
      <c r="E652" s="5"/>
      <c r="F652" s="5"/>
      <c r="G652" s="5"/>
      <c r="H652" s="306"/>
      <c r="I652" s="306"/>
      <c r="J652" s="5"/>
      <c r="K652" s="5"/>
      <c r="L652" s="5"/>
      <c r="M652" s="5"/>
      <c r="N652" s="5"/>
      <c r="O652" s="5"/>
      <c r="P652" s="57"/>
      <c r="Q652" s="5"/>
      <c r="R652" s="5"/>
      <c r="S652" s="5"/>
      <c r="T652" s="5"/>
      <c r="U652" s="5"/>
      <c r="V652" s="5"/>
      <c r="W652" s="5"/>
      <c r="X652" s="5"/>
      <c r="Y652" s="5"/>
      <c r="Z652" s="5"/>
      <c r="AA652" s="5"/>
    </row>
    <row r="653" spans="1:27" ht="12.75" customHeight="1">
      <c r="A653" s="5"/>
      <c r="B653" s="5"/>
      <c r="C653" s="5"/>
      <c r="D653" s="5"/>
      <c r="E653" s="5"/>
      <c r="F653" s="5"/>
      <c r="G653" s="5"/>
      <c r="H653" s="306"/>
      <c r="I653" s="306"/>
      <c r="J653" s="5"/>
      <c r="K653" s="5"/>
      <c r="L653" s="5"/>
      <c r="M653" s="5"/>
      <c r="N653" s="5"/>
      <c r="O653" s="5"/>
      <c r="P653" s="57"/>
      <c r="Q653" s="5"/>
      <c r="R653" s="5"/>
      <c r="S653" s="5"/>
      <c r="T653" s="5"/>
      <c r="U653" s="5"/>
      <c r="V653" s="5"/>
      <c r="W653" s="5"/>
      <c r="X653" s="5"/>
      <c r="Y653" s="5"/>
      <c r="Z653" s="5"/>
      <c r="AA653" s="5"/>
    </row>
    <row r="654" spans="1:27" ht="12.75" customHeight="1">
      <c r="A654" s="5"/>
      <c r="B654" s="5"/>
      <c r="C654" s="5"/>
      <c r="D654" s="5"/>
      <c r="E654" s="5"/>
      <c r="F654" s="5"/>
      <c r="G654" s="5"/>
      <c r="H654" s="306"/>
      <c r="I654" s="306"/>
      <c r="J654" s="5"/>
      <c r="K654" s="5"/>
      <c r="L654" s="5"/>
      <c r="M654" s="5"/>
      <c r="N654" s="5"/>
      <c r="O654" s="5"/>
      <c r="P654" s="57"/>
      <c r="Q654" s="5"/>
      <c r="R654" s="5"/>
      <c r="S654" s="5"/>
      <c r="T654" s="5"/>
      <c r="U654" s="5"/>
      <c r="V654" s="5"/>
      <c r="W654" s="5"/>
      <c r="X654" s="5"/>
      <c r="Y654" s="5"/>
      <c r="Z654" s="5"/>
      <c r="AA654" s="5"/>
    </row>
    <row r="655" spans="1:27" ht="12.75" customHeight="1">
      <c r="A655" s="5"/>
      <c r="B655" s="5"/>
      <c r="C655" s="5"/>
      <c r="D655" s="5"/>
      <c r="E655" s="5"/>
      <c r="F655" s="5"/>
      <c r="G655" s="5"/>
      <c r="H655" s="306"/>
      <c r="I655" s="306"/>
      <c r="J655" s="5"/>
      <c r="K655" s="5"/>
      <c r="L655" s="5"/>
      <c r="M655" s="5"/>
      <c r="N655" s="5"/>
      <c r="O655" s="5"/>
      <c r="P655" s="57"/>
      <c r="Q655" s="5"/>
      <c r="R655" s="5"/>
      <c r="S655" s="5"/>
      <c r="T655" s="5"/>
      <c r="U655" s="5"/>
      <c r="V655" s="5"/>
      <c r="W655" s="5"/>
      <c r="X655" s="5"/>
      <c r="Y655" s="5"/>
      <c r="Z655" s="5"/>
      <c r="AA655" s="5"/>
    </row>
    <row r="656" spans="1:27" ht="12.75" customHeight="1">
      <c r="A656" s="5"/>
      <c r="B656" s="5"/>
      <c r="C656" s="5"/>
      <c r="D656" s="5"/>
      <c r="E656" s="5"/>
      <c r="F656" s="5"/>
      <c r="G656" s="5"/>
      <c r="H656" s="306"/>
      <c r="I656" s="306"/>
      <c r="J656" s="5"/>
      <c r="K656" s="5"/>
      <c r="L656" s="5"/>
      <c r="M656" s="5"/>
      <c r="N656" s="5"/>
      <c r="O656" s="5"/>
      <c r="P656" s="57"/>
      <c r="Q656" s="5"/>
      <c r="R656" s="5"/>
      <c r="S656" s="5"/>
      <c r="T656" s="5"/>
      <c r="U656" s="5"/>
      <c r="V656" s="5"/>
      <c r="W656" s="5"/>
      <c r="X656" s="5"/>
      <c r="Y656" s="5"/>
      <c r="Z656" s="5"/>
      <c r="AA656" s="5"/>
    </row>
    <row r="657" spans="1:27" ht="12.75" customHeight="1">
      <c r="A657" s="5"/>
      <c r="B657" s="5"/>
      <c r="C657" s="5"/>
      <c r="D657" s="5"/>
      <c r="E657" s="5"/>
      <c r="F657" s="5"/>
      <c r="G657" s="5"/>
      <c r="H657" s="306"/>
      <c r="I657" s="306"/>
      <c r="J657" s="5"/>
      <c r="K657" s="5"/>
      <c r="L657" s="5"/>
      <c r="M657" s="5"/>
      <c r="N657" s="5"/>
      <c r="O657" s="5"/>
      <c r="P657" s="57"/>
      <c r="Q657" s="5"/>
      <c r="R657" s="5"/>
      <c r="S657" s="5"/>
      <c r="T657" s="5"/>
      <c r="U657" s="5"/>
      <c r="V657" s="5"/>
      <c r="W657" s="5"/>
      <c r="X657" s="5"/>
      <c r="Y657" s="5"/>
      <c r="Z657" s="5"/>
      <c r="AA657" s="5"/>
    </row>
    <row r="658" spans="1:27" ht="12.75" customHeight="1">
      <c r="A658" s="5"/>
      <c r="B658" s="5"/>
      <c r="C658" s="5"/>
      <c r="D658" s="5"/>
      <c r="E658" s="5"/>
      <c r="F658" s="5"/>
      <c r="G658" s="5"/>
      <c r="H658" s="306"/>
      <c r="I658" s="306"/>
      <c r="J658" s="5"/>
      <c r="K658" s="5"/>
      <c r="L658" s="5"/>
      <c r="M658" s="5"/>
      <c r="N658" s="5"/>
      <c r="O658" s="5"/>
      <c r="P658" s="57"/>
      <c r="Q658" s="5"/>
      <c r="R658" s="5"/>
      <c r="S658" s="5"/>
      <c r="T658" s="5"/>
      <c r="U658" s="5"/>
      <c r="V658" s="5"/>
      <c r="W658" s="5"/>
      <c r="X658" s="5"/>
      <c r="Y658" s="5"/>
      <c r="Z658" s="5"/>
      <c r="AA658" s="5"/>
    </row>
    <row r="659" spans="1:27" ht="12.75" customHeight="1">
      <c r="A659" s="5"/>
      <c r="B659" s="5"/>
      <c r="C659" s="5"/>
      <c r="D659" s="5"/>
      <c r="E659" s="5"/>
      <c r="F659" s="5"/>
      <c r="G659" s="5"/>
      <c r="H659" s="306"/>
      <c r="I659" s="306"/>
      <c r="J659" s="5"/>
      <c r="K659" s="5"/>
      <c r="L659" s="5"/>
      <c r="M659" s="5"/>
      <c r="N659" s="5"/>
      <c r="O659" s="5"/>
      <c r="P659" s="57"/>
      <c r="Q659" s="5"/>
      <c r="R659" s="5"/>
      <c r="S659" s="5"/>
      <c r="T659" s="5"/>
      <c r="U659" s="5"/>
      <c r="V659" s="5"/>
      <c r="W659" s="5"/>
      <c r="X659" s="5"/>
      <c r="Y659" s="5"/>
      <c r="Z659" s="5"/>
      <c r="AA659" s="5"/>
    </row>
    <row r="660" spans="1:27" ht="12.75" customHeight="1">
      <c r="A660" s="5"/>
      <c r="B660" s="5"/>
      <c r="C660" s="5"/>
      <c r="D660" s="5"/>
      <c r="E660" s="5"/>
      <c r="F660" s="5"/>
      <c r="G660" s="5"/>
      <c r="H660" s="306"/>
      <c r="I660" s="306"/>
      <c r="J660" s="5"/>
      <c r="K660" s="5"/>
      <c r="L660" s="5"/>
      <c r="M660" s="5"/>
      <c r="N660" s="5"/>
      <c r="O660" s="5"/>
      <c r="P660" s="57"/>
      <c r="Q660" s="5"/>
      <c r="R660" s="5"/>
      <c r="S660" s="5"/>
      <c r="T660" s="5"/>
      <c r="U660" s="5"/>
      <c r="V660" s="5"/>
      <c r="W660" s="5"/>
      <c r="X660" s="5"/>
      <c r="Y660" s="5"/>
      <c r="Z660" s="5"/>
      <c r="AA660" s="5"/>
    </row>
    <row r="661" spans="1:27" ht="12.75" customHeight="1">
      <c r="A661" s="5"/>
      <c r="B661" s="5"/>
      <c r="C661" s="5"/>
      <c r="D661" s="5"/>
      <c r="E661" s="5"/>
      <c r="F661" s="5"/>
      <c r="G661" s="5"/>
      <c r="H661" s="306"/>
      <c r="I661" s="306"/>
      <c r="J661" s="5"/>
      <c r="K661" s="5"/>
      <c r="L661" s="5"/>
      <c r="M661" s="5"/>
      <c r="N661" s="5"/>
      <c r="O661" s="5"/>
      <c r="P661" s="57"/>
      <c r="Q661" s="5"/>
      <c r="R661" s="5"/>
      <c r="S661" s="5"/>
      <c r="T661" s="5"/>
      <c r="U661" s="5"/>
      <c r="V661" s="5"/>
      <c r="W661" s="5"/>
      <c r="X661" s="5"/>
      <c r="Y661" s="5"/>
      <c r="Z661" s="5"/>
      <c r="AA661" s="5"/>
    </row>
    <row r="662" spans="1:27" ht="12.75" customHeight="1">
      <c r="A662" s="5"/>
      <c r="B662" s="5"/>
      <c r="C662" s="5"/>
      <c r="D662" s="5"/>
      <c r="E662" s="5"/>
      <c r="F662" s="5"/>
      <c r="G662" s="5"/>
      <c r="H662" s="306"/>
      <c r="I662" s="306"/>
      <c r="J662" s="5"/>
      <c r="K662" s="5"/>
      <c r="L662" s="5"/>
      <c r="M662" s="5"/>
      <c r="N662" s="5"/>
      <c r="O662" s="5"/>
      <c r="P662" s="57"/>
      <c r="Q662" s="5"/>
      <c r="R662" s="5"/>
      <c r="S662" s="5"/>
      <c r="T662" s="5"/>
      <c r="U662" s="5"/>
      <c r="V662" s="5"/>
      <c r="W662" s="5"/>
      <c r="X662" s="5"/>
      <c r="Y662" s="5"/>
      <c r="Z662" s="5"/>
      <c r="AA662" s="5"/>
    </row>
    <row r="663" spans="1:27" ht="12.75" customHeight="1">
      <c r="A663" s="5"/>
      <c r="B663" s="5"/>
      <c r="C663" s="5"/>
      <c r="D663" s="5"/>
      <c r="E663" s="5"/>
      <c r="F663" s="5"/>
      <c r="G663" s="5"/>
      <c r="H663" s="306"/>
      <c r="I663" s="306"/>
      <c r="J663" s="5"/>
      <c r="K663" s="5"/>
      <c r="L663" s="5"/>
      <c r="M663" s="5"/>
      <c r="N663" s="5"/>
      <c r="O663" s="5"/>
      <c r="P663" s="57"/>
      <c r="Q663" s="5"/>
      <c r="R663" s="5"/>
      <c r="S663" s="5"/>
      <c r="T663" s="5"/>
      <c r="U663" s="5"/>
      <c r="V663" s="5"/>
      <c r="W663" s="5"/>
      <c r="X663" s="5"/>
      <c r="Y663" s="5"/>
      <c r="Z663" s="5"/>
      <c r="AA663" s="5"/>
    </row>
    <row r="664" spans="1:27" ht="12.75" customHeight="1">
      <c r="A664" s="5"/>
      <c r="B664" s="5"/>
      <c r="C664" s="5"/>
      <c r="D664" s="5"/>
      <c r="E664" s="5"/>
      <c r="F664" s="5"/>
      <c r="G664" s="5"/>
      <c r="H664" s="306"/>
      <c r="I664" s="306"/>
      <c r="J664" s="5"/>
      <c r="K664" s="5"/>
      <c r="L664" s="5"/>
      <c r="M664" s="5"/>
      <c r="N664" s="5"/>
      <c r="O664" s="5"/>
      <c r="P664" s="57"/>
      <c r="Q664" s="5"/>
      <c r="R664" s="5"/>
      <c r="S664" s="5"/>
      <c r="T664" s="5"/>
      <c r="U664" s="5"/>
      <c r="V664" s="5"/>
      <c r="W664" s="5"/>
      <c r="X664" s="5"/>
      <c r="Y664" s="5"/>
      <c r="Z664" s="5"/>
      <c r="AA664" s="5"/>
    </row>
    <row r="665" spans="1:27" ht="12.75" customHeight="1">
      <c r="A665" s="5"/>
      <c r="B665" s="5"/>
      <c r="C665" s="5"/>
      <c r="D665" s="5"/>
      <c r="E665" s="5"/>
      <c r="F665" s="5"/>
      <c r="G665" s="5"/>
      <c r="H665" s="306"/>
      <c r="I665" s="306"/>
      <c r="J665" s="5"/>
      <c r="K665" s="5"/>
      <c r="L665" s="5"/>
      <c r="M665" s="5"/>
      <c r="N665" s="5"/>
      <c r="O665" s="5"/>
      <c r="P665" s="57"/>
      <c r="Q665" s="5"/>
      <c r="R665" s="5"/>
      <c r="S665" s="5"/>
      <c r="T665" s="5"/>
      <c r="U665" s="5"/>
      <c r="V665" s="5"/>
      <c r="W665" s="5"/>
      <c r="X665" s="5"/>
      <c r="Y665" s="5"/>
      <c r="Z665" s="5"/>
      <c r="AA665" s="5"/>
    </row>
    <row r="666" spans="1:27" ht="12.75" customHeight="1">
      <c r="A666" s="5"/>
      <c r="B666" s="5"/>
      <c r="C666" s="5"/>
      <c r="D666" s="5"/>
      <c r="E666" s="5"/>
      <c r="F666" s="5"/>
      <c r="G666" s="5"/>
      <c r="H666" s="306"/>
      <c r="I666" s="306"/>
      <c r="J666" s="5"/>
      <c r="K666" s="5"/>
      <c r="L666" s="5"/>
      <c r="M666" s="5"/>
      <c r="N666" s="5"/>
      <c r="O666" s="5"/>
      <c r="P666" s="57"/>
      <c r="Q666" s="5"/>
      <c r="R666" s="5"/>
      <c r="S666" s="5"/>
      <c r="T666" s="5"/>
      <c r="U666" s="5"/>
      <c r="V666" s="5"/>
      <c r="W666" s="5"/>
      <c r="X666" s="5"/>
      <c r="Y666" s="5"/>
      <c r="Z666" s="5"/>
      <c r="AA666" s="5"/>
    </row>
    <row r="667" spans="1:27" ht="12.75" customHeight="1">
      <c r="A667" s="5"/>
      <c r="B667" s="5"/>
      <c r="C667" s="5"/>
      <c r="D667" s="5"/>
      <c r="E667" s="5"/>
      <c r="F667" s="5"/>
      <c r="G667" s="5"/>
      <c r="H667" s="306"/>
      <c r="I667" s="306"/>
      <c r="J667" s="5"/>
      <c r="K667" s="5"/>
      <c r="L667" s="5"/>
      <c r="M667" s="5"/>
      <c r="N667" s="5"/>
      <c r="O667" s="5"/>
      <c r="P667" s="57"/>
      <c r="Q667" s="5"/>
      <c r="R667" s="5"/>
      <c r="S667" s="5"/>
      <c r="T667" s="5"/>
      <c r="U667" s="5"/>
      <c r="V667" s="5"/>
      <c r="W667" s="5"/>
      <c r="X667" s="5"/>
      <c r="Y667" s="5"/>
      <c r="Z667" s="5"/>
      <c r="AA667" s="5"/>
    </row>
    <row r="668" spans="1:27" ht="12.75" customHeight="1">
      <c r="A668" s="5"/>
      <c r="B668" s="5"/>
      <c r="C668" s="5"/>
      <c r="D668" s="5"/>
      <c r="E668" s="5"/>
      <c r="F668" s="5"/>
      <c r="G668" s="5"/>
      <c r="H668" s="306"/>
      <c r="I668" s="306"/>
      <c r="J668" s="5"/>
      <c r="K668" s="5"/>
      <c r="L668" s="5"/>
      <c r="M668" s="5"/>
      <c r="N668" s="5"/>
      <c r="O668" s="5"/>
      <c r="P668" s="57"/>
      <c r="Q668" s="5"/>
      <c r="R668" s="5"/>
      <c r="S668" s="5"/>
      <c r="T668" s="5"/>
      <c r="U668" s="5"/>
      <c r="V668" s="5"/>
      <c r="W668" s="5"/>
      <c r="X668" s="5"/>
      <c r="Y668" s="5"/>
      <c r="Z668" s="5"/>
      <c r="AA668" s="5"/>
    </row>
    <row r="669" spans="1:27" ht="12.75" customHeight="1">
      <c r="A669" s="5"/>
      <c r="B669" s="5"/>
      <c r="C669" s="5"/>
      <c r="D669" s="5"/>
      <c r="E669" s="5"/>
      <c r="F669" s="5"/>
      <c r="G669" s="5"/>
      <c r="H669" s="306"/>
      <c r="I669" s="306"/>
      <c r="J669" s="5"/>
      <c r="K669" s="5"/>
      <c r="L669" s="5"/>
      <c r="M669" s="5"/>
      <c r="N669" s="5"/>
      <c r="O669" s="5"/>
      <c r="P669" s="57"/>
      <c r="Q669" s="5"/>
      <c r="R669" s="5"/>
      <c r="S669" s="5"/>
      <c r="T669" s="5"/>
      <c r="U669" s="5"/>
      <c r="V669" s="5"/>
      <c r="W669" s="5"/>
      <c r="X669" s="5"/>
      <c r="Y669" s="5"/>
      <c r="Z669" s="5"/>
      <c r="AA669" s="5"/>
    </row>
    <row r="670" spans="1:27" ht="12.75" customHeight="1">
      <c r="A670" s="5"/>
      <c r="B670" s="5"/>
      <c r="C670" s="5"/>
      <c r="D670" s="5"/>
      <c r="E670" s="5"/>
      <c r="F670" s="5"/>
      <c r="G670" s="5"/>
      <c r="H670" s="306"/>
      <c r="I670" s="306"/>
      <c r="J670" s="5"/>
      <c r="K670" s="5"/>
      <c r="L670" s="5"/>
      <c r="M670" s="5"/>
      <c r="N670" s="5"/>
      <c r="O670" s="5"/>
      <c r="P670" s="57"/>
      <c r="Q670" s="5"/>
      <c r="R670" s="5"/>
      <c r="S670" s="5"/>
      <c r="T670" s="5"/>
      <c r="U670" s="5"/>
      <c r="V670" s="5"/>
      <c r="W670" s="5"/>
      <c r="X670" s="5"/>
      <c r="Y670" s="5"/>
      <c r="Z670" s="5"/>
      <c r="AA670" s="5"/>
    </row>
    <row r="671" spans="1:27" ht="12.75" customHeight="1">
      <c r="A671" s="5"/>
      <c r="B671" s="5"/>
      <c r="C671" s="5"/>
      <c r="D671" s="5"/>
      <c r="E671" s="5"/>
      <c r="F671" s="5"/>
      <c r="G671" s="5"/>
      <c r="H671" s="306"/>
      <c r="I671" s="306"/>
      <c r="J671" s="5"/>
      <c r="K671" s="5"/>
      <c r="L671" s="5"/>
      <c r="M671" s="5"/>
      <c r="N671" s="5"/>
      <c r="O671" s="5"/>
      <c r="P671" s="57"/>
      <c r="Q671" s="5"/>
      <c r="R671" s="5"/>
      <c r="S671" s="5"/>
      <c r="T671" s="5"/>
      <c r="U671" s="5"/>
      <c r="V671" s="5"/>
      <c r="W671" s="5"/>
      <c r="X671" s="5"/>
      <c r="Y671" s="5"/>
      <c r="Z671" s="5"/>
      <c r="AA671" s="5"/>
    </row>
    <row r="672" spans="1:27" ht="12.75" customHeight="1">
      <c r="A672" s="5"/>
      <c r="B672" s="5"/>
      <c r="C672" s="5"/>
      <c r="D672" s="5"/>
      <c r="E672" s="5"/>
      <c r="F672" s="5"/>
      <c r="G672" s="5"/>
      <c r="H672" s="306"/>
      <c r="I672" s="306"/>
      <c r="J672" s="5"/>
      <c r="K672" s="5"/>
      <c r="L672" s="5"/>
      <c r="M672" s="5"/>
      <c r="N672" s="5"/>
      <c r="O672" s="5"/>
      <c r="P672" s="57"/>
      <c r="Q672" s="5"/>
      <c r="R672" s="5"/>
      <c r="S672" s="5"/>
      <c r="T672" s="5"/>
      <c r="U672" s="5"/>
      <c r="V672" s="5"/>
      <c r="W672" s="5"/>
      <c r="X672" s="5"/>
      <c r="Y672" s="5"/>
      <c r="Z672" s="5"/>
      <c r="AA672" s="5"/>
    </row>
    <row r="673" spans="1:27" ht="12.75" customHeight="1">
      <c r="A673" s="5"/>
      <c r="B673" s="5"/>
      <c r="C673" s="5"/>
      <c r="D673" s="5"/>
      <c r="E673" s="5"/>
      <c r="F673" s="5"/>
      <c r="G673" s="5"/>
      <c r="H673" s="306"/>
      <c r="I673" s="306"/>
      <c r="J673" s="5"/>
      <c r="K673" s="5"/>
      <c r="L673" s="5"/>
      <c r="M673" s="5"/>
      <c r="N673" s="5"/>
      <c r="O673" s="5"/>
      <c r="P673" s="57"/>
      <c r="Q673" s="5"/>
      <c r="R673" s="5"/>
      <c r="S673" s="5"/>
      <c r="T673" s="5"/>
      <c r="U673" s="5"/>
      <c r="V673" s="5"/>
      <c r="W673" s="5"/>
      <c r="X673" s="5"/>
      <c r="Y673" s="5"/>
      <c r="Z673" s="5"/>
      <c r="AA673" s="5"/>
    </row>
    <row r="674" spans="1:27" ht="12.75" customHeight="1">
      <c r="A674" s="5"/>
      <c r="B674" s="5"/>
      <c r="C674" s="5"/>
      <c r="D674" s="5"/>
      <c r="E674" s="5"/>
      <c r="F674" s="5"/>
      <c r="G674" s="5"/>
      <c r="H674" s="306"/>
      <c r="I674" s="306"/>
      <c r="J674" s="5"/>
      <c r="K674" s="5"/>
      <c r="L674" s="5"/>
      <c r="M674" s="5"/>
      <c r="N674" s="5"/>
      <c r="O674" s="5"/>
      <c r="P674" s="57"/>
      <c r="Q674" s="5"/>
      <c r="R674" s="5"/>
      <c r="S674" s="5"/>
      <c r="T674" s="5"/>
      <c r="U674" s="5"/>
      <c r="V674" s="5"/>
      <c r="W674" s="5"/>
      <c r="X674" s="5"/>
      <c r="Y674" s="5"/>
      <c r="Z674" s="5"/>
      <c r="AA674" s="5"/>
    </row>
    <row r="675" spans="1:27" ht="12.75" customHeight="1">
      <c r="A675" s="5"/>
      <c r="B675" s="5"/>
      <c r="C675" s="5"/>
      <c r="D675" s="5"/>
      <c r="E675" s="5"/>
      <c r="F675" s="5"/>
      <c r="G675" s="5"/>
      <c r="H675" s="306"/>
      <c r="I675" s="306"/>
      <c r="J675" s="5"/>
      <c r="K675" s="5"/>
      <c r="L675" s="5"/>
      <c r="M675" s="5"/>
      <c r="N675" s="5"/>
      <c r="O675" s="5"/>
      <c r="P675" s="57"/>
      <c r="Q675" s="5"/>
      <c r="R675" s="5"/>
      <c r="S675" s="5"/>
      <c r="T675" s="5"/>
      <c r="U675" s="5"/>
      <c r="V675" s="5"/>
      <c r="W675" s="5"/>
      <c r="X675" s="5"/>
      <c r="Y675" s="5"/>
      <c r="Z675" s="5"/>
      <c r="AA675" s="5"/>
    </row>
    <row r="676" spans="1:27" ht="12.75" customHeight="1">
      <c r="A676" s="5"/>
      <c r="B676" s="5"/>
      <c r="C676" s="5"/>
      <c r="D676" s="5"/>
      <c r="E676" s="5"/>
      <c r="F676" s="5"/>
      <c r="G676" s="5"/>
      <c r="H676" s="306"/>
      <c r="I676" s="306"/>
      <c r="J676" s="5"/>
      <c r="K676" s="5"/>
      <c r="L676" s="5"/>
      <c r="M676" s="5"/>
      <c r="N676" s="5"/>
      <c r="O676" s="5"/>
      <c r="P676" s="57"/>
      <c r="Q676" s="5"/>
      <c r="R676" s="5"/>
      <c r="S676" s="5"/>
      <c r="T676" s="5"/>
      <c r="U676" s="5"/>
      <c r="V676" s="5"/>
      <c r="W676" s="5"/>
      <c r="X676" s="5"/>
      <c r="Y676" s="5"/>
      <c r="Z676" s="5"/>
      <c r="AA676" s="5"/>
    </row>
    <row r="677" spans="1:27" ht="12.75" customHeight="1">
      <c r="A677" s="5"/>
      <c r="B677" s="5"/>
      <c r="C677" s="5"/>
      <c r="D677" s="5"/>
      <c r="E677" s="5"/>
      <c r="F677" s="5"/>
      <c r="G677" s="5"/>
      <c r="H677" s="306"/>
      <c r="I677" s="306"/>
      <c r="J677" s="5"/>
      <c r="K677" s="5"/>
      <c r="L677" s="5"/>
      <c r="M677" s="5"/>
      <c r="N677" s="5"/>
      <c r="O677" s="5"/>
      <c r="P677" s="57"/>
      <c r="Q677" s="5"/>
      <c r="R677" s="5"/>
      <c r="S677" s="5"/>
      <c r="T677" s="5"/>
      <c r="U677" s="5"/>
      <c r="V677" s="5"/>
      <c r="W677" s="5"/>
      <c r="X677" s="5"/>
      <c r="Y677" s="5"/>
      <c r="Z677" s="5"/>
      <c r="AA677" s="5"/>
    </row>
    <row r="678" spans="1:27" ht="12.75" customHeight="1">
      <c r="A678" s="5"/>
      <c r="B678" s="5"/>
      <c r="C678" s="5"/>
      <c r="D678" s="5"/>
      <c r="E678" s="5"/>
      <c r="F678" s="5"/>
      <c r="G678" s="5"/>
      <c r="H678" s="306"/>
      <c r="I678" s="306"/>
      <c r="J678" s="5"/>
      <c r="K678" s="5"/>
      <c r="L678" s="5"/>
      <c r="M678" s="5"/>
      <c r="N678" s="5"/>
      <c r="O678" s="5"/>
      <c r="P678" s="57"/>
      <c r="Q678" s="5"/>
      <c r="R678" s="5"/>
      <c r="S678" s="5"/>
      <c r="T678" s="5"/>
      <c r="U678" s="5"/>
      <c r="V678" s="5"/>
      <c r="W678" s="5"/>
      <c r="X678" s="5"/>
      <c r="Y678" s="5"/>
      <c r="Z678" s="5"/>
      <c r="AA678" s="5"/>
    </row>
    <row r="679" spans="1:27" ht="12.75" customHeight="1">
      <c r="A679" s="5"/>
      <c r="B679" s="5"/>
      <c r="C679" s="5"/>
      <c r="D679" s="5"/>
      <c r="E679" s="5"/>
      <c r="F679" s="5"/>
      <c r="G679" s="5"/>
      <c r="H679" s="306"/>
      <c r="I679" s="306"/>
      <c r="J679" s="5"/>
      <c r="K679" s="5"/>
      <c r="L679" s="5"/>
      <c r="M679" s="5"/>
      <c r="N679" s="5"/>
      <c r="O679" s="5"/>
      <c r="P679" s="57"/>
      <c r="Q679" s="5"/>
      <c r="R679" s="5"/>
      <c r="S679" s="5"/>
      <c r="T679" s="5"/>
      <c r="U679" s="5"/>
      <c r="V679" s="5"/>
      <c r="W679" s="5"/>
      <c r="X679" s="5"/>
      <c r="Y679" s="5"/>
      <c r="Z679" s="5"/>
      <c r="AA679" s="5"/>
    </row>
    <row r="680" spans="1:27" ht="12.75" customHeight="1">
      <c r="A680" s="5"/>
      <c r="B680" s="5"/>
      <c r="C680" s="5"/>
      <c r="D680" s="5"/>
      <c r="E680" s="5"/>
      <c r="F680" s="5"/>
      <c r="G680" s="5"/>
      <c r="H680" s="306"/>
      <c r="I680" s="306"/>
      <c r="J680" s="5"/>
      <c r="K680" s="5"/>
      <c r="L680" s="5"/>
      <c r="M680" s="5"/>
      <c r="N680" s="5"/>
      <c r="O680" s="5"/>
      <c r="P680" s="57"/>
      <c r="Q680" s="5"/>
      <c r="R680" s="5"/>
      <c r="S680" s="5"/>
      <c r="T680" s="5"/>
      <c r="U680" s="5"/>
      <c r="V680" s="5"/>
      <c r="W680" s="5"/>
      <c r="X680" s="5"/>
      <c r="Y680" s="5"/>
      <c r="Z680" s="5"/>
      <c r="AA680" s="5"/>
    </row>
    <row r="681" spans="1:27" ht="12.75" customHeight="1">
      <c r="A681" s="5"/>
      <c r="B681" s="5"/>
      <c r="C681" s="5"/>
      <c r="D681" s="5"/>
      <c r="E681" s="5"/>
      <c r="F681" s="5"/>
      <c r="G681" s="5"/>
      <c r="H681" s="306"/>
      <c r="I681" s="306"/>
      <c r="J681" s="5"/>
      <c r="K681" s="5"/>
      <c r="L681" s="5"/>
      <c r="M681" s="5"/>
      <c r="N681" s="5"/>
      <c r="O681" s="5"/>
      <c r="P681" s="57"/>
      <c r="Q681" s="5"/>
      <c r="R681" s="5"/>
      <c r="S681" s="5"/>
      <c r="T681" s="5"/>
      <c r="U681" s="5"/>
      <c r="V681" s="5"/>
      <c r="W681" s="5"/>
      <c r="X681" s="5"/>
      <c r="Y681" s="5"/>
      <c r="Z681" s="5"/>
      <c r="AA681" s="5"/>
    </row>
    <row r="682" spans="1:27" ht="12.75" customHeight="1">
      <c r="A682" s="5"/>
      <c r="B682" s="5"/>
      <c r="C682" s="5"/>
      <c r="D682" s="5"/>
      <c r="E682" s="5"/>
      <c r="F682" s="5"/>
      <c r="G682" s="5"/>
      <c r="H682" s="306"/>
      <c r="I682" s="306"/>
      <c r="J682" s="5"/>
      <c r="K682" s="5"/>
      <c r="L682" s="5"/>
      <c r="M682" s="5"/>
      <c r="N682" s="5"/>
      <c r="O682" s="5"/>
      <c r="P682" s="57"/>
      <c r="Q682" s="5"/>
      <c r="R682" s="5"/>
      <c r="S682" s="5"/>
      <c r="T682" s="5"/>
      <c r="U682" s="5"/>
      <c r="V682" s="5"/>
      <c r="W682" s="5"/>
      <c r="X682" s="5"/>
      <c r="Y682" s="5"/>
      <c r="Z682" s="5"/>
      <c r="AA682" s="5"/>
    </row>
    <row r="683" spans="1:27" ht="12.75" customHeight="1">
      <c r="A683" s="5"/>
      <c r="B683" s="5"/>
      <c r="C683" s="5"/>
      <c r="D683" s="5"/>
      <c r="E683" s="5"/>
      <c r="F683" s="5"/>
      <c r="G683" s="5"/>
      <c r="H683" s="306"/>
      <c r="I683" s="306"/>
      <c r="J683" s="5"/>
      <c r="K683" s="5"/>
      <c r="L683" s="5"/>
      <c r="M683" s="5"/>
      <c r="N683" s="5"/>
      <c r="O683" s="5"/>
      <c r="P683" s="57"/>
      <c r="Q683" s="5"/>
      <c r="R683" s="5"/>
      <c r="S683" s="5"/>
      <c r="T683" s="5"/>
      <c r="U683" s="5"/>
      <c r="V683" s="5"/>
      <c r="W683" s="5"/>
      <c r="X683" s="5"/>
      <c r="Y683" s="5"/>
      <c r="Z683" s="5"/>
      <c r="AA683" s="5"/>
    </row>
    <row r="684" spans="1:27" ht="12.75" customHeight="1">
      <c r="A684" s="5"/>
      <c r="B684" s="5"/>
      <c r="C684" s="5"/>
      <c r="D684" s="5"/>
      <c r="E684" s="5"/>
      <c r="F684" s="5"/>
      <c r="G684" s="5"/>
      <c r="H684" s="306"/>
      <c r="I684" s="306"/>
      <c r="J684" s="5"/>
      <c r="K684" s="5"/>
      <c r="L684" s="5"/>
      <c r="M684" s="5"/>
      <c r="N684" s="5"/>
      <c r="O684" s="5"/>
      <c r="P684" s="57"/>
      <c r="Q684" s="5"/>
      <c r="R684" s="5"/>
      <c r="S684" s="5"/>
      <c r="T684" s="5"/>
      <c r="U684" s="5"/>
      <c r="V684" s="5"/>
      <c r="W684" s="5"/>
      <c r="X684" s="5"/>
      <c r="Y684" s="5"/>
      <c r="Z684" s="5"/>
      <c r="AA684" s="5"/>
    </row>
    <row r="685" spans="1:27" ht="12.75" customHeight="1">
      <c r="A685" s="5"/>
      <c r="B685" s="5"/>
      <c r="C685" s="5"/>
      <c r="D685" s="5"/>
      <c r="E685" s="5"/>
      <c r="F685" s="5"/>
      <c r="G685" s="5"/>
      <c r="H685" s="306"/>
      <c r="I685" s="306"/>
      <c r="J685" s="5"/>
      <c r="K685" s="5"/>
      <c r="L685" s="5"/>
      <c r="M685" s="5"/>
      <c r="N685" s="5"/>
      <c r="O685" s="5"/>
      <c r="P685" s="57"/>
      <c r="Q685" s="5"/>
      <c r="R685" s="5"/>
      <c r="S685" s="5"/>
      <c r="T685" s="5"/>
      <c r="U685" s="5"/>
      <c r="V685" s="5"/>
      <c r="W685" s="5"/>
      <c r="X685" s="5"/>
      <c r="Y685" s="5"/>
      <c r="Z685" s="5"/>
      <c r="AA685" s="5"/>
    </row>
    <row r="686" spans="1:27" ht="12.75" customHeight="1">
      <c r="A686" s="5"/>
      <c r="B686" s="5"/>
      <c r="C686" s="5"/>
      <c r="D686" s="5"/>
      <c r="E686" s="5"/>
      <c r="F686" s="5"/>
      <c r="G686" s="5"/>
      <c r="H686" s="306"/>
      <c r="I686" s="306"/>
      <c r="J686" s="5"/>
      <c r="K686" s="5"/>
      <c r="L686" s="5"/>
      <c r="M686" s="5"/>
      <c r="N686" s="5"/>
      <c r="O686" s="5"/>
      <c r="P686" s="57"/>
      <c r="Q686" s="5"/>
      <c r="R686" s="5"/>
      <c r="S686" s="5"/>
      <c r="T686" s="5"/>
      <c r="U686" s="5"/>
      <c r="V686" s="5"/>
      <c r="W686" s="5"/>
      <c r="X686" s="5"/>
      <c r="Y686" s="5"/>
      <c r="Z686" s="5"/>
      <c r="AA686" s="5"/>
    </row>
    <row r="687" spans="1:27" ht="12.75" customHeight="1">
      <c r="A687" s="5"/>
      <c r="B687" s="5"/>
      <c r="C687" s="5"/>
      <c r="D687" s="5"/>
      <c r="E687" s="5"/>
      <c r="F687" s="5"/>
      <c r="G687" s="5"/>
      <c r="H687" s="306"/>
      <c r="I687" s="306"/>
      <c r="J687" s="5"/>
      <c r="K687" s="5"/>
      <c r="L687" s="5"/>
      <c r="M687" s="5"/>
      <c r="N687" s="5"/>
      <c r="O687" s="5"/>
      <c r="P687" s="57"/>
      <c r="Q687" s="5"/>
      <c r="R687" s="5"/>
      <c r="S687" s="5"/>
      <c r="T687" s="5"/>
      <c r="U687" s="5"/>
      <c r="V687" s="5"/>
      <c r="W687" s="5"/>
      <c r="X687" s="5"/>
      <c r="Y687" s="5"/>
      <c r="Z687" s="5"/>
      <c r="AA687" s="5"/>
    </row>
    <row r="688" spans="1:27" ht="12.75" customHeight="1">
      <c r="A688" s="5"/>
      <c r="B688" s="5"/>
      <c r="C688" s="5"/>
      <c r="D688" s="5"/>
      <c r="E688" s="5"/>
      <c r="F688" s="5"/>
      <c r="G688" s="5"/>
      <c r="H688" s="306"/>
      <c r="I688" s="306"/>
      <c r="J688" s="5"/>
      <c r="K688" s="5"/>
      <c r="L688" s="5"/>
      <c r="M688" s="5"/>
      <c r="N688" s="5"/>
      <c r="O688" s="5"/>
      <c r="P688" s="57"/>
      <c r="Q688" s="5"/>
      <c r="R688" s="5"/>
      <c r="S688" s="5"/>
      <c r="T688" s="5"/>
      <c r="U688" s="5"/>
      <c r="V688" s="5"/>
      <c r="W688" s="5"/>
      <c r="X688" s="5"/>
      <c r="Y688" s="5"/>
      <c r="Z688" s="5"/>
      <c r="AA688" s="5"/>
    </row>
    <row r="689" spans="1:27" ht="12.75" customHeight="1">
      <c r="A689" s="5"/>
      <c r="B689" s="5"/>
      <c r="C689" s="5"/>
      <c r="D689" s="5"/>
      <c r="E689" s="5"/>
      <c r="F689" s="5"/>
      <c r="G689" s="5"/>
      <c r="H689" s="306"/>
      <c r="I689" s="306"/>
      <c r="J689" s="5"/>
      <c r="K689" s="5"/>
      <c r="L689" s="5"/>
      <c r="M689" s="5"/>
      <c r="N689" s="5"/>
      <c r="O689" s="5"/>
      <c r="P689" s="57"/>
      <c r="Q689" s="5"/>
      <c r="R689" s="5"/>
      <c r="S689" s="5"/>
      <c r="T689" s="5"/>
      <c r="U689" s="5"/>
      <c r="V689" s="5"/>
      <c r="W689" s="5"/>
      <c r="X689" s="5"/>
      <c r="Y689" s="5"/>
      <c r="Z689" s="5"/>
      <c r="AA689" s="5"/>
    </row>
    <row r="690" spans="1:27" ht="12.75" customHeight="1">
      <c r="A690" s="5"/>
      <c r="B690" s="5"/>
      <c r="C690" s="5"/>
      <c r="D690" s="5"/>
      <c r="E690" s="5"/>
      <c r="F690" s="5"/>
      <c r="G690" s="5"/>
      <c r="H690" s="306"/>
      <c r="I690" s="306"/>
      <c r="J690" s="5"/>
      <c r="K690" s="5"/>
      <c r="L690" s="5"/>
      <c r="M690" s="5"/>
      <c r="N690" s="5"/>
      <c r="O690" s="5"/>
      <c r="P690" s="57"/>
      <c r="Q690" s="5"/>
      <c r="R690" s="5"/>
      <c r="S690" s="5"/>
      <c r="T690" s="5"/>
      <c r="U690" s="5"/>
      <c r="V690" s="5"/>
      <c r="W690" s="5"/>
      <c r="X690" s="5"/>
      <c r="Y690" s="5"/>
      <c r="Z690" s="5"/>
      <c r="AA690" s="5"/>
    </row>
    <row r="691" spans="1:27" ht="12.75" customHeight="1">
      <c r="A691" s="5"/>
      <c r="B691" s="5"/>
      <c r="C691" s="5"/>
      <c r="D691" s="5"/>
      <c r="E691" s="5"/>
      <c r="F691" s="5"/>
      <c r="G691" s="5"/>
      <c r="H691" s="306"/>
      <c r="I691" s="306"/>
      <c r="J691" s="5"/>
      <c r="K691" s="5"/>
      <c r="L691" s="5"/>
      <c r="M691" s="5"/>
      <c r="N691" s="5"/>
      <c r="O691" s="5"/>
      <c r="P691" s="57"/>
      <c r="Q691" s="5"/>
      <c r="R691" s="5"/>
      <c r="S691" s="5"/>
      <c r="T691" s="5"/>
      <c r="U691" s="5"/>
      <c r="V691" s="5"/>
      <c r="W691" s="5"/>
      <c r="X691" s="5"/>
      <c r="Y691" s="5"/>
      <c r="Z691" s="5"/>
      <c r="AA691" s="5"/>
    </row>
    <row r="692" spans="1:27" ht="12.75" customHeight="1">
      <c r="A692" s="5"/>
      <c r="B692" s="5"/>
      <c r="C692" s="5"/>
      <c r="D692" s="5"/>
      <c r="E692" s="5"/>
      <c r="F692" s="5"/>
      <c r="G692" s="5"/>
      <c r="H692" s="306"/>
      <c r="I692" s="306"/>
      <c r="J692" s="5"/>
      <c r="K692" s="5"/>
      <c r="L692" s="5"/>
      <c r="M692" s="5"/>
      <c r="N692" s="5"/>
      <c r="O692" s="5"/>
      <c r="P692" s="57"/>
      <c r="Q692" s="5"/>
      <c r="R692" s="5"/>
      <c r="S692" s="5"/>
      <c r="T692" s="5"/>
      <c r="U692" s="5"/>
      <c r="V692" s="5"/>
      <c r="W692" s="5"/>
      <c r="X692" s="5"/>
      <c r="Y692" s="5"/>
      <c r="Z692" s="5"/>
      <c r="AA692" s="5"/>
    </row>
    <row r="693" spans="1:27" ht="12.75" customHeight="1">
      <c r="A693" s="5"/>
      <c r="B693" s="5"/>
      <c r="C693" s="5"/>
      <c r="D693" s="5"/>
      <c r="E693" s="5"/>
      <c r="F693" s="5"/>
      <c r="G693" s="5"/>
      <c r="H693" s="306"/>
      <c r="I693" s="306"/>
      <c r="J693" s="5"/>
      <c r="K693" s="5"/>
      <c r="L693" s="5"/>
      <c r="M693" s="5"/>
      <c r="N693" s="5"/>
      <c r="O693" s="5"/>
      <c r="P693" s="57"/>
      <c r="Q693" s="5"/>
      <c r="R693" s="5"/>
      <c r="S693" s="5"/>
      <c r="T693" s="5"/>
      <c r="U693" s="5"/>
      <c r="V693" s="5"/>
      <c r="W693" s="5"/>
      <c r="X693" s="5"/>
      <c r="Y693" s="5"/>
      <c r="Z693" s="5"/>
      <c r="AA693" s="5"/>
    </row>
    <row r="694" spans="1:27" ht="12.75" customHeight="1">
      <c r="A694" s="5"/>
      <c r="B694" s="5"/>
      <c r="C694" s="5"/>
      <c r="D694" s="5"/>
      <c r="E694" s="5"/>
      <c r="F694" s="5"/>
      <c r="G694" s="5"/>
      <c r="H694" s="306"/>
      <c r="I694" s="306"/>
      <c r="J694" s="5"/>
      <c r="K694" s="5"/>
      <c r="L694" s="5"/>
      <c r="M694" s="5"/>
      <c r="N694" s="5"/>
      <c r="O694" s="5"/>
      <c r="P694" s="57"/>
      <c r="Q694" s="5"/>
      <c r="R694" s="5"/>
      <c r="S694" s="5"/>
      <c r="T694" s="5"/>
      <c r="U694" s="5"/>
      <c r="V694" s="5"/>
      <c r="W694" s="5"/>
      <c r="X694" s="5"/>
      <c r="Y694" s="5"/>
      <c r="Z694" s="5"/>
      <c r="AA694" s="5"/>
    </row>
    <row r="695" spans="1:27" ht="12.75" customHeight="1">
      <c r="A695" s="5"/>
      <c r="B695" s="5"/>
      <c r="C695" s="5"/>
      <c r="D695" s="5"/>
      <c r="E695" s="5"/>
      <c r="F695" s="5"/>
      <c r="G695" s="5"/>
      <c r="H695" s="306"/>
      <c r="I695" s="306"/>
      <c r="J695" s="5"/>
      <c r="K695" s="5"/>
      <c r="L695" s="5"/>
      <c r="M695" s="5"/>
      <c r="N695" s="5"/>
      <c r="O695" s="5"/>
      <c r="P695" s="57"/>
      <c r="Q695" s="5"/>
      <c r="R695" s="5"/>
      <c r="S695" s="5"/>
      <c r="T695" s="5"/>
      <c r="U695" s="5"/>
      <c r="V695" s="5"/>
      <c r="W695" s="5"/>
      <c r="X695" s="5"/>
      <c r="Y695" s="5"/>
      <c r="Z695" s="5"/>
      <c r="AA695" s="5"/>
    </row>
    <row r="696" spans="1:27" ht="12.75" customHeight="1">
      <c r="A696" s="5"/>
      <c r="B696" s="5"/>
      <c r="C696" s="5"/>
      <c r="D696" s="5"/>
      <c r="E696" s="5"/>
      <c r="F696" s="5"/>
      <c r="G696" s="5"/>
      <c r="H696" s="306"/>
      <c r="I696" s="306"/>
      <c r="J696" s="5"/>
      <c r="K696" s="5"/>
      <c r="L696" s="5"/>
      <c r="M696" s="5"/>
      <c r="N696" s="5"/>
      <c r="O696" s="5"/>
      <c r="P696" s="57"/>
      <c r="Q696" s="5"/>
      <c r="R696" s="5"/>
      <c r="S696" s="5"/>
      <c r="T696" s="5"/>
      <c r="U696" s="5"/>
      <c r="V696" s="5"/>
      <c r="W696" s="5"/>
      <c r="X696" s="5"/>
      <c r="Y696" s="5"/>
      <c r="Z696" s="5"/>
      <c r="AA696" s="5"/>
    </row>
    <row r="697" spans="1:27" ht="12.75" customHeight="1">
      <c r="A697" s="5"/>
      <c r="B697" s="5"/>
      <c r="C697" s="5"/>
      <c r="D697" s="5"/>
      <c r="E697" s="5"/>
      <c r="F697" s="5"/>
      <c r="G697" s="5"/>
      <c r="H697" s="306"/>
      <c r="I697" s="306"/>
      <c r="J697" s="5"/>
      <c r="K697" s="5"/>
      <c r="L697" s="5"/>
      <c r="M697" s="5"/>
      <c r="N697" s="5"/>
      <c r="O697" s="5"/>
      <c r="P697" s="57"/>
      <c r="Q697" s="5"/>
      <c r="R697" s="5"/>
      <c r="S697" s="5"/>
      <c r="T697" s="5"/>
      <c r="U697" s="5"/>
      <c r="V697" s="5"/>
      <c r="W697" s="5"/>
      <c r="X697" s="5"/>
      <c r="Y697" s="5"/>
      <c r="Z697" s="5"/>
      <c r="AA697" s="5"/>
    </row>
    <row r="698" spans="1:27" ht="12.75" customHeight="1">
      <c r="A698" s="5"/>
      <c r="B698" s="5"/>
      <c r="C698" s="5"/>
      <c r="D698" s="5"/>
      <c r="E698" s="5"/>
      <c r="F698" s="5"/>
      <c r="G698" s="5"/>
      <c r="H698" s="306"/>
      <c r="I698" s="306"/>
      <c r="J698" s="5"/>
      <c r="K698" s="5"/>
      <c r="L698" s="5"/>
      <c r="M698" s="5"/>
      <c r="N698" s="5"/>
      <c r="O698" s="5"/>
      <c r="P698" s="57"/>
      <c r="Q698" s="5"/>
      <c r="R698" s="5"/>
      <c r="S698" s="5"/>
      <c r="T698" s="5"/>
      <c r="U698" s="5"/>
      <c r="V698" s="5"/>
      <c r="W698" s="5"/>
      <c r="X698" s="5"/>
      <c r="Y698" s="5"/>
      <c r="Z698" s="5"/>
      <c r="AA698" s="5"/>
    </row>
    <row r="699" spans="1:27" ht="12.75" customHeight="1">
      <c r="A699" s="5"/>
      <c r="B699" s="5"/>
      <c r="C699" s="5"/>
      <c r="D699" s="5"/>
      <c r="E699" s="5"/>
      <c r="F699" s="5"/>
      <c r="G699" s="5"/>
      <c r="H699" s="306"/>
      <c r="I699" s="306"/>
      <c r="J699" s="5"/>
      <c r="K699" s="5"/>
      <c r="L699" s="5"/>
      <c r="M699" s="5"/>
      <c r="N699" s="5"/>
      <c r="O699" s="5"/>
      <c r="P699" s="57"/>
      <c r="Q699" s="5"/>
      <c r="R699" s="5"/>
      <c r="S699" s="5"/>
      <c r="T699" s="5"/>
      <c r="U699" s="5"/>
      <c r="V699" s="5"/>
      <c r="W699" s="5"/>
      <c r="X699" s="5"/>
      <c r="Y699" s="5"/>
      <c r="Z699" s="5"/>
      <c r="AA699" s="5"/>
    </row>
    <row r="700" spans="1:27" ht="12.75" customHeight="1">
      <c r="A700" s="5"/>
      <c r="B700" s="5"/>
      <c r="C700" s="5"/>
      <c r="D700" s="5"/>
      <c r="E700" s="5"/>
      <c r="F700" s="5"/>
      <c r="G700" s="5"/>
      <c r="H700" s="306"/>
      <c r="I700" s="306"/>
      <c r="J700" s="5"/>
      <c r="K700" s="5"/>
      <c r="L700" s="5"/>
      <c r="M700" s="5"/>
      <c r="N700" s="5"/>
      <c r="O700" s="5"/>
      <c r="P700" s="57"/>
      <c r="Q700" s="5"/>
      <c r="R700" s="5"/>
      <c r="S700" s="5"/>
      <c r="T700" s="5"/>
      <c r="U700" s="5"/>
      <c r="V700" s="5"/>
      <c r="W700" s="5"/>
      <c r="X700" s="5"/>
      <c r="Y700" s="5"/>
      <c r="Z700" s="5"/>
      <c r="AA700" s="5"/>
    </row>
    <row r="701" spans="1:27" ht="12.75" customHeight="1">
      <c r="A701" s="5"/>
      <c r="B701" s="5"/>
      <c r="C701" s="5"/>
      <c r="D701" s="5"/>
      <c r="E701" s="5"/>
      <c r="F701" s="5"/>
      <c r="G701" s="5"/>
      <c r="H701" s="306"/>
      <c r="I701" s="306"/>
      <c r="J701" s="5"/>
      <c r="K701" s="5"/>
      <c r="L701" s="5"/>
      <c r="M701" s="5"/>
      <c r="N701" s="5"/>
      <c r="O701" s="5"/>
      <c r="P701" s="57"/>
      <c r="Q701" s="5"/>
      <c r="R701" s="5"/>
      <c r="S701" s="5"/>
      <c r="T701" s="5"/>
      <c r="U701" s="5"/>
      <c r="V701" s="5"/>
      <c r="W701" s="5"/>
      <c r="X701" s="5"/>
      <c r="Y701" s="5"/>
      <c r="Z701" s="5"/>
      <c r="AA701" s="5"/>
    </row>
    <row r="702" spans="1:27" ht="12.75" customHeight="1">
      <c r="A702" s="5"/>
      <c r="B702" s="5"/>
      <c r="C702" s="5"/>
      <c r="D702" s="5"/>
      <c r="E702" s="5"/>
      <c r="F702" s="5"/>
      <c r="G702" s="5"/>
      <c r="H702" s="306"/>
      <c r="I702" s="306"/>
      <c r="J702" s="5"/>
      <c r="K702" s="5"/>
      <c r="L702" s="5"/>
      <c r="M702" s="5"/>
      <c r="N702" s="5"/>
      <c r="O702" s="5"/>
      <c r="P702" s="57"/>
      <c r="Q702" s="5"/>
      <c r="R702" s="5"/>
      <c r="S702" s="5"/>
      <c r="T702" s="5"/>
      <c r="U702" s="5"/>
      <c r="V702" s="5"/>
      <c r="W702" s="5"/>
      <c r="X702" s="5"/>
      <c r="Y702" s="5"/>
      <c r="Z702" s="5"/>
      <c r="AA702" s="5"/>
    </row>
    <row r="703" spans="1:27" ht="12.75" customHeight="1">
      <c r="A703" s="5"/>
      <c r="B703" s="5"/>
      <c r="C703" s="5"/>
      <c r="D703" s="5"/>
      <c r="E703" s="5"/>
      <c r="F703" s="5"/>
      <c r="G703" s="5"/>
      <c r="H703" s="306"/>
      <c r="I703" s="306"/>
      <c r="J703" s="5"/>
      <c r="K703" s="5"/>
      <c r="L703" s="5"/>
      <c r="M703" s="5"/>
      <c r="N703" s="5"/>
      <c r="O703" s="5"/>
      <c r="P703" s="57"/>
      <c r="Q703" s="5"/>
      <c r="R703" s="5"/>
      <c r="S703" s="5"/>
      <c r="T703" s="5"/>
      <c r="U703" s="5"/>
      <c r="V703" s="5"/>
      <c r="W703" s="5"/>
      <c r="X703" s="5"/>
      <c r="Y703" s="5"/>
      <c r="Z703" s="5"/>
      <c r="AA703" s="5"/>
    </row>
    <row r="704" spans="1:27" ht="12.75" customHeight="1">
      <c r="A704" s="5"/>
      <c r="B704" s="5"/>
      <c r="C704" s="5"/>
      <c r="D704" s="5"/>
      <c r="E704" s="5"/>
      <c r="F704" s="5"/>
      <c r="G704" s="5"/>
      <c r="H704" s="306"/>
      <c r="I704" s="306"/>
      <c r="J704" s="5"/>
      <c r="K704" s="5"/>
      <c r="L704" s="5"/>
      <c r="M704" s="5"/>
      <c r="N704" s="5"/>
      <c r="O704" s="5"/>
      <c r="P704" s="57"/>
      <c r="Q704" s="5"/>
      <c r="R704" s="5"/>
      <c r="S704" s="5"/>
      <c r="T704" s="5"/>
      <c r="U704" s="5"/>
      <c r="V704" s="5"/>
      <c r="W704" s="5"/>
      <c r="X704" s="5"/>
      <c r="Y704" s="5"/>
      <c r="Z704" s="5"/>
      <c r="AA704" s="5"/>
    </row>
    <row r="705" spans="1:27" ht="12.75" customHeight="1">
      <c r="A705" s="5"/>
      <c r="B705" s="5"/>
      <c r="C705" s="5"/>
      <c r="D705" s="5"/>
      <c r="E705" s="5"/>
      <c r="F705" s="5"/>
      <c r="G705" s="5"/>
      <c r="H705" s="306"/>
      <c r="I705" s="306"/>
      <c r="J705" s="5"/>
      <c r="K705" s="5"/>
      <c r="L705" s="5"/>
      <c r="M705" s="5"/>
      <c r="N705" s="5"/>
      <c r="O705" s="5"/>
      <c r="P705" s="57"/>
      <c r="Q705" s="5"/>
      <c r="R705" s="5"/>
      <c r="S705" s="5"/>
      <c r="T705" s="5"/>
      <c r="U705" s="5"/>
      <c r="V705" s="5"/>
      <c r="W705" s="5"/>
      <c r="X705" s="5"/>
      <c r="Y705" s="5"/>
      <c r="Z705" s="5"/>
      <c r="AA705" s="5"/>
    </row>
    <row r="706" spans="1:27" ht="12.75" customHeight="1">
      <c r="A706" s="5"/>
      <c r="B706" s="5"/>
      <c r="C706" s="5"/>
      <c r="D706" s="5"/>
      <c r="E706" s="5"/>
      <c r="F706" s="5"/>
      <c r="G706" s="5"/>
      <c r="H706" s="306"/>
      <c r="I706" s="306"/>
      <c r="J706" s="5"/>
      <c r="K706" s="5"/>
      <c r="L706" s="5"/>
      <c r="M706" s="5"/>
      <c r="N706" s="5"/>
      <c r="O706" s="5"/>
      <c r="P706" s="57"/>
      <c r="Q706" s="5"/>
      <c r="R706" s="5"/>
      <c r="S706" s="5"/>
      <c r="T706" s="5"/>
      <c r="U706" s="5"/>
      <c r="V706" s="5"/>
      <c r="W706" s="5"/>
      <c r="X706" s="5"/>
      <c r="Y706" s="5"/>
      <c r="Z706" s="5"/>
      <c r="AA706" s="5"/>
    </row>
    <row r="707" spans="1:27" ht="12.75" customHeight="1">
      <c r="A707" s="5"/>
      <c r="B707" s="5"/>
      <c r="C707" s="5"/>
      <c r="D707" s="5"/>
      <c r="E707" s="5"/>
      <c r="F707" s="5"/>
      <c r="G707" s="5"/>
      <c r="H707" s="306"/>
      <c r="I707" s="306"/>
      <c r="J707" s="5"/>
      <c r="K707" s="5"/>
      <c r="L707" s="5"/>
      <c r="M707" s="5"/>
      <c r="N707" s="5"/>
      <c r="O707" s="5"/>
      <c r="P707" s="57"/>
      <c r="Q707" s="5"/>
      <c r="R707" s="5"/>
      <c r="S707" s="5"/>
      <c r="T707" s="5"/>
      <c r="U707" s="5"/>
      <c r="V707" s="5"/>
      <c r="W707" s="5"/>
      <c r="X707" s="5"/>
      <c r="Y707" s="5"/>
      <c r="Z707" s="5"/>
      <c r="AA707" s="5"/>
    </row>
    <row r="708" spans="1:27" ht="12.75" customHeight="1">
      <c r="A708" s="5"/>
      <c r="B708" s="5"/>
      <c r="C708" s="5"/>
      <c r="D708" s="5"/>
      <c r="E708" s="5"/>
      <c r="F708" s="5"/>
      <c r="G708" s="5"/>
      <c r="H708" s="306"/>
      <c r="I708" s="306"/>
      <c r="J708" s="5"/>
      <c r="K708" s="5"/>
      <c r="L708" s="5"/>
      <c r="M708" s="5"/>
      <c r="N708" s="5"/>
      <c r="O708" s="5"/>
      <c r="P708" s="57"/>
      <c r="Q708" s="5"/>
      <c r="R708" s="5"/>
      <c r="S708" s="5"/>
      <c r="T708" s="5"/>
      <c r="U708" s="5"/>
      <c r="V708" s="5"/>
      <c r="W708" s="5"/>
      <c r="X708" s="5"/>
      <c r="Y708" s="5"/>
      <c r="Z708" s="5"/>
      <c r="AA708" s="5"/>
    </row>
    <row r="709" spans="1:27" ht="12.75" customHeight="1">
      <c r="A709" s="5"/>
      <c r="B709" s="5"/>
      <c r="C709" s="5"/>
      <c r="D709" s="5"/>
      <c r="E709" s="5"/>
      <c r="F709" s="5"/>
      <c r="G709" s="5"/>
      <c r="H709" s="306"/>
      <c r="I709" s="306"/>
      <c r="J709" s="5"/>
      <c r="K709" s="5"/>
      <c r="L709" s="5"/>
      <c r="M709" s="5"/>
      <c r="N709" s="5"/>
      <c r="O709" s="5"/>
      <c r="P709" s="57"/>
      <c r="Q709" s="5"/>
      <c r="R709" s="5"/>
      <c r="S709" s="5"/>
      <c r="T709" s="5"/>
      <c r="U709" s="5"/>
      <c r="V709" s="5"/>
      <c r="W709" s="5"/>
      <c r="X709" s="5"/>
      <c r="Y709" s="5"/>
      <c r="Z709" s="5"/>
      <c r="AA709" s="5"/>
    </row>
    <row r="710" spans="1:27" ht="12.75" customHeight="1">
      <c r="A710" s="5"/>
      <c r="B710" s="5"/>
      <c r="C710" s="5"/>
      <c r="D710" s="5"/>
      <c r="E710" s="5"/>
      <c r="F710" s="5"/>
      <c r="G710" s="5"/>
      <c r="H710" s="306"/>
      <c r="I710" s="306"/>
      <c r="J710" s="5"/>
      <c r="K710" s="5"/>
      <c r="L710" s="5"/>
      <c r="M710" s="5"/>
      <c r="N710" s="5"/>
      <c r="O710" s="5"/>
      <c r="P710" s="57"/>
      <c r="Q710" s="5"/>
      <c r="R710" s="5"/>
      <c r="S710" s="5"/>
      <c r="T710" s="5"/>
      <c r="U710" s="5"/>
      <c r="V710" s="5"/>
      <c r="W710" s="5"/>
      <c r="X710" s="5"/>
      <c r="Y710" s="5"/>
      <c r="Z710" s="5"/>
      <c r="AA710" s="5"/>
    </row>
    <row r="711" spans="1:27" ht="12.75" customHeight="1">
      <c r="A711" s="5"/>
      <c r="B711" s="5"/>
      <c r="C711" s="5"/>
      <c r="D711" s="5"/>
      <c r="E711" s="5"/>
      <c r="F711" s="5"/>
      <c r="G711" s="5"/>
      <c r="H711" s="306"/>
      <c r="I711" s="306"/>
      <c r="J711" s="5"/>
      <c r="K711" s="5"/>
      <c r="L711" s="5"/>
      <c r="M711" s="5"/>
      <c r="N711" s="5"/>
      <c r="O711" s="5"/>
      <c r="P711" s="57"/>
      <c r="Q711" s="5"/>
      <c r="R711" s="5"/>
      <c r="S711" s="5"/>
      <c r="T711" s="5"/>
      <c r="U711" s="5"/>
      <c r="V711" s="5"/>
      <c r="W711" s="5"/>
      <c r="X711" s="5"/>
      <c r="Y711" s="5"/>
      <c r="Z711" s="5"/>
      <c r="AA711" s="5"/>
    </row>
    <row r="712" spans="1:27" ht="12.75" customHeight="1">
      <c r="A712" s="5"/>
      <c r="B712" s="5"/>
      <c r="C712" s="5"/>
      <c r="D712" s="5"/>
      <c r="E712" s="5"/>
      <c r="F712" s="5"/>
      <c r="G712" s="5"/>
      <c r="H712" s="306"/>
      <c r="I712" s="306"/>
      <c r="J712" s="5"/>
      <c r="K712" s="5"/>
      <c r="L712" s="5"/>
      <c r="M712" s="5"/>
      <c r="N712" s="5"/>
      <c r="O712" s="5"/>
      <c r="P712" s="57"/>
      <c r="Q712" s="5"/>
      <c r="R712" s="5"/>
      <c r="S712" s="5"/>
      <c r="T712" s="5"/>
      <c r="U712" s="5"/>
      <c r="V712" s="5"/>
      <c r="W712" s="5"/>
      <c r="X712" s="5"/>
      <c r="Y712" s="5"/>
      <c r="Z712" s="5"/>
      <c r="AA712" s="5"/>
    </row>
    <row r="713" spans="1:27" ht="12.75" customHeight="1">
      <c r="A713" s="5"/>
      <c r="B713" s="5"/>
      <c r="C713" s="5"/>
      <c r="D713" s="5"/>
      <c r="E713" s="5"/>
      <c r="F713" s="5"/>
      <c r="G713" s="5"/>
      <c r="H713" s="306"/>
      <c r="I713" s="306"/>
      <c r="J713" s="5"/>
      <c r="K713" s="5"/>
      <c r="L713" s="5"/>
      <c r="M713" s="5"/>
      <c r="N713" s="5"/>
      <c r="O713" s="5"/>
      <c r="P713" s="57"/>
      <c r="Q713" s="5"/>
      <c r="R713" s="5"/>
      <c r="S713" s="5"/>
      <c r="T713" s="5"/>
      <c r="U713" s="5"/>
      <c r="V713" s="5"/>
      <c r="W713" s="5"/>
      <c r="X713" s="5"/>
      <c r="Y713" s="5"/>
      <c r="Z713" s="5"/>
      <c r="AA713" s="5"/>
    </row>
    <row r="714" spans="1:27" ht="12.75" customHeight="1">
      <c r="A714" s="5"/>
      <c r="B714" s="5"/>
      <c r="C714" s="5"/>
      <c r="D714" s="5"/>
      <c r="E714" s="5"/>
      <c r="F714" s="5"/>
      <c r="G714" s="5"/>
      <c r="H714" s="306"/>
      <c r="I714" s="306"/>
      <c r="J714" s="5"/>
      <c r="K714" s="5"/>
      <c r="L714" s="5"/>
      <c r="M714" s="5"/>
      <c r="N714" s="5"/>
      <c r="O714" s="5"/>
      <c r="P714" s="57"/>
      <c r="Q714" s="5"/>
      <c r="R714" s="5"/>
      <c r="S714" s="5"/>
      <c r="T714" s="5"/>
      <c r="U714" s="5"/>
      <c r="V714" s="5"/>
      <c r="W714" s="5"/>
      <c r="X714" s="5"/>
      <c r="Y714" s="5"/>
      <c r="Z714" s="5"/>
      <c r="AA714" s="5"/>
    </row>
    <row r="715" spans="1:27" ht="12.75" customHeight="1">
      <c r="A715" s="5"/>
      <c r="B715" s="5"/>
      <c r="C715" s="5"/>
      <c r="D715" s="5"/>
      <c r="E715" s="5"/>
      <c r="F715" s="5"/>
      <c r="G715" s="5"/>
      <c r="H715" s="306"/>
      <c r="I715" s="306"/>
      <c r="J715" s="5"/>
      <c r="K715" s="5"/>
      <c r="L715" s="5"/>
      <c r="M715" s="5"/>
      <c r="N715" s="5"/>
      <c r="O715" s="5"/>
      <c r="P715" s="57"/>
      <c r="Q715" s="5"/>
      <c r="R715" s="5"/>
      <c r="S715" s="5"/>
      <c r="T715" s="5"/>
      <c r="U715" s="5"/>
      <c r="V715" s="5"/>
      <c r="W715" s="5"/>
      <c r="X715" s="5"/>
      <c r="Y715" s="5"/>
      <c r="Z715" s="5"/>
      <c r="AA715" s="5"/>
    </row>
    <row r="716" spans="1:27" ht="12.75" customHeight="1">
      <c r="A716" s="5"/>
      <c r="B716" s="5"/>
      <c r="C716" s="5"/>
      <c r="D716" s="5"/>
      <c r="E716" s="5"/>
      <c r="F716" s="5"/>
      <c r="G716" s="5"/>
      <c r="H716" s="306"/>
      <c r="I716" s="306"/>
      <c r="J716" s="5"/>
      <c r="K716" s="5"/>
      <c r="L716" s="5"/>
      <c r="M716" s="5"/>
      <c r="N716" s="5"/>
      <c r="O716" s="5"/>
      <c r="P716" s="57"/>
      <c r="Q716" s="5"/>
      <c r="R716" s="5"/>
      <c r="S716" s="5"/>
      <c r="T716" s="5"/>
      <c r="U716" s="5"/>
      <c r="V716" s="5"/>
      <c r="W716" s="5"/>
      <c r="X716" s="5"/>
      <c r="Y716" s="5"/>
      <c r="Z716" s="5"/>
      <c r="AA716" s="5"/>
    </row>
    <row r="717" spans="1:27" ht="12.75" customHeight="1">
      <c r="A717" s="5"/>
      <c r="B717" s="5"/>
      <c r="C717" s="5"/>
      <c r="D717" s="5"/>
      <c r="E717" s="5"/>
      <c r="F717" s="5"/>
      <c r="G717" s="5"/>
      <c r="H717" s="306"/>
      <c r="I717" s="306"/>
      <c r="J717" s="5"/>
      <c r="K717" s="5"/>
      <c r="L717" s="5"/>
      <c r="M717" s="5"/>
      <c r="N717" s="5"/>
      <c r="O717" s="5"/>
      <c r="P717" s="57"/>
      <c r="Q717" s="5"/>
      <c r="R717" s="5"/>
      <c r="S717" s="5"/>
      <c r="T717" s="5"/>
      <c r="U717" s="5"/>
      <c r="V717" s="5"/>
      <c r="W717" s="5"/>
      <c r="X717" s="5"/>
      <c r="Y717" s="5"/>
      <c r="Z717" s="5"/>
      <c r="AA717" s="5"/>
    </row>
    <row r="718" spans="1:27" ht="12.75" customHeight="1">
      <c r="A718" s="5"/>
      <c r="B718" s="5"/>
      <c r="C718" s="5"/>
      <c r="D718" s="5"/>
      <c r="E718" s="5"/>
      <c r="F718" s="5"/>
      <c r="G718" s="5"/>
      <c r="H718" s="306"/>
      <c r="I718" s="306"/>
      <c r="J718" s="5"/>
      <c r="K718" s="5"/>
      <c r="L718" s="5"/>
      <c r="M718" s="5"/>
      <c r="N718" s="5"/>
      <c r="O718" s="5"/>
      <c r="P718" s="57"/>
      <c r="Q718" s="5"/>
      <c r="R718" s="5"/>
      <c r="S718" s="5"/>
      <c r="T718" s="5"/>
      <c r="U718" s="5"/>
      <c r="V718" s="5"/>
      <c r="W718" s="5"/>
      <c r="X718" s="5"/>
      <c r="Y718" s="5"/>
      <c r="Z718" s="5"/>
      <c r="AA718" s="5"/>
    </row>
    <row r="719" spans="1:27" ht="12.75" customHeight="1">
      <c r="A719" s="5"/>
      <c r="B719" s="5"/>
      <c r="C719" s="5"/>
      <c r="D719" s="5"/>
      <c r="E719" s="5"/>
      <c r="F719" s="5"/>
      <c r="G719" s="5"/>
      <c r="H719" s="306"/>
      <c r="I719" s="306"/>
      <c r="J719" s="5"/>
      <c r="K719" s="5"/>
      <c r="L719" s="5"/>
      <c r="M719" s="5"/>
      <c r="N719" s="5"/>
      <c r="O719" s="5"/>
      <c r="P719" s="57"/>
      <c r="Q719" s="5"/>
      <c r="R719" s="5"/>
      <c r="S719" s="5"/>
      <c r="T719" s="5"/>
      <c r="U719" s="5"/>
      <c r="V719" s="5"/>
      <c r="W719" s="5"/>
      <c r="X719" s="5"/>
      <c r="Y719" s="5"/>
      <c r="Z719" s="5"/>
      <c r="AA719" s="5"/>
    </row>
    <row r="720" spans="1:27" ht="12.75" customHeight="1">
      <c r="A720" s="5"/>
      <c r="B720" s="5"/>
      <c r="C720" s="5"/>
      <c r="D720" s="5"/>
      <c r="E720" s="5"/>
      <c r="F720" s="5"/>
      <c r="G720" s="5"/>
      <c r="H720" s="306"/>
      <c r="I720" s="306"/>
      <c r="J720" s="5"/>
      <c r="K720" s="5"/>
      <c r="L720" s="5"/>
      <c r="M720" s="5"/>
      <c r="N720" s="5"/>
      <c r="O720" s="5"/>
      <c r="P720" s="57"/>
      <c r="Q720" s="5"/>
      <c r="R720" s="5"/>
      <c r="S720" s="5"/>
      <c r="T720" s="5"/>
      <c r="U720" s="5"/>
      <c r="V720" s="5"/>
      <c r="W720" s="5"/>
      <c r="X720" s="5"/>
      <c r="Y720" s="5"/>
      <c r="Z720" s="5"/>
      <c r="AA720" s="5"/>
    </row>
    <row r="721" spans="1:27" ht="12.75" customHeight="1">
      <c r="A721" s="5"/>
      <c r="B721" s="5"/>
      <c r="C721" s="5"/>
      <c r="D721" s="5"/>
      <c r="E721" s="5"/>
      <c r="F721" s="5"/>
      <c r="G721" s="5"/>
      <c r="H721" s="306"/>
      <c r="I721" s="306"/>
      <c r="J721" s="5"/>
      <c r="K721" s="5"/>
      <c r="L721" s="5"/>
      <c r="M721" s="5"/>
      <c r="N721" s="5"/>
      <c r="O721" s="5"/>
      <c r="P721" s="57"/>
      <c r="Q721" s="5"/>
      <c r="R721" s="5"/>
      <c r="S721" s="5"/>
      <c r="T721" s="5"/>
      <c r="U721" s="5"/>
      <c r="V721" s="5"/>
      <c r="W721" s="5"/>
      <c r="X721" s="5"/>
      <c r="Y721" s="5"/>
      <c r="Z721" s="5"/>
      <c r="AA721" s="5"/>
    </row>
    <row r="722" spans="1:27" ht="12.75" customHeight="1">
      <c r="A722" s="5"/>
      <c r="B722" s="5"/>
      <c r="C722" s="5"/>
      <c r="D722" s="5"/>
      <c r="E722" s="5"/>
      <c r="F722" s="5"/>
      <c r="G722" s="5"/>
      <c r="H722" s="306"/>
      <c r="I722" s="306"/>
      <c r="J722" s="5"/>
      <c r="K722" s="5"/>
      <c r="L722" s="5"/>
      <c r="M722" s="5"/>
      <c r="N722" s="5"/>
      <c r="O722" s="5"/>
      <c r="P722" s="57"/>
      <c r="Q722" s="5"/>
      <c r="R722" s="5"/>
      <c r="S722" s="5"/>
      <c r="T722" s="5"/>
      <c r="U722" s="5"/>
      <c r="V722" s="5"/>
      <c r="W722" s="5"/>
      <c r="X722" s="5"/>
      <c r="Y722" s="5"/>
      <c r="Z722" s="5"/>
      <c r="AA722" s="5"/>
    </row>
    <row r="723" spans="1:27" ht="12.75" customHeight="1">
      <c r="A723" s="5"/>
      <c r="B723" s="5"/>
      <c r="C723" s="5"/>
      <c r="D723" s="5"/>
      <c r="E723" s="5"/>
      <c r="F723" s="5"/>
      <c r="G723" s="5"/>
      <c r="H723" s="306"/>
      <c r="I723" s="306"/>
      <c r="J723" s="5"/>
      <c r="K723" s="5"/>
      <c r="L723" s="5"/>
      <c r="M723" s="5"/>
      <c r="N723" s="5"/>
      <c r="O723" s="5"/>
      <c r="P723" s="57"/>
      <c r="Q723" s="5"/>
      <c r="R723" s="5"/>
      <c r="S723" s="5"/>
      <c r="T723" s="5"/>
      <c r="U723" s="5"/>
      <c r="V723" s="5"/>
      <c r="W723" s="5"/>
      <c r="X723" s="5"/>
      <c r="Y723" s="5"/>
      <c r="Z723" s="5"/>
      <c r="AA723" s="5"/>
    </row>
    <row r="724" spans="1:27" ht="12.75" customHeight="1">
      <c r="A724" s="5"/>
      <c r="B724" s="5"/>
      <c r="C724" s="5"/>
      <c r="D724" s="5"/>
      <c r="E724" s="5"/>
      <c r="F724" s="5"/>
      <c r="G724" s="5"/>
      <c r="H724" s="306"/>
      <c r="I724" s="306"/>
      <c r="J724" s="5"/>
      <c r="K724" s="5"/>
      <c r="L724" s="5"/>
      <c r="M724" s="5"/>
      <c r="N724" s="5"/>
      <c r="O724" s="5"/>
      <c r="P724" s="57"/>
      <c r="Q724" s="5"/>
      <c r="R724" s="5"/>
      <c r="S724" s="5"/>
      <c r="T724" s="5"/>
      <c r="U724" s="5"/>
      <c r="V724" s="5"/>
      <c r="W724" s="5"/>
      <c r="X724" s="5"/>
      <c r="Y724" s="5"/>
      <c r="Z724" s="5"/>
      <c r="AA724" s="5"/>
    </row>
    <row r="725" spans="1:27" ht="12.75" customHeight="1">
      <c r="A725" s="5"/>
      <c r="B725" s="5"/>
      <c r="C725" s="5"/>
      <c r="D725" s="5"/>
      <c r="E725" s="5"/>
      <c r="F725" s="5"/>
      <c r="G725" s="5"/>
      <c r="H725" s="306"/>
      <c r="I725" s="306"/>
      <c r="J725" s="5"/>
      <c r="K725" s="5"/>
      <c r="L725" s="5"/>
      <c r="M725" s="5"/>
      <c r="N725" s="5"/>
      <c r="O725" s="5"/>
      <c r="P725" s="57"/>
      <c r="Q725" s="5"/>
      <c r="R725" s="5"/>
      <c r="S725" s="5"/>
      <c r="T725" s="5"/>
      <c r="U725" s="5"/>
      <c r="V725" s="5"/>
      <c r="W725" s="5"/>
      <c r="X725" s="5"/>
      <c r="Y725" s="5"/>
      <c r="Z725" s="5"/>
      <c r="AA725" s="5"/>
    </row>
    <row r="726" spans="1:27" ht="12.75" customHeight="1">
      <c r="A726" s="5"/>
      <c r="B726" s="5"/>
      <c r="C726" s="5"/>
      <c r="D726" s="5"/>
      <c r="E726" s="5"/>
      <c r="F726" s="5"/>
      <c r="G726" s="5"/>
      <c r="H726" s="306"/>
      <c r="I726" s="306"/>
      <c r="J726" s="5"/>
      <c r="K726" s="5"/>
      <c r="L726" s="5"/>
      <c r="M726" s="5"/>
      <c r="N726" s="5"/>
      <c r="O726" s="5"/>
      <c r="P726" s="57"/>
      <c r="Q726" s="5"/>
      <c r="R726" s="5"/>
      <c r="S726" s="5"/>
      <c r="T726" s="5"/>
      <c r="U726" s="5"/>
      <c r="V726" s="5"/>
      <c r="W726" s="5"/>
      <c r="X726" s="5"/>
      <c r="Y726" s="5"/>
      <c r="Z726" s="5"/>
      <c r="AA726" s="5"/>
    </row>
    <row r="727" spans="1:27" ht="12.75" customHeight="1">
      <c r="A727" s="5"/>
      <c r="B727" s="5"/>
      <c r="C727" s="5"/>
      <c r="D727" s="5"/>
      <c r="E727" s="5"/>
      <c r="F727" s="5"/>
      <c r="G727" s="5"/>
      <c r="H727" s="306"/>
      <c r="I727" s="306"/>
      <c r="J727" s="5"/>
      <c r="K727" s="5"/>
      <c r="L727" s="5"/>
      <c r="M727" s="5"/>
      <c r="N727" s="5"/>
      <c r="O727" s="5"/>
      <c r="P727" s="57"/>
      <c r="Q727" s="5"/>
      <c r="R727" s="5"/>
      <c r="S727" s="5"/>
      <c r="T727" s="5"/>
      <c r="U727" s="5"/>
      <c r="V727" s="5"/>
      <c r="W727" s="5"/>
      <c r="X727" s="5"/>
      <c r="Y727" s="5"/>
      <c r="Z727" s="5"/>
      <c r="AA727" s="5"/>
    </row>
    <row r="728" spans="1:27" ht="12.75" customHeight="1">
      <c r="A728" s="5"/>
      <c r="B728" s="5"/>
      <c r="C728" s="5"/>
      <c r="D728" s="5"/>
      <c r="E728" s="5"/>
      <c r="F728" s="5"/>
      <c r="G728" s="5"/>
      <c r="H728" s="306"/>
      <c r="I728" s="306"/>
      <c r="J728" s="5"/>
      <c r="K728" s="5"/>
      <c r="L728" s="5"/>
      <c r="M728" s="5"/>
      <c r="N728" s="5"/>
      <c r="O728" s="5"/>
      <c r="P728" s="57"/>
      <c r="Q728" s="5"/>
      <c r="R728" s="5"/>
      <c r="S728" s="5"/>
      <c r="T728" s="5"/>
      <c r="U728" s="5"/>
      <c r="V728" s="5"/>
      <c r="W728" s="5"/>
      <c r="X728" s="5"/>
      <c r="Y728" s="5"/>
      <c r="Z728" s="5"/>
      <c r="AA728" s="5"/>
    </row>
    <row r="729" spans="1:27" ht="12.75" customHeight="1">
      <c r="A729" s="5"/>
      <c r="B729" s="5"/>
      <c r="C729" s="5"/>
      <c r="D729" s="5"/>
      <c r="E729" s="5"/>
      <c r="F729" s="5"/>
      <c r="G729" s="5"/>
      <c r="H729" s="306"/>
      <c r="I729" s="306"/>
      <c r="J729" s="5"/>
      <c r="K729" s="5"/>
      <c r="L729" s="5"/>
      <c r="M729" s="5"/>
      <c r="N729" s="5"/>
      <c r="O729" s="5"/>
      <c r="P729" s="57"/>
      <c r="Q729" s="5"/>
      <c r="R729" s="5"/>
      <c r="S729" s="5"/>
      <c r="T729" s="5"/>
      <c r="U729" s="5"/>
      <c r="V729" s="5"/>
      <c r="W729" s="5"/>
      <c r="X729" s="5"/>
      <c r="Y729" s="5"/>
      <c r="Z729" s="5"/>
      <c r="AA729" s="5"/>
    </row>
    <row r="730" spans="1:27" ht="12.75" customHeight="1">
      <c r="A730" s="5"/>
      <c r="B730" s="5"/>
      <c r="C730" s="5"/>
      <c r="D730" s="5"/>
      <c r="E730" s="5"/>
      <c r="F730" s="5"/>
      <c r="G730" s="5"/>
      <c r="H730" s="306"/>
      <c r="I730" s="306"/>
      <c r="J730" s="5"/>
      <c r="K730" s="5"/>
      <c r="L730" s="5"/>
      <c r="M730" s="5"/>
      <c r="N730" s="5"/>
      <c r="O730" s="5"/>
      <c r="P730" s="57"/>
      <c r="Q730" s="5"/>
      <c r="R730" s="5"/>
      <c r="S730" s="5"/>
      <c r="T730" s="5"/>
      <c r="U730" s="5"/>
      <c r="V730" s="5"/>
      <c r="W730" s="5"/>
      <c r="X730" s="5"/>
      <c r="Y730" s="5"/>
      <c r="Z730" s="5"/>
      <c r="AA730" s="5"/>
    </row>
    <row r="731" spans="1:27" ht="12.75" customHeight="1">
      <c r="A731" s="5"/>
      <c r="B731" s="5"/>
      <c r="C731" s="5"/>
      <c r="D731" s="5"/>
      <c r="E731" s="5"/>
      <c r="F731" s="5"/>
      <c r="G731" s="5"/>
      <c r="H731" s="306"/>
      <c r="I731" s="306"/>
      <c r="J731" s="5"/>
      <c r="K731" s="5"/>
      <c r="L731" s="5"/>
      <c r="M731" s="5"/>
      <c r="N731" s="5"/>
      <c r="O731" s="5"/>
      <c r="P731" s="57"/>
      <c r="Q731" s="5"/>
      <c r="R731" s="5"/>
      <c r="S731" s="5"/>
      <c r="T731" s="5"/>
      <c r="U731" s="5"/>
      <c r="V731" s="5"/>
      <c r="W731" s="5"/>
      <c r="X731" s="5"/>
      <c r="Y731" s="5"/>
      <c r="Z731" s="5"/>
      <c r="AA731" s="5"/>
    </row>
    <row r="732" spans="1:27" ht="12.75" customHeight="1">
      <c r="A732" s="5"/>
      <c r="B732" s="5"/>
      <c r="C732" s="5"/>
      <c r="D732" s="5"/>
      <c r="E732" s="5"/>
      <c r="F732" s="5"/>
      <c r="G732" s="5"/>
      <c r="H732" s="306"/>
      <c r="I732" s="306"/>
      <c r="J732" s="5"/>
      <c r="K732" s="5"/>
      <c r="L732" s="5"/>
      <c r="M732" s="5"/>
      <c r="N732" s="5"/>
      <c r="O732" s="5"/>
      <c r="P732" s="57"/>
      <c r="Q732" s="5"/>
      <c r="R732" s="5"/>
      <c r="S732" s="5"/>
      <c r="T732" s="5"/>
      <c r="U732" s="5"/>
      <c r="V732" s="5"/>
      <c r="W732" s="5"/>
      <c r="X732" s="5"/>
      <c r="Y732" s="5"/>
      <c r="Z732" s="5"/>
      <c r="AA732" s="5"/>
    </row>
    <row r="733" spans="1:27" ht="12.75" customHeight="1">
      <c r="A733" s="5"/>
      <c r="B733" s="5"/>
      <c r="C733" s="5"/>
      <c r="D733" s="5"/>
      <c r="E733" s="5"/>
      <c r="F733" s="5"/>
      <c r="G733" s="5"/>
      <c r="H733" s="306"/>
      <c r="I733" s="306"/>
      <c r="J733" s="5"/>
      <c r="K733" s="5"/>
      <c r="L733" s="5"/>
      <c r="M733" s="5"/>
      <c r="N733" s="5"/>
      <c r="O733" s="5"/>
      <c r="P733" s="57"/>
      <c r="Q733" s="5"/>
      <c r="R733" s="5"/>
      <c r="S733" s="5"/>
      <c r="T733" s="5"/>
      <c r="U733" s="5"/>
      <c r="V733" s="5"/>
      <c r="W733" s="5"/>
      <c r="X733" s="5"/>
      <c r="Y733" s="5"/>
      <c r="Z733" s="5"/>
      <c r="AA733" s="5"/>
    </row>
    <row r="734" spans="1:27" ht="12.75" customHeight="1">
      <c r="A734" s="5"/>
      <c r="B734" s="5"/>
      <c r="C734" s="5"/>
      <c r="D734" s="5"/>
      <c r="E734" s="5"/>
      <c r="F734" s="5"/>
      <c r="G734" s="5"/>
      <c r="H734" s="306"/>
      <c r="I734" s="306"/>
      <c r="J734" s="5"/>
      <c r="K734" s="5"/>
      <c r="L734" s="5"/>
      <c r="M734" s="5"/>
      <c r="N734" s="5"/>
      <c r="O734" s="5"/>
      <c r="P734" s="57"/>
      <c r="Q734" s="5"/>
      <c r="R734" s="5"/>
      <c r="S734" s="5"/>
      <c r="T734" s="5"/>
      <c r="U734" s="5"/>
      <c r="V734" s="5"/>
      <c r="W734" s="5"/>
      <c r="X734" s="5"/>
      <c r="Y734" s="5"/>
      <c r="Z734" s="5"/>
      <c r="AA734" s="5"/>
    </row>
    <row r="735" spans="1:27" ht="12.75" customHeight="1">
      <c r="A735" s="5"/>
      <c r="B735" s="5"/>
      <c r="C735" s="5"/>
      <c r="D735" s="5"/>
      <c r="E735" s="5"/>
      <c r="F735" s="5"/>
      <c r="G735" s="5"/>
      <c r="H735" s="306"/>
      <c r="I735" s="306"/>
      <c r="J735" s="5"/>
      <c r="K735" s="5"/>
      <c r="L735" s="5"/>
      <c r="M735" s="5"/>
      <c r="N735" s="5"/>
      <c r="O735" s="5"/>
      <c r="P735" s="57"/>
      <c r="Q735" s="5"/>
      <c r="R735" s="5"/>
      <c r="S735" s="5"/>
      <c r="T735" s="5"/>
      <c r="U735" s="5"/>
      <c r="V735" s="5"/>
      <c r="W735" s="5"/>
      <c r="X735" s="5"/>
      <c r="Y735" s="5"/>
      <c r="Z735" s="5"/>
      <c r="AA735" s="5"/>
    </row>
    <row r="736" spans="1:27" ht="12.75" customHeight="1">
      <c r="A736" s="5"/>
      <c r="B736" s="5"/>
      <c r="C736" s="5"/>
      <c r="D736" s="5"/>
      <c r="E736" s="5"/>
      <c r="F736" s="5"/>
      <c r="G736" s="5"/>
      <c r="H736" s="306"/>
      <c r="I736" s="306"/>
      <c r="J736" s="5"/>
      <c r="K736" s="5"/>
      <c r="L736" s="5"/>
      <c r="M736" s="5"/>
      <c r="N736" s="5"/>
      <c r="O736" s="5"/>
      <c r="P736" s="57"/>
      <c r="Q736" s="5"/>
      <c r="R736" s="5"/>
      <c r="S736" s="5"/>
      <c r="T736" s="5"/>
      <c r="U736" s="5"/>
      <c r="V736" s="5"/>
      <c r="W736" s="5"/>
      <c r="X736" s="5"/>
      <c r="Y736" s="5"/>
      <c r="Z736" s="5"/>
      <c r="AA736" s="5"/>
    </row>
    <row r="737" spans="1:27" ht="12.75" customHeight="1">
      <c r="A737" s="5"/>
      <c r="B737" s="5"/>
      <c r="C737" s="5"/>
      <c r="D737" s="5"/>
      <c r="E737" s="5"/>
      <c r="F737" s="5"/>
      <c r="G737" s="5"/>
      <c r="H737" s="306"/>
      <c r="I737" s="306"/>
      <c r="J737" s="5"/>
      <c r="K737" s="5"/>
      <c r="L737" s="5"/>
      <c r="M737" s="5"/>
      <c r="N737" s="5"/>
      <c r="O737" s="5"/>
      <c r="P737" s="57"/>
      <c r="Q737" s="5"/>
      <c r="R737" s="5"/>
      <c r="S737" s="5"/>
      <c r="T737" s="5"/>
      <c r="U737" s="5"/>
      <c r="V737" s="5"/>
      <c r="W737" s="5"/>
      <c r="X737" s="5"/>
      <c r="Y737" s="5"/>
      <c r="Z737" s="5"/>
      <c r="AA737" s="5"/>
    </row>
    <row r="738" spans="1:27" ht="12.75" customHeight="1">
      <c r="A738" s="5"/>
      <c r="B738" s="5"/>
      <c r="C738" s="5"/>
      <c r="D738" s="5"/>
      <c r="E738" s="5"/>
      <c r="F738" s="5"/>
      <c r="G738" s="5"/>
      <c r="H738" s="306"/>
      <c r="I738" s="306"/>
      <c r="J738" s="5"/>
      <c r="K738" s="5"/>
      <c r="L738" s="5"/>
      <c r="M738" s="5"/>
      <c r="N738" s="5"/>
      <c r="O738" s="5"/>
      <c r="P738" s="57"/>
      <c r="Q738" s="5"/>
      <c r="R738" s="5"/>
      <c r="S738" s="5"/>
      <c r="T738" s="5"/>
      <c r="U738" s="5"/>
      <c r="V738" s="5"/>
      <c r="W738" s="5"/>
      <c r="X738" s="5"/>
      <c r="Y738" s="5"/>
      <c r="Z738" s="5"/>
      <c r="AA738" s="5"/>
    </row>
    <row r="739" spans="1:27" ht="12.75" customHeight="1">
      <c r="A739" s="5"/>
      <c r="B739" s="5"/>
      <c r="C739" s="5"/>
      <c r="D739" s="5"/>
      <c r="E739" s="5"/>
      <c r="F739" s="5"/>
      <c r="G739" s="5"/>
      <c r="H739" s="306"/>
      <c r="I739" s="306"/>
      <c r="J739" s="5"/>
      <c r="K739" s="5"/>
      <c r="L739" s="5"/>
      <c r="M739" s="5"/>
      <c r="N739" s="5"/>
      <c r="O739" s="5"/>
      <c r="P739" s="57"/>
      <c r="Q739" s="5"/>
      <c r="R739" s="5"/>
      <c r="S739" s="5"/>
      <c r="T739" s="5"/>
      <c r="U739" s="5"/>
      <c r="V739" s="5"/>
      <c r="W739" s="5"/>
      <c r="X739" s="5"/>
      <c r="Y739" s="5"/>
      <c r="Z739" s="5"/>
      <c r="AA739" s="5"/>
    </row>
    <row r="740" spans="1:27" ht="12.75" customHeight="1">
      <c r="A740" s="5"/>
      <c r="B740" s="5"/>
      <c r="C740" s="5"/>
      <c r="D740" s="5"/>
      <c r="E740" s="5"/>
      <c r="F740" s="5"/>
      <c r="G740" s="5"/>
      <c r="H740" s="306"/>
      <c r="I740" s="306"/>
      <c r="J740" s="5"/>
      <c r="K740" s="5"/>
      <c r="L740" s="5"/>
      <c r="M740" s="5"/>
      <c r="N740" s="5"/>
      <c r="O740" s="5"/>
      <c r="P740" s="57"/>
      <c r="Q740" s="5"/>
      <c r="R740" s="5"/>
      <c r="S740" s="5"/>
      <c r="T740" s="5"/>
      <c r="U740" s="5"/>
      <c r="V740" s="5"/>
      <c r="W740" s="5"/>
      <c r="X740" s="5"/>
      <c r="Y740" s="5"/>
      <c r="Z740" s="5"/>
      <c r="AA740" s="5"/>
    </row>
    <row r="741" spans="1:27" ht="12.75" customHeight="1">
      <c r="A741" s="5"/>
      <c r="B741" s="5"/>
      <c r="C741" s="5"/>
      <c r="D741" s="5"/>
      <c r="E741" s="5"/>
      <c r="F741" s="5"/>
      <c r="G741" s="5"/>
      <c r="H741" s="306"/>
      <c r="I741" s="306"/>
      <c r="J741" s="5"/>
      <c r="K741" s="5"/>
      <c r="L741" s="5"/>
      <c r="M741" s="5"/>
      <c r="N741" s="5"/>
      <c r="O741" s="5"/>
      <c r="P741" s="57"/>
      <c r="Q741" s="5"/>
      <c r="R741" s="5"/>
      <c r="S741" s="5"/>
      <c r="T741" s="5"/>
      <c r="U741" s="5"/>
      <c r="V741" s="5"/>
      <c r="W741" s="5"/>
      <c r="X741" s="5"/>
      <c r="Y741" s="5"/>
      <c r="Z741" s="5"/>
      <c r="AA741" s="5"/>
    </row>
    <row r="742" spans="1:27" ht="12.75" customHeight="1">
      <c r="A742" s="5"/>
      <c r="B742" s="5"/>
      <c r="C742" s="5"/>
      <c r="D742" s="5"/>
      <c r="E742" s="5"/>
      <c r="F742" s="5"/>
      <c r="G742" s="5"/>
      <c r="H742" s="306"/>
      <c r="I742" s="306"/>
      <c r="J742" s="5"/>
      <c r="K742" s="5"/>
      <c r="L742" s="5"/>
      <c r="M742" s="5"/>
      <c r="N742" s="5"/>
      <c r="O742" s="5"/>
      <c r="P742" s="57"/>
      <c r="Q742" s="5"/>
      <c r="R742" s="5"/>
      <c r="S742" s="5"/>
      <c r="T742" s="5"/>
      <c r="U742" s="5"/>
      <c r="V742" s="5"/>
      <c r="W742" s="5"/>
      <c r="X742" s="5"/>
      <c r="Y742" s="5"/>
      <c r="Z742" s="5"/>
      <c r="AA742" s="5"/>
    </row>
    <row r="743" spans="1:27" ht="12.75" customHeight="1">
      <c r="A743" s="5"/>
      <c r="B743" s="5"/>
      <c r="C743" s="5"/>
      <c r="D743" s="5"/>
      <c r="E743" s="5"/>
      <c r="F743" s="5"/>
      <c r="G743" s="5"/>
      <c r="H743" s="306"/>
      <c r="I743" s="306"/>
      <c r="J743" s="5"/>
      <c r="K743" s="5"/>
      <c r="L743" s="5"/>
      <c r="M743" s="5"/>
      <c r="N743" s="5"/>
      <c r="O743" s="5"/>
      <c r="P743" s="57"/>
      <c r="Q743" s="5"/>
      <c r="R743" s="5"/>
      <c r="S743" s="5"/>
      <c r="T743" s="5"/>
      <c r="U743" s="5"/>
      <c r="V743" s="5"/>
      <c r="W743" s="5"/>
      <c r="X743" s="5"/>
      <c r="Y743" s="5"/>
      <c r="Z743" s="5"/>
      <c r="AA743" s="5"/>
    </row>
    <row r="744" spans="1:27" ht="12.75" customHeight="1">
      <c r="A744" s="5"/>
      <c r="B744" s="5"/>
      <c r="C744" s="5"/>
      <c r="D744" s="5"/>
      <c r="E744" s="5"/>
      <c r="F744" s="5"/>
      <c r="G744" s="5"/>
      <c r="H744" s="306"/>
      <c r="I744" s="306"/>
      <c r="J744" s="5"/>
      <c r="K744" s="5"/>
      <c r="L744" s="5"/>
      <c r="M744" s="5"/>
      <c r="N744" s="5"/>
      <c r="O744" s="5"/>
      <c r="P744" s="57"/>
      <c r="Q744" s="5"/>
      <c r="R744" s="5"/>
      <c r="S744" s="5"/>
      <c r="T744" s="5"/>
      <c r="U744" s="5"/>
      <c r="V744" s="5"/>
      <c r="W744" s="5"/>
      <c r="X744" s="5"/>
      <c r="Y744" s="5"/>
      <c r="Z744" s="5"/>
      <c r="AA744" s="5"/>
    </row>
    <row r="745" spans="1:27" ht="12.75" customHeight="1">
      <c r="A745" s="5"/>
      <c r="B745" s="5"/>
      <c r="C745" s="5"/>
      <c r="D745" s="5"/>
      <c r="E745" s="5"/>
      <c r="F745" s="5"/>
      <c r="G745" s="5"/>
      <c r="H745" s="306"/>
      <c r="I745" s="306"/>
      <c r="J745" s="5"/>
      <c r="K745" s="5"/>
      <c r="L745" s="5"/>
      <c r="M745" s="5"/>
      <c r="N745" s="5"/>
      <c r="O745" s="5"/>
      <c r="P745" s="57"/>
      <c r="Q745" s="5"/>
      <c r="R745" s="5"/>
      <c r="S745" s="5"/>
      <c r="T745" s="5"/>
      <c r="U745" s="5"/>
      <c r="V745" s="5"/>
      <c r="W745" s="5"/>
      <c r="X745" s="5"/>
      <c r="Y745" s="5"/>
      <c r="Z745" s="5"/>
      <c r="AA745" s="5"/>
    </row>
    <row r="746" spans="1:27" ht="12.75" customHeight="1">
      <c r="A746" s="5"/>
      <c r="B746" s="5"/>
      <c r="C746" s="5"/>
      <c r="D746" s="5"/>
      <c r="E746" s="5"/>
      <c r="F746" s="5"/>
      <c r="G746" s="5"/>
      <c r="H746" s="306"/>
      <c r="I746" s="306"/>
      <c r="J746" s="5"/>
      <c r="K746" s="5"/>
      <c r="L746" s="5"/>
      <c r="M746" s="5"/>
      <c r="N746" s="5"/>
      <c r="O746" s="5"/>
      <c r="P746" s="57"/>
      <c r="Q746" s="5"/>
      <c r="R746" s="5"/>
      <c r="S746" s="5"/>
      <c r="T746" s="5"/>
      <c r="U746" s="5"/>
      <c r="V746" s="5"/>
      <c r="W746" s="5"/>
      <c r="X746" s="5"/>
      <c r="Y746" s="5"/>
      <c r="Z746" s="5"/>
      <c r="AA746" s="5"/>
    </row>
    <row r="747" spans="1:27" ht="12.75" customHeight="1">
      <c r="A747" s="5"/>
      <c r="B747" s="5"/>
      <c r="C747" s="5"/>
      <c r="D747" s="5"/>
      <c r="E747" s="5"/>
      <c r="F747" s="5"/>
      <c r="G747" s="5"/>
      <c r="H747" s="306"/>
      <c r="I747" s="306"/>
      <c r="J747" s="5"/>
      <c r="K747" s="5"/>
      <c r="L747" s="5"/>
      <c r="M747" s="5"/>
      <c r="N747" s="5"/>
      <c r="O747" s="5"/>
      <c r="P747" s="57"/>
      <c r="Q747" s="5"/>
      <c r="R747" s="5"/>
      <c r="S747" s="5"/>
      <c r="T747" s="5"/>
      <c r="U747" s="5"/>
      <c r="V747" s="5"/>
      <c r="W747" s="5"/>
      <c r="X747" s="5"/>
      <c r="Y747" s="5"/>
      <c r="Z747" s="5"/>
      <c r="AA747" s="5"/>
    </row>
    <row r="748" spans="1:27" ht="12.75" customHeight="1">
      <c r="A748" s="5"/>
      <c r="B748" s="5"/>
      <c r="C748" s="5"/>
      <c r="D748" s="5"/>
      <c r="E748" s="5"/>
      <c r="F748" s="5"/>
      <c r="G748" s="5"/>
      <c r="H748" s="306"/>
      <c r="I748" s="306"/>
      <c r="J748" s="5"/>
      <c r="K748" s="5"/>
      <c r="L748" s="5"/>
      <c r="M748" s="5"/>
      <c r="N748" s="5"/>
      <c r="O748" s="5"/>
      <c r="P748" s="57"/>
      <c r="Q748" s="5"/>
      <c r="R748" s="5"/>
      <c r="S748" s="5"/>
      <c r="T748" s="5"/>
      <c r="U748" s="5"/>
      <c r="V748" s="5"/>
      <c r="W748" s="5"/>
      <c r="X748" s="5"/>
      <c r="Y748" s="5"/>
      <c r="Z748" s="5"/>
      <c r="AA748" s="5"/>
    </row>
    <row r="749" spans="1:27" ht="12.75" customHeight="1">
      <c r="A749" s="5"/>
      <c r="B749" s="5"/>
      <c r="C749" s="5"/>
      <c r="D749" s="5"/>
      <c r="E749" s="5"/>
      <c r="F749" s="5"/>
      <c r="G749" s="5"/>
      <c r="H749" s="306"/>
      <c r="I749" s="306"/>
      <c r="J749" s="5"/>
      <c r="K749" s="5"/>
      <c r="L749" s="5"/>
      <c r="M749" s="5"/>
      <c r="N749" s="5"/>
      <c r="O749" s="5"/>
      <c r="P749" s="57"/>
      <c r="Q749" s="5"/>
      <c r="R749" s="5"/>
      <c r="S749" s="5"/>
      <c r="T749" s="5"/>
      <c r="U749" s="5"/>
      <c r="V749" s="5"/>
      <c r="W749" s="5"/>
      <c r="X749" s="5"/>
      <c r="Y749" s="5"/>
      <c r="Z749" s="5"/>
      <c r="AA749" s="5"/>
    </row>
    <row r="750" spans="1:27" ht="12.75" customHeight="1">
      <c r="A750" s="5"/>
      <c r="B750" s="5"/>
      <c r="C750" s="5"/>
      <c r="D750" s="5"/>
      <c r="E750" s="5"/>
      <c r="F750" s="5"/>
      <c r="G750" s="5"/>
      <c r="H750" s="306"/>
      <c r="I750" s="306"/>
      <c r="J750" s="5"/>
      <c r="K750" s="5"/>
      <c r="L750" s="5"/>
      <c r="M750" s="5"/>
      <c r="N750" s="5"/>
      <c r="O750" s="5"/>
      <c r="P750" s="57"/>
      <c r="Q750" s="5"/>
      <c r="R750" s="5"/>
      <c r="S750" s="5"/>
      <c r="T750" s="5"/>
      <c r="U750" s="5"/>
      <c r="V750" s="5"/>
      <c r="W750" s="5"/>
      <c r="X750" s="5"/>
      <c r="Y750" s="5"/>
      <c r="Z750" s="5"/>
      <c r="AA750" s="5"/>
    </row>
    <row r="751" spans="1:27" ht="12.75" customHeight="1">
      <c r="A751" s="5"/>
      <c r="B751" s="5"/>
      <c r="C751" s="5"/>
      <c r="D751" s="5"/>
      <c r="E751" s="5"/>
      <c r="F751" s="5"/>
      <c r="G751" s="5"/>
      <c r="H751" s="306"/>
      <c r="I751" s="306"/>
      <c r="J751" s="5"/>
      <c r="K751" s="5"/>
      <c r="L751" s="5"/>
      <c r="M751" s="5"/>
      <c r="N751" s="5"/>
      <c r="O751" s="5"/>
      <c r="P751" s="57"/>
      <c r="Q751" s="5"/>
      <c r="R751" s="5"/>
      <c r="S751" s="5"/>
      <c r="T751" s="5"/>
      <c r="U751" s="5"/>
      <c r="V751" s="5"/>
      <c r="W751" s="5"/>
      <c r="X751" s="5"/>
      <c r="Y751" s="5"/>
      <c r="Z751" s="5"/>
      <c r="AA751" s="5"/>
    </row>
    <row r="752" spans="1:27" ht="12.75" customHeight="1">
      <c r="A752" s="5"/>
      <c r="B752" s="5"/>
      <c r="C752" s="5"/>
      <c r="D752" s="5"/>
      <c r="E752" s="5"/>
      <c r="F752" s="5"/>
      <c r="G752" s="5"/>
      <c r="H752" s="306"/>
      <c r="I752" s="306"/>
      <c r="J752" s="5"/>
      <c r="K752" s="5"/>
      <c r="L752" s="5"/>
      <c r="M752" s="5"/>
      <c r="N752" s="5"/>
      <c r="O752" s="5"/>
      <c r="P752" s="57"/>
      <c r="Q752" s="5"/>
      <c r="R752" s="5"/>
      <c r="S752" s="5"/>
      <c r="T752" s="5"/>
      <c r="U752" s="5"/>
      <c r="V752" s="5"/>
      <c r="W752" s="5"/>
      <c r="X752" s="5"/>
      <c r="Y752" s="5"/>
      <c r="Z752" s="5"/>
      <c r="AA752" s="5"/>
    </row>
    <row r="753" spans="1:27" ht="12.75" customHeight="1">
      <c r="A753" s="5"/>
      <c r="B753" s="5"/>
      <c r="C753" s="5"/>
      <c r="D753" s="5"/>
      <c r="E753" s="5"/>
      <c r="F753" s="5"/>
      <c r="G753" s="5"/>
      <c r="H753" s="306"/>
      <c r="I753" s="306"/>
      <c r="J753" s="5"/>
      <c r="K753" s="5"/>
      <c r="L753" s="5"/>
      <c r="M753" s="5"/>
      <c r="N753" s="5"/>
      <c r="O753" s="5"/>
      <c r="P753" s="57"/>
      <c r="Q753" s="5"/>
      <c r="R753" s="5"/>
      <c r="S753" s="5"/>
      <c r="T753" s="5"/>
      <c r="U753" s="5"/>
      <c r="V753" s="5"/>
      <c r="W753" s="5"/>
      <c r="X753" s="5"/>
      <c r="Y753" s="5"/>
      <c r="Z753" s="5"/>
      <c r="AA753" s="5"/>
    </row>
    <row r="754" spans="1:27" ht="12.75" customHeight="1">
      <c r="A754" s="5"/>
      <c r="B754" s="5"/>
      <c r="C754" s="5"/>
      <c r="D754" s="5"/>
      <c r="E754" s="5"/>
      <c r="F754" s="5"/>
      <c r="G754" s="5"/>
      <c r="H754" s="306"/>
      <c r="I754" s="306"/>
      <c r="J754" s="5"/>
      <c r="K754" s="5"/>
      <c r="L754" s="5"/>
      <c r="M754" s="5"/>
      <c r="N754" s="5"/>
      <c r="O754" s="5"/>
      <c r="P754" s="57"/>
      <c r="Q754" s="5"/>
      <c r="R754" s="5"/>
      <c r="S754" s="5"/>
      <c r="T754" s="5"/>
      <c r="U754" s="5"/>
      <c r="V754" s="5"/>
      <c r="W754" s="5"/>
      <c r="X754" s="5"/>
      <c r="Y754" s="5"/>
      <c r="Z754" s="5"/>
      <c r="AA754" s="5"/>
    </row>
    <row r="755" spans="1:27" ht="12.75" customHeight="1">
      <c r="A755" s="5"/>
      <c r="B755" s="5"/>
      <c r="C755" s="5"/>
      <c r="D755" s="5"/>
      <c r="E755" s="5"/>
      <c r="F755" s="5"/>
      <c r="G755" s="5"/>
      <c r="H755" s="306"/>
      <c r="I755" s="306"/>
      <c r="J755" s="5"/>
      <c r="K755" s="5"/>
      <c r="L755" s="5"/>
      <c r="M755" s="5"/>
      <c r="N755" s="5"/>
      <c r="O755" s="5"/>
      <c r="P755" s="57"/>
      <c r="Q755" s="5"/>
      <c r="R755" s="5"/>
      <c r="S755" s="5"/>
      <c r="T755" s="5"/>
      <c r="U755" s="5"/>
      <c r="V755" s="5"/>
      <c r="W755" s="5"/>
      <c r="X755" s="5"/>
      <c r="Y755" s="5"/>
      <c r="Z755" s="5"/>
      <c r="AA755" s="5"/>
    </row>
    <row r="756" spans="1:27" ht="12.75" customHeight="1">
      <c r="A756" s="5"/>
      <c r="B756" s="5"/>
      <c r="C756" s="5"/>
      <c r="D756" s="5"/>
      <c r="E756" s="5"/>
      <c r="F756" s="5"/>
      <c r="G756" s="5"/>
      <c r="H756" s="306"/>
      <c r="I756" s="306"/>
      <c r="J756" s="5"/>
      <c r="K756" s="5"/>
      <c r="L756" s="5"/>
      <c r="M756" s="5"/>
      <c r="N756" s="5"/>
      <c r="O756" s="5"/>
      <c r="P756" s="57"/>
      <c r="Q756" s="5"/>
      <c r="R756" s="5"/>
      <c r="S756" s="5"/>
      <c r="T756" s="5"/>
      <c r="U756" s="5"/>
      <c r="V756" s="5"/>
      <c r="W756" s="5"/>
      <c r="X756" s="5"/>
      <c r="Y756" s="5"/>
      <c r="Z756" s="5"/>
      <c r="AA756" s="5"/>
    </row>
    <row r="757" spans="1:27" ht="12.75" customHeight="1">
      <c r="A757" s="5"/>
      <c r="B757" s="5"/>
      <c r="C757" s="5"/>
      <c r="D757" s="5"/>
      <c r="E757" s="5"/>
      <c r="F757" s="5"/>
      <c r="G757" s="5"/>
      <c r="H757" s="306"/>
      <c r="I757" s="306"/>
      <c r="J757" s="5"/>
      <c r="K757" s="5"/>
      <c r="L757" s="5"/>
      <c r="M757" s="5"/>
      <c r="N757" s="5"/>
      <c r="O757" s="5"/>
      <c r="P757" s="57"/>
      <c r="Q757" s="5"/>
      <c r="R757" s="5"/>
      <c r="S757" s="5"/>
      <c r="T757" s="5"/>
      <c r="U757" s="5"/>
      <c r="V757" s="5"/>
      <c r="W757" s="5"/>
      <c r="X757" s="5"/>
      <c r="Y757" s="5"/>
      <c r="Z757" s="5"/>
      <c r="AA757" s="5"/>
    </row>
    <row r="758" spans="1:27" ht="12.75" customHeight="1">
      <c r="A758" s="5"/>
      <c r="B758" s="5"/>
      <c r="C758" s="5"/>
      <c r="D758" s="5"/>
      <c r="E758" s="5"/>
      <c r="F758" s="5"/>
      <c r="G758" s="5"/>
      <c r="H758" s="306"/>
      <c r="I758" s="306"/>
      <c r="J758" s="5"/>
      <c r="K758" s="5"/>
      <c r="L758" s="5"/>
      <c r="M758" s="5"/>
      <c r="N758" s="5"/>
      <c r="O758" s="5"/>
      <c r="P758" s="57"/>
      <c r="Q758" s="5"/>
      <c r="R758" s="5"/>
      <c r="S758" s="5"/>
      <c r="T758" s="5"/>
      <c r="U758" s="5"/>
      <c r="V758" s="5"/>
      <c r="W758" s="5"/>
      <c r="X758" s="5"/>
      <c r="Y758" s="5"/>
      <c r="Z758" s="5"/>
      <c r="AA758" s="5"/>
    </row>
    <row r="759" spans="1:27" ht="12.75" customHeight="1">
      <c r="A759" s="5"/>
      <c r="B759" s="5"/>
      <c r="C759" s="5"/>
      <c r="D759" s="5"/>
      <c r="E759" s="5"/>
      <c r="F759" s="5"/>
      <c r="G759" s="5"/>
      <c r="H759" s="306"/>
      <c r="I759" s="306"/>
      <c r="J759" s="5"/>
      <c r="K759" s="5"/>
      <c r="L759" s="5"/>
      <c r="M759" s="5"/>
      <c r="N759" s="5"/>
      <c r="O759" s="5"/>
      <c r="P759" s="57"/>
      <c r="Q759" s="5"/>
      <c r="R759" s="5"/>
      <c r="S759" s="5"/>
      <c r="T759" s="5"/>
      <c r="U759" s="5"/>
      <c r="V759" s="5"/>
      <c r="W759" s="5"/>
      <c r="X759" s="5"/>
      <c r="Y759" s="5"/>
      <c r="Z759" s="5"/>
      <c r="AA759" s="5"/>
    </row>
    <row r="760" spans="1:27" ht="12.75" customHeight="1">
      <c r="A760" s="5"/>
      <c r="B760" s="5"/>
      <c r="C760" s="5"/>
      <c r="D760" s="5"/>
      <c r="E760" s="5"/>
      <c r="F760" s="5"/>
      <c r="G760" s="5"/>
      <c r="H760" s="306"/>
      <c r="I760" s="306"/>
      <c r="J760" s="5"/>
      <c r="K760" s="5"/>
      <c r="L760" s="5"/>
      <c r="M760" s="5"/>
      <c r="N760" s="5"/>
      <c r="O760" s="5"/>
      <c r="P760" s="57"/>
      <c r="Q760" s="5"/>
      <c r="R760" s="5"/>
      <c r="S760" s="5"/>
      <c r="T760" s="5"/>
      <c r="U760" s="5"/>
      <c r="V760" s="5"/>
      <c r="W760" s="5"/>
      <c r="X760" s="5"/>
      <c r="Y760" s="5"/>
      <c r="Z760" s="5"/>
      <c r="AA760" s="5"/>
    </row>
    <row r="761" spans="1:27" ht="12.75" customHeight="1">
      <c r="A761" s="5"/>
      <c r="B761" s="5"/>
      <c r="C761" s="5"/>
      <c r="D761" s="5"/>
      <c r="E761" s="5"/>
      <c r="F761" s="5"/>
      <c r="G761" s="5"/>
      <c r="H761" s="306"/>
      <c r="I761" s="306"/>
      <c r="J761" s="5"/>
      <c r="K761" s="5"/>
      <c r="L761" s="5"/>
      <c r="M761" s="5"/>
      <c r="N761" s="5"/>
      <c r="O761" s="5"/>
      <c r="P761" s="57"/>
      <c r="Q761" s="5"/>
      <c r="R761" s="5"/>
      <c r="S761" s="5"/>
      <c r="T761" s="5"/>
      <c r="U761" s="5"/>
      <c r="V761" s="5"/>
      <c r="W761" s="5"/>
      <c r="X761" s="5"/>
      <c r="Y761" s="5"/>
      <c r="Z761" s="5"/>
      <c r="AA761" s="5"/>
    </row>
    <row r="762" spans="1:27" ht="12.75" customHeight="1">
      <c r="A762" s="5"/>
      <c r="B762" s="5"/>
      <c r="C762" s="5"/>
      <c r="D762" s="5"/>
      <c r="E762" s="5"/>
      <c r="F762" s="5"/>
      <c r="G762" s="5"/>
      <c r="H762" s="306"/>
      <c r="I762" s="306"/>
      <c r="J762" s="5"/>
      <c r="K762" s="5"/>
      <c r="L762" s="5"/>
      <c r="M762" s="5"/>
      <c r="N762" s="5"/>
      <c r="O762" s="5"/>
      <c r="P762" s="57"/>
      <c r="Q762" s="5"/>
      <c r="R762" s="5"/>
      <c r="S762" s="5"/>
      <c r="T762" s="5"/>
      <c r="U762" s="5"/>
      <c r="V762" s="5"/>
      <c r="W762" s="5"/>
      <c r="X762" s="5"/>
      <c r="Y762" s="5"/>
      <c r="Z762" s="5"/>
      <c r="AA762" s="5"/>
    </row>
    <row r="763" spans="1:27" ht="12.75" customHeight="1">
      <c r="A763" s="5"/>
      <c r="B763" s="5"/>
      <c r="C763" s="5"/>
      <c r="D763" s="5"/>
      <c r="E763" s="5"/>
      <c r="F763" s="5"/>
      <c r="G763" s="5"/>
      <c r="H763" s="306"/>
      <c r="I763" s="306"/>
      <c r="J763" s="5"/>
      <c r="K763" s="5"/>
      <c r="L763" s="5"/>
      <c r="M763" s="5"/>
      <c r="N763" s="5"/>
      <c r="O763" s="5"/>
      <c r="P763" s="57"/>
      <c r="Q763" s="5"/>
      <c r="R763" s="5"/>
      <c r="S763" s="5"/>
      <c r="T763" s="5"/>
      <c r="U763" s="5"/>
      <c r="V763" s="5"/>
      <c r="W763" s="5"/>
      <c r="X763" s="5"/>
      <c r="Y763" s="5"/>
      <c r="Z763" s="5"/>
      <c r="AA763" s="5"/>
    </row>
    <row r="764" spans="1:27" ht="12.75" customHeight="1">
      <c r="A764" s="5"/>
      <c r="B764" s="5"/>
      <c r="C764" s="5"/>
      <c r="D764" s="5"/>
      <c r="E764" s="5"/>
      <c r="F764" s="5"/>
      <c r="G764" s="5"/>
      <c r="H764" s="306"/>
      <c r="I764" s="306"/>
      <c r="J764" s="5"/>
      <c r="K764" s="5"/>
      <c r="L764" s="5"/>
      <c r="M764" s="5"/>
      <c r="N764" s="5"/>
      <c r="O764" s="5"/>
      <c r="P764" s="57"/>
      <c r="Q764" s="5"/>
      <c r="R764" s="5"/>
      <c r="S764" s="5"/>
      <c r="T764" s="5"/>
      <c r="U764" s="5"/>
      <c r="V764" s="5"/>
      <c r="W764" s="5"/>
      <c r="X764" s="5"/>
      <c r="Y764" s="5"/>
      <c r="Z764" s="5"/>
      <c r="AA764" s="5"/>
    </row>
    <row r="765" spans="1:27" ht="12.75" customHeight="1">
      <c r="A765" s="5"/>
      <c r="B765" s="5"/>
      <c r="C765" s="5"/>
      <c r="D765" s="5"/>
      <c r="E765" s="5"/>
      <c r="F765" s="5"/>
      <c r="G765" s="5"/>
      <c r="H765" s="306"/>
      <c r="I765" s="306"/>
      <c r="J765" s="5"/>
      <c r="K765" s="5"/>
      <c r="L765" s="5"/>
      <c r="M765" s="5"/>
      <c r="N765" s="5"/>
      <c r="O765" s="5"/>
      <c r="P765" s="57"/>
      <c r="Q765" s="5"/>
      <c r="R765" s="5"/>
      <c r="S765" s="5"/>
      <c r="T765" s="5"/>
      <c r="U765" s="5"/>
      <c r="V765" s="5"/>
      <c r="W765" s="5"/>
      <c r="X765" s="5"/>
      <c r="Y765" s="5"/>
      <c r="Z765" s="5"/>
      <c r="AA765" s="5"/>
    </row>
    <row r="766" spans="1:27" ht="12.75" customHeight="1">
      <c r="A766" s="5"/>
      <c r="B766" s="5"/>
      <c r="C766" s="5"/>
      <c r="D766" s="5"/>
      <c r="E766" s="5"/>
      <c r="F766" s="5"/>
      <c r="G766" s="5"/>
      <c r="H766" s="306"/>
      <c r="I766" s="306"/>
      <c r="J766" s="5"/>
      <c r="K766" s="5"/>
      <c r="L766" s="5"/>
      <c r="M766" s="5"/>
      <c r="N766" s="5"/>
      <c r="O766" s="5"/>
      <c r="P766" s="57"/>
      <c r="Q766" s="5"/>
      <c r="R766" s="5"/>
      <c r="S766" s="5"/>
      <c r="T766" s="5"/>
      <c r="U766" s="5"/>
      <c r="V766" s="5"/>
      <c r="W766" s="5"/>
      <c r="X766" s="5"/>
      <c r="Y766" s="5"/>
      <c r="Z766" s="5"/>
      <c r="AA766" s="5"/>
    </row>
    <row r="767" spans="1:27" ht="12.75" customHeight="1">
      <c r="A767" s="5"/>
      <c r="B767" s="5"/>
      <c r="C767" s="5"/>
      <c r="D767" s="5"/>
      <c r="E767" s="5"/>
      <c r="F767" s="5"/>
      <c r="G767" s="5"/>
      <c r="H767" s="306"/>
      <c r="I767" s="306"/>
      <c r="J767" s="5"/>
      <c r="K767" s="5"/>
      <c r="L767" s="5"/>
      <c r="M767" s="5"/>
      <c r="N767" s="5"/>
      <c r="O767" s="5"/>
      <c r="P767" s="57"/>
      <c r="Q767" s="5"/>
      <c r="R767" s="5"/>
      <c r="S767" s="5"/>
      <c r="T767" s="5"/>
      <c r="U767" s="5"/>
      <c r="V767" s="5"/>
      <c r="W767" s="5"/>
      <c r="X767" s="5"/>
      <c r="Y767" s="5"/>
      <c r="Z767" s="5"/>
      <c r="AA767" s="5"/>
    </row>
    <row r="768" spans="1:27" ht="12.75" customHeight="1">
      <c r="A768" s="5"/>
      <c r="B768" s="5"/>
      <c r="C768" s="5"/>
      <c r="D768" s="5"/>
      <c r="E768" s="5"/>
      <c r="F768" s="5"/>
      <c r="G768" s="5"/>
      <c r="H768" s="306"/>
      <c r="I768" s="306"/>
      <c r="J768" s="5"/>
      <c r="K768" s="5"/>
      <c r="L768" s="5"/>
      <c r="M768" s="5"/>
      <c r="N768" s="5"/>
      <c r="O768" s="5"/>
      <c r="P768" s="57"/>
      <c r="Q768" s="5"/>
      <c r="R768" s="5"/>
      <c r="S768" s="5"/>
      <c r="T768" s="5"/>
      <c r="U768" s="5"/>
      <c r="V768" s="5"/>
      <c r="W768" s="5"/>
      <c r="X768" s="5"/>
      <c r="Y768" s="5"/>
      <c r="Z768" s="5"/>
      <c r="AA768" s="5"/>
    </row>
    <row r="769" spans="1:27" ht="12.75" customHeight="1">
      <c r="A769" s="5"/>
      <c r="B769" s="5"/>
      <c r="C769" s="5"/>
      <c r="D769" s="5"/>
      <c r="E769" s="5"/>
      <c r="F769" s="5"/>
      <c r="G769" s="5"/>
      <c r="H769" s="306"/>
      <c r="I769" s="306"/>
      <c r="J769" s="5"/>
      <c r="K769" s="5"/>
      <c r="L769" s="5"/>
      <c r="M769" s="5"/>
      <c r="N769" s="5"/>
      <c r="O769" s="5"/>
      <c r="P769" s="57"/>
      <c r="Q769" s="5"/>
      <c r="R769" s="5"/>
      <c r="S769" s="5"/>
      <c r="T769" s="5"/>
      <c r="U769" s="5"/>
      <c r="V769" s="5"/>
      <c r="W769" s="5"/>
      <c r="X769" s="5"/>
      <c r="Y769" s="5"/>
      <c r="Z769" s="5"/>
      <c r="AA769" s="5"/>
    </row>
    <row r="770" spans="1:27" ht="12.75" customHeight="1">
      <c r="A770" s="5"/>
      <c r="B770" s="5"/>
      <c r="C770" s="5"/>
      <c r="D770" s="5"/>
      <c r="E770" s="5"/>
      <c r="F770" s="5"/>
      <c r="G770" s="5"/>
      <c r="H770" s="306"/>
      <c r="I770" s="306"/>
      <c r="J770" s="5"/>
      <c r="K770" s="5"/>
      <c r="L770" s="5"/>
      <c r="M770" s="5"/>
      <c r="N770" s="5"/>
      <c r="O770" s="5"/>
      <c r="P770" s="57"/>
      <c r="Q770" s="5"/>
      <c r="R770" s="5"/>
      <c r="S770" s="5"/>
      <c r="T770" s="5"/>
      <c r="U770" s="5"/>
      <c r="V770" s="5"/>
      <c r="W770" s="5"/>
      <c r="X770" s="5"/>
      <c r="Y770" s="5"/>
      <c r="Z770" s="5"/>
      <c r="AA770" s="5"/>
    </row>
    <row r="771" spans="1:27" ht="12.75" customHeight="1">
      <c r="A771" s="5"/>
      <c r="B771" s="5"/>
      <c r="C771" s="5"/>
      <c r="D771" s="5"/>
      <c r="E771" s="5"/>
      <c r="F771" s="5"/>
      <c r="G771" s="5"/>
      <c r="H771" s="306"/>
      <c r="I771" s="306"/>
      <c r="J771" s="5"/>
      <c r="K771" s="5"/>
      <c r="L771" s="5"/>
      <c r="M771" s="5"/>
      <c r="N771" s="5"/>
      <c r="O771" s="5"/>
      <c r="P771" s="57"/>
      <c r="Q771" s="5"/>
      <c r="R771" s="5"/>
      <c r="S771" s="5"/>
      <c r="T771" s="5"/>
      <c r="U771" s="5"/>
      <c r="V771" s="5"/>
      <c r="W771" s="5"/>
      <c r="X771" s="5"/>
      <c r="Y771" s="5"/>
      <c r="Z771" s="5"/>
      <c r="AA771" s="5"/>
    </row>
    <row r="772" spans="1:27" ht="12.75" customHeight="1">
      <c r="A772" s="5"/>
      <c r="B772" s="5"/>
      <c r="C772" s="5"/>
      <c r="D772" s="5"/>
      <c r="E772" s="5"/>
      <c r="F772" s="5"/>
      <c r="G772" s="5"/>
      <c r="H772" s="306"/>
      <c r="I772" s="306"/>
      <c r="J772" s="5"/>
      <c r="K772" s="5"/>
      <c r="L772" s="5"/>
      <c r="M772" s="5"/>
      <c r="N772" s="5"/>
      <c r="O772" s="5"/>
      <c r="P772" s="57"/>
      <c r="Q772" s="5"/>
      <c r="R772" s="5"/>
      <c r="S772" s="5"/>
      <c r="T772" s="5"/>
      <c r="U772" s="5"/>
      <c r="V772" s="5"/>
      <c r="W772" s="5"/>
      <c r="X772" s="5"/>
      <c r="Y772" s="5"/>
      <c r="Z772" s="5"/>
      <c r="AA772" s="5"/>
    </row>
    <row r="773" spans="1:27" ht="12.75" customHeight="1">
      <c r="A773" s="5"/>
      <c r="B773" s="5"/>
      <c r="C773" s="5"/>
      <c r="D773" s="5"/>
      <c r="E773" s="5"/>
      <c r="F773" s="5"/>
      <c r="G773" s="5"/>
      <c r="H773" s="306"/>
      <c r="I773" s="306"/>
      <c r="J773" s="5"/>
      <c r="K773" s="5"/>
      <c r="L773" s="5"/>
      <c r="M773" s="5"/>
      <c r="N773" s="5"/>
      <c r="O773" s="5"/>
      <c r="P773" s="57"/>
      <c r="Q773" s="5"/>
      <c r="R773" s="5"/>
      <c r="S773" s="5"/>
      <c r="T773" s="5"/>
      <c r="U773" s="5"/>
      <c r="V773" s="5"/>
      <c r="W773" s="5"/>
      <c r="X773" s="5"/>
      <c r="Y773" s="5"/>
      <c r="Z773" s="5"/>
      <c r="AA773" s="5"/>
    </row>
    <row r="774" spans="1:27" ht="12.75" customHeight="1">
      <c r="A774" s="5"/>
      <c r="B774" s="5"/>
      <c r="C774" s="5"/>
      <c r="D774" s="5"/>
      <c r="E774" s="5"/>
      <c r="F774" s="5"/>
      <c r="G774" s="5"/>
      <c r="H774" s="306"/>
      <c r="I774" s="306"/>
      <c r="J774" s="5"/>
      <c r="K774" s="5"/>
      <c r="L774" s="5"/>
      <c r="M774" s="5"/>
      <c r="N774" s="5"/>
      <c r="O774" s="5"/>
      <c r="P774" s="57"/>
      <c r="Q774" s="5"/>
      <c r="R774" s="5"/>
      <c r="S774" s="5"/>
      <c r="T774" s="5"/>
      <c r="U774" s="5"/>
      <c r="V774" s="5"/>
      <c r="W774" s="5"/>
      <c r="X774" s="5"/>
      <c r="Y774" s="5"/>
      <c r="Z774" s="5"/>
      <c r="AA774" s="5"/>
    </row>
    <row r="775" spans="1:27" ht="12.75" customHeight="1">
      <c r="A775" s="5"/>
      <c r="B775" s="5"/>
      <c r="C775" s="5"/>
      <c r="D775" s="5"/>
      <c r="E775" s="5"/>
      <c r="F775" s="5"/>
      <c r="G775" s="5"/>
      <c r="H775" s="306"/>
      <c r="I775" s="306"/>
      <c r="J775" s="5"/>
      <c r="K775" s="5"/>
      <c r="L775" s="5"/>
      <c r="M775" s="5"/>
      <c r="N775" s="5"/>
      <c r="O775" s="5"/>
      <c r="P775" s="57"/>
      <c r="Q775" s="5"/>
      <c r="R775" s="5"/>
      <c r="S775" s="5"/>
      <c r="T775" s="5"/>
      <c r="U775" s="5"/>
      <c r="V775" s="5"/>
      <c r="W775" s="5"/>
      <c r="X775" s="5"/>
      <c r="Y775" s="5"/>
      <c r="Z775" s="5"/>
      <c r="AA775" s="5"/>
    </row>
    <row r="776" spans="1:27" ht="12.75" customHeight="1">
      <c r="A776" s="5"/>
      <c r="B776" s="5"/>
      <c r="C776" s="5"/>
      <c r="D776" s="5"/>
      <c r="E776" s="5"/>
      <c r="F776" s="5"/>
      <c r="G776" s="5"/>
      <c r="H776" s="306"/>
      <c r="I776" s="306"/>
      <c r="J776" s="5"/>
      <c r="K776" s="5"/>
      <c r="L776" s="5"/>
      <c r="M776" s="5"/>
      <c r="N776" s="5"/>
      <c r="O776" s="5"/>
      <c r="P776" s="57"/>
      <c r="Q776" s="5"/>
      <c r="R776" s="5"/>
      <c r="S776" s="5"/>
      <c r="T776" s="5"/>
      <c r="U776" s="5"/>
      <c r="V776" s="5"/>
      <c r="W776" s="5"/>
      <c r="X776" s="5"/>
      <c r="Y776" s="5"/>
      <c r="Z776" s="5"/>
      <c r="AA776" s="5"/>
    </row>
    <row r="777" spans="1:27" ht="12.75" customHeight="1">
      <c r="A777" s="5"/>
      <c r="B777" s="5"/>
      <c r="C777" s="5"/>
      <c r="D777" s="5"/>
      <c r="E777" s="5"/>
      <c r="F777" s="5"/>
      <c r="G777" s="5"/>
      <c r="H777" s="306"/>
      <c r="I777" s="306"/>
      <c r="J777" s="5"/>
      <c r="K777" s="5"/>
      <c r="L777" s="5"/>
      <c r="M777" s="5"/>
      <c r="N777" s="5"/>
      <c r="O777" s="5"/>
      <c r="P777" s="57"/>
      <c r="Q777" s="5"/>
      <c r="R777" s="5"/>
      <c r="S777" s="5"/>
      <c r="T777" s="5"/>
      <c r="U777" s="5"/>
      <c r="V777" s="5"/>
      <c r="W777" s="5"/>
      <c r="X777" s="5"/>
      <c r="Y777" s="5"/>
      <c r="Z777" s="5"/>
      <c r="AA777" s="5"/>
    </row>
    <row r="778" spans="1:27" ht="12.75" customHeight="1">
      <c r="A778" s="5"/>
      <c r="B778" s="5"/>
      <c r="C778" s="5"/>
      <c r="D778" s="5"/>
      <c r="E778" s="5"/>
      <c r="F778" s="5"/>
      <c r="G778" s="5"/>
      <c r="H778" s="306"/>
      <c r="I778" s="306"/>
      <c r="J778" s="5"/>
      <c r="K778" s="5"/>
      <c r="L778" s="5"/>
      <c r="M778" s="5"/>
      <c r="N778" s="5"/>
      <c r="O778" s="5"/>
      <c r="P778" s="57"/>
      <c r="Q778" s="5"/>
      <c r="R778" s="5"/>
      <c r="S778" s="5"/>
      <c r="T778" s="5"/>
      <c r="U778" s="5"/>
      <c r="V778" s="5"/>
      <c r="W778" s="5"/>
      <c r="X778" s="5"/>
      <c r="Y778" s="5"/>
      <c r="Z778" s="5"/>
      <c r="AA778" s="5"/>
    </row>
    <row r="779" spans="1:27" ht="12.75" customHeight="1">
      <c r="A779" s="5"/>
      <c r="B779" s="5"/>
      <c r="C779" s="5"/>
      <c r="D779" s="5"/>
      <c r="E779" s="5"/>
      <c r="F779" s="5"/>
      <c r="G779" s="5"/>
      <c r="H779" s="306"/>
      <c r="I779" s="306"/>
      <c r="J779" s="5"/>
      <c r="K779" s="5"/>
      <c r="L779" s="5"/>
      <c r="M779" s="5"/>
      <c r="N779" s="5"/>
      <c r="O779" s="5"/>
      <c r="P779" s="57"/>
      <c r="Q779" s="5"/>
      <c r="R779" s="5"/>
      <c r="S779" s="5"/>
      <c r="T779" s="5"/>
      <c r="U779" s="5"/>
      <c r="V779" s="5"/>
      <c r="W779" s="5"/>
      <c r="X779" s="5"/>
      <c r="Y779" s="5"/>
      <c r="Z779" s="5"/>
      <c r="AA779" s="5"/>
    </row>
    <row r="780" spans="1:27" ht="12.75" customHeight="1">
      <c r="A780" s="5"/>
      <c r="B780" s="5"/>
      <c r="C780" s="5"/>
      <c r="D780" s="5"/>
      <c r="E780" s="5"/>
      <c r="F780" s="5"/>
      <c r="G780" s="5"/>
      <c r="H780" s="306"/>
      <c r="I780" s="306"/>
      <c r="J780" s="5"/>
      <c r="K780" s="5"/>
      <c r="L780" s="5"/>
      <c r="M780" s="5"/>
      <c r="N780" s="5"/>
      <c r="O780" s="5"/>
      <c r="P780" s="57"/>
      <c r="Q780" s="5"/>
      <c r="R780" s="5"/>
      <c r="S780" s="5"/>
      <c r="T780" s="5"/>
      <c r="U780" s="5"/>
      <c r="V780" s="5"/>
      <c r="W780" s="5"/>
      <c r="X780" s="5"/>
      <c r="Y780" s="5"/>
      <c r="Z780" s="5"/>
      <c r="AA780" s="5"/>
    </row>
    <row r="781" spans="1:27" ht="12.75" customHeight="1">
      <c r="A781" s="5"/>
      <c r="B781" s="5"/>
      <c r="C781" s="5"/>
      <c r="D781" s="5"/>
      <c r="E781" s="5"/>
      <c r="F781" s="5"/>
      <c r="G781" s="5"/>
      <c r="H781" s="306"/>
      <c r="I781" s="306"/>
      <c r="J781" s="5"/>
      <c r="K781" s="5"/>
      <c r="L781" s="5"/>
      <c r="M781" s="5"/>
      <c r="N781" s="5"/>
      <c r="O781" s="5"/>
      <c r="P781" s="57"/>
      <c r="Q781" s="5"/>
      <c r="R781" s="5"/>
      <c r="S781" s="5"/>
      <c r="T781" s="5"/>
      <c r="U781" s="5"/>
      <c r="V781" s="5"/>
      <c r="W781" s="5"/>
      <c r="X781" s="5"/>
      <c r="Y781" s="5"/>
      <c r="Z781" s="5"/>
      <c r="AA781" s="5"/>
    </row>
    <row r="782" spans="1:27" ht="12.75" customHeight="1">
      <c r="A782" s="5"/>
      <c r="B782" s="5"/>
      <c r="C782" s="5"/>
      <c r="D782" s="5"/>
      <c r="E782" s="5"/>
      <c r="F782" s="5"/>
      <c r="G782" s="5"/>
      <c r="H782" s="306"/>
      <c r="I782" s="306"/>
      <c r="J782" s="5"/>
      <c r="K782" s="5"/>
      <c r="L782" s="5"/>
      <c r="M782" s="5"/>
      <c r="N782" s="5"/>
      <c r="O782" s="5"/>
      <c r="P782" s="57"/>
      <c r="Q782" s="5"/>
      <c r="R782" s="5"/>
      <c r="S782" s="5"/>
      <c r="T782" s="5"/>
      <c r="U782" s="5"/>
      <c r="V782" s="5"/>
      <c r="W782" s="5"/>
      <c r="X782" s="5"/>
      <c r="Y782" s="5"/>
      <c r="Z782" s="5"/>
      <c r="AA782" s="5"/>
    </row>
    <row r="783" spans="1:27" ht="12.75" customHeight="1">
      <c r="A783" s="5"/>
      <c r="B783" s="5"/>
      <c r="C783" s="5"/>
      <c r="D783" s="5"/>
      <c r="E783" s="5"/>
      <c r="F783" s="5"/>
      <c r="G783" s="5"/>
      <c r="H783" s="306"/>
      <c r="I783" s="306"/>
      <c r="J783" s="5"/>
      <c r="K783" s="5"/>
      <c r="L783" s="5"/>
      <c r="M783" s="5"/>
      <c r="N783" s="5"/>
      <c r="O783" s="5"/>
      <c r="P783" s="57"/>
      <c r="Q783" s="5"/>
      <c r="R783" s="5"/>
      <c r="S783" s="5"/>
      <c r="T783" s="5"/>
      <c r="U783" s="5"/>
      <c r="V783" s="5"/>
      <c r="W783" s="5"/>
      <c r="X783" s="5"/>
      <c r="Y783" s="5"/>
      <c r="Z783" s="5"/>
      <c r="AA783" s="5"/>
    </row>
    <row r="784" spans="1:27" ht="12.75" customHeight="1">
      <c r="A784" s="5"/>
      <c r="B784" s="5"/>
      <c r="C784" s="5"/>
      <c r="D784" s="5"/>
      <c r="E784" s="5"/>
      <c r="F784" s="5"/>
      <c r="G784" s="5"/>
      <c r="H784" s="306"/>
      <c r="I784" s="306"/>
      <c r="J784" s="5"/>
      <c r="K784" s="5"/>
      <c r="L784" s="5"/>
      <c r="M784" s="5"/>
      <c r="N784" s="5"/>
      <c r="O784" s="5"/>
      <c r="P784" s="57"/>
      <c r="Q784" s="5"/>
      <c r="R784" s="5"/>
      <c r="S784" s="5"/>
      <c r="T784" s="5"/>
      <c r="U784" s="5"/>
      <c r="V784" s="5"/>
      <c r="W784" s="5"/>
      <c r="X784" s="5"/>
      <c r="Y784" s="5"/>
      <c r="Z784" s="5"/>
      <c r="AA784" s="5"/>
    </row>
    <row r="785" spans="1:27" ht="12.75" customHeight="1">
      <c r="A785" s="5"/>
      <c r="B785" s="5"/>
      <c r="C785" s="5"/>
      <c r="D785" s="5"/>
      <c r="E785" s="5"/>
      <c r="F785" s="5"/>
      <c r="G785" s="5"/>
      <c r="H785" s="306"/>
      <c r="I785" s="306"/>
      <c r="J785" s="5"/>
      <c r="K785" s="5"/>
      <c r="L785" s="5"/>
      <c r="M785" s="5"/>
      <c r="N785" s="5"/>
      <c r="O785" s="5"/>
      <c r="P785" s="57"/>
      <c r="Q785" s="5"/>
      <c r="R785" s="5"/>
      <c r="S785" s="5"/>
      <c r="T785" s="5"/>
      <c r="U785" s="5"/>
      <c r="V785" s="5"/>
      <c r="W785" s="5"/>
      <c r="X785" s="5"/>
      <c r="Y785" s="5"/>
      <c r="Z785" s="5"/>
      <c r="AA785" s="5"/>
    </row>
    <row r="786" spans="1:27" ht="12.75" customHeight="1">
      <c r="A786" s="5"/>
      <c r="B786" s="5"/>
      <c r="C786" s="5"/>
      <c r="D786" s="5"/>
      <c r="E786" s="5"/>
      <c r="F786" s="5"/>
      <c r="G786" s="5"/>
      <c r="H786" s="306"/>
      <c r="I786" s="306"/>
      <c r="J786" s="5"/>
      <c r="K786" s="5"/>
      <c r="L786" s="5"/>
      <c r="M786" s="5"/>
      <c r="N786" s="5"/>
      <c r="O786" s="5"/>
      <c r="P786" s="57"/>
      <c r="Q786" s="5"/>
      <c r="R786" s="5"/>
      <c r="S786" s="5"/>
      <c r="T786" s="5"/>
      <c r="U786" s="5"/>
      <c r="V786" s="5"/>
      <c r="W786" s="5"/>
      <c r="X786" s="5"/>
      <c r="Y786" s="5"/>
      <c r="Z786" s="5"/>
      <c r="AA786" s="5"/>
    </row>
    <row r="787" spans="1:27" ht="12.75" customHeight="1">
      <c r="A787" s="5"/>
      <c r="B787" s="5"/>
      <c r="C787" s="5"/>
      <c r="D787" s="5"/>
      <c r="E787" s="5"/>
      <c r="F787" s="5"/>
      <c r="G787" s="5"/>
      <c r="H787" s="306"/>
      <c r="I787" s="306"/>
      <c r="J787" s="5"/>
      <c r="K787" s="5"/>
      <c r="L787" s="5"/>
      <c r="M787" s="5"/>
      <c r="N787" s="5"/>
      <c r="O787" s="5"/>
      <c r="P787" s="57"/>
      <c r="Q787" s="5"/>
      <c r="R787" s="5"/>
      <c r="S787" s="5"/>
      <c r="T787" s="5"/>
      <c r="U787" s="5"/>
      <c r="V787" s="5"/>
      <c r="W787" s="5"/>
      <c r="X787" s="5"/>
      <c r="Y787" s="5"/>
      <c r="Z787" s="5"/>
      <c r="AA787" s="5"/>
    </row>
    <row r="788" spans="1:27" ht="12.75" customHeight="1">
      <c r="A788" s="5"/>
      <c r="B788" s="5"/>
      <c r="C788" s="5"/>
      <c r="D788" s="5"/>
      <c r="E788" s="5"/>
      <c r="F788" s="5"/>
      <c r="G788" s="5"/>
      <c r="H788" s="306"/>
      <c r="I788" s="306"/>
      <c r="J788" s="5"/>
      <c r="K788" s="5"/>
      <c r="L788" s="5"/>
      <c r="M788" s="5"/>
      <c r="N788" s="5"/>
      <c r="O788" s="5"/>
      <c r="P788" s="57"/>
      <c r="Q788" s="5"/>
      <c r="R788" s="5"/>
      <c r="S788" s="5"/>
      <c r="T788" s="5"/>
      <c r="U788" s="5"/>
      <c r="V788" s="5"/>
      <c r="W788" s="5"/>
      <c r="X788" s="5"/>
      <c r="Y788" s="5"/>
      <c r="Z788" s="5"/>
      <c r="AA788" s="5"/>
    </row>
    <row r="789" spans="1:27" ht="12.75" customHeight="1">
      <c r="A789" s="5"/>
      <c r="B789" s="5"/>
      <c r="C789" s="5"/>
      <c r="D789" s="5"/>
      <c r="E789" s="5"/>
      <c r="F789" s="5"/>
      <c r="G789" s="5"/>
      <c r="H789" s="306"/>
      <c r="I789" s="306"/>
      <c r="J789" s="5"/>
      <c r="K789" s="5"/>
      <c r="L789" s="5"/>
      <c r="M789" s="5"/>
      <c r="N789" s="5"/>
      <c r="O789" s="5"/>
      <c r="P789" s="57"/>
      <c r="Q789" s="5"/>
      <c r="R789" s="5"/>
      <c r="S789" s="5"/>
      <c r="T789" s="5"/>
      <c r="U789" s="5"/>
      <c r="V789" s="5"/>
      <c r="W789" s="5"/>
      <c r="X789" s="5"/>
      <c r="Y789" s="5"/>
      <c r="Z789" s="5"/>
      <c r="AA789" s="5"/>
    </row>
    <row r="790" spans="1:27" ht="12.75" customHeight="1">
      <c r="A790" s="5"/>
      <c r="B790" s="5"/>
      <c r="C790" s="5"/>
      <c r="D790" s="5"/>
      <c r="E790" s="5"/>
      <c r="F790" s="5"/>
      <c r="G790" s="5"/>
      <c r="H790" s="306"/>
      <c r="I790" s="306"/>
      <c r="J790" s="5"/>
      <c r="K790" s="5"/>
      <c r="L790" s="5"/>
      <c r="M790" s="5"/>
      <c r="N790" s="5"/>
      <c r="O790" s="5"/>
      <c r="P790" s="57"/>
      <c r="Q790" s="5"/>
      <c r="R790" s="5"/>
      <c r="S790" s="5"/>
      <c r="T790" s="5"/>
      <c r="U790" s="5"/>
      <c r="V790" s="5"/>
      <c r="W790" s="5"/>
      <c r="X790" s="5"/>
      <c r="Y790" s="5"/>
      <c r="Z790" s="5"/>
      <c r="AA790" s="5"/>
    </row>
    <row r="791" spans="1:27" ht="12.75" customHeight="1">
      <c r="A791" s="5"/>
      <c r="B791" s="5"/>
      <c r="C791" s="5"/>
      <c r="D791" s="5"/>
      <c r="E791" s="5"/>
      <c r="F791" s="5"/>
      <c r="G791" s="5"/>
      <c r="H791" s="306"/>
      <c r="I791" s="306"/>
      <c r="J791" s="5"/>
      <c r="K791" s="5"/>
      <c r="L791" s="5"/>
      <c r="M791" s="5"/>
      <c r="N791" s="5"/>
      <c r="O791" s="5"/>
      <c r="P791" s="57"/>
      <c r="Q791" s="5"/>
      <c r="R791" s="5"/>
      <c r="S791" s="5"/>
      <c r="T791" s="5"/>
      <c r="U791" s="5"/>
      <c r="V791" s="5"/>
      <c r="W791" s="5"/>
      <c r="X791" s="5"/>
      <c r="Y791" s="5"/>
      <c r="Z791" s="5"/>
      <c r="AA791" s="5"/>
    </row>
    <row r="792" spans="1:27" ht="12.75" customHeight="1">
      <c r="A792" s="5"/>
      <c r="B792" s="5"/>
      <c r="C792" s="5"/>
      <c r="D792" s="5"/>
      <c r="E792" s="5"/>
      <c r="F792" s="5"/>
      <c r="G792" s="5"/>
      <c r="H792" s="306"/>
      <c r="I792" s="306"/>
      <c r="J792" s="5"/>
      <c r="K792" s="5"/>
      <c r="L792" s="5"/>
      <c r="M792" s="5"/>
      <c r="N792" s="5"/>
      <c r="O792" s="5"/>
      <c r="P792" s="57"/>
      <c r="Q792" s="5"/>
      <c r="R792" s="5"/>
      <c r="S792" s="5"/>
      <c r="T792" s="5"/>
      <c r="U792" s="5"/>
      <c r="V792" s="5"/>
      <c r="W792" s="5"/>
      <c r="X792" s="5"/>
      <c r="Y792" s="5"/>
      <c r="Z792" s="5"/>
      <c r="AA792" s="5"/>
    </row>
    <row r="793" spans="1:27" ht="12.75" customHeight="1">
      <c r="A793" s="5"/>
      <c r="B793" s="5"/>
      <c r="C793" s="5"/>
      <c r="D793" s="5"/>
      <c r="E793" s="5"/>
      <c r="F793" s="5"/>
      <c r="G793" s="5"/>
      <c r="H793" s="306"/>
      <c r="I793" s="306"/>
      <c r="J793" s="5"/>
      <c r="K793" s="5"/>
      <c r="L793" s="5"/>
      <c r="M793" s="5"/>
      <c r="N793" s="5"/>
      <c r="O793" s="5"/>
      <c r="P793" s="57"/>
      <c r="Q793" s="5"/>
      <c r="R793" s="5"/>
      <c r="S793" s="5"/>
      <c r="T793" s="5"/>
      <c r="U793" s="5"/>
      <c r="V793" s="5"/>
      <c r="W793" s="5"/>
      <c r="X793" s="5"/>
      <c r="Y793" s="5"/>
      <c r="Z793" s="5"/>
      <c r="AA793" s="5"/>
    </row>
    <row r="794" spans="1:27" ht="12.75" customHeight="1">
      <c r="A794" s="5"/>
      <c r="B794" s="5"/>
      <c r="C794" s="5"/>
      <c r="D794" s="5"/>
      <c r="E794" s="5"/>
      <c r="F794" s="5"/>
      <c r="G794" s="5"/>
      <c r="H794" s="306"/>
      <c r="I794" s="306"/>
      <c r="J794" s="5"/>
      <c r="K794" s="5"/>
      <c r="L794" s="5"/>
      <c r="M794" s="5"/>
      <c r="N794" s="5"/>
      <c r="O794" s="5"/>
      <c r="P794" s="57"/>
      <c r="Q794" s="5"/>
      <c r="R794" s="5"/>
      <c r="S794" s="5"/>
      <c r="T794" s="5"/>
      <c r="U794" s="5"/>
      <c r="V794" s="5"/>
      <c r="W794" s="5"/>
      <c r="X794" s="5"/>
      <c r="Y794" s="5"/>
      <c r="Z794" s="5"/>
      <c r="AA794" s="5"/>
    </row>
    <row r="795" spans="1:27" ht="12.75" customHeight="1">
      <c r="A795" s="5"/>
      <c r="B795" s="5"/>
      <c r="C795" s="5"/>
      <c r="D795" s="5"/>
      <c r="E795" s="5"/>
      <c r="F795" s="5"/>
      <c r="G795" s="5"/>
      <c r="H795" s="306"/>
      <c r="I795" s="306"/>
      <c r="J795" s="5"/>
      <c r="K795" s="5"/>
      <c r="L795" s="5"/>
      <c r="M795" s="5"/>
      <c r="N795" s="5"/>
      <c r="O795" s="5"/>
      <c r="P795" s="57"/>
      <c r="Q795" s="5"/>
      <c r="R795" s="5"/>
      <c r="S795" s="5"/>
      <c r="T795" s="5"/>
      <c r="U795" s="5"/>
      <c r="V795" s="5"/>
      <c r="W795" s="5"/>
      <c r="X795" s="5"/>
      <c r="Y795" s="5"/>
      <c r="Z795" s="5"/>
      <c r="AA795" s="5"/>
    </row>
    <row r="796" spans="1:27" ht="12.75" customHeight="1">
      <c r="A796" s="5"/>
      <c r="B796" s="5"/>
      <c r="C796" s="5"/>
      <c r="D796" s="5"/>
      <c r="E796" s="5"/>
      <c r="F796" s="5"/>
      <c r="G796" s="5"/>
      <c r="H796" s="306"/>
      <c r="I796" s="306"/>
      <c r="J796" s="5"/>
      <c r="K796" s="5"/>
      <c r="L796" s="5"/>
      <c r="M796" s="5"/>
      <c r="N796" s="5"/>
      <c r="O796" s="5"/>
      <c r="P796" s="57"/>
      <c r="Q796" s="5"/>
      <c r="R796" s="5"/>
      <c r="S796" s="5"/>
      <c r="T796" s="5"/>
      <c r="U796" s="5"/>
      <c r="V796" s="5"/>
      <c r="W796" s="5"/>
      <c r="X796" s="5"/>
      <c r="Y796" s="5"/>
      <c r="Z796" s="5"/>
      <c r="AA796" s="5"/>
    </row>
    <row r="797" spans="1:27" ht="12.75" customHeight="1">
      <c r="A797" s="5"/>
      <c r="B797" s="5"/>
      <c r="C797" s="5"/>
      <c r="D797" s="5"/>
      <c r="E797" s="5"/>
      <c r="F797" s="5"/>
      <c r="G797" s="5"/>
      <c r="H797" s="306"/>
      <c r="I797" s="306"/>
      <c r="J797" s="5"/>
      <c r="K797" s="5"/>
      <c r="L797" s="5"/>
      <c r="M797" s="5"/>
      <c r="N797" s="5"/>
      <c r="O797" s="5"/>
      <c r="P797" s="57"/>
      <c r="Q797" s="5"/>
      <c r="R797" s="5"/>
      <c r="S797" s="5"/>
      <c r="T797" s="5"/>
      <c r="U797" s="5"/>
      <c r="V797" s="5"/>
      <c r="W797" s="5"/>
      <c r="X797" s="5"/>
      <c r="Y797" s="5"/>
      <c r="Z797" s="5"/>
      <c r="AA797" s="5"/>
    </row>
    <row r="798" spans="1:27" ht="12.75" customHeight="1">
      <c r="A798" s="5"/>
      <c r="B798" s="5"/>
      <c r="C798" s="5"/>
      <c r="D798" s="5"/>
      <c r="E798" s="5"/>
      <c r="F798" s="5"/>
      <c r="G798" s="5"/>
      <c r="H798" s="306"/>
      <c r="I798" s="306"/>
      <c r="J798" s="5"/>
      <c r="K798" s="5"/>
      <c r="L798" s="5"/>
      <c r="M798" s="5"/>
      <c r="N798" s="5"/>
      <c r="O798" s="5"/>
      <c r="P798" s="57"/>
      <c r="Q798" s="5"/>
      <c r="R798" s="5"/>
      <c r="S798" s="5"/>
      <c r="T798" s="5"/>
      <c r="U798" s="5"/>
      <c r="V798" s="5"/>
      <c r="W798" s="5"/>
      <c r="X798" s="5"/>
      <c r="Y798" s="5"/>
      <c r="Z798" s="5"/>
      <c r="AA798" s="5"/>
    </row>
    <row r="799" spans="1:27" ht="12.75" customHeight="1">
      <c r="A799" s="5"/>
      <c r="B799" s="5"/>
      <c r="C799" s="5"/>
      <c r="D799" s="5"/>
      <c r="E799" s="5"/>
      <c r="F799" s="5"/>
      <c r="G799" s="5"/>
      <c r="H799" s="306"/>
      <c r="I799" s="306"/>
      <c r="J799" s="5"/>
      <c r="K799" s="5"/>
      <c r="L799" s="5"/>
      <c r="M799" s="5"/>
      <c r="N799" s="5"/>
      <c r="O799" s="5"/>
      <c r="P799" s="57"/>
      <c r="Q799" s="5"/>
      <c r="R799" s="5"/>
      <c r="S799" s="5"/>
      <c r="T799" s="5"/>
      <c r="U799" s="5"/>
      <c r="V799" s="5"/>
      <c r="W799" s="5"/>
      <c r="X799" s="5"/>
      <c r="Y799" s="5"/>
      <c r="Z799" s="5"/>
      <c r="AA799" s="5"/>
    </row>
    <row r="800" spans="1:27" ht="12.75" customHeight="1">
      <c r="A800" s="5"/>
      <c r="B800" s="5"/>
      <c r="C800" s="5"/>
      <c r="D800" s="5"/>
      <c r="E800" s="5"/>
      <c r="F800" s="5"/>
      <c r="G800" s="5"/>
      <c r="H800" s="306"/>
      <c r="I800" s="306"/>
      <c r="J800" s="5"/>
      <c r="K800" s="5"/>
      <c r="L800" s="5"/>
      <c r="M800" s="5"/>
      <c r="N800" s="5"/>
      <c r="O800" s="5"/>
      <c r="P800" s="57"/>
      <c r="Q800" s="5"/>
      <c r="R800" s="5"/>
      <c r="S800" s="5"/>
      <c r="T800" s="5"/>
      <c r="U800" s="5"/>
      <c r="V800" s="5"/>
      <c r="W800" s="5"/>
      <c r="X800" s="5"/>
      <c r="Y800" s="5"/>
      <c r="Z800" s="5"/>
      <c r="AA800" s="5"/>
    </row>
    <row r="801" spans="1:27" ht="12.75" customHeight="1">
      <c r="A801" s="5"/>
      <c r="B801" s="5"/>
      <c r="C801" s="5"/>
      <c r="D801" s="5"/>
      <c r="E801" s="5"/>
      <c r="F801" s="5"/>
      <c r="G801" s="5"/>
      <c r="H801" s="306"/>
      <c r="I801" s="306"/>
      <c r="J801" s="5"/>
      <c r="K801" s="5"/>
      <c r="L801" s="5"/>
      <c r="M801" s="5"/>
      <c r="N801" s="5"/>
      <c r="O801" s="5"/>
      <c r="P801" s="57"/>
      <c r="Q801" s="5"/>
      <c r="R801" s="5"/>
      <c r="S801" s="5"/>
      <c r="T801" s="5"/>
      <c r="U801" s="5"/>
      <c r="V801" s="5"/>
      <c r="W801" s="5"/>
      <c r="X801" s="5"/>
      <c r="Y801" s="5"/>
      <c r="Z801" s="5"/>
      <c r="AA801" s="5"/>
    </row>
    <row r="802" spans="1:27" ht="12.75" customHeight="1">
      <c r="A802" s="5"/>
      <c r="B802" s="5"/>
      <c r="C802" s="5"/>
      <c r="D802" s="5"/>
      <c r="E802" s="5"/>
      <c r="F802" s="5"/>
      <c r="G802" s="5"/>
      <c r="H802" s="306"/>
      <c r="I802" s="306"/>
      <c r="J802" s="5"/>
      <c r="K802" s="5"/>
      <c r="L802" s="5"/>
      <c r="M802" s="5"/>
      <c r="N802" s="5"/>
      <c r="O802" s="5"/>
      <c r="P802" s="57"/>
      <c r="Q802" s="5"/>
      <c r="R802" s="5"/>
      <c r="S802" s="5"/>
      <c r="T802" s="5"/>
      <c r="U802" s="5"/>
      <c r="V802" s="5"/>
      <c r="W802" s="5"/>
      <c r="X802" s="5"/>
      <c r="Y802" s="5"/>
      <c r="Z802" s="5"/>
      <c r="AA802" s="5"/>
    </row>
    <row r="803" spans="1:27" ht="12.75" customHeight="1">
      <c r="A803" s="5"/>
      <c r="B803" s="5"/>
      <c r="C803" s="5"/>
      <c r="D803" s="5"/>
      <c r="E803" s="5"/>
      <c r="F803" s="5"/>
      <c r="G803" s="5"/>
      <c r="H803" s="306"/>
      <c r="I803" s="306"/>
      <c r="J803" s="5"/>
      <c r="K803" s="5"/>
      <c r="L803" s="5"/>
      <c r="M803" s="5"/>
      <c r="N803" s="5"/>
      <c r="O803" s="5"/>
      <c r="P803" s="57"/>
      <c r="Q803" s="5"/>
      <c r="R803" s="5"/>
      <c r="S803" s="5"/>
      <c r="T803" s="5"/>
      <c r="U803" s="5"/>
      <c r="V803" s="5"/>
      <c r="W803" s="5"/>
      <c r="X803" s="5"/>
      <c r="Y803" s="5"/>
      <c r="Z803" s="5"/>
      <c r="AA803" s="5"/>
    </row>
    <row r="804" spans="1:27" ht="12.75" customHeight="1">
      <c r="A804" s="5"/>
      <c r="B804" s="5"/>
      <c r="C804" s="5"/>
      <c r="D804" s="5"/>
      <c r="E804" s="5"/>
      <c r="F804" s="5"/>
      <c r="G804" s="5"/>
      <c r="H804" s="306"/>
      <c r="I804" s="306"/>
      <c r="J804" s="5"/>
      <c r="K804" s="5"/>
      <c r="L804" s="5"/>
      <c r="M804" s="5"/>
      <c r="N804" s="5"/>
      <c r="O804" s="5"/>
      <c r="P804" s="57"/>
      <c r="Q804" s="5"/>
      <c r="R804" s="5"/>
      <c r="S804" s="5"/>
      <c r="T804" s="5"/>
      <c r="U804" s="5"/>
      <c r="V804" s="5"/>
      <c r="W804" s="5"/>
      <c r="X804" s="5"/>
      <c r="Y804" s="5"/>
      <c r="Z804" s="5"/>
      <c r="AA804" s="5"/>
    </row>
    <row r="805" spans="1:27" ht="12.75" customHeight="1">
      <c r="A805" s="5"/>
      <c r="B805" s="5"/>
      <c r="C805" s="5"/>
      <c r="D805" s="5"/>
      <c r="E805" s="5"/>
      <c r="F805" s="5"/>
      <c r="G805" s="5"/>
      <c r="H805" s="306"/>
      <c r="I805" s="306"/>
      <c r="J805" s="5"/>
      <c r="K805" s="5"/>
      <c r="L805" s="5"/>
      <c r="M805" s="5"/>
      <c r="N805" s="5"/>
      <c r="O805" s="5"/>
      <c r="P805" s="57"/>
      <c r="Q805" s="5"/>
      <c r="R805" s="5"/>
      <c r="S805" s="5"/>
      <c r="T805" s="5"/>
      <c r="U805" s="5"/>
      <c r="V805" s="5"/>
      <c r="W805" s="5"/>
      <c r="X805" s="5"/>
      <c r="Y805" s="5"/>
      <c r="Z805" s="5"/>
      <c r="AA805" s="5"/>
    </row>
    <row r="806" spans="1:27" ht="12.75" customHeight="1">
      <c r="A806" s="5"/>
      <c r="B806" s="5"/>
      <c r="C806" s="5"/>
      <c r="D806" s="5"/>
      <c r="E806" s="5"/>
      <c r="F806" s="5"/>
      <c r="G806" s="5"/>
      <c r="H806" s="306"/>
      <c r="I806" s="306"/>
      <c r="J806" s="5"/>
      <c r="K806" s="5"/>
      <c r="L806" s="5"/>
      <c r="M806" s="5"/>
      <c r="N806" s="5"/>
      <c r="O806" s="5"/>
      <c r="P806" s="57"/>
      <c r="Q806" s="5"/>
      <c r="R806" s="5"/>
      <c r="S806" s="5"/>
      <c r="T806" s="5"/>
      <c r="U806" s="5"/>
      <c r="V806" s="5"/>
      <c r="W806" s="5"/>
      <c r="X806" s="5"/>
      <c r="Y806" s="5"/>
      <c r="Z806" s="5"/>
      <c r="AA806" s="5"/>
    </row>
    <row r="807" spans="1:27" ht="12.75" customHeight="1">
      <c r="A807" s="5"/>
      <c r="B807" s="5"/>
      <c r="C807" s="5"/>
      <c r="D807" s="5"/>
      <c r="E807" s="5"/>
      <c r="F807" s="5"/>
      <c r="G807" s="5"/>
      <c r="H807" s="306"/>
      <c r="I807" s="306"/>
      <c r="J807" s="5"/>
      <c r="K807" s="5"/>
      <c r="L807" s="5"/>
      <c r="M807" s="5"/>
      <c r="N807" s="5"/>
      <c r="O807" s="5"/>
      <c r="P807" s="57"/>
      <c r="Q807" s="5"/>
      <c r="R807" s="5"/>
      <c r="S807" s="5"/>
      <c r="T807" s="5"/>
      <c r="U807" s="5"/>
      <c r="V807" s="5"/>
      <c r="W807" s="5"/>
      <c r="X807" s="5"/>
      <c r="Y807" s="5"/>
      <c r="Z807" s="5"/>
      <c r="AA807" s="5"/>
    </row>
    <row r="808" spans="1:27" ht="12.75" customHeight="1">
      <c r="A808" s="5"/>
      <c r="B808" s="5"/>
      <c r="C808" s="5"/>
      <c r="D808" s="5"/>
      <c r="E808" s="5"/>
      <c r="F808" s="5"/>
      <c r="G808" s="5"/>
      <c r="H808" s="306"/>
      <c r="I808" s="306"/>
      <c r="J808" s="5"/>
      <c r="K808" s="5"/>
      <c r="L808" s="5"/>
      <c r="M808" s="5"/>
      <c r="N808" s="5"/>
      <c r="O808" s="5"/>
      <c r="P808" s="57"/>
      <c r="Q808" s="5"/>
      <c r="R808" s="5"/>
      <c r="S808" s="5"/>
      <c r="T808" s="5"/>
      <c r="U808" s="5"/>
      <c r="V808" s="5"/>
      <c r="W808" s="5"/>
      <c r="X808" s="5"/>
      <c r="Y808" s="5"/>
      <c r="Z808" s="5"/>
      <c r="AA808" s="5"/>
    </row>
    <row r="809" spans="1:27" ht="12.75" customHeight="1">
      <c r="A809" s="5"/>
      <c r="B809" s="5"/>
      <c r="C809" s="5"/>
      <c r="D809" s="5"/>
      <c r="E809" s="5"/>
      <c r="F809" s="5"/>
      <c r="G809" s="5"/>
      <c r="H809" s="306"/>
      <c r="I809" s="306"/>
      <c r="J809" s="5"/>
      <c r="K809" s="5"/>
      <c r="L809" s="5"/>
      <c r="M809" s="5"/>
      <c r="N809" s="5"/>
      <c r="O809" s="5"/>
      <c r="P809" s="57"/>
      <c r="Q809" s="5"/>
      <c r="R809" s="5"/>
      <c r="S809" s="5"/>
      <c r="T809" s="5"/>
      <c r="U809" s="5"/>
      <c r="V809" s="5"/>
      <c r="W809" s="5"/>
      <c r="X809" s="5"/>
      <c r="Y809" s="5"/>
      <c r="Z809" s="5"/>
      <c r="AA809" s="5"/>
    </row>
    <row r="810" spans="1:27" ht="12.75" customHeight="1">
      <c r="A810" s="5"/>
      <c r="B810" s="5"/>
      <c r="C810" s="5"/>
      <c r="D810" s="5"/>
      <c r="E810" s="5"/>
      <c r="F810" s="5"/>
      <c r="G810" s="5"/>
      <c r="H810" s="306"/>
      <c r="I810" s="306"/>
      <c r="J810" s="5"/>
      <c r="K810" s="5"/>
      <c r="L810" s="5"/>
      <c r="M810" s="5"/>
      <c r="N810" s="5"/>
      <c r="O810" s="5"/>
      <c r="P810" s="57"/>
      <c r="Q810" s="5"/>
      <c r="R810" s="5"/>
      <c r="S810" s="5"/>
      <c r="T810" s="5"/>
      <c r="U810" s="5"/>
      <c r="V810" s="5"/>
      <c r="W810" s="5"/>
      <c r="X810" s="5"/>
      <c r="Y810" s="5"/>
      <c r="Z810" s="5"/>
      <c r="AA810" s="5"/>
    </row>
    <row r="811" spans="1:27" ht="12.75" customHeight="1">
      <c r="A811" s="5"/>
      <c r="B811" s="5"/>
      <c r="C811" s="5"/>
      <c r="D811" s="5"/>
      <c r="E811" s="5"/>
      <c r="F811" s="5"/>
      <c r="G811" s="5"/>
      <c r="H811" s="306"/>
      <c r="I811" s="306"/>
      <c r="J811" s="5"/>
      <c r="K811" s="5"/>
      <c r="L811" s="5"/>
      <c r="M811" s="5"/>
      <c r="N811" s="5"/>
      <c r="O811" s="5"/>
      <c r="P811" s="57"/>
      <c r="Q811" s="5"/>
      <c r="R811" s="5"/>
      <c r="S811" s="5"/>
      <c r="T811" s="5"/>
      <c r="U811" s="5"/>
      <c r="V811" s="5"/>
      <c r="W811" s="5"/>
      <c r="X811" s="5"/>
      <c r="Y811" s="5"/>
      <c r="Z811" s="5"/>
      <c r="AA811" s="5"/>
    </row>
    <row r="812" spans="1:27" ht="12.75" customHeight="1">
      <c r="A812" s="5"/>
      <c r="B812" s="5"/>
      <c r="C812" s="5"/>
      <c r="D812" s="5"/>
      <c r="E812" s="5"/>
      <c r="F812" s="5"/>
      <c r="G812" s="5"/>
      <c r="H812" s="306"/>
      <c r="I812" s="306"/>
      <c r="J812" s="5"/>
      <c r="K812" s="5"/>
      <c r="L812" s="5"/>
      <c r="M812" s="5"/>
      <c r="N812" s="5"/>
      <c r="O812" s="5"/>
      <c r="P812" s="57"/>
      <c r="Q812" s="5"/>
      <c r="R812" s="5"/>
      <c r="S812" s="5"/>
      <c r="T812" s="5"/>
      <c r="U812" s="5"/>
      <c r="V812" s="5"/>
      <c r="W812" s="5"/>
      <c r="X812" s="5"/>
      <c r="Y812" s="5"/>
      <c r="Z812" s="5"/>
      <c r="AA812" s="5"/>
    </row>
    <row r="813" spans="1:27" ht="12.75" customHeight="1">
      <c r="A813" s="5"/>
      <c r="B813" s="5"/>
      <c r="C813" s="5"/>
      <c r="D813" s="5"/>
      <c r="E813" s="5"/>
      <c r="F813" s="5"/>
      <c r="G813" s="5"/>
      <c r="H813" s="306"/>
      <c r="I813" s="306"/>
      <c r="J813" s="5"/>
      <c r="K813" s="5"/>
      <c r="L813" s="5"/>
      <c r="M813" s="5"/>
      <c r="N813" s="5"/>
      <c r="O813" s="5"/>
      <c r="P813" s="57"/>
      <c r="Q813" s="5"/>
      <c r="R813" s="5"/>
      <c r="S813" s="5"/>
      <c r="T813" s="5"/>
      <c r="U813" s="5"/>
      <c r="V813" s="5"/>
      <c r="W813" s="5"/>
      <c r="X813" s="5"/>
      <c r="Y813" s="5"/>
      <c r="Z813" s="5"/>
      <c r="AA813" s="5"/>
    </row>
    <row r="814" spans="1:27" ht="12.75" customHeight="1">
      <c r="A814" s="5"/>
      <c r="B814" s="5"/>
      <c r="C814" s="5"/>
      <c r="D814" s="5"/>
      <c r="E814" s="5"/>
      <c r="F814" s="5"/>
      <c r="G814" s="5"/>
      <c r="H814" s="306"/>
      <c r="I814" s="306"/>
      <c r="J814" s="5"/>
      <c r="K814" s="5"/>
      <c r="L814" s="5"/>
      <c r="M814" s="5"/>
      <c r="N814" s="5"/>
      <c r="O814" s="5"/>
      <c r="P814" s="57"/>
      <c r="Q814" s="5"/>
      <c r="R814" s="5"/>
      <c r="S814" s="5"/>
      <c r="T814" s="5"/>
      <c r="U814" s="5"/>
      <c r="V814" s="5"/>
      <c r="W814" s="5"/>
      <c r="X814" s="5"/>
      <c r="Y814" s="5"/>
      <c r="Z814" s="5"/>
      <c r="AA814" s="5"/>
    </row>
    <row r="815" spans="1:27" ht="12.75" customHeight="1">
      <c r="A815" s="5"/>
      <c r="B815" s="5"/>
      <c r="C815" s="5"/>
      <c r="D815" s="5"/>
      <c r="E815" s="5"/>
      <c r="F815" s="5"/>
      <c r="G815" s="5"/>
      <c r="H815" s="306"/>
      <c r="I815" s="306"/>
      <c r="J815" s="5"/>
      <c r="K815" s="5"/>
      <c r="L815" s="5"/>
      <c r="M815" s="5"/>
      <c r="N815" s="5"/>
      <c r="O815" s="5"/>
      <c r="P815" s="57"/>
      <c r="Q815" s="5"/>
      <c r="R815" s="5"/>
      <c r="S815" s="5"/>
      <c r="T815" s="5"/>
      <c r="U815" s="5"/>
      <c r="V815" s="5"/>
      <c r="W815" s="5"/>
      <c r="X815" s="5"/>
      <c r="Y815" s="5"/>
      <c r="Z815" s="5"/>
      <c r="AA815" s="5"/>
    </row>
    <row r="816" spans="1:27" ht="12.75" customHeight="1">
      <c r="A816" s="5"/>
      <c r="B816" s="5"/>
      <c r="C816" s="5"/>
      <c r="D816" s="5"/>
      <c r="E816" s="5"/>
      <c r="F816" s="5"/>
      <c r="G816" s="5"/>
      <c r="H816" s="306"/>
      <c r="I816" s="306"/>
      <c r="J816" s="5"/>
      <c r="K816" s="5"/>
      <c r="L816" s="5"/>
      <c r="M816" s="5"/>
      <c r="N816" s="5"/>
      <c r="O816" s="5"/>
      <c r="P816" s="57"/>
      <c r="Q816" s="5"/>
      <c r="R816" s="5"/>
      <c r="S816" s="5"/>
      <c r="T816" s="5"/>
      <c r="U816" s="5"/>
      <c r="V816" s="5"/>
      <c r="W816" s="5"/>
      <c r="X816" s="5"/>
      <c r="Y816" s="5"/>
      <c r="Z816" s="5"/>
      <c r="AA816" s="5"/>
    </row>
    <row r="817" spans="1:27" ht="12.75" customHeight="1">
      <c r="A817" s="5"/>
      <c r="B817" s="5"/>
      <c r="C817" s="5"/>
      <c r="D817" s="5"/>
      <c r="E817" s="5"/>
      <c r="F817" s="5"/>
      <c r="G817" s="5"/>
      <c r="H817" s="306"/>
      <c r="I817" s="306"/>
      <c r="J817" s="5"/>
      <c r="K817" s="5"/>
      <c r="L817" s="5"/>
      <c r="M817" s="5"/>
      <c r="N817" s="5"/>
      <c r="O817" s="5"/>
      <c r="P817" s="57"/>
      <c r="Q817" s="5"/>
      <c r="R817" s="5"/>
      <c r="S817" s="5"/>
      <c r="T817" s="5"/>
      <c r="U817" s="5"/>
      <c r="V817" s="5"/>
      <c r="W817" s="5"/>
      <c r="X817" s="5"/>
      <c r="Y817" s="5"/>
      <c r="Z817" s="5"/>
      <c r="AA817" s="5"/>
    </row>
    <row r="818" spans="1:27" ht="12.75" customHeight="1">
      <c r="A818" s="5"/>
      <c r="B818" s="5"/>
      <c r="C818" s="5"/>
      <c r="D818" s="5"/>
      <c r="E818" s="5"/>
      <c r="F818" s="5"/>
      <c r="G818" s="5"/>
      <c r="H818" s="306"/>
      <c r="I818" s="306"/>
      <c r="J818" s="5"/>
      <c r="K818" s="5"/>
      <c r="L818" s="5"/>
      <c r="M818" s="5"/>
      <c r="N818" s="5"/>
      <c r="O818" s="5"/>
      <c r="P818" s="57"/>
      <c r="Q818" s="5"/>
      <c r="R818" s="5"/>
      <c r="S818" s="5"/>
      <c r="T818" s="5"/>
      <c r="U818" s="5"/>
      <c r="V818" s="5"/>
      <c r="W818" s="5"/>
      <c r="X818" s="5"/>
      <c r="Y818" s="5"/>
      <c r="Z818" s="5"/>
      <c r="AA818" s="5"/>
    </row>
    <row r="819" spans="1:27" ht="12.75" customHeight="1">
      <c r="A819" s="5"/>
      <c r="B819" s="5"/>
      <c r="C819" s="5"/>
      <c r="D819" s="5"/>
      <c r="E819" s="5"/>
      <c r="F819" s="5"/>
      <c r="G819" s="5"/>
      <c r="H819" s="306"/>
      <c r="I819" s="306"/>
      <c r="J819" s="5"/>
      <c r="K819" s="5"/>
      <c r="L819" s="5"/>
      <c r="M819" s="5"/>
      <c r="N819" s="5"/>
      <c r="O819" s="5"/>
      <c r="P819" s="57"/>
      <c r="Q819" s="5"/>
      <c r="R819" s="5"/>
      <c r="S819" s="5"/>
      <c r="T819" s="5"/>
      <c r="U819" s="5"/>
      <c r="V819" s="5"/>
      <c r="W819" s="5"/>
      <c r="X819" s="5"/>
      <c r="Y819" s="5"/>
      <c r="Z819" s="5"/>
      <c r="AA819" s="5"/>
    </row>
    <row r="820" spans="1:27" ht="12.75" customHeight="1">
      <c r="A820" s="5"/>
      <c r="B820" s="5"/>
      <c r="C820" s="5"/>
      <c r="D820" s="5"/>
      <c r="E820" s="5"/>
      <c r="F820" s="5"/>
      <c r="G820" s="5"/>
      <c r="H820" s="306"/>
      <c r="I820" s="306"/>
      <c r="J820" s="5"/>
      <c r="K820" s="5"/>
      <c r="L820" s="5"/>
      <c r="M820" s="5"/>
      <c r="N820" s="5"/>
      <c r="O820" s="5"/>
      <c r="P820" s="57"/>
      <c r="Q820" s="5"/>
      <c r="R820" s="5"/>
      <c r="S820" s="5"/>
      <c r="T820" s="5"/>
      <c r="U820" s="5"/>
      <c r="V820" s="5"/>
      <c r="W820" s="5"/>
      <c r="X820" s="5"/>
      <c r="Y820" s="5"/>
      <c r="Z820" s="5"/>
      <c r="AA820" s="5"/>
    </row>
    <row r="821" spans="1:27" ht="12.75" customHeight="1">
      <c r="A821" s="5"/>
      <c r="B821" s="5"/>
      <c r="C821" s="5"/>
      <c r="D821" s="5"/>
      <c r="E821" s="5"/>
      <c r="F821" s="5"/>
      <c r="G821" s="5"/>
      <c r="H821" s="306"/>
      <c r="I821" s="306"/>
      <c r="J821" s="5"/>
      <c r="K821" s="5"/>
      <c r="L821" s="5"/>
      <c r="M821" s="5"/>
      <c r="N821" s="5"/>
      <c r="O821" s="5"/>
      <c r="P821" s="57"/>
      <c r="Q821" s="5"/>
      <c r="R821" s="5"/>
      <c r="S821" s="5"/>
      <c r="T821" s="5"/>
      <c r="U821" s="5"/>
      <c r="V821" s="5"/>
      <c r="W821" s="5"/>
      <c r="X821" s="5"/>
      <c r="Y821" s="5"/>
      <c r="Z821" s="5"/>
      <c r="AA821" s="5"/>
    </row>
    <row r="822" spans="1:27" ht="12.75" customHeight="1">
      <c r="A822" s="5"/>
      <c r="B822" s="5"/>
      <c r="C822" s="5"/>
      <c r="D822" s="5"/>
      <c r="E822" s="5"/>
      <c r="F822" s="5"/>
      <c r="G822" s="5"/>
      <c r="H822" s="306"/>
      <c r="I822" s="306"/>
      <c r="J822" s="5"/>
      <c r="K822" s="5"/>
      <c r="L822" s="5"/>
      <c r="M822" s="5"/>
      <c r="N822" s="5"/>
      <c r="O822" s="5"/>
      <c r="P822" s="57"/>
      <c r="Q822" s="5"/>
      <c r="R822" s="5"/>
      <c r="S822" s="5"/>
      <c r="T822" s="5"/>
      <c r="U822" s="5"/>
      <c r="V822" s="5"/>
      <c r="W822" s="5"/>
      <c r="X822" s="5"/>
      <c r="Y822" s="5"/>
      <c r="Z822" s="5"/>
      <c r="AA822" s="5"/>
    </row>
    <row r="823" spans="1:27" ht="12.75" customHeight="1">
      <c r="A823" s="5"/>
      <c r="B823" s="5"/>
      <c r="C823" s="5"/>
      <c r="D823" s="5"/>
      <c r="E823" s="5"/>
      <c r="F823" s="5"/>
      <c r="G823" s="5"/>
      <c r="H823" s="306"/>
      <c r="I823" s="306"/>
      <c r="J823" s="5"/>
      <c r="K823" s="5"/>
      <c r="L823" s="5"/>
      <c r="M823" s="5"/>
      <c r="N823" s="5"/>
      <c r="O823" s="5"/>
      <c r="P823" s="57"/>
      <c r="Q823" s="5"/>
      <c r="R823" s="5"/>
      <c r="S823" s="5"/>
      <c r="T823" s="5"/>
      <c r="U823" s="5"/>
      <c r="V823" s="5"/>
      <c r="W823" s="5"/>
      <c r="X823" s="5"/>
      <c r="Y823" s="5"/>
      <c r="Z823" s="5"/>
      <c r="AA823" s="5"/>
    </row>
    <row r="824" spans="1:27" ht="12.75" customHeight="1">
      <c r="A824" s="5"/>
      <c r="B824" s="5"/>
      <c r="C824" s="5"/>
      <c r="D824" s="5"/>
      <c r="E824" s="5"/>
      <c r="F824" s="5"/>
      <c r="G824" s="5"/>
      <c r="H824" s="306"/>
      <c r="I824" s="306"/>
      <c r="J824" s="5"/>
      <c r="K824" s="5"/>
      <c r="L824" s="5"/>
      <c r="M824" s="5"/>
      <c r="N824" s="5"/>
      <c r="O824" s="5"/>
      <c r="P824" s="57"/>
      <c r="Q824" s="5"/>
      <c r="R824" s="5"/>
      <c r="S824" s="5"/>
      <c r="T824" s="5"/>
      <c r="U824" s="5"/>
      <c r="V824" s="5"/>
      <c r="W824" s="5"/>
      <c r="X824" s="5"/>
      <c r="Y824" s="5"/>
      <c r="Z824" s="5"/>
      <c r="AA824" s="5"/>
    </row>
    <row r="825" spans="1:27" ht="12.75" customHeight="1">
      <c r="A825" s="5"/>
      <c r="B825" s="5"/>
      <c r="C825" s="5"/>
      <c r="D825" s="5"/>
      <c r="E825" s="5"/>
      <c r="F825" s="5"/>
      <c r="G825" s="5"/>
      <c r="H825" s="306"/>
      <c r="I825" s="306"/>
      <c r="J825" s="5"/>
      <c r="K825" s="5"/>
      <c r="L825" s="5"/>
      <c r="M825" s="5"/>
      <c r="N825" s="5"/>
      <c r="O825" s="5"/>
      <c r="P825" s="57"/>
      <c r="Q825" s="5"/>
      <c r="R825" s="5"/>
      <c r="S825" s="5"/>
      <c r="T825" s="5"/>
      <c r="U825" s="5"/>
      <c r="V825" s="5"/>
      <c r="W825" s="5"/>
      <c r="X825" s="5"/>
      <c r="Y825" s="5"/>
      <c r="Z825" s="5"/>
      <c r="AA825" s="5"/>
    </row>
    <row r="826" spans="1:27" ht="12.75" customHeight="1">
      <c r="A826" s="5"/>
      <c r="B826" s="5"/>
      <c r="C826" s="5"/>
      <c r="D826" s="5"/>
      <c r="E826" s="5"/>
      <c r="F826" s="5"/>
      <c r="G826" s="5"/>
      <c r="H826" s="306"/>
      <c r="I826" s="306"/>
      <c r="J826" s="5"/>
      <c r="K826" s="5"/>
      <c r="L826" s="5"/>
      <c r="M826" s="5"/>
      <c r="N826" s="5"/>
      <c r="O826" s="5"/>
      <c r="P826" s="57"/>
      <c r="Q826" s="5"/>
      <c r="R826" s="5"/>
      <c r="S826" s="5"/>
      <c r="T826" s="5"/>
      <c r="U826" s="5"/>
      <c r="V826" s="5"/>
      <c r="W826" s="5"/>
      <c r="X826" s="5"/>
      <c r="Y826" s="5"/>
      <c r="Z826" s="5"/>
      <c r="AA826" s="5"/>
    </row>
    <row r="827" spans="1:27" ht="12.75" customHeight="1">
      <c r="A827" s="5"/>
      <c r="B827" s="5"/>
      <c r="C827" s="5"/>
      <c r="D827" s="5"/>
      <c r="E827" s="5"/>
      <c r="F827" s="5"/>
      <c r="G827" s="5"/>
      <c r="H827" s="306"/>
      <c r="I827" s="306"/>
      <c r="J827" s="5"/>
      <c r="K827" s="5"/>
      <c r="L827" s="5"/>
      <c r="M827" s="5"/>
      <c r="N827" s="5"/>
      <c r="O827" s="5"/>
      <c r="P827" s="57"/>
      <c r="Q827" s="5"/>
      <c r="R827" s="5"/>
      <c r="S827" s="5"/>
      <c r="T827" s="5"/>
      <c r="U827" s="5"/>
      <c r="V827" s="5"/>
      <c r="W827" s="5"/>
      <c r="X827" s="5"/>
      <c r="Y827" s="5"/>
      <c r="Z827" s="5"/>
      <c r="AA827" s="5"/>
    </row>
    <row r="828" spans="1:27" ht="12.75" customHeight="1">
      <c r="A828" s="5"/>
      <c r="B828" s="5"/>
      <c r="C828" s="5"/>
      <c r="D828" s="5"/>
      <c r="E828" s="5"/>
      <c r="F828" s="5"/>
      <c r="G828" s="5"/>
      <c r="H828" s="306"/>
      <c r="I828" s="306"/>
      <c r="J828" s="5"/>
      <c r="K828" s="5"/>
      <c r="L828" s="5"/>
      <c r="M828" s="5"/>
      <c r="N828" s="5"/>
      <c r="O828" s="5"/>
      <c r="P828" s="57"/>
      <c r="Q828" s="5"/>
      <c r="R828" s="5"/>
      <c r="S828" s="5"/>
      <c r="T828" s="5"/>
      <c r="U828" s="5"/>
      <c r="V828" s="5"/>
      <c r="W828" s="5"/>
      <c r="X828" s="5"/>
      <c r="Y828" s="5"/>
      <c r="Z828" s="5"/>
      <c r="AA828" s="5"/>
    </row>
    <row r="829" spans="1:27" ht="12.75" customHeight="1">
      <c r="A829" s="5"/>
      <c r="B829" s="5"/>
      <c r="C829" s="5"/>
      <c r="D829" s="5"/>
      <c r="E829" s="5"/>
      <c r="F829" s="5"/>
      <c r="G829" s="5"/>
      <c r="H829" s="306"/>
      <c r="I829" s="306"/>
      <c r="J829" s="5"/>
      <c r="K829" s="5"/>
      <c r="L829" s="5"/>
      <c r="M829" s="5"/>
      <c r="N829" s="5"/>
      <c r="O829" s="5"/>
      <c r="P829" s="57"/>
      <c r="Q829" s="5"/>
      <c r="R829" s="5"/>
      <c r="S829" s="5"/>
      <c r="T829" s="5"/>
      <c r="U829" s="5"/>
      <c r="V829" s="5"/>
      <c r="W829" s="5"/>
      <c r="X829" s="5"/>
      <c r="Y829" s="5"/>
      <c r="Z829" s="5"/>
      <c r="AA829" s="5"/>
    </row>
    <row r="830" spans="1:27" ht="12.75" customHeight="1">
      <c r="A830" s="5"/>
      <c r="B830" s="5"/>
      <c r="C830" s="5"/>
      <c r="D830" s="5"/>
      <c r="E830" s="5"/>
      <c r="F830" s="5"/>
      <c r="G830" s="5"/>
      <c r="H830" s="306"/>
      <c r="I830" s="306"/>
      <c r="J830" s="5"/>
      <c r="K830" s="5"/>
      <c r="L830" s="5"/>
      <c r="M830" s="5"/>
      <c r="N830" s="5"/>
      <c r="O830" s="5"/>
      <c r="P830" s="57"/>
      <c r="Q830" s="5"/>
      <c r="R830" s="5"/>
      <c r="S830" s="5"/>
      <c r="T830" s="5"/>
      <c r="U830" s="5"/>
      <c r="V830" s="5"/>
      <c r="W830" s="5"/>
      <c r="X830" s="5"/>
      <c r="Y830" s="5"/>
      <c r="Z830" s="5"/>
      <c r="AA830" s="5"/>
    </row>
    <row r="831" spans="1:27" ht="12.75" customHeight="1">
      <c r="A831" s="5"/>
      <c r="B831" s="5"/>
      <c r="C831" s="5"/>
      <c r="D831" s="5"/>
      <c r="E831" s="5"/>
      <c r="F831" s="5"/>
      <c r="G831" s="5"/>
      <c r="H831" s="306"/>
      <c r="I831" s="306"/>
      <c r="J831" s="5"/>
      <c r="K831" s="5"/>
      <c r="L831" s="5"/>
      <c r="M831" s="5"/>
      <c r="N831" s="5"/>
      <c r="O831" s="5"/>
      <c r="P831" s="57"/>
      <c r="Q831" s="5"/>
      <c r="R831" s="5"/>
      <c r="S831" s="5"/>
      <c r="T831" s="5"/>
      <c r="U831" s="5"/>
      <c r="V831" s="5"/>
      <c r="W831" s="5"/>
      <c r="X831" s="5"/>
      <c r="Y831" s="5"/>
      <c r="Z831" s="5"/>
      <c r="AA831" s="5"/>
    </row>
    <row r="832" spans="1:27" ht="12.75" customHeight="1">
      <c r="A832" s="5"/>
      <c r="B832" s="5"/>
      <c r="C832" s="5"/>
      <c r="D832" s="5"/>
      <c r="E832" s="5"/>
      <c r="F832" s="5"/>
      <c r="G832" s="5"/>
      <c r="H832" s="306"/>
      <c r="I832" s="306"/>
      <c r="J832" s="5"/>
      <c r="K832" s="5"/>
      <c r="L832" s="5"/>
      <c r="M832" s="5"/>
      <c r="N832" s="5"/>
      <c r="O832" s="5"/>
      <c r="P832" s="57"/>
      <c r="Q832" s="5"/>
      <c r="R832" s="5"/>
      <c r="S832" s="5"/>
      <c r="T832" s="5"/>
      <c r="U832" s="5"/>
      <c r="V832" s="5"/>
      <c r="W832" s="5"/>
      <c r="X832" s="5"/>
      <c r="Y832" s="5"/>
      <c r="Z832" s="5"/>
      <c r="AA832" s="5"/>
    </row>
    <row r="833" spans="1:27" ht="12.75" customHeight="1">
      <c r="A833" s="5"/>
      <c r="B833" s="5"/>
      <c r="C833" s="5"/>
      <c r="D833" s="5"/>
      <c r="E833" s="5"/>
      <c r="F833" s="5"/>
      <c r="G833" s="5"/>
      <c r="H833" s="306"/>
      <c r="I833" s="306"/>
      <c r="J833" s="5"/>
      <c r="K833" s="5"/>
      <c r="L833" s="5"/>
      <c r="M833" s="5"/>
      <c r="N833" s="5"/>
      <c r="O833" s="5"/>
      <c r="P833" s="57"/>
      <c r="Q833" s="5"/>
      <c r="R833" s="5"/>
      <c r="S833" s="5"/>
      <c r="T833" s="5"/>
      <c r="U833" s="5"/>
      <c r="V833" s="5"/>
      <c r="W833" s="5"/>
      <c r="X833" s="5"/>
      <c r="Y833" s="5"/>
      <c r="Z833" s="5"/>
      <c r="AA833" s="5"/>
    </row>
    <row r="834" spans="1:27" ht="12.75" customHeight="1">
      <c r="A834" s="5"/>
      <c r="B834" s="5"/>
      <c r="C834" s="5"/>
      <c r="D834" s="5"/>
      <c r="E834" s="5"/>
      <c r="F834" s="5"/>
      <c r="G834" s="5"/>
      <c r="H834" s="306"/>
      <c r="I834" s="306"/>
      <c r="J834" s="5"/>
      <c r="K834" s="5"/>
      <c r="L834" s="5"/>
      <c r="M834" s="5"/>
      <c r="N834" s="5"/>
      <c r="O834" s="5"/>
      <c r="P834" s="57"/>
      <c r="Q834" s="5"/>
      <c r="R834" s="5"/>
      <c r="S834" s="5"/>
      <c r="T834" s="5"/>
      <c r="U834" s="5"/>
      <c r="V834" s="5"/>
      <c r="W834" s="5"/>
      <c r="X834" s="5"/>
      <c r="Y834" s="5"/>
      <c r="Z834" s="5"/>
      <c r="AA834" s="5"/>
    </row>
    <row r="835" spans="1:27" ht="12.75" customHeight="1">
      <c r="A835" s="5"/>
      <c r="B835" s="5"/>
      <c r="C835" s="5"/>
      <c r="D835" s="5"/>
      <c r="E835" s="5"/>
      <c r="F835" s="5"/>
      <c r="G835" s="5"/>
      <c r="H835" s="306"/>
      <c r="I835" s="306"/>
      <c r="J835" s="5"/>
      <c r="K835" s="5"/>
      <c r="L835" s="5"/>
      <c r="M835" s="5"/>
      <c r="N835" s="5"/>
      <c r="O835" s="5"/>
      <c r="P835" s="57"/>
      <c r="Q835" s="5"/>
      <c r="R835" s="5"/>
      <c r="S835" s="5"/>
      <c r="T835" s="5"/>
      <c r="U835" s="5"/>
      <c r="V835" s="5"/>
      <c r="W835" s="5"/>
      <c r="X835" s="5"/>
      <c r="Y835" s="5"/>
      <c r="Z835" s="5"/>
      <c r="AA835" s="5"/>
    </row>
    <row r="836" spans="1:27" ht="12.75" customHeight="1">
      <c r="A836" s="5"/>
      <c r="B836" s="5"/>
      <c r="C836" s="5"/>
      <c r="D836" s="5"/>
      <c r="E836" s="5"/>
      <c r="F836" s="5"/>
      <c r="G836" s="5"/>
      <c r="H836" s="306"/>
      <c r="I836" s="306"/>
      <c r="J836" s="5"/>
      <c r="K836" s="5"/>
      <c r="L836" s="5"/>
      <c r="M836" s="5"/>
      <c r="N836" s="5"/>
      <c r="O836" s="5"/>
      <c r="P836" s="57"/>
      <c r="Q836" s="5"/>
      <c r="R836" s="5"/>
      <c r="S836" s="5"/>
      <c r="T836" s="5"/>
      <c r="U836" s="5"/>
      <c r="V836" s="5"/>
      <c r="W836" s="5"/>
      <c r="X836" s="5"/>
      <c r="Y836" s="5"/>
      <c r="Z836" s="5"/>
      <c r="AA836" s="5"/>
    </row>
    <row r="837" spans="1:27" ht="12.75" customHeight="1">
      <c r="A837" s="5"/>
      <c r="B837" s="5"/>
      <c r="C837" s="5"/>
      <c r="D837" s="5"/>
      <c r="E837" s="5"/>
      <c r="F837" s="5"/>
      <c r="G837" s="5"/>
      <c r="H837" s="306"/>
      <c r="I837" s="306"/>
      <c r="J837" s="5"/>
      <c r="K837" s="5"/>
      <c r="L837" s="5"/>
      <c r="M837" s="5"/>
      <c r="N837" s="5"/>
      <c r="O837" s="5"/>
      <c r="P837" s="57"/>
      <c r="Q837" s="5"/>
      <c r="R837" s="5"/>
      <c r="S837" s="5"/>
      <c r="T837" s="5"/>
      <c r="U837" s="5"/>
      <c r="V837" s="5"/>
      <c r="W837" s="5"/>
      <c r="X837" s="5"/>
      <c r="Y837" s="5"/>
      <c r="Z837" s="5"/>
      <c r="AA837" s="5"/>
    </row>
    <row r="838" spans="1:27" ht="12.75" customHeight="1">
      <c r="A838" s="5"/>
      <c r="B838" s="5"/>
      <c r="C838" s="5"/>
      <c r="D838" s="5"/>
      <c r="E838" s="5"/>
      <c r="F838" s="5"/>
      <c r="G838" s="5"/>
      <c r="H838" s="306"/>
      <c r="I838" s="306"/>
      <c r="J838" s="5"/>
      <c r="K838" s="5"/>
      <c r="L838" s="5"/>
      <c r="M838" s="5"/>
      <c r="N838" s="5"/>
      <c r="O838" s="5"/>
      <c r="P838" s="57"/>
      <c r="Q838" s="5"/>
      <c r="R838" s="5"/>
      <c r="S838" s="5"/>
      <c r="T838" s="5"/>
      <c r="U838" s="5"/>
      <c r="V838" s="5"/>
      <c r="W838" s="5"/>
      <c r="X838" s="5"/>
      <c r="Y838" s="5"/>
      <c r="Z838" s="5"/>
      <c r="AA838" s="5"/>
    </row>
    <row r="839" spans="1:27" ht="12.75" customHeight="1">
      <c r="A839" s="5"/>
      <c r="B839" s="5"/>
      <c r="C839" s="5"/>
      <c r="D839" s="5"/>
      <c r="E839" s="5"/>
      <c r="F839" s="5"/>
      <c r="G839" s="5"/>
      <c r="H839" s="306"/>
      <c r="I839" s="306"/>
      <c r="J839" s="5"/>
      <c r="K839" s="5"/>
      <c r="L839" s="5"/>
      <c r="M839" s="5"/>
      <c r="N839" s="5"/>
      <c r="O839" s="5"/>
      <c r="P839" s="57"/>
      <c r="Q839" s="5"/>
      <c r="R839" s="5"/>
      <c r="S839" s="5"/>
      <c r="T839" s="5"/>
      <c r="U839" s="5"/>
      <c r="V839" s="5"/>
      <c r="W839" s="5"/>
      <c r="X839" s="5"/>
      <c r="Y839" s="5"/>
      <c r="Z839" s="5"/>
      <c r="AA839" s="5"/>
    </row>
    <row r="840" spans="1:27" ht="12.75" customHeight="1">
      <c r="A840" s="5"/>
      <c r="B840" s="5"/>
      <c r="C840" s="5"/>
      <c r="D840" s="5"/>
      <c r="E840" s="5"/>
      <c r="F840" s="5"/>
      <c r="G840" s="5"/>
      <c r="H840" s="306"/>
      <c r="I840" s="306"/>
      <c r="J840" s="5"/>
      <c r="K840" s="5"/>
      <c r="L840" s="5"/>
      <c r="M840" s="5"/>
      <c r="N840" s="5"/>
      <c r="O840" s="5"/>
      <c r="P840" s="57"/>
      <c r="Q840" s="5"/>
      <c r="R840" s="5"/>
      <c r="S840" s="5"/>
      <c r="T840" s="5"/>
      <c r="U840" s="5"/>
      <c r="V840" s="5"/>
      <c r="W840" s="5"/>
      <c r="X840" s="5"/>
      <c r="Y840" s="5"/>
      <c r="Z840" s="5"/>
      <c r="AA840" s="5"/>
    </row>
    <row r="841" spans="1:27" ht="12.75" customHeight="1">
      <c r="A841" s="5"/>
      <c r="B841" s="5"/>
      <c r="C841" s="5"/>
      <c r="D841" s="5"/>
      <c r="E841" s="5"/>
      <c r="F841" s="5"/>
      <c r="G841" s="5"/>
      <c r="H841" s="306"/>
      <c r="I841" s="306"/>
      <c r="J841" s="5"/>
      <c r="K841" s="5"/>
      <c r="L841" s="5"/>
      <c r="M841" s="5"/>
      <c r="N841" s="5"/>
      <c r="O841" s="5"/>
      <c r="P841" s="57"/>
      <c r="Q841" s="5"/>
      <c r="R841" s="5"/>
      <c r="S841" s="5"/>
      <c r="T841" s="5"/>
      <c r="U841" s="5"/>
      <c r="V841" s="5"/>
      <c r="W841" s="5"/>
      <c r="X841" s="5"/>
      <c r="Y841" s="5"/>
      <c r="Z841" s="5"/>
      <c r="AA841" s="5"/>
    </row>
    <row r="842" spans="1:27" ht="12.75" customHeight="1">
      <c r="A842" s="5"/>
      <c r="B842" s="5"/>
      <c r="C842" s="5"/>
      <c r="D842" s="5"/>
      <c r="E842" s="5"/>
      <c r="F842" s="5"/>
      <c r="G842" s="5"/>
      <c r="H842" s="306"/>
      <c r="I842" s="306"/>
      <c r="J842" s="5"/>
      <c r="K842" s="5"/>
      <c r="L842" s="5"/>
      <c r="M842" s="5"/>
      <c r="N842" s="5"/>
      <c r="O842" s="5"/>
      <c r="P842" s="57"/>
      <c r="Q842" s="5"/>
      <c r="R842" s="5"/>
      <c r="S842" s="5"/>
      <c r="T842" s="5"/>
      <c r="U842" s="5"/>
      <c r="V842" s="5"/>
      <c r="W842" s="5"/>
      <c r="X842" s="5"/>
      <c r="Y842" s="5"/>
      <c r="Z842" s="5"/>
      <c r="AA842" s="5"/>
    </row>
    <row r="843" spans="1:27" ht="12.75" customHeight="1">
      <c r="A843" s="5"/>
      <c r="B843" s="5"/>
      <c r="C843" s="5"/>
      <c r="D843" s="5"/>
      <c r="E843" s="5"/>
      <c r="F843" s="5"/>
      <c r="G843" s="5"/>
      <c r="H843" s="306"/>
      <c r="I843" s="306"/>
      <c r="J843" s="5"/>
      <c r="K843" s="5"/>
      <c r="L843" s="5"/>
      <c r="M843" s="5"/>
      <c r="N843" s="5"/>
      <c r="O843" s="5"/>
      <c r="P843" s="57"/>
      <c r="Q843" s="5"/>
      <c r="R843" s="5"/>
      <c r="S843" s="5"/>
      <c r="T843" s="5"/>
      <c r="U843" s="5"/>
      <c r="V843" s="5"/>
      <c r="W843" s="5"/>
      <c r="X843" s="5"/>
      <c r="Y843" s="5"/>
      <c r="Z843" s="5"/>
      <c r="AA843" s="5"/>
    </row>
    <row r="844" spans="1:27" ht="12.75" customHeight="1">
      <c r="A844" s="5"/>
      <c r="B844" s="5"/>
      <c r="C844" s="5"/>
      <c r="D844" s="5"/>
      <c r="E844" s="5"/>
      <c r="F844" s="5"/>
      <c r="G844" s="5"/>
      <c r="H844" s="306"/>
      <c r="I844" s="306"/>
      <c r="J844" s="5"/>
      <c r="K844" s="5"/>
      <c r="L844" s="5"/>
      <c r="M844" s="5"/>
      <c r="N844" s="5"/>
      <c r="O844" s="5"/>
      <c r="P844" s="57"/>
      <c r="Q844" s="5"/>
      <c r="R844" s="5"/>
      <c r="S844" s="5"/>
      <c r="T844" s="5"/>
      <c r="U844" s="5"/>
      <c r="V844" s="5"/>
      <c r="W844" s="5"/>
      <c r="X844" s="5"/>
      <c r="Y844" s="5"/>
      <c r="Z844" s="5"/>
      <c r="AA844" s="5"/>
    </row>
    <row r="845" spans="1:27" ht="12.75" customHeight="1">
      <c r="A845" s="5"/>
      <c r="B845" s="5"/>
      <c r="C845" s="5"/>
      <c r="D845" s="5"/>
      <c r="E845" s="5"/>
      <c r="F845" s="5"/>
      <c r="G845" s="5"/>
      <c r="H845" s="306"/>
      <c r="I845" s="306"/>
      <c r="J845" s="5"/>
      <c r="K845" s="5"/>
      <c r="L845" s="5"/>
      <c r="M845" s="5"/>
      <c r="N845" s="5"/>
      <c r="O845" s="5"/>
      <c r="P845" s="57"/>
      <c r="Q845" s="5"/>
      <c r="R845" s="5"/>
      <c r="S845" s="5"/>
      <c r="T845" s="5"/>
      <c r="U845" s="5"/>
      <c r="V845" s="5"/>
      <c r="W845" s="5"/>
      <c r="X845" s="5"/>
      <c r="Y845" s="5"/>
      <c r="Z845" s="5"/>
      <c r="AA845" s="5"/>
    </row>
    <row r="846" spans="1:27" ht="12.75" customHeight="1">
      <c r="A846" s="5"/>
      <c r="B846" s="5"/>
      <c r="C846" s="5"/>
      <c r="D846" s="5"/>
      <c r="E846" s="5"/>
      <c r="F846" s="5"/>
      <c r="G846" s="5"/>
      <c r="H846" s="306"/>
      <c r="I846" s="306"/>
      <c r="J846" s="5"/>
      <c r="K846" s="5"/>
      <c r="L846" s="5"/>
      <c r="M846" s="5"/>
      <c r="N846" s="5"/>
      <c r="O846" s="5"/>
      <c r="P846" s="57"/>
      <c r="Q846" s="5"/>
      <c r="R846" s="5"/>
      <c r="S846" s="5"/>
      <c r="T846" s="5"/>
      <c r="U846" s="5"/>
      <c r="V846" s="5"/>
      <c r="W846" s="5"/>
      <c r="X846" s="5"/>
      <c r="Y846" s="5"/>
      <c r="Z846" s="5"/>
      <c r="AA846" s="5"/>
    </row>
    <row r="847" spans="1:27" ht="12.75" customHeight="1">
      <c r="A847" s="5"/>
      <c r="B847" s="5"/>
      <c r="C847" s="5"/>
      <c r="D847" s="5"/>
      <c r="E847" s="5"/>
      <c r="F847" s="5"/>
      <c r="G847" s="5"/>
      <c r="H847" s="306"/>
      <c r="I847" s="306"/>
      <c r="J847" s="5"/>
      <c r="K847" s="5"/>
      <c r="L847" s="5"/>
      <c r="M847" s="5"/>
      <c r="N847" s="5"/>
      <c r="O847" s="5"/>
      <c r="P847" s="57"/>
      <c r="Q847" s="5"/>
      <c r="R847" s="5"/>
      <c r="S847" s="5"/>
      <c r="T847" s="5"/>
      <c r="U847" s="5"/>
      <c r="V847" s="5"/>
      <c r="W847" s="5"/>
      <c r="X847" s="5"/>
      <c r="Y847" s="5"/>
      <c r="Z847" s="5"/>
      <c r="AA847" s="5"/>
    </row>
    <row r="848" spans="1:27" ht="12.75" customHeight="1">
      <c r="A848" s="5"/>
      <c r="B848" s="5"/>
      <c r="C848" s="5"/>
      <c r="D848" s="5"/>
      <c r="E848" s="5"/>
      <c r="F848" s="5"/>
      <c r="G848" s="5"/>
      <c r="H848" s="306"/>
      <c r="I848" s="306"/>
      <c r="J848" s="5"/>
      <c r="K848" s="5"/>
      <c r="L848" s="5"/>
      <c r="M848" s="5"/>
      <c r="N848" s="5"/>
      <c r="O848" s="5"/>
      <c r="P848" s="57"/>
      <c r="Q848" s="5"/>
      <c r="R848" s="5"/>
      <c r="S848" s="5"/>
      <c r="T848" s="5"/>
      <c r="U848" s="5"/>
      <c r="V848" s="5"/>
      <c r="W848" s="5"/>
      <c r="X848" s="5"/>
      <c r="Y848" s="5"/>
      <c r="Z848" s="5"/>
      <c r="AA848" s="5"/>
    </row>
    <row r="849" spans="1:27" ht="12.75" customHeight="1">
      <c r="A849" s="5"/>
      <c r="B849" s="5"/>
      <c r="C849" s="5"/>
      <c r="D849" s="5"/>
      <c r="E849" s="5"/>
      <c r="F849" s="5"/>
      <c r="G849" s="5"/>
      <c r="H849" s="306"/>
      <c r="I849" s="306"/>
      <c r="J849" s="5"/>
      <c r="K849" s="5"/>
      <c r="L849" s="5"/>
      <c r="M849" s="5"/>
      <c r="N849" s="5"/>
      <c r="O849" s="5"/>
      <c r="P849" s="57"/>
      <c r="Q849" s="5"/>
      <c r="R849" s="5"/>
      <c r="S849" s="5"/>
      <c r="T849" s="5"/>
      <c r="U849" s="5"/>
      <c r="V849" s="5"/>
      <c r="W849" s="5"/>
      <c r="X849" s="5"/>
      <c r="Y849" s="5"/>
      <c r="Z849" s="5"/>
      <c r="AA849" s="5"/>
    </row>
    <row r="850" spans="1:27" ht="12.75" customHeight="1">
      <c r="A850" s="5"/>
      <c r="B850" s="5"/>
      <c r="C850" s="5"/>
      <c r="D850" s="5"/>
      <c r="E850" s="5"/>
      <c r="F850" s="5"/>
      <c r="G850" s="5"/>
      <c r="H850" s="306"/>
      <c r="I850" s="306"/>
      <c r="J850" s="5"/>
      <c r="K850" s="5"/>
      <c r="L850" s="5"/>
      <c r="M850" s="5"/>
      <c r="N850" s="5"/>
      <c r="O850" s="5"/>
      <c r="P850" s="57"/>
      <c r="Q850" s="5"/>
      <c r="R850" s="5"/>
      <c r="S850" s="5"/>
      <c r="T850" s="5"/>
      <c r="U850" s="5"/>
      <c r="V850" s="5"/>
      <c r="W850" s="5"/>
      <c r="X850" s="5"/>
      <c r="Y850" s="5"/>
      <c r="Z850" s="5"/>
      <c r="AA850" s="5"/>
    </row>
    <row r="851" spans="1:27" ht="12.75" customHeight="1">
      <c r="A851" s="5"/>
      <c r="B851" s="5"/>
      <c r="C851" s="5"/>
      <c r="D851" s="5"/>
      <c r="E851" s="5"/>
      <c r="F851" s="5"/>
      <c r="G851" s="5"/>
      <c r="H851" s="306"/>
      <c r="I851" s="306"/>
      <c r="J851" s="5"/>
      <c r="K851" s="5"/>
      <c r="L851" s="5"/>
      <c r="M851" s="5"/>
      <c r="N851" s="5"/>
      <c r="O851" s="5"/>
      <c r="P851" s="57"/>
      <c r="Q851" s="5"/>
      <c r="R851" s="5"/>
      <c r="S851" s="5"/>
      <c r="T851" s="5"/>
      <c r="U851" s="5"/>
      <c r="V851" s="5"/>
      <c r="W851" s="5"/>
      <c r="X851" s="5"/>
      <c r="Y851" s="5"/>
      <c r="Z851" s="5"/>
      <c r="AA851" s="5"/>
    </row>
    <row r="852" spans="1:27" ht="12.75" customHeight="1">
      <c r="A852" s="5"/>
      <c r="B852" s="5"/>
      <c r="C852" s="5"/>
      <c r="D852" s="5"/>
      <c r="E852" s="5"/>
      <c r="F852" s="5"/>
      <c r="G852" s="5"/>
      <c r="H852" s="306"/>
      <c r="I852" s="306"/>
      <c r="J852" s="5"/>
      <c r="K852" s="5"/>
      <c r="L852" s="5"/>
      <c r="M852" s="5"/>
      <c r="N852" s="5"/>
      <c r="O852" s="5"/>
      <c r="P852" s="57"/>
      <c r="Q852" s="5"/>
      <c r="R852" s="5"/>
      <c r="S852" s="5"/>
      <c r="T852" s="5"/>
      <c r="U852" s="5"/>
      <c r="V852" s="5"/>
      <c r="W852" s="5"/>
      <c r="X852" s="5"/>
      <c r="Y852" s="5"/>
      <c r="Z852" s="5"/>
      <c r="AA852" s="5"/>
    </row>
    <row r="853" spans="1:27" ht="12.75" customHeight="1">
      <c r="A853" s="5"/>
      <c r="B853" s="5"/>
      <c r="C853" s="5"/>
      <c r="D853" s="5"/>
      <c r="E853" s="5"/>
      <c r="F853" s="5"/>
      <c r="G853" s="5"/>
      <c r="H853" s="306"/>
      <c r="I853" s="306"/>
      <c r="J853" s="5"/>
      <c r="K853" s="5"/>
      <c r="L853" s="5"/>
      <c r="M853" s="5"/>
      <c r="N853" s="5"/>
      <c r="O853" s="5"/>
      <c r="P853" s="57"/>
      <c r="Q853" s="5"/>
      <c r="R853" s="5"/>
      <c r="S853" s="5"/>
      <c r="T853" s="5"/>
      <c r="U853" s="5"/>
      <c r="V853" s="5"/>
      <c r="W853" s="5"/>
      <c r="X853" s="5"/>
      <c r="Y853" s="5"/>
      <c r="Z853" s="5"/>
      <c r="AA853" s="5"/>
    </row>
    <row r="854" spans="1:27" ht="12.75" customHeight="1">
      <c r="A854" s="5"/>
      <c r="B854" s="5"/>
      <c r="C854" s="5"/>
      <c r="D854" s="5"/>
      <c r="E854" s="5"/>
      <c r="F854" s="5"/>
      <c r="G854" s="5"/>
      <c r="H854" s="306"/>
      <c r="I854" s="306"/>
      <c r="J854" s="5"/>
      <c r="K854" s="5"/>
      <c r="L854" s="5"/>
      <c r="M854" s="5"/>
      <c r="N854" s="5"/>
      <c r="O854" s="5"/>
      <c r="P854" s="57"/>
      <c r="Q854" s="5"/>
      <c r="R854" s="5"/>
      <c r="S854" s="5"/>
      <c r="T854" s="5"/>
      <c r="U854" s="5"/>
      <c r="V854" s="5"/>
      <c r="W854" s="5"/>
      <c r="X854" s="5"/>
      <c r="Y854" s="5"/>
      <c r="Z854" s="5"/>
      <c r="AA854" s="5"/>
    </row>
    <row r="855" spans="1:27" ht="12.75" customHeight="1">
      <c r="A855" s="5"/>
      <c r="B855" s="5"/>
      <c r="C855" s="5"/>
      <c r="D855" s="5"/>
      <c r="E855" s="5"/>
      <c r="F855" s="5"/>
      <c r="G855" s="5"/>
      <c r="H855" s="306"/>
      <c r="I855" s="306"/>
      <c r="J855" s="5"/>
      <c r="K855" s="5"/>
      <c r="L855" s="5"/>
      <c r="M855" s="5"/>
      <c r="N855" s="5"/>
      <c r="O855" s="5"/>
      <c r="P855" s="57"/>
      <c r="Q855" s="5"/>
      <c r="R855" s="5"/>
      <c r="S855" s="5"/>
      <c r="T855" s="5"/>
      <c r="U855" s="5"/>
      <c r="V855" s="5"/>
      <c r="W855" s="5"/>
      <c r="X855" s="5"/>
      <c r="Y855" s="5"/>
      <c r="Z855" s="5"/>
      <c r="AA855" s="5"/>
    </row>
    <row r="856" spans="1:27" ht="12.75" customHeight="1">
      <c r="A856" s="5"/>
      <c r="B856" s="5"/>
      <c r="C856" s="5"/>
      <c r="D856" s="5"/>
      <c r="E856" s="5"/>
      <c r="F856" s="5"/>
      <c r="G856" s="5"/>
      <c r="H856" s="306"/>
      <c r="I856" s="306"/>
      <c r="J856" s="5"/>
      <c r="K856" s="5"/>
      <c r="L856" s="5"/>
      <c r="M856" s="5"/>
      <c r="N856" s="5"/>
      <c r="O856" s="5"/>
      <c r="P856" s="57"/>
      <c r="Q856" s="5"/>
      <c r="R856" s="5"/>
      <c r="S856" s="5"/>
      <c r="T856" s="5"/>
      <c r="U856" s="5"/>
      <c r="V856" s="5"/>
      <c r="W856" s="5"/>
      <c r="X856" s="5"/>
      <c r="Y856" s="5"/>
      <c r="Z856" s="5"/>
      <c r="AA856" s="5"/>
    </row>
    <row r="857" spans="1:27" ht="12.75" customHeight="1">
      <c r="A857" s="5"/>
      <c r="B857" s="5"/>
      <c r="C857" s="5"/>
      <c r="D857" s="5"/>
      <c r="E857" s="5"/>
      <c r="F857" s="5"/>
      <c r="G857" s="5"/>
      <c r="H857" s="306"/>
      <c r="I857" s="306"/>
      <c r="J857" s="5"/>
      <c r="K857" s="5"/>
      <c r="L857" s="5"/>
      <c r="M857" s="5"/>
      <c r="N857" s="5"/>
      <c r="O857" s="5"/>
      <c r="P857" s="57"/>
      <c r="Q857" s="5"/>
      <c r="R857" s="5"/>
      <c r="S857" s="5"/>
      <c r="T857" s="5"/>
      <c r="U857" s="5"/>
      <c r="V857" s="5"/>
      <c r="W857" s="5"/>
      <c r="X857" s="5"/>
      <c r="Y857" s="5"/>
      <c r="Z857" s="5"/>
      <c r="AA857" s="5"/>
    </row>
    <row r="858" spans="1:27" ht="12.75" customHeight="1">
      <c r="A858" s="5"/>
      <c r="B858" s="5"/>
      <c r="C858" s="5"/>
      <c r="D858" s="5"/>
      <c r="E858" s="5"/>
      <c r="F858" s="5"/>
      <c r="G858" s="5"/>
      <c r="H858" s="306"/>
      <c r="I858" s="306"/>
      <c r="J858" s="5"/>
      <c r="K858" s="5"/>
      <c r="L858" s="5"/>
      <c r="M858" s="5"/>
      <c r="N858" s="5"/>
      <c r="O858" s="5"/>
      <c r="P858" s="57"/>
      <c r="Q858" s="5"/>
      <c r="R858" s="5"/>
      <c r="S858" s="5"/>
      <c r="T858" s="5"/>
      <c r="U858" s="5"/>
      <c r="V858" s="5"/>
      <c r="W858" s="5"/>
      <c r="X858" s="5"/>
      <c r="Y858" s="5"/>
      <c r="Z858" s="5"/>
      <c r="AA858" s="5"/>
    </row>
    <row r="859" spans="1:27" ht="12.75" customHeight="1">
      <c r="A859" s="5"/>
      <c r="B859" s="5"/>
      <c r="C859" s="5"/>
      <c r="D859" s="5"/>
      <c r="E859" s="5"/>
      <c r="F859" s="5"/>
      <c r="G859" s="5"/>
      <c r="H859" s="306"/>
      <c r="I859" s="306"/>
      <c r="J859" s="5"/>
      <c r="K859" s="5"/>
      <c r="L859" s="5"/>
      <c r="M859" s="5"/>
      <c r="N859" s="5"/>
      <c r="O859" s="5"/>
      <c r="P859" s="57"/>
      <c r="Q859" s="5"/>
      <c r="R859" s="5"/>
      <c r="S859" s="5"/>
      <c r="T859" s="5"/>
      <c r="U859" s="5"/>
      <c r="V859" s="5"/>
      <c r="W859" s="5"/>
      <c r="X859" s="5"/>
      <c r="Y859" s="5"/>
      <c r="Z859" s="5"/>
      <c r="AA859" s="5"/>
    </row>
    <row r="860" spans="1:27" ht="12.75" customHeight="1">
      <c r="A860" s="5"/>
      <c r="B860" s="5"/>
      <c r="C860" s="5"/>
      <c r="D860" s="5"/>
      <c r="E860" s="5"/>
      <c r="F860" s="5"/>
      <c r="G860" s="5"/>
      <c r="H860" s="306"/>
      <c r="I860" s="306"/>
      <c r="J860" s="5"/>
      <c r="K860" s="5"/>
      <c r="L860" s="5"/>
      <c r="M860" s="5"/>
      <c r="N860" s="5"/>
      <c r="O860" s="5"/>
      <c r="P860" s="57"/>
      <c r="Q860" s="5"/>
      <c r="R860" s="5"/>
      <c r="S860" s="5"/>
      <c r="T860" s="5"/>
      <c r="U860" s="5"/>
      <c r="V860" s="5"/>
      <c r="W860" s="5"/>
      <c r="X860" s="5"/>
      <c r="Y860" s="5"/>
      <c r="Z860" s="5"/>
      <c r="AA860" s="5"/>
    </row>
    <row r="861" spans="1:27" ht="12.75" customHeight="1">
      <c r="A861" s="5"/>
      <c r="B861" s="5"/>
      <c r="C861" s="5"/>
      <c r="D861" s="5"/>
      <c r="E861" s="5"/>
      <c r="F861" s="5"/>
      <c r="G861" s="5"/>
      <c r="H861" s="306"/>
      <c r="I861" s="306"/>
      <c r="J861" s="5"/>
      <c r="K861" s="5"/>
      <c r="L861" s="5"/>
      <c r="M861" s="5"/>
      <c r="N861" s="5"/>
      <c r="O861" s="5"/>
      <c r="P861" s="57"/>
      <c r="Q861" s="5"/>
      <c r="R861" s="5"/>
      <c r="S861" s="5"/>
      <c r="T861" s="5"/>
      <c r="U861" s="5"/>
      <c r="V861" s="5"/>
      <c r="W861" s="5"/>
      <c r="X861" s="5"/>
      <c r="Y861" s="5"/>
      <c r="Z861" s="5"/>
      <c r="AA861" s="5"/>
    </row>
    <row r="862" spans="1:27" ht="12.75" customHeight="1">
      <c r="A862" s="5"/>
      <c r="B862" s="5"/>
      <c r="C862" s="5"/>
      <c r="D862" s="5"/>
      <c r="E862" s="5"/>
      <c r="F862" s="5"/>
      <c r="G862" s="5"/>
      <c r="H862" s="306"/>
      <c r="I862" s="306"/>
      <c r="J862" s="5"/>
      <c r="K862" s="5"/>
      <c r="L862" s="5"/>
      <c r="M862" s="5"/>
      <c r="N862" s="5"/>
      <c r="O862" s="5"/>
      <c r="P862" s="57"/>
      <c r="Q862" s="5"/>
      <c r="R862" s="5"/>
      <c r="S862" s="5"/>
      <c r="T862" s="5"/>
      <c r="U862" s="5"/>
      <c r="V862" s="5"/>
      <c r="W862" s="5"/>
      <c r="X862" s="5"/>
      <c r="Y862" s="5"/>
      <c r="Z862" s="5"/>
      <c r="AA862" s="5"/>
    </row>
    <row r="863" spans="1:27" ht="12.75" customHeight="1">
      <c r="A863" s="5"/>
      <c r="B863" s="5"/>
      <c r="C863" s="5"/>
      <c r="D863" s="5"/>
      <c r="E863" s="5"/>
      <c r="F863" s="5"/>
      <c r="G863" s="5"/>
      <c r="H863" s="306"/>
      <c r="I863" s="306"/>
      <c r="J863" s="5"/>
      <c r="K863" s="5"/>
      <c r="L863" s="5"/>
      <c r="M863" s="5"/>
      <c r="N863" s="5"/>
      <c r="O863" s="5"/>
      <c r="P863" s="57"/>
      <c r="Q863" s="5"/>
      <c r="R863" s="5"/>
      <c r="S863" s="5"/>
      <c r="T863" s="5"/>
      <c r="U863" s="5"/>
      <c r="V863" s="5"/>
      <c r="W863" s="5"/>
      <c r="X863" s="5"/>
      <c r="Y863" s="5"/>
      <c r="Z863" s="5"/>
      <c r="AA863" s="5"/>
    </row>
    <row r="864" spans="1:27" ht="12.75" customHeight="1">
      <c r="A864" s="5"/>
      <c r="B864" s="5"/>
      <c r="C864" s="5"/>
      <c r="D864" s="5"/>
      <c r="E864" s="5"/>
      <c r="F864" s="5"/>
      <c r="G864" s="5"/>
      <c r="H864" s="306"/>
      <c r="I864" s="306"/>
      <c r="J864" s="5"/>
      <c r="K864" s="5"/>
      <c r="L864" s="5"/>
      <c r="M864" s="5"/>
      <c r="N864" s="5"/>
      <c r="O864" s="5"/>
      <c r="P864" s="57"/>
      <c r="Q864" s="5"/>
      <c r="R864" s="5"/>
      <c r="S864" s="5"/>
      <c r="T864" s="5"/>
      <c r="U864" s="5"/>
      <c r="V864" s="5"/>
      <c r="W864" s="5"/>
      <c r="X864" s="5"/>
      <c r="Y864" s="5"/>
      <c r="Z864" s="5"/>
      <c r="AA864" s="5"/>
    </row>
    <row r="865" spans="1:27" ht="12.75" customHeight="1">
      <c r="A865" s="5"/>
      <c r="B865" s="5"/>
      <c r="C865" s="5"/>
      <c r="D865" s="5"/>
      <c r="E865" s="5"/>
      <c r="F865" s="5"/>
      <c r="G865" s="5"/>
      <c r="H865" s="306"/>
      <c r="I865" s="306"/>
      <c r="J865" s="5"/>
      <c r="K865" s="5"/>
      <c r="L865" s="5"/>
      <c r="M865" s="5"/>
      <c r="N865" s="5"/>
      <c r="O865" s="5"/>
      <c r="P865" s="57"/>
      <c r="Q865" s="5"/>
      <c r="R865" s="5"/>
      <c r="S865" s="5"/>
      <c r="T865" s="5"/>
      <c r="U865" s="5"/>
      <c r="V865" s="5"/>
      <c r="W865" s="5"/>
      <c r="X865" s="5"/>
      <c r="Y865" s="5"/>
      <c r="Z865" s="5"/>
      <c r="AA865" s="5"/>
    </row>
    <row r="866" spans="1:27" ht="12.75" customHeight="1">
      <c r="A866" s="5"/>
      <c r="B866" s="5"/>
      <c r="C866" s="5"/>
      <c r="D866" s="5"/>
      <c r="E866" s="5"/>
      <c r="F866" s="5"/>
      <c r="G866" s="5"/>
      <c r="H866" s="306"/>
      <c r="I866" s="306"/>
      <c r="J866" s="5"/>
      <c r="K866" s="5"/>
      <c r="L866" s="5"/>
      <c r="M866" s="5"/>
      <c r="N866" s="5"/>
      <c r="O866" s="5"/>
      <c r="P866" s="57"/>
      <c r="Q866" s="5"/>
      <c r="R866" s="5"/>
      <c r="S866" s="5"/>
      <c r="T866" s="5"/>
      <c r="U866" s="5"/>
      <c r="V866" s="5"/>
      <c r="W866" s="5"/>
      <c r="X866" s="5"/>
      <c r="Y866" s="5"/>
      <c r="Z866" s="5"/>
      <c r="AA866" s="5"/>
    </row>
    <row r="867" spans="1:27" ht="12.75" customHeight="1">
      <c r="A867" s="5"/>
      <c r="B867" s="5"/>
      <c r="C867" s="5"/>
      <c r="D867" s="5"/>
      <c r="E867" s="5"/>
      <c r="F867" s="5"/>
      <c r="G867" s="5"/>
      <c r="H867" s="306"/>
      <c r="I867" s="306"/>
      <c r="J867" s="5"/>
      <c r="K867" s="5"/>
      <c r="L867" s="5"/>
      <c r="M867" s="5"/>
      <c r="N867" s="5"/>
      <c r="O867" s="5"/>
      <c r="P867" s="57"/>
      <c r="Q867" s="5"/>
      <c r="R867" s="5"/>
      <c r="S867" s="5"/>
      <c r="T867" s="5"/>
      <c r="U867" s="5"/>
      <c r="V867" s="5"/>
      <c r="W867" s="5"/>
      <c r="X867" s="5"/>
      <c r="Y867" s="5"/>
      <c r="Z867" s="5"/>
      <c r="AA867" s="5"/>
    </row>
    <row r="868" spans="1:27" ht="12.75" customHeight="1">
      <c r="A868" s="5"/>
      <c r="B868" s="5"/>
      <c r="C868" s="5"/>
      <c r="D868" s="5"/>
      <c r="E868" s="5"/>
      <c r="F868" s="5"/>
      <c r="G868" s="5"/>
      <c r="H868" s="306"/>
      <c r="I868" s="306"/>
      <c r="J868" s="5"/>
      <c r="K868" s="5"/>
      <c r="L868" s="5"/>
      <c r="M868" s="5"/>
      <c r="N868" s="5"/>
      <c r="O868" s="5"/>
      <c r="P868" s="57"/>
      <c r="Q868" s="5"/>
      <c r="R868" s="5"/>
      <c r="S868" s="5"/>
      <c r="T868" s="5"/>
      <c r="U868" s="5"/>
      <c r="V868" s="5"/>
      <c r="W868" s="5"/>
      <c r="X868" s="5"/>
      <c r="Y868" s="5"/>
      <c r="Z868" s="5"/>
      <c r="AA868" s="5"/>
    </row>
    <row r="869" spans="1:27" ht="12.75" customHeight="1">
      <c r="A869" s="5"/>
      <c r="B869" s="5"/>
      <c r="C869" s="5"/>
      <c r="D869" s="5"/>
      <c r="E869" s="5"/>
      <c r="F869" s="5"/>
      <c r="G869" s="5"/>
      <c r="H869" s="306"/>
      <c r="I869" s="306"/>
      <c r="J869" s="5"/>
      <c r="K869" s="5"/>
      <c r="L869" s="5"/>
      <c r="M869" s="5"/>
      <c r="N869" s="5"/>
      <c r="O869" s="5"/>
      <c r="P869" s="57"/>
      <c r="Q869" s="5"/>
      <c r="R869" s="5"/>
      <c r="S869" s="5"/>
      <c r="T869" s="5"/>
      <c r="U869" s="5"/>
      <c r="V869" s="5"/>
      <c r="W869" s="5"/>
      <c r="X869" s="5"/>
      <c r="Y869" s="5"/>
      <c r="Z869" s="5"/>
      <c r="AA869" s="5"/>
    </row>
    <row r="870" spans="1:27" ht="12.75" customHeight="1">
      <c r="A870" s="5"/>
      <c r="B870" s="5"/>
      <c r="C870" s="5"/>
      <c r="D870" s="5"/>
      <c r="E870" s="5"/>
      <c r="F870" s="5"/>
      <c r="G870" s="5"/>
      <c r="H870" s="306"/>
      <c r="I870" s="306"/>
      <c r="J870" s="5"/>
      <c r="K870" s="5"/>
      <c r="L870" s="5"/>
      <c r="M870" s="5"/>
      <c r="N870" s="5"/>
      <c r="O870" s="5"/>
      <c r="P870" s="57"/>
      <c r="Q870" s="5"/>
      <c r="R870" s="5"/>
      <c r="S870" s="5"/>
      <c r="T870" s="5"/>
      <c r="U870" s="5"/>
      <c r="V870" s="5"/>
      <c r="W870" s="5"/>
      <c r="X870" s="5"/>
      <c r="Y870" s="5"/>
      <c r="Z870" s="5"/>
      <c r="AA870" s="5"/>
    </row>
    <row r="871" spans="1:27" ht="12.75" customHeight="1">
      <c r="A871" s="5"/>
      <c r="B871" s="5"/>
      <c r="C871" s="5"/>
      <c r="D871" s="5"/>
      <c r="E871" s="5"/>
      <c r="F871" s="5"/>
      <c r="G871" s="5"/>
      <c r="H871" s="306"/>
      <c r="I871" s="306"/>
      <c r="J871" s="5"/>
      <c r="K871" s="5"/>
      <c r="L871" s="5"/>
      <c r="M871" s="5"/>
      <c r="N871" s="5"/>
      <c r="O871" s="5"/>
      <c r="P871" s="57"/>
      <c r="Q871" s="5"/>
      <c r="R871" s="5"/>
      <c r="S871" s="5"/>
      <c r="T871" s="5"/>
      <c r="U871" s="5"/>
      <c r="V871" s="5"/>
      <c r="W871" s="5"/>
      <c r="X871" s="5"/>
      <c r="Y871" s="5"/>
      <c r="Z871" s="5"/>
      <c r="AA871" s="5"/>
    </row>
    <row r="872" spans="1:27" ht="12.75" customHeight="1">
      <c r="A872" s="5"/>
      <c r="B872" s="5"/>
      <c r="C872" s="5"/>
      <c r="D872" s="5"/>
      <c r="E872" s="5"/>
      <c r="F872" s="5"/>
      <c r="G872" s="5"/>
      <c r="H872" s="306"/>
      <c r="I872" s="306"/>
      <c r="J872" s="5"/>
      <c r="K872" s="5"/>
      <c r="L872" s="5"/>
      <c r="M872" s="5"/>
      <c r="N872" s="5"/>
      <c r="O872" s="5"/>
      <c r="P872" s="57"/>
      <c r="Q872" s="5"/>
      <c r="R872" s="5"/>
      <c r="S872" s="5"/>
      <c r="T872" s="5"/>
      <c r="U872" s="5"/>
      <c r="V872" s="5"/>
      <c r="W872" s="5"/>
      <c r="X872" s="5"/>
      <c r="Y872" s="5"/>
      <c r="Z872" s="5"/>
      <c r="AA872" s="5"/>
    </row>
    <row r="873" spans="1:27" ht="12.75" customHeight="1">
      <c r="A873" s="5"/>
      <c r="B873" s="5"/>
      <c r="C873" s="5"/>
      <c r="D873" s="5"/>
      <c r="E873" s="5"/>
      <c r="F873" s="5"/>
      <c r="G873" s="5"/>
      <c r="H873" s="306"/>
      <c r="I873" s="306"/>
      <c r="J873" s="5"/>
      <c r="K873" s="5"/>
      <c r="L873" s="5"/>
      <c r="M873" s="5"/>
      <c r="N873" s="5"/>
      <c r="O873" s="5"/>
      <c r="P873" s="57"/>
      <c r="Q873" s="5"/>
      <c r="R873" s="5"/>
      <c r="S873" s="5"/>
      <c r="T873" s="5"/>
      <c r="U873" s="5"/>
      <c r="V873" s="5"/>
      <c r="W873" s="5"/>
      <c r="X873" s="5"/>
      <c r="Y873" s="5"/>
      <c r="Z873" s="5"/>
      <c r="AA873" s="5"/>
    </row>
    <row r="874" spans="1:27" ht="12.75" customHeight="1">
      <c r="A874" s="5"/>
      <c r="B874" s="5"/>
      <c r="C874" s="5"/>
      <c r="D874" s="5"/>
      <c r="E874" s="5"/>
      <c r="F874" s="5"/>
      <c r="G874" s="5"/>
      <c r="H874" s="306"/>
      <c r="I874" s="306"/>
      <c r="J874" s="5"/>
      <c r="K874" s="5"/>
      <c r="L874" s="5"/>
      <c r="M874" s="5"/>
      <c r="N874" s="5"/>
      <c r="O874" s="5"/>
      <c r="P874" s="57"/>
      <c r="Q874" s="5"/>
      <c r="R874" s="5"/>
      <c r="S874" s="5"/>
      <c r="T874" s="5"/>
      <c r="U874" s="5"/>
      <c r="V874" s="5"/>
      <c r="W874" s="5"/>
      <c r="X874" s="5"/>
      <c r="Y874" s="5"/>
      <c r="Z874" s="5"/>
      <c r="AA874" s="5"/>
    </row>
    <row r="875" spans="1:27" ht="12.75" customHeight="1">
      <c r="A875" s="5"/>
      <c r="B875" s="5"/>
      <c r="C875" s="5"/>
      <c r="D875" s="5"/>
      <c r="E875" s="5"/>
      <c r="F875" s="5"/>
      <c r="G875" s="5"/>
      <c r="H875" s="306"/>
      <c r="I875" s="306"/>
      <c r="J875" s="5"/>
      <c r="K875" s="5"/>
      <c r="L875" s="5"/>
      <c r="M875" s="5"/>
      <c r="N875" s="5"/>
      <c r="O875" s="5"/>
      <c r="P875" s="57"/>
      <c r="Q875" s="5"/>
      <c r="R875" s="5"/>
      <c r="S875" s="5"/>
      <c r="T875" s="5"/>
      <c r="U875" s="5"/>
      <c r="V875" s="5"/>
      <c r="W875" s="5"/>
      <c r="X875" s="5"/>
      <c r="Y875" s="5"/>
      <c r="Z875" s="5"/>
      <c r="AA875" s="5"/>
    </row>
    <row r="876" spans="1:27" ht="12.75" customHeight="1">
      <c r="A876" s="5"/>
      <c r="B876" s="5"/>
      <c r="C876" s="5"/>
      <c r="D876" s="5"/>
      <c r="E876" s="5"/>
      <c r="F876" s="5"/>
      <c r="G876" s="5"/>
      <c r="H876" s="306"/>
      <c r="I876" s="306"/>
      <c r="J876" s="5"/>
      <c r="K876" s="5"/>
      <c r="L876" s="5"/>
      <c r="M876" s="5"/>
      <c r="N876" s="5"/>
      <c r="O876" s="5"/>
      <c r="P876" s="57"/>
      <c r="Q876" s="5"/>
      <c r="R876" s="5"/>
      <c r="S876" s="5"/>
      <c r="T876" s="5"/>
      <c r="U876" s="5"/>
      <c r="V876" s="5"/>
      <c r="W876" s="5"/>
      <c r="X876" s="5"/>
      <c r="Y876" s="5"/>
      <c r="Z876" s="5"/>
      <c r="AA876" s="5"/>
    </row>
    <row r="877" spans="1:27" ht="12.75" customHeight="1">
      <c r="A877" s="5"/>
      <c r="B877" s="5"/>
      <c r="C877" s="5"/>
      <c r="D877" s="5"/>
      <c r="E877" s="5"/>
      <c r="F877" s="5"/>
      <c r="G877" s="5"/>
      <c r="H877" s="306"/>
      <c r="I877" s="306"/>
      <c r="J877" s="5"/>
      <c r="K877" s="5"/>
      <c r="L877" s="5"/>
      <c r="M877" s="5"/>
      <c r="N877" s="5"/>
      <c r="O877" s="5"/>
      <c r="P877" s="57"/>
      <c r="Q877" s="5"/>
      <c r="R877" s="5"/>
      <c r="S877" s="5"/>
      <c r="T877" s="5"/>
      <c r="U877" s="5"/>
      <c r="V877" s="5"/>
      <c r="W877" s="5"/>
      <c r="X877" s="5"/>
      <c r="Y877" s="5"/>
      <c r="Z877" s="5"/>
      <c r="AA877" s="5"/>
    </row>
    <row r="878" spans="1:27" ht="12.75" customHeight="1">
      <c r="A878" s="5"/>
      <c r="B878" s="5"/>
      <c r="C878" s="5"/>
      <c r="D878" s="5"/>
      <c r="E878" s="5"/>
      <c r="F878" s="5"/>
      <c r="G878" s="5"/>
      <c r="H878" s="306"/>
      <c r="I878" s="306"/>
      <c r="J878" s="5"/>
      <c r="K878" s="5"/>
      <c r="L878" s="5"/>
      <c r="M878" s="5"/>
      <c r="N878" s="5"/>
      <c r="O878" s="5"/>
      <c r="P878" s="57"/>
      <c r="Q878" s="5"/>
      <c r="R878" s="5"/>
      <c r="S878" s="5"/>
      <c r="T878" s="5"/>
      <c r="U878" s="5"/>
      <c r="V878" s="5"/>
      <c r="W878" s="5"/>
      <c r="X878" s="5"/>
      <c r="Y878" s="5"/>
      <c r="Z878" s="5"/>
      <c r="AA878" s="5"/>
    </row>
    <row r="879" spans="1:27" ht="12.75" customHeight="1">
      <c r="A879" s="5"/>
      <c r="B879" s="5"/>
      <c r="C879" s="5"/>
      <c r="D879" s="5"/>
      <c r="E879" s="5"/>
      <c r="F879" s="5"/>
      <c r="G879" s="5"/>
      <c r="H879" s="306"/>
      <c r="I879" s="306"/>
      <c r="J879" s="5"/>
      <c r="K879" s="5"/>
      <c r="L879" s="5"/>
      <c r="M879" s="5"/>
      <c r="N879" s="5"/>
      <c r="O879" s="5"/>
      <c r="P879" s="57"/>
      <c r="Q879" s="5"/>
      <c r="R879" s="5"/>
      <c r="S879" s="5"/>
      <c r="T879" s="5"/>
      <c r="U879" s="5"/>
      <c r="V879" s="5"/>
      <c r="W879" s="5"/>
      <c r="X879" s="5"/>
      <c r="Y879" s="5"/>
      <c r="Z879" s="5"/>
      <c r="AA879" s="5"/>
    </row>
    <row r="880" spans="1:27" ht="12.75" customHeight="1">
      <c r="A880" s="5"/>
      <c r="B880" s="5"/>
      <c r="C880" s="5"/>
      <c r="D880" s="5"/>
      <c r="E880" s="5"/>
      <c r="F880" s="5"/>
      <c r="G880" s="5"/>
      <c r="H880" s="306"/>
      <c r="I880" s="306"/>
      <c r="J880" s="5"/>
      <c r="K880" s="5"/>
      <c r="L880" s="5"/>
      <c r="M880" s="5"/>
      <c r="N880" s="5"/>
      <c r="O880" s="5"/>
      <c r="P880" s="57"/>
      <c r="Q880" s="5"/>
      <c r="R880" s="5"/>
      <c r="S880" s="5"/>
      <c r="T880" s="5"/>
      <c r="U880" s="5"/>
      <c r="V880" s="5"/>
      <c r="W880" s="5"/>
      <c r="X880" s="5"/>
      <c r="Y880" s="5"/>
      <c r="Z880" s="5"/>
      <c r="AA880" s="5"/>
    </row>
    <row r="881" spans="1:27" ht="12.75" customHeight="1">
      <c r="A881" s="5"/>
      <c r="B881" s="5"/>
      <c r="C881" s="5"/>
      <c r="D881" s="5"/>
      <c r="E881" s="5"/>
      <c r="F881" s="5"/>
      <c r="G881" s="5"/>
      <c r="H881" s="306"/>
      <c r="I881" s="306"/>
      <c r="J881" s="5"/>
      <c r="K881" s="5"/>
      <c r="L881" s="5"/>
      <c r="M881" s="5"/>
      <c r="N881" s="5"/>
      <c r="O881" s="5"/>
      <c r="P881" s="57"/>
      <c r="Q881" s="5"/>
      <c r="R881" s="5"/>
      <c r="S881" s="5"/>
      <c r="T881" s="5"/>
      <c r="U881" s="5"/>
      <c r="V881" s="5"/>
      <c r="W881" s="5"/>
      <c r="X881" s="5"/>
      <c r="Y881" s="5"/>
      <c r="Z881" s="5"/>
      <c r="AA881" s="5"/>
    </row>
    <row r="882" spans="1:27" ht="12.75" customHeight="1">
      <c r="A882" s="5"/>
      <c r="B882" s="5"/>
      <c r="C882" s="5"/>
      <c r="D882" s="5"/>
      <c r="E882" s="5"/>
      <c r="F882" s="5"/>
      <c r="G882" s="5"/>
      <c r="H882" s="306"/>
      <c r="I882" s="306"/>
      <c r="J882" s="5"/>
      <c r="K882" s="5"/>
      <c r="L882" s="5"/>
      <c r="M882" s="5"/>
      <c r="N882" s="5"/>
      <c r="O882" s="5"/>
      <c r="P882" s="57"/>
      <c r="Q882" s="5"/>
      <c r="R882" s="5"/>
      <c r="S882" s="5"/>
      <c r="T882" s="5"/>
      <c r="U882" s="5"/>
      <c r="V882" s="5"/>
      <c r="W882" s="5"/>
      <c r="X882" s="5"/>
      <c r="Y882" s="5"/>
      <c r="Z882" s="5"/>
      <c r="AA882" s="5"/>
    </row>
    <row r="883" spans="1:27" ht="12.75" customHeight="1">
      <c r="A883" s="5"/>
      <c r="B883" s="5"/>
      <c r="C883" s="5"/>
      <c r="D883" s="5"/>
      <c r="E883" s="5"/>
      <c r="F883" s="5"/>
      <c r="G883" s="5"/>
      <c r="H883" s="306"/>
      <c r="I883" s="306"/>
      <c r="J883" s="5"/>
      <c r="K883" s="5"/>
      <c r="L883" s="5"/>
      <c r="M883" s="5"/>
      <c r="N883" s="5"/>
      <c r="O883" s="5"/>
      <c r="P883" s="57"/>
      <c r="Q883" s="5"/>
      <c r="R883" s="5"/>
      <c r="S883" s="5"/>
      <c r="T883" s="5"/>
      <c r="U883" s="5"/>
      <c r="V883" s="5"/>
      <c r="W883" s="5"/>
      <c r="X883" s="5"/>
      <c r="Y883" s="5"/>
      <c r="Z883" s="5"/>
      <c r="AA883" s="5"/>
    </row>
    <row r="884" spans="1:27" ht="12.75" customHeight="1">
      <c r="A884" s="5"/>
      <c r="B884" s="5"/>
      <c r="C884" s="5"/>
      <c r="D884" s="5"/>
      <c r="E884" s="5"/>
      <c r="F884" s="5"/>
      <c r="G884" s="5"/>
      <c r="H884" s="306"/>
      <c r="I884" s="306"/>
      <c r="J884" s="5"/>
      <c r="K884" s="5"/>
      <c r="L884" s="5"/>
      <c r="M884" s="5"/>
      <c r="N884" s="5"/>
      <c r="O884" s="5"/>
      <c r="P884" s="57"/>
      <c r="Q884" s="5"/>
      <c r="R884" s="5"/>
      <c r="S884" s="5"/>
      <c r="T884" s="5"/>
      <c r="U884" s="5"/>
      <c r="V884" s="5"/>
      <c r="W884" s="5"/>
      <c r="X884" s="5"/>
      <c r="Y884" s="5"/>
      <c r="Z884" s="5"/>
      <c r="AA884" s="5"/>
    </row>
    <row r="885" spans="1:27" ht="12.75" customHeight="1">
      <c r="A885" s="5"/>
      <c r="B885" s="5"/>
      <c r="C885" s="5"/>
      <c r="D885" s="5"/>
      <c r="E885" s="5"/>
      <c r="F885" s="5"/>
      <c r="G885" s="5"/>
      <c r="H885" s="306"/>
      <c r="I885" s="306"/>
      <c r="J885" s="5"/>
      <c r="K885" s="5"/>
      <c r="L885" s="5"/>
      <c r="M885" s="5"/>
      <c r="N885" s="5"/>
      <c r="O885" s="5"/>
      <c r="P885" s="57"/>
      <c r="Q885" s="5"/>
      <c r="R885" s="5"/>
      <c r="S885" s="5"/>
      <c r="T885" s="5"/>
      <c r="U885" s="5"/>
      <c r="V885" s="5"/>
      <c r="W885" s="5"/>
      <c r="X885" s="5"/>
      <c r="Y885" s="5"/>
      <c r="Z885" s="5"/>
      <c r="AA885" s="5"/>
    </row>
    <row r="886" spans="1:27" ht="12.75" customHeight="1">
      <c r="A886" s="5"/>
      <c r="B886" s="5"/>
      <c r="C886" s="5"/>
      <c r="D886" s="5"/>
      <c r="E886" s="5"/>
      <c r="F886" s="5"/>
      <c r="G886" s="5"/>
      <c r="H886" s="306"/>
      <c r="I886" s="306"/>
      <c r="J886" s="5"/>
      <c r="K886" s="5"/>
      <c r="L886" s="5"/>
      <c r="M886" s="5"/>
      <c r="N886" s="5"/>
      <c r="O886" s="5"/>
      <c r="P886" s="57"/>
      <c r="Q886" s="5"/>
      <c r="R886" s="5"/>
      <c r="S886" s="5"/>
      <c r="T886" s="5"/>
      <c r="U886" s="5"/>
      <c r="V886" s="5"/>
      <c r="W886" s="5"/>
      <c r="X886" s="5"/>
      <c r="Y886" s="5"/>
      <c r="Z886" s="5"/>
      <c r="AA886" s="5"/>
    </row>
    <row r="887" spans="1:27" ht="12.75" customHeight="1">
      <c r="A887" s="5"/>
      <c r="B887" s="5"/>
      <c r="C887" s="5"/>
      <c r="D887" s="5"/>
      <c r="E887" s="5"/>
      <c r="F887" s="5"/>
      <c r="G887" s="5"/>
      <c r="H887" s="306"/>
      <c r="I887" s="306"/>
      <c r="J887" s="5"/>
      <c r="K887" s="5"/>
      <c r="L887" s="5"/>
      <c r="M887" s="5"/>
      <c r="N887" s="5"/>
      <c r="O887" s="5"/>
      <c r="P887" s="57"/>
      <c r="Q887" s="5"/>
      <c r="R887" s="5"/>
      <c r="S887" s="5"/>
      <c r="T887" s="5"/>
      <c r="U887" s="5"/>
      <c r="V887" s="5"/>
      <c r="W887" s="5"/>
      <c r="X887" s="5"/>
      <c r="Y887" s="5"/>
      <c r="Z887" s="5"/>
      <c r="AA887" s="5"/>
    </row>
    <row r="888" spans="1:27" ht="12.75" customHeight="1">
      <c r="A888" s="5"/>
      <c r="B888" s="5"/>
      <c r="C888" s="5"/>
      <c r="D888" s="5"/>
      <c r="E888" s="5"/>
      <c r="F888" s="5"/>
      <c r="G888" s="5"/>
      <c r="H888" s="306"/>
      <c r="I888" s="306"/>
      <c r="J888" s="5"/>
      <c r="K888" s="5"/>
      <c r="L888" s="5"/>
      <c r="M888" s="5"/>
      <c r="N888" s="5"/>
      <c r="O888" s="5"/>
      <c r="P888" s="57"/>
      <c r="Q888" s="5"/>
      <c r="R888" s="5"/>
      <c r="S888" s="5"/>
      <c r="T888" s="5"/>
      <c r="U888" s="5"/>
      <c r="V888" s="5"/>
      <c r="W888" s="5"/>
      <c r="X888" s="5"/>
      <c r="Y888" s="5"/>
      <c r="Z888" s="5"/>
      <c r="AA888" s="5"/>
    </row>
    <row r="889" spans="1:27" ht="12.75" customHeight="1">
      <c r="A889" s="5"/>
      <c r="B889" s="5"/>
      <c r="C889" s="5"/>
      <c r="D889" s="5"/>
      <c r="E889" s="5"/>
      <c r="F889" s="5"/>
      <c r="G889" s="5"/>
      <c r="H889" s="306"/>
      <c r="I889" s="306"/>
      <c r="J889" s="5"/>
      <c r="K889" s="5"/>
      <c r="L889" s="5"/>
      <c r="M889" s="5"/>
      <c r="N889" s="5"/>
      <c r="O889" s="5"/>
      <c r="P889" s="57"/>
      <c r="Q889" s="5"/>
      <c r="R889" s="5"/>
      <c r="S889" s="5"/>
      <c r="T889" s="5"/>
      <c r="U889" s="5"/>
      <c r="V889" s="5"/>
      <c r="W889" s="5"/>
      <c r="X889" s="5"/>
      <c r="Y889" s="5"/>
      <c r="Z889" s="5"/>
      <c r="AA889" s="5"/>
    </row>
    <row r="890" spans="1:27" ht="12.75" customHeight="1">
      <c r="A890" s="5"/>
      <c r="B890" s="5"/>
      <c r="C890" s="5"/>
      <c r="D890" s="5"/>
      <c r="E890" s="5"/>
      <c r="F890" s="5"/>
      <c r="G890" s="5"/>
      <c r="H890" s="306"/>
      <c r="I890" s="306"/>
      <c r="J890" s="5"/>
      <c r="K890" s="5"/>
      <c r="L890" s="5"/>
      <c r="M890" s="5"/>
      <c r="N890" s="5"/>
      <c r="O890" s="5"/>
      <c r="P890" s="57"/>
      <c r="Q890" s="5"/>
      <c r="R890" s="5"/>
      <c r="S890" s="5"/>
      <c r="T890" s="5"/>
      <c r="U890" s="5"/>
      <c r="V890" s="5"/>
      <c r="W890" s="5"/>
      <c r="X890" s="5"/>
      <c r="Y890" s="5"/>
      <c r="Z890" s="5"/>
      <c r="AA890" s="5"/>
    </row>
    <row r="891" spans="1:27" ht="12.75" customHeight="1">
      <c r="A891" s="5"/>
      <c r="B891" s="5"/>
      <c r="C891" s="5"/>
      <c r="D891" s="5"/>
      <c r="E891" s="5"/>
      <c r="F891" s="5"/>
      <c r="G891" s="5"/>
      <c r="H891" s="306"/>
      <c r="I891" s="306"/>
      <c r="J891" s="5"/>
      <c r="K891" s="5"/>
      <c r="L891" s="5"/>
      <c r="M891" s="5"/>
      <c r="N891" s="5"/>
      <c r="O891" s="5"/>
      <c r="P891" s="57"/>
      <c r="Q891" s="5"/>
      <c r="R891" s="5"/>
      <c r="S891" s="5"/>
      <c r="T891" s="5"/>
      <c r="U891" s="5"/>
      <c r="V891" s="5"/>
      <c r="W891" s="5"/>
      <c r="X891" s="5"/>
      <c r="Y891" s="5"/>
      <c r="Z891" s="5"/>
      <c r="AA891" s="5"/>
    </row>
    <row r="892" spans="1:27" ht="12.75" customHeight="1">
      <c r="A892" s="5"/>
      <c r="B892" s="5"/>
      <c r="C892" s="5"/>
      <c r="D892" s="5"/>
      <c r="E892" s="5"/>
      <c r="F892" s="5"/>
      <c r="G892" s="5"/>
      <c r="H892" s="306"/>
      <c r="I892" s="306"/>
      <c r="J892" s="5"/>
      <c r="K892" s="5"/>
      <c r="L892" s="5"/>
      <c r="M892" s="5"/>
      <c r="N892" s="5"/>
      <c r="O892" s="5"/>
      <c r="P892" s="57"/>
      <c r="Q892" s="5"/>
      <c r="R892" s="5"/>
      <c r="S892" s="5"/>
      <c r="T892" s="5"/>
      <c r="U892" s="5"/>
      <c r="V892" s="5"/>
      <c r="W892" s="5"/>
      <c r="X892" s="5"/>
      <c r="Y892" s="5"/>
      <c r="Z892" s="5"/>
      <c r="AA892" s="5"/>
    </row>
    <row r="893" spans="1:27" ht="12.75" customHeight="1">
      <c r="A893" s="5"/>
      <c r="B893" s="5"/>
      <c r="C893" s="5"/>
      <c r="D893" s="5"/>
      <c r="E893" s="5"/>
      <c r="F893" s="5"/>
      <c r="G893" s="5"/>
      <c r="H893" s="306"/>
      <c r="I893" s="306"/>
      <c r="J893" s="5"/>
      <c r="K893" s="5"/>
      <c r="L893" s="5"/>
      <c r="M893" s="5"/>
      <c r="N893" s="5"/>
      <c r="O893" s="5"/>
      <c r="P893" s="57"/>
      <c r="Q893" s="5"/>
      <c r="R893" s="5"/>
      <c r="S893" s="5"/>
      <c r="T893" s="5"/>
      <c r="U893" s="5"/>
      <c r="V893" s="5"/>
      <c r="W893" s="5"/>
      <c r="X893" s="5"/>
      <c r="Y893" s="5"/>
      <c r="Z893" s="5"/>
      <c r="AA893" s="5"/>
    </row>
    <row r="894" spans="1:27" ht="12.75" customHeight="1">
      <c r="A894" s="5"/>
      <c r="B894" s="5"/>
      <c r="C894" s="5"/>
      <c r="D894" s="5"/>
      <c r="E894" s="5"/>
      <c r="F894" s="5"/>
      <c r="G894" s="5"/>
      <c r="H894" s="306"/>
      <c r="I894" s="306"/>
      <c r="J894" s="5"/>
      <c r="K894" s="5"/>
      <c r="L894" s="5"/>
      <c r="M894" s="5"/>
      <c r="N894" s="5"/>
      <c r="O894" s="5"/>
      <c r="P894" s="57"/>
      <c r="Q894" s="5"/>
      <c r="R894" s="5"/>
      <c r="S894" s="5"/>
      <c r="T894" s="5"/>
      <c r="U894" s="5"/>
      <c r="V894" s="5"/>
      <c r="W894" s="5"/>
      <c r="X894" s="5"/>
      <c r="Y894" s="5"/>
      <c r="Z894" s="5"/>
      <c r="AA894" s="5"/>
    </row>
    <row r="895" spans="1:27" ht="12.75" customHeight="1">
      <c r="A895" s="5"/>
      <c r="B895" s="5"/>
      <c r="C895" s="5"/>
      <c r="D895" s="5"/>
      <c r="E895" s="5"/>
      <c r="F895" s="5"/>
      <c r="G895" s="5"/>
      <c r="H895" s="306"/>
      <c r="I895" s="306"/>
      <c r="J895" s="5"/>
      <c r="K895" s="5"/>
      <c r="L895" s="5"/>
      <c r="M895" s="5"/>
      <c r="N895" s="5"/>
      <c r="O895" s="5"/>
      <c r="P895" s="57"/>
      <c r="Q895" s="5"/>
      <c r="R895" s="5"/>
      <c r="S895" s="5"/>
      <c r="T895" s="5"/>
      <c r="U895" s="5"/>
      <c r="V895" s="5"/>
      <c r="W895" s="5"/>
      <c r="X895" s="5"/>
      <c r="Y895" s="5"/>
      <c r="Z895" s="5"/>
      <c r="AA895" s="5"/>
    </row>
    <row r="896" spans="1:27" ht="12.75" customHeight="1">
      <c r="A896" s="5"/>
      <c r="B896" s="5"/>
      <c r="C896" s="5"/>
      <c r="D896" s="5"/>
      <c r="E896" s="5"/>
      <c r="F896" s="5"/>
      <c r="G896" s="5"/>
      <c r="H896" s="306"/>
      <c r="I896" s="306"/>
      <c r="J896" s="5"/>
      <c r="K896" s="5"/>
      <c r="L896" s="5"/>
      <c r="M896" s="5"/>
      <c r="N896" s="5"/>
      <c r="O896" s="5"/>
      <c r="P896" s="57"/>
      <c r="Q896" s="5"/>
      <c r="R896" s="5"/>
      <c r="S896" s="5"/>
      <c r="T896" s="5"/>
      <c r="U896" s="5"/>
      <c r="V896" s="5"/>
      <c r="W896" s="5"/>
      <c r="X896" s="5"/>
      <c r="Y896" s="5"/>
      <c r="Z896" s="5"/>
      <c r="AA896" s="5"/>
    </row>
    <row r="897" spans="1:27" ht="12.75" customHeight="1">
      <c r="A897" s="5"/>
      <c r="B897" s="5"/>
      <c r="C897" s="5"/>
      <c r="D897" s="5"/>
      <c r="E897" s="5"/>
      <c r="F897" s="5"/>
      <c r="G897" s="5"/>
      <c r="H897" s="306"/>
      <c r="I897" s="306"/>
      <c r="J897" s="5"/>
      <c r="K897" s="5"/>
      <c r="L897" s="5"/>
      <c r="M897" s="5"/>
      <c r="N897" s="5"/>
      <c r="O897" s="5"/>
      <c r="P897" s="57"/>
      <c r="Q897" s="5"/>
      <c r="R897" s="5"/>
      <c r="S897" s="5"/>
      <c r="T897" s="5"/>
      <c r="U897" s="5"/>
      <c r="V897" s="5"/>
      <c r="W897" s="5"/>
      <c r="X897" s="5"/>
      <c r="Y897" s="5"/>
      <c r="Z897" s="5"/>
      <c r="AA897" s="5"/>
    </row>
    <row r="898" spans="1:27" ht="12.75" customHeight="1">
      <c r="A898" s="5"/>
      <c r="B898" s="5"/>
      <c r="C898" s="5"/>
      <c r="D898" s="5"/>
      <c r="E898" s="5"/>
      <c r="F898" s="5"/>
      <c r="G898" s="5"/>
      <c r="H898" s="306"/>
      <c r="I898" s="306"/>
      <c r="J898" s="5"/>
      <c r="K898" s="5"/>
      <c r="L898" s="5"/>
      <c r="M898" s="5"/>
      <c r="N898" s="5"/>
      <c r="O898" s="5"/>
      <c r="P898" s="57"/>
      <c r="Q898" s="5"/>
      <c r="R898" s="5"/>
      <c r="S898" s="5"/>
      <c r="T898" s="5"/>
      <c r="U898" s="5"/>
      <c r="V898" s="5"/>
      <c r="W898" s="5"/>
      <c r="X898" s="5"/>
      <c r="Y898" s="5"/>
      <c r="Z898" s="5"/>
      <c r="AA898" s="5"/>
    </row>
    <row r="899" spans="1:27" ht="12.75" customHeight="1">
      <c r="A899" s="5"/>
      <c r="B899" s="5"/>
      <c r="C899" s="5"/>
      <c r="D899" s="5"/>
      <c r="E899" s="5"/>
      <c r="F899" s="5"/>
      <c r="G899" s="5"/>
      <c r="H899" s="306"/>
      <c r="I899" s="306"/>
      <c r="J899" s="5"/>
      <c r="K899" s="5"/>
      <c r="L899" s="5"/>
      <c r="M899" s="5"/>
      <c r="N899" s="5"/>
      <c r="O899" s="5"/>
      <c r="P899" s="57"/>
      <c r="Q899" s="5"/>
      <c r="R899" s="5"/>
      <c r="S899" s="5"/>
      <c r="T899" s="5"/>
      <c r="U899" s="5"/>
      <c r="V899" s="5"/>
      <c r="W899" s="5"/>
      <c r="X899" s="5"/>
      <c r="Y899" s="5"/>
      <c r="Z899" s="5"/>
      <c r="AA899" s="5"/>
    </row>
    <row r="900" spans="1:27" ht="12.75" customHeight="1">
      <c r="A900" s="5"/>
      <c r="B900" s="5"/>
      <c r="C900" s="5"/>
      <c r="D900" s="5"/>
      <c r="E900" s="5"/>
      <c r="F900" s="5"/>
      <c r="G900" s="5"/>
      <c r="H900" s="306"/>
      <c r="I900" s="306"/>
      <c r="J900" s="5"/>
      <c r="K900" s="5"/>
      <c r="L900" s="5"/>
      <c r="M900" s="5"/>
      <c r="N900" s="5"/>
      <c r="O900" s="5"/>
      <c r="P900" s="57"/>
      <c r="Q900" s="5"/>
      <c r="R900" s="5"/>
      <c r="S900" s="5"/>
      <c r="T900" s="5"/>
      <c r="U900" s="5"/>
      <c r="V900" s="5"/>
      <c r="W900" s="5"/>
      <c r="X900" s="5"/>
      <c r="Y900" s="5"/>
      <c r="Z900" s="5"/>
      <c r="AA900" s="5"/>
    </row>
    <row r="901" spans="1:27" ht="12.75" customHeight="1">
      <c r="A901" s="5"/>
      <c r="B901" s="5"/>
      <c r="C901" s="5"/>
      <c r="D901" s="5"/>
      <c r="E901" s="5"/>
      <c r="F901" s="5"/>
      <c r="G901" s="5"/>
      <c r="H901" s="306"/>
      <c r="I901" s="306"/>
      <c r="J901" s="5"/>
      <c r="K901" s="5"/>
      <c r="L901" s="5"/>
      <c r="M901" s="5"/>
      <c r="N901" s="5"/>
      <c r="O901" s="5"/>
      <c r="P901" s="57"/>
      <c r="Q901" s="5"/>
      <c r="R901" s="5"/>
      <c r="S901" s="5"/>
      <c r="T901" s="5"/>
      <c r="U901" s="5"/>
      <c r="V901" s="5"/>
      <c r="W901" s="5"/>
      <c r="X901" s="5"/>
      <c r="Y901" s="5"/>
      <c r="Z901" s="5"/>
      <c r="AA901" s="5"/>
    </row>
    <row r="902" spans="1:27" ht="12.75" customHeight="1">
      <c r="A902" s="5"/>
      <c r="B902" s="5"/>
      <c r="C902" s="5"/>
      <c r="D902" s="5"/>
      <c r="E902" s="5"/>
      <c r="F902" s="5"/>
      <c r="G902" s="5"/>
      <c r="H902" s="306"/>
      <c r="I902" s="306"/>
      <c r="J902" s="5"/>
      <c r="K902" s="5"/>
      <c r="L902" s="5"/>
      <c r="M902" s="5"/>
      <c r="N902" s="5"/>
      <c r="O902" s="5"/>
      <c r="P902" s="57"/>
      <c r="Q902" s="5"/>
      <c r="R902" s="5"/>
      <c r="S902" s="5"/>
      <c r="T902" s="5"/>
      <c r="U902" s="5"/>
      <c r="V902" s="5"/>
      <c r="W902" s="5"/>
      <c r="X902" s="5"/>
      <c r="Y902" s="5"/>
      <c r="Z902" s="5"/>
      <c r="AA902" s="5"/>
    </row>
    <row r="903" spans="1:27" ht="12.75" customHeight="1">
      <c r="A903" s="5"/>
      <c r="B903" s="5"/>
      <c r="C903" s="5"/>
      <c r="D903" s="5"/>
      <c r="E903" s="5"/>
      <c r="F903" s="5"/>
      <c r="G903" s="5"/>
      <c r="H903" s="306"/>
      <c r="I903" s="306"/>
      <c r="J903" s="5"/>
      <c r="K903" s="5"/>
      <c r="L903" s="5"/>
      <c r="M903" s="5"/>
      <c r="N903" s="5"/>
      <c r="O903" s="5"/>
      <c r="P903" s="57"/>
      <c r="Q903" s="5"/>
      <c r="R903" s="5"/>
      <c r="S903" s="5"/>
      <c r="T903" s="5"/>
      <c r="U903" s="5"/>
      <c r="V903" s="5"/>
      <c r="W903" s="5"/>
      <c r="X903" s="5"/>
      <c r="Y903" s="5"/>
      <c r="Z903" s="5"/>
      <c r="AA903" s="5"/>
    </row>
    <row r="904" spans="1:27" ht="12.75" customHeight="1">
      <c r="A904" s="5"/>
      <c r="B904" s="5"/>
      <c r="C904" s="5"/>
      <c r="D904" s="5"/>
      <c r="E904" s="5"/>
      <c r="F904" s="5"/>
      <c r="G904" s="5"/>
      <c r="H904" s="306"/>
      <c r="I904" s="306"/>
      <c r="J904" s="5"/>
      <c r="K904" s="5"/>
      <c r="L904" s="5"/>
      <c r="M904" s="5"/>
      <c r="N904" s="5"/>
      <c r="O904" s="5"/>
      <c r="P904" s="57"/>
      <c r="Q904" s="5"/>
      <c r="R904" s="5"/>
      <c r="S904" s="5"/>
      <c r="T904" s="5"/>
      <c r="U904" s="5"/>
      <c r="V904" s="5"/>
      <c r="W904" s="5"/>
      <c r="X904" s="5"/>
      <c r="Y904" s="5"/>
      <c r="Z904" s="5"/>
      <c r="AA904" s="5"/>
    </row>
    <row r="905" spans="1:27" ht="12.75" customHeight="1">
      <c r="A905" s="5"/>
      <c r="B905" s="5"/>
      <c r="C905" s="5"/>
      <c r="D905" s="5"/>
      <c r="E905" s="5"/>
      <c r="F905" s="5"/>
      <c r="G905" s="5"/>
      <c r="H905" s="306"/>
      <c r="I905" s="306"/>
      <c r="J905" s="5"/>
      <c r="K905" s="5"/>
      <c r="L905" s="5"/>
      <c r="M905" s="5"/>
      <c r="N905" s="5"/>
      <c r="O905" s="5"/>
      <c r="P905" s="57"/>
      <c r="Q905" s="5"/>
      <c r="R905" s="5"/>
      <c r="S905" s="5"/>
      <c r="T905" s="5"/>
      <c r="U905" s="5"/>
      <c r="V905" s="5"/>
      <c r="W905" s="5"/>
      <c r="X905" s="5"/>
      <c r="Y905" s="5"/>
      <c r="Z905" s="5"/>
      <c r="AA905" s="5"/>
    </row>
    <row r="906" spans="1:27" ht="12.75" customHeight="1">
      <c r="A906" s="5"/>
      <c r="B906" s="5"/>
      <c r="C906" s="5"/>
      <c r="D906" s="5"/>
      <c r="E906" s="5"/>
      <c r="F906" s="5"/>
      <c r="G906" s="5"/>
      <c r="H906" s="306"/>
      <c r="I906" s="306"/>
      <c r="J906" s="5"/>
      <c r="K906" s="5"/>
      <c r="L906" s="5"/>
      <c r="M906" s="5"/>
      <c r="N906" s="5"/>
      <c r="O906" s="5"/>
      <c r="P906" s="57"/>
      <c r="Q906" s="5"/>
      <c r="R906" s="5"/>
      <c r="S906" s="5"/>
      <c r="T906" s="5"/>
      <c r="U906" s="5"/>
      <c r="V906" s="5"/>
      <c r="W906" s="5"/>
      <c r="X906" s="5"/>
      <c r="Y906" s="5"/>
      <c r="Z906" s="5"/>
      <c r="AA906" s="5"/>
    </row>
    <row r="907" spans="1:27" ht="12.75" customHeight="1">
      <c r="A907" s="5"/>
      <c r="B907" s="5"/>
      <c r="C907" s="5"/>
      <c r="D907" s="5"/>
      <c r="E907" s="5"/>
      <c r="F907" s="5"/>
      <c r="G907" s="5"/>
      <c r="H907" s="306"/>
      <c r="I907" s="306"/>
      <c r="J907" s="5"/>
      <c r="K907" s="5"/>
      <c r="L907" s="5"/>
      <c r="M907" s="5"/>
      <c r="N907" s="5"/>
      <c r="O907" s="5"/>
      <c r="P907" s="57"/>
      <c r="Q907" s="5"/>
      <c r="R907" s="5"/>
      <c r="S907" s="5"/>
      <c r="T907" s="5"/>
      <c r="U907" s="5"/>
      <c r="V907" s="5"/>
      <c r="W907" s="5"/>
      <c r="X907" s="5"/>
      <c r="Y907" s="5"/>
      <c r="Z907" s="5"/>
      <c r="AA907" s="5"/>
    </row>
    <row r="908" spans="1:27" ht="12.75" customHeight="1">
      <c r="A908" s="5"/>
      <c r="B908" s="5"/>
      <c r="C908" s="5"/>
      <c r="D908" s="5"/>
      <c r="E908" s="5"/>
      <c r="F908" s="5"/>
      <c r="G908" s="5"/>
      <c r="H908" s="306"/>
      <c r="I908" s="306"/>
      <c r="J908" s="5"/>
      <c r="K908" s="5"/>
      <c r="L908" s="5"/>
      <c r="M908" s="5"/>
      <c r="N908" s="5"/>
      <c r="O908" s="5"/>
      <c r="P908" s="57"/>
      <c r="Q908" s="5"/>
      <c r="R908" s="5"/>
      <c r="S908" s="5"/>
      <c r="T908" s="5"/>
      <c r="U908" s="5"/>
      <c r="V908" s="5"/>
      <c r="W908" s="5"/>
      <c r="X908" s="5"/>
      <c r="Y908" s="5"/>
      <c r="Z908" s="5"/>
      <c r="AA908" s="5"/>
    </row>
    <row r="909" spans="1:27" ht="12.75" customHeight="1">
      <c r="A909" s="5"/>
      <c r="B909" s="5"/>
      <c r="C909" s="5"/>
      <c r="D909" s="5"/>
      <c r="E909" s="5"/>
      <c r="F909" s="5"/>
      <c r="G909" s="5"/>
      <c r="H909" s="306"/>
      <c r="I909" s="306"/>
      <c r="J909" s="5"/>
      <c r="K909" s="5"/>
      <c r="L909" s="5"/>
      <c r="M909" s="5"/>
      <c r="N909" s="5"/>
      <c r="O909" s="5"/>
      <c r="P909" s="57"/>
      <c r="Q909" s="5"/>
      <c r="R909" s="5"/>
      <c r="S909" s="5"/>
      <c r="T909" s="5"/>
      <c r="U909" s="5"/>
      <c r="V909" s="5"/>
      <c r="W909" s="5"/>
      <c r="X909" s="5"/>
      <c r="Y909" s="5"/>
      <c r="Z909" s="5"/>
      <c r="AA909" s="5"/>
    </row>
    <row r="910" spans="1:27" ht="12.75" customHeight="1">
      <c r="A910" s="5"/>
      <c r="B910" s="5"/>
      <c r="C910" s="5"/>
      <c r="D910" s="5"/>
      <c r="E910" s="5"/>
      <c r="F910" s="5"/>
      <c r="G910" s="5"/>
      <c r="H910" s="306"/>
      <c r="I910" s="306"/>
      <c r="J910" s="5"/>
      <c r="K910" s="5"/>
      <c r="L910" s="5"/>
      <c r="M910" s="5"/>
      <c r="N910" s="5"/>
      <c r="O910" s="5"/>
      <c r="P910" s="57"/>
      <c r="Q910" s="5"/>
      <c r="R910" s="5"/>
      <c r="S910" s="5"/>
      <c r="T910" s="5"/>
      <c r="U910" s="5"/>
      <c r="V910" s="5"/>
      <c r="W910" s="5"/>
      <c r="X910" s="5"/>
      <c r="Y910" s="5"/>
      <c r="Z910" s="5"/>
      <c r="AA910" s="5"/>
    </row>
    <row r="911" spans="1:27" ht="12.75" customHeight="1">
      <c r="A911" s="5"/>
      <c r="B911" s="5"/>
      <c r="C911" s="5"/>
      <c r="D911" s="5"/>
      <c r="E911" s="5"/>
      <c r="F911" s="5"/>
      <c r="G911" s="5"/>
      <c r="H911" s="306"/>
      <c r="I911" s="306"/>
      <c r="J911" s="5"/>
      <c r="K911" s="5"/>
      <c r="L911" s="5"/>
      <c r="M911" s="5"/>
      <c r="N911" s="5"/>
      <c r="O911" s="5"/>
      <c r="P911" s="57"/>
      <c r="Q911" s="5"/>
      <c r="R911" s="5"/>
      <c r="S911" s="5"/>
      <c r="T911" s="5"/>
      <c r="U911" s="5"/>
      <c r="V911" s="5"/>
      <c r="W911" s="5"/>
      <c r="X911" s="5"/>
      <c r="Y911" s="5"/>
      <c r="Z911" s="5"/>
      <c r="AA911" s="5"/>
    </row>
    <row r="912" spans="1:27" ht="12.75" customHeight="1">
      <c r="A912" s="5"/>
      <c r="B912" s="5"/>
      <c r="C912" s="5"/>
      <c r="D912" s="5"/>
      <c r="E912" s="5"/>
      <c r="F912" s="5"/>
      <c r="G912" s="5"/>
      <c r="H912" s="306"/>
      <c r="I912" s="306"/>
      <c r="J912" s="5"/>
      <c r="K912" s="5"/>
      <c r="L912" s="5"/>
      <c r="M912" s="5"/>
      <c r="N912" s="5"/>
      <c r="O912" s="5"/>
      <c r="P912" s="57"/>
      <c r="Q912" s="5"/>
      <c r="R912" s="5"/>
      <c r="S912" s="5"/>
      <c r="T912" s="5"/>
      <c r="U912" s="5"/>
      <c r="V912" s="5"/>
      <c r="W912" s="5"/>
      <c r="X912" s="5"/>
      <c r="Y912" s="5"/>
      <c r="Z912" s="5"/>
      <c r="AA912" s="5"/>
    </row>
    <row r="913" spans="1:27" ht="12.75" customHeight="1">
      <c r="A913" s="5"/>
      <c r="B913" s="5"/>
      <c r="C913" s="5"/>
      <c r="D913" s="5"/>
      <c r="E913" s="5"/>
      <c r="F913" s="5"/>
      <c r="G913" s="5"/>
      <c r="H913" s="306"/>
      <c r="I913" s="306"/>
      <c r="J913" s="5"/>
      <c r="K913" s="5"/>
      <c r="L913" s="5"/>
      <c r="M913" s="5"/>
      <c r="N913" s="5"/>
      <c r="O913" s="5"/>
      <c r="P913" s="57"/>
      <c r="Q913" s="5"/>
      <c r="R913" s="5"/>
      <c r="S913" s="5"/>
      <c r="T913" s="5"/>
      <c r="U913" s="5"/>
      <c r="V913" s="5"/>
      <c r="W913" s="5"/>
      <c r="X913" s="5"/>
      <c r="Y913" s="5"/>
      <c r="Z913" s="5"/>
      <c r="AA913" s="5"/>
    </row>
    <row r="914" spans="1:27" ht="12.75" customHeight="1">
      <c r="A914" s="5"/>
      <c r="B914" s="5"/>
      <c r="C914" s="5"/>
      <c r="D914" s="5"/>
      <c r="E914" s="5"/>
      <c r="F914" s="5"/>
      <c r="G914" s="5"/>
      <c r="H914" s="306"/>
      <c r="I914" s="306"/>
      <c r="J914" s="5"/>
      <c r="K914" s="5"/>
      <c r="L914" s="5"/>
      <c r="M914" s="5"/>
      <c r="N914" s="5"/>
      <c r="O914" s="5"/>
      <c r="P914" s="57"/>
      <c r="Q914" s="5"/>
      <c r="R914" s="5"/>
      <c r="S914" s="5"/>
      <c r="T914" s="5"/>
      <c r="U914" s="5"/>
      <c r="V914" s="5"/>
      <c r="W914" s="5"/>
      <c r="X914" s="5"/>
      <c r="Y914" s="5"/>
      <c r="Z914" s="5"/>
      <c r="AA914" s="5"/>
    </row>
    <row r="915" spans="1:27" ht="12.75" customHeight="1">
      <c r="A915" s="5"/>
      <c r="B915" s="5"/>
      <c r="C915" s="5"/>
      <c r="D915" s="5"/>
      <c r="E915" s="5"/>
      <c r="F915" s="5"/>
      <c r="G915" s="5"/>
      <c r="H915" s="306"/>
      <c r="I915" s="306"/>
      <c r="J915" s="5"/>
      <c r="K915" s="5"/>
      <c r="L915" s="5"/>
      <c r="M915" s="5"/>
      <c r="N915" s="5"/>
      <c r="O915" s="5"/>
      <c r="P915" s="57"/>
      <c r="Q915" s="5"/>
      <c r="R915" s="5"/>
      <c r="S915" s="5"/>
      <c r="T915" s="5"/>
      <c r="U915" s="5"/>
      <c r="V915" s="5"/>
      <c r="W915" s="5"/>
      <c r="X915" s="5"/>
      <c r="Y915" s="5"/>
      <c r="Z915" s="5"/>
      <c r="AA915" s="5"/>
    </row>
    <row r="916" spans="1:27" ht="12.75" customHeight="1">
      <c r="A916" s="5"/>
      <c r="B916" s="5"/>
      <c r="C916" s="5"/>
      <c r="D916" s="5"/>
      <c r="E916" s="5"/>
      <c r="F916" s="5"/>
      <c r="G916" s="5"/>
      <c r="H916" s="306"/>
      <c r="I916" s="306"/>
      <c r="J916" s="5"/>
      <c r="K916" s="5"/>
      <c r="L916" s="5"/>
      <c r="M916" s="5"/>
      <c r="N916" s="5"/>
      <c r="O916" s="5"/>
      <c r="P916" s="57"/>
      <c r="Q916" s="5"/>
      <c r="R916" s="5"/>
      <c r="S916" s="5"/>
      <c r="T916" s="5"/>
      <c r="U916" s="5"/>
      <c r="V916" s="5"/>
      <c r="W916" s="5"/>
      <c r="X916" s="5"/>
      <c r="Y916" s="5"/>
      <c r="Z916" s="5"/>
      <c r="AA916" s="5"/>
    </row>
    <row r="917" spans="1:27" ht="12.75" customHeight="1">
      <c r="A917" s="5"/>
      <c r="B917" s="5"/>
      <c r="C917" s="5"/>
      <c r="D917" s="5"/>
      <c r="E917" s="5"/>
      <c r="F917" s="5"/>
      <c r="G917" s="5"/>
      <c r="H917" s="306"/>
      <c r="I917" s="306"/>
      <c r="J917" s="5"/>
      <c r="K917" s="5"/>
      <c r="L917" s="5"/>
      <c r="M917" s="5"/>
      <c r="N917" s="5"/>
      <c r="O917" s="5"/>
      <c r="P917" s="57"/>
      <c r="Q917" s="5"/>
      <c r="R917" s="5"/>
      <c r="S917" s="5"/>
      <c r="T917" s="5"/>
      <c r="U917" s="5"/>
      <c r="V917" s="5"/>
      <c r="W917" s="5"/>
      <c r="X917" s="5"/>
      <c r="Y917" s="5"/>
      <c r="Z917" s="5"/>
      <c r="AA917" s="5"/>
    </row>
    <row r="918" spans="1:27" ht="12.75" customHeight="1">
      <c r="A918" s="5"/>
      <c r="B918" s="5"/>
      <c r="C918" s="5"/>
      <c r="D918" s="5"/>
      <c r="E918" s="5"/>
      <c r="F918" s="5"/>
      <c r="G918" s="5"/>
      <c r="H918" s="306"/>
      <c r="I918" s="306"/>
      <c r="J918" s="5"/>
      <c r="K918" s="5"/>
      <c r="L918" s="5"/>
      <c r="M918" s="5"/>
      <c r="N918" s="5"/>
      <c r="O918" s="5"/>
      <c r="P918" s="57"/>
      <c r="Q918" s="5"/>
      <c r="R918" s="5"/>
      <c r="S918" s="5"/>
      <c r="T918" s="5"/>
      <c r="U918" s="5"/>
      <c r="V918" s="5"/>
      <c r="W918" s="5"/>
      <c r="X918" s="5"/>
      <c r="Y918" s="5"/>
      <c r="Z918" s="5"/>
      <c r="AA918" s="5"/>
    </row>
    <row r="919" spans="1:27" ht="12.75" customHeight="1">
      <c r="A919" s="5"/>
      <c r="B919" s="5"/>
      <c r="C919" s="5"/>
      <c r="D919" s="5"/>
      <c r="E919" s="5"/>
      <c r="F919" s="5"/>
      <c r="G919" s="5"/>
      <c r="H919" s="306"/>
      <c r="I919" s="306"/>
      <c r="J919" s="5"/>
      <c r="K919" s="5"/>
      <c r="L919" s="5"/>
      <c r="M919" s="5"/>
      <c r="N919" s="5"/>
      <c r="O919" s="5"/>
      <c r="P919" s="57"/>
      <c r="Q919" s="5"/>
      <c r="R919" s="5"/>
      <c r="S919" s="5"/>
      <c r="T919" s="5"/>
      <c r="U919" s="5"/>
      <c r="V919" s="5"/>
      <c r="W919" s="5"/>
      <c r="X919" s="5"/>
      <c r="Y919" s="5"/>
      <c r="Z919" s="5"/>
      <c r="AA919" s="5"/>
    </row>
    <row r="920" spans="1:27" ht="12.75" customHeight="1">
      <c r="A920" s="5"/>
      <c r="B920" s="5"/>
      <c r="C920" s="5"/>
      <c r="D920" s="5"/>
      <c r="E920" s="5"/>
      <c r="F920" s="5"/>
      <c r="G920" s="5"/>
      <c r="H920" s="306"/>
      <c r="I920" s="306"/>
      <c r="J920" s="5"/>
      <c r="K920" s="5"/>
      <c r="L920" s="5"/>
      <c r="M920" s="5"/>
      <c r="N920" s="5"/>
      <c r="O920" s="5"/>
      <c r="P920" s="57"/>
      <c r="Q920" s="5"/>
      <c r="R920" s="5"/>
      <c r="S920" s="5"/>
      <c r="T920" s="5"/>
      <c r="U920" s="5"/>
      <c r="V920" s="5"/>
      <c r="W920" s="5"/>
      <c r="X920" s="5"/>
      <c r="Y920" s="5"/>
      <c r="Z920" s="5"/>
      <c r="AA920" s="5"/>
    </row>
    <row r="921" spans="1:27" ht="12.75" customHeight="1">
      <c r="A921" s="5"/>
      <c r="B921" s="5"/>
      <c r="C921" s="5"/>
      <c r="D921" s="5"/>
      <c r="E921" s="5"/>
      <c r="F921" s="5"/>
      <c r="G921" s="5"/>
      <c r="H921" s="306"/>
      <c r="I921" s="306"/>
      <c r="J921" s="5"/>
      <c r="K921" s="5"/>
      <c r="L921" s="5"/>
      <c r="M921" s="5"/>
      <c r="N921" s="5"/>
      <c r="O921" s="5"/>
      <c r="P921" s="57"/>
      <c r="Q921" s="5"/>
      <c r="R921" s="5"/>
      <c r="S921" s="5"/>
      <c r="T921" s="5"/>
      <c r="U921" s="5"/>
      <c r="V921" s="5"/>
      <c r="W921" s="5"/>
      <c r="X921" s="5"/>
      <c r="Y921" s="5"/>
      <c r="Z921" s="5"/>
      <c r="AA921" s="5"/>
    </row>
    <row r="922" spans="1:27" ht="12.75" customHeight="1">
      <c r="A922" s="5"/>
      <c r="B922" s="5"/>
      <c r="C922" s="5"/>
      <c r="D922" s="5"/>
      <c r="E922" s="5"/>
      <c r="F922" s="5"/>
      <c r="G922" s="5"/>
      <c r="H922" s="306"/>
      <c r="I922" s="306"/>
      <c r="J922" s="5"/>
      <c r="K922" s="5"/>
      <c r="L922" s="5"/>
      <c r="M922" s="5"/>
      <c r="N922" s="5"/>
      <c r="O922" s="5"/>
      <c r="P922" s="57"/>
      <c r="Q922" s="5"/>
      <c r="R922" s="5"/>
      <c r="S922" s="5"/>
      <c r="T922" s="5"/>
      <c r="U922" s="5"/>
      <c r="V922" s="5"/>
      <c r="W922" s="5"/>
      <c r="X922" s="5"/>
      <c r="Y922" s="5"/>
      <c r="Z922" s="5"/>
      <c r="AA922" s="5"/>
    </row>
    <row r="923" spans="1:27" ht="12.75" customHeight="1">
      <c r="A923" s="5"/>
      <c r="B923" s="5"/>
      <c r="C923" s="5"/>
      <c r="D923" s="5"/>
      <c r="E923" s="5"/>
      <c r="F923" s="5"/>
      <c r="G923" s="5"/>
      <c r="H923" s="306"/>
      <c r="I923" s="306"/>
      <c r="J923" s="5"/>
      <c r="K923" s="5"/>
      <c r="L923" s="5"/>
      <c r="M923" s="5"/>
      <c r="N923" s="5"/>
      <c r="O923" s="5"/>
      <c r="P923" s="57"/>
      <c r="Q923" s="5"/>
      <c r="R923" s="5"/>
      <c r="S923" s="5"/>
      <c r="T923" s="5"/>
      <c r="U923" s="5"/>
      <c r="V923" s="5"/>
      <c r="W923" s="5"/>
      <c r="X923" s="5"/>
      <c r="Y923" s="5"/>
      <c r="Z923" s="5"/>
      <c r="AA923" s="5"/>
    </row>
    <row r="924" spans="1:27" ht="12.75" customHeight="1">
      <c r="A924" s="5"/>
      <c r="B924" s="5"/>
      <c r="C924" s="5"/>
      <c r="D924" s="5"/>
      <c r="E924" s="5"/>
      <c r="F924" s="5"/>
      <c r="G924" s="5"/>
      <c r="H924" s="306"/>
      <c r="I924" s="306"/>
      <c r="J924" s="5"/>
      <c r="K924" s="5"/>
      <c r="L924" s="5"/>
      <c r="M924" s="5"/>
      <c r="N924" s="5"/>
      <c r="O924" s="5"/>
      <c r="P924" s="57"/>
      <c r="Q924" s="5"/>
      <c r="R924" s="5"/>
      <c r="S924" s="5"/>
      <c r="T924" s="5"/>
      <c r="U924" s="5"/>
      <c r="V924" s="5"/>
      <c r="W924" s="5"/>
      <c r="X924" s="5"/>
      <c r="Y924" s="5"/>
      <c r="Z924" s="5"/>
      <c r="AA924" s="5"/>
    </row>
    <row r="925" spans="1:27" ht="12.75" customHeight="1">
      <c r="A925" s="5"/>
      <c r="B925" s="5"/>
      <c r="C925" s="5"/>
      <c r="D925" s="5"/>
      <c r="E925" s="5"/>
      <c r="F925" s="5"/>
      <c r="G925" s="5"/>
      <c r="H925" s="306"/>
      <c r="I925" s="306"/>
      <c r="J925" s="5"/>
      <c r="K925" s="5"/>
      <c r="L925" s="5"/>
      <c r="M925" s="5"/>
      <c r="N925" s="5"/>
      <c r="O925" s="5"/>
      <c r="P925" s="57"/>
      <c r="Q925" s="5"/>
      <c r="R925" s="5"/>
      <c r="S925" s="5"/>
      <c r="T925" s="5"/>
      <c r="U925" s="5"/>
      <c r="V925" s="5"/>
      <c r="W925" s="5"/>
      <c r="X925" s="5"/>
      <c r="Y925" s="5"/>
      <c r="Z925" s="5"/>
      <c r="AA925" s="5"/>
    </row>
    <row r="926" spans="1:27" ht="12.75" customHeight="1">
      <c r="A926" s="5"/>
      <c r="B926" s="5"/>
      <c r="C926" s="5"/>
      <c r="D926" s="5"/>
      <c r="E926" s="5"/>
      <c r="F926" s="5"/>
      <c r="G926" s="5"/>
      <c r="H926" s="306"/>
      <c r="I926" s="306"/>
      <c r="J926" s="5"/>
      <c r="K926" s="5"/>
      <c r="L926" s="5"/>
      <c r="M926" s="5"/>
      <c r="N926" s="5"/>
      <c r="O926" s="5"/>
      <c r="P926" s="57"/>
      <c r="Q926" s="5"/>
      <c r="R926" s="5"/>
      <c r="S926" s="5"/>
      <c r="T926" s="5"/>
      <c r="U926" s="5"/>
      <c r="V926" s="5"/>
      <c r="W926" s="5"/>
      <c r="X926" s="5"/>
      <c r="Y926" s="5"/>
      <c r="Z926" s="5"/>
      <c r="AA926" s="5"/>
    </row>
    <row r="927" spans="1:27" ht="12.75" customHeight="1">
      <c r="A927" s="5"/>
      <c r="B927" s="5"/>
      <c r="C927" s="5"/>
      <c r="D927" s="5"/>
      <c r="E927" s="5"/>
      <c r="F927" s="5"/>
      <c r="G927" s="5"/>
      <c r="H927" s="306"/>
      <c r="I927" s="306"/>
      <c r="J927" s="5"/>
      <c r="K927" s="5"/>
      <c r="L927" s="5"/>
      <c r="M927" s="5"/>
      <c r="N927" s="5"/>
      <c r="O927" s="5"/>
      <c r="P927" s="57"/>
      <c r="Q927" s="5"/>
      <c r="R927" s="5"/>
      <c r="S927" s="5"/>
      <c r="T927" s="5"/>
      <c r="U927" s="5"/>
      <c r="V927" s="5"/>
      <c r="W927" s="5"/>
      <c r="X927" s="5"/>
      <c r="Y927" s="5"/>
      <c r="Z927" s="5"/>
      <c r="AA927" s="5"/>
    </row>
    <row r="928" spans="1:27" ht="12.75" customHeight="1">
      <c r="A928" s="5"/>
      <c r="B928" s="5"/>
      <c r="C928" s="5"/>
      <c r="D928" s="5"/>
      <c r="E928" s="5"/>
      <c r="F928" s="5"/>
      <c r="G928" s="5"/>
      <c r="H928" s="306"/>
      <c r="I928" s="306"/>
      <c r="J928" s="5"/>
      <c r="K928" s="5"/>
      <c r="L928" s="5"/>
      <c r="M928" s="5"/>
      <c r="N928" s="5"/>
      <c r="O928" s="5"/>
      <c r="P928" s="57"/>
      <c r="Q928" s="5"/>
      <c r="R928" s="5"/>
      <c r="S928" s="5"/>
      <c r="T928" s="5"/>
      <c r="U928" s="5"/>
      <c r="V928" s="5"/>
      <c r="W928" s="5"/>
      <c r="X928" s="5"/>
      <c r="Y928" s="5"/>
      <c r="Z928" s="5"/>
      <c r="AA928" s="5"/>
    </row>
    <row r="929" spans="1:27" ht="12.75" customHeight="1">
      <c r="A929" s="5"/>
      <c r="B929" s="5"/>
      <c r="C929" s="5"/>
      <c r="D929" s="5"/>
      <c r="E929" s="5"/>
      <c r="F929" s="5"/>
      <c r="G929" s="5"/>
      <c r="H929" s="306"/>
      <c r="I929" s="306"/>
      <c r="J929" s="5"/>
      <c r="K929" s="5"/>
      <c r="L929" s="5"/>
      <c r="M929" s="5"/>
      <c r="N929" s="5"/>
      <c r="O929" s="5"/>
      <c r="P929" s="57"/>
      <c r="Q929" s="5"/>
      <c r="R929" s="5"/>
      <c r="S929" s="5"/>
      <c r="T929" s="5"/>
      <c r="U929" s="5"/>
      <c r="V929" s="5"/>
      <c r="W929" s="5"/>
      <c r="X929" s="5"/>
      <c r="Y929" s="5"/>
      <c r="Z929" s="5"/>
      <c r="AA929" s="5"/>
    </row>
    <row r="930" spans="1:27" ht="12.75" customHeight="1">
      <c r="A930" s="5"/>
      <c r="B930" s="5"/>
      <c r="C930" s="5"/>
      <c r="D930" s="5"/>
      <c r="E930" s="5"/>
      <c r="F930" s="5"/>
      <c r="G930" s="5"/>
      <c r="H930" s="306"/>
      <c r="I930" s="306"/>
      <c r="J930" s="5"/>
      <c r="K930" s="5"/>
      <c r="L930" s="5"/>
      <c r="M930" s="5"/>
      <c r="N930" s="5"/>
      <c r="O930" s="5"/>
      <c r="P930" s="57"/>
      <c r="Q930" s="5"/>
      <c r="R930" s="5"/>
      <c r="S930" s="5"/>
      <c r="T930" s="5"/>
      <c r="U930" s="5"/>
      <c r="V930" s="5"/>
      <c r="W930" s="5"/>
      <c r="X930" s="5"/>
      <c r="Y930" s="5"/>
      <c r="Z930" s="5"/>
      <c r="AA930" s="5"/>
    </row>
    <row r="931" spans="1:27" ht="12.75" customHeight="1">
      <c r="A931" s="5"/>
      <c r="B931" s="5"/>
      <c r="C931" s="5"/>
      <c r="D931" s="5"/>
      <c r="E931" s="5"/>
      <c r="F931" s="5"/>
      <c r="G931" s="5"/>
      <c r="H931" s="306"/>
      <c r="I931" s="306"/>
      <c r="J931" s="5"/>
      <c r="K931" s="5"/>
      <c r="L931" s="5"/>
      <c r="M931" s="5"/>
      <c r="N931" s="5"/>
      <c r="O931" s="5"/>
      <c r="P931" s="57"/>
      <c r="Q931" s="5"/>
      <c r="R931" s="5"/>
      <c r="S931" s="5"/>
      <c r="T931" s="5"/>
      <c r="U931" s="5"/>
      <c r="V931" s="5"/>
      <c r="W931" s="5"/>
      <c r="X931" s="5"/>
      <c r="Y931" s="5"/>
      <c r="Z931" s="5"/>
      <c r="AA931" s="5"/>
    </row>
    <row r="932" spans="1:27" ht="12.75" customHeight="1">
      <c r="A932" s="5"/>
      <c r="B932" s="5"/>
      <c r="C932" s="5"/>
      <c r="D932" s="5"/>
      <c r="E932" s="5"/>
      <c r="F932" s="5"/>
      <c r="G932" s="5"/>
      <c r="H932" s="306"/>
      <c r="I932" s="306"/>
      <c r="J932" s="5"/>
      <c r="K932" s="5"/>
      <c r="L932" s="5"/>
      <c r="M932" s="5"/>
      <c r="N932" s="5"/>
      <c r="O932" s="5"/>
      <c r="P932" s="57"/>
      <c r="Q932" s="5"/>
      <c r="R932" s="5"/>
      <c r="S932" s="5"/>
      <c r="T932" s="5"/>
      <c r="U932" s="5"/>
      <c r="V932" s="5"/>
      <c r="W932" s="5"/>
      <c r="X932" s="5"/>
      <c r="Y932" s="5"/>
      <c r="Z932" s="5"/>
      <c r="AA932" s="5"/>
    </row>
    <row r="933" spans="1:27" ht="12.75" customHeight="1">
      <c r="A933" s="5"/>
      <c r="B933" s="5"/>
      <c r="C933" s="5"/>
      <c r="D933" s="5"/>
      <c r="E933" s="5"/>
      <c r="F933" s="5"/>
      <c r="G933" s="5"/>
      <c r="H933" s="306"/>
      <c r="I933" s="306"/>
      <c r="J933" s="5"/>
      <c r="K933" s="5"/>
      <c r="L933" s="5"/>
      <c r="M933" s="5"/>
      <c r="N933" s="5"/>
      <c r="O933" s="5"/>
      <c r="P933" s="57"/>
      <c r="Q933" s="5"/>
      <c r="R933" s="5"/>
      <c r="S933" s="5"/>
      <c r="T933" s="5"/>
      <c r="U933" s="5"/>
      <c r="V933" s="5"/>
      <c r="W933" s="5"/>
      <c r="X933" s="5"/>
      <c r="Y933" s="5"/>
      <c r="Z933" s="5"/>
      <c r="AA933" s="5"/>
    </row>
    <row r="934" spans="1:27" ht="12.75" customHeight="1">
      <c r="A934" s="5"/>
      <c r="B934" s="5"/>
      <c r="C934" s="5"/>
      <c r="D934" s="5"/>
      <c r="E934" s="5"/>
      <c r="F934" s="5"/>
      <c r="G934" s="5"/>
      <c r="H934" s="306"/>
      <c r="I934" s="306"/>
      <c r="J934" s="5"/>
      <c r="K934" s="5"/>
      <c r="L934" s="5"/>
      <c r="M934" s="5"/>
      <c r="N934" s="5"/>
      <c r="O934" s="5"/>
      <c r="P934" s="57"/>
      <c r="Q934" s="5"/>
      <c r="R934" s="5"/>
      <c r="S934" s="5"/>
      <c r="T934" s="5"/>
      <c r="U934" s="5"/>
      <c r="V934" s="5"/>
      <c r="W934" s="5"/>
      <c r="X934" s="5"/>
      <c r="Y934" s="5"/>
      <c r="Z934" s="5"/>
      <c r="AA934" s="5"/>
    </row>
    <row r="935" spans="1:27" ht="12.75" customHeight="1">
      <c r="A935" s="5"/>
      <c r="B935" s="5"/>
      <c r="C935" s="5"/>
      <c r="D935" s="5"/>
      <c r="E935" s="5"/>
      <c r="F935" s="5"/>
      <c r="G935" s="5"/>
      <c r="H935" s="306"/>
      <c r="I935" s="306"/>
      <c r="J935" s="5"/>
      <c r="K935" s="5"/>
      <c r="L935" s="5"/>
      <c r="M935" s="5"/>
      <c r="N935" s="5"/>
      <c r="O935" s="5"/>
      <c r="P935" s="57"/>
      <c r="Q935" s="5"/>
      <c r="R935" s="5"/>
      <c r="S935" s="5"/>
      <c r="T935" s="5"/>
      <c r="U935" s="5"/>
      <c r="V935" s="5"/>
      <c r="W935" s="5"/>
      <c r="X935" s="5"/>
      <c r="Y935" s="5"/>
      <c r="Z935" s="5"/>
      <c r="AA935" s="5"/>
    </row>
    <row r="936" spans="1:27" ht="12.75" customHeight="1">
      <c r="A936" s="5"/>
      <c r="B936" s="5"/>
      <c r="C936" s="5"/>
      <c r="D936" s="5"/>
      <c r="E936" s="5"/>
      <c r="F936" s="5"/>
      <c r="G936" s="5"/>
      <c r="H936" s="306"/>
      <c r="I936" s="306"/>
      <c r="J936" s="5"/>
      <c r="K936" s="5"/>
      <c r="L936" s="5"/>
      <c r="M936" s="5"/>
      <c r="N936" s="5"/>
      <c r="O936" s="5"/>
      <c r="P936" s="57"/>
      <c r="Q936" s="5"/>
      <c r="R936" s="5"/>
      <c r="S936" s="5"/>
      <c r="T936" s="5"/>
      <c r="U936" s="5"/>
      <c r="V936" s="5"/>
      <c r="W936" s="5"/>
      <c r="X936" s="5"/>
      <c r="Y936" s="5"/>
      <c r="Z936" s="5"/>
      <c r="AA936" s="5"/>
    </row>
    <row r="937" spans="1:27" ht="12.75" customHeight="1">
      <c r="A937" s="5"/>
      <c r="B937" s="5"/>
      <c r="C937" s="5"/>
      <c r="D937" s="5"/>
      <c r="E937" s="5"/>
      <c r="F937" s="5"/>
      <c r="G937" s="5"/>
      <c r="H937" s="306"/>
      <c r="I937" s="306"/>
      <c r="J937" s="5"/>
      <c r="K937" s="5"/>
      <c r="L937" s="5"/>
      <c r="M937" s="5"/>
      <c r="N937" s="5"/>
      <c r="O937" s="5"/>
      <c r="P937" s="57"/>
      <c r="Q937" s="5"/>
      <c r="R937" s="5"/>
      <c r="S937" s="5"/>
      <c r="T937" s="5"/>
      <c r="U937" s="5"/>
      <c r="V937" s="5"/>
      <c r="W937" s="5"/>
      <c r="X937" s="5"/>
      <c r="Y937" s="5"/>
      <c r="Z937" s="5"/>
      <c r="AA937" s="5"/>
    </row>
    <row r="938" spans="1:27" ht="12.75" customHeight="1">
      <c r="A938" s="5"/>
      <c r="B938" s="5"/>
      <c r="C938" s="5"/>
      <c r="D938" s="5"/>
      <c r="E938" s="5"/>
      <c r="F938" s="5"/>
      <c r="G938" s="5"/>
      <c r="H938" s="306"/>
      <c r="I938" s="306"/>
      <c r="J938" s="5"/>
      <c r="K938" s="5"/>
      <c r="L938" s="5"/>
      <c r="M938" s="5"/>
      <c r="N938" s="5"/>
      <c r="O938" s="5"/>
      <c r="P938" s="57"/>
      <c r="Q938" s="5"/>
      <c r="R938" s="5"/>
      <c r="S938" s="5"/>
      <c r="T938" s="5"/>
      <c r="U938" s="5"/>
      <c r="V938" s="5"/>
      <c r="W938" s="5"/>
      <c r="X938" s="5"/>
      <c r="Y938" s="5"/>
      <c r="Z938" s="5"/>
      <c r="AA938" s="5"/>
    </row>
    <row r="939" spans="1:27" ht="12.75" customHeight="1">
      <c r="A939" s="5"/>
      <c r="B939" s="5"/>
      <c r="C939" s="5"/>
      <c r="D939" s="5"/>
      <c r="E939" s="5"/>
      <c r="F939" s="5"/>
      <c r="G939" s="5"/>
      <c r="H939" s="306"/>
      <c r="I939" s="306"/>
      <c r="J939" s="5"/>
      <c r="K939" s="5"/>
      <c r="L939" s="5"/>
      <c r="M939" s="5"/>
      <c r="N939" s="5"/>
      <c r="O939" s="5"/>
      <c r="P939" s="57"/>
      <c r="Q939" s="5"/>
      <c r="R939" s="5"/>
      <c r="S939" s="5"/>
      <c r="T939" s="5"/>
      <c r="U939" s="5"/>
      <c r="V939" s="5"/>
      <c r="W939" s="5"/>
      <c r="X939" s="5"/>
      <c r="Y939" s="5"/>
      <c r="Z939" s="5"/>
      <c r="AA939" s="5"/>
    </row>
    <row r="940" spans="1:27" ht="12.75" customHeight="1">
      <c r="A940" s="5"/>
      <c r="B940" s="5"/>
      <c r="C940" s="5"/>
      <c r="D940" s="5"/>
      <c r="E940" s="5"/>
      <c r="F940" s="5"/>
      <c r="G940" s="5"/>
      <c r="H940" s="306"/>
      <c r="I940" s="306"/>
      <c r="J940" s="5"/>
      <c r="K940" s="5"/>
      <c r="L940" s="5"/>
      <c r="M940" s="5"/>
      <c r="N940" s="5"/>
      <c r="O940" s="5"/>
      <c r="P940" s="57"/>
      <c r="Q940" s="5"/>
      <c r="R940" s="5"/>
      <c r="S940" s="5"/>
      <c r="T940" s="5"/>
      <c r="U940" s="5"/>
      <c r="V940" s="5"/>
      <c r="W940" s="5"/>
      <c r="X940" s="5"/>
      <c r="Y940" s="5"/>
      <c r="Z940" s="5"/>
      <c r="AA940" s="5"/>
    </row>
    <row r="941" spans="1:27" ht="12.75" customHeight="1">
      <c r="A941" s="5"/>
      <c r="B941" s="5"/>
      <c r="C941" s="5"/>
      <c r="D941" s="5"/>
      <c r="E941" s="5"/>
      <c r="F941" s="5"/>
      <c r="G941" s="5"/>
      <c r="H941" s="306"/>
      <c r="I941" s="306"/>
      <c r="J941" s="5"/>
      <c r="K941" s="5"/>
      <c r="L941" s="5"/>
      <c r="M941" s="5"/>
      <c r="N941" s="5"/>
      <c r="O941" s="5"/>
      <c r="P941" s="57"/>
      <c r="Q941" s="5"/>
      <c r="R941" s="5"/>
      <c r="S941" s="5"/>
      <c r="T941" s="5"/>
      <c r="U941" s="5"/>
      <c r="V941" s="5"/>
      <c r="W941" s="5"/>
      <c r="X941" s="5"/>
      <c r="Y941" s="5"/>
      <c r="Z941" s="5"/>
      <c r="AA941" s="5"/>
    </row>
    <row r="942" spans="1:27" ht="12.75" customHeight="1">
      <c r="A942" s="5"/>
      <c r="B942" s="5"/>
      <c r="C942" s="5"/>
      <c r="D942" s="5"/>
      <c r="E942" s="5"/>
      <c r="F942" s="5"/>
      <c r="G942" s="5"/>
      <c r="H942" s="306"/>
      <c r="I942" s="306"/>
      <c r="J942" s="5"/>
      <c r="K942" s="5"/>
      <c r="L942" s="5"/>
      <c r="M942" s="5"/>
      <c r="N942" s="5"/>
      <c r="O942" s="5"/>
      <c r="P942" s="57"/>
      <c r="Q942" s="5"/>
      <c r="R942" s="5"/>
      <c r="S942" s="5"/>
      <c r="T942" s="5"/>
      <c r="U942" s="5"/>
      <c r="V942" s="5"/>
      <c r="W942" s="5"/>
      <c r="X942" s="5"/>
      <c r="Y942" s="5"/>
      <c r="Z942" s="5"/>
      <c r="AA942" s="5"/>
    </row>
    <row r="943" spans="1:27" ht="12.75" customHeight="1">
      <c r="A943" s="5"/>
      <c r="B943" s="5"/>
      <c r="C943" s="5"/>
      <c r="D943" s="5"/>
      <c r="E943" s="5"/>
      <c r="F943" s="5"/>
      <c r="G943" s="5"/>
      <c r="H943" s="306"/>
      <c r="I943" s="306"/>
      <c r="J943" s="5"/>
      <c r="K943" s="5"/>
      <c r="L943" s="5"/>
      <c r="M943" s="5"/>
      <c r="N943" s="5"/>
      <c r="O943" s="5"/>
      <c r="P943" s="57"/>
      <c r="Q943" s="5"/>
      <c r="R943" s="5"/>
      <c r="S943" s="5"/>
      <c r="T943" s="5"/>
      <c r="U943" s="5"/>
      <c r="V943" s="5"/>
      <c r="W943" s="5"/>
      <c r="X943" s="5"/>
      <c r="Y943" s="5"/>
      <c r="Z943" s="5"/>
      <c r="AA943" s="5"/>
    </row>
    <row r="944" spans="1:27" ht="12.75" customHeight="1">
      <c r="A944" s="5"/>
      <c r="B944" s="5"/>
      <c r="C944" s="5"/>
      <c r="D944" s="5"/>
      <c r="E944" s="5"/>
      <c r="F944" s="5"/>
      <c r="G944" s="5"/>
      <c r="H944" s="306"/>
      <c r="I944" s="306"/>
      <c r="J944" s="5"/>
      <c r="K944" s="5"/>
      <c r="L944" s="5"/>
      <c r="M944" s="5"/>
      <c r="N944" s="5"/>
      <c r="O944" s="5"/>
      <c r="P944" s="57"/>
      <c r="Q944" s="5"/>
      <c r="R944" s="5"/>
      <c r="S944" s="5"/>
      <c r="T944" s="5"/>
      <c r="U944" s="5"/>
      <c r="V944" s="5"/>
      <c r="W944" s="5"/>
      <c r="X944" s="5"/>
      <c r="Y944" s="5"/>
      <c r="Z944" s="5"/>
      <c r="AA944" s="5"/>
    </row>
    <row r="945" spans="1:27" ht="12.75" customHeight="1">
      <c r="A945" s="5"/>
      <c r="B945" s="5"/>
      <c r="C945" s="5"/>
      <c r="D945" s="5"/>
      <c r="E945" s="5"/>
      <c r="F945" s="5"/>
      <c r="G945" s="5"/>
      <c r="H945" s="306"/>
      <c r="I945" s="306"/>
      <c r="J945" s="5"/>
      <c r="K945" s="5"/>
      <c r="L945" s="5"/>
      <c r="M945" s="5"/>
      <c r="N945" s="5"/>
      <c r="O945" s="5"/>
      <c r="P945" s="57"/>
      <c r="Q945" s="5"/>
      <c r="R945" s="5"/>
      <c r="S945" s="5"/>
      <c r="T945" s="5"/>
      <c r="U945" s="5"/>
      <c r="V945" s="5"/>
      <c r="W945" s="5"/>
      <c r="X945" s="5"/>
      <c r="Y945" s="5"/>
      <c r="Z945" s="5"/>
      <c r="AA945" s="5"/>
    </row>
    <row r="946" spans="1:27" ht="12.75" customHeight="1">
      <c r="A946" s="5"/>
      <c r="B946" s="5"/>
      <c r="C946" s="5"/>
      <c r="D946" s="5"/>
      <c r="E946" s="5"/>
      <c r="F946" s="5"/>
      <c r="G946" s="5"/>
      <c r="H946" s="306"/>
      <c r="I946" s="306"/>
      <c r="J946" s="5"/>
      <c r="K946" s="5"/>
      <c r="L946" s="5"/>
      <c r="M946" s="5"/>
      <c r="N946" s="5"/>
      <c r="O946" s="5"/>
      <c r="P946" s="57"/>
      <c r="Q946" s="5"/>
      <c r="R946" s="5"/>
      <c r="S946" s="5"/>
      <c r="T946" s="5"/>
      <c r="U946" s="5"/>
      <c r="V946" s="5"/>
      <c r="W946" s="5"/>
      <c r="X946" s="5"/>
      <c r="Y946" s="5"/>
      <c r="Z946" s="5"/>
      <c r="AA946" s="5"/>
    </row>
    <row r="947" spans="1:27" ht="12.75" customHeight="1">
      <c r="A947" s="5"/>
      <c r="B947" s="5"/>
      <c r="C947" s="5"/>
      <c r="D947" s="5"/>
      <c r="E947" s="5"/>
      <c r="F947" s="5"/>
      <c r="G947" s="5"/>
      <c r="H947" s="306"/>
      <c r="I947" s="306"/>
      <c r="J947" s="5"/>
      <c r="K947" s="5"/>
      <c r="L947" s="5"/>
      <c r="M947" s="5"/>
      <c r="N947" s="5"/>
      <c r="O947" s="5"/>
      <c r="P947" s="57"/>
      <c r="Q947" s="5"/>
      <c r="R947" s="5"/>
      <c r="S947" s="5"/>
      <c r="T947" s="5"/>
      <c r="U947" s="5"/>
      <c r="V947" s="5"/>
      <c r="W947" s="5"/>
      <c r="X947" s="5"/>
      <c r="Y947" s="5"/>
      <c r="Z947" s="5"/>
      <c r="AA947" s="5"/>
    </row>
    <row r="948" spans="1:27" ht="12.75" customHeight="1">
      <c r="A948" s="5"/>
      <c r="B948" s="5"/>
      <c r="C948" s="5"/>
      <c r="D948" s="5"/>
      <c r="E948" s="5"/>
      <c r="F948" s="5"/>
      <c r="G948" s="5"/>
      <c r="H948" s="306"/>
      <c r="I948" s="306"/>
      <c r="J948" s="5"/>
      <c r="K948" s="5"/>
      <c r="L948" s="5"/>
      <c r="M948" s="5"/>
      <c r="N948" s="5"/>
      <c r="O948" s="5"/>
      <c r="P948" s="57"/>
      <c r="Q948" s="5"/>
      <c r="R948" s="5"/>
      <c r="S948" s="5"/>
      <c r="T948" s="5"/>
      <c r="U948" s="5"/>
      <c r="V948" s="5"/>
      <c r="W948" s="5"/>
      <c r="X948" s="5"/>
      <c r="Y948" s="5"/>
      <c r="Z948" s="5"/>
      <c r="AA948" s="5"/>
    </row>
    <row r="949" spans="1:27" ht="12.75" customHeight="1">
      <c r="A949" s="5"/>
      <c r="B949" s="5"/>
      <c r="C949" s="5"/>
      <c r="D949" s="5"/>
      <c r="E949" s="5"/>
      <c r="F949" s="5"/>
      <c r="G949" s="5"/>
      <c r="H949" s="306"/>
      <c r="I949" s="306"/>
      <c r="J949" s="5"/>
      <c r="K949" s="5"/>
      <c r="L949" s="5"/>
      <c r="M949" s="5"/>
      <c r="N949" s="5"/>
      <c r="O949" s="5"/>
      <c r="P949" s="57"/>
      <c r="Q949" s="5"/>
      <c r="R949" s="5"/>
      <c r="S949" s="5"/>
      <c r="T949" s="5"/>
      <c r="U949" s="5"/>
      <c r="V949" s="5"/>
      <c r="W949" s="5"/>
      <c r="X949" s="5"/>
      <c r="Y949" s="5"/>
      <c r="Z949" s="5"/>
      <c r="AA949" s="5"/>
    </row>
    <row r="950" spans="1:27" ht="12.75" customHeight="1">
      <c r="A950" s="5"/>
      <c r="B950" s="5"/>
      <c r="C950" s="5"/>
      <c r="D950" s="5"/>
      <c r="E950" s="5"/>
      <c r="F950" s="5"/>
      <c r="G950" s="5"/>
      <c r="H950" s="306"/>
      <c r="I950" s="306"/>
      <c r="J950" s="5"/>
      <c r="K950" s="5"/>
      <c r="L950" s="5"/>
      <c r="M950" s="5"/>
      <c r="N950" s="5"/>
      <c r="O950" s="5"/>
      <c r="P950" s="57"/>
      <c r="Q950" s="5"/>
      <c r="R950" s="5"/>
      <c r="S950" s="5"/>
      <c r="T950" s="5"/>
      <c r="U950" s="5"/>
      <c r="V950" s="5"/>
      <c r="W950" s="5"/>
      <c r="X950" s="5"/>
      <c r="Y950" s="5"/>
      <c r="Z950" s="5"/>
      <c r="AA950" s="5"/>
    </row>
    <row r="951" spans="1:27" ht="12.75" customHeight="1">
      <c r="A951" s="5"/>
      <c r="B951" s="5"/>
      <c r="C951" s="5"/>
      <c r="D951" s="5"/>
      <c r="E951" s="5"/>
      <c r="F951" s="5"/>
      <c r="G951" s="5"/>
      <c r="H951" s="306"/>
      <c r="I951" s="306"/>
      <c r="J951" s="5"/>
      <c r="K951" s="5"/>
      <c r="L951" s="5"/>
      <c r="M951" s="5"/>
      <c r="N951" s="5"/>
      <c r="O951" s="5"/>
      <c r="P951" s="57"/>
      <c r="Q951" s="5"/>
      <c r="R951" s="5"/>
      <c r="S951" s="5"/>
      <c r="T951" s="5"/>
      <c r="U951" s="5"/>
      <c r="V951" s="5"/>
      <c r="W951" s="5"/>
      <c r="X951" s="5"/>
      <c r="Y951" s="5"/>
      <c r="Z951" s="5"/>
      <c r="AA951" s="5"/>
    </row>
    <row r="952" spans="1:27" ht="12.75" customHeight="1">
      <c r="A952" s="5"/>
      <c r="B952" s="5"/>
      <c r="C952" s="5"/>
      <c r="D952" s="5"/>
      <c r="E952" s="5"/>
      <c r="F952" s="5"/>
      <c r="G952" s="5"/>
      <c r="H952" s="306"/>
      <c r="I952" s="306"/>
      <c r="J952" s="5"/>
      <c r="K952" s="5"/>
      <c r="L952" s="5"/>
      <c r="M952" s="5"/>
      <c r="N952" s="5"/>
      <c r="O952" s="5"/>
      <c r="P952" s="57"/>
      <c r="Q952" s="5"/>
      <c r="R952" s="5"/>
      <c r="S952" s="5"/>
      <c r="T952" s="5"/>
      <c r="U952" s="5"/>
      <c r="V952" s="5"/>
      <c r="W952" s="5"/>
      <c r="X952" s="5"/>
      <c r="Y952" s="5"/>
      <c r="Z952" s="5"/>
      <c r="AA952" s="5"/>
    </row>
    <row r="953" spans="1:27" ht="12.75" customHeight="1">
      <c r="A953" s="5"/>
      <c r="B953" s="5"/>
      <c r="C953" s="5"/>
      <c r="D953" s="5"/>
      <c r="E953" s="5"/>
      <c r="F953" s="5"/>
      <c r="G953" s="5"/>
      <c r="H953" s="306"/>
      <c r="I953" s="306"/>
      <c r="J953" s="5"/>
      <c r="K953" s="5"/>
      <c r="L953" s="5"/>
      <c r="M953" s="5"/>
      <c r="N953" s="5"/>
      <c r="O953" s="5"/>
      <c r="P953" s="57"/>
      <c r="Q953" s="5"/>
      <c r="R953" s="5"/>
      <c r="S953" s="5"/>
      <c r="T953" s="5"/>
      <c r="U953" s="5"/>
      <c r="V953" s="5"/>
      <c r="W953" s="5"/>
      <c r="X953" s="5"/>
      <c r="Y953" s="5"/>
      <c r="Z953" s="5"/>
      <c r="AA953" s="5"/>
    </row>
    <row r="954" spans="1:27" ht="12.75" customHeight="1">
      <c r="A954" s="5"/>
      <c r="B954" s="5"/>
      <c r="C954" s="5"/>
      <c r="D954" s="5"/>
      <c r="E954" s="5"/>
      <c r="F954" s="5"/>
      <c r="G954" s="5"/>
      <c r="H954" s="306"/>
      <c r="I954" s="306"/>
      <c r="J954" s="5"/>
      <c r="K954" s="5"/>
      <c r="L954" s="5"/>
      <c r="M954" s="5"/>
      <c r="N954" s="5"/>
      <c r="O954" s="5"/>
      <c r="P954" s="57"/>
      <c r="Q954" s="5"/>
      <c r="R954" s="5"/>
      <c r="S954" s="5"/>
      <c r="T954" s="5"/>
      <c r="U954" s="5"/>
      <c r="V954" s="5"/>
      <c r="W954" s="5"/>
      <c r="X954" s="5"/>
      <c r="Y954" s="5"/>
      <c r="Z954" s="5"/>
      <c r="AA954" s="5"/>
    </row>
    <row r="955" spans="1:27" ht="12.75" customHeight="1">
      <c r="A955" s="5"/>
      <c r="B955" s="5"/>
      <c r="C955" s="5"/>
      <c r="D955" s="5"/>
      <c r="E955" s="5"/>
      <c r="F955" s="5"/>
      <c r="G955" s="5"/>
      <c r="H955" s="306"/>
      <c r="I955" s="306"/>
      <c r="J955" s="5"/>
      <c r="K955" s="5"/>
      <c r="L955" s="5"/>
      <c r="M955" s="5"/>
      <c r="N955" s="5"/>
      <c r="O955" s="5"/>
      <c r="P955" s="57"/>
      <c r="Q955" s="5"/>
      <c r="R955" s="5"/>
      <c r="S955" s="5"/>
      <c r="T955" s="5"/>
      <c r="U955" s="5"/>
      <c r="V955" s="5"/>
      <c r="W955" s="5"/>
      <c r="X955" s="5"/>
      <c r="Y955" s="5"/>
      <c r="Z955" s="5"/>
      <c r="AA955" s="5"/>
    </row>
    <row r="956" spans="1:27" ht="12.75" customHeight="1">
      <c r="A956" s="5"/>
      <c r="B956" s="5"/>
      <c r="C956" s="5"/>
      <c r="D956" s="5"/>
      <c r="E956" s="5"/>
      <c r="F956" s="5"/>
      <c r="G956" s="5"/>
      <c r="H956" s="306"/>
      <c r="I956" s="306"/>
      <c r="J956" s="5"/>
      <c r="K956" s="5"/>
      <c r="L956" s="5"/>
      <c r="M956" s="5"/>
      <c r="N956" s="5"/>
      <c r="O956" s="5"/>
      <c r="P956" s="57"/>
      <c r="Q956" s="5"/>
      <c r="R956" s="5"/>
      <c r="S956" s="5"/>
      <c r="T956" s="5"/>
      <c r="U956" s="5"/>
      <c r="V956" s="5"/>
      <c r="W956" s="5"/>
      <c r="X956" s="5"/>
      <c r="Y956" s="5"/>
      <c r="Z956" s="5"/>
      <c r="AA956" s="5"/>
    </row>
    <row r="957" spans="1:27" ht="12.75" customHeight="1">
      <c r="A957" s="5"/>
      <c r="B957" s="5"/>
      <c r="C957" s="5"/>
      <c r="D957" s="5"/>
      <c r="E957" s="5"/>
      <c r="F957" s="5"/>
      <c r="G957" s="5"/>
      <c r="H957" s="306"/>
      <c r="I957" s="306"/>
      <c r="J957" s="5"/>
      <c r="K957" s="5"/>
      <c r="L957" s="5"/>
      <c r="M957" s="5"/>
      <c r="N957" s="5"/>
      <c r="O957" s="5"/>
      <c r="P957" s="57"/>
      <c r="Q957" s="5"/>
      <c r="R957" s="5"/>
      <c r="S957" s="5"/>
      <c r="T957" s="5"/>
      <c r="U957" s="5"/>
      <c r="V957" s="5"/>
      <c r="W957" s="5"/>
      <c r="X957" s="5"/>
      <c r="Y957" s="5"/>
      <c r="Z957" s="5"/>
      <c r="AA957" s="5"/>
    </row>
    <row r="958" spans="1:27" ht="12.75" customHeight="1">
      <c r="A958" s="5"/>
      <c r="B958" s="5"/>
      <c r="C958" s="5"/>
      <c r="D958" s="5"/>
      <c r="E958" s="5"/>
      <c r="F958" s="5"/>
      <c r="G958" s="5"/>
      <c r="H958" s="306"/>
      <c r="I958" s="306"/>
      <c r="J958" s="5"/>
      <c r="K958" s="5"/>
      <c r="L958" s="5"/>
      <c r="M958" s="5"/>
      <c r="N958" s="5"/>
      <c r="O958" s="5"/>
      <c r="P958" s="57"/>
      <c r="Q958" s="5"/>
      <c r="R958" s="5"/>
      <c r="S958" s="5"/>
      <c r="T958" s="5"/>
      <c r="U958" s="5"/>
      <c r="V958" s="5"/>
      <c r="W958" s="5"/>
      <c r="X958" s="5"/>
      <c r="Y958" s="5"/>
      <c r="Z958" s="5"/>
      <c r="AA958" s="5"/>
    </row>
    <row r="959" spans="1:27" ht="12.75" customHeight="1">
      <c r="A959" s="5"/>
      <c r="B959" s="5"/>
      <c r="C959" s="5"/>
      <c r="D959" s="5"/>
      <c r="E959" s="5"/>
      <c r="F959" s="5"/>
      <c r="G959" s="5"/>
      <c r="H959" s="306"/>
      <c r="I959" s="306"/>
      <c r="J959" s="5"/>
      <c r="K959" s="5"/>
      <c r="L959" s="5"/>
      <c r="M959" s="5"/>
      <c r="N959" s="5"/>
      <c r="O959" s="5"/>
      <c r="P959" s="57"/>
      <c r="Q959" s="5"/>
      <c r="R959" s="5"/>
      <c r="S959" s="5"/>
      <c r="T959" s="5"/>
      <c r="U959" s="5"/>
      <c r="V959" s="5"/>
      <c r="W959" s="5"/>
      <c r="X959" s="5"/>
      <c r="Y959" s="5"/>
      <c r="Z959" s="5"/>
      <c r="AA959" s="5"/>
    </row>
    <row r="960" spans="1:27" ht="12.75" customHeight="1">
      <c r="A960" s="5"/>
      <c r="B960" s="5"/>
      <c r="C960" s="5"/>
      <c r="D960" s="5"/>
      <c r="E960" s="5"/>
      <c r="F960" s="5"/>
      <c r="G960" s="5"/>
      <c r="H960" s="306"/>
      <c r="I960" s="306"/>
      <c r="J960" s="5"/>
      <c r="K960" s="5"/>
      <c r="L960" s="5"/>
      <c r="M960" s="5"/>
      <c r="N960" s="5"/>
      <c r="O960" s="5"/>
      <c r="P960" s="57"/>
      <c r="Q960" s="5"/>
      <c r="R960" s="5"/>
      <c r="S960" s="5"/>
      <c r="T960" s="5"/>
      <c r="U960" s="5"/>
      <c r="V960" s="5"/>
      <c r="W960" s="5"/>
      <c r="X960" s="5"/>
      <c r="Y960" s="5"/>
      <c r="Z960" s="5"/>
      <c r="AA960" s="5"/>
    </row>
    <row r="961" spans="1:27" ht="12.75" customHeight="1">
      <c r="A961" s="5"/>
      <c r="B961" s="5"/>
      <c r="C961" s="5"/>
      <c r="D961" s="5"/>
      <c r="E961" s="5"/>
      <c r="F961" s="5"/>
      <c r="G961" s="5"/>
      <c r="H961" s="306"/>
      <c r="I961" s="306"/>
      <c r="J961" s="5"/>
      <c r="K961" s="5"/>
      <c r="L961" s="5"/>
      <c r="M961" s="5"/>
      <c r="N961" s="5"/>
      <c r="O961" s="5"/>
      <c r="P961" s="57"/>
      <c r="Q961" s="5"/>
      <c r="R961" s="5"/>
      <c r="S961" s="5"/>
      <c r="T961" s="5"/>
      <c r="U961" s="5"/>
      <c r="V961" s="5"/>
      <c r="W961" s="5"/>
      <c r="X961" s="5"/>
      <c r="Y961" s="5"/>
      <c r="Z961" s="5"/>
      <c r="AA961" s="5"/>
    </row>
    <row r="962" spans="1:27" ht="12.75" customHeight="1">
      <c r="A962" s="5"/>
      <c r="B962" s="5"/>
      <c r="C962" s="5"/>
      <c r="D962" s="5"/>
      <c r="E962" s="5"/>
      <c r="F962" s="5"/>
      <c r="G962" s="5"/>
      <c r="H962" s="306"/>
      <c r="I962" s="306"/>
      <c r="J962" s="5"/>
      <c r="K962" s="5"/>
      <c r="L962" s="5"/>
      <c r="M962" s="5"/>
      <c r="N962" s="5"/>
      <c r="O962" s="5"/>
      <c r="P962" s="57"/>
      <c r="Q962" s="5"/>
      <c r="R962" s="5"/>
      <c r="S962" s="5"/>
      <c r="T962" s="5"/>
      <c r="U962" s="5"/>
      <c r="V962" s="5"/>
      <c r="W962" s="5"/>
      <c r="X962" s="5"/>
      <c r="Y962" s="5"/>
      <c r="Z962" s="5"/>
      <c r="AA962" s="5"/>
    </row>
    <row r="963" spans="1:27" ht="12.75" customHeight="1">
      <c r="A963" s="5"/>
      <c r="B963" s="5"/>
      <c r="C963" s="5"/>
      <c r="D963" s="5"/>
      <c r="E963" s="5"/>
      <c r="F963" s="5"/>
      <c r="G963" s="5"/>
      <c r="H963" s="306"/>
      <c r="I963" s="306"/>
      <c r="J963" s="5"/>
      <c r="K963" s="5"/>
      <c r="L963" s="5"/>
      <c r="M963" s="5"/>
      <c r="N963" s="5"/>
      <c r="O963" s="5"/>
      <c r="P963" s="57"/>
      <c r="Q963" s="5"/>
      <c r="R963" s="5"/>
      <c r="S963" s="5"/>
      <c r="T963" s="5"/>
      <c r="U963" s="5"/>
      <c r="V963" s="5"/>
      <c r="W963" s="5"/>
      <c r="X963" s="5"/>
      <c r="Y963" s="5"/>
      <c r="Z963" s="5"/>
      <c r="AA963" s="5"/>
    </row>
    <row r="964" spans="1:27" ht="12.75" customHeight="1">
      <c r="A964" s="5"/>
      <c r="B964" s="5"/>
      <c r="C964" s="5"/>
      <c r="D964" s="5"/>
      <c r="E964" s="5"/>
      <c r="F964" s="5"/>
      <c r="G964" s="5"/>
      <c r="H964" s="306"/>
      <c r="I964" s="306"/>
      <c r="J964" s="5"/>
      <c r="K964" s="5"/>
      <c r="L964" s="5"/>
      <c r="M964" s="5"/>
      <c r="N964" s="5"/>
      <c r="O964" s="5"/>
      <c r="P964" s="57"/>
      <c r="Q964" s="5"/>
      <c r="R964" s="5"/>
      <c r="S964" s="5"/>
      <c r="T964" s="5"/>
      <c r="U964" s="5"/>
      <c r="V964" s="5"/>
      <c r="W964" s="5"/>
      <c r="X964" s="5"/>
      <c r="Y964" s="5"/>
      <c r="Z964" s="5"/>
      <c r="AA964" s="5"/>
    </row>
    <row r="965" spans="1:27" ht="12.75" customHeight="1">
      <c r="A965" s="5"/>
      <c r="B965" s="5"/>
      <c r="C965" s="5"/>
      <c r="D965" s="5"/>
      <c r="E965" s="5"/>
      <c r="F965" s="5"/>
      <c r="G965" s="5"/>
      <c r="H965" s="306"/>
      <c r="I965" s="306"/>
      <c r="J965" s="5"/>
      <c r="K965" s="5"/>
      <c r="L965" s="5"/>
      <c r="M965" s="5"/>
      <c r="N965" s="5"/>
      <c r="O965" s="5"/>
      <c r="P965" s="57"/>
      <c r="Q965" s="5"/>
      <c r="R965" s="5"/>
      <c r="S965" s="5"/>
      <c r="T965" s="5"/>
      <c r="U965" s="5"/>
      <c r="V965" s="5"/>
      <c r="W965" s="5"/>
      <c r="X965" s="5"/>
      <c r="Y965" s="5"/>
      <c r="Z965" s="5"/>
      <c r="AA965" s="5"/>
    </row>
    <row r="966" spans="1:27" ht="12.75" customHeight="1">
      <c r="A966" s="5"/>
      <c r="B966" s="5"/>
      <c r="C966" s="5"/>
      <c r="D966" s="5"/>
      <c r="E966" s="5"/>
      <c r="F966" s="5"/>
      <c r="G966" s="5"/>
      <c r="H966" s="306"/>
      <c r="I966" s="306"/>
      <c r="J966" s="5"/>
      <c r="K966" s="5"/>
      <c r="L966" s="5"/>
      <c r="M966" s="5"/>
      <c r="N966" s="5"/>
      <c r="O966" s="5"/>
      <c r="P966" s="57"/>
      <c r="Q966" s="5"/>
      <c r="R966" s="5"/>
      <c r="S966" s="5"/>
      <c r="T966" s="5"/>
      <c r="U966" s="5"/>
      <c r="V966" s="5"/>
      <c r="W966" s="5"/>
      <c r="X966" s="5"/>
      <c r="Y966" s="5"/>
      <c r="Z966" s="5"/>
      <c r="AA966" s="5"/>
    </row>
    <row r="967" spans="1:27" ht="12.75" customHeight="1">
      <c r="A967" s="5"/>
      <c r="B967" s="5"/>
      <c r="C967" s="5"/>
      <c r="D967" s="5"/>
      <c r="E967" s="5"/>
      <c r="F967" s="5"/>
      <c r="G967" s="5"/>
      <c r="H967" s="306"/>
      <c r="I967" s="306"/>
      <c r="J967" s="5"/>
      <c r="K967" s="5"/>
      <c r="L967" s="5"/>
      <c r="M967" s="5"/>
      <c r="N967" s="5"/>
      <c r="O967" s="5"/>
      <c r="P967" s="57"/>
      <c r="Q967" s="5"/>
      <c r="R967" s="5"/>
      <c r="S967" s="5"/>
      <c r="T967" s="5"/>
      <c r="U967" s="5"/>
      <c r="V967" s="5"/>
      <c r="W967" s="5"/>
      <c r="X967" s="5"/>
      <c r="Y967" s="5"/>
      <c r="Z967" s="5"/>
      <c r="AA967" s="5"/>
    </row>
    <row r="968" spans="1:27" ht="12.75" customHeight="1">
      <c r="A968" s="5"/>
      <c r="B968" s="5"/>
      <c r="C968" s="5"/>
      <c r="D968" s="5"/>
      <c r="E968" s="5"/>
      <c r="F968" s="5"/>
      <c r="G968" s="5"/>
      <c r="H968" s="306"/>
      <c r="I968" s="306"/>
      <c r="J968" s="5"/>
      <c r="K968" s="5"/>
      <c r="L968" s="5"/>
      <c r="M968" s="5"/>
      <c r="N968" s="5"/>
      <c r="O968" s="5"/>
      <c r="P968" s="57"/>
      <c r="Q968" s="5"/>
      <c r="R968" s="5"/>
      <c r="S968" s="5"/>
      <c r="T968" s="5"/>
      <c r="U968" s="5"/>
      <c r="V968" s="5"/>
      <c r="W968" s="5"/>
      <c r="X968" s="5"/>
      <c r="Y968" s="5"/>
      <c r="Z968" s="5"/>
      <c r="AA968" s="5"/>
    </row>
    <row r="969" spans="1:27" ht="12.75" customHeight="1">
      <c r="A969" s="5"/>
      <c r="B969" s="5"/>
      <c r="C969" s="5"/>
      <c r="D969" s="5"/>
      <c r="E969" s="5"/>
      <c r="F969" s="5"/>
      <c r="G969" s="5"/>
      <c r="H969" s="306"/>
      <c r="I969" s="306"/>
      <c r="J969" s="5"/>
      <c r="K969" s="5"/>
      <c r="L969" s="5"/>
      <c r="M969" s="5"/>
      <c r="N969" s="5"/>
      <c r="O969" s="5"/>
      <c r="P969" s="57"/>
      <c r="Q969" s="5"/>
      <c r="R969" s="5"/>
      <c r="S969" s="5"/>
      <c r="T969" s="5"/>
      <c r="U969" s="5"/>
      <c r="V969" s="5"/>
      <c r="W969" s="5"/>
      <c r="X969" s="5"/>
      <c r="Y969" s="5"/>
      <c r="Z969" s="5"/>
      <c r="AA969" s="5"/>
    </row>
    <row r="970" spans="1:27" ht="12.75" customHeight="1">
      <c r="A970" s="5"/>
      <c r="B970" s="5"/>
      <c r="C970" s="5"/>
      <c r="D970" s="5"/>
      <c r="E970" s="5"/>
      <c r="F970" s="5"/>
      <c r="G970" s="5"/>
      <c r="H970" s="306"/>
      <c r="I970" s="306"/>
      <c r="J970" s="5"/>
      <c r="K970" s="5"/>
      <c r="L970" s="5"/>
      <c r="M970" s="5"/>
      <c r="N970" s="5"/>
      <c r="O970" s="5"/>
      <c r="P970" s="57"/>
      <c r="Q970" s="5"/>
      <c r="R970" s="5"/>
      <c r="S970" s="5"/>
      <c r="T970" s="5"/>
      <c r="U970" s="5"/>
      <c r="V970" s="5"/>
      <c r="W970" s="5"/>
      <c r="X970" s="5"/>
      <c r="Y970" s="5"/>
      <c r="Z970" s="5"/>
      <c r="AA970" s="5"/>
    </row>
    <row r="971" spans="1:27" ht="12.75" customHeight="1">
      <c r="A971" s="5"/>
      <c r="B971" s="5"/>
      <c r="C971" s="5"/>
      <c r="D971" s="5"/>
      <c r="E971" s="5"/>
      <c r="F971" s="5"/>
      <c r="G971" s="5"/>
      <c r="H971" s="306"/>
      <c r="I971" s="306"/>
      <c r="J971" s="5"/>
      <c r="K971" s="5"/>
      <c r="L971" s="5"/>
      <c r="M971" s="5"/>
      <c r="N971" s="5"/>
      <c r="O971" s="5"/>
      <c r="P971" s="57"/>
      <c r="Q971" s="5"/>
      <c r="R971" s="5"/>
      <c r="S971" s="5"/>
      <c r="T971" s="5"/>
      <c r="U971" s="5"/>
      <c r="V971" s="5"/>
      <c r="W971" s="5"/>
      <c r="X971" s="5"/>
      <c r="Y971" s="5"/>
      <c r="Z971" s="5"/>
      <c r="AA971" s="5"/>
    </row>
    <row r="972" spans="1:27" ht="12.75" customHeight="1">
      <c r="A972" s="5"/>
      <c r="B972" s="5"/>
      <c r="C972" s="5"/>
      <c r="D972" s="5"/>
      <c r="E972" s="5"/>
      <c r="F972" s="5"/>
      <c r="G972" s="5"/>
      <c r="H972" s="306"/>
      <c r="I972" s="306"/>
      <c r="J972" s="5"/>
      <c r="K972" s="5"/>
      <c r="L972" s="5"/>
      <c r="M972" s="5"/>
      <c r="N972" s="5"/>
      <c r="O972" s="5"/>
      <c r="P972" s="57"/>
      <c r="Q972" s="5"/>
      <c r="R972" s="5"/>
      <c r="S972" s="5"/>
      <c r="T972" s="5"/>
      <c r="U972" s="5"/>
      <c r="V972" s="5"/>
      <c r="W972" s="5"/>
      <c r="X972" s="5"/>
      <c r="Y972" s="5"/>
      <c r="Z972" s="5"/>
      <c r="AA972" s="5"/>
    </row>
    <row r="973" spans="1:27" ht="12.75" customHeight="1">
      <c r="A973" s="5"/>
      <c r="B973" s="5"/>
      <c r="C973" s="5"/>
      <c r="D973" s="5"/>
      <c r="E973" s="5"/>
      <c r="F973" s="5"/>
      <c r="G973" s="5"/>
      <c r="H973" s="306"/>
      <c r="I973" s="306"/>
      <c r="J973" s="5"/>
      <c r="K973" s="5"/>
      <c r="L973" s="5"/>
      <c r="M973" s="5"/>
      <c r="N973" s="5"/>
      <c r="O973" s="5"/>
      <c r="P973" s="57"/>
      <c r="Q973" s="5"/>
      <c r="R973" s="5"/>
      <c r="S973" s="5"/>
      <c r="T973" s="5"/>
      <c r="U973" s="5"/>
      <c r="V973" s="5"/>
      <c r="W973" s="5"/>
      <c r="X973" s="5"/>
      <c r="Y973" s="5"/>
      <c r="Z973" s="5"/>
      <c r="AA973" s="5"/>
    </row>
    <row r="974" spans="1:27" ht="12.75" customHeight="1">
      <c r="A974" s="5"/>
      <c r="B974" s="5"/>
      <c r="C974" s="5"/>
      <c r="D974" s="5"/>
      <c r="E974" s="5"/>
      <c r="F974" s="5"/>
      <c r="G974" s="5"/>
      <c r="H974" s="306"/>
      <c r="I974" s="306"/>
      <c r="J974" s="5"/>
      <c r="K974" s="5"/>
      <c r="L974" s="5"/>
      <c r="M974" s="5"/>
      <c r="N974" s="5"/>
      <c r="O974" s="5"/>
      <c r="P974" s="57"/>
      <c r="Q974" s="5"/>
      <c r="R974" s="5"/>
      <c r="S974" s="5"/>
      <c r="T974" s="5"/>
      <c r="U974" s="5"/>
      <c r="V974" s="5"/>
      <c r="W974" s="5"/>
      <c r="X974" s="5"/>
      <c r="Y974" s="5"/>
      <c r="Z974" s="5"/>
      <c r="AA974" s="5"/>
    </row>
    <row r="975" spans="1:27" ht="12.75" customHeight="1">
      <c r="A975" s="5"/>
      <c r="B975" s="5"/>
      <c r="C975" s="5"/>
      <c r="D975" s="5"/>
      <c r="E975" s="5"/>
      <c r="F975" s="5"/>
      <c r="G975" s="5"/>
      <c r="H975" s="306"/>
      <c r="I975" s="306"/>
      <c r="J975" s="5"/>
      <c r="K975" s="5"/>
      <c r="L975" s="5"/>
      <c r="M975" s="5"/>
      <c r="N975" s="5"/>
      <c r="O975" s="5"/>
      <c r="P975" s="57"/>
      <c r="Q975" s="5"/>
      <c r="R975" s="5"/>
      <c r="S975" s="5"/>
      <c r="T975" s="5"/>
      <c r="U975" s="5"/>
      <c r="V975" s="5"/>
      <c r="W975" s="5"/>
      <c r="X975" s="5"/>
      <c r="Y975" s="5"/>
      <c r="Z975" s="5"/>
      <c r="AA975" s="5"/>
    </row>
    <row r="976" spans="1:27" ht="12.75" customHeight="1">
      <c r="A976" s="5"/>
      <c r="B976" s="5"/>
      <c r="C976" s="5"/>
      <c r="D976" s="5"/>
      <c r="E976" s="5"/>
      <c r="F976" s="5"/>
      <c r="G976" s="5"/>
      <c r="H976" s="306"/>
      <c r="I976" s="306"/>
      <c r="J976" s="5"/>
      <c r="K976" s="5"/>
      <c r="L976" s="5"/>
      <c r="M976" s="5"/>
      <c r="N976" s="5"/>
      <c r="O976" s="5"/>
      <c r="P976" s="57"/>
      <c r="Q976" s="5"/>
      <c r="R976" s="5"/>
      <c r="S976" s="5"/>
      <c r="T976" s="5"/>
      <c r="U976" s="5"/>
      <c r="V976" s="5"/>
      <c r="W976" s="5"/>
      <c r="X976" s="5"/>
      <c r="Y976" s="5"/>
      <c r="Z976" s="5"/>
      <c r="AA976" s="5"/>
    </row>
    <row r="977" spans="1:27" ht="12.75" customHeight="1">
      <c r="A977" s="5"/>
      <c r="B977" s="5"/>
      <c r="C977" s="5"/>
      <c r="D977" s="5"/>
      <c r="E977" s="5"/>
      <c r="F977" s="5"/>
      <c r="G977" s="5"/>
      <c r="H977" s="306"/>
      <c r="I977" s="306"/>
      <c r="J977" s="5"/>
      <c r="K977" s="5"/>
      <c r="L977" s="5"/>
      <c r="M977" s="5"/>
      <c r="N977" s="5"/>
      <c r="O977" s="5"/>
      <c r="P977" s="57"/>
      <c r="Q977" s="5"/>
      <c r="R977" s="5"/>
      <c r="S977" s="5"/>
      <c r="T977" s="5"/>
      <c r="U977" s="5"/>
      <c r="V977" s="5"/>
      <c r="W977" s="5"/>
      <c r="X977" s="5"/>
      <c r="Y977" s="5"/>
      <c r="Z977" s="5"/>
      <c r="AA977" s="5"/>
    </row>
    <row r="978" spans="1:27" ht="12.75" customHeight="1">
      <c r="A978" s="5"/>
      <c r="B978" s="5"/>
      <c r="C978" s="5"/>
      <c r="D978" s="5"/>
      <c r="E978" s="5"/>
      <c r="F978" s="5"/>
      <c r="G978" s="5"/>
      <c r="H978" s="306"/>
      <c r="I978" s="306"/>
      <c r="J978" s="5"/>
      <c r="K978" s="5"/>
      <c r="L978" s="5"/>
      <c r="M978" s="5"/>
      <c r="N978" s="5"/>
      <c r="O978" s="5"/>
      <c r="P978" s="57"/>
      <c r="Q978" s="5"/>
      <c r="R978" s="5"/>
      <c r="S978" s="5"/>
      <c r="T978" s="5"/>
      <c r="U978" s="5"/>
      <c r="V978" s="5"/>
      <c r="W978" s="5"/>
      <c r="X978" s="5"/>
      <c r="Y978" s="5"/>
      <c r="Z978" s="5"/>
      <c r="AA978" s="5"/>
    </row>
    <row r="979" spans="1:27" ht="12.75" customHeight="1">
      <c r="A979" s="5"/>
      <c r="B979" s="5"/>
      <c r="C979" s="5"/>
      <c r="D979" s="5"/>
      <c r="E979" s="5"/>
      <c r="F979" s="5"/>
      <c r="G979" s="5"/>
      <c r="H979" s="306"/>
      <c r="I979" s="306"/>
      <c r="J979" s="5"/>
      <c r="K979" s="5"/>
      <c r="L979" s="5"/>
      <c r="M979" s="5"/>
      <c r="N979" s="5"/>
      <c r="O979" s="5"/>
      <c r="P979" s="57"/>
      <c r="Q979" s="5"/>
      <c r="R979" s="5"/>
      <c r="S979" s="5"/>
      <c r="T979" s="5"/>
      <c r="U979" s="5"/>
      <c r="V979" s="5"/>
      <c r="W979" s="5"/>
      <c r="X979" s="5"/>
      <c r="Y979" s="5"/>
      <c r="Z979" s="5"/>
      <c r="AA979" s="5"/>
    </row>
    <row r="980" spans="1:27" ht="12.75" customHeight="1">
      <c r="A980" s="5"/>
      <c r="B980" s="5"/>
      <c r="C980" s="5"/>
      <c r="D980" s="5"/>
      <c r="E980" s="5"/>
      <c r="F980" s="5"/>
      <c r="G980" s="5"/>
      <c r="H980" s="306"/>
      <c r="I980" s="306"/>
      <c r="J980" s="5"/>
      <c r="K980" s="5"/>
      <c r="L980" s="5"/>
      <c r="M980" s="5"/>
      <c r="N980" s="5"/>
      <c r="O980" s="5"/>
      <c r="P980" s="57"/>
      <c r="Q980" s="5"/>
      <c r="R980" s="5"/>
      <c r="S980" s="5"/>
      <c r="T980" s="5"/>
      <c r="U980" s="5"/>
      <c r="V980" s="5"/>
      <c r="W980" s="5"/>
      <c r="X980" s="5"/>
      <c r="Y980" s="5"/>
      <c r="Z980" s="5"/>
      <c r="AA980" s="5"/>
    </row>
    <row r="981" spans="1:27" ht="12.75" customHeight="1">
      <c r="A981" s="5"/>
      <c r="B981" s="5"/>
      <c r="C981" s="5"/>
      <c r="D981" s="5"/>
      <c r="E981" s="5"/>
      <c r="F981" s="5"/>
      <c r="G981" s="5"/>
      <c r="H981" s="306"/>
      <c r="I981" s="306"/>
      <c r="J981" s="5"/>
      <c r="K981" s="5"/>
      <c r="L981" s="5"/>
      <c r="M981" s="5"/>
      <c r="N981" s="5"/>
      <c r="O981" s="5"/>
      <c r="P981" s="57"/>
      <c r="Q981" s="5"/>
      <c r="R981" s="5"/>
      <c r="S981" s="5"/>
      <c r="T981" s="5"/>
      <c r="U981" s="5"/>
      <c r="V981" s="5"/>
      <c r="W981" s="5"/>
      <c r="X981" s="5"/>
      <c r="Y981" s="5"/>
      <c r="Z981" s="5"/>
      <c r="AA981" s="5"/>
    </row>
    <row r="982" spans="1:27" ht="12.75" customHeight="1">
      <c r="A982" s="5"/>
      <c r="B982" s="5"/>
      <c r="C982" s="5"/>
      <c r="D982" s="5"/>
      <c r="E982" s="5"/>
      <c r="F982" s="5"/>
      <c r="G982" s="5"/>
      <c r="H982" s="306"/>
      <c r="I982" s="306"/>
      <c r="J982" s="5"/>
      <c r="K982" s="5"/>
      <c r="L982" s="5"/>
      <c r="M982" s="5"/>
      <c r="N982" s="5"/>
      <c r="O982" s="5"/>
      <c r="P982" s="57"/>
      <c r="Q982" s="5"/>
      <c r="R982" s="5"/>
      <c r="S982" s="5"/>
      <c r="T982" s="5"/>
      <c r="U982" s="5"/>
      <c r="V982" s="5"/>
      <c r="W982" s="5"/>
      <c r="X982" s="5"/>
      <c r="Y982" s="5"/>
      <c r="Z982" s="5"/>
      <c r="AA982" s="5"/>
    </row>
    <row r="983" spans="1:27" ht="12.75" customHeight="1">
      <c r="A983" s="5"/>
      <c r="B983" s="5"/>
      <c r="C983" s="5"/>
      <c r="D983" s="5"/>
      <c r="E983" s="5"/>
      <c r="F983" s="5"/>
      <c r="G983" s="5"/>
      <c r="H983" s="306"/>
      <c r="I983" s="306"/>
      <c r="J983" s="5"/>
      <c r="K983" s="5"/>
      <c r="L983" s="5"/>
      <c r="M983" s="5"/>
      <c r="N983" s="5"/>
      <c r="O983" s="5"/>
      <c r="P983" s="57"/>
      <c r="Q983" s="5"/>
      <c r="R983" s="5"/>
      <c r="S983" s="5"/>
      <c r="T983" s="5"/>
      <c r="U983" s="5"/>
      <c r="V983" s="5"/>
      <c r="W983" s="5"/>
      <c r="X983" s="5"/>
      <c r="Y983" s="5"/>
      <c r="Z983" s="5"/>
      <c r="AA983" s="5"/>
    </row>
    <row r="984" spans="1:27" ht="12.75" customHeight="1">
      <c r="A984" s="5"/>
      <c r="B984" s="5"/>
      <c r="C984" s="5"/>
      <c r="D984" s="5"/>
      <c r="E984" s="5"/>
      <c r="F984" s="5"/>
      <c r="G984" s="5"/>
      <c r="H984" s="306"/>
      <c r="I984" s="306"/>
      <c r="J984" s="5"/>
      <c r="K984" s="5"/>
      <c r="L984" s="5"/>
      <c r="M984" s="5"/>
      <c r="N984" s="5"/>
      <c r="O984" s="5"/>
      <c r="P984" s="57"/>
      <c r="Q984" s="5"/>
      <c r="R984" s="5"/>
      <c r="S984" s="5"/>
      <c r="T984" s="5"/>
      <c r="U984" s="5"/>
      <c r="V984" s="5"/>
      <c r="W984" s="5"/>
      <c r="X984" s="5"/>
      <c r="Y984" s="5"/>
      <c r="Z984" s="5"/>
      <c r="AA984" s="5"/>
    </row>
    <row r="985" spans="1:27" ht="12.75" customHeight="1">
      <c r="A985" s="5"/>
      <c r="B985" s="5"/>
      <c r="C985" s="5"/>
      <c r="D985" s="5"/>
      <c r="E985" s="5"/>
      <c r="F985" s="5"/>
      <c r="G985" s="5"/>
      <c r="H985" s="306"/>
      <c r="I985" s="306"/>
      <c r="J985" s="5"/>
      <c r="K985" s="5"/>
      <c r="L985" s="5"/>
      <c r="M985" s="5"/>
      <c r="N985" s="5"/>
      <c r="O985" s="5"/>
      <c r="P985" s="57"/>
      <c r="Q985" s="5"/>
      <c r="R985" s="5"/>
      <c r="S985" s="5"/>
      <c r="T985" s="5"/>
      <c r="U985" s="5"/>
      <c r="V985" s="5"/>
      <c r="W985" s="5"/>
      <c r="X985" s="5"/>
      <c r="Y985" s="5"/>
      <c r="Z985" s="5"/>
      <c r="AA985" s="5"/>
    </row>
    <row r="986" spans="1:27" ht="12.75" customHeight="1">
      <c r="A986" s="5"/>
      <c r="B986" s="5"/>
      <c r="C986" s="5"/>
      <c r="D986" s="5"/>
      <c r="E986" s="5"/>
      <c r="F986" s="5"/>
      <c r="G986" s="5"/>
      <c r="H986" s="306"/>
      <c r="I986" s="306"/>
      <c r="J986" s="5"/>
      <c r="K986" s="5"/>
      <c r="L986" s="5"/>
      <c r="M986" s="5"/>
      <c r="N986" s="5"/>
      <c r="O986" s="5"/>
      <c r="P986" s="57"/>
      <c r="Q986" s="5"/>
      <c r="R986" s="5"/>
      <c r="S986" s="5"/>
      <c r="T986" s="5"/>
      <c r="U986" s="5"/>
      <c r="V986" s="5"/>
      <c r="W986" s="5"/>
      <c r="X986" s="5"/>
      <c r="Y986" s="5"/>
      <c r="Z986" s="5"/>
      <c r="AA986" s="5"/>
    </row>
    <row r="987" spans="1:27" ht="12.75" customHeight="1">
      <c r="A987" s="5"/>
      <c r="B987" s="5"/>
      <c r="C987" s="5"/>
      <c r="D987" s="5"/>
      <c r="E987" s="5"/>
      <c r="F987" s="5"/>
      <c r="G987" s="5"/>
      <c r="H987" s="306"/>
      <c r="I987" s="306"/>
      <c r="J987" s="5"/>
      <c r="K987" s="5"/>
      <c r="L987" s="5"/>
      <c r="M987" s="5"/>
      <c r="N987" s="5"/>
      <c r="O987" s="5"/>
      <c r="P987" s="57"/>
      <c r="Q987" s="5"/>
      <c r="R987" s="5"/>
      <c r="S987" s="5"/>
      <c r="T987" s="5"/>
      <c r="U987" s="5"/>
      <c r="V987" s="5"/>
      <c r="W987" s="5"/>
      <c r="X987" s="5"/>
      <c r="Y987" s="5"/>
      <c r="Z987" s="5"/>
      <c r="AA987" s="5"/>
    </row>
    <row r="988" spans="1:27" ht="12.75" customHeight="1">
      <c r="A988" s="5"/>
      <c r="B988" s="5"/>
      <c r="C988" s="5"/>
      <c r="D988" s="5"/>
      <c r="E988" s="5"/>
      <c r="F988" s="5"/>
      <c r="G988" s="5"/>
      <c r="H988" s="306"/>
      <c r="I988" s="306"/>
      <c r="J988" s="5"/>
      <c r="K988" s="5"/>
      <c r="L988" s="5"/>
      <c r="M988" s="5"/>
      <c r="N988" s="5"/>
      <c r="O988" s="5"/>
      <c r="P988" s="57"/>
      <c r="Q988" s="5"/>
      <c r="R988" s="5"/>
      <c r="S988" s="5"/>
      <c r="T988" s="5"/>
      <c r="U988" s="5"/>
      <c r="V988" s="5"/>
      <c r="W988" s="5"/>
      <c r="X988" s="5"/>
      <c r="Y988" s="5"/>
      <c r="Z988" s="5"/>
      <c r="AA988" s="5"/>
    </row>
    <row r="989" spans="1:27" ht="12.75" customHeight="1">
      <c r="A989" s="5"/>
      <c r="B989" s="5"/>
      <c r="C989" s="5"/>
      <c r="D989" s="5"/>
      <c r="E989" s="5"/>
      <c r="F989" s="5"/>
      <c r="G989" s="5"/>
      <c r="H989" s="306"/>
      <c r="I989" s="306"/>
      <c r="J989" s="5"/>
      <c r="K989" s="5"/>
      <c r="L989" s="5"/>
      <c r="M989" s="5"/>
      <c r="N989" s="5"/>
      <c r="O989" s="5"/>
      <c r="P989" s="57"/>
      <c r="Q989" s="5"/>
      <c r="R989" s="5"/>
      <c r="S989" s="5"/>
      <c r="T989" s="5"/>
      <c r="U989" s="5"/>
      <c r="V989" s="5"/>
      <c r="W989" s="5"/>
      <c r="X989" s="5"/>
      <c r="Y989" s="5"/>
      <c r="Z989" s="5"/>
      <c r="AA989" s="5"/>
    </row>
    <row r="990" spans="1:27" ht="12.75" customHeight="1">
      <c r="A990" s="5"/>
      <c r="B990" s="5"/>
      <c r="C990" s="5"/>
      <c r="D990" s="5"/>
      <c r="E990" s="5"/>
      <c r="F990" s="5"/>
      <c r="G990" s="5"/>
      <c r="H990" s="306"/>
      <c r="I990" s="306"/>
      <c r="J990" s="5"/>
      <c r="K990" s="5"/>
      <c r="L990" s="5"/>
      <c r="M990" s="5"/>
      <c r="N990" s="5"/>
      <c r="O990" s="5"/>
      <c r="P990" s="57"/>
      <c r="Q990" s="5"/>
      <c r="R990" s="5"/>
      <c r="S990" s="5"/>
      <c r="T990" s="5"/>
      <c r="U990" s="5"/>
      <c r="V990" s="5"/>
      <c r="W990" s="5"/>
      <c r="X990" s="5"/>
      <c r="Y990" s="5"/>
      <c r="Z990" s="5"/>
      <c r="AA990" s="5"/>
    </row>
    <row r="991" spans="1:27" ht="12.75" customHeight="1">
      <c r="A991" s="5"/>
      <c r="B991" s="5"/>
      <c r="C991" s="5"/>
      <c r="D991" s="5"/>
      <c r="E991" s="5"/>
      <c r="F991" s="5"/>
      <c r="G991" s="5"/>
      <c r="H991" s="306"/>
      <c r="I991" s="306"/>
      <c r="J991" s="5"/>
      <c r="K991" s="5"/>
      <c r="L991" s="5"/>
      <c r="M991" s="5"/>
      <c r="N991" s="5"/>
      <c r="O991" s="5"/>
      <c r="P991" s="57"/>
      <c r="Q991" s="5"/>
      <c r="R991" s="5"/>
      <c r="S991" s="5"/>
      <c r="T991" s="5"/>
      <c r="U991" s="5"/>
      <c r="V991" s="5"/>
      <c r="W991" s="5"/>
      <c r="X991" s="5"/>
      <c r="Y991" s="5"/>
      <c r="Z991" s="5"/>
      <c r="AA991" s="5"/>
    </row>
    <row r="992" spans="1:27" ht="12.75" customHeight="1">
      <c r="A992" s="5"/>
      <c r="B992" s="5"/>
      <c r="C992" s="5"/>
      <c r="D992" s="5"/>
      <c r="E992" s="5"/>
      <c r="F992" s="5"/>
      <c r="G992" s="5"/>
      <c r="H992" s="306"/>
      <c r="I992" s="306"/>
      <c r="J992" s="5"/>
      <c r="K992" s="5"/>
      <c r="L992" s="5"/>
      <c r="M992" s="5"/>
      <c r="N992" s="5"/>
      <c r="O992" s="5"/>
      <c r="P992" s="57"/>
      <c r="Q992" s="5"/>
      <c r="R992" s="5"/>
      <c r="S992" s="5"/>
      <c r="T992" s="5"/>
      <c r="U992" s="5"/>
      <c r="V992" s="5"/>
      <c r="W992" s="5"/>
      <c r="X992" s="5"/>
      <c r="Y992" s="5"/>
      <c r="Z992" s="5"/>
      <c r="AA992" s="5"/>
    </row>
    <row r="993" spans="1:27" ht="12.75" customHeight="1">
      <c r="A993" s="5"/>
      <c r="B993" s="5"/>
      <c r="C993" s="5"/>
      <c r="D993" s="5"/>
      <c r="E993" s="5"/>
      <c r="F993" s="5"/>
      <c r="G993" s="5"/>
      <c r="H993" s="306"/>
      <c r="I993" s="306"/>
      <c r="J993" s="5"/>
      <c r="K993" s="5"/>
      <c r="L993" s="5"/>
      <c r="M993" s="5"/>
      <c r="N993" s="5"/>
      <c r="O993" s="5"/>
      <c r="P993" s="57"/>
      <c r="Q993" s="5"/>
      <c r="R993" s="5"/>
      <c r="S993" s="5"/>
      <c r="T993" s="5"/>
      <c r="U993" s="5"/>
      <c r="V993" s="5"/>
      <c r="W993" s="5"/>
      <c r="X993" s="5"/>
      <c r="Y993" s="5"/>
      <c r="Z993" s="5"/>
      <c r="AA993" s="5"/>
    </row>
    <row r="994" spans="1:27" ht="12.75" customHeight="1">
      <c r="A994" s="5"/>
      <c r="B994" s="5"/>
      <c r="C994" s="5"/>
      <c r="D994" s="5"/>
      <c r="E994" s="5"/>
      <c r="F994" s="5"/>
      <c r="G994" s="5"/>
      <c r="H994" s="306"/>
      <c r="I994" s="306"/>
      <c r="J994" s="5"/>
      <c r="K994" s="5"/>
      <c r="L994" s="5"/>
      <c r="M994" s="5"/>
      <c r="N994" s="5"/>
      <c r="O994" s="5"/>
      <c r="P994" s="57"/>
      <c r="Q994" s="5"/>
      <c r="R994" s="5"/>
      <c r="S994" s="5"/>
      <c r="T994" s="5"/>
      <c r="U994" s="5"/>
      <c r="V994" s="5"/>
      <c r="W994" s="5"/>
      <c r="X994" s="5"/>
      <c r="Y994" s="5"/>
      <c r="Z994" s="5"/>
      <c r="AA994" s="5"/>
    </row>
    <row r="995" spans="1:27" ht="12.75" customHeight="1">
      <c r="A995" s="5"/>
      <c r="B995" s="5"/>
      <c r="C995" s="5"/>
      <c r="D995" s="5"/>
      <c r="E995" s="5"/>
      <c r="F995" s="5"/>
      <c r="G995" s="5"/>
      <c r="H995" s="306"/>
      <c r="I995" s="306"/>
      <c r="J995" s="5"/>
      <c r="K995" s="5"/>
      <c r="L995" s="5"/>
      <c r="M995" s="5"/>
      <c r="N995" s="5"/>
      <c r="O995" s="5"/>
      <c r="P995" s="57"/>
      <c r="Q995" s="5"/>
      <c r="R995" s="5"/>
      <c r="S995" s="5"/>
      <c r="T995" s="5"/>
      <c r="U995" s="5"/>
      <c r="V995" s="5"/>
      <c r="W995" s="5"/>
      <c r="X995" s="5"/>
      <c r="Y995" s="5"/>
      <c r="Z995" s="5"/>
      <c r="AA995" s="5"/>
    </row>
    <row r="996" spans="1:27" ht="12.75" customHeight="1">
      <c r="A996" s="5"/>
      <c r="B996" s="5"/>
      <c r="C996" s="5"/>
      <c r="D996" s="5"/>
      <c r="E996" s="5"/>
      <c r="F996" s="5"/>
      <c r="G996" s="5"/>
      <c r="H996" s="306"/>
      <c r="I996" s="306"/>
      <c r="J996" s="5"/>
      <c r="K996" s="5"/>
      <c r="L996" s="5"/>
      <c r="M996" s="5"/>
      <c r="N996" s="5"/>
      <c r="O996" s="5"/>
      <c r="P996" s="57"/>
      <c r="Q996" s="5"/>
      <c r="R996" s="5"/>
      <c r="S996" s="5"/>
      <c r="T996" s="5"/>
      <c r="U996" s="5"/>
      <c r="V996" s="5"/>
      <c r="W996" s="5"/>
      <c r="X996" s="5"/>
      <c r="Y996" s="5"/>
      <c r="Z996" s="5"/>
      <c r="AA996" s="5"/>
    </row>
    <row r="997" spans="1:27" ht="12.75" customHeight="1">
      <c r="A997" s="5"/>
      <c r="B997" s="5"/>
      <c r="C997" s="5"/>
      <c r="D997" s="5"/>
      <c r="E997" s="5"/>
      <c r="F997" s="5"/>
      <c r="G997" s="5"/>
      <c r="H997" s="306"/>
      <c r="I997" s="306"/>
      <c r="J997" s="5"/>
      <c r="K997" s="5"/>
      <c r="L997" s="5"/>
      <c r="M997" s="5"/>
      <c r="N997" s="5"/>
      <c r="O997" s="5"/>
      <c r="P997" s="57"/>
      <c r="Q997" s="5"/>
      <c r="R997" s="5"/>
      <c r="S997" s="5"/>
      <c r="T997" s="5"/>
      <c r="U997" s="5"/>
      <c r="V997" s="5"/>
      <c r="W997" s="5"/>
      <c r="X997" s="5"/>
      <c r="Y997" s="5"/>
      <c r="Z997" s="5"/>
      <c r="AA997" s="5"/>
    </row>
    <row r="998" spans="1:27" ht="12.75" customHeight="1">
      <c r="A998" s="5"/>
      <c r="B998" s="5"/>
      <c r="C998" s="5"/>
      <c r="D998" s="5"/>
      <c r="E998" s="5"/>
      <c r="F998" s="5"/>
      <c r="G998" s="5"/>
      <c r="H998" s="306"/>
      <c r="I998" s="306"/>
      <c r="J998" s="5"/>
      <c r="K998" s="5"/>
      <c r="L998" s="5"/>
      <c r="M998" s="5"/>
      <c r="N998" s="5"/>
      <c r="O998" s="5"/>
      <c r="P998" s="57"/>
      <c r="Q998" s="5"/>
      <c r="R998" s="5"/>
      <c r="S998" s="5"/>
      <c r="T998" s="5"/>
      <c r="U998" s="5"/>
      <c r="V998" s="5"/>
      <c r="W998" s="5"/>
      <c r="X998" s="5"/>
      <c r="Y998" s="5"/>
      <c r="Z998" s="5"/>
      <c r="AA998" s="5"/>
    </row>
    <row r="999" spans="1:27" ht="12.75" customHeight="1">
      <c r="A999" s="5"/>
      <c r="B999" s="5"/>
      <c r="C999" s="5"/>
      <c r="D999" s="5"/>
      <c r="E999" s="5"/>
      <c r="F999" s="5"/>
      <c r="G999" s="5"/>
      <c r="H999" s="306"/>
      <c r="I999" s="306"/>
      <c r="J999" s="5"/>
      <c r="K999" s="5"/>
      <c r="L999" s="5"/>
      <c r="M999" s="5"/>
      <c r="N999" s="5"/>
      <c r="O999" s="5"/>
      <c r="P999" s="57"/>
      <c r="Q999" s="5"/>
      <c r="R999" s="5"/>
      <c r="S999" s="5"/>
      <c r="T999" s="5"/>
      <c r="U999" s="5"/>
      <c r="V999" s="5"/>
      <c r="W999" s="5"/>
      <c r="X999" s="5"/>
      <c r="Y999" s="5"/>
      <c r="Z999" s="5"/>
      <c r="AA999" s="5"/>
    </row>
    <row r="1000" spans="1:27" ht="12.75" customHeight="1">
      <c r="A1000" s="5"/>
      <c r="B1000" s="5"/>
      <c r="C1000" s="5"/>
      <c r="D1000" s="5"/>
      <c r="E1000" s="5"/>
      <c r="F1000" s="5"/>
      <c r="G1000" s="5"/>
      <c r="H1000" s="306"/>
      <c r="I1000" s="306"/>
      <c r="J1000" s="5"/>
      <c r="K1000" s="5"/>
      <c r="L1000" s="5"/>
      <c r="M1000" s="5"/>
      <c r="N1000" s="5"/>
      <c r="O1000" s="5"/>
      <c r="P1000" s="57"/>
      <c r="Q1000" s="5"/>
      <c r="R1000" s="5"/>
      <c r="S1000" s="5"/>
      <c r="T1000" s="5"/>
      <c r="U1000" s="5"/>
      <c r="V1000" s="5"/>
      <c r="W1000" s="5"/>
      <c r="X1000" s="5"/>
      <c r="Y1000" s="5"/>
      <c r="Z1000" s="5"/>
      <c r="AA1000" s="5"/>
    </row>
  </sheetData>
  <mergeCells count="8">
    <mergeCell ref="B1:O1"/>
    <mergeCell ref="M5:N5"/>
    <mergeCell ref="D5:L5"/>
    <mergeCell ref="M59:N59"/>
    <mergeCell ref="D6:G6"/>
    <mergeCell ref="I6:L6"/>
    <mergeCell ref="B2:O2"/>
    <mergeCell ref="B3:O3"/>
  </mergeCells>
  <conditionalFormatting sqref="J59:J70">
    <cfRule type="cellIs" dxfId="347" priority="40" stopIfTrue="1" operator="lessThanOrEqual">
      <formula>$M$74</formula>
    </cfRule>
    <cfRule type="cellIs" dxfId="346" priority="39" stopIfTrue="1" operator="greaterThan">
      <formula>$M$74</formula>
    </cfRule>
    <cfRule type="cellIs" dxfId="345" priority="38" stopIfTrue="1" operator="lessThanOrEqual">
      <formula>$M$73</formula>
    </cfRule>
    <cfRule type="cellIs" dxfId="344" priority="37" stopIfTrue="1" operator="greaterThan">
      <formula>$M$73</formula>
    </cfRule>
    <cfRule type="cellIs" dxfId="343" priority="36" stopIfTrue="1" operator="lessThanOrEqual">
      <formula>$N$79</formula>
    </cfRule>
    <cfRule type="cellIs" dxfId="342" priority="35" stopIfTrue="1" operator="greaterThan">
      <formula>$N$79</formula>
    </cfRule>
  </conditionalFormatting>
  <conditionalFormatting sqref="M9:M55">
    <cfRule type="cellIs" dxfId="341" priority="1" stopIfTrue="1" operator="greaterThanOrEqual">
      <formula>0</formula>
    </cfRule>
    <cfRule type="cellIs" dxfId="340" priority="2" stopIfTrue="1" operator="lessThan">
      <formula>0</formula>
    </cfRule>
  </conditionalFormatting>
  <conditionalFormatting sqref="M47">
    <cfRule type="cellIs" dxfId="339" priority="21" stopIfTrue="1" operator="greaterThan">
      <formula>#REF!</formula>
    </cfRule>
    <cfRule type="cellIs" dxfId="338" priority="22" stopIfTrue="1" operator="lessThanOrEqual">
      <formula>#REF!</formula>
    </cfRule>
  </conditionalFormatting>
  <conditionalFormatting sqref="N9">
    <cfRule type="cellIs" dxfId="337" priority="19" stopIfTrue="1" operator="greaterThan">
      <formula>$M$72</formula>
    </cfRule>
    <cfRule type="cellIs" dxfId="336" priority="20" stopIfTrue="1" operator="lessThanOrEqual">
      <formula>$M$72</formula>
    </cfRule>
  </conditionalFormatting>
  <conditionalFormatting sqref="N9:N11 N13:N16 N18:N43 N48:N49 N53:N54">
    <cfRule type="cellIs" dxfId="335" priority="4" stopIfTrue="1" operator="lessThanOrEqual">
      <formula>$M$72</formula>
    </cfRule>
  </conditionalFormatting>
  <conditionalFormatting sqref="N9:N11 N13:N54">
    <cfRule type="cellIs" dxfId="334" priority="3" stopIfTrue="1" operator="greaterThan">
      <formula>$M$72</formula>
    </cfRule>
  </conditionalFormatting>
  <conditionalFormatting sqref="N9:N43 N48:N49">
    <cfRule type="cellIs" dxfId="333" priority="34" stopIfTrue="1" operator="lessThanOrEqual">
      <formula>#REF!</formula>
    </cfRule>
    <cfRule type="cellIs" dxfId="332" priority="33" stopIfTrue="1" operator="greaterThan">
      <formula>#REF!</formula>
    </cfRule>
  </conditionalFormatting>
  <conditionalFormatting sqref="N9:N46 M13 M24 M27:M46 M48:N67">
    <cfRule type="cellIs" dxfId="331" priority="26" stopIfTrue="1" operator="lessThanOrEqual">
      <formula>#REF!</formula>
    </cfRule>
  </conditionalFormatting>
  <conditionalFormatting sqref="N9:N46 M48:N67 M13 M24 M27:M46">
    <cfRule type="cellIs" dxfId="330" priority="25" stopIfTrue="1" operator="greaterThan">
      <formula>#REF!</formula>
    </cfRule>
  </conditionalFormatting>
  <conditionalFormatting sqref="N12">
    <cfRule type="cellIs" dxfId="329" priority="41" stopIfTrue="1" operator="greaterThan">
      <formula>$M$72</formula>
    </cfRule>
    <cfRule type="cellIs" dxfId="328" priority="42" stopIfTrue="1" operator="lessThanOrEqual">
      <formula>$M$72</formula>
    </cfRule>
  </conditionalFormatting>
  <conditionalFormatting sqref="N13 N28 N30 N33 N39:N43">
    <cfRule type="cellIs" dxfId="327" priority="23" stopIfTrue="1" operator="greaterThan">
      <formula>$N$81</formula>
    </cfRule>
    <cfRule type="cellIs" dxfId="326" priority="24" stopIfTrue="1" operator="lessThanOrEqual">
      <formula>$N$81</formula>
    </cfRule>
  </conditionalFormatting>
  <conditionalFormatting sqref="N17">
    <cfRule type="cellIs" dxfId="325" priority="52" stopIfTrue="1" operator="lessThanOrEqual">
      <formula>$M$72</formula>
    </cfRule>
    <cfRule type="cellIs" dxfId="324" priority="51" stopIfTrue="1" operator="greaterThan">
      <formula>$M$72</formula>
    </cfRule>
  </conditionalFormatting>
  <conditionalFormatting sqref="N34:N36">
    <cfRule type="cellIs" dxfId="323" priority="14" stopIfTrue="1" operator="lessThanOrEqual">
      <formula>$M$72</formula>
    </cfRule>
    <cfRule type="cellIs" dxfId="322" priority="13" stopIfTrue="1" operator="greaterThan">
      <formula>$M$72</formula>
    </cfRule>
  </conditionalFormatting>
  <conditionalFormatting sqref="N47:N48">
    <cfRule type="cellIs" dxfId="321" priority="43" stopIfTrue="1" operator="greaterThan">
      <formula>$M$72</formula>
    </cfRule>
    <cfRule type="cellIs" dxfId="320" priority="44" stopIfTrue="1" operator="lessThanOrEqual">
      <formula>$M$72</formula>
    </cfRule>
    <cfRule type="cellIs" dxfId="319" priority="45" stopIfTrue="1" operator="greaterThan">
      <formula>$N$81</formula>
    </cfRule>
    <cfRule type="cellIs" dxfId="318" priority="46" stopIfTrue="1" operator="lessThanOrEqual">
      <formula>$N$81</formula>
    </cfRule>
    <cfRule type="cellIs" dxfId="317" priority="48" stopIfTrue="1" operator="lessThanOrEqual">
      <formula>#REF!</formula>
    </cfRule>
    <cfRule type="cellIs" dxfId="316" priority="49" stopIfTrue="1" operator="greaterThan">
      <formula>#REF!</formula>
    </cfRule>
    <cfRule type="cellIs" dxfId="315" priority="50" stopIfTrue="1" operator="lessThanOrEqual">
      <formula>#REF!</formula>
    </cfRule>
    <cfRule type="cellIs" dxfId="314" priority="47" stopIfTrue="1" operator="greaterThan">
      <formula>#REF!</formula>
    </cfRule>
  </conditionalFormatting>
  <conditionalFormatting sqref="N53:O54">
    <cfRule type="cellIs" dxfId="313" priority="29" stopIfTrue="1" operator="greaterThan">
      <formula>#REF!</formula>
    </cfRule>
    <cfRule type="cellIs" dxfId="312" priority="30" stopIfTrue="1" operator="lessThanOrEqual">
      <formula>#REF!</formula>
    </cfRule>
  </conditionalFormatting>
  <conditionalFormatting sqref="O9:O54">
    <cfRule type="cellIs" dxfId="311" priority="6" stopIfTrue="1" operator="lessThanOrEqual">
      <formula>#REF!</formula>
    </cfRule>
    <cfRule type="cellIs" dxfId="310" priority="5" stopIfTrue="1" operator="greaterThan">
      <formula>#REF!</formula>
    </cfRule>
  </conditionalFormatting>
  <conditionalFormatting sqref="O47:O49 O53">
    <cfRule type="cellIs" dxfId="309" priority="28" stopIfTrue="1" operator="lessThanOrEqual">
      <formula>#REF!</formula>
    </cfRule>
    <cfRule type="cellIs" dxfId="308" priority="27" stopIfTrue="1" operator="greaterThan">
      <formula>#REF!</formula>
    </cfRule>
  </conditionalFormatting>
  <conditionalFormatting sqref="P80">
    <cfRule type="cellIs" dxfId="307" priority="32" stopIfTrue="1" operator="lessThanOrEqual">
      <formula>#REF!</formula>
    </cfRule>
    <cfRule type="cellIs" dxfId="306" priority="31" stopIfTrue="1" operator="greaterThan">
      <formula>#REF!</formula>
    </cfRule>
  </conditionalFormatting>
  <hyperlinks>
    <hyperlink ref="B82" r:id="rId1" xr:uid="{00000000-0004-0000-0E00-000000000000}"/>
    <hyperlink ref="B84" r:id="rId2" xr:uid="{00000000-0004-0000-0E00-000001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AA998"/>
  <sheetViews>
    <sheetView workbookViewId="0">
      <selection activeCell="A15" sqref="A15:XFD15"/>
    </sheetView>
  </sheetViews>
  <sheetFormatPr defaultColWidth="14.28515625" defaultRowHeight="15" customHeight="1"/>
  <cols>
    <col min="1" max="1" width="3.28515625" customWidth="1"/>
    <col min="2" max="2" width="32" customWidth="1"/>
    <col min="3" max="3" width="6.7109375" customWidth="1"/>
    <col min="4" max="4" width="8" customWidth="1"/>
    <col min="5" max="5" width="10.28515625" customWidth="1"/>
    <col min="6" max="6" width="13.28515625" customWidth="1"/>
    <col min="7" max="7" width="12.28515625" customWidth="1"/>
    <col min="8" max="8" width="11" bestFit="1" customWidth="1"/>
    <col min="9" max="9" width="11.28515625" customWidth="1"/>
    <col min="10" max="10" width="10" bestFit="1" customWidth="1"/>
    <col min="11" max="11" width="12.28515625" customWidth="1"/>
    <col min="12" max="12" width="13.7109375" customWidth="1"/>
    <col min="13" max="13" width="12.28515625" customWidth="1"/>
    <col min="14" max="14" width="12.7109375" customWidth="1"/>
    <col min="15" max="15" width="13" customWidth="1"/>
    <col min="16" max="16" width="11.28515625" customWidth="1"/>
    <col min="17" max="18" width="12.28515625" customWidth="1"/>
    <col min="19" max="19" width="10.7109375" customWidth="1"/>
    <col min="20" max="20" width="14.28515625" customWidth="1"/>
    <col min="21" max="27" width="9.28515625" customWidth="1"/>
  </cols>
  <sheetData>
    <row r="1" spans="1:27" ht="20.25" customHeight="1">
      <c r="A1" s="309"/>
      <c r="B1" s="1984" t="s">
        <v>0</v>
      </c>
      <c r="C1" s="1985"/>
      <c r="D1" s="1985"/>
      <c r="E1" s="1985"/>
      <c r="F1" s="1985"/>
      <c r="G1" s="1985"/>
      <c r="H1" s="1985"/>
      <c r="I1" s="1985"/>
      <c r="J1" s="1985"/>
      <c r="K1" s="1985"/>
      <c r="L1" s="1985"/>
      <c r="M1" s="1985"/>
      <c r="N1" s="1985"/>
      <c r="O1" s="1985"/>
      <c r="P1" s="1162"/>
      <c r="Q1" s="989"/>
      <c r="R1" s="990"/>
      <c r="S1" s="990"/>
      <c r="T1" s="990"/>
      <c r="U1" s="1021"/>
      <c r="V1" s="5"/>
      <c r="W1" s="5"/>
      <c r="X1" s="5"/>
      <c r="Y1" s="5"/>
      <c r="Z1" s="5"/>
      <c r="AA1" s="5"/>
    </row>
    <row r="2" spans="1:27" ht="14.25" customHeight="1">
      <c r="A2" s="309"/>
      <c r="B2" s="1986" t="s">
        <v>597</v>
      </c>
      <c r="C2" s="1985"/>
      <c r="D2" s="1985"/>
      <c r="E2" s="1985"/>
      <c r="F2" s="1985"/>
      <c r="G2" s="1985"/>
      <c r="H2" s="1985"/>
      <c r="I2" s="1985"/>
      <c r="J2" s="1985"/>
      <c r="K2" s="1985"/>
      <c r="L2" s="1985"/>
      <c r="M2" s="1985"/>
      <c r="N2" s="1985"/>
      <c r="O2" s="1985"/>
      <c r="P2" s="325"/>
      <c r="Q2" s="991"/>
      <c r="R2" s="345"/>
      <c r="S2" s="345"/>
      <c r="T2" s="345"/>
      <c r="U2" s="1022"/>
      <c r="V2" s="5"/>
      <c r="W2" s="5"/>
      <c r="X2" s="5"/>
      <c r="Y2" s="5"/>
      <c r="Z2" s="5"/>
      <c r="AA2" s="5"/>
    </row>
    <row r="3" spans="1:27" ht="12.75" customHeight="1">
      <c r="A3" s="309"/>
      <c r="B3" s="2001"/>
      <c r="C3" s="1985"/>
      <c r="D3" s="1985"/>
      <c r="E3" s="1985"/>
      <c r="F3" s="1985"/>
      <c r="G3" s="1985"/>
      <c r="H3" s="1985"/>
      <c r="I3" s="1985"/>
      <c r="J3" s="1985"/>
      <c r="K3" s="1985"/>
      <c r="L3" s="1985"/>
      <c r="M3" s="1985"/>
      <c r="N3" s="1985"/>
      <c r="O3" s="1985"/>
      <c r="P3" s="325"/>
      <c r="Q3" s="991"/>
      <c r="R3" s="992"/>
      <c r="S3" s="992"/>
      <c r="T3" s="992"/>
      <c r="U3" s="1022"/>
      <c r="V3" s="5"/>
      <c r="W3" s="5"/>
      <c r="X3" s="5"/>
      <c r="Y3" s="5"/>
      <c r="Z3" s="5"/>
      <c r="AA3" s="5"/>
    </row>
    <row r="4" spans="1:27" ht="12.75" customHeight="1">
      <c r="A4" s="309"/>
      <c r="B4" s="894"/>
      <c r="C4" s="894"/>
      <c r="D4" s="894"/>
      <c r="E4" s="894"/>
      <c r="F4" s="894"/>
      <c r="G4" s="894"/>
      <c r="H4" s="894"/>
      <c r="I4" s="894"/>
      <c r="J4" s="1275"/>
      <c r="K4" s="894"/>
      <c r="L4" s="894"/>
      <c r="M4" s="894"/>
      <c r="N4" s="894"/>
      <c r="O4" s="894"/>
      <c r="P4" s="1163"/>
      <c r="Q4" s="994"/>
      <c r="R4" s="933"/>
      <c r="S4" s="933"/>
      <c r="T4" s="933"/>
      <c r="U4" s="609"/>
      <c r="V4" s="5"/>
      <c r="W4" s="5"/>
      <c r="X4" s="5"/>
      <c r="Y4" s="5"/>
      <c r="Z4" s="5"/>
      <c r="AA4" s="5"/>
    </row>
    <row r="5" spans="1:27" ht="12.75" customHeight="1" thickBot="1">
      <c r="A5" s="897"/>
      <c r="B5" s="897"/>
      <c r="C5" s="1175"/>
      <c r="D5" s="1988" t="s">
        <v>3</v>
      </c>
      <c r="E5" s="1989"/>
      <c r="F5" s="1989"/>
      <c r="G5" s="1989"/>
      <c r="H5" s="1989"/>
      <c r="I5" s="1989"/>
      <c r="J5" s="1989"/>
      <c r="K5" s="1989"/>
      <c r="L5" s="1989"/>
      <c r="M5" s="2024"/>
      <c r="N5" s="2025"/>
      <c r="O5" s="110"/>
      <c r="P5" s="1164"/>
      <c r="Q5" s="995"/>
      <c r="R5" s="309"/>
      <c r="S5" s="309"/>
      <c r="T5" s="309"/>
      <c r="U5" s="328"/>
      <c r="V5" s="5"/>
      <c r="W5" s="5"/>
      <c r="X5" s="5"/>
      <c r="Y5" s="5"/>
      <c r="Z5" s="5"/>
      <c r="AA5" s="5"/>
    </row>
    <row r="6" spans="1:27" ht="12.75" customHeight="1">
      <c r="A6" s="1053"/>
      <c r="B6" s="900"/>
      <c r="C6" s="901"/>
      <c r="D6" s="2008">
        <v>43100</v>
      </c>
      <c r="E6" s="1981"/>
      <c r="F6" s="1981"/>
      <c r="G6" s="1981"/>
      <c r="H6" s="1276"/>
      <c r="I6" s="2003" t="s">
        <v>598</v>
      </c>
      <c r="J6" s="1981"/>
      <c r="K6" s="1981"/>
      <c r="L6" s="1981"/>
      <c r="M6" s="111" t="s">
        <v>5</v>
      </c>
      <c r="N6" s="855" t="s">
        <v>6</v>
      </c>
      <c r="O6" s="112"/>
      <c r="P6" s="1116"/>
      <c r="Q6" s="1055"/>
      <c r="R6" s="1116"/>
      <c r="S6" s="1055"/>
      <c r="T6" s="327"/>
      <c r="U6" s="5"/>
      <c r="V6" s="5"/>
      <c r="W6" s="5"/>
      <c r="X6" s="5"/>
      <c r="Y6" s="5"/>
      <c r="Z6" s="5"/>
    </row>
    <row r="7" spans="1:27" ht="12.75" customHeight="1" thickBot="1">
      <c r="A7" s="42"/>
      <c r="B7" s="905" t="s">
        <v>7</v>
      </c>
      <c r="C7" s="1176" t="s">
        <v>8</v>
      </c>
      <c r="D7" s="893" t="s">
        <v>9</v>
      </c>
      <c r="E7" s="113" t="s">
        <v>10</v>
      </c>
      <c r="F7" s="113" t="s">
        <v>11</v>
      </c>
      <c r="G7" s="113" t="s">
        <v>12</v>
      </c>
      <c r="H7" s="113"/>
      <c r="I7" s="113" t="s">
        <v>9</v>
      </c>
      <c r="J7" s="113" t="s">
        <v>10</v>
      </c>
      <c r="K7" s="114" t="s">
        <v>11</v>
      </c>
      <c r="L7" s="115" t="s">
        <v>12</v>
      </c>
      <c r="M7" s="893" t="s">
        <v>15</v>
      </c>
      <c r="N7" s="115" t="s">
        <v>15</v>
      </c>
      <c r="O7" s="116"/>
      <c r="P7" s="544"/>
      <c r="Q7" s="1116"/>
      <c r="R7" s="1116"/>
      <c r="S7" s="323"/>
      <c r="T7" s="327"/>
      <c r="U7" s="5"/>
      <c r="V7" s="5"/>
      <c r="W7" s="5"/>
      <c r="X7" s="5"/>
      <c r="Y7" s="5"/>
      <c r="Z7" s="5"/>
    </row>
    <row r="8" spans="1:27" ht="12.75" customHeight="1">
      <c r="A8" s="1177"/>
      <c r="B8" s="900" t="s">
        <v>360</v>
      </c>
      <c r="C8" s="1178"/>
      <c r="D8" s="1277"/>
      <c r="E8" s="71"/>
      <c r="F8" s="71"/>
      <c r="G8" s="71"/>
      <c r="H8" s="71"/>
      <c r="I8" s="1306"/>
      <c r="J8" s="1306"/>
      <c r="K8" s="1307"/>
      <c r="L8" s="1308"/>
      <c r="M8" s="378"/>
      <c r="N8" s="1236"/>
      <c r="O8" s="117"/>
      <c r="P8" s="892"/>
      <c r="Q8" s="323"/>
      <c r="R8" s="323"/>
      <c r="S8" s="323"/>
      <c r="T8" s="327"/>
      <c r="U8" s="5"/>
      <c r="V8" s="5"/>
      <c r="W8" s="5"/>
      <c r="X8" s="5"/>
      <c r="Y8" s="5"/>
      <c r="Z8" s="5"/>
    </row>
    <row r="9" spans="1:27" ht="12.75" customHeight="1">
      <c r="A9" s="322">
        <v>1</v>
      </c>
      <c r="B9" s="334" t="s">
        <v>230</v>
      </c>
      <c r="C9" s="335" t="s">
        <v>231</v>
      </c>
      <c r="D9" s="351">
        <v>25</v>
      </c>
      <c r="E9" s="350">
        <v>235.37</v>
      </c>
      <c r="F9" s="89">
        <f>D9*E9</f>
        <v>5884.25</v>
      </c>
      <c r="G9" s="121">
        <f>F9/$F$72</f>
        <v>3.2985710629956026E-2</v>
      </c>
      <c r="H9" s="354"/>
      <c r="I9" s="351">
        <v>25</v>
      </c>
      <c r="J9" s="350">
        <v>190.54</v>
      </c>
      <c r="K9" s="352">
        <f>J9*I9</f>
        <v>4763.5</v>
      </c>
      <c r="L9" s="353">
        <f t="shared" ref="L9:L18" si="0">K9/$K$72</f>
        <v>2.7531434008276831E-2</v>
      </c>
      <c r="M9" s="355">
        <f>(J9-E9)/E9</f>
        <v>-0.19046607469091223</v>
      </c>
      <c r="N9" s="356">
        <f>(J9-Transactions!C1395)/Transactions!C1395</f>
        <v>1.4328396322778347</v>
      </c>
      <c r="O9" s="119"/>
      <c r="P9" s="331"/>
      <c r="Q9" s="327"/>
      <c r="R9" s="327"/>
      <c r="S9" s="323"/>
      <c r="T9" s="327"/>
      <c r="U9" s="5"/>
      <c r="V9" s="5"/>
      <c r="W9" s="5"/>
      <c r="X9" s="5"/>
      <c r="Y9" s="5"/>
      <c r="Z9" s="5"/>
    </row>
    <row r="10" spans="1:27" ht="12.75" customHeight="1">
      <c r="A10" s="322">
        <v>2</v>
      </c>
      <c r="B10" s="334" t="s">
        <v>395</v>
      </c>
      <c r="C10" s="335" t="s">
        <v>396</v>
      </c>
      <c r="D10" s="351">
        <v>40</v>
      </c>
      <c r="E10" s="350">
        <v>153.09</v>
      </c>
      <c r="F10" s="89">
        <f>D10*E10</f>
        <v>6123.6</v>
      </c>
      <c r="G10" s="121">
        <f>F10/$F$72</f>
        <v>3.4327449991689463E-2</v>
      </c>
      <c r="H10" s="354"/>
      <c r="I10" s="351">
        <v>40</v>
      </c>
      <c r="J10" s="350">
        <v>141.01</v>
      </c>
      <c r="K10" s="352">
        <f t="shared" ref="K10:K46" si="1">I10*J10</f>
        <v>5640.4</v>
      </c>
      <c r="L10" s="353">
        <f t="shared" si="0"/>
        <v>3.2599622206420618E-2</v>
      </c>
      <c r="M10" s="355">
        <f>(J10-E10)/E10</f>
        <v>-7.8907831994251831E-2</v>
      </c>
      <c r="N10" s="356">
        <f>(J10-Transactions!C937)/Transactions!C937</f>
        <v>0.76726406817896953</v>
      </c>
      <c r="O10" s="336"/>
      <c r="P10" s="331"/>
      <c r="Q10" s="327"/>
      <c r="R10" s="327"/>
      <c r="S10" s="323"/>
      <c r="T10" s="327"/>
      <c r="U10" s="5"/>
      <c r="V10" s="5"/>
      <c r="W10" s="5"/>
      <c r="X10" s="5"/>
      <c r="Y10" s="5"/>
      <c r="Z10" s="5"/>
    </row>
    <row r="11" spans="1:27" ht="12.75" customHeight="1">
      <c r="A11" s="322">
        <v>3</v>
      </c>
      <c r="B11" s="334" t="s">
        <v>535</v>
      </c>
      <c r="C11" s="335" t="s">
        <v>536</v>
      </c>
      <c r="D11" s="351">
        <v>30</v>
      </c>
      <c r="E11" s="350">
        <v>63.32</v>
      </c>
      <c r="F11" s="89">
        <f>D11*E11</f>
        <v>1899.6</v>
      </c>
      <c r="G11" s="121">
        <f>F11/$F$72</f>
        <v>1.0648707297049659E-2</v>
      </c>
      <c r="H11" s="354"/>
      <c r="I11" s="351">
        <v>30</v>
      </c>
      <c r="J11" s="350">
        <v>46.57</v>
      </c>
      <c r="K11" s="352">
        <f t="shared" si="1"/>
        <v>1397.1</v>
      </c>
      <c r="L11" s="353">
        <f t="shared" si="0"/>
        <v>8.0747699072034346E-3</v>
      </c>
      <c r="M11" s="355">
        <f>(J11-E11)/E11</f>
        <v>-0.26452937460518006</v>
      </c>
      <c r="N11" s="356">
        <f>(J11-Transactions!C766)/Transactions!C766</f>
        <v>0.28931339977851617</v>
      </c>
      <c r="O11" s="336"/>
      <c r="P11" s="331"/>
      <c r="Q11" s="327"/>
      <c r="R11" s="327"/>
      <c r="S11" s="323"/>
      <c r="T11" s="327"/>
      <c r="U11" s="5"/>
      <c r="V11" s="5"/>
      <c r="W11" s="5"/>
      <c r="X11" s="5"/>
      <c r="Y11" s="5"/>
      <c r="Z11" s="5"/>
    </row>
    <row r="12" spans="1:27" ht="12.75" customHeight="1">
      <c r="A12" s="322">
        <v>4</v>
      </c>
      <c r="B12" s="334" t="s">
        <v>341</v>
      </c>
      <c r="C12" s="335" t="s">
        <v>342</v>
      </c>
      <c r="D12" s="351">
        <v>10</v>
      </c>
      <c r="E12" s="350">
        <v>164.08</v>
      </c>
      <c r="F12" s="89">
        <f>D12*E12</f>
        <v>1640.8000000000002</v>
      </c>
      <c r="G12" s="121">
        <f>F12/$F$72</f>
        <v>9.1979358459670906E-3</v>
      </c>
      <c r="H12" s="354"/>
      <c r="I12" s="351">
        <v>10</v>
      </c>
      <c r="J12" s="350">
        <v>160.05000000000001</v>
      </c>
      <c r="K12" s="352">
        <f t="shared" si="1"/>
        <v>1600.5</v>
      </c>
      <c r="L12" s="353">
        <f t="shared" si="0"/>
        <v>9.2503537588426721E-3</v>
      </c>
      <c r="M12" s="355">
        <f>(J12-E12)/E12</f>
        <v>-2.4561189663578748E-2</v>
      </c>
      <c r="N12" s="356">
        <f>(J12-Transactions!C1086)/Transactions!C1086</f>
        <v>0.95492854525467208</v>
      </c>
      <c r="O12" s="336"/>
      <c r="P12" s="331"/>
      <c r="Q12" s="327"/>
      <c r="R12" s="327"/>
      <c r="S12" s="323"/>
      <c r="T12" s="327"/>
      <c r="U12" s="5"/>
      <c r="V12" s="5"/>
      <c r="W12" s="5"/>
      <c r="X12" s="5"/>
      <c r="Y12" s="5"/>
      <c r="Z12" s="5"/>
    </row>
    <row r="13" spans="1:27" ht="12.75" customHeight="1">
      <c r="A13" s="322">
        <v>5</v>
      </c>
      <c r="B13" s="340" t="s">
        <v>537</v>
      </c>
      <c r="C13" s="138" t="s">
        <v>538</v>
      </c>
      <c r="D13" s="130">
        <v>13</v>
      </c>
      <c r="E13" s="350">
        <v>172.43</v>
      </c>
      <c r="F13" s="89">
        <f>D13*E13</f>
        <v>2241.59</v>
      </c>
      <c r="G13" s="121">
        <v>0</v>
      </c>
      <c r="H13" s="130"/>
      <c r="I13" s="363">
        <v>13</v>
      </c>
      <c r="J13" s="350">
        <v>137.07</v>
      </c>
      <c r="K13" s="352">
        <f t="shared" si="1"/>
        <v>1781.9099999999999</v>
      </c>
      <c r="L13" s="353">
        <f t="shared" si="0"/>
        <v>1.029884277814392E-2</v>
      </c>
      <c r="M13" s="355">
        <f>(J13-E13)/E13</f>
        <v>-0.20506872353998731</v>
      </c>
      <c r="N13" s="356">
        <f>(J13-Transactions!C618)/Transactions!C618</f>
        <v>-0.27326228725942431</v>
      </c>
      <c r="O13" s="336"/>
      <c r="P13" s="331"/>
      <c r="Q13" s="327"/>
      <c r="R13" s="327"/>
      <c r="S13" s="323"/>
      <c r="T13" s="327"/>
      <c r="U13" s="5"/>
      <c r="V13" s="5"/>
      <c r="W13" s="5"/>
      <c r="X13" s="5"/>
      <c r="Y13" s="5"/>
      <c r="Z13" s="5"/>
    </row>
    <row r="14" spans="1:27" ht="12.75" customHeight="1">
      <c r="A14" s="322">
        <v>6</v>
      </c>
      <c r="B14" s="340" t="s">
        <v>599</v>
      </c>
      <c r="C14" s="138" t="s">
        <v>600</v>
      </c>
      <c r="D14" s="130"/>
      <c r="E14" s="350"/>
      <c r="F14" s="89"/>
      <c r="G14" s="121"/>
      <c r="H14" s="130"/>
      <c r="I14" s="363">
        <v>15</v>
      </c>
      <c r="J14" s="350">
        <v>100.22</v>
      </c>
      <c r="K14" s="352">
        <f t="shared" si="1"/>
        <v>1503.3</v>
      </c>
      <c r="L14" s="353">
        <f t="shared" si="0"/>
        <v>8.6885703253159561E-3</v>
      </c>
      <c r="M14" s="355"/>
      <c r="N14" s="356">
        <f>(J14-Transactions!C558)/Transactions!C558</f>
        <v>-0.29558705179072842</v>
      </c>
      <c r="O14" s="336"/>
      <c r="P14" s="331"/>
      <c r="Q14" s="327"/>
      <c r="R14" s="327"/>
      <c r="S14" s="323"/>
      <c r="T14" s="327"/>
      <c r="U14" s="5"/>
      <c r="V14" s="5"/>
      <c r="W14" s="5"/>
      <c r="X14" s="5"/>
      <c r="Y14" s="5"/>
      <c r="Z14" s="5"/>
    </row>
    <row r="15" spans="1:27" ht="12.75" customHeight="1">
      <c r="A15" s="322">
        <v>7</v>
      </c>
      <c r="B15" s="334" t="s">
        <v>539</v>
      </c>
      <c r="C15" s="335" t="s">
        <v>540</v>
      </c>
      <c r="D15" s="351">
        <v>8</v>
      </c>
      <c r="E15" s="350">
        <v>1169.47</v>
      </c>
      <c r="F15" s="89">
        <f t="shared" ref="F15:F47" si="2">D15*E15</f>
        <v>9355.76</v>
      </c>
      <c r="G15" s="121">
        <f t="shared" ref="G15:G20" si="3">F15/$F$72</f>
        <v>5.2446172763447742E-2</v>
      </c>
      <c r="H15" s="354"/>
      <c r="I15" s="351">
        <v>8</v>
      </c>
      <c r="J15" s="350">
        <v>1501.97</v>
      </c>
      <c r="K15" s="352">
        <f t="shared" si="1"/>
        <v>12015.76</v>
      </c>
      <c r="L15" s="353">
        <f t="shared" si="0"/>
        <v>6.9447066967417329E-2</v>
      </c>
      <c r="M15" s="355">
        <f t="shared" ref="M15:M47" si="4">(J15-E15)/E15</f>
        <v>0.28431682728073399</v>
      </c>
      <c r="N15" s="356">
        <f>(J15-Transactions!G710)/Transactions!G710</f>
        <v>-0.68940160017205254</v>
      </c>
      <c r="O15" s="336"/>
      <c r="P15" s="331"/>
      <c r="Q15" s="327"/>
      <c r="R15" s="327"/>
      <c r="S15" s="323"/>
      <c r="T15" s="327"/>
      <c r="U15" s="5"/>
      <c r="V15" s="5"/>
      <c r="W15" s="5"/>
      <c r="X15" s="5"/>
      <c r="Y15" s="5"/>
      <c r="Z15" s="5"/>
    </row>
    <row r="16" spans="1:27" ht="12.75" customHeight="1">
      <c r="A16" s="322">
        <v>8</v>
      </c>
      <c r="B16" s="334" t="s">
        <v>398</v>
      </c>
      <c r="C16" s="335" t="s">
        <v>399</v>
      </c>
      <c r="D16" s="351">
        <v>20</v>
      </c>
      <c r="E16" s="350">
        <v>142.66999999999999</v>
      </c>
      <c r="F16" s="89">
        <f t="shared" si="2"/>
        <v>2853.3999999999996</v>
      </c>
      <c r="G16" s="121">
        <f t="shared" si="3"/>
        <v>1.5995483997368654E-2</v>
      </c>
      <c r="H16" s="354"/>
      <c r="I16" s="351">
        <v>20</v>
      </c>
      <c r="J16" s="350">
        <v>158.19</v>
      </c>
      <c r="K16" s="352">
        <f t="shared" si="1"/>
        <v>3163.8</v>
      </c>
      <c r="L16" s="353">
        <f t="shared" si="0"/>
        <v>1.8285703981397342E-2</v>
      </c>
      <c r="M16" s="355">
        <f t="shared" si="4"/>
        <v>0.10878250508165706</v>
      </c>
      <c r="N16" s="356">
        <f>(J16-Transactions!C884)/Transactions!C884</f>
        <v>0.54286550277967416</v>
      </c>
      <c r="O16" s="336"/>
      <c r="P16" s="331"/>
      <c r="Q16" s="1278"/>
      <c r="R16" s="327"/>
      <c r="S16" s="323"/>
      <c r="T16" s="327"/>
      <c r="U16" s="5"/>
      <c r="V16" s="5"/>
      <c r="W16" s="5"/>
      <c r="X16" s="5"/>
      <c r="Y16" s="5"/>
      <c r="Z16" s="5"/>
    </row>
    <row r="17" spans="1:26" ht="12.75" customHeight="1">
      <c r="A17" s="322">
        <v>9</v>
      </c>
      <c r="B17" s="334" t="s">
        <v>401</v>
      </c>
      <c r="C17" s="335" t="s">
        <v>402</v>
      </c>
      <c r="D17" s="351">
        <v>21</v>
      </c>
      <c r="E17" s="350">
        <v>173.9</v>
      </c>
      <c r="F17" s="89">
        <f t="shared" si="2"/>
        <v>3651.9</v>
      </c>
      <c r="G17" s="121">
        <f t="shared" si="3"/>
        <v>2.0471685711779139E-2</v>
      </c>
      <c r="H17" s="354"/>
      <c r="I17" s="351">
        <v>21</v>
      </c>
      <c r="J17" s="350">
        <v>194.67</v>
      </c>
      <c r="K17" s="352">
        <f t="shared" si="1"/>
        <v>4088.0699999999997</v>
      </c>
      <c r="L17" s="353">
        <f t="shared" si="0"/>
        <v>2.3627674908411098E-2</v>
      </c>
      <c r="M17" s="355">
        <f t="shared" si="4"/>
        <v>0.11943645773432997</v>
      </c>
      <c r="N17" s="356">
        <f>(J17-Transactions!C897)/Transactions!C897</f>
        <v>0.19966722129783679</v>
      </c>
      <c r="O17" s="336"/>
      <c r="P17" s="331"/>
      <c r="Q17" s="327"/>
      <c r="R17" s="327"/>
      <c r="S17" s="323"/>
      <c r="T17" s="327"/>
      <c r="U17" s="5"/>
      <c r="V17" s="5"/>
      <c r="W17" s="5"/>
      <c r="X17" s="5"/>
      <c r="Y17" s="5"/>
      <c r="Z17" s="5"/>
    </row>
    <row r="18" spans="1:26" ht="12.75" customHeight="1">
      <c r="A18" s="322">
        <v>10</v>
      </c>
      <c r="B18" s="334" t="s">
        <v>206</v>
      </c>
      <c r="C18" s="335" t="s">
        <v>207</v>
      </c>
      <c r="D18" s="351">
        <v>42</v>
      </c>
      <c r="E18" s="350">
        <v>169.23</v>
      </c>
      <c r="F18" s="89">
        <f t="shared" si="2"/>
        <v>7107.66</v>
      </c>
      <c r="G18" s="121">
        <f t="shared" si="3"/>
        <v>3.9843857078831327E-2</v>
      </c>
      <c r="H18" s="354"/>
      <c r="I18" s="351">
        <v>42</v>
      </c>
      <c r="J18" s="350">
        <v>157.74</v>
      </c>
      <c r="K18" s="352">
        <f t="shared" si="1"/>
        <v>6625.08</v>
      </c>
      <c r="L18" s="353">
        <f t="shared" si="0"/>
        <v>3.8290742693304222E-2</v>
      </c>
      <c r="M18" s="355">
        <f t="shared" si="4"/>
        <v>-6.7895763162559714E-2</v>
      </c>
      <c r="N18" s="356">
        <f>(J18-Transactions!C1433)/Transactions!C1433</f>
        <v>5.227398341887092</v>
      </c>
      <c r="O18" s="336"/>
      <c r="P18" s="331"/>
      <c r="Q18" s="327"/>
      <c r="R18" s="327"/>
      <c r="S18" s="309"/>
      <c r="T18" s="328"/>
      <c r="U18" s="5"/>
      <c r="V18" s="5"/>
      <c r="W18" s="5"/>
      <c r="X18" s="5"/>
      <c r="Y18" s="5"/>
      <c r="Z18" s="5"/>
    </row>
    <row r="19" spans="1:26" ht="12.75" customHeight="1">
      <c r="A19" s="1309">
        <v>11</v>
      </c>
      <c r="B19" s="374" t="s">
        <v>541</v>
      </c>
      <c r="C19" s="375" t="s">
        <v>448</v>
      </c>
      <c r="D19" s="351">
        <v>50</v>
      </c>
      <c r="E19" s="350">
        <v>38.880000000000003</v>
      </c>
      <c r="F19" s="89">
        <f t="shared" si="2"/>
        <v>1944.0000000000002</v>
      </c>
      <c r="G19" s="121">
        <f t="shared" si="3"/>
        <v>1.089760317196491E-2</v>
      </c>
      <c r="H19" s="354"/>
      <c r="I19" s="351">
        <v>78</v>
      </c>
      <c r="J19" s="350">
        <v>28.54</v>
      </c>
      <c r="K19" s="352">
        <f t="shared" si="1"/>
        <v>2226.12</v>
      </c>
      <c r="L19" s="353">
        <f>K19/$K$72</f>
        <v>1.2866227747350733E-2</v>
      </c>
      <c r="M19" s="355">
        <f>(J19-E19)/E19</f>
        <v>-0.26594650205761322</v>
      </c>
      <c r="N19" s="356">
        <f>(J19-Transactions!C542)/Transactions!C542</f>
        <v>-0.13129736437496589</v>
      </c>
      <c r="O19" s="568"/>
      <c r="P19" s="569"/>
      <c r="Q19" s="358"/>
      <c r="R19" s="358"/>
      <c r="S19" s="359"/>
      <c r="T19" s="360"/>
      <c r="U19" s="5"/>
      <c r="V19" s="5"/>
      <c r="W19" s="5"/>
      <c r="X19" s="5"/>
      <c r="Y19" s="5"/>
      <c r="Z19" s="5"/>
    </row>
    <row r="20" spans="1:26" ht="12.75" customHeight="1">
      <c r="A20" s="322">
        <v>12</v>
      </c>
      <c r="B20" s="334" t="s">
        <v>22</v>
      </c>
      <c r="C20" s="335" t="s">
        <v>23</v>
      </c>
      <c r="D20" s="351">
        <v>148</v>
      </c>
      <c r="E20" s="350">
        <v>29.52</v>
      </c>
      <c r="F20" s="89">
        <f t="shared" si="2"/>
        <v>4368.96</v>
      </c>
      <c r="G20" s="121">
        <f t="shared" si="3"/>
        <v>2.4491354091660394E-2</v>
      </c>
      <c r="H20" s="354"/>
      <c r="I20" s="351">
        <v>148</v>
      </c>
      <c r="J20" s="350">
        <v>24.64</v>
      </c>
      <c r="K20" s="352">
        <f t="shared" si="1"/>
        <v>3646.7200000000003</v>
      </c>
      <c r="L20" s="353">
        <f t="shared" ref="L20:L48" si="5">K20/$K$72</f>
        <v>2.1076819780972665E-2</v>
      </c>
      <c r="M20" s="355">
        <f t="shared" si="4"/>
        <v>-0.16531165311653112</v>
      </c>
      <c r="N20" s="356">
        <f>(J20-Transactions!C695)/Transactions!C695</f>
        <v>0.21081081081081077</v>
      </c>
      <c r="O20" s="336"/>
      <c r="P20" s="331"/>
      <c r="Q20" s="327"/>
      <c r="R20" s="327"/>
      <c r="S20" s="309"/>
      <c r="T20" s="328"/>
      <c r="U20" s="5"/>
      <c r="V20" s="5"/>
      <c r="W20" s="5"/>
      <c r="X20" s="5"/>
      <c r="Y20" s="5"/>
      <c r="Z20" s="5"/>
    </row>
    <row r="21" spans="1:26" ht="12.75" customHeight="1">
      <c r="A21" s="322">
        <v>13</v>
      </c>
      <c r="B21" s="334" t="s">
        <v>601</v>
      </c>
      <c r="C21" s="335" t="s">
        <v>602</v>
      </c>
      <c r="D21" s="351"/>
      <c r="E21" s="350"/>
      <c r="F21" s="89"/>
      <c r="G21" s="121"/>
      <c r="H21" s="354"/>
      <c r="I21" s="351">
        <v>10</v>
      </c>
      <c r="J21" s="350">
        <v>392.82</v>
      </c>
      <c r="K21" s="352">
        <f t="shared" si="1"/>
        <v>3928.2</v>
      </c>
      <c r="L21" s="353">
        <f t="shared" si="5"/>
        <v>2.2703679872218545E-2</v>
      </c>
      <c r="M21" s="355"/>
      <c r="N21" s="356">
        <f>(J21-Transactions!C567)/Transactions!C567</f>
        <v>-0.27379333447213305</v>
      </c>
      <c r="O21" s="336"/>
      <c r="P21" s="331"/>
      <c r="Q21" s="327"/>
      <c r="R21" s="327"/>
      <c r="S21" s="309"/>
      <c r="T21" s="328"/>
      <c r="U21" s="5"/>
      <c r="V21" s="5"/>
      <c r="W21" s="5"/>
      <c r="X21" s="5"/>
      <c r="Y21" s="5"/>
      <c r="Z21" s="5"/>
    </row>
    <row r="22" spans="1:26" ht="12.75" customHeight="1">
      <c r="A22" s="1309">
        <v>14</v>
      </c>
      <c r="B22" s="374" t="s">
        <v>603</v>
      </c>
      <c r="C22" s="375" t="s">
        <v>604</v>
      </c>
      <c r="D22" s="351"/>
      <c r="E22" s="350"/>
      <c r="F22" s="89"/>
      <c r="G22" s="121"/>
      <c r="H22" s="354"/>
      <c r="I22" s="351">
        <v>9</v>
      </c>
      <c r="J22" s="350">
        <v>189.92</v>
      </c>
      <c r="K22" s="352">
        <f t="shared" si="1"/>
        <v>1709.28</v>
      </c>
      <c r="L22" s="353">
        <f t="shared" si="5"/>
        <v>9.879065712536458E-3</v>
      </c>
      <c r="M22" s="355"/>
      <c r="N22" s="356">
        <f>(J22-Transactions!C530)/Transactions!C530</f>
        <v>5.2071792599157861E-2</v>
      </c>
      <c r="O22" s="568"/>
      <c r="P22" s="569"/>
      <c r="Q22" s="358"/>
      <c r="R22" s="358"/>
      <c r="S22" s="359"/>
      <c r="T22" s="360"/>
      <c r="U22" s="5"/>
      <c r="V22" s="5"/>
      <c r="W22" s="5"/>
      <c r="X22" s="5"/>
      <c r="Y22" s="5"/>
      <c r="Z22" s="5"/>
    </row>
    <row r="23" spans="1:26" ht="12.75" customHeight="1">
      <c r="A23" s="322">
        <v>15</v>
      </c>
      <c r="B23" s="334" t="s">
        <v>404</v>
      </c>
      <c r="C23" s="335" t="s">
        <v>405</v>
      </c>
      <c r="D23" s="351">
        <v>50</v>
      </c>
      <c r="E23" s="350">
        <v>67.39</v>
      </c>
      <c r="F23" s="89">
        <f t="shared" si="2"/>
        <v>3369.5</v>
      </c>
      <c r="G23" s="121">
        <f>F23/$F$72</f>
        <v>1.8888618255110987E-2</v>
      </c>
      <c r="H23" s="354"/>
      <c r="I23" s="351">
        <v>50</v>
      </c>
      <c r="J23" s="350">
        <v>52.44</v>
      </c>
      <c r="K23" s="352">
        <f t="shared" si="1"/>
        <v>2622</v>
      </c>
      <c r="L23" s="353">
        <f t="shared" si="5"/>
        <v>1.5154281509331763E-2</v>
      </c>
      <c r="M23" s="355">
        <f t="shared" si="4"/>
        <v>-0.22184300341296934</v>
      </c>
      <c r="N23" s="356">
        <f>(J23-Transactions!C921)/Transactions!C921</f>
        <v>-0.10236220472440952</v>
      </c>
      <c r="O23" s="336"/>
      <c r="P23" s="331"/>
      <c r="Q23" s="327"/>
      <c r="R23" s="327"/>
      <c r="S23" s="309"/>
      <c r="T23" s="328"/>
      <c r="U23" s="5"/>
      <c r="V23" s="5"/>
      <c r="W23" s="5"/>
      <c r="X23" s="5"/>
      <c r="Y23" s="5"/>
      <c r="Z23" s="5"/>
    </row>
    <row r="24" spans="1:26" ht="12.75" customHeight="1">
      <c r="A24" s="322">
        <v>16</v>
      </c>
      <c r="B24" s="334" t="s">
        <v>281</v>
      </c>
      <c r="C24" s="335" t="s">
        <v>152</v>
      </c>
      <c r="D24" s="351">
        <v>120</v>
      </c>
      <c r="E24" s="350">
        <v>38.299999999999997</v>
      </c>
      <c r="F24" s="89">
        <f t="shared" si="2"/>
        <v>4596</v>
      </c>
      <c r="G24" s="121">
        <f>F24/$F$72</f>
        <v>2.5764086511497284E-2</v>
      </c>
      <c r="H24" s="354"/>
      <c r="I24" s="351">
        <v>120</v>
      </c>
      <c r="J24" s="350">
        <v>43.33</v>
      </c>
      <c r="K24" s="352">
        <f t="shared" si="1"/>
        <v>5199.5999999999995</v>
      </c>
      <c r="L24" s="353">
        <f t="shared" si="5"/>
        <v>3.0051945894706875E-2</v>
      </c>
      <c r="M24" s="355">
        <f t="shared" si="4"/>
        <v>0.13133159268929509</v>
      </c>
      <c r="N24" s="356">
        <f>(J24-Transactions!C1201)/Transactions!C1201</f>
        <v>1.3109333333333333</v>
      </c>
      <c r="O24" s="336"/>
      <c r="P24" s="331"/>
      <c r="Q24" s="327"/>
      <c r="R24" s="327"/>
      <c r="S24" s="309"/>
      <c r="T24" s="328"/>
      <c r="U24" s="5"/>
      <c r="V24" s="5"/>
      <c r="W24" s="5"/>
      <c r="X24" s="5"/>
      <c r="Y24" s="5"/>
      <c r="Z24" s="5"/>
    </row>
    <row r="25" spans="1:26" ht="12.75" customHeight="1">
      <c r="A25" s="322">
        <v>17</v>
      </c>
      <c r="B25" s="334" t="s">
        <v>153</v>
      </c>
      <c r="C25" s="335" t="s">
        <v>154</v>
      </c>
      <c r="D25" s="351">
        <v>70</v>
      </c>
      <c r="E25" s="350">
        <v>45.88</v>
      </c>
      <c r="F25" s="89">
        <f t="shared" si="2"/>
        <v>3211.6000000000004</v>
      </c>
      <c r="G25" s="121">
        <f>F25/$F$72</f>
        <v>1.8003468285536266E-2</v>
      </c>
      <c r="H25" s="354"/>
      <c r="I25" s="351">
        <v>70</v>
      </c>
      <c r="J25" s="350">
        <v>47.35</v>
      </c>
      <c r="K25" s="352">
        <f t="shared" si="1"/>
        <v>3314.5</v>
      </c>
      <c r="L25" s="353">
        <f t="shared" si="5"/>
        <v>1.9156699489961911E-2</v>
      </c>
      <c r="M25" s="355">
        <f>(J25-E25)/E25</f>
        <v>3.2040104620749757E-2</v>
      </c>
      <c r="N25" s="356">
        <f>(J25-Transactions!C1375)/Transactions!C1375</f>
        <v>1.1601277372262773</v>
      </c>
      <c r="O25" s="336"/>
      <c r="P25" s="331"/>
      <c r="Q25" s="327"/>
      <c r="R25" s="327"/>
      <c r="S25" s="309"/>
      <c r="T25" s="328"/>
      <c r="U25" s="5"/>
      <c r="V25" s="5"/>
      <c r="W25" s="5"/>
      <c r="X25" s="5"/>
      <c r="Y25" s="5"/>
      <c r="Z25" s="5"/>
    </row>
    <row r="26" spans="1:26" ht="12.75" customHeight="1">
      <c r="A26" s="322">
        <v>18</v>
      </c>
      <c r="B26" s="334" t="s">
        <v>605</v>
      </c>
      <c r="C26" s="335" t="s">
        <v>58</v>
      </c>
      <c r="D26" s="351"/>
      <c r="E26" s="350"/>
      <c r="F26" s="89"/>
      <c r="G26" s="121"/>
      <c r="H26" s="354"/>
      <c r="I26" s="351">
        <v>20</v>
      </c>
      <c r="J26" s="350">
        <v>141.80000000000001</v>
      </c>
      <c r="K26" s="352">
        <f t="shared" si="1"/>
        <v>2836</v>
      </c>
      <c r="L26" s="353">
        <f t="shared" si="5"/>
        <v>1.6391129809483172E-2</v>
      </c>
      <c r="M26" s="355"/>
      <c r="N26" s="356">
        <f>(J26-Transactions!C571)/Transactions!C571</f>
        <v>5.4902544264246574E-2</v>
      </c>
      <c r="O26" s="336"/>
      <c r="P26" s="331"/>
      <c r="Q26" s="327"/>
      <c r="R26" s="327"/>
      <c r="S26" s="309"/>
      <c r="T26" s="328"/>
      <c r="U26" s="5"/>
      <c r="V26" s="5"/>
      <c r="W26" s="5"/>
      <c r="X26" s="5"/>
      <c r="Y26" s="5"/>
      <c r="Z26" s="5"/>
    </row>
    <row r="27" spans="1:26" ht="12.75" customHeight="1">
      <c r="A27" s="322">
        <v>19</v>
      </c>
      <c r="B27" s="334" t="s">
        <v>606</v>
      </c>
      <c r="C27" s="335" t="s">
        <v>607</v>
      </c>
      <c r="D27" s="351"/>
      <c r="E27" s="350"/>
      <c r="F27" s="89"/>
      <c r="G27" s="121"/>
      <c r="H27" s="354"/>
      <c r="I27" s="351">
        <v>30</v>
      </c>
      <c r="J27" s="350">
        <v>71.459999999999994</v>
      </c>
      <c r="K27" s="352">
        <f t="shared" si="1"/>
        <v>2143.7999999999997</v>
      </c>
      <c r="L27" s="353">
        <f t="shared" si="5"/>
        <v>1.2390445728339217E-2</v>
      </c>
      <c r="M27" s="355"/>
      <c r="N27" s="356">
        <f>(J27-Transactions!C562)/Transactions!C562</f>
        <v>7.2900479697317624E-2</v>
      </c>
      <c r="O27" s="336"/>
      <c r="P27" s="331"/>
      <c r="Q27" s="327"/>
      <c r="R27" s="327"/>
      <c r="S27" s="309"/>
      <c r="T27" s="328"/>
      <c r="U27" s="5"/>
      <c r="V27" s="5"/>
      <c r="W27" s="5"/>
      <c r="X27" s="5"/>
      <c r="Y27" s="5"/>
      <c r="Z27" s="5"/>
    </row>
    <row r="28" spans="1:26" ht="12.75" customHeight="1">
      <c r="A28" s="322">
        <v>21</v>
      </c>
      <c r="B28" s="334" t="s">
        <v>543</v>
      </c>
      <c r="C28" s="335" t="s">
        <v>544</v>
      </c>
      <c r="D28" s="351">
        <v>17</v>
      </c>
      <c r="E28" s="350">
        <v>176.46</v>
      </c>
      <c r="F28" s="89">
        <f t="shared" si="2"/>
        <v>2999.82</v>
      </c>
      <c r="G28" s="121">
        <f t="shared" ref="G28:G35" si="6">F28/$F$72</f>
        <v>1.6816279808294123E-2</v>
      </c>
      <c r="H28" s="354"/>
      <c r="I28" s="351">
        <v>17</v>
      </c>
      <c r="J28" s="350">
        <v>131.09</v>
      </c>
      <c r="K28" s="352">
        <f t="shared" si="1"/>
        <v>2228.5300000000002</v>
      </c>
      <c r="L28" s="353">
        <f t="shared" si="5"/>
        <v>1.2880156739889823E-2</v>
      </c>
      <c r="M28" s="355">
        <f t="shared" si="4"/>
        <v>-0.2571120933922702</v>
      </c>
      <c r="N28" s="356">
        <f>(J28-Transactions!C635)/Transactions!C635</f>
        <v>-0.11401730197350637</v>
      </c>
      <c r="O28" s="336"/>
      <c r="P28" s="331"/>
      <c r="Q28" s="327"/>
      <c r="R28" s="327"/>
      <c r="S28" s="309"/>
      <c r="T28" s="328"/>
      <c r="U28" s="5"/>
      <c r="V28" s="5"/>
      <c r="W28" s="5"/>
      <c r="X28" s="5"/>
      <c r="Y28" s="5"/>
      <c r="Z28" s="5"/>
    </row>
    <row r="29" spans="1:26" ht="12.75" customHeight="1">
      <c r="A29" s="322">
        <v>22</v>
      </c>
      <c r="B29" s="334" t="s">
        <v>545</v>
      </c>
      <c r="C29" s="335" t="s">
        <v>546</v>
      </c>
      <c r="D29" s="351">
        <v>57</v>
      </c>
      <c r="E29" s="350">
        <v>79.95</v>
      </c>
      <c r="F29" s="89">
        <f t="shared" si="2"/>
        <v>4557.1500000000005</v>
      </c>
      <c r="G29" s="121">
        <f t="shared" si="6"/>
        <v>2.5546302620946443E-2</v>
      </c>
      <c r="H29" s="354"/>
      <c r="I29" s="351">
        <v>57</v>
      </c>
      <c r="J29" s="350">
        <v>70.17</v>
      </c>
      <c r="K29" s="352">
        <f t="shared" si="1"/>
        <v>3999.69</v>
      </c>
      <c r="L29" s="353">
        <f t="shared" si="5"/>
        <v>2.3116868119778474E-2</v>
      </c>
      <c r="M29" s="355">
        <f t="shared" si="4"/>
        <v>-0.12232645403377111</v>
      </c>
      <c r="N29" s="356">
        <f>(J29-Transactions!C654)/Transactions!C654</f>
        <v>4.4374463212138891E-3</v>
      </c>
      <c r="O29" s="336"/>
      <c r="P29" s="331"/>
      <c r="Q29" s="327"/>
      <c r="R29" s="327"/>
      <c r="S29" s="309"/>
      <c r="T29" s="328"/>
      <c r="U29" s="5"/>
      <c r="V29" s="5"/>
      <c r="W29" s="5"/>
      <c r="X29" s="5"/>
      <c r="Y29" s="5"/>
      <c r="Z29" s="5"/>
    </row>
    <row r="30" spans="1:26" ht="12.75" customHeight="1">
      <c r="A30" s="322">
        <v>23</v>
      </c>
      <c r="B30" s="334" t="s">
        <v>410</v>
      </c>
      <c r="C30" s="138" t="s">
        <v>411</v>
      </c>
      <c r="D30" s="351">
        <v>40</v>
      </c>
      <c r="E30" s="350">
        <v>71.64</v>
      </c>
      <c r="F30" s="89">
        <f t="shared" si="2"/>
        <v>2865.6</v>
      </c>
      <c r="G30" s="121">
        <f t="shared" si="6"/>
        <v>1.6063874305340863E-2</v>
      </c>
      <c r="H30" s="130"/>
      <c r="I30" s="363">
        <v>40</v>
      </c>
      <c r="J30" s="350">
        <v>62.55</v>
      </c>
      <c r="K30" s="352">
        <f t="shared" si="1"/>
        <v>2502</v>
      </c>
      <c r="L30" s="353">
        <f t="shared" si="5"/>
        <v>1.4460721714854336E-2</v>
      </c>
      <c r="M30" s="355">
        <f t="shared" si="4"/>
        <v>-0.12688442211055281</v>
      </c>
      <c r="N30" s="356">
        <f>(J30-Transactions!C931)/Transactions!C931</f>
        <v>-0.17031436530043778</v>
      </c>
      <c r="O30" s="336"/>
      <c r="P30" s="331"/>
      <c r="Q30" s="327"/>
      <c r="R30" s="327"/>
      <c r="S30" s="309"/>
      <c r="T30" s="328"/>
      <c r="U30" s="5"/>
      <c r="V30" s="5"/>
      <c r="W30" s="5"/>
      <c r="X30" s="5"/>
      <c r="Y30" s="5"/>
      <c r="Z30" s="5"/>
    </row>
    <row r="31" spans="1:26" ht="12.75" customHeight="1">
      <c r="A31" s="322">
        <v>24</v>
      </c>
      <c r="B31" s="323" t="s">
        <v>547</v>
      </c>
      <c r="C31" s="138" t="s">
        <v>548</v>
      </c>
      <c r="D31" s="351">
        <v>15</v>
      </c>
      <c r="E31" s="350">
        <v>139.72</v>
      </c>
      <c r="F31" s="89">
        <f t="shared" si="2"/>
        <v>2095.8000000000002</v>
      </c>
      <c r="G31" s="121">
        <f t="shared" si="6"/>
        <v>1.1748557987553527E-2</v>
      </c>
      <c r="H31" s="130"/>
      <c r="I31" s="363">
        <v>15</v>
      </c>
      <c r="J31" s="350">
        <v>129.05000000000001</v>
      </c>
      <c r="K31" s="352">
        <f t="shared" si="1"/>
        <v>1935.7500000000002</v>
      </c>
      <c r="L31" s="353">
        <f t="shared" si="5"/>
        <v>1.1187986434663982E-2</v>
      </c>
      <c r="M31" s="355">
        <f t="shared" si="4"/>
        <v>-7.6367019753793217E-2</v>
      </c>
      <c r="N31" s="356">
        <f>(J31-Transactions!C626)/Transactions!C626</f>
        <v>-8.1821415866239769E-2</v>
      </c>
      <c r="O31" s="336"/>
      <c r="P31" s="331"/>
      <c r="Q31" s="327"/>
      <c r="R31" s="327"/>
      <c r="S31" s="309"/>
      <c r="T31" s="328"/>
      <c r="U31" s="5"/>
      <c r="V31" s="5"/>
      <c r="W31" s="5"/>
      <c r="X31" s="5"/>
      <c r="Y31" s="5"/>
      <c r="Z31" s="5"/>
    </row>
    <row r="32" spans="1:26" ht="12.75" customHeight="1">
      <c r="A32" s="322">
        <v>25</v>
      </c>
      <c r="B32" s="123" t="s">
        <v>549</v>
      </c>
      <c r="C32" s="138" t="s">
        <v>550</v>
      </c>
      <c r="D32" s="354">
        <v>9</v>
      </c>
      <c r="E32" s="350">
        <v>321.05</v>
      </c>
      <c r="F32" s="89">
        <f t="shared" si="2"/>
        <v>2889.4500000000003</v>
      </c>
      <c r="G32" s="121">
        <f t="shared" si="6"/>
        <v>1.6197571751663583E-2</v>
      </c>
      <c r="H32" s="130"/>
      <c r="I32" s="363">
        <v>9</v>
      </c>
      <c r="J32" s="350">
        <v>261.83999999999997</v>
      </c>
      <c r="K32" s="352">
        <f t="shared" si="1"/>
        <v>2356.56</v>
      </c>
      <c r="L32" s="353">
        <f t="shared" si="5"/>
        <v>1.3620127243947696E-2</v>
      </c>
      <c r="M32" s="355">
        <f t="shared" si="4"/>
        <v>-0.184426101853294</v>
      </c>
      <c r="N32" s="356">
        <f>(J32-Transactions!C657)/Transactions!C657</f>
        <v>-3.2265217873378493E-2</v>
      </c>
      <c r="O32" s="336"/>
      <c r="P32" s="331"/>
      <c r="Q32" s="327"/>
      <c r="R32" s="327"/>
      <c r="S32" s="309"/>
      <c r="T32" s="328"/>
      <c r="U32" s="5"/>
      <c r="V32" s="5"/>
      <c r="W32" s="5"/>
      <c r="X32" s="5"/>
      <c r="Y32" s="5"/>
      <c r="Z32" s="5"/>
    </row>
    <row r="33" spans="1:26" ht="12.75" customHeight="1">
      <c r="A33" s="322">
        <v>26</v>
      </c>
      <c r="B33" s="126" t="s">
        <v>551</v>
      </c>
      <c r="C33" s="138" t="s">
        <v>552</v>
      </c>
      <c r="D33" s="130">
        <v>7</v>
      </c>
      <c r="E33" s="350">
        <v>221.04</v>
      </c>
      <c r="F33" s="89">
        <f t="shared" si="2"/>
        <v>1547.28</v>
      </c>
      <c r="G33" s="121">
        <f t="shared" si="6"/>
        <v>8.6736848950194761E-3</v>
      </c>
      <c r="H33" s="130"/>
      <c r="I33" s="363">
        <v>7</v>
      </c>
      <c r="J33" s="350">
        <v>171.87</v>
      </c>
      <c r="K33" s="352">
        <f t="shared" si="1"/>
        <v>1203.0900000000001</v>
      </c>
      <c r="L33" s="353">
        <f t="shared" si="5"/>
        <v>6.9534571094820568E-3</v>
      </c>
      <c r="M33" s="355">
        <f t="shared" si="4"/>
        <v>-0.22244842562432135</v>
      </c>
      <c r="N33" s="356">
        <f>(J33-Transactions!C610)/Transactions!C610</f>
        <v>-0.18320501853435978</v>
      </c>
      <c r="O33" s="336"/>
      <c r="P33" s="331"/>
      <c r="Q33" s="327"/>
      <c r="R33" s="327"/>
      <c r="S33" s="309"/>
      <c r="T33" s="328"/>
      <c r="U33" s="5"/>
      <c r="V33" s="5"/>
      <c r="W33" s="5"/>
      <c r="X33" s="5"/>
      <c r="Y33" s="5"/>
      <c r="Z33" s="5"/>
    </row>
    <row r="34" spans="1:26" ht="12.75" customHeight="1">
      <c r="A34" s="322">
        <v>27</v>
      </c>
      <c r="B34" s="334" t="s">
        <v>40</v>
      </c>
      <c r="C34" s="138" t="s">
        <v>41</v>
      </c>
      <c r="D34" s="351">
        <v>75</v>
      </c>
      <c r="E34" s="350">
        <v>85.54</v>
      </c>
      <c r="F34" s="89">
        <f t="shared" si="2"/>
        <v>6415.5000000000009</v>
      </c>
      <c r="G34" s="121">
        <f t="shared" si="6"/>
        <v>3.5963772196368766E-2</v>
      </c>
      <c r="H34" s="130"/>
      <c r="I34" s="363">
        <v>75</v>
      </c>
      <c r="J34" s="350">
        <v>101.57</v>
      </c>
      <c r="K34" s="352">
        <f t="shared" si="1"/>
        <v>7617.7499999999991</v>
      </c>
      <c r="L34" s="353">
        <f t="shared" si="5"/>
        <v>4.4028042703170109E-2</v>
      </c>
      <c r="M34" s="355">
        <f t="shared" si="4"/>
        <v>0.18739770867430425</v>
      </c>
      <c r="N34" s="356">
        <f>(J34-Transactions!C1774)/Transactions!C1774</f>
        <v>2.9893951296150818</v>
      </c>
      <c r="O34" s="336"/>
      <c r="P34" s="331"/>
      <c r="Q34" s="327"/>
      <c r="R34" s="327"/>
      <c r="S34" s="309"/>
      <c r="T34" s="328"/>
      <c r="U34" s="5"/>
      <c r="V34" s="5"/>
      <c r="W34" s="5"/>
      <c r="X34" s="5"/>
      <c r="Y34" s="5"/>
      <c r="Z34" s="5"/>
    </row>
    <row r="35" spans="1:26" ht="12.75" customHeight="1">
      <c r="A35" s="322">
        <v>28</v>
      </c>
      <c r="B35" s="334" t="s">
        <v>553</v>
      </c>
      <c r="C35" s="138" t="s">
        <v>554</v>
      </c>
      <c r="D35" s="351">
        <v>18</v>
      </c>
      <c r="E35" s="350">
        <v>134.94999999999999</v>
      </c>
      <c r="F35" s="89">
        <f t="shared" si="2"/>
        <v>2429.1</v>
      </c>
      <c r="G35" s="121">
        <f t="shared" si="6"/>
        <v>1.3616958778302447E-2</v>
      </c>
      <c r="H35" s="130"/>
      <c r="I35" s="363">
        <v>18</v>
      </c>
      <c r="J35" s="350">
        <v>102.73</v>
      </c>
      <c r="K35" s="352">
        <f t="shared" si="1"/>
        <v>1849.14</v>
      </c>
      <c r="L35" s="353">
        <f t="shared" si="5"/>
        <v>1.0687409652999899E-2</v>
      </c>
      <c r="M35" s="355">
        <f t="shared" si="4"/>
        <v>-0.23875509447943674</v>
      </c>
      <c r="N35" s="356">
        <f>(J35-Transactions!C642)/Transactions!C642</f>
        <v>-0.26584720931894518</v>
      </c>
      <c r="O35" s="336"/>
      <c r="P35" s="331"/>
      <c r="Q35" s="327"/>
      <c r="R35" s="327"/>
      <c r="S35" s="309"/>
      <c r="T35" s="328"/>
      <c r="U35" s="5"/>
      <c r="V35" s="5"/>
      <c r="W35" s="5"/>
      <c r="X35" s="5"/>
      <c r="Y35" s="5"/>
      <c r="Z35" s="5"/>
    </row>
    <row r="36" spans="1:26" ht="12.75" customHeight="1">
      <c r="A36" s="322">
        <v>29</v>
      </c>
      <c r="B36" s="323" t="s">
        <v>555</v>
      </c>
      <c r="C36" s="138" t="s">
        <v>556</v>
      </c>
      <c r="D36" s="351">
        <v>10</v>
      </c>
      <c r="E36" s="350">
        <v>345.07</v>
      </c>
      <c r="F36" s="89">
        <f t="shared" si="2"/>
        <v>3450.7</v>
      </c>
      <c r="G36" s="121">
        <v>0</v>
      </c>
      <c r="H36" s="130"/>
      <c r="I36" s="363">
        <v>10</v>
      </c>
      <c r="J36" s="350">
        <v>235.37</v>
      </c>
      <c r="K36" s="352">
        <f t="shared" si="1"/>
        <v>2353.6999999999998</v>
      </c>
      <c r="L36" s="353">
        <f t="shared" si="5"/>
        <v>1.3603597402179316E-2</v>
      </c>
      <c r="M36" s="355">
        <f t="shared" si="4"/>
        <v>-0.3179065117222592</v>
      </c>
      <c r="N36" s="356">
        <f>(J36-Transactions!C622)/Transactions!C622</f>
        <v>-0.15120807789397767</v>
      </c>
      <c r="O36" s="119"/>
      <c r="P36" s="331"/>
      <c r="Q36" s="327"/>
      <c r="R36" s="327"/>
      <c r="S36" s="309"/>
      <c r="T36" s="328"/>
      <c r="U36" s="5"/>
      <c r="V36" s="5"/>
      <c r="W36" s="5"/>
      <c r="X36" s="5"/>
      <c r="Y36" s="5"/>
      <c r="Z36" s="5"/>
    </row>
    <row r="37" spans="1:26" ht="12.75" customHeight="1">
      <c r="A37" s="322">
        <v>30</v>
      </c>
      <c r="B37" s="334" t="s">
        <v>558</v>
      </c>
      <c r="C37" s="138" t="s">
        <v>559</v>
      </c>
      <c r="D37" s="351">
        <v>65</v>
      </c>
      <c r="E37" s="350">
        <v>20.25</v>
      </c>
      <c r="F37" s="89">
        <f t="shared" si="2"/>
        <v>1316.25</v>
      </c>
      <c r="G37" s="121">
        <f>F37/$F$72</f>
        <v>7.3785854810179069E-3</v>
      </c>
      <c r="H37" s="130"/>
      <c r="I37" s="363">
        <v>65</v>
      </c>
      <c r="J37" s="350">
        <v>14.06</v>
      </c>
      <c r="K37" s="352">
        <f t="shared" si="1"/>
        <v>913.9</v>
      </c>
      <c r="L37" s="353">
        <f t="shared" si="5"/>
        <v>5.2820358014409987E-3</v>
      </c>
      <c r="M37" s="355">
        <f t="shared" si="4"/>
        <v>-0.30567901234567901</v>
      </c>
      <c r="N37" s="1238">
        <f>(J37-Transactions!C630)/Transactions!C630</f>
        <v>-8.9967637540453005E-2</v>
      </c>
      <c r="O37" s="336"/>
      <c r="P37" s="331"/>
      <c r="Q37" s="327"/>
      <c r="R37" s="327"/>
      <c r="S37" s="309"/>
      <c r="T37" s="328"/>
      <c r="U37" s="5"/>
      <c r="V37" s="5"/>
      <c r="W37" s="5"/>
      <c r="X37" s="5"/>
      <c r="Y37" s="5"/>
      <c r="Z37" s="5"/>
    </row>
    <row r="38" spans="1:26" ht="12.75" customHeight="1">
      <c r="A38" s="322">
        <v>31</v>
      </c>
      <c r="B38" s="334" t="s">
        <v>560</v>
      </c>
      <c r="C38" s="138" t="s">
        <v>561</v>
      </c>
      <c r="D38" s="351">
        <v>37</v>
      </c>
      <c r="E38" s="350">
        <v>101.55</v>
      </c>
      <c r="F38" s="89">
        <f t="shared" si="2"/>
        <v>3757.35</v>
      </c>
      <c r="G38" s="121">
        <f>F38/$F$72</f>
        <v>2.1062813414702855E-2</v>
      </c>
      <c r="H38" s="130"/>
      <c r="I38" s="363">
        <v>37</v>
      </c>
      <c r="J38" s="350">
        <v>97.71</v>
      </c>
      <c r="K38" s="352">
        <f t="shared" si="1"/>
        <v>3615.27</v>
      </c>
      <c r="L38" s="353">
        <f t="shared" si="5"/>
        <v>2.0895049318170038E-2</v>
      </c>
      <c r="M38" s="355">
        <f t="shared" si="4"/>
        <v>-3.7813884785819825E-2</v>
      </c>
      <c r="N38" s="1238">
        <f>(J38-Transactions!C672)/Transactions!C672</f>
        <v>0.20958157959891052</v>
      </c>
      <c r="O38" s="336"/>
      <c r="P38" s="331"/>
      <c r="Q38" s="327"/>
      <c r="R38" s="327"/>
      <c r="S38" s="309"/>
      <c r="T38" s="328"/>
      <c r="U38" s="5"/>
      <c r="V38" s="5"/>
      <c r="W38" s="5"/>
      <c r="X38" s="5"/>
      <c r="Y38" s="5"/>
      <c r="Z38" s="5"/>
    </row>
    <row r="39" spans="1:26" ht="12.75" customHeight="1">
      <c r="A39" s="322">
        <v>32</v>
      </c>
      <c r="B39" s="334" t="s">
        <v>256</v>
      </c>
      <c r="C39" s="138" t="s">
        <v>257</v>
      </c>
      <c r="D39" s="351">
        <v>60</v>
      </c>
      <c r="E39" s="350">
        <v>91.88</v>
      </c>
      <c r="F39" s="89">
        <f t="shared" si="2"/>
        <v>5512.7999999999993</v>
      </c>
      <c r="G39" s="121">
        <f>F39/$F$72</f>
        <v>3.0903449982720235E-2</v>
      </c>
      <c r="H39" s="130"/>
      <c r="I39" s="363">
        <v>60</v>
      </c>
      <c r="J39" s="350">
        <v>91.92</v>
      </c>
      <c r="K39" s="352">
        <f t="shared" si="1"/>
        <v>5515.2</v>
      </c>
      <c r="L39" s="353">
        <f t="shared" si="5"/>
        <v>3.1876008154182504E-2</v>
      </c>
      <c r="M39" s="355">
        <f t="shared" si="4"/>
        <v>4.3535045711804804E-4</v>
      </c>
      <c r="N39" s="356">
        <f>(J39-Transactions!C709)/Transactions!C709</f>
        <v>0.20693277310924377</v>
      </c>
      <c r="O39" s="336"/>
      <c r="P39" s="331"/>
      <c r="Q39" s="327"/>
      <c r="R39" s="327"/>
      <c r="S39" s="309"/>
      <c r="T39" s="328"/>
      <c r="U39" s="5"/>
      <c r="V39" s="5"/>
      <c r="W39" s="5"/>
      <c r="X39" s="5"/>
      <c r="Y39" s="5"/>
      <c r="Z39" s="5"/>
    </row>
    <row r="40" spans="1:26" ht="12.75" customHeight="1">
      <c r="A40" s="322">
        <v>33</v>
      </c>
      <c r="B40" s="334" t="s">
        <v>365</v>
      </c>
      <c r="C40" s="138" t="s">
        <v>80</v>
      </c>
      <c r="D40" s="351">
        <v>60</v>
      </c>
      <c r="E40" s="350">
        <v>51.5</v>
      </c>
      <c r="F40" s="89">
        <f t="shared" si="2"/>
        <v>3090</v>
      </c>
      <c r="G40" s="121">
        <f>F40/$F$72</f>
        <v>1.7321807510993603E-2</v>
      </c>
      <c r="H40" s="130"/>
      <c r="I40" s="363">
        <v>60</v>
      </c>
      <c r="J40" s="350">
        <v>52.05</v>
      </c>
      <c r="K40" s="352">
        <f t="shared" si="1"/>
        <v>3123</v>
      </c>
      <c r="L40" s="353">
        <f t="shared" si="5"/>
        <v>1.8049893651275017E-2</v>
      </c>
      <c r="M40" s="355">
        <f t="shared" si="4"/>
        <v>1.0679611650485381E-2</v>
      </c>
      <c r="N40" s="356">
        <f>(J40-Transactions!C953)/Transactions!C953</f>
        <v>0.56871609403254963</v>
      </c>
      <c r="O40" s="336"/>
      <c r="P40" s="331"/>
      <c r="Q40" s="327"/>
      <c r="R40" s="327"/>
      <c r="S40" s="309"/>
      <c r="T40" s="328"/>
      <c r="U40" s="5"/>
      <c r="V40" s="5"/>
      <c r="W40" s="5"/>
      <c r="X40" s="5"/>
      <c r="Y40" s="5"/>
      <c r="Z40" s="5"/>
    </row>
    <row r="41" spans="1:26" ht="12.75" customHeight="1">
      <c r="A41" s="322">
        <v>34</v>
      </c>
      <c r="B41" s="323" t="s">
        <v>608</v>
      </c>
      <c r="C41" s="138" t="s">
        <v>609</v>
      </c>
      <c r="D41" s="351"/>
      <c r="E41" s="350"/>
      <c r="F41" s="89"/>
      <c r="G41" s="121"/>
      <c r="H41" s="130"/>
      <c r="I41" s="363">
        <v>30</v>
      </c>
      <c r="J41" s="350">
        <v>61.46</v>
      </c>
      <c r="K41" s="352">
        <f t="shared" si="1"/>
        <v>1843.8</v>
      </c>
      <c r="L41" s="353">
        <f t="shared" si="5"/>
        <v>1.0656546242145654E-2</v>
      </c>
      <c r="M41" s="355"/>
      <c r="N41" s="356">
        <f>(J41-Transactions!C550)/Transactions!C550</f>
        <v>-0.26380955993475796</v>
      </c>
      <c r="O41" s="330"/>
      <c r="P41" s="331"/>
      <c r="Q41" s="327"/>
      <c r="R41" s="327"/>
      <c r="S41" s="309"/>
      <c r="T41" s="328"/>
      <c r="U41" s="5"/>
      <c r="V41" s="5"/>
      <c r="W41" s="5"/>
      <c r="X41" s="5"/>
      <c r="Y41" s="5"/>
      <c r="Z41" s="5"/>
    </row>
    <row r="42" spans="1:26" ht="12.75" customHeight="1">
      <c r="A42" s="322">
        <v>35</v>
      </c>
      <c r="B42" s="323" t="s">
        <v>610</v>
      </c>
      <c r="C42" s="138" t="s">
        <v>611</v>
      </c>
      <c r="D42" s="351"/>
      <c r="E42" s="350"/>
      <c r="F42" s="89"/>
      <c r="G42" s="121"/>
      <c r="H42" s="130"/>
      <c r="I42" s="363">
        <v>94</v>
      </c>
      <c r="J42" s="350">
        <v>35.700000000000003</v>
      </c>
      <c r="K42" s="352">
        <f t="shared" si="1"/>
        <v>3355.8</v>
      </c>
      <c r="L42" s="353">
        <f t="shared" si="5"/>
        <v>1.9395399652561224E-2</v>
      </c>
      <c r="M42" s="355"/>
      <c r="N42" s="356">
        <f>(J42-Transactions!C554)/Transactions!C554</f>
        <v>-0.16627744044838855</v>
      </c>
      <c r="O42" s="330"/>
      <c r="P42" s="331"/>
      <c r="Q42" s="327"/>
      <c r="R42" s="327"/>
      <c r="S42" s="309"/>
      <c r="T42" s="328"/>
      <c r="U42" s="5"/>
      <c r="V42" s="5"/>
      <c r="W42" s="5"/>
      <c r="X42" s="5"/>
      <c r="Y42" s="5"/>
      <c r="Z42" s="5"/>
    </row>
    <row r="43" spans="1:26" ht="12.75" customHeight="1">
      <c r="A43" s="322">
        <v>36</v>
      </c>
      <c r="B43" s="323" t="s">
        <v>469</v>
      </c>
      <c r="C43" s="138" t="s">
        <v>470</v>
      </c>
      <c r="D43" s="351">
        <v>28</v>
      </c>
      <c r="E43" s="350">
        <v>107.51</v>
      </c>
      <c r="F43" s="127">
        <f t="shared" si="2"/>
        <v>3010.28</v>
      </c>
      <c r="G43" s="121">
        <f>F43/$F$72</f>
        <v>1.6874916088735866E-2</v>
      </c>
      <c r="H43" s="130"/>
      <c r="I43" s="363">
        <v>28</v>
      </c>
      <c r="J43" s="350">
        <v>109.65</v>
      </c>
      <c r="K43" s="352">
        <f t="shared" si="1"/>
        <v>3070.2000000000003</v>
      </c>
      <c r="L43" s="353">
        <f t="shared" si="5"/>
        <v>1.7744727341704951E-2</v>
      </c>
      <c r="M43" s="1310">
        <f t="shared" si="4"/>
        <v>1.9905125104641434E-2</v>
      </c>
      <c r="N43" s="1311">
        <f>(J43-Transactions!G651)/Transactions!G651</f>
        <v>-0.9642516344566775</v>
      </c>
      <c r="O43" s="1281"/>
      <c r="P43" s="956"/>
      <c r="Q43" s="328"/>
      <c r="R43" s="328"/>
      <c r="S43" s="309"/>
      <c r="T43" s="328"/>
      <c r="U43" s="5"/>
      <c r="V43" s="5"/>
      <c r="W43" s="5"/>
      <c r="X43" s="5"/>
      <c r="Y43" s="5"/>
      <c r="Z43" s="5"/>
    </row>
    <row r="44" spans="1:26" ht="12.75" customHeight="1">
      <c r="A44" s="322">
        <v>37</v>
      </c>
      <c r="B44" s="334" t="s">
        <v>422</v>
      </c>
      <c r="C44" s="138" t="s">
        <v>173</v>
      </c>
      <c r="D44" s="351">
        <v>40</v>
      </c>
      <c r="E44" s="350">
        <v>220.46</v>
      </c>
      <c r="F44" s="89">
        <f t="shared" si="2"/>
        <v>8818.4</v>
      </c>
      <c r="G44" s="121">
        <f>F44/$F$72</f>
        <v>4.9433859985419416E-2</v>
      </c>
      <c r="H44" s="130"/>
      <c r="I44" s="363">
        <v>40</v>
      </c>
      <c r="J44" s="350">
        <v>249.12</v>
      </c>
      <c r="K44" s="352">
        <f t="shared" si="1"/>
        <v>9964.7999999999993</v>
      </c>
      <c r="L44" s="353">
        <f t="shared" si="5"/>
        <v>5.7593205333405464E-2</v>
      </c>
      <c r="M44" s="355">
        <f t="shared" si="4"/>
        <v>0.13000090719404878</v>
      </c>
      <c r="N44" s="356">
        <f>(J44-Transactions!C1058)/Transactions!C1058</f>
        <v>3.2453987730061349</v>
      </c>
      <c r="O44" s="336"/>
      <c r="P44" s="331"/>
      <c r="Q44" s="327"/>
      <c r="R44" s="327"/>
      <c r="S44" s="309"/>
      <c r="T44" s="328"/>
      <c r="U44" s="5"/>
      <c r="V44" s="5"/>
      <c r="W44" s="5"/>
      <c r="X44" s="5"/>
      <c r="Y44" s="5"/>
      <c r="Z44" s="5"/>
    </row>
    <row r="45" spans="1:26" ht="12.75" customHeight="1">
      <c r="A45" s="322">
        <v>38</v>
      </c>
      <c r="B45" s="334" t="s">
        <v>503</v>
      </c>
      <c r="C45" s="138" t="s">
        <v>562</v>
      </c>
      <c r="D45" s="351">
        <v>32</v>
      </c>
      <c r="E45" s="350">
        <v>37.85</v>
      </c>
      <c r="F45" s="89">
        <f t="shared" si="2"/>
        <v>1211.2</v>
      </c>
      <c r="G45" s="121">
        <f>F45/$F$72</f>
        <v>6.7897000832736094E-3</v>
      </c>
      <c r="H45" s="130"/>
      <c r="I45" s="363">
        <v>32</v>
      </c>
      <c r="J45" s="350">
        <v>27.72</v>
      </c>
      <c r="K45" s="352">
        <f t="shared" si="1"/>
        <v>887.04</v>
      </c>
      <c r="L45" s="353">
        <f t="shared" si="5"/>
        <v>5.1267940007771341E-3</v>
      </c>
      <c r="M45" s="355">
        <f t="shared" si="4"/>
        <v>-0.2676354029062088</v>
      </c>
      <c r="N45" s="356">
        <f>(J45-Transactions!C614)/Transactions!C614</f>
        <v>-0.27887617065556708</v>
      </c>
      <c r="O45" s="336"/>
      <c r="P45" s="331"/>
      <c r="Q45" s="327"/>
      <c r="R45" s="327"/>
      <c r="S45" s="309"/>
      <c r="T45" s="328"/>
      <c r="U45" s="5"/>
      <c r="V45" s="5"/>
      <c r="W45" s="5"/>
      <c r="X45" s="5"/>
      <c r="Y45" s="5"/>
      <c r="Z45" s="5"/>
    </row>
    <row r="46" spans="1:26" ht="12.75" customHeight="1">
      <c r="A46" s="322">
        <v>39</v>
      </c>
      <c r="B46" s="334" t="s">
        <v>467</v>
      </c>
      <c r="C46" s="138" t="s">
        <v>468</v>
      </c>
      <c r="D46" s="351">
        <v>40</v>
      </c>
      <c r="E46" s="350">
        <v>114.02</v>
      </c>
      <c r="F46" s="89">
        <f t="shared" si="2"/>
        <v>4560.8</v>
      </c>
      <c r="G46" s="121">
        <f>F46/$F$72</f>
        <v>2.5566763655708619E-2</v>
      </c>
      <c r="H46" s="130"/>
      <c r="I46" s="363">
        <v>40</v>
      </c>
      <c r="J46" s="350">
        <v>131.94</v>
      </c>
      <c r="K46" s="352">
        <f t="shared" si="1"/>
        <v>5277.6</v>
      </c>
      <c r="L46" s="353">
        <f t="shared" si="5"/>
        <v>3.0502759761117208E-2</v>
      </c>
      <c r="M46" s="355">
        <f t="shared" si="4"/>
        <v>0.15716540957726716</v>
      </c>
      <c r="N46" s="356">
        <f>(J46-Transactions!C853)/Transactions!C853</f>
        <v>1.0097486671744096</v>
      </c>
      <c r="O46" s="1282"/>
      <c r="P46" s="331"/>
      <c r="Q46" s="327"/>
      <c r="R46" s="327"/>
      <c r="S46" s="309"/>
      <c r="T46" s="328"/>
      <c r="U46" s="5"/>
      <c r="V46" s="5"/>
      <c r="W46" s="5"/>
      <c r="X46" s="5"/>
      <c r="Y46" s="5"/>
      <c r="Z46" s="5"/>
    </row>
    <row r="47" spans="1:26" ht="12.75" customHeight="1">
      <c r="A47" s="322">
        <v>40</v>
      </c>
      <c r="B47" s="334" t="s">
        <v>426</v>
      </c>
      <c r="C47" s="138" t="s">
        <v>310</v>
      </c>
      <c r="D47" s="351">
        <v>54</v>
      </c>
      <c r="E47" s="350">
        <v>60.67</v>
      </c>
      <c r="F47" s="89">
        <f t="shared" si="2"/>
        <v>3276.1800000000003</v>
      </c>
      <c r="G47" s="121">
        <f>F47/$F$72</f>
        <v>1.8365488456753086E-2</v>
      </c>
      <c r="H47" s="130"/>
      <c r="I47" s="363">
        <v>54</v>
      </c>
      <c r="J47" s="350">
        <v>46.08</v>
      </c>
      <c r="K47" s="352">
        <f>I47*J47</f>
        <v>2488.3199999999997</v>
      </c>
      <c r="L47" s="353">
        <f t="shared" si="5"/>
        <v>1.4381655898283907E-2</v>
      </c>
      <c r="M47" s="355">
        <f t="shared" si="4"/>
        <v>-0.24048129223669035</v>
      </c>
      <c r="N47" s="356">
        <f>(J47-Transactions!G642)/Transactions!G642</f>
        <v>-0.9832716183837944</v>
      </c>
      <c r="O47" s="336"/>
      <c r="P47" s="331"/>
      <c r="Q47" s="327"/>
      <c r="R47" s="327"/>
      <c r="S47" s="309"/>
      <c r="T47" s="328"/>
      <c r="U47" s="5"/>
      <c r="V47" s="5"/>
      <c r="W47" s="5"/>
      <c r="X47" s="5"/>
      <c r="Y47" s="5"/>
      <c r="Z47" s="5"/>
    </row>
    <row r="48" spans="1:26" ht="12.75" customHeight="1">
      <c r="A48" s="322"/>
      <c r="B48" s="1183" t="s">
        <v>375</v>
      </c>
      <c r="C48" s="138"/>
      <c r="D48" s="1283"/>
      <c r="E48" s="350"/>
      <c r="F48" s="120"/>
      <c r="G48" s="131"/>
      <c r="H48" s="130"/>
      <c r="I48" s="363"/>
      <c r="J48" s="350"/>
      <c r="K48" s="581">
        <f>SUM(K9:K47)</f>
        <v>136306.78</v>
      </c>
      <c r="L48" s="407">
        <f t="shared" si="5"/>
        <v>0.78780751935566462</v>
      </c>
      <c r="M48" s="355"/>
      <c r="N48" s="1312"/>
      <c r="O48" s="1313"/>
      <c r="P48" s="326"/>
      <c r="Q48" s="327"/>
      <c r="R48" s="328"/>
      <c r="S48" s="309"/>
      <c r="T48" s="328"/>
      <c r="U48" s="5"/>
      <c r="V48" s="5"/>
      <c r="W48" s="5"/>
      <c r="X48" s="5"/>
      <c r="Y48" s="5"/>
      <c r="Z48" s="5"/>
    </row>
    <row r="49" spans="1:26" ht="12.75" customHeight="1">
      <c r="A49" s="322"/>
      <c r="B49" s="913"/>
      <c r="C49" s="138"/>
      <c r="D49" s="1283"/>
      <c r="E49" s="74"/>
      <c r="F49" s="89"/>
      <c r="G49" s="121"/>
      <c r="H49" s="130"/>
      <c r="I49" s="363"/>
      <c r="J49" s="350"/>
      <c r="K49" s="352"/>
      <c r="L49" s="353"/>
      <c r="M49" s="355"/>
      <c r="N49" s="1312"/>
      <c r="O49" s="336"/>
      <c r="P49" s="326"/>
      <c r="Q49" s="327"/>
      <c r="R49" s="328"/>
      <c r="S49" s="309"/>
      <c r="T49" s="328"/>
      <c r="U49" s="5"/>
      <c r="V49" s="5"/>
      <c r="W49" s="5"/>
      <c r="X49" s="5"/>
      <c r="Y49" s="5"/>
      <c r="Z49" s="5"/>
    </row>
    <row r="50" spans="1:26" ht="12.75" customHeight="1">
      <c r="A50" s="322"/>
      <c r="B50" s="1183" t="s">
        <v>563</v>
      </c>
      <c r="C50" s="138"/>
      <c r="D50" s="1283"/>
      <c r="E50" s="74"/>
      <c r="F50" s="89"/>
      <c r="G50" s="121"/>
      <c r="H50" s="130"/>
      <c r="I50" s="363"/>
      <c r="J50" s="350" t="s">
        <v>564</v>
      </c>
      <c r="K50" s="352"/>
      <c r="L50" s="353"/>
      <c r="M50" s="355"/>
      <c r="N50" s="1312"/>
      <c r="O50" s="336"/>
      <c r="P50" s="326"/>
      <c r="Q50" s="327"/>
      <c r="R50" s="328"/>
      <c r="S50" s="309"/>
      <c r="T50" s="328"/>
      <c r="U50" s="5"/>
      <c r="V50" s="5"/>
      <c r="W50" s="5"/>
      <c r="X50" s="5"/>
      <c r="Y50" s="5"/>
      <c r="Z50" s="5"/>
    </row>
    <row r="51" spans="1:26" ht="12.75" customHeight="1">
      <c r="A51" s="322">
        <v>42</v>
      </c>
      <c r="B51" s="334" t="s">
        <v>367</v>
      </c>
      <c r="C51" s="138" t="s">
        <v>368</v>
      </c>
      <c r="D51" s="130">
        <v>254</v>
      </c>
      <c r="E51" s="350">
        <v>42.43</v>
      </c>
      <c r="F51" s="89">
        <f>D51*E51</f>
        <v>10777.22</v>
      </c>
      <c r="G51" s="121">
        <f>F51/$F$72</f>
        <v>6.0414540564281707E-2</v>
      </c>
      <c r="H51" s="130"/>
      <c r="I51" s="363">
        <v>254</v>
      </c>
      <c r="J51" s="350">
        <v>38.200000000000003</v>
      </c>
      <c r="K51" s="352">
        <f>I51*J51</f>
        <v>9702.8000000000011</v>
      </c>
      <c r="L51" s="353">
        <f>K51/$K$72</f>
        <v>5.6078933115463095E-2</v>
      </c>
      <c r="M51" s="355">
        <f>(J51-E51)/E51</f>
        <v>-9.9693613009662896E-2</v>
      </c>
      <c r="N51" s="356">
        <f>(J51-Transactions!C965)/Transactions!C965</f>
        <v>0.19861939127706313</v>
      </c>
      <c r="O51" s="336"/>
      <c r="P51" s="331"/>
      <c r="Q51" s="327"/>
      <c r="R51" s="327"/>
      <c r="S51" s="309"/>
      <c r="T51" s="328"/>
      <c r="U51" s="5"/>
      <c r="V51" s="5"/>
      <c r="W51" s="5"/>
      <c r="X51" s="5"/>
      <c r="Y51" s="5"/>
      <c r="Z51" s="5"/>
    </row>
    <row r="52" spans="1:26" ht="12.75" customHeight="1">
      <c r="A52" s="322">
        <v>43</v>
      </c>
      <c r="B52" s="334" t="s">
        <v>371</v>
      </c>
      <c r="C52" s="138" t="s">
        <v>372</v>
      </c>
      <c r="D52" s="130">
        <v>81</v>
      </c>
      <c r="E52" s="350">
        <v>85.63</v>
      </c>
      <c r="F52" s="89">
        <f>D52*E52</f>
        <v>6936.03</v>
      </c>
      <c r="G52" s="121">
        <f>F52/$F$72</f>
        <v>3.8881739983973131E-2</v>
      </c>
      <c r="H52" s="130"/>
      <c r="I52" s="363">
        <v>81</v>
      </c>
      <c r="J52" s="350">
        <v>77.989999999999995</v>
      </c>
      <c r="K52" s="352">
        <f>I52*J52</f>
        <v>6317.19</v>
      </c>
      <c r="L52" s="353">
        <f>K52/$K$72</f>
        <v>3.6511241650623763E-2</v>
      </c>
      <c r="M52" s="355">
        <f>(J52-E52)/E52</f>
        <v>-8.9221067382926553E-2</v>
      </c>
      <c r="N52" s="356">
        <f>(J52-Transactions!C961)/Transactions!C961</f>
        <v>0.265660499837715</v>
      </c>
      <c r="O52" s="336"/>
      <c r="P52" s="331"/>
      <c r="Q52" s="327"/>
      <c r="R52" s="327"/>
      <c r="S52" s="309"/>
      <c r="T52" s="328"/>
      <c r="U52" s="5"/>
      <c r="V52" s="5"/>
      <c r="W52" s="5"/>
      <c r="X52" s="5"/>
      <c r="Y52" s="5"/>
      <c r="Z52" s="5"/>
    </row>
    <row r="53" spans="1:26" ht="12.75" customHeight="1">
      <c r="A53" s="322"/>
      <c r="B53" s="1183" t="s">
        <v>375</v>
      </c>
      <c r="C53" s="138"/>
      <c r="D53" s="1283"/>
      <c r="E53" s="74"/>
      <c r="F53" s="120"/>
      <c r="G53" s="121"/>
      <c r="H53" s="130"/>
      <c r="I53" s="363"/>
      <c r="J53" s="350"/>
      <c r="K53" s="581">
        <f>SUM(K51:K52)</f>
        <v>16019.990000000002</v>
      </c>
      <c r="L53" s="407">
        <f>K53/$K$72</f>
        <v>9.2590174766086872E-2</v>
      </c>
      <c r="M53" s="355"/>
      <c r="N53" s="1312"/>
      <c r="O53" s="336"/>
      <c r="P53" s="331"/>
      <c r="Q53" s="327"/>
      <c r="R53" s="327"/>
      <c r="S53" s="309"/>
      <c r="T53" s="328"/>
      <c r="U53" s="5"/>
      <c r="V53" s="5"/>
      <c r="W53" s="5"/>
      <c r="X53" s="5"/>
      <c r="Y53" s="5"/>
      <c r="Z53" s="5"/>
    </row>
    <row r="54" spans="1:26" ht="12.75" customHeight="1">
      <c r="A54" s="322"/>
      <c r="B54" s="913"/>
      <c r="C54" s="138"/>
      <c r="D54" s="1283"/>
      <c r="E54" s="74"/>
      <c r="F54" s="89"/>
      <c r="G54" s="121"/>
      <c r="H54" s="130"/>
      <c r="I54" s="363"/>
      <c r="J54" s="350"/>
      <c r="K54" s="352"/>
      <c r="L54" s="353"/>
      <c r="M54" s="355"/>
      <c r="N54" s="1312"/>
      <c r="O54" s="336"/>
      <c r="P54" s="326"/>
      <c r="Q54" s="327"/>
      <c r="R54" s="328"/>
      <c r="S54" s="309"/>
      <c r="T54" s="328"/>
      <c r="U54" s="5"/>
      <c r="V54" s="5"/>
      <c r="W54" s="5"/>
      <c r="X54" s="5"/>
      <c r="Y54" s="5"/>
      <c r="Z54" s="5"/>
    </row>
    <row r="55" spans="1:26" ht="12.75" customHeight="1">
      <c r="A55" s="322"/>
      <c r="B55" s="1183" t="s">
        <v>567</v>
      </c>
      <c r="C55" s="138"/>
      <c r="D55" s="1283"/>
      <c r="E55" s="74"/>
      <c r="F55" s="89"/>
      <c r="G55" s="121"/>
      <c r="H55" s="130"/>
      <c r="I55" s="363"/>
      <c r="J55" s="350"/>
      <c r="K55" s="352"/>
      <c r="L55" s="353"/>
      <c r="M55" s="355"/>
      <c r="N55" s="1312"/>
      <c r="O55" s="336"/>
      <c r="P55" s="326"/>
      <c r="Q55" s="327"/>
      <c r="R55" s="328"/>
      <c r="S55" s="309"/>
      <c r="T55" s="328"/>
      <c r="U55" s="5"/>
      <c r="V55" s="5"/>
      <c r="W55" s="5"/>
      <c r="X55" s="5"/>
      <c r="Y55" s="5"/>
      <c r="Z55" s="5"/>
    </row>
    <row r="56" spans="1:26" ht="12.75" customHeight="1">
      <c r="A56" s="322">
        <v>44</v>
      </c>
      <c r="B56" s="160" t="s">
        <v>568</v>
      </c>
      <c r="C56" s="138" t="s">
        <v>569</v>
      </c>
      <c r="D56" s="130">
        <v>400</v>
      </c>
      <c r="E56" s="350">
        <v>24.48</v>
      </c>
      <c r="F56" s="89">
        <f>D56*E56</f>
        <v>9792</v>
      </c>
      <c r="G56" s="121">
        <f>F56/$F$72</f>
        <v>5.489163079211954E-2</v>
      </c>
      <c r="H56" s="130"/>
      <c r="I56" s="363">
        <v>400</v>
      </c>
      <c r="J56" s="350">
        <v>22.38</v>
      </c>
      <c r="K56" s="352">
        <f>I56*J56</f>
        <v>8952</v>
      </c>
      <c r="L56" s="353">
        <f>K56/$K$72</f>
        <v>5.1739560668015994E-2</v>
      </c>
      <c r="M56" s="355">
        <f>(J56-E56)/E56</f>
        <v>-8.5784313725490252E-2</v>
      </c>
      <c r="N56" s="356">
        <f>(J56-Transactions!C595)/Transactions!C595</f>
        <v>-8.9866530024644412E-2</v>
      </c>
      <c r="O56" s="336"/>
      <c r="P56" s="326"/>
      <c r="Q56" s="327"/>
      <c r="R56" s="328"/>
      <c r="S56" s="309"/>
      <c r="T56" s="328"/>
      <c r="U56" s="5"/>
      <c r="V56" s="5"/>
      <c r="W56" s="5"/>
      <c r="X56" s="5"/>
      <c r="Y56" s="5"/>
      <c r="Z56" s="5"/>
    </row>
    <row r="57" spans="1:26" ht="12.75" customHeight="1">
      <c r="A57" s="322"/>
      <c r="B57" s="1183" t="s">
        <v>375</v>
      </c>
      <c r="C57" s="138"/>
      <c r="D57" s="1283"/>
      <c r="E57" s="74"/>
      <c r="F57" s="75"/>
      <c r="G57" s="131"/>
      <c r="H57" s="130"/>
      <c r="I57" s="363"/>
      <c r="J57" s="350"/>
      <c r="K57" s="581">
        <f>SUM(K56)</f>
        <v>8952</v>
      </c>
      <c r="L57" s="407">
        <f>K57/$K$72</f>
        <v>5.1739560668015994E-2</v>
      </c>
      <c r="M57" s="355"/>
      <c r="N57" s="1312"/>
      <c r="O57" s="336"/>
      <c r="P57" s="326"/>
      <c r="Q57" s="327"/>
      <c r="R57" s="328"/>
      <c r="S57" s="309"/>
      <c r="T57" s="328"/>
      <c r="U57" s="5"/>
      <c r="V57" s="5"/>
      <c r="W57" s="5"/>
      <c r="X57" s="5"/>
      <c r="Y57" s="5"/>
      <c r="Z57" s="5"/>
    </row>
    <row r="58" spans="1:26" ht="12.75" customHeight="1">
      <c r="A58" s="322"/>
      <c r="B58" s="323"/>
      <c r="C58" s="323"/>
      <c r="D58" s="379"/>
      <c r="E58" s="380"/>
      <c r="F58" s="381"/>
      <c r="G58" s="382"/>
      <c r="H58" s="383"/>
      <c r="I58" s="383"/>
      <c r="J58" s="384"/>
      <c r="K58" s="385"/>
      <c r="L58" s="386"/>
      <c r="M58" s="580"/>
      <c r="N58" s="356"/>
      <c r="O58" s="327"/>
      <c r="P58" s="326"/>
      <c r="Q58" s="327"/>
      <c r="R58" s="328"/>
      <c r="S58" s="309"/>
      <c r="T58" s="328"/>
      <c r="U58" s="5"/>
      <c r="V58" s="5"/>
      <c r="W58" s="5"/>
      <c r="X58" s="5"/>
      <c r="Y58" s="5"/>
      <c r="Z58" s="5"/>
    </row>
    <row r="59" spans="1:26" ht="12.75" customHeight="1">
      <c r="A59" s="46"/>
      <c r="B59" s="312" t="s">
        <v>52</v>
      </c>
      <c r="C59" s="313"/>
      <c r="D59" s="379"/>
      <c r="E59" s="380"/>
      <c r="F59" s="381"/>
      <c r="G59" s="382"/>
      <c r="H59" s="383"/>
      <c r="I59" s="383"/>
      <c r="J59" s="384"/>
      <c r="K59" s="385"/>
      <c r="L59" s="386"/>
      <c r="M59" s="580"/>
      <c r="N59" s="387"/>
      <c r="O59" s="325"/>
      <c r="P59" s="326"/>
      <c r="Q59" s="327"/>
      <c r="R59" s="309"/>
      <c r="S59" s="309"/>
      <c r="T59" s="328"/>
      <c r="U59" s="5"/>
      <c r="V59" s="5"/>
      <c r="W59" s="5"/>
      <c r="X59" s="5"/>
      <c r="Y59" s="5"/>
      <c r="Z59" s="5"/>
    </row>
    <row r="60" spans="1:26" ht="12.75" customHeight="1">
      <c r="A60" s="311"/>
      <c r="B60" s="314" t="s">
        <v>570</v>
      </c>
      <c r="C60" s="315" t="s">
        <v>8</v>
      </c>
      <c r="D60" s="388" t="s">
        <v>9</v>
      </c>
      <c r="E60" s="389" t="s">
        <v>436</v>
      </c>
      <c r="F60" s="389" t="s">
        <v>437</v>
      </c>
      <c r="G60" s="389" t="s">
        <v>438</v>
      </c>
      <c r="H60" s="390" t="s">
        <v>439</v>
      </c>
      <c r="I60" s="391" t="s">
        <v>440</v>
      </c>
      <c r="J60" s="391" t="s">
        <v>15</v>
      </c>
      <c r="K60" s="392" t="s">
        <v>508</v>
      </c>
      <c r="L60" s="393"/>
      <c r="M60" s="394"/>
      <c r="N60" s="394"/>
      <c r="O60" s="1286"/>
      <c r="P60" s="326"/>
      <c r="Q60" s="327"/>
      <c r="R60" s="309"/>
      <c r="S60" s="309"/>
      <c r="T60" s="328"/>
      <c r="U60" s="5"/>
      <c r="V60" s="5"/>
      <c r="W60" s="5"/>
      <c r="X60" s="5"/>
      <c r="Y60" s="5"/>
      <c r="Z60" s="5"/>
    </row>
    <row r="61" spans="1:26" ht="12.75" customHeight="1">
      <c r="A61" s="322">
        <v>1</v>
      </c>
      <c r="B61" s="334" t="s">
        <v>565</v>
      </c>
      <c r="C61" s="138" t="s">
        <v>566</v>
      </c>
      <c r="D61" s="130">
        <v>37.798999999999999</v>
      </c>
      <c r="E61" s="74">
        <v>246.28</v>
      </c>
      <c r="F61" s="74">
        <v>248.48</v>
      </c>
      <c r="G61" s="366">
        <f>E61*D61</f>
        <v>9309.1377200000006</v>
      </c>
      <c r="H61" s="350">
        <f>F61*D61</f>
        <v>9392.2955199999997</v>
      </c>
      <c r="I61" s="531">
        <f>G61-H61</f>
        <v>-83.157799999999042</v>
      </c>
      <c r="J61" s="356">
        <f>(G61-H61)/H61</f>
        <v>-8.8538312942690548E-3</v>
      </c>
      <c r="K61" s="349">
        <v>43144</v>
      </c>
      <c r="L61" s="367" t="s">
        <v>612</v>
      </c>
      <c r="M61" s="2027"/>
      <c r="N61" s="2000"/>
      <c r="O61" s="1286"/>
      <c r="P61" s="326"/>
      <c r="Q61" s="327"/>
      <c r="R61" s="309"/>
      <c r="S61" s="309"/>
      <c r="T61" s="328"/>
      <c r="U61" s="5"/>
      <c r="V61" s="5"/>
      <c r="W61" s="5"/>
      <c r="X61" s="5"/>
      <c r="Y61" s="5"/>
      <c r="Z61" s="5"/>
    </row>
    <row r="62" spans="1:26" ht="12.75" customHeight="1">
      <c r="A62" s="322">
        <v>2</v>
      </c>
      <c r="B62" s="323" t="s">
        <v>557</v>
      </c>
      <c r="C62" s="138" t="s">
        <v>462</v>
      </c>
      <c r="D62" s="130">
        <v>60</v>
      </c>
      <c r="E62" s="74">
        <v>26.845500000000001</v>
      </c>
      <c r="F62" s="74">
        <v>34.622666000000002</v>
      </c>
      <c r="G62" s="366">
        <f>E62*D62</f>
        <v>1610.73</v>
      </c>
      <c r="H62" s="350">
        <f>F62*D62</f>
        <v>2077.3599600000002</v>
      </c>
      <c r="I62" s="531">
        <f>G62-H62</f>
        <v>-466.62996000000021</v>
      </c>
      <c r="J62" s="356">
        <f>(G62-H62)/H62</f>
        <v>-0.22462643402446256</v>
      </c>
      <c r="K62" s="349">
        <v>43165</v>
      </c>
      <c r="L62" s="367" t="s">
        <v>612</v>
      </c>
      <c r="M62" s="395"/>
      <c r="N62" s="408"/>
      <c r="O62" s="325"/>
      <c r="P62" s="326"/>
      <c r="Q62" s="327"/>
      <c r="R62" s="309"/>
      <c r="S62" s="309"/>
      <c r="T62" s="328"/>
      <c r="U62" s="5"/>
      <c r="V62" s="5"/>
      <c r="W62" s="5"/>
      <c r="X62" s="5"/>
      <c r="Y62" s="5"/>
      <c r="Z62" s="5"/>
    </row>
    <row r="63" spans="1:26" s="514" customFormat="1" ht="12.75" customHeight="1">
      <c r="A63" s="550">
        <v>3</v>
      </c>
      <c r="B63" s="551" t="s">
        <v>613</v>
      </c>
      <c r="C63" s="552" t="s">
        <v>614</v>
      </c>
      <c r="D63" s="553">
        <v>20</v>
      </c>
      <c r="E63" s="554">
        <f>1075/D63</f>
        <v>53.75</v>
      </c>
      <c r="F63" s="554">
        <v>93.31</v>
      </c>
      <c r="G63" s="555">
        <f>E63*D63+899.08</f>
        <v>1974.08</v>
      </c>
      <c r="H63" s="565">
        <f>F63*D63</f>
        <v>1866.2</v>
      </c>
      <c r="I63" s="556">
        <f>G63-H63</f>
        <v>107.87999999999988</v>
      </c>
      <c r="J63" s="1314">
        <f>(G63-H63)/H63</f>
        <v>5.78073089700996E-2</v>
      </c>
      <c r="K63" s="566">
        <v>43266</v>
      </c>
      <c r="L63" s="557" t="s">
        <v>615</v>
      </c>
      <c r="M63" s="558"/>
      <c r="N63" s="1315"/>
      <c r="O63" s="559"/>
      <c r="P63" s="560"/>
      <c r="Q63" s="561"/>
      <c r="R63" s="562"/>
      <c r="S63" s="562"/>
      <c r="T63" s="563"/>
      <c r="U63" s="564"/>
      <c r="V63" s="564"/>
      <c r="W63" s="564"/>
      <c r="X63" s="564"/>
      <c r="Y63" s="564"/>
      <c r="Z63" s="564"/>
    </row>
    <row r="64" spans="1:26" ht="12.75" customHeight="1">
      <c r="A64" s="322">
        <v>4</v>
      </c>
      <c r="B64" s="374" t="s">
        <v>542</v>
      </c>
      <c r="C64" s="335" t="s">
        <v>452</v>
      </c>
      <c r="D64" s="351">
        <v>25</v>
      </c>
      <c r="E64" s="74">
        <v>89.9</v>
      </c>
      <c r="F64" s="74">
        <v>71.84</v>
      </c>
      <c r="G64" s="366">
        <f>D64*E64</f>
        <v>2247.5</v>
      </c>
      <c r="H64" s="350">
        <f>D64*F64</f>
        <v>1796</v>
      </c>
      <c r="I64" s="373">
        <f>G64-H64</f>
        <v>451.5</v>
      </c>
      <c r="J64" s="356">
        <f>(G64-H64)/H64</f>
        <v>0.25139198218262804</v>
      </c>
      <c r="K64" s="349">
        <v>43415</v>
      </c>
      <c r="L64" s="367" t="s">
        <v>612</v>
      </c>
      <c r="M64" s="395"/>
      <c r="N64" s="408"/>
      <c r="O64" s="325"/>
      <c r="P64" s="326"/>
      <c r="Q64" s="327"/>
      <c r="R64" s="309"/>
      <c r="S64" s="309"/>
      <c r="T64" s="328"/>
      <c r="U64" s="5"/>
      <c r="V64" s="5"/>
      <c r="W64" s="5"/>
      <c r="X64" s="5"/>
      <c r="Y64" s="5"/>
      <c r="Z64" s="5"/>
    </row>
    <row r="65" spans="1:27" s="514" customFormat="1" ht="12.75" customHeight="1">
      <c r="A65" s="550">
        <v>5</v>
      </c>
      <c r="B65" s="551" t="s">
        <v>343</v>
      </c>
      <c r="C65" s="552" t="s">
        <v>344</v>
      </c>
      <c r="D65" s="1316">
        <v>38</v>
      </c>
      <c r="E65" s="554">
        <v>48.75</v>
      </c>
      <c r="F65" s="554">
        <v>60.12</v>
      </c>
      <c r="G65" s="555">
        <f>D65*E65+Transactions!E530</f>
        <v>3477.1800000000003</v>
      </c>
      <c r="H65" s="565">
        <f>F65*D65</f>
        <v>2284.56</v>
      </c>
      <c r="I65" s="556">
        <f>G65-H65</f>
        <v>1192.6200000000003</v>
      </c>
      <c r="J65" s="1314">
        <f>(G65-H65)/H65</f>
        <v>0.52203487761319478</v>
      </c>
      <c r="K65" s="566">
        <v>43458</v>
      </c>
      <c r="L65" s="557" t="s">
        <v>615</v>
      </c>
      <c r="M65" s="558"/>
      <c r="N65" s="1315"/>
      <c r="O65" s="559"/>
      <c r="P65" s="560"/>
      <c r="Q65" s="561"/>
      <c r="R65" s="562"/>
      <c r="S65" s="562"/>
      <c r="T65" s="563"/>
      <c r="U65" s="564"/>
      <c r="V65" s="564"/>
      <c r="W65" s="564"/>
      <c r="X65" s="564"/>
      <c r="Y65" s="564"/>
      <c r="Z65" s="564"/>
    </row>
    <row r="66" spans="1:27" ht="12.75" customHeight="1">
      <c r="A66" s="46"/>
      <c r="B66" s="918"/>
      <c r="C66" s="18"/>
      <c r="D66" s="1187"/>
      <c r="E66" s="396"/>
      <c r="F66" s="397"/>
      <c r="G66" s="398"/>
      <c r="H66" s="398"/>
      <c r="I66" s="531"/>
      <c r="J66" s="356"/>
      <c r="K66" s="399"/>
      <c r="L66" s="408"/>
      <c r="M66" s="1317"/>
      <c r="N66" s="400"/>
      <c r="O66" s="325"/>
      <c r="P66" s="326"/>
      <c r="Q66" s="327"/>
      <c r="R66" s="309"/>
      <c r="S66" s="309"/>
      <c r="T66" s="328"/>
      <c r="U66" s="5"/>
      <c r="V66" s="5"/>
      <c r="W66" s="5"/>
      <c r="X66" s="5"/>
      <c r="Y66" s="5"/>
      <c r="Z66" s="5"/>
    </row>
    <row r="67" spans="1:27" ht="12.75" customHeight="1">
      <c r="A67" s="344"/>
      <c r="B67" s="345" t="s">
        <v>63</v>
      </c>
      <c r="C67" s="345"/>
      <c r="D67" s="401"/>
      <c r="E67" s="1318"/>
      <c r="F67" s="403">
        <v>165865.29999999999</v>
      </c>
      <c r="G67" s="783">
        <f>F67/$F$72</f>
        <v>0.92980155318874025</v>
      </c>
      <c r="H67" s="405"/>
      <c r="I67" s="1319"/>
      <c r="J67" s="1265"/>
      <c r="K67" s="1320">
        <f>K48+K53+K57</f>
        <v>161278.76999999999</v>
      </c>
      <c r="L67" s="1321">
        <f>K67/$K$72</f>
        <v>0.93213725478976739</v>
      </c>
      <c r="M67" s="1322"/>
      <c r="N67" s="39"/>
      <c r="O67" s="325"/>
      <c r="P67" s="326"/>
      <c r="Q67" s="327"/>
      <c r="R67" s="309"/>
      <c r="S67" s="309"/>
      <c r="T67" s="328"/>
      <c r="U67" s="5"/>
      <c r="V67" s="5"/>
      <c r="W67" s="5"/>
      <c r="X67" s="5"/>
      <c r="Y67" s="5"/>
      <c r="Z67" s="5"/>
    </row>
    <row r="68" spans="1:27" ht="12.75" customHeight="1">
      <c r="A68" s="344"/>
      <c r="B68" s="345"/>
      <c r="C68" s="345"/>
      <c r="D68" s="401"/>
      <c r="E68" s="402"/>
      <c r="F68" s="5"/>
      <c r="G68" s="783"/>
      <c r="H68" s="405"/>
      <c r="I68" s="405"/>
      <c r="J68" s="406"/>
      <c r="K68" s="581"/>
      <c r="L68" s="410"/>
      <c r="M68" s="1322"/>
      <c r="N68" s="39"/>
      <c r="O68" s="1323"/>
      <c r="P68" s="326"/>
      <c r="Q68" s="327"/>
      <c r="R68" s="309"/>
      <c r="S68" s="309"/>
      <c r="T68" s="328"/>
      <c r="U68" s="5"/>
      <c r="V68" s="5"/>
      <c r="W68" s="5"/>
      <c r="X68" s="5"/>
      <c r="Y68" s="5"/>
      <c r="Z68" s="5"/>
    </row>
    <row r="69" spans="1:27" ht="12.75" customHeight="1">
      <c r="A69" s="344"/>
      <c r="B69" s="1324" t="s">
        <v>616</v>
      </c>
      <c r="C69" s="345"/>
      <c r="D69" s="401"/>
      <c r="E69" s="402"/>
      <c r="F69" s="403">
        <v>12522.55</v>
      </c>
      <c r="G69" s="783">
        <f>F69/$F$72</f>
        <v>7.0198446811259849E-2</v>
      </c>
      <c r="H69" s="405"/>
      <c r="I69" s="405"/>
      <c r="J69" s="406"/>
      <c r="K69" s="75">
        <v>11741.64</v>
      </c>
      <c r="L69" s="407">
        <f>K69/$K$72</f>
        <v>6.7862745210232722E-2</v>
      </c>
      <c r="M69" s="408"/>
      <c r="N69" s="3"/>
      <c r="O69" s="348"/>
      <c r="P69" s="326"/>
      <c r="Q69" s="327"/>
      <c r="R69" s="328"/>
      <c r="S69" s="309"/>
      <c r="T69" s="328"/>
      <c r="U69" s="5"/>
      <c r="V69" s="5"/>
      <c r="W69" s="5"/>
      <c r="X69" s="5"/>
      <c r="Y69" s="5"/>
      <c r="Z69" s="5"/>
    </row>
    <row r="70" spans="1:27" ht="12.75" customHeight="1">
      <c r="A70" s="344"/>
      <c r="B70" s="345"/>
      <c r="C70" s="345"/>
      <c r="D70" s="401"/>
      <c r="E70" s="402"/>
      <c r="F70" s="403"/>
      <c r="G70" s="404"/>
      <c r="H70" s="405"/>
      <c r="I70" s="405"/>
      <c r="J70" s="406"/>
      <c r="K70" s="75"/>
      <c r="L70" s="407"/>
      <c r="M70" s="408"/>
      <c r="N70" s="3"/>
      <c r="O70" s="348"/>
      <c r="P70" s="326"/>
      <c r="Q70" s="327"/>
      <c r="R70" s="328"/>
      <c r="S70" s="309"/>
      <c r="T70" s="328"/>
      <c r="U70" s="5"/>
      <c r="V70" s="5"/>
      <c r="W70" s="5"/>
      <c r="X70" s="5"/>
      <c r="Y70" s="5"/>
      <c r="Z70" s="5"/>
    </row>
    <row r="71" spans="1:27" ht="12.75" customHeight="1" thickBot="1">
      <c r="A71" s="49"/>
      <c r="B71" s="924"/>
      <c r="C71" s="924"/>
      <c r="D71" s="409"/>
      <c r="E71" s="1325"/>
      <c r="F71" s="1326"/>
      <c r="G71" s="1327"/>
      <c r="H71" s="1328"/>
      <c r="I71" s="1328"/>
      <c r="J71" s="94"/>
      <c r="K71" s="96"/>
      <c r="L71" s="410"/>
      <c r="M71" s="411"/>
      <c r="N71" s="39"/>
      <c r="P71" s="326"/>
      <c r="Q71" s="327"/>
      <c r="R71" s="309"/>
      <c r="S71" s="309"/>
      <c r="T71" s="328"/>
      <c r="U71" s="5"/>
      <c r="V71" s="5"/>
      <c r="W71" s="5"/>
      <c r="X71" s="5"/>
      <c r="Y71" s="5"/>
      <c r="Z71" s="5"/>
    </row>
    <row r="72" spans="1:27" ht="12.75" customHeight="1" thickTop="1">
      <c r="A72" s="309"/>
      <c r="B72" s="345" t="s">
        <v>66</v>
      </c>
      <c r="C72" s="345"/>
      <c r="D72" s="1329"/>
      <c r="E72" s="1330"/>
      <c r="F72" s="412">
        <f>SUM(F67:F69)</f>
        <v>178387.84999999998</v>
      </c>
      <c r="G72" s="1331">
        <f>SUM(G67:G71)</f>
        <v>1</v>
      </c>
      <c r="H72" s="1332"/>
      <c r="I72" s="1332"/>
      <c r="J72" s="1333"/>
      <c r="K72" s="1270">
        <f>SUM(K67:K71)</f>
        <v>173020.40999999997</v>
      </c>
      <c r="L72" s="413">
        <f>SUM(L67:L71)</f>
        <v>1</v>
      </c>
      <c r="M72" s="147">
        <f>(K72-F72)/F72</f>
        <v>-3.0088596280520245E-2</v>
      </c>
      <c r="N72" s="1334"/>
      <c r="O72" s="327"/>
      <c r="P72" s="331"/>
      <c r="Q72" s="327"/>
      <c r="R72" s="309"/>
      <c r="S72" s="309"/>
      <c r="T72" s="328"/>
      <c r="U72" s="5"/>
      <c r="V72" s="5"/>
      <c r="W72" s="5"/>
      <c r="X72" s="5"/>
      <c r="Y72" s="5"/>
      <c r="Z72" s="5"/>
    </row>
    <row r="73" spans="1:27" ht="12.75" customHeight="1">
      <c r="A73" s="309"/>
      <c r="B73" s="309"/>
      <c r="C73" s="985"/>
      <c r="D73" s="1024"/>
      <c r="E73" s="1024"/>
      <c r="F73" s="1024"/>
      <c r="G73" s="1024"/>
      <c r="H73" s="546"/>
      <c r="I73" s="546"/>
      <c r="J73" s="940"/>
      <c r="K73" s="940"/>
      <c r="L73" s="1147"/>
      <c r="M73" s="949"/>
      <c r="N73" s="882"/>
      <c r="O73" s="325"/>
      <c r="P73" s="327"/>
      <c r="Q73" s="309"/>
      <c r="R73" s="309"/>
      <c r="S73" s="309"/>
      <c r="T73" s="328"/>
      <c r="U73" s="5"/>
      <c r="V73" s="5"/>
      <c r="W73" s="5"/>
      <c r="X73" s="5"/>
      <c r="Y73" s="5"/>
      <c r="Z73" s="5"/>
    </row>
    <row r="74" spans="1:27" ht="12.75" customHeight="1">
      <c r="A74" s="309"/>
      <c r="B74" s="309" t="s">
        <v>617</v>
      </c>
      <c r="C74" s="985"/>
      <c r="D74" s="1024"/>
      <c r="E74" s="1024"/>
      <c r="F74" s="1024"/>
      <c r="G74" s="1024"/>
      <c r="H74" s="546"/>
      <c r="I74" s="546"/>
      <c r="J74" s="940"/>
      <c r="K74" s="940"/>
      <c r="L74" s="1147"/>
      <c r="M74" s="949"/>
      <c r="N74" s="882"/>
      <c r="O74" s="323"/>
      <c r="P74" s="325"/>
      <c r="Q74" s="326"/>
      <c r="R74" s="309"/>
      <c r="S74" s="309"/>
      <c r="T74" s="309"/>
      <c r="U74" s="328"/>
      <c r="V74" s="5"/>
      <c r="W74" s="5"/>
      <c r="X74" s="5"/>
      <c r="Y74" s="5"/>
      <c r="Z74" s="5"/>
      <c r="AA74" s="5"/>
    </row>
    <row r="75" spans="1:27" ht="12.75" customHeight="1">
      <c r="A75" s="309"/>
      <c r="B75" s="872"/>
      <c r="C75" s="873"/>
      <c r="D75" s="874"/>
      <c r="E75" s="875"/>
      <c r="F75" s="876"/>
      <c r="G75" s="877"/>
      <c r="H75" s="878"/>
      <c r="I75" s="878" t="s">
        <v>564</v>
      </c>
      <c r="J75" s="879"/>
      <c r="K75" s="879"/>
      <c r="L75" s="880"/>
      <c r="M75" s="881"/>
      <c r="N75" s="882"/>
      <c r="O75" s="323"/>
      <c r="P75" s="325"/>
      <c r="Q75" s="326"/>
      <c r="R75" s="309"/>
      <c r="S75" s="309"/>
      <c r="T75" s="309"/>
      <c r="U75" s="328"/>
      <c r="V75" s="5"/>
      <c r="W75" s="5"/>
      <c r="X75" s="5"/>
      <c r="Y75" s="5"/>
      <c r="Z75" s="5"/>
      <c r="AA75" s="5"/>
    </row>
    <row r="76" spans="1:27" ht="12.75" customHeight="1">
      <c r="A76" s="309"/>
      <c r="B76" s="345" t="s">
        <v>390</v>
      </c>
      <c r="C76" s="309"/>
      <c r="D76" s="323"/>
      <c r="E76" s="323"/>
      <c r="F76" s="1114"/>
      <c r="G76" s="323"/>
      <c r="H76" s="546"/>
      <c r="I76" s="546"/>
      <c r="J76" s="309"/>
      <c r="K76" s="309"/>
      <c r="L76" s="324"/>
      <c r="M76" s="309"/>
      <c r="N76" s="5"/>
      <c r="O76" s="1042"/>
      <c r="P76" s="325"/>
      <c r="Q76" s="326"/>
      <c r="R76" s="309"/>
      <c r="S76" s="309"/>
      <c r="T76" s="309"/>
      <c r="U76" s="328"/>
      <c r="V76" s="5"/>
      <c r="W76" s="5"/>
      <c r="X76" s="5"/>
      <c r="Y76" s="5"/>
      <c r="Z76" s="5"/>
      <c r="AA76" s="5"/>
    </row>
    <row r="77" spans="1:27" ht="12.75" customHeight="1">
      <c r="A77" s="309"/>
      <c r="B77" s="309" t="s">
        <v>272</v>
      </c>
      <c r="C77" s="309" t="s">
        <v>225</v>
      </c>
      <c r="D77" s="323"/>
      <c r="E77" s="323"/>
      <c r="F77" s="1335">
        <v>2673.61</v>
      </c>
      <c r="G77" s="361"/>
      <c r="H77" s="500"/>
      <c r="I77" s="500"/>
      <c r="J77" s="359"/>
      <c r="K77" s="5"/>
      <c r="L77" s="1336">
        <v>2506.85</v>
      </c>
      <c r="M77" s="1334">
        <f>(L77-F77)/F77</f>
        <v>-6.2372597349650928E-2</v>
      </c>
      <c r="O77" s="5"/>
      <c r="P77" s="5"/>
      <c r="Q77" s="326"/>
      <c r="R77" s="309"/>
      <c r="S77" s="309"/>
      <c r="T77" s="309"/>
      <c r="U77" s="328"/>
      <c r="V77" s="5"/>
      <c r="W77" s="5"/>
      <c r="X77" s="5"/>
      <c r="Y77" s="5"/>
      <c r="Z77" s="5"/>
      <c r="AA77" s="5"/>
    </row>
    <row r="78" spans="1:27" ht="12.75" customHeight="1">
      <c r="A78" s="309"/>
      <c r="B78" s="359" t="s">
        <v>273</v>
      </c>
      <c r="C78" s="359"/>
      <c r="D78" s="359"/>
      <c r="E78" s="359"/>
      <c r="F78" s="1337"/>
      <c r="G78" s="359"/>
      <c r="H78" s="500"/>
      <c r="I78" s="500"/>
      <c r="J78" s="359"/>
      <c r="K78" s="359"/>
      <c r="L78" s="395"/>
      <c r="M78" s="1334">
        <v>1.8599999999999998E-2</v>
      </c>
      <c r="O78" s="1042"/>
      <c r="P78" s="330"/>
      <c r="Q78" s="326"/>
      <c r="R78" s="309"/>
      <c r="S78" s="309"/>
      <c r="T78" s="309"/>
      <c r="U78" s="328"/>
      <c r="V78" s="5"/>
      <c r="W78" s="5"/>
      <c r="X78" s="5"/>
      <c r="Y78" s="5"/>
      <c r="Z78" s="5"/>
      <c r="AA78" s="5"/>
    </row>
    <row r="79" spans="1:27" ht="12.75" customHeight="1">
      <c r="A79" s="309"/>
      <c r="B79" s="1338" t="s">
        <v>228</v>
      </c>
      <c r="C79" s="359"/>
      <c r="D79" s="359"/>
      <c r="E79" s="359"/>
      <c r="F79" s="1337"/>
      <c r="G79" s="359"/>
      <c r="H79" s="500"/>
      <c r="I79" s="500"/>
      <c r="J79" s="359"/>
      <c r="K79" s="359"/>
      <c r="L79" s="431"/>
      <c r="M79" s="1334">
        <f>M77+M78</f>
        <v>-4.377259734965093E-2</v>
      </c>
      <c r="O79" s="1042"/>
      <c r="P79" s="325"/>
      <c r="Q79" s="326"/>
      <c r="R79" s="309"/>
      <c r="S79" s="309"/>
      <c r="T79" s="309"/>
      <c r="U79" s="328"/>
      <c r="V79" s="5"/>
      <c r="W79" s="5"/>
      <c r="X79" s="5"/>
      <c r="Y79" s="5"/>
      <c r="Z79" s="5"/>
      <c r="AA79" s="5"/>
    </row>
    <row r="80" spans="1:27" ht="12.75" customHeight="1">
      <c r="A80" s="309"/>
      <c r="B80" s="1339"/>
      <c r="C80" s="359"/>
      <c r="D80" s="359"/>
      <c r="E80" s="359"/>
      <c r="F80" s="359"/>
      <c r="G80" s="359"/>
      <c r="H80" s="500"/>
      <c r="I80" s="500"/>
      <c r="J80" s="359"/>
      <c r="K80" s="359"/>
      <c r="L80" s="431"/>
      <c r="M80" s="1340"/>
      <c r="O80" s="1042"/>
      <c r="P80" s="325"/>
      <c r="Q80" s="326"/>
      <c r="R80" s="309"/>
      <c r="S80" s="309"/>
      <c r="T80" s="309"/>
      <c r="U80" s="328"/>
      <c r="V80" s="5"/>
      <c r="W80" s="5"/>
      <c r="X80" s="5"/>
      <c r="Y80" s="5"/>
      <c r="Z80" s="5"/>
      <c r="AA80" s="5"/>
    </row>
    <row r="81" spans="1:27" ht="14.25" customHeight="1">
      <c r="A81" s="309"/>
      <c r="B81" s="1338" t="s">
        <v>391</v>
      </c>
      <c r="C81" s="359"/>
      <c r="D81" s="359"/>
      <c r="E81" s="359"/>
      <c r="F81" s="359"/>
      <c r="G81" s="5"/>
      <c r="H81" s="306"/>
      <c r="I81" s="500"/>
      <c r="J81" s="359"/>
      <c r="K81" s="359"/>
      <c r="L81" s="431"/>
      <c r="M81" s="1334">
        <v>1.6000000000000001E-4</v>
      </c>
      <c r="O81" s="323"/>
      <c r="P81" s="57"/>
      <c r="Q81" s="326"/>
      <c r="R81" s="309"/>
      <c r="S81" s="309"/>
      <c r="T81" s="309"/>
      <c r="U81" s="328"/>
      <c r="V81" s="5"/>
      <c r="W81" s="5"/>
      <c r="X81" s="5"/>
      <c r="Y81" s="5"/>
      <c r="Z81" s="5"/>
      <c r="AA81" s="5"/>
    </row>
    <row r="82" spans="1:27" ht="14.25" customHeight="1">
      <c r="A82" s="309"/>
      <c r="O82" s="323"/>
      <c r="P82" s="325"/>
      <c r="Q82" s="326"/>
      <c r="R82" s="309"/>
      <c r="S82" s="309"/>
      <c r="T82" s="309"/>
      <c r="U82" s="328"/>
      <c r="V82" s="5"/>
      <c r="W82" s="5"/>
      <c r="X82" s="5"/>
      <c r="Y82" s="5"/>
      <c r="Z82" s="5"/>
      <c r="AA82" s="5"/>
    </row>
    <row r="83" spans="1:27" ht="14.25" customHeight="1">
      <c r="A83" s="309"/>
      <c r="B83" s="309" t="s">
        <v>595</v>
      </c>
      <c r="C83" s="309"/>
      <c r="D83" s="309"/>
      <c r="E83" s="309"/>
      <c r="F83" s="309"/>
      <c r="G83" s="309"/>
      <c r="H83" s="546"/>
      <c r="I83" s="546"/>
      <c r="J83" s="309"/>
      <c r="K83" s="309"/>
      <c r="L83" s="1020"/>
      <c r="M83" s="1341">
        <f>0.8*M79+0.2*M81</f>
        <v>-3.4986077879720745E-2</v>
      </c>
      <c r="P83" s="325"/>
      <c r="Q83" s="326"/>
      <c r="R83" s="309"/>
      <c r="S83" s="309"/>
      <c r="T83" s="309"/>
      <c r="U83" s="328"/>
      <c r="V83" s="5"/>
      <c r="W83" s="5"/>
      <c r="X83" s="5"/>
      <c r="Y83" s="5"/>
      <c r="Z83" s="5"/>
      <c r="AA83" s="5"/>
    </row>
    <row r="84" spans="1:27" ht="12.75" customHeight="1">
      <c r="A84" s="5"/>
      <c r="B84" s="309"/>
      <c r="C84" s="5"/>
      <c r="D84" s="5"/>
      <c r="E84" s="5"/>
      <c r="F84" s="5"/>
      <c r="G84" s="5"/>
      <c r="H84" s="68"/>
      <c r="I84" s="68"/>
      <c r="J84" s="5"/>
      <c r="K84" s="5"/>
      <c r="L84" s="5" t="s">
        <v>618</v>
      </c>
      <c r="M84" s="567">
        <f>M72-M83</f>
        <v>4.8974815992005004E-3</v>
      </c>
      <c r="O84" s="325"/>
      <c r="P84" s="57"/>
      <c r="Q84" s="5"/>
      <c r="R84" s="5"/>
      <c r="S84" s="5"/>
      <c r="T84" s="5"/>
      <c r="U84" s="5"/>
      <c r="V84" s="5"/>
      <c r="W84" s="5"/>
      <c r="X84" s="5"/>
      <c r="Y84" s="5"/>
      <c r="Z84" s="5"/>
      <c r="AA84" s="5"/>
    </row>
    <row r="85" spans="1:27" ht="12.75" customHeight="1">
      <c r="A85" s="5"/>
      <c r="B85" s="5"/>
      <c r="C85" s="5"/>
      <c r="D85" s="5"/>
      <c r="E85" s="5"/>
      <c r="F85" s="5"/>
      <c r="G85" s="5"/>
      <c r="H85" s="306"/>
      <c r="I85" s="306"/>
      <c r="J85" s="5"/>
      <c r="K85" s="5"/>
      <c r="L85" s="5"/>
      <c r="M85" s="5"/>
      <c r="N85" s="5"/>
      <c r="O85" s="5"/>
      <c r="P85" s="57"/>
      <c r="Q85" s="5"/>
      <c r="R85" s="5"/>
      <c r="S85" s="5"/>
      <c r="T85" s="5"/>
      <c r="U85" s="5"/>
      <c r="V85" s="5"/>
      <c r="W85" s="5"/>
      <c r="X85" s="5"/>
      <c r="Y85" s="5"/>
      <c r="Z85" s="5"/>
      <c r="AA85" s="5"/>
    </row>
    <row r="86" spans="1:27" ht="12.75" customHeight="1">
      <c r="A86" s="5"/>
      <c r="B86" s="5"/>
      <c r="C86" s="5"/>
      <c r="D86" s="5"/>
      <c r="E86" s="5"/>
      <c r="F86" s="5"/>
      <c r="G86" s="5"/>
      <c r="H86" s="306"/>
      <c r="I86" s="306"/>
      <c r="J86" s="5" t="s">
        <v>339</v>
      </c>
      <c r="K86" s="5"/>
      <c r="L86" s="5"/>
      <c r="M86" s="5"/>
      <c r="P86" s="57"/>
      <c r="Q86" s="5"/>
      <c r="R86" s="5"/>
      <c r="S86" s="5"/>
      <c r="T86" s="5"/>
      <c r="U86" s="5"/>
      <c r="V86" s="5"/>
      <c r="W86" s="5"/>
      <c r="X86" s="5"/>
      <c r="Y86" s="5"/>
      <c r="Z86" s="5"/>
      <c r="AA86" s="5"/>
    </row>
    <row r="87" spans="1:27" ht="12.75" customHeight="1">
      <c r="A87" s="5"/>
      <c r="B87" s="5"/>
      <c r="C87" s="5"/>
      <c r="D87" s="5"/>
      <c r="E87" s="5"/>
      <c r="F87" s="5"/>
      <c r="G87" s="5"/>
      <c r="H87" s="306"/>
      <c r="I87" s="306"/>
      <c r="J87" s="5"/>
      <c r="K87" s="5"/>
      <c r="L87" s="5"/>
      <c r="M87" s="5"/>
      <c r="N87" s="5"/>
      <c r="O87" s="5"/>
      <c r="P87" s="57"/>
      <c r="Q87" s="5"/>
      <c r="R87" s="5"/>
      <c r="S87" s="5"/>
      <c r="T87" s="5"/>
      <c r="U87" s="5"/>
      <c r="V87" s="5"/>
      <c r="W87" s="5"/>
      <c r="X87" s="5"/>
      <c r="Y87" s="5"/>
      <c r="Z87" s="5"/>
      <c r="AA87" s="5"/>
    </row>
    <row r="88" spans="1:27" ht="12.75" customHeight="1">
      <c r="A88" s="5"/>
      <c r="B88" s="5"/>
      <c r="C88" s="5"/>
      <c r="D88" s="5"/>
      <c r="E88" s="5"/>
      <c r="F88" s="5"/>
      <c r="G88" s="5"/>
      <c r="H88" s="306"/>
      <c r="I88" s="306"/>
      <c r="J88" s="5"/>
      <c r="K88" s="5"/>
      <c r="L88" s="5"/>
      <c r="M88" s="5"/>
      <c r="N88" s="5"/>
      <c r="O88" s="5"/>
      <c r="P88" s="57"/>
      <c r="Q88" s="5"/>
      <c r="R88" s="5"/>
      <c r="S88" s="5"/>
      <c r="T88" s="5"/>
      <c r="U88" s="5"/>
      <c r="V88" s="5"/>
      <c r="W88" s="5"/>
      <c r="X88" s="5"/>
      <c r="Y88" s="5"/>
      <c r="Z88" s="5"/>
      <c r="AA88" s="5"/>
    </row>
    <row r="89" spans="1:27" ht="12.75" customHeight="1">
      <c r="A89" s="5"/>
      <c r="B89" s="5"/>
      <c r="C89" s="5"/>
      <c r="D89" s="5"/>
      <c r="E89" s="5"/>
      <c r="F89" s="5"/>
      <c r="G89" s="5"/>
      <c r="H89" s="306"/>
      <c r="I89" s="306"/>
      <c r="J89" s="5"/>
      <c r="K89" s="5"/>
      <c r="L89" s="5"/>
      <c r="N89" s="882"/>
      <c r="O89" s="5"/>
      <c r="P89" s="57"/>
      <c r="Q89" s="5"/>
      <c r="R89" s="5"/>
      <c r="S89" s="5"/>
      <c r="T89" s="5"/>
      <c r="U89" s="5"/>
      <c r="V89" s="5"/>
      <c r="W89" s="5"/>
      <c r="X89" s="5"/>
      <c r="Y89" s="5"/>
      <c r="Z89" s="5"/>
      <c r="AA89" s="5"/>
    </row>
    <row r="90" spans="1:27" ht="12.75" customHeight="1">
      <c r="A90" s="5"/>
      <c r="B90" s="5"/>
      <c r="C90" s="5"/>
      <c r="D90" s="5"/>
      <c r="E90" s="5"/>
      <c r="F90" s="5"/>
      <c r="G90" s="5"/>
      <c r="H90" s="149"/>
      <c r="I90" s="1226"/>
      <c r="J90" s="5"/>
      <c r="K90" s="5"/>
      <c r="L90" s="5"/>
      <c r="M90" s="60"/>
      <c r="N90" s="882"/>
      <c r="O90" s="5"/>
      <c r="P90" s="57"/>
      <c r="Q90" s="5"/>
      <c r="R90" s="5"/>
      <c r="S90" s="5"/>
      <c r="T90" s="5"/>
      <c r="U90" s="5"/>
      <c r="V90" s="5"/>
      <c r="W90" s="5"/>
      <c r="X90" s="5"/>
      <c r="Y90" s="5"/>
      <c r="Z90" s="5"/>
      <c r="AA90" s="5"/>
    </row>
    <row r="91" spans="1:27" ht="12.75" customHeight="1">
      <c r="A91" s="5"/>
      <c r="B91" s="5"/>
      <c r="C91" s="5"/>
      <c r="D91" s="5"/>
      <c r="E91" s="5"/>
      <c r="F91" s="5"/>
      <c r="G91" s="5"/>
      <c r="H91" s="306"/>
      <c r="I91" s="306"/>
      <c r="J91" s="5"/>
      <c r="K91" s="5"/>
      <c r="L91" s="5"/>
      <c r="M91" s="5"/>
      <c r="N91" s="5"/>
      <c r="O91" s="5"/>
      <c r="P91" s="57"/>
      <c r="Q91" s="5"/>
      <c r="R91" s="5"/>
      <c r="S91" s="5"/>
      <c r="T91" s="5"/>
      <c r="U91" s="5"/>
      <c r="V91" s="5"/>
      <c r="W91" s="5"/>
      <c r="X91" s="5"/>
      <c r="Y91" s="5"/>
      <c r="Z91" s="5"/>
      <c r="AA91" s="5"/>
    </row>
    <row r="92" spans="1:27" ht="12.75" customHeight="1">
      <c r="A92" s="5"/>
      <c r="B92" s="5"/>
      <c r="C92" s="5"/>
      <c r="D92" s="5"/>
      <c r="E92" s="5"/>
      <c r="F92" s="5"/>
      <c r="G92" s="5"/>
      <c r="H92" s="306"/>
      <c r="I92" s="306"/>
      <c r="J92" s="5"/>
      <c r="K92" s="5"/>
      <c r="L92" s="5"/>
      <c r="M92" s="5"/>
      <c r="N92" s="5"/>
      <c r="O92" s="5"/>
      <c r="P92" s="57"/>
      <c r="Q92" s="5"/>
      <c r="R92" s="5"/>
      <c r="S92" s="5"/>
      <c r="T92" s="5"/>
      <c r="U92" s="5"/>
      <c r="V92" s="5"/>
      <c r="W92" s="5"/>
      <c r="X92" s="5"/>
      <c r="Y92" s="5"/>
      <c r="Z92" s="5"/>
      <c r="AA92" s="5"/>
    </row>
    <row r="93" spans="1:27" ht="12.75" customHeight="1">
      <c r="A93" s="5"/>
      <c r="B93" s="5"/>
      <c r="C93" s="5"/>
      <c r="D93" s="5"/>
      <c r="E93" s="5"/>
      <c r="F93" s="5"/>
      <c r="G93" s="5"/>
      <c r="H93" s="306"/>
      <c r="I93" s="306"/>
      <c r="J93" s="5"/>
      <c r="K93" s="5"/>
      <c r="L93" s="5"/>
      <c r="M93" s="5"/>
      <c r="N93" s="5"/>
      <c r="O93" s="5"/>
      <c r="P93" s="57"/>
      <c r="Q93" s="5"/>
      <c r="R93" s="5"/>
      <c r="S93" s="5"/>
      <c r="T93" s="5"/>
      <c r="U93" s="5"/>
      <c r="V93" s="5"/>
      <c r="W93" s="5"/>
      <c r="X93" s="5"/>
      <c r="Y93" s="5"/>
      <c r="Z93" s="5"/>
      <c r="AA93" s="5"/>
    </row>
    <row r="94" spans="1:27" ht="12.75" customHeight="1">
      <c r="A94" s="5"/>
      <c r="B94" s="5"/>
      <c r="C94" s="5"/>
      <c r="D94" s="5"/>
      <c r="E94" s="5"/>
      <c r="F94" s="5"/>
      <c r="G94" s="5"/>
      <c r="H94" s="306"/>
      <c r="I94" s="306"/>
      <c r="J94" s="5"/>
      <c r="K94" s="5"/>
      <c r="L94" s="5"/>
      <c r="M94" s="5"/>
      <c r="N94" s="5"/>
      <c r="O94" s="5"/>
      <c r="P94" s="57"/>
      <c r="Q94" s="5"/>
      <c r="R94" s="5"/>
      <c r="S94" s="5"/>
      <c r="T94" s="5"/>
      <c r="U94" s="5"/>
      <c r="V94" s="5"/>
      <c r="W94" s="5"/>
      <c r="X94" s="5"/>
      <c r="Y94" s="5"/>
      <c r="Z94" s="5"/>
      <c r="AA94" s="5"/>
    </row>
    <row r="95" spans="1:27" ht="12.75" customHeight="1">
      <c r="A95" s="5"/>
      <c r="B95" s="5"/>
      <c r="C95" s="5"/>
      <c r="D95" s="5"/>
      <c r="E95" s="5"/>
      <c r="F95" s="5"/>
      <c r="G95" s="5"/>
      <c r="H95" s="306"/>
      <c r="I95" s="306"/>
      <c r="J95" s="5"/>
      <c r="K95" s="5"/>
      <c r="L95" s="5"/>
      <c r="M95" s="5"/>
      <c r="N95" s="5"/>
      <c r="O95" s="5"/>
      <c r="P95" s="57"/>
      <c r="Q95" s="5"/>
      <c r="R95" s="5"/>
      <c r="S95" s="5"/>
      <c r="T95" s="5"/>
      <c r="U95" s="5"/>
      <c r="V95" s="5"/>
      <c r="W95" s="5"/>
      <c r="X95" s="5"/>
      <c r="Y95" s="5"/>
      <c r="Z95" s="5"/>
      <c r="AA95" s="5"/>
    </row>
    <row r="96" spans="1:27" ht="12.75" customHeight="1">
      <c r="A96" s="5"/>
      <c r="B96" s="5"/>
      <c r="C96" s="5"/>
      <c r="D96" s="5"/>
      <c r="E96" s="5"/>
      <c r="F96" s="5"/>
      <c r="G96" s="5"/>
      <c r="H96" s="306"/>
      <c r="I96" s="306"/>
      <c r="J96" s="5"/>
      <c r="K96" s="5"/>
      <c r="L96" s="5"/>
      <c r="M96" s="5"/>
      <c r="N96" s="5"/>
      <c r="O96" s="5"/>
      <c r="P96" s="57"/>
      <c r="Q96" s="5"/>
      <c r="R96" s="5"/>
      <c r="S96" s="5"/>
      <c r="T96" s="5"/>
      <c r="U96" s="5"/>
      <c r="V96" s="5"/>
      <c r="W96" s="5"/>
      <c r="X96" s="5"/>
      <c r="Y96" s="5"/>
      <c r="Z96" s="5"/>
      <c r="AA96" s="5"/>
    </row>
    <row r="97" spans="1:27" ht="12.75" customHeight="1">
      <c r="A97" s="5"/>
      <c r="B97" s="5"/>
      <c r="C97" s="5"/>
      <c r="D97" s="5"/>
      <c r="E97" s="5"/>
      <c r="F97" s="5"/>
      <c r="G97" s="5"/>
      <c r="H97" s="306"/>
      <c r="I97" s="306"/>
      <c r="J97" s="5"/>
      <c r="K97" s="5"/>
      <c r="L97" s="5"/>
      <c r="M97" s="5"/>
      <c r="N97" s="5"/>
      <c r="O97" s="5"/>
      <c r="P97" s="57"/>
      <c r="Q97" s="5"/>
      <c r="R97" s="5"/>
      <c r="S97" s="5"/>
      <c r="T97" s="5"/>
      <c r="U97" s="5"/>
      <c r="V97" s="5"/>
      <c r="W97" s="5"/>
      <c r="X97" s="5"/>
      <c r="Y97" s="5"/>
      <c r="Z97" s="5"/>
      <c r="AA97" s="5"/>
    </row>
    <row r="98" spans="1:27" ht="12.75" customHeight="1">
      <c r="A98" s="5"/>
      <c r="B98" s="5"/>
      <c r="C98" s="5"/>
      <c r="D98" s="5"/>
      <c r="E98" s="5"/>
      <c r="F98" s="5"/>
      <c r="G98" s="5"/>
      <c r="H98" s="306"/>
      <c r="I98" s="306"/>
      <c r="J98" s="5"/>
      <c r="K98" s="5"/>
      <c r="L98" s="5"/>
      <c r="M98" s="5"/>
      <c r="N98" s="5"/>
      <c r="O98" s="5"/>
      <c r="P98" s="57"/>
      <c r="Q98" s="5"/>
      <c r="R98" s="5"/>
      <c r="S98" s="5"/>
      <c r="T98" s="5"/>
      <c r="U98" s="5"/>
      <c r="V98" s="5"/>
      <c r="W98" s="5"/>
      <c r="X98" s="5"/>
      <c r="Y98" s="5"/>
      <c r="Z98" s="5"/>
      <c r="AA98" s="5"/>
    </row>
    <row r="99" spans="1:27" ht="12.75" customHeight="1">
      <c r="A99" s="5"/>
      <c r="B99" s="5"/>
      <c r="C99" s="5"/>
      <c r="D99" s="5"/>
      <c r="E99" s="5"/>
      <c r="F99" s="5"/>
      <c r="G99" s="5"/>
      <c r="H99" s="306"/>
      <c r="I99" s="306"/>
      <c r="J99" s="5"/>
      <c r="K99" s="5"/>
      <c r="L99" s="5"/>
      <c r="M99" s="5"/>
      <c r="N99" s="5"/>
      <c r="O99" s="5"/>
      <c r="P99" s="57"/>
      <c r="Q99" s="5"/>
      <c r="R99" s="5"/>
      <c r="S99" s="5"/>
      <c r="T99" s="5"/>
      <c r="U99" s="5"/>
      <c r="V99" s="5"/>
      <c r="W99" s="5"/>
      <c r="X99" s="5"/>
      <c r="Y99" s="5"/>
      <c r="Z99" s="5"/>
      <c r="AA99" s="5"/>
    </row>
    <row r="100" spans="1:27" ht="12.75" customHeight="1">
      <c r="A100" s="5"/>
      <c r="B100" s="5"/>
      <c r="C100" s="5"/>
      <c r="D100" s="5"/>
      <c r="E100" s="5"/>
      <c r="F100" s="5"/>
      <c r="G100" s="5"/>
      <c r="H100" s="306"/>
      <c r="I100" s="306"/>
      <c r="J100" s="5"/>
      <c r="K100" s="5"/>
      <c r="L100" s="5"/>
      <c r="M100" s="5"/>
      <c r="N100" s="5"/>
      <c r="O100" s="5"/>
      <c r="P100" s="57"/>
      <c r="Q100" s="5"/>
      <c r="R100" s="5"/>
      <c r="S100" s="5"/>
      <c r="T100" s="5"/>
      <c r="U100" s="5"/>
      <c r="V100" s="5"/>
      <c r="W100" s="5"/>
      <c r="X100" s="5"/>
      <c r="Y100" s="5"/>
      <c r="Z100" s="5"/>
      <c r="AA100" s="5"/>
    </row>
    <row r="101" spans="1:27" ht="12.75" customHeight="1">
      <c r="A101" s="5"/>
      <c r="B101" s="5"/>
      <c r="C101" s="5"/>
      <c r="D101" s="5"/>
      <c r="E101" s="5"/>
      <c r="F101" s="5"/>
      <c r="G101" s="5"/>
      <c r="H101" s="306"/>
      <c r="I101" s="306"/>
      <c r="J101" s="5"/>
      <c r="K101" s="5"/>
      <c r="L101" s="5"/>
      <c r="M101" s="5"/>
      <c r="N101" s="5"/>
      <c r="O101" s="5"/>
      <c r="P101" s="57"/>
      <c r="Q101" s="5"/>
      <c r="R101" s="5"/>
      <c r="S101" s="5"/>
      <c r="T101" s="5"/>
      <c r="U101" s="5"/>
      <c r="V101" s="5"/>
      <c r="W101" s="5"/>
      <c r="X101" s="5"/>
      <c r="Y101" s="5"/>
      <c r="Z101" s="5"/>
      <c r="AA101" s="5"/>
    </row>
    <row r="102" spans="1:27" ht="12.75" customHeight="1">
      <c r="A102" s="5"/>
      <c r="B102" s="5"/>
      <c r="C102" s="5"/>
      <c r="D102" s="5"/>
      <c r="E102" s="5"/>
      <c r="F102" s="5"/>
      <c r="G102" s="5"/>
      <c r="H102" s="306"/>
      <c r="I102" s="306"/>
      <c r="J102" s="5"/>
      <c r="K102" s="5"/>
      <c r="L102" s="5"/>
      <c r="M102" s="5"/>
      <c r="N102" s="5"/>
      <c r="O102" s="5"/>
      <c r="P102" s="57"/>
      <c r="Q102" s="5"/>
      <c r="R102" s="5"/>
      <c r="S102" s="5"/>
      <c r="T102" s="5"/>
      <c r="U102" s="5"/>
      <c r="V102" s="5"/>
      <c r="W102" s="5"/>
      <c r="X102" s="5"/>
      <c r="Y102" s="5"/>
      <c r="Z102" s="5"/>
      <c r="AA102" s="5"/>
    </row>
    <row r="103" spans="1:27" ht="12.75" customHeight="1">
      <c r="A103" s="5"/>
      <c r="B103" s="5"/>
      <c r="C103" s="5"/>
      <c r="D103" s="5"/>
      <c r="E103" s="5"/>
      <c r="F103" s="5"/>
      <c r="G103" s="5"/>
      <c r="H103" s="306"/>
      <c r="I103" s="306"/>
      <c r="J103" s="5"/>
      <c r="K103" s="5"/>
      <c r="L103" s="5"/>
      <c r="M103" s="5"/>
      <c r="N103" s="5"/>
      <c r="O103" s="5"/>
      <c r="P103" s="57"/>
      <c r="Q103" s="5"/>
      <c r="R103" s="5"/>
      <c r="S103" s="5"/>
      <c r="T103" s="5"/>
      <c r="U103" s="5"/>
      <c r="V103" s="5"/>
      <c r="W103" s="5"/>
      <c r="X103" s="5"/>
      <c r="Y103" s="5"/>
      <c r="Z103" s="5"/>
      <c r="AA103" s="5"/>
    </row>
    <row r="104" spans="1:27" ht="12.75" customHeight="1">
      <c r="A104" s="5"/>
      <c r="B104" s="5"/>
      <c r="C104" s="5"/>
      <c r="D104" s="5"/>
      <c r="E104" s="5"/>
      <c r="F104" s="5"/>
      <c r="G104" s="5"/>
      <c r="H104" s="306"/>
      <c r="I104" s="306"/>
      <c r="J104" s="5"/>
      <c r="K104" s="5"/>
      <c r="L104" s="5"/>
      <c r="M104" s="5"/>
      <c r="N104" s="5"/>
      <c r="O104" s="5"/>
      <c r="P104" s="57"/>
      <c r="Q104" s="5"/>
      <c r="R104" s="5"/>
      <c r="S104" s="5"/>
      <c r="T104" s="5"/>
      <c r="U104" s="5"/>
      <c r="V104" s="5"/>
      <c r="W104" s="5"/>
      <c r="X104" s="5"/>
      <c r="Y104" s="5"/>
      <c r="Z104" s="5"/>
      <c r="AA104" s="5"/>
    </row>
    <row r="105" spans="1:27" ht="12.75" customHeight="1">
      <c r="A105" s="5"/>
      <c r="B105" s="5"/>
      <c r="C105" s="5"/>
      <c r="D105" s="5"/>
      <c r="E105" s="5"/>
      <c r="F105" s="5"/>
      <c r="G105" s="5"/>
      <c r="H105" s="306"/>
      <c r="I105" s="306"/>
      <c r="J105" s="5"/>
      <c r="K105" s="5"/>
      <c r="L105" s="5"/>
      <c r="M105" s="5"/>
      <c r="N105" s="5"/>
      <c r="O105" s="5"/>
      <c r="P105" s="57"/>
      <c r="Q105" s="5"/>
      <c r="R105" s="5"/>
      <c r="S105" s="5"/>
      <c r="T105" s="5"/>
      <c r="U105" s="5"/>
      <c r="V105" s="5"/>
      <c r="W105" s="5"/>
      <c r="X105" s="5"/>
      <c r="Y105" s="5"/>
      <c r="Z105" s="5"/>
      <c r="AA105" s="5"/>
    </row>
    <row r="106" spans="1:27" ht="12.75" customHeight="1">
      <c r="A106" s="5"/>
      <c r="B106" s="5"/>
      <c r="C106" s="5"/>
      <c r="D106" s="5"/>
      <c r="E106" s="5"/>
      <c r="F106" s="5"/>
      <c r="G106" s="5"/>
      <c r="H106" s="306"/>
      <c r="I106" s="306"/>
      <c r="J106" s="5"/>
      <c r="K106" s="5"/>
      <c r="L106" s="5"/>
      <c r="M106" s="5"/>
      <c r="N106" s="5"/>
      <c r="O106" s="5"/>
      <c r="P106" s="57"/>
      <c r="Q106" s="5"/>
      <c r="R106" s="5"/>
      <c r="S106" s="5"/>
      <c r="T106" s="5"/>
      <c r="U106" s="5"/>
      <c r="V106" s="5"/>
      <c r="W106" s="5"/>
      <c r="X106" s="5"/>
      <c r="Y106" s="5"/>
      <c r="Z106" s="5"/>
      <c r="AA106" s="5"/>
    </row>
    <row r="107" spans="1:27" ht="12.75" customHeight="1">
      <c r="A107" s="5"/>
      <c r="B107" s="5"/>
      <c r="C107" s="5"/>
      <c r="D107" s="5"/>
      <c r="E107" s="5"/>
      <c r="F107" s="5"/>
      <c r="G107" s="5"/>
      <c r="H107" s="306"/>
      <c r="I107" s="306"/>
      <c r="J107" s="5"/>
      <c r="K107" s="5"/>
      <c r="L107" s="5"/>
      <c r="M107" s="5"/>
      <c r="N107" s="5"/>
      <c r="O107" s="5"/>
      <c r="P107" s="57"/>
      <c r="Q107" s="5"/>
      <c r="R107" s="5"/>
      <c r="S107" s="5"/>
      <c r="T107" s="5"/>
      <c r="U107" s="5"/>
      <c r="V107" s="5"/>
      <c r="W107" s="5"/>
      <c r="X107" s="5"/>
      <c r="Y107" s="5"/>
      <c r="Z107" s="5"/>
      <c r="AA107" s="5"/>
    </row>
    <row r="108" spans="1:27" ht="12.75" customHeight="1">
      <c r="A108" s="5"/>
      <c r="B108" s="5"/>
      <c r="C108" s="5"/>
      <c r="D108" s="5"/>
      <c r="E108" s="5"/>
      <c r="F108" s="5"/>
      <c r="G108" s="5"/>
      <c r="H108" s="306"/>
      <c r="I108" s="306"/>
      <c r="J108" s="5"/>
      <c r="K108" s="5"/>
      <c r="L108" s="5"/>
      <c r="M108" s="5"/>
      <c r="N108" s="5"/>
      <c r="O108" s="5"/>
      <c r="P108" s="57"/>
      <c r="Q108" s="5"/>
      <c r="R108" s="5"/>
      <c r="S108" s="5"/>
      <c r="T108" s="5"/>
      <c r="U108" s="5"/>
      <c r="V108" s="5"/>
      <c r="W108" s="5"/>
      <c r="X108" s="5"/>
      <c r="Y108" s="5"/>
      <c r="Z108" s="5"/>
      <c r="AA108" s="5"/>
    </row>
    <row r="109" spans="1:27" ht="12.75" customHeight="1">
      <c r="A109" s="5"/>
      <c r="B109" s="5"/>
      <c r="C109" s="5"/>
      <c r="D109" s="5"/>
      <c r="E109" s="5"/>
      <c r="F109" s="5"/>
      <c r="G109" s="5"/>
      <c r="H109" s="306"/>
      <c r="I109" s="306"/>
      <c r="J109" s="5"/>
      <c r="K109" s="5"/>
      <c r="L109" s="5"/>
      <c r="M109" s="5"/>
      <c r="N109" s="5"/>
      <c r="O109" s="5"/>
      <c r="P109" s="57"/>
      <c r="Q109" s="5"/>
      <c r="R109" s="5"/>
      <c r="S109" s="5"/>
      <c r="T109" s="5"/>
      <c r="U109" s="5"/>
      <c r="V109" s="5"/>
      <c r="W109" s="5"/>
      <c r="X109" s="5"/>
      <c r="Y109" s="5"/>
      <c r="Z109" s="5"/>
      <c r="AA109" s="5"/>
    </row>
    <row r="110" spans="1:27" ht="12.75" customHeight="1">
      <c r="A110" s="5"/>
      <c r="B110" s="5"/>
      <c r="C110" s="5"/>
      <c r="D110" s="5"/>
      <c r="E110" s="5"/>
      <c r="F110" s="5"/>
      <c r="G110" s="5"/>
      <c r="H110" s="306"/>
      <c r="I110" s="306"/>
      <c r="J110" s="5"/>
      <c r="K110" s="5"/>
      <c r="L110" s="5"/>
      <c r="M110" s="5"/>
      <c r="N110" s="5"/>
      <c r="O110" s="5"/>
      <c r="P110" s="57"/>
      <c r="Q110" s="5"/>
      <c r="R110" s="5"/>
      <c r="S110" s="5"/>
      <c r="T110" s="5"/>
      <c r="U110" s="5"/>
      <c r="V110" s="5"/>
      <c r="W110" s="5"/>
      <c r="X110" s="5"/>
      <c r="Y110" s="5"/>
      <c r="Z110" s="5"/>
      <c r="AA110" s="5"/>
    </row>
    <row r="111" spans="1:27" ht="12.75" customHeight="1">
      <c r="A111" s="5"/>
      <c r="B111" s="5"/>
      <c r="C111" s="5"/>
      <c r="D111" s="5"/>
      <c r="E111" s="5"/>
      <c r="F111" s="5"/>
      <c r="G111" s="5"/>
      <c r="H111" s="306"/>
      <c r="I111" s="306"/>
      <c r="J111" s="5"/>
      <c r="K111" s="5"/>
      <c r="L111" s="5"/>
      <c r="M111" s="5"/>
      <c r="N111" s="5"/>
      <c r="O111" s="5"/>
      <c r="P111" s="57"/>
      <c r="Q111" s="5"/>
      <c r="R111" s="5"/>
      <c r="S111" s="5"/>
      <c r="T111" s="5"/>
      <c r="U111" s="5"/>
      <c r="V111" s="5"/>
      <c r="W111" s="5"/>
      <c r="X111" s="5"/>
      <c r="Y111" s="5"/>
      <c r="Z111" s="5"/>
      <c r="AA111" s="5"/>
    </row>
    <row r="112" spans="1:27" ht="12.75" customHeight="1">
      <c r="A112" s="5"/>
      <c r="B112" s="5"/>
      <c r="C112" s="5"/>
      <c r="D112" s="5"/>
      <c r="E112" s="5"/>
      <c r="F112" s="5"/>
      <c r="G112" s="5"/>
      <c r="H112" s="306"/>
      <c r="I112" s="306"/>
      <c r="J112" s="5"/>
      <c r="K112" s="5"/>
      <c r="L112" s="5"/>
      <c r="M112" s="5"/>
      <c r="N112" s="5"/>
      <c r="O112" s="5"/>
      <c r="P112" s="57"/>
      <c r="Q112" s="5"/>
      <c r="R112" s="5"/>
      <c r="S112" s="5"/>
      <c r="T112" s="5"/>
      <c r="U112" s="5"/>
      <c r="V112" s="5"/>
      <c r="W112" s="5"/>
      <c r="X112" s="5"/>
      <c r="Y112" s="5"/>
      <c r="Z112" s="5"/>
      <c r="AA112" s="5"/>
    </row>
    <row r="113" spans="1:27" ht="12.75" customHeight="1">
      <c r="A113" s="5"/>
      <c r="B113" s="5"/>
      <c r="C113" s="5"/>
      <c r="D113" s="5"/>
      <c r="E113" s="5"/>
      <c r="F113" s="5"/>
      <c r="G113" s="5"/>
      <c r="H113" s="306"/>
      <c r="I113" s="306"/>
      <c r="J113" s="5"/>
      <c r="K113" s="5"/>
      <c r="L113" s="5"/>
      <c r="M113" s="5"/>
      <c r="N113" s="5"/>
      <c r="O113" s="5"/>
      <c r="P113" s="57"/>
      <c r="Q113" s="5"/>
      <c r="R113" s="5"/>
      <c r="S113" s="5"/>
      <c r="T113" s="5"/>
      <c r="U113" s="5"/>
      <c r="V113" s="5"/>
      <c r="W113" s="5"/>
      <c r="X113" s="5"/>
      <c r="Y113" s="5"/>
      <c r="Z113" s="5"/>
      <c r="AA113" s="5"/>
    </row>
    <row r="114" spans="1:27" ht="12.75" customHeight="1">
      <c r="A114" s="5"/>
      <c r="B114" s="5"/>
      <c r="C114" s="5"/>
      <c r="D114" s="5"/>
      <c r="E114" s="5"/>
      <c r="F114" s="5"/>
      <c r="G114" s="5"/>
      <c r="H114" s="306"/>
      <c r="I114" s="306"/>
      <c r="J114" s="5"/>
      <c r="K114" s="5"/>
      <c r="L114" s="5"/>
      <c r="M114" s="5"/>
      <c r="N114" s="5"/>
      <c r="O114" s="5"/>
      <c r="P114" s="57"/>
      <c r="Q114" s="5"/>
      <c r="R114" s="5"/>
      <c r="S114" s="5"/>
      <c r="T114" s="5"/>
      <c r="U114" s="5"/>
      <c r="V114" s="5"/>
      <c r="W114" s="5"/>
      <c r="X114" s="5"/>
      <c r="Y114" s="5"/>
      <c r="Z114" s="5"/>
      <c r="AA114" s="5"/>
    </row>
    <row r="115" spans="1:27" ht="12.75" customHeight="1">
      <c r="A115" s="5"/>
      <c r="B115" s="5"/>
      <c r="C115" s="5"/>
      <c r="D115" s="5"/>
      <c r="E115" s="5"/>
      <c r="F115" s="5"/>
      <c r="G115" s="5"/>
      <c r="H115" s="306"/>
      <c r="I115" s="306"/>
      <c r="J115" s="5"/>
      <c r="K115" s="5"/>
      <c r="L115" s="5"/>
      <c r="M115" s="5"/>
      <c r="N115" s="5"/>
      <c r="O115" s="5"/>
      <c r="P115" s="57"/>
      <c r="Q115" s="5"/>
      <c r="R115" s="5"/>
      <c r="S115" s="5"/>
      <c r="T115" s="5"/>
      <c r="U115" s="5"/>
      <c r="V115" s="5"/>
      <c r="W115" s="5"/>
      <c r="X115" s="5"/>
      <c r="Y115" s="5"/>
      <c r="Z115" s="5"/>
      <c r="AA115" s="5"/>
    </row>
    <row r="116" spans="1:27" ht="12.75" customHeight="1">
      <c r="A116" s="5"/>
      <c r="B116" s="5"/>
      <c r="C116" s="5"/>
      <c r="D116" s="5"/>
      <c r="E116" s="5"/>
      <c r="F116" s="5"/>
      <c r="G116" s="5"/>
      <c r="H116" s="306"/>
      <c r="I116" s="306"/>
      <c r="J116" s="5"/>
      <c r="K116" s="5"/>
      <c r="L116" s="5"/>
      <c r="M116" s="5"/>
      <c r="N116" s="5"/>
      <c r="O116" s="5"/>
      <c r="P116" s="57"/>
      <c r="Q116" s="5"/>
      <c r="R116" s="5"/>
      <c r="S116" s="5"/>
      <c r="T116" s="5"/>
      <c r="U116" s="5"/>
      <c r="V116" s="5"/>
      <c r="W116" s="5"/>
      <c r="X116" s="5"/>
      <c r="Y116" s="5"/>
      <c r="Z116" s="5"/>
      <c r="AA116" s="5"/>
    </row>
    <row r="117" spans="1:27" ht="12.75" customHeight="1">
      <c r="A117" s="5"/>
      <c r="B117" s="5"/>
      <c r="C117" s="5"/>
      <c r="D117" s="5"/>
      <c r="E117" s="5"/>
      <c r="F117" s="5"/>
      <c r="G117" s="5"/>
      <c r="H117" s="306"/>
      <c r="I117" s="306"/>
      <c r="J117" s="5"/>
      <c r="K117" s="5"/>
      <c r="L117" s="5"/>
      <c r="M117" s="5"/>
      <c r="N117" s="5"/>
      <c r="O117" s="5"/>
      <c r="P117" s="57"/>
      <c r="Q117" s="5"/>
      <c r="R117" s="5"/>
      <c r="S117" s="5"/>
      <c r="T117" s="5"/>
      <c r="U117" s="5"/>
      <c r="V117" s="5"/>
      <c r="W117" s="5"/>
      <c r="X117" s="5"/>
      <c r="Y117" s="5"/>
      <c r="Z117" s="5"/>
      <c r="AA117" s="5"/>
    </row>
    <row r="118" spans="1:27" ht="12.75" customHeight="1">
      <c r="A118" s="5"/>
      <c r="B118" s="5"/>
      <c r="C118" s="5"/>
      <c r="D118" s="5"/>
      <c r="E118" s="5"/>
      <c r="F118" s="5"/>
      <c r="G118" s="5"/>
      <c r="H118" s="306"/>
      <c r="I118" s="306"/>
      <c r="J118" s="5"/>
      <c r="K118" s="5"/>
      <c r="L118" s="5"/>
      <c r="M118" s="5"/>
      <c r="N118" s="5"/>
      <c r="O118" s="5"/>
      <c r="P118" s="57"/>
      <c r="Q118" s="5"/>
      <c r="R118" s="5"/>
      <c r="S118" s="5"/>
      <c r="T118" s="5"/>
      <c r="U118" s="5"/>
      <c r="V118" s="5"/>
      <c r="W118" s="5"/>
      <c r="X118" s="5"/>
      <c r="Y118" s="5"/>
      <c r="Z118" s="5"/>
      <c r="AA118" s="5"/>
    </row>
    <row r="119" spans="1:27" ht="12.75" customHeight="1">
      <c r="A119" s="5"/>
      <c r="B119" s="5"/>
      <c r="C119" s="5"/>
      <c r="D119" s="5"/>
      <c r="E119" s="5"/>
      <c r="F119" s="5"/>
      <c r="G119" s="5"/>
      <c r="H119" s="306"/>
      <c r="I119" s="306"/>
      <c r="J119" s="5"/>
      <c r="K119" s="5"/>
      <c r="L119" s="5"/>
      <c r="M119" s="5"/>
      <c r="N119" s="5"/>
      <c r="O119" s="5"/>
      <c r="P119" s="57"/>
      <c r="Q119" s="5"/>
      <c r="R119" s="5"/>
      <c r="S119" s="5"/>
      <c r="T119" s="5"/>
      <c r="U119" s="5"/>
      <c r="V119" s="5"/>
      <c r="W119" s="5"/>
      <c r="X119" s="5"/>
      <c r="Y119" s="5"/>
      <c r="Z119" s="5"/>
      <c r="AA119" s="5"/>
    </row>
    <row r="120" spans="1:27" ht="12.75" customHeight="1">
      <c r="A120" s="5"/>
      <c r="B120" s="5"/>
      <c r="C120" s="5"/>
      <c r="D120" s="5"/>
      <c r="E120" s="5"/>
      <c r="F120" s="5"/>
      <c r="G120" s="5"/>
      <c r="H120" s="306"/>
      <c r="I120" s="306"/>
      <c r="J120" s="5"/>
      <c r="K120" s="5"/>
      <c r="L120" s="5"/>
      <c r="M120" s="5"/>
      <c r="N120" s="5"/>
      <c r="O120" s="5"/>
      <c r="P120" s="57"/>
      <c r="Q120" s="5"/>
      <c r="R120" s="5"/>
      <c r="S120" s="5"/>
      <c r="T120" s="5"/>
      <c r="U120" s="5"/>
      <c r="V120" s="5"/>
      <c r="W120" s="5"/>
      <c r="X120" s="5"/>
      <c r="Y120" s="5"/>
      <c r="Z120" s="5"/>
      <c r="AA120" s="5"/>
    </row>
    <row r="121" spans="1:27" ht="12.75" customHeight="1">
      <c r="A121" s="5"/>
      <c r="B121" s="5"/>
      <c r="C121" s="5"/>
      <c r="D121" s="5"/>
      <c r="E121" s="5"/>
      <c r="F121" s="5"/>
      <c r="G121" s="5"/>
      <c r="H121" s="306"/>
      <c r="I121" s="306"/>
      <c r="J121" s="5"/>
      <c r="K121" s="5"/>
      <c r="L121" s="5"/>
      <c r="M121" s="5"/>
      <c r="N121" s="5"/>
      <c r="O121" s="5"/>
      <c r="P121" s="57"/>
      <c r="Q121" s="5"/>
      <c r="R121" s="5"/>
      <c r="S121" s="5"/>
      <c r="T121" s="5"/>
      <c r="U121" s="5"/>
      <c r="V121" s="5"/>
      <c r="W121" s="5"/>
      <c r="X121" s="5"/>
      <c r="Y121" s="5"/>
      <c r="Z121" s="5"/>
      <c r="AA121" s="5"/>
    </row>
    <row r="122" spans="1:27" ht="12.75" customHeight="1">
      <c r="A122" s="5"/>
      <c r="B122" s="5"/>
      <c r="C122" s="5"/>
      <c r="D122" s="5"/>
      <c r="E122" s="5"/>
      <c r="F122" s="5"/>
      <c r="G122" s="5"/>
      <c r="H122" s="306"/>
      <c r="I122" s="306"/>
      <c r="J122" s="5"/>
      <c r="K122" s="5"/>
      <c r="L122" s="5"/>
      <c r="M122" s="5"/>
      <c r="N122" s="5"/>
      <c r="O122" s="5"/>
      <c r="P122" s="57"/>
      <c r="Q122" s="5"/>
      <c r="R122" s="5"/>
      <c r="S122" s="5"/>
      <c r="T122" s="5"/>
      <c r="U122" s="5"/>
      <c r="V122" s="5"/>
      <c r="W122" s="5"/>
      <c r="X122" s="5"/>
      <c r="Y122" s="5"/>
      <c r="Z122" s="5"/>
      <c r="AA122" s="5"/>
    </row>
    <row r="123" spans="1:27" ht="12.75" customHeight="1">
      <c r="A123" s="5"/>
      <c r="B123" s="5"/>
      <c r="C123" s="5"/>
      <c r="D123" s="5"/>
      <c r="E123" s="5"/>
      <c r="F123" s="5"/>
      <c r="G123" s="5"/>
      <c r="H123" s="306"/>
      <c r="I123" s="306"/>
      <c r="J123" s="5"/>
      <c r="K123" s="5"/>
      <c r="L123" s="5"/>
      <c r="M123" s="5"/>
      <c r="N123" s="5"/>
      <c r="O123" s="5"/>
      <c r="P123" s="57"/>
      <c r="Q123" s="5"/>
      <c r="R123" s="5"/>
      <c r="S123" s="5"/>
      <c r="T123" s="5"/>
      <c r="U123" s="5"/>
      <c r="V123" s="5"/>
      <c r="W123" s="5"/>
      <c r="X123" s="5"/>
      <c r="Y123" s="5"/>
      <c r="Z123" s="5"/>
      <c r="AA123" s="5"/>
    </row>
    <row r="124" spans="1:27" ht="12.75" customHeight="1">
      <c r="A124" s="5"/>
      <c r="B124" s="5"/>
      <c r="C124" s="5"/>
      <c r="D124" s="5"/>
      <c r="E124" s="5"/>
      <c r="F124" s="5"/>
      <c r="G124" s="5"/>
      <c r="H124" s="306"/>
      <c r="I124" s="306"/>
      <c r="J124" s="5"/>
      <c r="K124" s="5"/>
      <c r="L124" s="5"/>
      <c r="M124" s="5"/>
      <c r="N124" s="5"/>
      <c r="O124" s="5"/>
      <c r="P124" s="57"/>
      <c r="Q124" s="5"/>
      <c r="R124" s="5"/>
      <c r="S124" s="5"/>
      <c r="T124" s="5"/>
      <c r="U124" s="5"/>
      <c r="V124" s="5"/>
      <c r="W124" s="5"/>
      <c r="X124" s="5"/>
      <c r="Y124" s="5"/>
      <c r="Z124" s="5"/>
      <c r="AA124" s="5"/>
    </row>
    <row r="125" spans="1:27" ht="12.75" customHeight="1">
      <c r="A125" s="5"/>
      <c r="B125" s="5"/>
      <c r="C125" s="5"/>
      <c r="D125" s="5"/>
      <c r="E125" s="5"/>
      <c r="F125" s="5"/>
      <c r="G125" s="5"/>
      <c r="H125" s="306"/>
      <c r="I125" s="306"/>
      <c r="J125" s="5"/>
      <c r="K125" s="5"/>
      <c r="L125" s="5"/>
      <c r="M125" s="5"/>
      <c r="N125" s="5"/>
      <c r="O125" s="5"/>
      <c r="P125" s="57"/>
      <c r="Q125" s="5"/>
      <c r="R125" s="5"/>
      <c r="S125" s="5"/>
      <c r="T125" s="5"/>
      <c r="U125" s="5"/>
      <c r="V125" s="5"/>
      <c r="W125" s="5"/>
      <c r="X125" s="5"/>
      <c r="Y125" s="5"/>
      <c r="Z125" s="5"/>
      <c r="AA125" s="5"/>
    </row>
    <row r="126" spans="1:27" ht="12.75" customHeight="1">
      <c r="A126" s="5"/>
      <c r="B126" s="5"/>
      <c r="C126" s="5"/>
      <c r="D126" s="5"/>
      <c r="E126" s="5"/>
      <c r="F126" s="5"/>
      <c r="G126" s="5"/>
      <c r="H126" s="306"/>
      <c r="I126" s="306"/>
      <c r="J126" s="5"/>
      <c r="K126" s="5"/>
      <c r="L126" s="5"/>
      <c r="M126" s="5"/>
      <c r="N126" s="5"/>
      <c r="O126" s="5"/>
      <c r="P126" s="57"/>
      <c r="Q126" s="5"/>
      <c r="R126" s="5"/>
      <c r="S126" s="5"/>
      <c r="T126" s="5"/>
      <c r="U126" s="5"/>
      <c r="V126" s="5"/>
      <c r="W126" s="5"/>
      <c r="X126" s="5"/>
      <c r="Y126" s="5"/>
      <c r="Z126" s="5"/>
      <c r="AA126" s="5"/>
    </row>
    <row r="127" spans="1:27" ht="12.75" customHeight="1">
      <c r="A127" s="5"/>
      <c r="B127" s="5"/>
      <c r="C127" s="5"/>
      <c r="D127" s="5"/>
      <c r="E127" s="5"/>
      <c r="F127" s="5"/>
      <c r="G127" s="5"/>
      <c r="H127" s="306"/>
      <c r="I127" s="306"/>
      <c r="J127" s="5"/>
      <c r="K127" s="5"/>
      <c r="L127" s="5"/>
      <c r="M127" s="5"/>
      <c r="N127" s="5"/>
      <c r="O127" s="5"/>
      <c r="P127" s="57"/>
      <c r="Q127" s="5"/>
      <c r="R127" s="5"/>
      <c r="S127" s="5"/>
      <c r="T127" s="5"/>
      <c r="U127" s="5"/>
      <c r="V127" s="5"/>
      <c r="W127" s="5"/>
      <c r="X127" s="5"/>
      <c r="Y127" s="5"/>
      <c r="Z127" s="5"/>
      <c r="AA127" s="5"/>
    </row>
    <row r="128" spans="1:27" ht="12.75" customHeight="1">
      <c r="A128" s="5"/>
      <c r="B128" s="5"/>
      <c r="C128" s="5"/>
      <c r="D128" s="5"/>
      <c r="E128" s="5"/>
      <c r="F128" s="5"/>
      <c r="G128" s="5"/>
      <c r="H128" s="306"/>
      <c r="I128" s="306"/>
      <c r="J128" s="5"/>
      <c r="K128" s="5"/>
      <c r="L128" s="5"/>
      <c r="M128" s="5"/>
      <c r="N128" s="5"/>
      <c r="O128" s="5"/>
      <c r="P128" s="57"/>
      <c r="Q128" s="5"/>
      <c r="R128" s="5"/>
      <c r="S128" s="5"/>
      <c r="T128" s="5"/>
      <c r="U128" s="5"/>
      <c r="V128" s="5"/>
      <c r="W128" s="5"/>
      <c r="X128" s="5"/>
      <c r="Y128" s="5"/>
      <c r="Z128" s="5"/>
      <c r="AA128" s="5"/>
    </row>
    <row r="129" spans="1:27" ht="12.75" customHeight="1">
      <c r="A129" s="5"/>
      <c r="B129" s="5"/>
      <c r="C129" s="5"/>
      <c r="D129" s="5"/>
      <c r="E129" s="5"/>
      <c r="F129" s="5"/>
      <c r="G129" s="5"/>
      <c r="H129" s="306"/>
      <c r="I129" s="306"/>
      <c r="J129" s="5"/>
      <c r="K129" s="5"/>
      <c r="L129" s="5"/>
      <c r="M129" s="5"/>
      <c r="N129" s="5"/>
      <c r="O129" s="5"/>
      <c r="P129" s="57"/>
      <c r="Q129" s="5"/>
      <c r="R129" s="5"/>
      <c r="S129" s="5"/>
      <c r="T129" s="5"/>
      <c r="U129" s="5"/>
      <c r="V129" s="5"/>
      <c r="W129" s="5"/>
      <c r="X129" s="5"/>
      <c r="Y129" s="5"/>
      <c r="Z129" s="5"/>
      <c r="AA129" s="5"/>
    </row>
    <row r="130" spans="1:27" ht="12.75" customHeight="1">
      <c r="A130" s="5"/>
      <c r="B130" s="5"/>
      <c r="C130" s="5"/>
      <c r="D130" s="5"/>
      <c r="E130" s="5"/>
      <c r="F130" s="5"/>
      <c r="G130" s="5"/>
      <c r="H130" s="306"/>
      <c r="I130" s="306"/>
      <c r="J130" s="5"/>
      <c r="K130" s="5"/>
      <c r="L130" s="5"/>
      <c r="M130" s="5"/>
      <c r="N130" s="5"/>
      <c r="O130" s="5"/>
      <c r="P130" s="57"/>
      <c r="Q130" s="5"/>
      <c r="R130" s="5"/>
      <c r="S130" s="5"/>
      <c r="T130" s="5"/>
      <c r="U130" s="5"/>
      <c r="V130" s="5"/>
      <c r="W130" s="5"/>
      <c r="X130" s="5"/>
      <c r="Y130" s="5"/>
      <c r="Z130" s="5"/>
      <c r="AA130" s="5"/>
    </row>
    <row r="131" spans="1:27" ht="12.75" customHeight="1">
      <c r="A131" s="5"/>
      <c r="B131" s="5"/>
      <c r="C131" s="5"/>
      <c r="D131" s="5"/>
      <c r="E131" s="5"/>
      <c r="F131" s="5"/>
      <c r="G131" s="5"/>
      <c r="H131" s="306"/>
      <c r="I131" s="306"/>
      <c r="J131" s="5"/>
      <c r="K131" s="5"/>
      <c r="L131" s="5"/>
      <c r="M131" s="5"/>
      <c r="N131" s="5"/>
      <c r="O131" s="5"/>
      <c r="P131" s="57"/>
      <c r="Q131" s="5"/>
      <c r="R131" s="5"/>
      <c r="S131" s="5"/>
      <c r="T131" s="5"/>
      <c r="U131" s="5"/>
      <c r="V131" s="5"/>
      <c r="W131" s="5"/>
      <c r="X131" s="5"/>
      <c r="Y131" s="5"/>
      <c r="Z131" s="5"/>
      <c r="AA131" s="5"/>
    </row>
    <row r="132" spans="1:27" ht="12.75" customHeight="1">
      <c r="A132" s="5"/>
      <c r="B132" s="5"/>
      <c r="C132" s="5"/>
      <c r="D132" s="5"/>
      <c r="E132" s="5"/>
      <c r="F132" s="5"/>
      <c r="G132" s="5"/>
      <c r="H132" s="306"/>
      <c r="I132" s="306"/>
      <c r="J132" s="5"/>
      <c r="K132" s="5"/>
      <c r="L132" s="5"/>
      <c r="M132" s="5"/>
      <c r="N132" s="5"/>
      <c r="O132" s="5"/>
      <c r="P132" s="57"/>
      <c r="Q132" s="5"/>
      <c r="R132" s="5"/>
      <c r="S132" s="5"/>
      <c r="T132" s="5"/>
      <c r="U132" s="5"/>
      <c r="V132" s="5"/>
      <c r="W132" s="5"/>
      <c r="X132" s="5"/>
      <c r="Y132" s="5"/>
      <c r="Z132" s="5"/>
      <c r="AA132" s="5"/>
    </row>
    <row r="133" spans="1:27" ht="12.75" customHeight="1">
      <c r="A133" s="5"/>
      <c r="B133" s="5"/>
      <c r="C133" s="5"/>
      <c r="D133" s="5"/>
      <c r="E133" s="5"/>
      <c r="F133" s="5"/>
      <c r="G133" s="5"/>
      <c r="H133" s="306"/>
      <c r="I133" s="306"/>
      <c r="J133" s="5"/>
      <c r="K133" s="5"/>
      <c r="L133" s="5"/>
      <c r="M133" s="5"/>
      <c r="N133" s="5"/>
      <c r="O133" s="5"/>
      <c r="P133" s="57"/>
      <c r="Q133" s="5"/>
      <c r="R133" s="5"/>
      <c r="S133" s="5"/>
      <c r="T133" s="5"/>
      <c r="U133" s="5"/>
      <c r="V133" s="5"/>
      <c r="W133" s="5"/>
      <c r="X133" s="5"/>
      <c r="Y133" s="5"/>
      <c r="Z133" s="5"/>
      <c r="AA133" s="5"/>
    </row>
    <row r="134" spans="1:27" ht="12.75" customHeight="1">
      <c r="A134" s="5"/>
      <c r="B134" s="5"/>
      <c r="C134" s="5"/>
      <c r="D134" s="5"/>
      <c r="E134" s="5"/>
      <c r="F134" s="5"/>
      <c r="G134" s="5"/>
      <c r="H134" s="306"/>
      <c r="I134" s="306"/>
      <c r="J134" s="5"/>
      <c r="K134" s="5"/>
      <c r="L134" s="5"/>
      <c r="M134" s="5"/>
      <c r="N134" s="5"/>
      <c r="O134" s="5"/>
      <c r="P134" s="57"/>
      <c r="Q134" s="5"/>
      <c r="R134" s="5"/>
      <c r="S134" s="5"/>
      <c r="T134" s="5"/>
      <c r="U134" s="5"/>
      <c r="V134" s="5"/>
      <c r="W134" s="5"/>
      <c r="X134" s="5"/>
      <c r="Y134" s="5"/>
      <c r="Z134" s="5"/>
      <c r="AA134" s="5"/>
    </row>
    <row r="135" spans="1:27" ht="12.75" customHeight="1">
      <c r="A135" s="5"/>
      <c r="B135" s="5"/>
      <c r="C135" s="5"/>
      <c r="D135" s="5"/>
      <c r="E135" s="5"/>
      <c r="F135" s="5"/>
      <c r="G135" s="5"/>
      <c r="H135" s="306"/>
      <c r="I135" s="306"/>
      <c r="J135" s="5"/>
      <c r="K135" s="5"/>
      <c r="L135" s="5"/>
      <c r="M135" s="5"/>
      <c r="N135" s="5"/>
      <c r="O135" s="5"/>
      <c r="P135" s="57"/>
      <c r="Q135" s="5"/>
      <c r="R135" s="5"/>
      <c r="S135" s="5"/>
      <c r="T135" s="5"/>
      <c r="U135" s="5"/>
      <c r="V135" s="5"/>
      <c r="W135" s="5"/>
      <c r="X135" s="5"/>
      <c r="Y135" s="5"/>
      <c r="Z135" s="5"/>
      <c r="AA135" s="5"/>
    </row>
    <row r="136" spans="1:27" ht="12.75" customHeight="1">
      <c r="A136" s="5"/>
      <c r="B136" s="5"/>
      <c r="C136" s="5"/>
      <c r="D136" s="5"/>
      <c r="E136" s="5"/>
      <c r="F136" s="5"/>
      <c r="G136" s="5"/>
      <c r="H136" s="306"/>
      <c r="I136" s="306"/>
      <c r="J136" s="5"/>
      <c r="K136" s="5"/>
      <c r="L136" s="5"/>
      <c r="M136" s="5"/>
      <c r="N136" s="5"/>
      <c r="O136" s="5"/>
      <c r="P136" s="57"/>
      <c r="Q136" s="5"/>
      <c r="R136" s="5"/>
      <c r="S136" s="5"/>
      <c r="T136" s="5"/>
      <c r="U136" s="5"/>
      <c r="V136" s="5"/>
      <c r="W136" s="5"/>
      <c r="X136" s="5"/>
      <c r="Y136" s="5"/>
      <c r="Z136" s="5"/>
      <c r="AA136" s="5"/>
    </row>
    <row r="137" spans="1:27" ht="12.75" customHeight="1">
      <c r="A137" s="5"/>
      <c r="B137" s="5"/>
      <c r="C137" s="5"/>
      <c r="D137" s="5"/>
      <c r="E137" s="5"/>
      <c r="F137" s="5"/>
      <c r="G137" s="5"/>
      <c r="H137" s="306"/>
      <c r="I137" s="306"/>
      <c r="J137" s="5"/>
      <c r="K137" s="5"/>
      <c r="L137" s="5"/>
      <c r="M137" s="5"/>
      <c r="N137" s="5"/>
      <c r="O137" s="5"/>
      <c r="P137" s="57"/>
      <c r="Q137" s="5"/>
      <c r="R137" s="5"/>
      <c r="S137" s="5"/>
      <c r="T137" s="5"/>
      <c r="U137" s="5"/>
      <c r="V137" s="5"/>
      <c r="W137" s="5"/>
      <c r="X137" s="5"/>
      <c r="Y137" s="5"/>
      <c r="Z137" s="5"/>
      <c r="AA137" s="5"/>
    </row>
    <row r="138" spans="1:27" ht="12.75" customHeight="1">
      <c r="A138" s="5"/>
      <c r="B138" s="5"/>
      <c r="C138" s="5"/>
      <c r="D138" s="5"/>
      <c r="E138" s="5"/>
      <c r="F138" s="5"/>
      <c r="G138" s="5"/>
      <c r="H138" s="306"/>
      <c r="I138" s="306"/>
      <c r="J138" s="5"/>
      <c r="K138" s="5"/>
      <c r="L138" s="5"/>
      <c r="M138" s="5"/>
      <c r="N138" s="5"/>
      <c r="O138" s="5"/>
      <c r="P138" s="57"/>
      <c r="Q138" s="5"/>
      <c r="R138" s="5"/>
      <c r="S138" s="5"/>
      <c r="T138" s="5"/>
      <c r="U138" s="5"/>
      <c r="V138" s="5"/>
      <c r="W138" s="5"/>
      <c r="X138" s="5"/>
      <c r="Y138" s="5"/>
      <c r="Z138" s="5"/>
      <c r="AA138" s="5"/>
    </row>
    <row r="139" spans="1:27" ht="12.75" customHeight="1">
      <c r="A139" s="5"/>
      <c r="B139" s="5"/>
      <c r="C139" s="5"/>
      <c r="D139" s="5"/>
      <c r="E139" s="5"/>
      <c r="F139" s="5"/>
      <c r="G139" s="5"/>
      <c r="H139" s="306"/>
      <c r="I139" s="306"/>
      <c r="J139" s="5"/>
      <c r="K139" s="5"/>
      <c r="L139" s="5"/>
      <c r="M139" s="5"/>
      <c r="N139" s="5"/>
      <c r="O139" s="5"/>
      <c r="P139" s="57"/>
      <c r="Q139" s="5"/>
      <c r="R139" s="5"/>
      <c r="S139" s="5"/>
      <c r="T139" s="5"/>
      <c r="U139" s="5"/>
      <c r="V139" s="5"/>
      <c r="W139" s="5"/>
      <c r="X139" s="5"/>
      <c r="Y139" s="5"/>
      <c r="Z139" s="5"/>
      <c r="AA139" s="5"/>
    </row>
    <row r="140" spans="1:27" ht="12.75" customHeight="1">
      <c r="A140" s="5"/>
      <c r="B140" s="5"/>
      <c r="C140" s="5"/>
      <c r="D140" s="5"/>
      <c r="E140" s="5"/>
      <c r="F140" s="5"/>
      <c r="G140" s="5"/>
      <c r="H140" s="306"/>
      <c r="I140" s="306"/>
      <c r="J140" s="5"/>
      <c r="K140" s="5"/>
      <c r="L140" s="5"/>
      <c r="M140" s="5"/>
      <c r="N140" s="5"/>
      <c r="O140" s="5"/>
      <c r="P140" s="57"/>
      <c r="Q140" s="5"/>
      <c r="R140" s="5"/>
      <c r="S140" s="5"/>
      <c r="T140" s="5"/>
      <c r="U140" s="5"/>
      <c r="V140" s="5"/>
      <c r="W140" s="5"/>
      <c r="X140" s="5"/>
      <c r="Y140" s="5"/>
      <c r="Z140" s="5"/>
      <c r="AA140" s="5"/>
    </row>
    <row r="141" spans="1:27" ht="12.75" customHeight="1">
      <c r="A141" s="5"/>
      <c r="B141" s="5"/>
      <c r="C141" s="5"/>
      <c r="D141" s="5"/>
      <c r="E141" s="5"/>
      <c r="F141" s="5"/>
      <c r="G141" s="5"/>
      <c r="H141" s="306"/>
      <c r="I141" s="306"/>
      <c r="J141" s="5"/>
      <c r="K141" s="5"/>
      <c r="L141" s="5"/>
      <c r="M141" s="5"/>
      <c r="N141" s="5"/>
      <c r="O141" s="5"/>
      <c r="P141" s="57"/>
      <c r="Q141" s="5"/>
      <c r="R141" s="5"/>
      <c r="S141" s="5"/>
      <c r="T141" s="5"/>
      <c r="U141" s="5"/>
      <c r="V141" s="5"/>
      <c r="W141" s="5"/>
      <c r="X141" s="5"/>
      <c r="Y141" s="5"/>
      <c r="Z141" s="5"/>
      <c r="AA141" s="5"/>
    </row>
    <row r="142" spans="1:27" ht="12.75" customHeight="1">
      <c r="A142" s="5"/>
      <c r="B142" s="5"/>
      <c r="C142" s="5"/>
      <c r="D142" s="5"/>
      <c r="E142" s="5"/>
      <c r="F142" s="5"/>
      <c r="G142" s="5"/>
      <c r="H142" s="306"/>
      <c r="I142" s="306"/>
      <c r="J142" s="5"/>
      <c r="K142" s="5"/>
      <c r="L142" s="5"/>
      <c r="M142" s="5"/>
      <c r="N142" s="5"/>
      <c r="O142" s="5"/>
      <c r="P142" s="57"/>
      <c r="Q142" s="5"/>
      <c r="R142" s="5"/>
      <c r="S142" s="5"/>
      <c r="T142" s="5"/>
      <c r="U142" s="5"/>
      <c r="V142" s="5"/>
      <c r="W142" s="5"/>
      <c r="X142" s="5"/>
      <c r="Y142" s="5"/>
      <c r="Z142" s="5"/>
      <c r="AA142" s="5"/>
    </row>
    <row r="143" spans="1:27" ht="12.75" customHeight="1">
      <c r="A143" s="5"/>
      <c r="B143" s="5"/>
      <c r="C143" s="5"/>
      <c r="D143" s="5"/>
      <c r="E143" s="5"/>
      <c r="F143" s="5"/>
      <c r="G143" s="5"/>
      <c r="H143" s="306"/>
      <c r="I143" s="306"/>
      <c r="J143" s="5"/>
      <c r="K143" s="5"/>
      <c r="L143" s="5"/>
      <c r="M143" s="5"/>
      <c r="N143" s="5"/>
      <c r="O143" s="5"/>
      <c r="P143" s="57"/>
      <c r="Q143" s="5"/>
      <c r="R143" s="5"/>
      <c r="S143" s="5"/>
      <c r="T143" s="5"/>
      <c r="U143" s="5"/>
      <c r="V143" s="5"/>
      <c r="W143" s="5"/>
      <c r="X143" s="5"/>
      <c r="Y143" s="5"/>
      <c r="Z143" s="5"/>
      <c r="AA143" s="5"/>
    </row>
    <row r="144" spans="1:27" ht="12.75" customHeight="1">
      <c r="A144" s="5"/>
      <c r="B144" s="5"/>
      <c r="C144" s="5"/>
      <c r="D144" s="5"/>
      <c r="E144" s="5"/>
      <c r="F144" s="5"/>
      <c r="G144" s="5"/>
      <c r="H144" s="306"/>
      <c r="I144" s="306"/>
      <c r="J144" s="5"/>
      <c r="K144" s="5"/>
      <c r="L144" s="5"/>
      <c r="M144" s="5"/>
      <c r="N144" s="5"/>
      <c r="O144" s="5"/>
      <c r="P144" s="57"/>
      <c r="Q144" s="5"/>
      <c r="R144" s="5"/>
      <c r="S144" s="5"/>
      <c r="T144" s="5"/>
      <c r="U144" s="5"/>
      <c r="V144" s="5"/>
      <c r="W144" s="5"/>
      <c r="X144" s="5"/>
      <c r="Y144" s="5"/>
      <c r="Z144" s="5"/>
      <c r="AA144" s="5"/>
    </row>
    <row r="145" spans="1:27" ht="12.75" customHeight="1">
      <c r="A145" s="5"/>
      <c r="B145" s="5"/>
      <c r="C145" s="5"/>
      <c r="D145" s="5"/>
      <c r="E145" s="5"/>
      <c r="F145" s="5"/>
      <c r="G145" s="5"/>
      <c r="H145" s="306"/>
      <c r="I145" s="306"/>
      <c r="J145" s="5"/>
      <c r="K145" s="5"/>
      <c r="L145" s="5"/>
      <c r="M145" s="5"/>
      <c r="N145" s="5"/>
      <c r="O145" s="5"/>
      <c r="P145" s="57"/>
      <c r="Q145" s="5"/>
      <c r="R145" s="5"/>
      <c r="S145" s="5"/>
      <c r="T145" s="5"/>
      <c r="U145" s="5"/>
      <c r="V145" s="5"/>
      <c r="W145" s="5"/>
      <c r="X145" s="5"/>
      <c r="Y145" s="5"/>
      <c r="Z145" s="5"/>
      <c r="AA145" s="5"/>
    </row>
    <row r="146" spans="1:27" ht="12.75" customHeight="1">
      <c r="A146" s="5"/>
      <c r="B146" s="5"/>
      <c r="C146" s="5"/>
      <c r="D146" s="5"/>
      <c r="E146" s="5"/>
      <c r="F146" s="5"/>
      <c r="G146" s="5"/>
      <c r="H146" s="306"/>
      <c r="I146" s="306"/>
      <c r="J146" s="5"/>
      <c r="K146" s="5"/>
      <c r="L146" s="5"/>
      <c r="M146" s="5"/>
      <c r="N146" s="5"/>
      <c r="O146" s="5"/>
      <c r="P146" s="57"/>
      <c r="Q146" s="5"/>
      <c r="R146" s="5"/>
      <c r="S146" s="5"/>
      <c r="T146" s="5"/>
      <c r="U146" s="5"/>
      <c r="V146" s="5"/>
      <c r="W146" s="5"/>
      <c r="X146" s="5"/>
      <c r="Y146" s="5"/>
      <c r="Z146" s="5"/>
      <c r="AA146" s="5"/>
    </row>
    <row r="147" spans="1:27" ht="12.75" customHeight="1">
      <c r="A147" s="5"/>
      <c r="B147" s="5"/>
      <c r="C147" s="5"/>
      <c r="D147" s="5"/>
      <c r="E147" s="5"/>
      <c r="F147" s="5"/>
      <c r="G147" s="5"/>
      <c r="H147" s="306"/>
      <c r="I147" s="306"/>
      <c r="J147" s="5"/>
      <c r="K147" s="5"/>
      <c r="L147" s="5"/>
      <c r="M147" s="5"/>
      <c r="N147" s="5"/>
      <c r="O147" s="5"/>
      <c r="P147" s="57"/>
      <c r="Q147" s="5"/>
      <c r="R147" s="5"/>
      <c r="S147" s="5"/>
      <c r="T147" s="5"/>
      <c r="U147" s="5"/>
      <c r="V147" s="5"/>
      <c r="W147" s="5"/>
      <c r="X147" s="5"/>
      <c r="Y147" s="5"/>
      <c r="Z147" s="5"/>
      <c r="AA147" s="5"/>
    </row>
    <row r="148" spans="1:27" ht="12.75" customHeight="1">
      <c r="A148" s="5"/>
      <c r="B148" s="5"/>
      <c r="C148" s="5"/>
      <c r="D148" s="5"/>
      <c r="E148" s="5"/>
      <c r="F148" s="5"/>
      <c r="G148" s="5"/>
      <c r="H148" s="306"/>
      <c r="I148" s="306"/>
      <c r="J148" s="5"/>
      <c r="K148" s="5"/>
      <c r="L148" s="5"/>
      <c r="M148" s="5"/>
      <c r="N148" s="5"/>
      <c r="O148" s="5"/>
      <c r="P148" s="57"/>
      <c r="Q148" s="5"/>
      <c r="R148" s="5"/>
      <c r="S148" s="5"/>
      <c r="T148" s="5"/>
      <c r="U148" s="5"/>
      <c r="V148" s="5"/>
      <c r="W148" s="5"/>
      <c r="X148" s="5"/>
      <c r="Y148" s="5"/>
      <c r="Z148" s="5"/>
      <c r="AA148" s="5"/>
    </row>
    <row r="149" spans="1:27" ht="12.75" customHeight="1">
      <c r="A149" s="5"/>
      <c r="B149" s="5"/>
      <c r="C149" s="5"/>
      <c r="D149" s="5"/>
      <c r="E149" s="5"/>
      <c r="F149" s="5"/>
      <c r="G149" s="5"/>
      <c r="H149" s="306"/>
      <c r="I149" s="306"/>
      <c r="J149" s="5"/>
      <c r="K149" s="5"/>
      <c r="L149" s="5"/>
      <c r="M149" s="5"/>
      <c r="N149" s="5"/>
      <c r="O149" s="5"/>
      <c r="P149" s="57"/>
      <c r="Q149" s="5"/>
      <c r="R149" s="5"/>
      <c r="S149" s="5"/>
      <c r="T149" s="5"/>
      <c r="U149" s="5"/>
      <c r="V149" s="5"/>
      <c r="W149" s="5"/>
      <c r="X149" s="5"/>
      <c r="Y149" s="5"/>
      <c r="Z149" s="5"/>
      <c r="AA149" s="5"/>
    </row>
    <row r="150" spans="1:27" ht="12.75" customHeight="1">
      <c r="A150" s="5"/>
      <c r="B150" s="5"/>
      <c r="C150" s="5"/>
      <c r="D150" s="5"/>
      <c r="E150" s="5"/>
      <c r="F150" s="5"/>
      <c r="G150" s="5"/>
      <c r="H150" s="306"/>
      <c r="I150" s="306"/>
      <c r="J150" s="5"/>
      <c r="K150" s="5"/>
      <c r="L150" s="5"/>
      <c r="M150" s="5"/>
      <c r="N150" s="5"/>
      <c r="O150" s="5"/>
      <c r="P150" s="57"/>
      <c r="Q150" s="5"/>
      <c r="R150" s="5"/>
      <c r="S150" s="5"/>
      <c r="T150" s="5"/>
      <c r="U150" s="5"/>
      <c r="V150" s="5"/>
      <c r="W150" s="5"/>
      <c r="X150" s="5"/>
      <c r="Y150" s="5"/>
      <c r="Z150" s="5"/>
      <c r="AA150" s="5"/>
    </row>
    <row r="151" spans="1:27" ht="12.75" customHeight="1">
      <c r="A151" s="5"/>
      <c r="B151" s="5"/>
      <c r="C151" s="5"/>
      <c r="D151" s="5"/>
      <c r="E151" s="5"/>
      <c r="F151" s="5"/>
      <c r="G151" s="5"/>
      <c r="H151" s="306"/>
      <c r="I151" s="306"/>
      <c r="J151" s="5"/>
      <c r="K151" s="5"/>
      <c r="L151" s="5"/>
      <c r="M151" s="5"/>
      <c r="N151" s="5"/>
      <c r="O151" s="5"/>
      <c r="P151" s="57"/>
      <c r="Q151" s="5"/>
      <c r="R151" s="5"/>
      <c r="S151" s="5"/>
      <c r="T151" s="5"/>
      <c r="U151" s="5"/>
      <c r="V151" s="5"/>
      <c r="W151" s="5"/>
      <c r="X151" s="5"/>
      <c r="Y151" s="5"/>
      <c r="Z151" s="5"/>
      <c r="AA151" s="5"/>
    </row>
    <row r="152" spans="1:27" ht="12.75" customHeight="1">
      <c r="A152" s="5"/>
      <c r="B152" s="5"/>
      <c r="C152" s="5"/>
      <c r="D152" s="5"/>
      <c r="E152" s="5"/>
      <c r="F152" s="5"/>
      <c r="G152" s="5"/>
      <c r="H152" s="306"/>
      <c r="I152" s="306"/>
      <c r="J152" s="5"/>
      <c r="K152" s="5"/>
      <c r="L152" s="5"/>
      <c r="M152" s="5"/>
      <c r="N152" s="5"/>
      <c r="O152" s="5"/>
      <c r="P152" s="57"/>
      <c r="Q152" s="5"/>
      <c r="R152" s="5"/>
      <c r="S152" s="5"/>
      <c r="T152" s="5"/>
      <c r="U152" s="5"/>
      <c r="V152" s="5"/>
      <c r="W152" s="5"/>
      <c r="X152" s="5"/>
      <c r="Y152" s="5"/>
      <c r="Z152" s="5"/>
      <c r="AA152" s="5"/>
    </row>
    <row r="153" spans="1:27" ht="12.75" customHeight="1">
      <c r="A153" s="5"/>
      <c r="B153" s="5"/>
      <c r="C153" s="5"/>
      <c r="D153" s="5"/>
      <c r="E153" s="5"/>
      <c r="F153" s="5"/>
      <c r="G153" s="5"/>
      <c r="H153" s="306"/>
      <c r="I153" s="306"/>
      <c r="J153" s="5"/>
      <c r="K153" s="5"/>
      <c r="L153" s="5"/>
      <c r="M153" s="5"/>
      <c r="N153" s="5"/>
      <c r="O153" s="5"/>
      <c r="P153" s="57"/>
      <c r="Q153" s="5"/>
      <c r="R153" s="5"/>
      <c r="S153" s="5"/>
      <c r="T153" s="5"/>
      <c r="U153" s="5"/>
      <c r="V153" s="5"/>
      <c r="W153" s="5"/>
      <c r="X153" s="5"/>
      <c r="Y153" s="5"/>
      <c r="Z153" s="5"/>
      <c r="AA153" s="5"/>
    </row>
    <row r="154" spans="1:27" ht="12.75" customHeight="1">
      <c r="A154" s="5"/>
      <c r="B154" s="5"/>
      <c r="C154" s="5"/>
      <c r="D154" s="5"/>
      <c r="E154" s="5"/>
      <c r="F154" s="5"/>
      <c r="G154" s="5"/>
      <c r="H154" s="306"/>
      <c r="I154" s="306"/>
      <c r="J154" s="5"/>
      <c r="K154" s="5"/>
      <c r="L154" s="5"/>
      <c r="M154" s="5"/>
      <c r="N154" s="5"/>
      <c r="O154" s="5"/>
      <c r="P154" s="57"/>
      <c r="Q154" s="5"/>
      <c r="R154" s="5"/>
      <c r="S154" s="5"/>
      <c r="T154" s="5"/>
      <c r="U154" s="5"/>
      <c r="V154" s="5"/>
      <c r="W154" s="5"/>
      <c r="X154" s="5"/>
      <c r="Y154" s="5"/>
      <c r="Z154" s="5"/>
      <c r="AA154" s="5"/>
    </row>
    <row r="155" spans="1:27" ht="12.75" customHeight="1">
      <c r="A155" s="5"/>
      <c r="B155" s="5"/>
      <c r="C155" s="5"/>
      <c r="D155" s="5"/>
      <c r="E155" s="5"/>
      <c r="F155" s="5"/>
      <c r="G155" s="5"/>
      <c r="H155" s="306"/>
      <c r="I155" s="306"/>
      <c r="J155" s="5"/>
      <c r="K155" s="5"/>
      <c r="L155" s="5"/>
      <c r="M155" s="5"/>
      <c r="N155" s="5"/>
      <c r="O155" s="5"/>
      <c r="P155" s="57"/>
      <c r="Q155" s="5"/>
      <c r="R155" s="5"/>
      <c r="S155" s="5"/>
      <c r="T155" s="5"/>
      <c r="U155" s="5"/>
      <c r="V155" s="5"/>
      <c r="W155" s="5"/>
      <c r="X155" s="5"/>
      <c r="Y155" s="5"/>
      <c r="Z155" s="5"/>
      <c r="AA155" s="5"/>
    </row>
    <row r="156" spans="1:27" ht="12.75" customHeight="1">
      <c r="A156" s="5"/>
      <c r="B156" s="5"/>
      <c r="C156" s="5"/>
      <c r="D156" s="5"/>
      <c r="E156" s="5"/>
      <c r="F156" s="5"/>
      <c r="G156" s="5"/>
      <c r="H156" s="306"/>
      <c r="I156" s="306"/>
      <c r="J156" s="5"/>
      <c r="K156" s="5"/>
      <c r="L156" s="5"/>
      <c r="M156" s="5"/>
      <c r="N156" s="5"/>
      <c r="O156" s="5"/>
      <c r="P156" s="57"/>
      <c r="Q156" s="5"/>
      <c r="R156" s="5"/>
      <c r="S156" s="5"/>
      <c r="T156" s="5"/>
      <c r="U156" s="5"/>
      <c r="V156" s="5"/>
      <c r="W156" s="5"/>
      <c r="X156" s="5"/>
      <c r="Y156" s="5"/>
      <c r="Z156" s="5"/>
      <c r="AA156" s="5"/>
    </row>
    <row r="157" spans="1:27" ht="12.75" customHeight="1">
      <c r="A157" s="5"/>
      <c r="B157" s="5"/>
      <c r="C157" s="5"/>
      <c r="D157" s="5"/>
      <c r="E157" s="5"/>
      <c r="F157" s="5"/>
      <c r="G157" s="5"/>
      <c r="H157" s="306"/>
      <c r="I157" s="306"/>
      <c r="J157" s="5"/>
      <c r="K157" s="5"/>
      <c r="L157" s="5"/>
      <c r="M157" s="5"/>
      <c r="N157" s="5"/>
      <c r="O157" s="5"/>
      <c r="P157" s="57"/>
      <c r="Q157" s="5"/>
      <c r="R157" s="5"/>
      <c r="S157" s="5"/>
      <c r="T157" s="5"/>
      <c r="U157" s="5"/>
      <c r="V157" s="5"/>
      <c r="W157" s="5"/>
      <c r="X157" s="5"/>
      <c r="Y157" s="5"/>
      <c r="Z157" s="5"/>
      <c r="AA157" s="5"/>
    </row>
    <row r="158" spans="1:27" ht="12.75" customHeight="1">
      <c r="A158" s="5"/>
      <c r="B158" s="5"/>
      <c r="C158" s="5"/>
      <c r="D158" s="5"/>
      <c r="E158" s="5"/>
      <c r="F158" s="5"/>
      <c r="G158" s="5"/>
      <c r="H158" s="306"/>
      <c r="I158" s="306"/>
      <c r="J158" s="5"/>
      <c r="K158" s="5"/>
      <c r="L158" s="5"/>
      <c r="M158" s="5"/>
      <c r="N158" s="5"/>
      <c r="O158" s="5"/>
      <c r="P158" s="57"/>
      <c r="Q158" s="5"/>
      <c r="R158" s="5"/>
      <c r="S158" s="5"/>
      <c r="T158" s="5"/>
      <c r="U158" s="5"/>
      <c r="V158" s="5"/>
      <c r="W158" s="5"/>
      <c r="X158" s="5"/>
      <c r="Y158" s="5"/>
      <c r="Z158" s="5"/>
      <c r="AA158" s="5"/>
    </row>
    <row r="159" spans="1:27" ht="12.75" customHeight="1">
      <c r="A159" s="5"/>
      <c r="B159" s="5"/>
      <c r="C159" s="5"/>
      <c r="D159" s="5"/>
      <c r="E159" s="5"/>
      <c r="F159" s="5"/>
      <c r="G159" s="5"/>
      <c r="H159" s="306"/>
      <c r="I159" s="306"/>
      <c r="J159" s="5"/>
      <c r="K159" s="5"/>
      <c r="L159" s="5"/>
      <c r="M159" s="5"/>
      <c r="N159" s="5"/>
      <c r="O159" s="5"/>
      <c r="P159" s="57"/>
      <c r="Q159" s="5"/>
      <c r="R159" s="5"/>
      <c r="S159" s="5"/>
      <c r="T159" s="5"/>
      <c r="U159" s="5"/>
      <c r="V159" s="5"/>
      <c r="W159" s="5"/>
      <c r="X159" s="5"/>
      <c r="Y159" s="5"/>
      <c r="Z159" s="5"/>
      <c r="AA159" s="5"/>
    </row>
    <row r="160" spans="1:27" ht="12.75" customHeight="1">
      <c r="A160" s="5"/>
      <c r="B160" s="5"/>
      <c r="C160" s="5"/>
      <c r="D160" s="5"/>
      <c r="E160" s="5"/>
      <c r="F160" s="5"/>
      <c r="G160" s="5"/>
      <c r="H160" s="306"/>
      <c r="I160" s="306"/>
      <c r="J160" s="5"/>
      <c r="K160" s="5"/>
      <c r="L160" s="5"/>
      <c r="M160" s="5"/>
      <c r="N160" s="5"/>
      <c r="O160" s="5"/>
      <c r="P160" s="57"/>
      <c r="Q160" s="5"/>
      <c r="R160" s="5"/>
      <c r="S160" s="5"/>
      <c r="T160" s="5"/>
      <c r="U160" s="5"/>
      <c r="V160" s="5"/>
      <c r="W160" s="5"/>
      <c r="X160" s="5"/>
      <c r="Y160" s="5"/>
      <c r="Z160" s="5"/>
      <c r="AA160" s="5"/>
    </row>
    <row r="161" spans="1:27" ht="12.75" customHeight="1">
      <c r="A161" s="5"/>
      <c r="B161" s="5"/>
      <c r="C161" s="5"/>
      <c r="D161" s="5"/>
      <c r="E161" s="5"/>
      <c r="F161" s="5"/>
      <c r="G161" s="5"/>
      <c r="H161" s="306"/>
      <c r="I161" s="306"/>
      <c r="J161" s="5"/>
      <c r="K161" s="5"/>
      <c r="L161" s="5"/>
      <c r="M161" s="5"/>
      <c r="N161" s="5"/>
      <c r="O161" s="5"/>
      <c r="P161" s="57"/>
      <c r="Q161" s="5"/>
      <c r="R161" s="5"/>
      <c r="S161" s="5"/>
      <c r="T161" s="5"/>
      <c r="U161" s="5"/>
      <c r="V161" s="5"/>
      <c r="W161" s="5"/>
      <c r="X161" s="5"/>
      <c r="Y161" s="5"/>
      <c r="Z161" s="5"/>
      <c r="AA161" s="5"/>
    </row>
    <row r="162" spans="1:27" ht="12.75" customHeight="1">
      <c r="A162" s="5"/>
      <c r="B162" s="5"/>
      <c r="C162" s="5"/>
      <c r="D162" s="5"/>
      <c r="E162" s="5"/>
      <c r="F162" s="5"/>
      <c r="G162" s="5"/>
      <c r="H162" s="306"/>
      <c r="I162" s="306"/>
      <c r="J162" s="5"/>
      <c r="K162" s="5"/>
      <c r="L162" s="5"/>
      <c r="M162" s="5"/>
      <c r="N162" s="5"/>
      <c r="O162" s="5"/>
      <c r="P162" s="57"/>
      <c r="Q162" s="5"/>
      <c r="R162" s="5"/>
      <c r="S162" s="5"/>
      <c r="T162" s="5"/>
      <c r="U162" s="5"/>
      <c r="V162" s="5"/>
      <c r="W162" s="5"/>
      <c r="X162" s="5"/>
      <c r="Y162" s="5"/>
      <c r="Z162" s="5"/>
      <c r="AA162" s="5"/>
    </row>
    <row r="163" spans="1:27" ht="12.75" customHeight="1">
      <c r="A163" s="5"/>
      <c r="B163" s="5"/>
      <c r="C163" s="5"/>
      <c r="D163" s="5"/>
      <c r="E163" s="5"/>
      <c r="F163" s="5"/>
      <c r="G163" s="5"/>
      <c r="H163" s="306"/>
      <c r="I163" s="306"/>
      <c r="J163" s="5"/>
      <c r="K163" s="5"/>
      <c r="L163" s="5"/>
      <c r="M163" s="5"/>
      <c r="N163" s="5"/>
      <c r="O163" s="5"/>
      <c r="P163" s="57"/>
      <c r="Q163" s="5"/>
      <c r="R163" s="5"/>
      <c r="S163" s="5"/>
      <c r="T163" s="5"/>
      <c r="U163" s="5"/>
      <c r="V163" s="5"/>
      <c r="W163" s="5"/>
      <c r="X163" s="5"/>
      <c r="Y163" s="5"/>
      <c r="Z163" s="5"/>
      <c r="AA163" s="5"/>
    </row>
    <row r="164" spans="1:27" ht="12.75" customHeight="1">
      <c r="A164" s="5"/>
      <c r="B164" s="5"/>
      <c r="C164" s="5"/>
      <c r="D164" s="5"/>
      <c r="E164" s="5"/>
      <c r="F164" s="5"/>
      <c r="G164" s="5"/>
      <c r="H164" s="306"/>
      <c r="I164" s="306"/>
      <c r="J164" s="5"/>
      <c r="K164" s="5"/>
      <c r="L164" s="5"/>
      <c r="M164" s="5"/>
      <c r="N164" s="5"/>
      <c r="O164" s="5"/>
      <c r="P164" s="57"/>
      <c r="Q164" s="5"/>
      <c r="R164" s="5"/>
      <c r="S164" s="5"/>
      <c r="T164" s="5"/>
      <c r="U164" s="5"/>
      <c r="V164" s="5"/>
      <c r="W164" s="5"/>
      <c r="X164" s="5"/>
      <c r="Y164" s="5"/>
      <c r="Z164" s="5"/>
      <c r="AA164" s="5"/>
    </row>
    <row r="165" spans="1:27" ht="12.75" customHeight="1">
      <c r="A165" s="5"/>
      <c r="B165" s="5"/>
      <c r="C165" s="5"/>
      <c r="D165" s="5"/>
      <c r="E165" s="5"/>
      <c r="F165" s="5"/>
      <c r="G165" s="5"/>
      <c r="H165" s="306"/>
      <c r="I165" s="306"/>
      <c r="J165" s="5"/>
      <c r="K165" s="5"/>
      <c r="L165" s="5"/>
      <c r="M165" s="5"/>
      <c r="N165" s="5"/>
      <c r="O165" s="5"/>
      <c r="P165" s="57"/>
      <c r="Q165" s="5"/>
      <c r="R165" s="5"/>
      <c r="S165" s="5"/>
      <c r="T165" s="5"/>
      <c r="U165" s="5"/>
      <c r="V165" s="5"/>
      <c r="W165" s="5"/>
      <c r="X165" s="5"/>
      <c r="Y165" s="5"/>
      <c r="Z165" s="5"/>
      <c r="AA165" s="5"/>
    </row>
    <row r="166" spans="1:27" ht="12.75" customHeight="1">
      <c r="A166" s="5"/>
      <c r="B166" s="5"/>
      <c r="C166" s="5"/>
      <c r="D166" s="5"/>
      <c r="E166" s="5"/>
      <c r="F166" s="5"/>
      <c r="G166" s="5"/>
      <c r="H166" s="306"/>
      <c r="I166" s="306"/>
      <c r="J166" s="5"/>
      <c r="K166" s="5"/>
      <c r="L166" s="5"/>
      <c r="M166" s="5"/>
      <c r="N166" s="5"/>
      <c r="O166" s="5"/>
      <c r="P166" s="57"/>
      <c r="Q166" s="5"/>
      <c r="R166" s="5"/>
      <c r="S166" s="5"/>
      <c r="T166" s="5"/>
      <c r="U166" s="5"/>
      <c r="V166" s="5"/>
      <c r="W166" s="5"/>
      <c r="X166" s="5"/>
      <c r="Y166" s="5"/>
      <c r="Z166" s="5"/>
      <c r="AA166" s="5"/>
    </row>
    <row r="167" spans="1:27" ht="12.75" customHeight="1">
      <c r="A167" s="5"/>
      <c r="B167" s="5"/>
      <c r="C167" s="5"/>
      <c r="D167" s="5"/>
      <c r="E167" s="5"/>
      <c r="F167" s="5"/>
      <c r="G167" s="5"/>
      <c r="H167" s="306"/>
      <c r="I167" s="306"/>
      <c r="J167" s="5"/>
      <c r="K167" s="5"/>
      <c r="L167" s="5"/>
      <c r="M167" s="5"/>
      <c r="N167" s="5"/>
      <c r="O167" s="5"/>
      <c r="P167" s="57"/>
      <c r="Q167" s="5"/>
      <c r="R167" s="5"/>
      <c r="S167" s="5"/>
      <c r="T167" s="5"/>
      <c r="U167" s="5"/>
      <c r="V167" s="5"/>
      <c r="W167" s="5"/>
      <c r="X167" s="5"/>
      <c r="Y167" s="5"/>
      <c r="Z167" s="5"/>
      <c r="AA167" s="5"/>
    </row>
    <row r="168" spans="1:27" ht="12.75" customHeight="1">
      <c r="A168" s="5"/>
      <c r="B168" s="5"/>
      <c r="C168" s="5"/>
      <c r="D168" s="5"/>
      <c r="E168" s="5"/>
      <c r="F168" s="5"/>
      <c r="G168" s="5"/>
      <c r="H168" s="306"/>
      <c r="I168" s="306"/>
      <c r="J168" s="5"/>
      <c r="K168" s="5"/>
      <c r="L168" s="5"/>
      <c r="M168" s="5"/>
      <c r="N168" s="5"/>
      <c r="O168" s="5"/>
      <c r="P168" s="57"/>
      <c r="Q168" s="5"/>
      <c r="R168" s="5"/>
      <c r="S168" s="5"/>
      <c r="T168" s="5"/>
      <c r="U168" s="5"/>
      <c r="V168" s="5"/>
      <c r="W168" s="5"/>
      <c r="X168" s="5"/>
      <c r="Y168" s="5"/>
      <c r="Z168" s="5"/>
      <c r="AA168" s="5"/>
    </row>
    <row r="169" spans="1:27" ht="12.75" customHeight="1">
      <c r="A169" s="5"/>
      <c r="B169" s="5"/>
      <c r="C169" s="5"/>
      <c r="D169" s="5"/>
      <c r="E169" s="5"/>
      <c r="F169" s="5"/>
      <c r="G169" s="5"/>
      <c r="H169" s="306"/>
      <c r="I169" s="306"/>
      <c r="J169" s="5"/>
      <c r="K169" s="5"/>
      <c r="L169" s="5"/>
      <c r="M169" s="5"/>
      <c r="N169" s="5"/>
      <c r="O169" s="5"/>
      <c r="P169" s="57"/>
      <c r="Q169" s="5"/>
      <c r="R169" s="5"/>
      <c r="S169" s="5"/>
      <c r="T169" s="5"/>
      <c r="U169" s="5"/>
      <c r="V169" s="5"/>
      <c r="W169" s="5"/>
      <c r="X169" s="5"/>
      <c r="Y169" s="5"/>
      <c r="Z169" s="5"/>
      <c r="AA169" s="5"/>
    </row>
    <row r="170" spans="1:27" ht="12.75" customHeight="1">
      <c r="A170" s="5"/>
      <c r="B170" s="5"/>
      <c r="C170" s="5"/>
      <c r="D170" s="5"/>
      <c r="E170" s="5"/>
      <c r="F170" s="5"/>
      <c r="G170" s="5"/>
      <c r="H170" s="306"/>
      <c r="I170" s="306"/>
      <c r="J170" s="5"/>
      <c r="K170" s="5"/>
      <c r="L170" s="5"/>
      <c r="M170" s="5"/>
      <c r="N170" s="5"/>
      <c r="O170" s="5"/>
      <c r="P170" s="57"/>
      <c r="Q170" s="5"/>
      <c r="R170" s="5"/>
      <c r="S170" s="5"/>
      <c r="T170" s="5"/>
      <c r="U170" s="5"/>
      <c r="V170" s="5"/>
      <c r="W170" s="5"/>
      <c r="X170" s="5"/>
      <c r="Y170" s="5"/>
      <c r="Z170" s="5"/>
      <c r="AA170" s="5"/>
    </row>
    <row r="171" spans="1:27" ht="12.75" customHeight="1">
      <c r="A171" s="5"/>
      <c r="B171" s="5"/>
      <c r="C171" s="5"/>
      <c r="D171" s="5"/>
      <c r="E171" s="5"/>
      <c r="F171" s="5"/>
      <c r="G171" s="5"/>
      <c r="H171" s="306"/>
      <c r="I171" s="306"/>
      <c r="J171" s="5"/>
      <c r="K171" s="5"/>
      <c r="L171" s="5"/>
      <c r="M171" s="5"/>
      <c r="N171" s="5"/>
      <c r="O171" s="5"/>
      <c r="P171" s="57"/>
      <c r="Q171" s="5"/>
      <c r="R171" s="5"/>
      <c r="S171" s="5"/>
      <c r="T171" s="5"/>
      <c r="U171" s="5"/>
      <c r="V171" s="5"/>
      <c r="W171" s="5"/>
      <c r="X171" s="5"/>
      <c r="Y171" s="5"/>
      <c r="Z171" s="5"/>
      <c r="AA171" s="5"/>
    </row>
    <row r="172" spans="1:27" ht="12.75" customHeight="1">
      <c r="A172" s="5"/>
      <c r="B172" s="5"/>
      <c r="C172" s="5"/>
      <c r="D172" s="5"/>
      <c r="E172" s="5"/>
      <c r="F172" s="5"/>
      <c r="G172" s="5"/>
      <c r="H172" s="306"/>
      <c r="I172" s="306"/>
      <c r="J172" s="5"/>
      <c r="K172" s="5"/>
      <c r="L172" s="5"/>
      <c r="M172" s="5"/>
      <c r="N172" s="5"/>
      <c r="O172" s="5"/>
      <c r="P172" s="57"/>
      <c r="Q172" s="5"/>
      <c r="R172" s="5"/>
      <c r="S172" s="5"/>
      <c r="T172" s="5"/>
      <c r="U172" s="5"/>
      <c r="V172" s="5"/>
      <c r="W172" s="5"/>
      <c r="X172" s="5"/>
      <c r="Y172" s="5"/>
      <c r="Z172" s="5"/>
      <c r="AA172" s="5"/>
    </row>
    <row r="173" spans="1:27" ht="12.75" customHeight="1">
      <c r="A173" s="5"/>
      <c r="B173" s="5"/>
      <c r="C173" s="5"/>
      <c r="D173" s="5"/>
      <c r="E173" s="5"/>
      <c r="F173" s="5"/>
      <c r="G173" s="5"/>
      <c r="H173" s="306"/>
      <c r="I173" s="306"/>
      <c r="J173" s="5"/>
      <c r="K173" s="5"/>
      <c r="L173" s="5"/>
      <c r="M173" s="5"/>
      <c r="N173" s="5"/>
      <c r="O173" s="5"/>
      <c r="P173" s="57"/>
      <c r="Q173" s="5"/>
      <c r="R173" s="5"/>
      <c r="S173" s="5"/>
      <c r="T173" s="5"/>
      <c r="U173" s="5"/>
      <c r="V173" s="5"/>
      <c r="W173" s="5"/>
      <c r="X173" s="5"/>
      <c r="Y173" s="5"/>
      <c r="Z173" s="5"/>
      <c r="AA173" s="5"/>
    </row>
    <row r="174" spans="1:27" ht="12.75" customHeight="1">
      <c r="A174" s="5"/>
      <c r="B174" s="5"/>
      <c r="C174" s="5"/>
      <c r="D174" s="5"/>
      <c r="E174" s="5"/>
      <c r="F174" s="5"/>
      <c r="G174" s="5"/>
      <c r="H174" s="306"/>
      <c r="I174" s="306"/>
      <c r="J174" s="5"/>
      <c r="K174" s="5"/>
      <c r="L174" s="5"/>
      <c r="M174" s="5"/>
      <c r="N174" s="5"/>
      <c r="O174" s="5"/>
      <c r="P174" s="57"/>
      <c r="Q174" s="5"/>
      <c r="R174" s="5"/>
      <c r="S174" s="5"/>
      <c r="T174" s="5"/>
      <c r="U174" s="5"/>
      <c r="V174" s="5"/>
      <c r="W174" s="5"/>
      <c r="X174" s="5"/>
      <c r="Y174" s="5"/>
      <c r="Z174" s="5"/>
      <c r="AA174" s="5"/>
    </row>
    <row r="175" spans="1:27" ht="12.75" customHeight="1">
      <c r="A175" s="5"/>
      <c r="B175" s="5"/>
      <c r="C175" s="5"/>
      <c r="D175" s="5"/>
      <c r="E175" s="5"/>
      <c r="F175" s="5"/>
      <c r="G175" s="5"/>
      <c r="H175" s="306"/>
      <c r="I175" s="306"/>
      <c r="J175" s="5"/>
      <c r="K175" s="5"/>
      <c r="L175" s="5"/>
      <c r="M175" s="5"/>
      <c r="N175" s="5"/>
      <c r="O175" s="5"/>
      <c r="P175" s="57"/>
      <c r="Q175" s="5"/>
      <c r="R175" s="5"/>
      <c r="S175" s="5"/>
      <c r="T175" s="5"/>
      <c r="U175" s="5"/>
      <c r="V175" s="5"/>
      <c r="W175" s="5"/>
      <c r="X175" s="5"/>
      <c r="Y175" s="5"/>
      <c r="Z175" s="5"/>
      <c r="AA175" s="5"/>
    </row>
    <row r="176" spans="1:27" ht="12.75" customHeight="1">
      <c r="A176" s="5"/>
      <c r="B176" s="5"/>
      <c r="C176" s="5"/>
      <c r="D176" s="5"/>
      <c r="E176" s="5"/>
      <c r="F176" s="5"/>
      <c r="G176" s="5"/>
      <c r="H176" s="306"/>
      <c r="I176" s="306"/>
      <c r="J176" s="5"/>
      <c r="K176" s="5"/>
      <c r="L176" s="5"/>
      <c r="M176" s="5"/>
      <c r="N176" s="5"/>
      <c r="O176" s="5"/>
      <c r="P176" s="57"/>
      <c r="Q176" s="5"/>
      <c r="R176" s="5"/>
      <c r="S176" s="5"/>
      <c r="T176" s="5"/>
      <c r="U176" s="5"/>
      <c r="V176" s="5"/>
      <c r="W176" s="5"/>
      <c r="X176" s="5"/>
      <c r="Y176" s="5"/>
      <c r="Z176" s="5"/>
      <c r="AA176" s="5"/>
    </row>
    <row r="177" spans="1:27" ht="12.75" customHeight="1">
      <c r="A177" s="5"/>
      <c r="B177" s="5"/>
      <c r="C177" s="5"/>
      <c r="D177" s="5"/>
      <c r="E177" s="5"/>
      <c r="F177" s="5"/>
      <c r="G177" s="5"/>
      <c r="H177" s="306"/>
      <c r="I177" s="306"/>
      <c r="J177" s="5"/>
      <c r="K177" s="5"/>
      <c r="L177" s="5"/>
      <c r="M177" s="5"/>
      <c r="N177" s="5"/>
      <c r="O177" s="5"/>
      <c r="P177" s="57"/>
      <c r="Q177" s="5"/>
      <c r="R177" s="5"/>
      <c r="S177" s="5"/>
      <c r="T177" s="5"/>
      <c r="U177" s="5"/>
      <c r="V177" s="5"/>
      <c r="W177" s="5"/>
      <c r="X177" s="5"/>
      <c r="Y177" s="5"/>
      <c r="Z177" s="5"/>
      <c r="AA177" s="5"/>
    </row>
    <row r="178" spans="1:27" ht="12.75" customHeight="1">
      <c r="A178" s="5"/>
      <c r="B178" s="5"/>
      <c r="C178" s="5"/>
      <c r="D178" s="5"/>
      <c r="E178" s="5"/>
      <c r="F178" s="5"/>
      <c r="G178" s="5"/>
      <c r="H178" s="306"/>
      <c r="I178" s="306"/>
      <c r="J178" s="5"/>
      <c r="K178" s="5"/>
      <c r="L178" s="5"/>
      <c r="M178" s="5"/>
      <c r="N178" s="5"/>
      <c r="O178" s="5"/>
      <c r="P178" s="57"/>
      <c r="Q178" s="5"/>
      <c r="R178" s="5"/>
      <c r="S178" s="5"/>
      <c r="T178" s="5"/>
      <c r="U178" s="5"/>
      <c r="V178" s="5"/>
      <c r="W178" s="5"/>
      <c r="X178" s="5"/>
      <c r="Y178" s="5"/>
      <c r="Z178" s="5"/>
      <c r="AA178" s="5"/>
    </row>
    <row r="179" spans="1:27" ht="12.75" customHeight="1">
      <c r="A179" s="5"/>
      <c r="B179" s="5"/>
      <c r="C179" s="5"/>
      <c r="D179" s="5"/>
      <c r="E179" s="5"/>
      <c r="F179" s="5"/>
      <c r="G179" s="5"/>
      <c r="H179" s="306"/>
      <c r="I179" s="306"/>
      <c r="J179" s="5"/>
      <c r="K179" s="5"/>
      <c r="L179" s="5"/>
      <c r="M179" s="5"/>
      <c r="N179" s="5"/>
      <c r="O179" s="5"/>
      <c r="P179" s="57"/>
      <c r="Q179" s="5"/>
      <c r="R179" s="5"/>
      <c r="S179" s="5"/>
      <c r="T179" s="5"/>
      <c r="U179" s="5"/>
      <c r="V179" s="5"/>
      <c r="W179" s="5"/>
      <c r="X179" s="5"/>
      <c r="Y179" s="5"/>
      <c r="Z179" s="5"/>
      <c r="AA179" s="5"/>
    </row>
    <row r="180" spans="1:27" ht="12.75" customHeight="1">
      <c r="A180" s="5"/>
      <c r="B180" s="5"/>
      <c r="C180" s="5"/>
      <c r="D180" s="5"/>
      <c r="E180" s="5"/>
      <c r="F180" s="5"/>
      <c r="G180" s="5"/>
      <c r="H180" s="306"/>
      <c r="I180" s="306"/>
      <c r="J180" s="5"/>
      <c r="K180" s="5"/>
      <c r="L180" s="5"/>
      <c r="M180" s="5"/>
      <c r="N180" s="5"/>
      <c r="O180" s="5"/>
      <c r="P180" s="57"/>
      <c r="Q180" s="5"/>
      <c r="R180" s="5"/>
      <c r="S180" s="5"/>
      <c r="T180" s="5"/>
      <c r="U180" s="5"/>
      <c r="V180" s="5"/>
      <c r="W180" s="5"/>
      <c r="X180" s="5"/>
      <c r="Y180" s="5"/>
      <c r="Z180" s="5"/>
      <c r="AA180" s="5"/>
    </row>
    <row r="181" spans="1:27" ht="12.75" customHeight="1">
      <c r="A181" s="5"/>
      <c r="B181" s="5"/>
      <c r="C181" s="5"/>
      <c r="D181" s="5"/>
      <c r="E181" s="5"/>
      <c r="F181" s="5"/>
      <c r="G181" s="5"/>
      <c r="H181" s="306"/>
      <c r="I181" s="306"/>
      <c r="J181" s="5"/>
      <c r="K181" s="5"/>
      <c r="L181" s="5"/>
      <c r="M181" s="5"/>
      <c r="N181" s="5"/>
      <c r="O181" s="5"/>
      <c r="P181" s="57"/>
      <c r="Q181" s="5"/>
      <c r="R181" s="5"/>
      <c r="S181" s="5"/>
      <c r="T181" s="5"/>
      <c r="U181" s="5"/>
      <c r="V181" s="5"/>
      <c r="W181" s="5"/>
      <c r="X181" s="5"/>
      <c r="Y181" s="5"/>
      <c r="Z181" s="5"/>
      <c r="AA181" s="5"/>
    </row>
    <row r="182" spans="1:27" ht="12.75" customHeight="1">
      <c r="A182" s="5"/>
      <c r="B182" s="5"/>
      <c r="C182" s="5"/>
      <c r="D182" s="5"/>
      <c r="E182" s="5"/>
      <c r="F182" s="5"/>
      <c r="G182" s="5"/>
      <c r="H182" s="306"/>
      <c r="I182" s="306"/>
      <c r="J182" s="5"/>
      <c r="K182" s="5"/>
      <c r="L182" s="5"/>
      <c r="M182" s="5"/>
      <c r="N182" s="5"/>
      <c r="O182" s="5"/>
      <c r="P182" s="57"/>
      <c r="Q182" s="5"/>
      <c r="R182" s="5"/>
      <c r="S182" s="5"/>
      <c r="T182" s="5"/>
      <c r="U182" s="5"/>
      <c r="V182" s="5"/>
      <c r="W182" s="5"/>
      <c r="X182" s="5"/>
      <c r="Y182" s="5"/>
      <c r="Z182" s="5"/>
      <c r="AA182" s="5"/>
    </row>
    <row r="183" spans="1:27" ht="12.75" customHeight="1">
      <c r="A183" s="5"/>
      <c r="B183" s="5"/>
      <c r="C183" s="5"/>
      <c r="D183" s="5"/>
      <c r="E183" s="5"/>
      <c r="F183" s="5"/>
      <c r="G183" s="5"/>
      <c r="H183" s="306"/>
      <c r="I183" s="306"/>
      <c r="J183" s="5"/>
      <c r="K183" s="5"/>
      <c r="L183" s="5"/>
      <c r="M183" s="5"/>
      <c r="N183" s="5"/>
      <c r="O183" s="5"/>
      <c r="P183" s="57"/>
      <c r="Q183" s="5"/>
      <c r="R183" s="5"/>
      <c r="S183" s="5"/>
      <c r="T183" s="5"/>
      <c r="U183" s="5"/>
      <c r="V183" s="5"/>
      <c r="W183" s="5"/>
      <c r="X183" s="5"/>
      <c r="Y183" s="5"/>
      <c r="Z183" s="5"/>
      <c r="AA183" s="5"/>
    </row>
    <row r="184" spans="1:27" ht="12.75" customHeight="1">
      <c r="A184" s="5"/>
      <c r="B184" s="5"/>
      <c r="C184" s="5"/>
      <c r="D184" s="5"/>
      <c r="E184" s="5"/>
      <c r="F184" s="5"/>
      <c r="G184" s="5"/>
      <c r="H184" s="306"/>
      <c r="I184" s="306"/>
      <c r="J184" s="5"/>
      <c r="K184" s="5"/>
      <c r="L184" s="5"/>
      <c r="M184" s="5"/>
      <c r="N184" s="5"/>
      <c r="O184" s="5"/>
      <c r="P184" s="57"/>
      <c r="Q184" s="5"/>
      <c r="R184" s="5"/>
      <c r="S184" s="5"/>
      <c r="T184" s="5"/>
      <c r="U184" s="5"/>
      <c r="V184" s="5"/>
      <c r="W184" s="5"/>
      <c r="X184" s="5"/>
      <c r="Y184" s="5"/>
      <c r="Z184" s="5"/>
      <c r="AA184" s="5"/>
    </row>
    <row r="185" spans="1:27" ht="12.75" customHeight="1">
      <c r="A185" s="5"/>
      <c r="B185" s="5"/>
      <c r="C185" s="5"/>
      <c r="D185" s="5"/>
      <c r="E185" s="5"/>
      <c r="F185" s="5"/>
      <c r="G185" s="5"/>
      <c r="H185" s="306"/>
      <c r="I185" s="306"/>
      <c r="J185" s="5"/>
      <c r="K185" s="5"/>
      <c r="L185" s="5"/>
      <c r="M185" s="5"/>
      <c r="N185" s="5"/>
      <c r="O185" s="5"/>
      <c r="P185" s="57"/>
      <c r="Q185" s="5"/>
      <c r="R185" s="5"/>
      <c r="S185" s="5"/>
      <c r="T185" s="5"/>
      <c r="U185" s="5"/>
      <c r="V185" s="5"/>
      <c r="W185" s="5"/>
      <c r="X185" s="5"/>
      <c r="Y185" s="5"/>
      <c r="Z185" s="5"/>
      <c r="AA185" s="5"/>
    </row>
    <row r="186" spans="1:27" ht="12.75" customHeight="1">
      <c r="A186" s="5"/>
      <c r="B186" s="5"/>
      <c r="C186" s="5"/>
      <c r="D186" s="5"/>
      <c r="E186" s="5"/>
      <c r="F186" s="5"/>
      <c r="G186" s="5"/>
      <c r="H186" s="306"/>
      <c r="I186" s="306"/>
      <c r="J186" s="5"/>
      <c r="K186" s="5"/>
      <c r="L186" s="5"/>
      <c r="M186" s="5"/>
      <c r="N186" s="5"/>
      <c r="O186" s="5"/>
      <c r="P186" s="57"/>
      <c r="Q186" s="5"/>
      <c r="R186" s="5"/>
      <c r="S186" s="5"/>
      <c r="T186" s="5"/>
      <c r="U186" s="5"/>
      <c r="V186" s="5"/>
      <c r="W186" s="5"/>
      <c r="X186" s="5"/>
      <c r="Y186" s="5"/>
      <c r="Z186" s="5"/>
      <c r="AA186" s="5"/>
    </row>
    <row r="187" spans="1:27" ht="12.75" customHeight="1">
      <c r="A187" s="5"/>
      <c r="B187" s="5"/>
      <c r="C187" s="5"/>
      <c r="D187" s="5"/>
      <c r="E187" s="5"/>
      <c r="F187" s="5"/>
      <c r="G187" s="5"/>
      <c r="H187" s="306"/>
      <c r="I187" s="306"/>
      <c r="J187" s="5"/>
      <c r="K187" s="5"/>
      <c r="L187" s="5"/>
      <c r="M187" s="5"/>
      <c r="N187" s="5"/>
      <c r="O187" s="5"/>
      <c r="P187" s="57"/>
      <c r="Q187" s="5"/>
      <c r="R187" s="5"/>
      <c r="S187" s="5"/>
      <c r="T187" s="5"/>
      <c r="U187" s="5"/>
      <c r="V187" s="5"/>
      <c r="W187" s="5"/>
      <c r="X187" s="5"/>
      <c r="Y187" s="5"/>
      <c r="Z187" s="5"/>
      <c r="AA187" s="5"/>
    </row>
    <row r="188" spans="1:27" ht="12.75" customHeight="1">
      <c r="A188" s="5"/>
      <c r="B188" s="5"/>
      <c r="C188" s="5"/>
      <c r="D188" s="5"/>
      <c r="E188" s="5"/>
      <c r="F188" s="5"/>
      <c r="G188" s="5"/>
      <c r="H188" s="306"/>
      <c r="I188" s="306"/>
      <c r="J188" s="5"/>
      <c r="K188" s="5"/>
      <c r="L188" s="5"/>
      <c r="M188" s="5"/>
      <c r="N188" s="5"/>
      <c r="O188" s="5"/>
      <c r="P188" s="57"/>
      <c r="Q188" s="5"/>
      <c r="R188" s="5"/>
      <c r="S188" s="5"/>
      <c r="T188" s="5"/>
      <c r="U188" s="5"/>
      <c r="V188" s="5"/>
      <c r="W188" s="5"/>
      <c r="X188" s="5"/>
      <c r="Y188" s="5"/>
      <c r="Z188" s="5"/>
      <c r="AA188" s="5"/>
    </row>
    <row r="189" spans="1:27" ht="12.75" customHeight="1">
      <c r="A189" s="5"/>
      <c r="B189" s="5"/>
      <c r="C189" s="5"/>
      <c r="D189" s="5"/>
      <c r="E189" s="5"/>
      <c r="F189" s="5"/>
      <c r="G189" s="5"/>
      <c r="H189" s="306"/>
      <c r="I189" s="306"/>
      <c r="J189" s="5"/>
      <c r="K189" s="5"/>
      <c r="L189" s="5"/>
      <c r="M189" s="5"/>
      <c r="N189" s="5"/>
      <c r="O189" s="5"/>
      <c r="P189" s="57"/>
      <c r="Q189" s="5"/>
      <c r="R189" s="5"/>
      <c r="S189" s="5"/>
      <c r="T189" s="5"/>
      <c r="U189" s="5"/>
      <c r="V189" s="5"/>
      <c r="W189" s="5"/>
      <c r="X189" s="5"/>
      <c r="Y189" s="5"/>
      <c r="Z189" s="5"/>
      <c r="AA189" s="5"/>
    </row>
    <row r="190" spans="1:27" ht="12.75" customHeight="1">
      <c r="A190" s="5"/>
      <c r="B190" s="5"/>
      <c r="C190" s="5"/>
      <c r="D190" s="5"/>
      <c r="E190" s="5"/>
      <c r="F190" s="5"/>
      <c r="G190" s="5"/>
      <c r="H190" s="306"/>
      <c r="I190" s="306"/>
      <c r="J190" s="5"/>
      <c r="K190" s="5"/>
      <c r="L190" s="5"/>
      <c r="M190" s="5"/>
      <c r="N190" s="5"/>
      <c r="O190" s="5"/>
      <c r="P190" s="57"/>
      <c r="Q190" s="5"/>
      <c r="R190" s="5"/>
      <c r="S190" s="5"/>
      <c r="T190" s="5"/>
      <c r="U190" s="5"/>
      <c r="V190" s="5"/>
      <c r="W190" s="5"/>
      <c r="X190" s="5"/>
      <c r="Y190" s="5"/>
      <c r="Z190" s="5"/>
      <c r="AA190" s="5"/>
    </row>
    <row r="191" spans="1:27" ht="12.75" customHeight="1">
      <c r="A191" s="5"/>
      <c r="B191" s="5"/>
      <c r="C191" s="5"/>
      <c r="D191" s="5"/>
      <c r="E191" s="5"/>
      <c r="F191" s="5"/>
      <c r="G191" s="5"/>
      <c r="H191" s="306"/>
      <c r="I191" s="306"/>
      <c r="J191" s="5"/>
      <c r="K191" s="5"/>
      <c r="L191" s="5"/>
      <c r="M191" s="5"/>
      <c r="N191" s="5"/>
      <c r="O191" s="5"/>
      <c r="P191" s="57"/>
      <c r="Q191" s="5"/>
      <c r="R191" s="5"/>
      <c r="S191" s="5"/>
      <c r="T191" s="5"/>
      <c r="U191" s="5"/>
      <c r="V191" s="5"/>
      <c r="W191" s="5"/>
      <c r="X191" s="5"/>
      <c r="Y191" s="5"/>
      <c r="Z191" s="5"/>
      <c r="AA191" s="5"/>
    </row>
    <row r="192" spans="1:27" ht="12.75" customHeight="1">
      <c r="A192" s="5"/>
      <c r="B192" s="5"/>
      <c r="C192" s="5"/>
      <c r="D192" s="5"/>
      <c r="E192" s="5"/>
      <c r="F192" s="5"/>
      <c r="G192" s="5"/>
      <c r="H192" s="306"/>
      <c r="I192" s="306"/>
      <c r="J192" s="5"/>
      <c r="K192" s="5"/>
      <c r="L192" s="5"/>
      <c r="M192" s="5"/>
      <c r="N192" s="5"/>
      <c r="O192" s="5"/>
      <c r="P192" s="57"/>
      <c r="Q192" s="5"/>
      <c r="R192" s="5"/>
      <c r="S192" s="5"/>
      <c r="T192" s="5"/>
      <c r="U192" s="5"/>
      <c r="V192" s="5"/>
      <c r="W192" s="5"/>
      <c r="X192" s="5"/>
      <c r="Y192" s="5"/>
      <c r="Z192" s="5"/>
      <c r="AA192" s="5"/>
    </row>
    <row r="193" spans="1:27" ht="12.75" customHeight="1">
      <c r="A193" s="5"/>
      <c r="B193" s="5"/>
      <c r="C193" s="5"/>
      <c r="D193" s="5"/>
      <c r="E193" s="5"/>
      <c r="F193" s="5"/>
      <c r="G193" s="5"/>
      <c r="H193" s="306"/>
      <c r="I193" s="306"/>
      <c r="J193" s="5"/>
      <c r="K193" s="5"/>
      <c r="L193" s="5"/>
      <c r="M193" s="5"/>
      <c r="N193" s="5"/>
      <c r="O193" s="5"/>
      <c r="P193" s="57"/>
      <c r="Q193" s="5"/>
      <c r="R193" s="5"/>
      <c r="S193" s="5"/>
      <c r="T193" s="5"/>
      <c r="U193" s="5"/>
      <c r="V193" s="5"/>
      <c r="W193" s="5"/>
      <c r="X193" s="5"/>
      <c r="Y193" s="5"/>
      <c r="Z193" s="5"/>
      <c r="AA193" s="5"/>
    </row>
    <row r="194" spans="1:27" ht="12.75" customHeight="1">
      <c r="A194" s="5"/>
      <c r="B194" s="5"/>
      <c r="C194" s="5"/>
      <c r="D194" s="5"/>
      <c r="E194" s="5"/>
      <c r="F194" s="5"/>
      <c r="G194" s="5"/>
      <c r="H194" s="306"/>
      <c r="I194" s="306"/>
      <c r="J194" s="5"/>
      <c r="K194" s="5"/>
      <c r="L194" s="5"/>
      <c r="M194" s="5"/>
      <c r="N194" s="5"/>
      <c r="O194" s="5"/>
      <c r="P194" s="57"/>
      <c r="Q194" s="5"/>
      <c r="R194" s="5"/>
      <c r="S194" s="5"/>
      <c r="T194" s="5"/>
      <c r="U194" s="5"/>
      <c r="V194" s="5"/>
      <c r="W194" s="5"/>
      <c r="X194" s="5"/>
      <c r="Y194" s="5"/>
      <c r="Z194" s="5"/>
      <c r="AA194" s="5"/>
    </row>
    <row r="195" spans="1:27" ht="12.75" customHeight="1">
      <c r="A195" s="5"/>
      <c r="B195" s="5"/>
      <c r="C195" s="5"/>
      <c r="D195" s="5"/>
      <c r="E195" s="5"/>
      <c r="F195" s="5"/>
      <c r="G195" s="5"/>
      <c r="H195" s="306"/>
      <c r="I195" s="306"/>
      <c r="J195" s="5"/>
      <c r="K195" s="5"/>
      <c r="L195" s="5"/>
      <c r="M195" s="5"/>
      <c r="N195" s="5"/>
      <c r="O195" s="5"/>
      <c r="P195" s="57"/>
      <c r="Q195" s="5"/>
      <c r="R195" s="5"/>
      <c r="S195" s="5"/>
      <c r="T195" s="5"/>
      <c r="U195" s="5"/>
      <c r="V195" s="5"/>
      <c r="W195" s="5"/>
      <c r="X195" s="5"/>
      <c r="Y195" s="5"/>
      <c r="Z195" s="5"/>
      <c r="AA195" s="5"/>
    </row>
    <row r="196" spans="1:27" ht="12.75" customHeight="1">
      <c r="A196" s="5"/>
      <c r="B196" s="5"/>
      <c r="C196" s="5"/>
      <c r="D196" s="5"/>
      <c r="E196" s="5"/>
      <c r="F196" s="5"/>
      <c r="G196" s="5"/>
      <c r="H196" s="306"/>
      <c r="I196" s="306"/>
      <c r="J196" s="5"/>
      <c r="K196" s="5"/>
      <c r="L196" s="5"/>
      <c r="M196" s="5"/>
      <c r="N196" s="5"/>
      <c r="O196" s="5"/>
      <c r="P196" s="57"/>
      <c r="Q196" s="5"/>
      <c r="R196" s="5"/>
      <c r="S196" s="5"/>
      <c r="T196" s="5"/>
      <c r="U196" s="5"/>
      <c r="V196" s="5"/>
      <c r="W196" s="5"/>
      <c r="X196" s="5"/>
      <c r="Y196" s="5"/>
      <c r="Z196" s="5"/>
      <c r="AA196" s="5"/>
    </row>
    <row r="197" spans="1:27" ht="12.75" customHeight="1">
      <c r="A197" s="5"/>
      <c r="B197" s="5"/>
      <c r="C197" s="5"/>
      <c r="D197" s="5"/>
      <c r="E197" s="5"/>
      <c r="F197" s="5"/>
      <c r="G197" s="5"/>
      <c r="H197" s="306"/>
      <c r="I197" s="306"/>
      <c r="J197" s="5"/>
      <c r="K197" s="5"/>
      <c r="L197" s="5"/>
      <c r="M197" s="5"/>
      <c r="N197" s="5"/>
      <c r="O197" s="5"/>
      <c r="P197" s="57"/>
      <c r="Q197" s="5"/>
      <c r="R197" s="5"/>
      <c r="S197" s="5"/>
      <c r="T197" s="5"/>
      <c r="U197" s="5"/>
      <c r="V197" s="5"/>
      <c r="W197" s="5"/>
      <c r="X197" s="5"/>
      <c r="Y197" s="5"/>
      <c r="Z197" s="5"/>
      <c r="AA197" s="5"/>
    </row>
    <row r="198" spans="1:27" ht="12.75" customHeight="1">
      <c r="A198" s="5"/>
      <c r="B198" s="5"/>
      <c r="C198" s="5"/>
      <c r="D198" s="5"/>
      <c r="E198" s="5"/>
      <c r="F198" s="5"/>
      <c r="G198" s="5"/>
      <c r="H198" s="306"/>
      <c r="I198" s="306"/>
      <c r="J198" s="5"/>
      <c r="K198" s="5"/>
      <c r="L198" s="5"/>
      <c r="M198" s="5"/>
      <c r="N198" s="5"/>
      <c r="O198" s="5"/>
      <c r="P198" s="57"/>
      <c r="Q198" s="5"/>
      <c r="R198" s="5"/>
      <c r="S198" s="5"/>
      <c r="T198" s="5"/>
      <c r="U198" s="5"/>
      <c r="V198" s="5"/>
      <c r="W198" s="5"/>
      <c r="X198" s="5"/>
      <c r="Y198" s="5"/>
      <c r="Z198" s="5"/>
      <c r="AA198" s="5"/>
    </row>
    <row r="199" spans="1:27" ht="12.75" customHeight="1">
      <c r="A199" s="5"/>
      <c r="B199" s="5"/>
      <c r="C199" s="5"/>
      <c r="D199" s="5"/>
      <c r="E199" s="5"/>
      <c r="F199" s="5"/>
      <c r="G199" s="5"/>
      <c r="H199" s="306"/>
      <c r="I199" s="306"/>
      <c r="J199" s="5"/>
      <c r="K199" s="5"/>
      <c r="L199" s="5"/>
      <c r="M199" s="5"/>
      <c r="N199" s="5"/>
      <c r="O199" s="5"/>
      <c r="P199" s="57"/>
      <c r="Q199" s="5"/>
      <c r="R199" s="5"/>
      <c r="S199" s="5"/>
      <c r="T199" s="5"/>
      <c r="U199" s="5"/>
      <c r="V199" s="5"/>
      <c r="W199" s="5"/>
      <c r="X199" s="5"/>
      <c r="Y199" s="5"/>
      <c r="Z199" s="5"/>
      <c r="AA199" s="5"/>
    </row>
    <row r="200" spans="1:27" ht="12.75" customHeight="1">
      <c r="A200" s="5"/>
      <c r="B200" s="5"/>
      <c r="C200" s="5"/>
      <c r="D200" s="5"/>
      <c r="E200" s="5"/>
      <c r="F200" s="5"/>
      <c r="G200" s="5"/>
      <c r="H200" s="306"/>
      <c r="I200" s="306"/>
      <c r="J200" s="5"/>
      <c r="K200" s="5"/>
      <c r="L200" s="5"/>
      <c r="M200" s="5"/>
      <c r="N200" s="5"/>
      <c r="O200" s="5"/>
      <c r="P200" s="57"/>
      <c r="Q200" s="5"/>
      <c r="R200" s="5"/>
      <c r="S200" s="5"/>
      <c r="T200" s="5"/>
      <c r="U200" s="5"/>
      <c r="V200" s="5"/>
      <c r="W200" s="5"/>
      <c r="X200" s="5"/>
      <c r="Y200" s="5"/>
      <c r="Z200" s="5"/>
      <c r="AA200" s="5"/>
    </row>
    <row r="201" spans="1:27" ht="12.75" customHeight="1">
      <c r="A201" s="5"/>
      <c r="B201" s="5"/>
      <c r="C201" s="5"/>
      <c r="D201" s="5"/>
      <c r="E201" s="5"/>
      <c r="F201" s="5"/>
      <c r="G201" s="5"/>
      <c r="H201" s="306"/>
      <c r="I201" s="306"/>
      <c r="J201" s="5"/>
      <c r="K201" s="5"/>
      <c r="L201" s="5"/>
      <c r="M201" s="5"/>
      <c r="N201" s="5"/>
      <c r="O201" s="5"/>
      <c r="P201" s="57"/>
      <c r="Q201" s="5"/>
      <c r="R201" s="5"/>
      <c r="S201" s="5"/>
      <c r="T201" s="5"/>
      <c r="U201" s="5"/>
      <c r="V201" s="5"/>
      <c r="W201" s="5"/>
      <c r="X201" s="5"/>
      <c r="Y201" s="5"/>
      <c r="Z201" s="5"/>
      <c r="AA201" s="5"/>
    </row>
    <row r="202" spans="1:27" ht="12.75" customHeight="1">
      <c r="A202" s="5"/>
      <c r="B202" s="5"/>
      <c r="C202" s="5"/>
      <c r="D202" s="5"/>
      <c r="E202" s="5"/>
      <c r="F202" s="5"/>
      <c r="G202" s="5"/>
      <c r="H202" s="306"/>
      <c r="I202" s="306"/>
      <c r="J202" s="5"/>
      <c r="K202" s="5"/>
      <c r="L202" s="5"/>
      <c r="M202" s="5"/>
      <c r="N202" s="5"/>
      <c r="O202" s="5"/>
      <c r="P202" s="57"/>
      <c r="Q202" s="5"/>
      <c r="R202" s="5"/>
      <c r="S202" s="5"/>
      <c r="T202" s="5"/>
      <c r="U202" s="5"/>
      <c r="V202" s="5"/>
      <c r="W202" s="5"/>
      <c r="X202" s="5"/>
      <c r="Y202" s="5"/>
      <c r="Z202" s="5"/>
      <c r="AA202" s="5"/>
    </row>
    <row r="203" spans="1:27" ht="12.75" customHeight="1">
      <c r="A203" s="5"/>
      <c r="B203" s="5"/>
      <c r="C203" s="5"/>
      <c r="D203" s="5"/>
      <c r="E203" s="5"/>
      <c r="F203" s="5"/>
      <c r="G203" s="5"/>
      <c r="H203" s="306"/>
      <c r="I203" s="306"/>
      <c r="J203" s="5"/>
      <c r="K203" s="5"/>
      <c r="L203" s="5"/>
      <c r="M203" s="5"/>
      <c r="N203" s="5"/>
      <c r="O203" s="5"/>
      <c r="P203" s="57"/>
      <c r="Q203" s="5"/>
      <c r="R203" s="5"/>
      <c r="S203" s="5"/>
      <c r="T203" s="5"/>
      <c r="U203" s="5"/>
      <c r="V203" s="5"/>
      <c r="W203" s="5"/>
      <c r="X203" s="5"/>
      <c r="Y203" s="5"/>
      <c r="Z203" s="5"/>
      <c r="AA203" s="5"/>
    </row>
    <row r="204" spans="1:27" ht="12.75" customHeight="1">
      <c r="A204" s="5"/>
      <c r="B204" s="5"/>
      <c r="C204" s="5"/>
      <c r="D204" s="5"/>
      <c r="E204" s="5"/>
      <c r="F204" s="5"/>
      <c r="G204" s="5"/>
      <c r="H204" s="306"/>
      <c r="I204" s="306"/>
      <c r="J204" s="5"/>
      <c r="K204" s="5"/>
      <c r="L204" s="5"/>
      <c r="M204" s="5"/>
      <c r="N204" s="5"/>
      <c r="O204" s="5"/>
      <c r="P204" s="57"/>
      <c r="Q204" s="5"/>
      <c r="R204" s="5"/>
      <c r="S204" s="5"/>
      <c r="T204" s="5"/>
      <c r="U204" s="5"/>
      <c r="V204" s="5"/>
      <c r="W204" s="5"/>
      <c r="X204" s="5"/>
      <c r="Y204" s="5"/>
      <c r="Z204" s="5"/>
      <c r="AA204" s="5"/>
    </row>
    <row r="205" spans="1:27" ht="12.75" customHeight="1">
      <c r="A205" s="5"/>
      <c r="B205" s="5"/>
      <c r="C205" s="5"/>
      <c r="D205" s="5"/>
      <c r="E205" s="5"/>
      <c r="F205" s="5"/>
      <c r="G205" s="5"/>
      <c r="H205" s="306"/>
      <c r="I205" s="306"/>
      <c r="J205" s="5"/>
      <c r="K205" s="5"/>
      <c r="L205" s="5"/>
      <c r="M205" s="5"/>
      <c r="N205" s="5"/>
      <c r="O205" s="5"/>
      <c r="P205" s="57"/>
      <c r="Q205" s="5"/>
      <c r="R205" s="5"/>
      <c r="S205" s="5"/>
      <c r="T205" s="5"/>
      <c r="U205" s="5"/>
      <c r="V205" s="5"/>
      <c r="W205" s="5"/>
      <c r="X205" s="5"/>
      <c r="Y205" s="5"/>
      <c r="Z205" s="5"/>
      <c r="AA205" s="5"/>
    </row>
    <row r="206" spans="1:27" ht="12.75" customHeight="1">
      <c r="A206" s="5"/>
      <c r="B206" s="5"/>
      <c r="C206" s="5"/>
      <c r="D206" s="5"/>
      <c r="E206" s="5"/>
      <c r="F206" s="5"/>
      <c r="G206" s="5"/>
      <c r="H206" s="306"/>
      <c r="I206" s="306"/>
      <c r="J206" s="5"/>
      <c r="K206" s="5"/>
      <c r="L206" s="5"/>
      <c r="M206" s="5"/>
      <c r="N206" s="5"/>
      <c r="O206" s="5"/>
      <c r="P206" s="57"/>
      <c r="Q206" s="5"/>
      <c r="R206" s="5"/>
      <c r="S206" s="5"/>
      <c r="T206" s="5"/>
      <c r="U206" s="5"/>
      <c r="V206" s="5"/>
      <c r="W206" s="5"/>
      <c r="X206" s="5"/>
      <c r="Y206" s="5"/>
      <c r="Z206" s="5"/>
      <c r="AA206" s="5"/>
    </row>
    <row r="207" spans="1:27" ht="12.75" customHeight="1">
      <c r="A207" s="5"/>
      <c r="B207" s="5"/>
      <c r="C207" s="5"/>
      <c r="D207" s="5"/>
      <c r="E207" s="5"/>
      <c r="F207" s="5"/>
      <c r="G207" s="5"/>
      <c r="H207" s="306"/>
      <c r="I207" s="306"/>
      <c r="J207" s="5"/>
      <c r="K207" s="5"/>
      <c r="L207" s="5"/>
      <c r="M207" s="5"/>
      <c r="N207" s="5"/>
      <c r="O207" s="5"/>
      <c r="P207" s="57"/>
      <c r="Q207" s="5"/>
      <c r="R207" s="5"/>
      <c r="S207" s="5"/>
      <c r="T207" s="5"/>
      <c r="U207" s="5"/>
      <c r="V207" s="5"/>
      <c r="W207" s="5"/>
      <c r="X207" s="5"/>
      <c r="Y207" s="5"/>
      <c r="Z207" s="5"/>
      <c r="AA207" s="5"/>
    </row>
    <row r="208" spans="1:27" ht="12.75" customHeight="1">
      <c r="A208" s="5"/>
      <c r="B208" s="5"/>
      <c r="C208" s="5"/>
      <c r="D208" s="5"/>
      <c r="E208" s="5"/>
      <c r="F208" s="5"/>
      <c r="G208" s="5"/>
      <c r="H208" s="306"/>
      <c r="I208" s="306"/>
      <c r="J208" s="5"/>
      <c r="K208" s="5"/>
      <c r="L208" s="5"/>
      <c r="M208" s="5"/>
      <c r="N208" s="5"/>
      <c r="O208" s="5"/>
      <c r="P208" s="57"/>
      <c r="Q208" s="5"/>
      <c r="R208" s="5"/>
      <c r="S208" s="5"/>
      <c r="T208" s="5"/>
      <c r="U208" s="5"/>
      <c r="V208" s="5"/>
      <c r="W208" s="5"/>
      <c r="X208" s="5"/>
      <c r="Y208" s="5"/>
      <c r="Z208" s="5"/>
      <c r="AA208" s="5"/>
    </row>
    <row r="209" spans="1:27" ht="12.75" customHeight="1">
      <c r="A209" s="5"/>
      <c r="B209" s="5"/>
      <c r="C209" s="5"/>
      <c r="D209" s="5"/>
      <c r="E209" s="5"/>
      <c r="F209" s="5"/>
      <c r="G209" s="5"/>
      <c r="H209" s="306"/>
      <c r="I209" s="306"/>
      <c r="J209" s="5"/>
      <c r="K209" s="5"/>
      <c r="L209" s="5"/>
      <c r="M209" s="5"/>
      <c r="N209" s="5"/>
      <c r="O209" s="5"/>
      <c r="P209" s="57"/>
      <c r="Q209" s="5"/>
      <c r="R209" s="5"/>
      <c r="S209" s="5"/>
      <c r="T209" s="5"/>
      <c r="U209" s="5"/>
      <c r="V209" s="5"/>
      <c r="W209" s="5"/>
      <c r="X209" s="5"/>
      <c r="Y209" s="5"/>
      <c r="Z209" s="5"/>
      <c r="AA209" s="5"/>
    </row>
    <row r="210" spans="1:27" ht="12.75" customHeight="1">
      <c r="A210" s="5"/>
      <c r="B210" s="5"/>
      <c r="C210" s="5"/>
      <c r="D210" s="5"/>
      <c r="E210" s="5"/>
      <c r="F210" s="5"/>
      <c r="G210" s="5"/>
      <c r="H210" s="306"/>
      <c r="I210" s="306"/>
      <c r="J210" s="5"/>
      <c r="K210" s="5"/>
      <c r="L210" s="5"/>
      <c r="M210" s="5"/>
      <c r="N210" s="5"/>
      <c r="O210" s="5"/>
      <c r="P210" s="57"/>
      <c r="Q210" s="5"/>
      <c r="R210" s="5"/>
      <c r="S210" s="5"/>
      <c r="T210" s="5"/>
      <c r="U210" s="5"/>
      <c r="V210" s="5"/>
      <c r="W210" s="5"/>
      <c r="X210" s="5"/>
      <c r="Y210" s="5"/>
      <c r="Z210" s="5"/>
      <c r="AA210" s="5"/>
    </row>
    <row r="211" spans="1:27" ht="12.75" customHeight="1">
      <c r="A211" s="5"/>
      <c r="B211" s="5"/>
      <c r="C211" s="5"/>
      <c r="D211" s="5"/>
      <c r="E211" s="5"/>
      <c r="F211" s="5"/>
      <c r="G211" s="5"/>
      <c r="H211" s="306"/>
      <c r="I211" s="306"/>
      <c r="J211" s="5"/>
      <c r="K211" s="5"/>
      <c r="L211" s="5"/>
      <c r="M211" s="5"/>
      <c r="N211" s="5"/>
      <c r="O211" s="5"/>
      <c r="P211" s="57"/>
      <c r="Q211" s="5"/>
      <c r="R211" s="5"/>
      <c r="S211" s="5"/>
      <c r="T211" s="5"/>
      <c r="U211" s="5"/>
      <c r="V211" s="5"/>
      <c r="W211" s="5"/>
      <c r="X211" s="5"/>
      <c r="Y211" s="5"/>
      <c r="Z211" s="5"/>
      <c r="AA211" s="5"/>
    </row>
    <row r="212" spans="1:27" ht="12.75" customHeight="1">
      <c r="A212" s="5"/>
      <c r="B212" s="5"/>
      <c r="C212" s="5"/>
      <c r="D212" s="5"/>
      <c r="E212" s="5"/>
      <c r="F212" s="5"/>
      <c r="G212" s="5"/>
      <c r="H212" s="306"/>
      <c r="I212" s="306"/>
      <c r="J212" s="5"/>
      <c r="K212" s="5"/>
      <c r="L212" s="5"/>
      <c r="M212" s="5"/>
      <c r="N212" s="5"/>
      <c r="O212" s="5"/>
      <c r="P212" s="57"/>
      <c r="Q212" s="5"/>
      <c r="R212" s="5"/>
      <c r="S212" s="5"/>
      <c r="T212" s="5"/>
      <c r="U212" s="5"/>
      <c r="V212" s="5"/>
      <c r="W212" s="5"/>
      <c r="X212" s="5"/>
      <c r="Y212" s="5"/>
      <c r="Z212" s="5"/>
      <c r="AA212" s="5"/>
    </row>
    <row r="213" spans="1:27" ht="12.75" customHeight="1">
      <c r="A213" s="5"/>
      <c r="B213" s="5"/>
      <c r="C213" s="5"/>
      <c r="D213" s="5"/>
      <c r="E213" s="5"/>
      <c r="F213" s="5"/>
      <c r="G213" s="5"/>
      <c r="H213" s="306"/>
      <c r="I213" s="306"/>
      <c r="J213" s="5"/>
      <c r="K213" s="5"/>
      <c r="L213" s="5"/>
      <c r="M213" s="5"/>
      <c r="N213" s="5"/>
      <c r="O213" s="5"/>
      <c r="P213" s="57"/>
      <c r="Q213" s="5"/>
      <c r="R213" s="5"/>
      <c r="S213" s="5"/>
      <c r="T213" s="5"/>
      <c r="U213" s="5"/>
      <c r="V213" s="5"/>
      <c r="W213" s="5"/>
      <c r="X213" s="5"/>
      <c r="Y213" s="5"/>
      <c r="Z213" s="5"/>
      <c r="AA213" s="5"/>
    </row>
    <row r="214" spans="1:27" ht="12.75" customHeight="1">
      <c r="A214" s="5"/>
      <c r="B214" s="5"/>
      <c r="C214" s="5"/>
      <c r="D214" s="5"/>
      <c r="E214" s="5"/>
      <c r="F214" s="5"/>
      <c r="G214" s="5"/>
      <c r="H214" s="306"/>
      <c r="I214" s="306"/>
      <c r="J214" s="5"/>
      <c r="K214" s="5"/>
      <c r="L214" s="5"/>
      <c r="M214" s="5"/>
      <c r="N214" s="5"/>
      <c r="O214" s="5"/>
      <c r="P214" s="57"/>
      <c r="Q214" s="5"/>
      <c r="R214" s="5"/>
      <c r="S214" s="5"/>
      <c r="T214" s="5"/>
      <c r="U214" s="5"/>
      <c r="V214" s="5"/>
      <c r="W214" s="5"/>
      <c r="X214" s="5"/>
      <c r="Y214" s="5"/>
      <c r="Z214" s="5"/>
      <c r="AA214" s="5"/>
    </row>
    <row r="215" spans="1:27" ht="12.75" customHeight="1">
      <c r="A215" s="5"/>
      <c r="B215" s="5"/>
      <c r="C215" s="5"/>
      <c r="D215" s="5"/>
      <c r="E215" s="5"/>
      <c r="F215" s="5"/>
      <c r="G215" s="5"/>
      <c r="H215" s="306"/>
      <c r="I215" s="306"/>
      <c r="J215" s="5"/>
      <c r="K215" s="5"/>
      <c r="L215" s="5"/>
      <c r="M215" s="5"/>
      <c r="N215" s="5"/>
      <c r="O215" s="5"/>
      <c r="P215" s="57"/>
      <c r="Q215" s="5"/>
      <c r="R215" s="5"/>
      <c r="S215" s="5"/>
      <c r="T215" s="5"/>
      <c r="U215" s="5"/>
      <c r="V215" s="5"/>
      <c r="W215" s="5"/>
      <c r="X215" s="5"/>
      <c r="Y215" s="5"/>
      <c r="Z215" s="5"/>
      <c r="AA215" s="5"/>
    </row>
    <row r="216" spans="1:27" ht="12.75" customHeight="1">
      <c r="A216" s="5"/>
      <c r="B216" s="5"/>
      <c r="C216" s="5"/>
      <c r="D216" s="5"/>
      <c r="E216" s="5"/>
      <c r="F216" s="5"/>
      <c r="G216" s="5"/>
      <c r="H216" s="306"/>
      <c r="I216" s="306"/>
      <c r="J216" s="5"/>
      <c r="K216" s="5"/>
      <c r="L216" s="5"/>
      <c r="M216" s="5"/>
      <c r="N216" s="5"/>
      <c r="O216" s="5"/>
      <c r="P216" s="57"/>
      <c r="Q216" s="5"/>
      <c r="R216" s="5"/>
      <c r="S216" s="5"/>
      <c r="T216" s="5"/>
      <c r="U216" s="5"/>
      <c r="V216" s="5"/>
      <c r="W216" s="5"/>
      <c r="X216" s="5"/>
      <c r="Y216" s="5"/>
      <c r="Z216" s="5"/>
      <c r="AA216" s="5"/>
    </row>
    <row r="217" spans="1:27" ht="12.75" customHeight="1">
      <c r="A217" s="5"/>
      <c r="B217" s="5"/>
      <c r="C217" s="5"/>
      <c r="D217" s="5"/>
      <c r="E217" s="5"/>
      <c r="F217" s="5"/>
      <c r="G217" s="5"/>
      <c r="H217" s="306"/>
      <c r="I217" s="306"/>
      <c r="J217" s="5"/>
      <c r="K217" s="5"/>
      <c r="L217" s="5"/>
      <c r="M217" s="5"/>
      <c r="N217" s="5"/>
      <c r="O217" s="5"/>
      <c r="P217" s="57"/>
      <c r="Q217" s="5"/>
      <c r="R217" s="5"/>
      <c r="S217" s="5"/>
      <c r="T217" s="5"/>
      <c r="U217" s="5"/>
      <c r="V217" s="5"/>
      <c r="W217" s="5"/>
      <c r="X217" s="5"/>
      <c r="Y217" s="5"/>
      <c r="Z217" s="5"/>
      <c r="AA217" s="5"/>
    </row>
    <row r="218" spans="1:27" ht="12.75" customHeight="1">
      <c r="A218" s="5"/>
      <c r="B218" s="5"/>
      <c r="C218" s="5"/>
      <c r="D218" s="5"/>
      <c r="E218" s="5"/>
      <c r="F218" s="5"/>
      <c r="G218" s="5"/>
      <c r="H218" s="306"/>
      <c r="I218" s="306"/>
      <c r="J218" s="5"/>
      <c r="K218" s="5"/>
      <c r="L218" s="5"/>
      <c r="M218" s="5"/>
      <c r="N218" s="5"/>
      <c r="O218" s="5"/>
      <c r="P218" s="57"/>
      <c r="Q218" s="5"/>
      <c r="R218" s="5"/>
      <c r="S218" s="5"/>
      <c r="T218" s="5"/>
      <c r="U218" s="5"/>
      <c r="V218" s="5"/>
      <c r="W218" s="5"/>
      <c r="X218" s="5"/>
      <c r="Y218" s="5"/>
      <c r="Z218" s="5"/>
      <c r="AA218" s="5"/>
    </row>
    <row r="219" spans="1:27" ht="12.75" customHeight="1">
      <c r="A219" s="5"/>
      <c r="B219" s="5"/>
      <c r="C219" s="5"/>
      <c r="D219" s="5"/>
      <c r="E219" s="5"/>
      <c r="F219" s="5"/>
      <c r="G219" s="5"/>
      <c r="H219" s="306"/>
      <c r="I219" s="306"/>
      <c r="J219" s="5"/>
      <c r="K219" s="5"/>
      <c r="L219" s="5"/>
      <c r="M219" s="5"/>
      <c r="N219" s="5"/>
      <c r="O219" s="5"/>
      <c r="P219" s="57"/>
      <c r="Q219" s="5"/>
      <c r="R219" s="5"/>
      <c r="S219" s="5"/>
      <c r="T219" s="5"/>
      <c r="U219" s="5"/>
      <c r="V219" s="5"/>
      <c r="W219" s="5"/>
      <c r="X219" s="5"/>
      <c r="Y219" s="5"/>
      <c r="Z219" s="5"/>
      <c r="AA219" s="5"/>
    </row>
    <row r="220" spans="1:27" ht="12.75" customHeight="1">
      <c r="A220" s="5"/>
      <c r="B220" s="5"/>
      <c r="C220" s="5"/>
      <c r="D220" s="5"/>
      <c r="E220" s="5"/>
      <c r="F220" s="5"/>
      <c r="G220" s="5"/>
      <c r="H220" s="306"/>
      <c r="I220" s="306"/>
      <c r="J220" s="5"/>
      <c r="K220" s="5"/>
      <c r="L220" s="5"/>
      <c r="M220" s="5"/>
      <c r="N220" s="5"/>
      <c r="O220" s="5"/>
      <c r="P220" s="57"/>
      <c r="Q220" s="5"/>
      <c r="R220" s="5"/>
      <c r="S220" s="5"/>
      <c r="T220" s="5"/>
      <c r="U220" s="5"/>
      <c r="V220" s="5"/>
      <c r="W220" s="5"/>
      <c r="X220" s="5"/>
      <c r="Y220" s="5"/>
      <c r="Z220" s="5"/>
      <c r="AA220" s="5"/>
    </row>
    <row r="221" spans="1:27" ht="12.75" customHeight="1">
      <c r="A221" s="5"/>
      <c r="B221" s="5"/>
      <c r="C221" s="5"/>
      <c r="D221" s="5"/>
      <c r="E221" s="5"/>
      <c r="F221" s="5"/>
      <c r="G221" s="5"/>
      <c r="H221" s="306"/>
      <c r="I221" s="306"/>
      <c r="J221" s="5"/>
      <c r="K221" s="5"/>
      <c r="L221" s="5"/>
      <c r="M221" s="5"/>
      <c r="N221" s="5"/>
      <c r="O221" s="5"/>
      <c r="P221" s="57"/>
      <c r="Q221" s="5"/>
      <c r="R221" s="5"/>
      <c r="S221" s="5"/>
      <c r="T221" s="5"/>
      <c r="U221" s="5"/>
      <c r="V221" s="5"/>
      <c r="W221" s="5"/>
      <c r="X221" s="5"/>
      <c r="Y221" s="5"/>
      <c r="Z221" s="5"/>
      <c r="AA221" s="5"/>
    </row>
    <row r="222" spans="1:27" ht="12.75" customHeight="1">
      <c r="A222" s="5"/>
      <c r="B222" s="5"/>
      <c r="C222" s="5"/>
      <c r="D222" s="5"/>
      <c r="E222" s="5"/>
      <c r="F222" s="5"/>
      <c r="G222" s="5"/>
      <c r="H222" s="306"/>
      <c r="I222" s="306"/>
      <c r="J222" s="5"/>
      <c r="K222" s="5"/>
      <c r="L222" s="5"/>
      <c r="M222" s="5"/>
      <c r="N222" s="5"/>
      <c r="O222" s="5"/>
      <c r="P222" s="57"/>
      <c r="Q222" s="5"/>
      <c r="R222" s="5"/>
      <c r="S222" s="5"/>
      <c r="T222" s="5"/>
      <c r="U222" s="5"/>
      <c r="V222" s="5"/>
      <c r="W222" s="5"/>
      <c r="X222" s="5"/>
      <c r="Y222" s="5"/>
      <c r="Z222" s="5"/>
      <c r="AA222" s="5"/>
    </row>
    <row r="223" spans="1:27" ht="12.75" customHeight="1">
      <c r="A223" s="5"/>
      <c r="B223" s="5"/>
      <c r="C223" s="5"/>
      <c r="D223" s="5"/>
      <c r="E223" s="5"/>
      <c r="F223" s="5"/>
      <c r="G223" s="5"/>
      <c r="H223" s="306"/>
      <c r="I223" s="306"/>
      <c r="J223" s="5"/>
      <c r="K223" s="5"/>
      <c r="L223" s="5"/>
      <c r="M223" s="5"/>
      <c r="N223" s="5"/>
      <c r="O223" s="5"/>
      <c r="P223" s="57"/>
      <c r="Q223" s="5"/>
      <c r="R223" s="5"/>
      <c r="S223" s="5"/>
      <c r="T223" s="5"/>
      <c r="U223" s="5"/>
      <c r="V223" s="5"/>
      <c r="W223" s="5"/>
      <c r="X223" s="5"/>
      <c r="Y223" s="5"/>
      <c r="Z223" s="5"/>
      <c r="AA223" s="5"/>
    </row>
    <row r="224" spans="1:27" ht="12.75" customHeight="1">
      <c r="A224" s="5"/>
      <c r="B224" s="5"/>
      <c r="C224" s="5"/>
      <c r="D224" s="5"/>
      <c r="E224" s="5"/>
      <c r="F224" s="5"/>
      <c r="G224" s="5"/>
      <c r="H224" s="306"/>
      <c r="I224" s="306"/>
      <c r="J224" s="5"/>
      <c r="K224" s="5"/>
      <c r="L224" s="5"/>
      <c r="M224" s="5"/>
      <c r="N224" s="5"/>
      <c r="O224" s="5"/>
      <c r="P224" s="57"/>
      <c r="Q224" s="5"/>
      <c r="R224" s="5"/>
      <c r="S224" s="5"/>
      <c r="T224" s="5"/>
      <c r="U224" s="5"/>
      <c r="V224" s="5"/>
      <c r="W224" s="5"/>
      <c r="X224" s="5"/>
      <c r="Y224" s="5"/>
      <c r="Z224" s="5"/>
      <c r="AA224" s="5"/>
    </row>
    <row r="225" spans="1:27" ht="12.75" customHeight="1">
      <c r="A225" s="5"/>
      <c r="B225" s="5"/>
      <c r="C225" s="5"/>
      <c r="D225" s="5"/>
      <c r="E225" s="5"/>
      <c r="F225" s="5"/>
      <c r="G225" s="5"/>
      <c r="H225" s="306"/>
      <c r="I225" s="306"/>
      <c r="J225" s="5"/>
      <c r="K225" s="5"/>
      <c r="L225" s="5"/>
      <c r="M225" s="5"/>
      <c r="N225" s="5"/>
      <c r="O225" s="5"/>
      <c r="P225" s="57"/>
      <c r="Q225" s="5"/>
      <c r="R225" s="5"/>
      <c r="S225" s="5"/>
      <c r="T225" s="5"/>
      <c r="U225" s="5"/>
      <c r="V225" s="5"/>
      <c r="W225" s="5"/>
      <c r="X225" s="5"/>
      <c r="Y225" s="5"/>
      <c r="Z225" s="5"/>
      <c r="AA225" s="5"/>
    </row>
    <row r="226" spans="1:27" ht="12.75" customHeight="1">
      <c r="A226" s="5"/>
      <c r="B226" s="5"/>
      <c r="C226" s="5"/>
      <c r="D226" s="5"/>
      <c r="E226" s="5"/>
      <c r="F226" s="5"/>
      <c r="G226" s="5"/>
      <c r="H226" s="306"/>
      <c r="I226" s="306"/>
      <c r="J226" s="5"/>
      <c r="K226" s="5"/>
      <c r="L226" s="5"/>
      <c r="M226" s="5"/>
      <c r="N226" s="5"/>
      <c r="O226" s="5"/>
      <c r="P226" s="57"/>
      <c r="Q226" s="5"/>
      <c r="R226" s="5"/>
      <c r="S226" s="5"/>
      <c r="T226" s="5"/>
      <c r="U226" s="5"/>
      <c r="V226" s="5"/>
      <c r="W226" s="5"/>
      <c r="X226" s="5"/>
      <c r="Y226" s="5"/>
      <c r="Z226" s="5"/>
      <c r="AA226" s="5"/>
    </row>
    <row r="227" spans="1:27" ht="12.75" customHeight="1">
      <c r="A227" s="5"/>
      <c r="B227" s="5"/>
      <c r="C227" s="5"/>
      <c r="D227" s="5"/>
      <c r="E227" s="5"/>
      <c r="F227" s="5"/>
      <c r="G227" s="5"/>
      <c r="H227" s="306"/>
      <c r="I227" s="306"/>
      <c r="J227" s="5"/>
      <c r="K227" s="5"/>
      <c r="L227" s="5"/>
      <c r="M227" s="5"/>
      <c r="N227" s="5"/>
      <c r="O227" s="5"/>
      <c r="P227" s="57"/>
      <c r="Q227" s="5"/>
      <c r="R227" s="5"/>
      <c r="S227" s="5"/>
      <c r="T227" s="5"/>
      <c r="U227" s="5"/>
      <c r="V227" s="5"/>
      <c r="W227" s="5"/>
      <c r="X227" s="5"/>
      <c r="Y227" s="5"/>
      <c r="Z227" s="5"/>
      <c r="AA227" s="5"/>
    </row>
    <row r="228" spans="1:27" ht="12.75" customHeight="1">
      <c r="A228" s="5"/>
      <c r="B228" s="5"/>
      <c r="C228" s="5"/>
      <c r="D228" s="5"/>
      <c r="E228" s="5"/>
      <c r="F228" s="5"/>
      <c r="G228" s="5"/>
      <c r="H228" s="306"/>
      <c r="I228" s="306"/>
      <c r="J228" s="5"/>
      <c r="K228" s="5"/>
      <c r="L228" s="5"/>
      <c r="M228" s="5"/>
      <c r="N228" s="5"/>
      <c r="O228" s="5"/>
      <c r="P228" s="57"/>
      <c r="Q228" s="5"/>
      <c r="R228" s="5"/>
      <c r="S228" s="5"/>
      <c r="T228" s="5"/>
      <c r="U228" s="5"/>
      <c r="V228" s="5"/>
      <c r="W228" s="5"/>
      <c r="X228" s="5"/>
      <c r="Y228" s="5"/>
      <c r="Z228" s="5"/>
      <c r="AA228" s="5"/>
    </row>
    <row r="229" spans="1:27" ht="12.75" customHeight="1">
      <c r="A229" s="5"/>
      <c r="B229" s="5"/>
      <c r="C229" s="5"/>
      <c r="D229" s="5"/>
      <c r="E229" s="5"/>
      <c r="F229" s="5"/>
      <c r="G229" s="5"/>
      <c r="H229" s="306"/>
      <c r="I229" s="306"/>
      <c r="J229" s="5"/>
      <c r="K229" s="5"/>
      <c r="L229" s="5"/>
      <c r="M229" s="5"/>
      <c r="N229" s="5"/>
      <c r="O229" s="5"/>
      <c r="P229" s="57"/>
      <c r="Q229" s="5"/>
      <c r="R229" s="5"/>
      <c r="S229" s="5"/>
      <c r="T229" s="5"/>
      <c r="U229" s="5"/>
      <c r="V229" s="5"/>
      <c r="W229" s="5"/>
      <c r="X229" s="5"/>
      <c r="Y229" s="5"/>
      <c r="Z229" s="5"/>
      <c r="AA229" s="5"/>
    </row>
    <row r="230" spans="1:27" ht="12.75" customHeight="1">
      <c r="A230" s="5"/>
      <c r="B230" s="5"/>
      <c r="C230" s="5"/>
      <c r="D230" s="5"/>
      <c r="E230" s="5"/>
      <c r="F230" s="5"/>
      <c r="G230" s="5"/>
      <c r="H230" s="306"/>
      <c r="I230" s="306"/>
      <c r="J230" s="5"/>
      <c r="K230" s="5"/>
      <c r="L230" s="5"/>
      <c r="M230" s="5"/>
      <c r="N230" s="5"/>
      <c r="O230" s="5"/>
      <c r="P230" s="57"/>
      <c r="Q230" s="5"/>
      <c r="R230" s="5"/>
      <c r="S230" s="5"/>
      <c r="T230" s="5"/>
      <c r="U230" s="5"/>
      <c r="V230" s="5"/>
      <c r="W230" s="5"/>
      <c r="X230" s="5"/>
      <c r="Y230" s="5"/>
      <c r="Z230" s="5"/>
      <c r="AA230" s="5"/>
    </row>
    <row r="231" spans="1:27" ht="12.75" customHeight="1">
      <c r="A231" s="5"/>
      <c r="B231" s="5"/>
      <c r="C231" s="5"/>
      <c r="D231" s="5"/>
      <c r="E231" s="5"/>
      <c r="F231" s="5"/>
      <c r="G231" s="5"/>
      <c r="H231" s="306"/>
      <c r="I231" s="306"/>
      <c r="J231" s="5"/>
      <c r="K231" s="5"/>
      <c r="L231" s="5"/>
      <c r="M231" s="5"/>
      <c r="N231" s="5"/>
      <c r="O231" s="5"/>
      <c r="P231" s="57"/>
      <c r="Q231" s="5"/>
      <c r="R231" s="5"/>
      <c r="S231" s="5"/>
      <c r="T231" s="5"/>
      <c r="U231" s="5"/>
      <c r="V231" s="5"/>
      <c r="W231" s="5"/>
      <c r="X231" s="5"/>
      <c r="Y231" s="5"/>
      <c r="Z231" s="5"/>
      <c r="AA231" s="5"/>
    </row>
    <row r="232" spans="1:27" ht="12.75" customHeight="1">
      <c r="A232" s="5"/>
      <c r="B232" s="5"/>
      <c r="C232" s="5"/>
      <c r="D232" s="5"/>
      <c r="E232" s="5"/>
      <c r="F232" s="5"/>
      <c r="G232" s="5"/>
      <c r="H232" s="306"/>
      <c r="I232" s="306"/>
      <c r="J232" s="5"/>
      <c r="K232" s="5"/>
      <c r="L232" s="5"/>
      <c r="M232" s="5"/>
      <c r="N232" s="5"/>
      <c r="O232" s="5"/>
      <c r="P232" s="57"/>
      <c r="Q232" s="5"/>
      <c r="R232" s="5"/>
      <c r="S232" s="5"/>
      <c r="T232" s="5"/>
      <c r="U232" s="5"/>
      <c r="V232" s="5"/>
      <c r="W232" s="5"/>
      <c r="X232" s="5"/>
      <c r="Y232" s="5"/>
      <c r="Z232" s="5"/>
      <c r="AA232" s="5"/>
    </row>
    <row r="233" spans="1:27" ht="12.75" customHeight="1">
      <c r="A233" s="5"/>
      <c r="B233" s="5"/>
      <c r="C233" s="5"/>
      <c r="D233" s="5"/>
      <c r="E233" s="5"/>
      <c r="F233" s="5"/>
      <c r="G233" s="5"/>
      <c r="H233" s="306"/>
      <c r="I233" s="306"/>
      <c r="J233" s="5"/>
      <c r="K233" s="5"/>
      <c r="L233" s="5"/>
      <c r="M233" s="5"/>
      <c r="N233" s="5"/>
      <c r="O233" s="5"/>
      <c r="P233" s="57"/>
      <c r="Q233" s="5"/>
      <c r="R233" s="5"/>
      <c r="S233" s="5"/>
      <c r="T233" s="5"/>
      <c r="U233" s="5"/>
      <c r="V233" s="5"/>
      <c r="W233" s="5"/>
      <c r="X233" s="5"/>
      <c r="Y233" s="5"/>
      <c r="Z233" s="5"/>
      <c r="AA233" s="5"/>
    </row>
    <row r="234" spans="1:27" ht="12.75" customHeight="1">
      <c r="A234" s="5"/>
      <c r="B234" s="5"/>
      <c r="C234" s="5"/>
      <c r="D234" s="5"/>
      <c r="E234" s="5"/>
      <c r="F234" s="5"/>
      <c r="G234" s="5"/>
      <c r="H234" s="306"/>
      <c r="I234" s="306"/>
      <c r="J234" s="5"/>
      <c r="K234" s="5"/>
      <c r="L234" s="5"/>
      <c r="M234" s="5"/>
      <c r="N234" s="5"/>
      <c r="O234" s="5"/>
      <c r="P234" s="57"/>
      <c r="Q234" s="5"/>
      <c r="R234" s="5"/>
      <c r="S234" s="5"/>
      <c r="T234" s="5"/>
      <c r="U234" s="5"/>
      <c r="V234" s="5"/>
      <c r="W234" s="5"/>
      <c r="X234" s="5"/>
      <c r="Y234" s="5"/>
      <c r="Z234" s="5"/>
      <c r="AA234" s="5"/>
    </row>
    <row r="235" spans="1:27" ht="12.75" customHeight="1">
      <c r="A235" s="5"/>
      <c r="B235" s="5"/>
      <c r="C235" s="5"/>
      <c r="D235" s="5"/>
      <c r="E235" s="5"/>
      <c r="F235" s="5"/>
      <c r="G235" s="5"/>
      <c r="H235" s="306"/>
      <c r="I235" s="306"/>
      <c r="J235" s="5"/>
      <c r="K235" s="5"/>
      <c r="L235" s="5"/>
      <c r="M235" s="5"/>
      <c r="N235" s="5"/>
      <c r="O235" s="5"/>
      <c r="P235" s="57"/>
      <c r="Q235" s="5"/>
      <c r="R235" s="5"/>
      <c r="S235" s="5"/>
      <c r="T235" s="5"/>
      <c r="U235" s="5"/>
      <c r="V235" s="5"/>
      <c r="W235" s="5"/>
      <c r="X235" s="5"/>
      <c r="Y235" s="5"/>
      <c r="Z235" s="5"/>
      <c r="AA235" s="5"/>
    </row>
    <row r="236" spans="1:27" ht="12.75" customHeight="1">
      <c r="A236" s="5"/>
      <c r="B236" s="5"/>
      <c r="C236" s="5"/>
      <c r="D236" s="5"/>
      <c r="E236" s="5"/>
      <c r="F236" s="5"/>
      <c r="G236" s="5"/>
      <c r="H236" s="306"/>
      <c r="I236" s="306"/>
      <c r="J236" s="5"/>
      <c r="K236" s="5"/>
      <c r="L236" s="5"/>
      <c r="M236" s="5"/>
      <c r="N236" s="5"/>
      <c r="O236" s="5"/>
      <c r="P236" s="57"/>
      <c r="Q236" s="5"/>
      <c r="R236" s="5"/>
      <c r="S236" s="5"/>
      <c r="T236" s="5"/>
      <c r="U236" s="5"/>
      <c r="V236" s="5"/>
      <c r="W236" s="5"/>
      <c r="X236" s="5"/>
      <c r="Y236" s="5"/>
      <c r="Z236" s="5"/>
      <c r="AA236" s="5"/>
    </row>
    <row r="237" spans="1:27" ht="12.75" customHeight="1">
      <c r="A237" s="5"/>
      <c r="B237" s="5"/>
      <c r="C237" s="5"/>
      <c r="D237" s="5"/>
      <c r="E237" s="5"/>
      <c r="F237" s="5"/>
      <c r="G237" s="5"/>
      <c r="H237" s="306"/>
      <c r="I237" s="306"/>
      <c r="J237" s="5"/>
      <c r="K237" s="5"/>
      <c r="L237" s="5"/>
      <c r="M237" s="5"/>
      <c r="N237" s="5"/>
      <c r="O237" s="5"/>
      <c r="P237" s="57"/>
      <c r="Q237" s="5"/>
      <c r="R237" s="5"/>
      <c r="S237" s="5"/>
      <c r="T237" s="5"/>
      <c r="U237" s="5"/>
      <c r="V237" s="5"/>
      <c r="W237" s="5"/>
      <c r="X237" s="5"/>
      <c r="Y237" s="5"/>
      <c r="Z237" s="5"/>
      <c r="AA237" s="5"/>
    </row>
    <row r="238" spans="1:27" ht="12.75" customHeight="1">
      <c r="A238" s="5"/>
      <c r="B238" s="5"/>
      <c r="C238" s="5"/>
      <c r="D238" s="5"/>
      <c r="E238" s="5"/>
      <c r="F238" s="5"/>
      <c r="G238" s="5"/>
      <c r="H238" s="306"/>
      <c r="I238" s="306"/>
      <c r="J238" s="5"/>
      <c r="K238" s="5"/>
      <c r="L238" s="5"/>
      <c r="M238" s="5"/>
      <c r="N238" s="5"/>
      <c r="O238" s="5"/>
      <c r="P238" s="57"/>
      <c r="Q238" s="5"/>
      <c r="R238" s="5"/>
      <c r="S238" s="5"/>
      <c r="T238" s="5"/>
      <c r="U238" s="5"/>
      <c r="V238" s="5"/>
      <c r="W238" s="5"/>
      <c r="X238" s="5"/>
      <c r="Y238" s="5"/>
      <c r="Z238" s="5"/>
      <c r="AA238" s="5"/>
    </row>
    <row r="239" spans="1:27" ht="12.75" customHeight="1">
      <c r="A239" s="5"/>
      <c r="B239" s="5"/>
      <c r="C239" s="5"/>
      <c r="D239" s="5"/>
      <c r="E239" s="5"/>
      <c r="F239" s="5"/>
      <c r="G239" s="5"/>
      <c r="H239" s="306"/>
      <c r="I239" s="306"/>
      <c r="J239" s="5"/>
      <c r="K239" s="5"/>
      <c r="L239" s="5"/>
      <c r="M239" s="5"/>
      <c r="N239" s="5"/>
      <c r="O239" s="5"/>
      <c r="P239" s="57"/>
      <c r="Q239" s="5"/>
      <c r="R239" s="5"/>
      <c r="S239" s="5"/>
      <c r="T239" s="5"/>
      <c r="U239" s="5"/>
      <c r="V239" s="5"/>
      <c r="W239" s="5"/>
      <c r="X239" s="5"/>
      <c r="Y239" s="5"/>
      <c r="Z239" s="5"/>
      <c r="AA239" s="5"/>
    </row>
    <row r="240" spans="1:27" ht="12.75" customHeight="1">
      <c r="A240" s="5"/>
      <c r="B240" s="5"/>
      <c r="C240" s="5"/>
      <c r="D240" s="5"/>
      <c r="E240" s="5"/>
      <c r="F240" s="5"/>
      <c r="G240" s="5"/>
      <c r="H240" s="306"/>
      <c r="I240" s="306"/>
      <c r="J240" s="5"/>
      <c r="K240" s="5"/>
      <c r="L240" s="5"/>
      <c r="M240" s="5"/>
      <c r="N240" s="5"/>
      <c r="O240" s="5"/>
      <c r="P240" s="57"/>
      <c r="Q240" s="5"/>
      <c r="R240" s="5"/>
      <c r="S240" s="5"/>
      <c r="T240" s="5"/>
      <c r="U240" s="5"/>
      <c r="V240" s="5"/>
      <c r="W240" s="5"/>
      <c r="X240" s="5"/>
      <c r="Y240" s="5"/>
      <c r="Z240" s="5"/>
      <c r="AA240" s="5"/>
    </row>
    <row r="241" spans="1:27" ht="12.75" customHeight="1">
      <c r="A241" s="5"/>
      <c r="B241" s="5"/>
      <c r="C241" s="5"/>
      <c r="D241" s="5"/>
      <c r="E241" s="5"/>
      <c r="F241" s="5"/>
      <c r="G241" s="5"/>
      <c r="H241" s="306"/>
      <c r="I241" s="306"/>
      <c r="J241" s="5"/>
      <c r="K241" s="5"/>
      <c r="L241" s="5"/>
      <c r="M241" s="5"/>
      <c r="N241" s="5"/>
      <c r="O241" s="5"/>
      <c r="P241" s="57"/>
      <c r="Q241" s="5"/>
      <c r="R241" s="5"/>
      <c r="S241" s="5"/>
      <c r="T241" s="5"/>
      <c r="U241" s="5"/>
      <c r="V241" s="5"/>
      <c r="W241" s="5"/>
      <c r="X241" s="5"/>
      <c r="Y241" s="5"/>
      <c r="Z241" s="5"/>
      <c r="AA241" s="5"/>
    </row>
    <row r="242" spans="1:27" ht="12.75" customHeight="1">
      <c r="A242" s="5"/>
      <c r="B242" s="5"/>
      <c r="C242" s="5"/>
      <c r="D242" s="5"/>
      <c r="E242" s="5"/>
      <c r="F242" s="5"/>
      <c r="G242" s="5"/>
      <c r="H242" s="306"/>
      <c r="I242" s="306"/>
      <c r="J242" s="5"/>
      <c r="K242" s="5"/>
      <c r="L242" s="5"/>
      <c r="M242" s="5"/>
      <c r="N242" s="5"/>
      <c r="O242" s="5"/>
      <c r="P242" s="57"/>
      <c r="Q242" s="5"/>
      <c r="R242" s="5"/>
      <c r="S242" s="5"/>
      <c r="T242" s="5"/>
      <c r="U242" s="5"/>
      <c r="V242" s="5"/>
      <c r="W242" s="5"/>
      <c r="X242" s="5"/>
      <c r="Y242" s="5"/>
      <c r="Z242" s="5"/>
      <c r="AA242" s="5"/>
    </row>
    <row r="243" spans="1:27" ht="12.75" customHeight="1">
      <c r="A243" s="5"/>
      <c r="B243" s="5"/>
      <c r="C243" s="5"/>
      <c r="D243" s="5"/>
      <c r="E243" s="5"/>
      <c r="F243" s="5"/>
      <c r="G243" s="5"/>
      <c r="H243" s="306"/>
      <c r="I243" s="306"/>
      <c r="J243" s="5"/>
      <c r="K243" s="5"/>
      <c r="L243" s="5"/>
      <c r="M243" s="5"/>
      <c r="N243" s="5"/>
      <c r="O243" s="5"/>
      <c r="P243" s="57"/>
      <c r="Q243" s="5"/>
      <c r="R243" s="5"/>
      <c r="S243" s="5"/>
      <c r="T243" s="5"/>
      <c r="U243" s="5"/>
      <c r="V243" s="5"/>
      <c r="W243" s="5"/>
      <c r="X243" s="5"/>
      <c r="Y243" s="5"/>
      <c r="Z243" s="5"/>
      <c r="AA243" s="5"/>
    </row>
    <row r="244" spans="1:27" ht="12.75" customHeight="1">
      <c r="A244" s="5"/>
      <c r="B244" s="5"/>
      <c r="C244" s="5"/>
      <c r="D244" s="5"/>
      <c r="E244" s="5"/>
      <c r="F244" s="5"/>
      <c r="G244" s="5"/>
      <c r="H244" s="306"/>
      <c r="I244" s="306"/>
      <c r="J244" s="5"/>
      <c r="K244" s="5"/>
      <c r="L244" s="5"/>
      <c r="M244" s="5"/>
      <c r="N244" s="5"/>
      <c r="O244" s="5"/>
      <c r="P244" s="57"/>
      <c r="Q244" s="5"/>
      <c r="R244" s="5"/>
      <c r="S244" s="5"/>
      <c r="T244" s="5"/>
      <c r="U244" s="5"/>
      <c r="V244" s="5"/>
      <c r="W244" s="5"/>
      <c r="X244" s="5"/>
      <c r="Y244" s="5"/>
      <c r="Z244" s="5"/>
      <c r="AA244" s="5"/>
    </row>
    <row r="245" spans="1:27" ht="12.75" customHeight="1">
      <c r="A245" s="5"/>
      <c r="B245" s="5"/>
      <c r="C245" s="5"/>
      <c r="D245" s="5"/>
      <c r="E245" s="5"/>
      <c r="F245" s="5"/>
      <c r="G245" s="5"/>
      <c r="H245" s="306"/>
      <c r="I245" s="306"/>
      <c r="J245" s="5"/>
      <c r="K245" s="5"/>
      <c r="L245" s="5"/>
      <c r="M245" s="5"/>
      <c r="N245" s="5"/>
      <c r="O245" s="5"/>
      <c r="P245" s="57"/>
      <c r="Q245" s="5"/>
      <c r="R245" s="5"/>
      <c r="S245" s="5"/>
      <c r="T245" s="5"/>
      <c r="U245" s="5"/>
      <c r="V245" s="5"/>
      <c r="W245" s="5"/>
      <c r="X245" s="5"/>
      <c r="Y245" s="5"/>
      <c r="Z245" s="5"/>
      <c r="AA245" s="5"/>
    </row>
    <row r="246" spans="1:27" ht="12.75" customHeight="1">
      <c r="A246" s="5"/>
      <c r="B246" s="5"/>
      <c r="C246" s="5"/>
      <c r="D246" s="5"/>
      <c r="E246" s="5"/>
      <c r="F246" s="5"/>
      <c r="G246" s="5"/>
      <c r="H246" s="306"/>
      <c r="I246" s="306"/>
      <c r="J246" s="5"/>
      <c r="K246" s="5"/>
      <c r="L246" s="5"/>
      <c r="M246" s="5"/>
      <c r="N246" s="5"/>
      <c r="O246" s="5"/>
      <c r="P246" s="57"/>
      <c r="Q246" s="5"/>
      <c r="R246" s="5"/>
      <c r="S246" s="5"/>
      <c r="T246" s="5"/>
      <c r="U246" s="5"/>
      <c r="V246" s="5"/>
      <c r="W246" s="5"/>
      <c r="X246" s="5"/>
      <c r="Y246" s="5"/>
      <c r="Z246" s="5"/>
      <c r="AA246" s="5"/>
    </row>
    <row r="247" spans="1:27" ht="12.75" customHeight="1">
      <c r="A247" s="5"/>
      <c r="B247" s="5"/>
      <c r="C247" s="5"/>
      <c r="D247" s="5"/>
      <c r="E247" s="5"/>
      <c r="F247" s="5"/>
      <c r="G247" s="5"/>
      <c r="H247" s="306"/>
      <c r="I247" s="306"/>
      <c r="J247" s="5"/>
      <c r="K247" s="5"/>
      <c r="L247" s="5"/>
      <c r="M247" s="5"/>
      <c r="N247" s="5"/>
      <c r="O247" s="5"/>
      <c r="P247" s="57"/>
      <c r="Q247" s="5"/>
      <c r="R247" s="5"/>
      <c r="S247" s="5"/>
      <c r="T247" s="5"/>
      <c r="U247" s="5"/>
      <c r="V247" s="5"/>
      <c r="W247" s="5"/>
      <c r="X247" s="5"/>
      <c r="Y247" s="5"/>
      <c r="Z247" s="5"/>
      <c r="AA247" s="5"/>
    </row>
    <row r="248" spans="1:27" ht="12.75" customHeight="1">
      <c r="A248" s="5"/>
      <c r="B248" s="5"/>
      <c r="C248" s="5"/>
      <c r="D248" s="5"/>
      <c r="E248" s="5"/>
      <c r="F248" s="5"/>
      <c r="G248" s="5"/>
      <c r="H248" s="306"/>
      <c r="I248" s="306"/>
      <c r="J248" s="5"/>
      <c r="K248" s="5"/>
      <c r="L248" s="5"/>
      <c r="M248" s="5"/>
      <c r="N248" s="5"/>
      <c r="O248" s="5"/>
      <c r="P248" s="57"/>
      <c r="Q248" s="5"/>
      <c r="R248" s="5"/>
      <c r="S248" s="5"/>
      <c r="T248" s="5"/>
      <c r="U248" s="5"/>
      <c r="V248" s="5"/>
      <c r="W248" s="5"/>
      <c r="X248" s="5"/>
      <c r="Y248" s="5"/>
      <c r="Z248" s="5"/>
      <c r="AA248" s="5"/>
    </row>
    <row r="249" spans="1:27" ht="12.75" customHeight="1">
      <c r="A249" s="5"/>
      <c r="B249" s="5"/>
      <c r="C249" s="5"/>
      <c r="D249" s="5"/>
      <c r="E249" s="5"/>
      <c r="F249" s="5"/>
      <c r="G249" s="5"/>
      <c r="H249" s="306"/>
      <c r="I249" s="306"/>
      <c r="J249" s="5"/>
      <c r="K249" s="5"/>
      <c r="L249" s="5"/>
      <c r="M249" s="5"/>
      <c r="N249" s="5"/>
      <c r="O249" s="5"/>
      <c r="P249" s="57"/>
      <c r="Q249" s="5"/>
      <c r="R249" s="5"/>
      <c r="S249" s="5"/>
      <c r="T249" s="5"/>
      <c r="U249" s="5"/>
      <c r="V249" s="5"/>
      <c r="W249" s="5"/>
      <c r="X249" s="5"/>
      <c r="Y249" s="5"/>
      <c r="Z249" s="5"/>
      <c r="AA249" s="5"/>
    </row>
    <row r="250" spans="1:27" ht="12.75" customHeight="1">
      <c r="A250" s="5"/>
      <c r="B250" s="5"/>
      <c r="C250" s="5"/>
      <c r="D250" s="5"/>
      <c r="E250" s="5"/>
      <c r="F250" s="5"/>
      <c r="G250" s="5"/>
      <c r="H250" s="306"/>
      <c r="I250" s="306"/>
      <c r="J250" s="5"/>
      <c r="K250" s="5"/>
      <c r="L250" s="5"/>
      <c r="M250" s="5"/>
      <c r="N250" s="5"/>
      <c r="O250" s="5"/>
      <c r="P250" s="57"/>
      <c r="Q250" s="5"/>
      <c r="R250" s="5"/>
      <c r="S250" s="5"/>
      <c r="T250" s="5"/>
      <c r="U250" s="5"/>
      <c r="V250" s="5"/>
      <c r="W250" s="5"/>
      <c r="X250" s="5"/>
      <c r="Y250" s="5"/>
      <c r="Z250" s="5"/>
      <c r="AA250" s="5"/>
    </row>
    <row r="251" spans="1:27" ht="12.75" customHeight="1">
      <c r="A251" s="5"/>
      <c r="B251" s="5"/>
      <c r="C251" s="5"/>
      <c r="D251" s="5"/>
      <c r="E251" s="5"/>
      <c r="F251" s="5"/>
      <c r="G251" s="5"/>
      <c r="H251" s="306"/>
      <c r="I251" s="306"/>
      <c r="J251" s="5"/>
      <c r="K251" s="5"/>
      <c r="L251" s="5"/>
      <c r="M251" s="5"/>
      <c r="N251" s="5"/>
      <c r="O251" s="5"/>
      <c r="P251" s="57"/>
      <c r="Q251" s="5"/>
      <c r="R251" s="5"/>
      <c r="S251" s="5"/>
      <c r="T251" s="5"/>
      <c r="U251" s="5"/>
      <c r="V251" s="5"/>
      <c r="W251" s="5"/>
      <c r="X251" s="5"/>
      <c r="Y251" s="5"/>
      <c r="Z251" s="5"/>
      <c r="AA251" s="5"/>
    </row>
    <row r="252" spans="1:27" ht="12.75" customHeight="1">
      <c r="A252" s="5"/>
      <c r="B252" s="5"/>
      <c r="C252" s="5"/>
      <c r="D252" s="5"/>
      <c r="E252" s="5"/>
      <c r="F252" s="5"/>
      <c r="G252" s="5"/>
      <c r="H252" s="306"/>
      <c r="I252" s="306"/>
      <c r="J252" s="5"/>
      <c r="K252" s="5"/>
      <c r="L252" s="5"/>
      <c r="M252" s="5"/>
      <c r="N252" s="5"/>
      <c r="O252" s="5"/>
      <c r="P252" s="57"/>
      <c r="Q252" s="5"/>
      <c r="R252" s="5"/>
      <c r="S252" s="5"/>
      <c r="T252" s="5"/>
      <c r="U252" s="5"/>
      <c r="V252" s="5"/>
      <c r="W252" s="5"/>
      <c r="X252" s="5"/>
      <c r="Y252" s="5"/>
      <c r="Z252" s="5"/>
      <c r="AA252" s="5"/>
    </row>
    <row r="253" spans="1:27" ht="12.75" customHeight="1">
      <c r="A253" s="5"/>
      <c r="B253" s="5"/>
      <c r="C253" s="5"/>
      <c r="D253" s="5"/>
      <c r="E253" s="5"/>
      <c r="F253" s="5"/>
      <c r="G253" s="5"/>
      <c r="H253" s="306"/>
      <c r="I253" s="306"/>
      <c r="J253" s="5"/>
      <c r="K253" s="5"/>
      <c r="L253" s="5"/>
      <c r="M253" s="5"/>
      <c r="N253" s="5"/>
      <c r="O253" s="5"/>
      <c r="P253" s="57"/>
      <c r="Q253" s="5"/>
      <c r="R253" s="5"/>
      <c r="S253" s="5"/>
      <c r="T253" s="5"/>
      <c r="U253" s="5"/>
      <c r="V253" s="5"/>
      <c r="W253" s="5"/>
      <c r="X253" s="5"/>
      <c r="Y253" s="5"/>
      <c r="Z253" s="5"/>
      <c r="AA253" s="5"/>
    </row>
    <row r="254" spans="1:27" ht="12.75" customHeight="1">
      <c r="A254" s="5"/>
      <c r="B254" s="5"/>
      <c r="C254" s="5"/>
      <c r="D254" s="5"/>
      <c r="E254" s="5"/>
      <c r="F254" s="5"/>
      <c r="G254" s="5"/>
      <c r="H254" s="306"/>
      <c r="I254" s="306"/>
      <c r="J254" s="5"/>
      <c r="K254" s="5"/>
      <c r="L254" s="5"/>
      <c r="M254" s="5"/>
      <c r="N254" s="5"/>
      <c r="O254" s="5"/>
      <c r="P254" s="57"/>
      <c r="Q254" s="5"/>
      <c r="R254" s="5"/>
      <c r="S254" s="5"/>
      <c r="T254" s="5"/>
      <c r="U254" s="5"/>
      <c r="V254" s="5"/>
      <c r="W254" s="5"/>
      <c r="X254" s="5"/>
      <c r="Y254" s="5"/>
      <c r="Z254" s="5"/>
      <c r="AA254" s="5"/>
    </row>
    <row r="255" spans="1:27" ht="12.75" customHeight="1">
      <c r="A255" s="5"/>
      <c r="B255" s="5"/>
      <c r="C255" s="5"/>
      <c r="D255" s="5"/>
      <c r="E255" s="5"/>
      <c r="F255" s="5"/>
      <c r="G255" s="5"/>
      <c r="H255" s="306"/>
      <c r="I255" s="306"/>
      <c r="J255" s="5"/>
      <c r="K255" s="5"/>
      <c r="L255" s="5"/>
      <c r="M255" s="5"/>
      <c r="N255" s="5"/>
      <c r="O255" s="5"/>
      <c r="P255" s="57"/>
      <c r="Q255" s="5"/>
      <c r="R255" s="5"/>
      <c r="S255" s="5"/>
      <c r="T255" s="5"/>
      <c r="U255" s="5"/>
      <c r="V255" s="5"/>
      <c r="W255" s="5"/>
      <c r="X255" s="5"/>
      <c r="Y255" s="5"/>
      <c r="Z255" s="5"/>
      <c r="AA255" s="5"/>
    </row>
    <row r="256" spans="1:27" ht="12.75" customHeight="1">
      <c r="A256" s="5"/>
      <c r="B256" s="5"/>
      <c r="C256" s="5"/>
      <c r="D256" s="5"/>
      <c r="E256" s="5"/>
      <c r="F256" s="5"/>
      <c r="G256" s="5"/>
      <c r="H256" s="306"/>
      <c r="I256" s="306"/>
      <c r="J256" s="5"/>
      <c r="K256" s="5"/>
      <c r="L256" s="5"/>
      <c r="M256" s="5"/>
      <c r="N256" s="5"/>
      <c r="O256" s="5"/>
      <c r="P256" s="57"/>
      <c r="Q256" s="5"/>
      <c r="R256" s="5"/>
      <c r="S256" s="5"/>
      <c r="T256" s="5"/>
      <c r="U256" s="5"/>
      <c r="V256" s="5"/>
      <c r="W256" s="5"/>
      <c r="X256" s="5"/>
      <c r="Y256" s="5"/>
      <c r="Z256" s="5"/>
      <c r="AA256" s="5"/>
    </row>
    <row r="257" spans="1:27" ht="12.75" customHeight="1">
      <c r="A257" s="5"/>
      <c r="B257" s="5"/>
      <c r="C257" s="5"/>
      <c r="D257" s="5"/>
      <c r="E257" s="5"/>
      <c r="F257" s="5"/>
      <c r="G257" s="5"/>
      <c r="H257" s="306"/>
      <c r="I257" s="306"/>
      <c r="J257" s="5"/>
      <c r="K257" s="5"/>
      <c r="L257" s="5"/>
      <c r="M257" s="5"/>
      <c r="N257" s="5"/>
      <c r="O257" s="5"/>
      <c r="P257" s="57"/>
      <c r="Q257" s="5"/>
      <c r="R257" s="5"/>
      <c r="S257" s="5"/>
      <c r="T257" s="5"/>
      <c r="U257" s="5"/>
      <c r="V257" s="5"/>
      <c r="W257" s="5"/>
      <c r="X257" s="5"/>
      <c r="Y257" s="5"/>
      <c r="Z257" s="5"/>
      <c r="AA257" s="5"/>
    </row>
    <row r="258" spans="1:27" ht="12.75" customHeight="1">
      <c r="A258" s="5"/>
      <c r="B258" s="5"/>
      <c r="C258" s="5"/>
      <c r="D258" s="5"/>
      <c r="E258" s="5"/>
      <c r="F258" s="5"/>
      <c r="G258" s="5"/>
      <c r="H258" s="306"/>
      <c r="I258" s="306"/>
      <c r="J258" s="5"/>
      <c r="K258" s="5"/>
      <c r="L258" s="5"/>
      <c r="M258" s="5"/>
      <c r="N258" s="5"/>
      <c r="O258" s="5"/>
      <c r="P258" s="57"/>
      <c r="Q258" s="5"/>
      <c r="R258" s="5"/>
      <c r="S258" s="5"/>
      <c r="T258" s="5"/>
      <c r="U258" s="5"/>
      <c r="V258" s="5"/>
      <c r="W258" s="5"/>
      <c r="X258" s="5"/>
      <c r="Y258" s="5"/>
      <c r="Z258" s="5"/>
      <c r="AA258" s="5"/>
    </row>
    <row r="259" spans="1:27" ht="12.75" customHeight="1">
      <c r="A259" s="5"/>
      <c r="B259" s="5"/>
      <c r="C259" s="5"/>
      <c r="D259" s="5"/>
      <c r="E259" s="5"/>
      <c r="F259" s="5"/>
      <c r="G259" s="5"/>
      <c r="H259" s="306"/>
      <c r="I259" s="306"/>
      <c r="J259" s="5"/>
      <c r="K259" s="5"/>
      <c r="L259" s="5"/>
      <c r="M259" s="5"/>
      <c r="N259" s="5"/>
      <c r="O259" s="5"/>
      <c r="P259" s="57"/>
      <c r="Q259" s="5"/>
      <c r="R259" s="5"/>
      <c r="S259" s="5"/>
      <c r="T259" s="5"/>
      <c r="U259" s="5"/>
      <c r="V259" s="5"/>
      <c r="W259" s="5"/>
      <c r="X259" s="5"/>
      <c r="Y259" s="5"/>
      <c r="Z259" s="5"/>
      <c r="AA259" s="5"/>
    </row>
    <row r="260" spans="1:27" ht="12.75" customHeight="1">
      <c r="A260" s="5"/>
      <c r="B260" s="5"/>
      <c r="C260" s="5"/>
      <c r="D260" s="5"/>
      <c r="E260" s="5"/>
      <c r="F260" s="5"/>
      <c r="G260" s="5"/>
      <c r="H260" s="306"/>
      <c r="I260" s="306"/>
      <c r="J260" s="5"/>
      <c r="K260" s="5"/>
      <c r="L260" s="5"/>
      <c r="M260" s="5"/>
      <c r="N260" s="5"/>
      <c r="O260" s="5"/>
      <c r="P260" s="57"/>
      <c r="Q260" s="5"/>
      <c r="R260" s="5"/>
      <c r="S260" s="5"/>
      <c r="T260" s="5"/>
      <c r="U260" s="5"/>
      <c r="V260" s="5"/>
      <c r="W260" s="5"/>
      <c r="X260" s="5"/>
      <c r="Y260" s="5"/>
      <c r="Z260" s="5"/>
      <c r="AA260" s="5"/>
    </row>
    <row r="261" spans="1:27" ht="12.75" customHeight="1">
      <c r="A261" s="5"/>
      <c r="B261" s="5"/>
      <c r="C261" s="5"/>
      <c r="D261" s="5"/>
      <c r="E261" s="5"/>
      <c r="F261" s="5"/>
      <c r="G261" s="5"/>
      <c r="H261" s="306"/>
      <c r="I261" s="306"/>
      <c r="J261" s="5"/>
      <c r="K261" s="5"/>
      <c r="L261" s="5"/>
      <c r="M261" s="5"/>
      <c r="N261" s="5"/>
      <c r="O261" s="5"/>
      <c r="P261" s="57"/>
      <c r="Q261" s="5"/>
      <c r="R261" s="5"/>
      <c r="S261" s="5"/>
      <c r="T261" s="5"/>
      <c r="U261" s="5"/>
      <c r="V261" s="5"/>
      <c r="W261" s="5"/>
      <c r="X261" s="5"/>
      <c r="Y261" s="5"/>
      <c r="Z261" s="5"/>
      <c r="AA261" s="5"/>
    </row>
    <row r="262" spans="1:27" ht="12.75" customHeight="1">
      <c r="A262" s="5"/>
      <c r="B262" s="5"/>
      <c r="C262" s="5"/>
      <c r="D262" s="5"/>
      <c r="E262" s="5"/>
      <c r="F262" s="5"/>
      <c r="G262" s="5"/>
      <c r="H262" s="306"/>
      <c r="I262" s="306"/>
      <c r="J262" s="5"/>
      <c r="K262" s="5"/>
      <c r="L262" s="5"/>
      <c r="M262" s="5"/>
      <c r="N262" s="5"/>
      <c r="O262" s="5"/>
      <c r="P262" s="57"/>
      <c r="Q262" s="5"/>
      <c r="R262" s="5"/>
      <c r="S262" s="5"/>
      <c r="T262" s="5"/>
      <c r="U262" s="5"/>
      <c r="V262" s="5"/>
      <c r="W262" s="5"/>
      <c r="X262" s="5"/>
      <c r="Y262" s="5"/>
      <c r="Z262" s="5"/>
      <c r="AA262" s="5"/>
    </row>
    <row r="263" spans="1:27" ht="12.75" customHeight="1">
      <c r="A263" s="5"/>
      <c r="B263" s="5"/>
      <c r="C263" s="5"/>
      <c r="D263" s="5"/>
      <c r="E263" s="5"/>
      <c r="F263" s="5"/>
      <c r="G263" s="5"/>
      <c r="H263" s="306"/>
      <c r="I263" s="306"/>
      <c r="J263" s="5"/>
      <c r="K263" s="5"/>
      <c r="L263" s="5"/>
      <c r="M263" s="5"/>
      <c r="N263" s="5"/>
      <c r="O263" s="5"/>
      <c r="P263" s="57"/>
      <c r="Q263" s="5"/>
      <c r="R263" s="5"/>
      <c r="S263" s="5"/>
      <c r="T263" s="5"/>
      <c r="U263" s="5"/>
      <c r="V263" s="5"/>
      <c r="W263" s="5"/>
      <c r="X263" s="5"/>
      <c r="Y263" s="5"/>
      <c r="Z263" s="5"/>
      <c r="AA263" s="5"/>
    </row>
    <row r="264" spans="1:27" ht="12.75" customHeight="1">
      <c r="A264" s="5"/>
      <c r="B264" s="5"/>
      <c r="C264" s="5"/>
      <c r="D264" s="5"/>
      <c r="E264" s="5"/>
      <c r="F264" s="5"/>
      <c r="G264" s="5"/>
      <c r="H264" s="306"/>
      <c r="I264" s="306"/>
      <c r="J264" s="5"/>
      <c r="K264" s="5"/>
      <c r="L264" s="5"/>
      <c r="M264" s="5"/>
      <c r="N264" s="5"/>
      <c r="O264" s="5"/>
      <c r="P264" s="57"/>
      <c r="Q264" s="5"/>
      <c r="R264" s="5"/>
      <c r="S264" s="5"/>
      <c r="T264" s="5"/>
      <c r="U264" s="5"/>
      <c r="V264" s="5"/>
      <c r="W264" s="5"/>
      <c r="X264" s="5"/>
      <c r="Y264" s="5"/>
      <c r="Z264" s="5"/>
      <c r="AA264" s="5"/>
    </row>
    <row r="265" spans="1:27" ht="12.75" customHeight="1">
      <c r="A265" s="5"/>
      <c r="B265" s="5"/>
      <c r="C265" s="5"/>
      <c r="D265" s="5"/>
      <c r="E265" s="5"/>
      <c r="F265" s="5"/>
      <c r="G265" s="5"/>
      <c r="H265" s="306"/>
      <c r="I265" s="306"/>
      <c r="J265" s="5"/>
      <c r="K265" s="5"/>
      <c r="L265" s="5"/>
      <c r="M265" s="5"/>
      <c r="N265" s="5"/>
      <c r="O265" s="5"/>
      <c r="P265" s="57"/>
      <c r="Q265" s="5"/>
      <c r="R265" s="5"/>
      <c r="S265" s="5"/>
      <c r="T265" s="5"/>
      <c r="U265" s="5"/>
      <c r="V265" s="5"/>
      <c r="W265" s="5"/>
      <c r="X265" s="5"/>
      <c r="Y265" s="5"/>
      <c r="Z265" s="5"/>
      <c r="AA265" s="5"/>
    </row>
    <row r="266" spans="1:27" ht="12.75" customHeight="1">
      <c r="A266" s="5"/>
      <c r="B266" s="5"/>
      <c r="C266" s="5"/>
      <c r="D266" s="5"/>
      <c r="E266" s="5"/>
      <c r="F266" s="5"/>
      <c r="G266" s="5"/>
      <c r="H266" s="306"/>
      <c r="I266" s="306"/>
      <c r="J266" s="5"/>
      <c r="K266" s="5"/>
      <c r="L266" s="5"/>
      <c r="M266" s="5"/>
      <c r="N266" s="5"/>
      <c r="O266" s="5"/>
      <c r="P266" s="57"/>
      <c r="Q266" s="5"/>
      <c r="R266" s="5"/>
      <c r="S266" s="5"/>
      <c r="T266" s="5"/>
      <c r="U266" s="5"/>
      <c r="V266" s="5"/>
      <c r="W266" s="5"/>
      <c r="X266" s="5"/>
      <c r="Y266" s="5"/>
      <c r="Z266" s="5"/>
      <c r="AA266" s="5"/>
    </row>
    <row r="267" spans="1:27" ht="12.75" customHeight="1">
      <c r="A267" s="5"/>
      <c r="B267" s="5"/>
      <c r="C267" s="5"/>
      <c r="D267" s="5"/>
      <c r="E267" s="5"/>
      <c r="F267" s="5"/>
      <c r="G267" s="5"/>
      <c r="H267" s="306"/>
      <c r="I267" s="306"/>
      <c r="J267" s="5"/>
      <c r="K267" s="5"/>
      <c r="L267" s="5"/>
      <c r="M267" s="5"/>
      <c r="N267" s="5"/>
      <c r="O267" s="5"/>
      <c r="P267" s="57"/>
      <c r="Q267" s="5"/>
      <c r="R267" s="5"/>
      <c r="S267" s="5"/>
      <c r="T267" s="5"/>
      <c r="U267" s="5"/>
      <c r="V267" s="5"/>
      <c r="W267" s="5"/>
      <c r="X267" s="5"/>
      <c r="Y267" s="5"/>
      <c r="Z267" s="5"/>
      <c r="AA267" s="5"/>
    </row>
    <row r="268" spans="1:27" ht="12.75" customHeight="1">
      <c r="A268" s="5"/>
      <c r="B268" s="5"/>
      <c r="C268" s="5"/>
      <c r="D268" s="5"/>
      <c r="E268" s="5"/>
      <c r="F268" s="5"/>
      <c r="G268" s="5"/>
      <c r="H268" s="306"/>
      <c r="I268" s="306"/>
      <c r="J268" s="5"/>
      <c r="K268" s="5"/>
      <c r="L268" s="5"/>
      <c r="M268" s="5"/>
      <c r="N268" s="5"/>
      <c r="O268" s="5"/>
      <c r="P268" s="57"/>
      <c r="Q268" s="5"/>
      <c r="R268" s="5"/>
      <c r="S268" s="5"/>
      <c r="T268" s="5"/>
      <c r="U268" s="5"/>
      <c r="V268" s="5"/>
      <c r="W268" s="5"/>
      <c r="X268" s="5"/>
      <c r="Y268" s="5"/>
      <c r="Z268" s="5"/>
      <c r="AA268" s="5"/>
    </row>
    <row r="269" spans="1:27" ht="12.75" customHeight="1">
      <c r="A269" s="5"/>
      <c r="B269" s="5"/>
      <c r="C269" s="5"/>
      <c r="D269" s="5"/>
      <c r="E269" s="5"/>
      <c r="F269" s="5"/>
      <c r="G269" s="5"/>
      <c r="H269" s="306"/>
      <c r="I269" s="306"/>
      <c r="J269" s="5"/>
      <c r="K269" s="5"/>
      <c r="L269" s="5"/>
      <c r="M269" s="5"/>
      <c r="N269" s="5"/>
      <c r="O269" s="5"/>
      <c r="P269" s="57"/>
      <c r="Q269" s="5"/>
      <c r="R269" s="5"/>
      <c r="S269" s="5"/>
      <c r="T269" s="5"/>
      <c r="U269" s="5"/>
      <c r="V269" s="5"/>
      <c r="W269" s="5"/>
      <c r="X269" s="5"/>
      <c r="Y269" s="5"/>
      <c r="Z269" s="5"/>
      <c r="AA269" s="5"/>
    </row>
    <row r="270" spans="1:27" ht="12.75" customHeight="1">
      <c r="A270" s="5"/>
      <c r="B270" s="5"/>
      <c r="C270" s="5"/>
      <c r="D270" s="5"/>
      <c r="E270" s="5"/>
      <c r="F270" s="5"/>
      <c r="G270" s="5"/>
      <c r="H270" s="306"/>
      <c r="I270" s="306"/>
      <c r="J270" s="5"/>
      <c r="K270" s="5"/>
      <c r="L270" s="5"/>
      <c r="M270" s="5"/>
      <c r="N270" s="5"/>
      <c r="O270" s="5"/>
      <c r="P270" s="57"/>
      <c r="Q270" s="5"/>
      <c r="R270" s="5"/>
      <c r="S270" s="5"/>
      <c r="T270" s="5"/>
      <c r="U270" s="5"/>
      <c r="V270" s="5"/>
      <c r="W270" s="5"/>
      <c r="X270" s="5"/>
      <c r="Y270" s="5"/>
      <c r="Z270" s="5"/>
      <c r="AA270" s="5"/>
    </row>
    <row r="271" spans="1:27" ht="12.75" customHeight="1">
      <c r="A271" s="5"/>
      <c r="B271" s="5"/>
      <c r="C271" s="5"/>
      <c r="D271" s="5"/>
      <c r="E271" s="5"/>
      <c r="F271" s="5"/>
      <c r="G271" s="5"/>
      <c r="H271" s="306"/>
      <c r="I271" s="306"/>
      <c r="J271" s="5"/>
      <c r="K271" s="5"/>
      <c r="L271" s="5"/>
      <c r="M271" s="5"/>
      <c r="N271" s="5"/>
      <c r="O271" s="5"/>
      <c r="P271" s="57"/>
      <c r="Q271" s="5"/>
      <c r="R271" s="5"/>
      <c r="S271" s="5"/>
      <c r="T271" s="5"/>
      <c r="U271" s="5"/>
      <c r="V271" s="5"/>
      <c r="W271" s="5"/>
      <c r="X271" s="5"/>
      <c r="Y271" s="5"/>
      <c r="Z271" s="5"/>
      <c r="AA271" s="5"/>
    </row>
    <row r="272" spans="1:27" ht="12.75" customHeight="1">
      <c r="A272" s="5"/>
      <c r="B272" s="5"/>
      <c r="C272" s="5"/>
      <c r="D272" s="5"/>
      <c r="E272" s="5"/>
      <c r="F272" s="5"/>
      <c r="G272" s="5"/>
      <c r="H272" s="306"/>
      <c r="I272" s="306"/>
      <c r="J272" s="5"/>
      <c r="K272" s="5"/>
      <c r="L272" s="5"/>
      <c r="M272" s="5"/>
      <c r="N272" s="5"/>
      <c r="O272" s="5"/>
      <c r="P272" s="57"/>
      <c r="Q272" s="5"/>
      <c r="R272" s="5"/>
      <c r="S272" s="5"/>
      <c r="T272" s="5"/>
      <c r="U272" s="5"/>
      <c r="V272" s="5"/>
      <c r="W272" s="5"/>
      <c r="X272" s="5"/>
      <c r="Y272" s="5"/>
      <c r="Z272" s="5"/>
      <c r="AA272" s="5"/>
    </row>
    <row r="273" spans="1:27" ht="12.75" customHeight="1">
      <c r="A273" s="5"/>
      <c r="B273" s="5"/>
      <c r="C273" s="5"/>
      <c r="D273" s="5"/>
      <c r="E273" s="5"/>
      <c r="F273" s="5"/>
      <c r="G273" s="5"/>
      <c r="H273" s="306"/>
      <c r="I273" s="306"/>
      <c r="J273" s="5"/>
      <c r="K273" s="5"/>
      <c r="L273" s="5"/>
      <c r="M273" s="5"/>
      <c r="N273" s="5"/>
      <c r="O273" s="5"/>
      <c r="P273" s="57"/>
      <c r="Q273" s="5"/>
      <c r="R273" s="5"/>
      <c r="S273" s="5"/>
      <c r="T273" s="5"/>
      <c r="U273" s="5"/>
      <c r="V273" s="5"/>
      <c r="W273" s="5"/>
      <c r="X273" s="5"/>
      <c r="Y273" s="5"/>
      <c r="Z273" s="5"/>
      <c r="AA273" s="5"/>
    </row>
    <row r="274" spans="1:27" ht="12.75" customHeight="1">
      <c r="A274" s="5"/>
      <c r="B274" s="5"/>
      <c r="C274" s="5"/>
      <c r="D274" s="5"/>
      <c r="E274" s="5"/>
      <c r="F274" s="5"/>
      <c r="G274" s="5"/>
      <c r="H274" s="306"/>
      <c r="I274" s="306"/>
      <c r="J274" s="5"/>
      <c r="K274" s="5"/>
      <c r="L274" s="5"/>
      <c r="M274" s="5"/>
      <c r="N274" s="5"/>
      <c r="O274" s="5"/>
      <c r="P274" s="57"/>
      <c r="Q274" s="5"/>
      <c r="R274" s="5"/>
      <c r="S274" s="5"/>
      <c r="T274" s="5"/>
      <c r="U274" s="5"/>
      <c r="V274" s="5"/>
      <c r="W274" s="5"/>
      <c r="X274" s="5"/>
      <c r="Y274" s="5"/>
      <c r="Z274" s="5"/>
      <c r="AA274" s="5"/>
    </row>
    <row r="275" spans="1:27" ht="12.75" customHeight="1">
      <c r="A275" s="5"/>
      <c r="B275" s="5"/>
      <c r="C275" s="5"/>
      <c r="D275" s="5"/>
      <c r="E275" s="5"/>
      <c r="F275" s="5"/>
      <c r="G275" s="5"/>
      <c r="H275" s="306"/>
      <c r="I275" s="306"/>
      <c r="J275" s="5"/>
      <c r="K275" s="5"/>
      <c r="L275" s="5"/>
      <c r="M275" s="5"/>
      <c r="N275" s="5"/>
      <c r="O275" s="5"/>
      <c r="P275" s="57"/>
      <c r="Q275" s="5"/>
      <c r="R275" s="5"/>
      <c r="S275" s="5"/>
      <c r="T275" s="5"/>
      <c r="U275" s="5"/>
      <c r="V275" s="5"/>
      <c r="W275" s="5"/>
      <c r="X275" s="5"/>
      <c r="Y275" s="5"/>
      <c r="Z275" s="5"/>
      <c r="AA275" s="5"/>
    </row>
    <row r="276" spans="1:27" ht="12.75" customHeight="1">
      <c r="A276" s="5"/>
      <c r="B276" s="5"/>
      <c r="C276" s="5"/>
      <c r="D276" s="5"/>
      <c r="E276" s="5"/>
      <c r="F276" s="5"/>
      <c r="G276" s="5"/>
      <c r="H276" s="306"/>
      <c r="I276" s="306"/>
      <c r="J276" s="5"/>
      <c r="K276" s="5"/>
      <c r="L276" s="5"/>
      <c r="M276" s="5"/>
      <c r="N276" s="5"/>
      <c r="O276" s="5"/>
      <c r="P276" s="57"/>
      <c r="Q276" s="5"/>
      <c r="R276" s="5"/>
      <c r="S276" s="5"/>
      <c r="T276" s="5"/>
      <c r="U276" s="5"/>
      <c r="V276" s="5"/>
      <c r="W276" s="5"/>
      <c r="X276" s="5"/>
      <c r="Y276" s="5"/>
      <c r="Z276" s="5"/>
      <c r="AA276" s="5"/>
    </row>
    <row r="277" spans="1:27" ht="12.75" customHeight="1">
      <c r="A277" s="5"/>
      <c r="B277" s="5"/>
      <c r="C277" s="5"/>
      <c r="D277" s="5"/>
      <c r="E277" s="5"/>
      <c r="F277" s="5"/>
      <c r="G277" s="5"/>
      <c r="H277" s="306"/>
      <c r="I277" s="306"/>
      <c r="J277" s="5"/>
      <c r="K277" s="5"/>
      <c r="L277" s="5"/>
      <c r="M277" s="5"/>
      <c r="N277" s="5"/>
      <c r="O277" s="5"/>
      <c r="P277" s="57"/>
      <c r="Q277" s="5"/>
      <c r="R277" s="5"/>
      <c r="S277" s="5"/>
      <c r="T277" s="5"/>
      <c r="U277" s="5"/>
      <c r="V277" s="5"/>
      <c r="W277" s="5"/>
      <c r="X277" s="5"/>
      <c r="Y277" s="5"/>
      <c r="Z277" s="5"/>
      <c r="AA277" s="5"/>
    </row>
    <row r="278" spans="1:27" ht="12.75" customHeight="1">
      <c r="A278" s="5"/>
      <c r="B278" s="5"/>
      <c r="C278" s="5"/>
      <c r="D278" s="5"/>
      <c r="E278" s="5"/>
      <c r="F278" s="5"/>
      <c r="G278" s="5"/>
      <c r="H278" s="306"/>
      <c r="I278" s="306"/>
      <c r="J278" s="5"/>
      <c r="K278" s="5"/>
      <c r="L278" s="5"/>
      <c r="M278" s="5"/>
      <c r="N278" s="5"/>
      <c r="O278" s="5"/>
      <c r="P278" s="57"/>
      <c r="Q278" s="5"/>
      <c r="R278" s="5"/>
      <c r="S278" s="5"/>
      <c r="T278" s="5"/>
      <c r="U278" s="5"/>
      <c r="V278" s="5"/>
      <c r="W278" s="5"/>
      <c r="X278" s="5"/>
      <c r="Y278" s="5"/>
      <c r="Z278" s="5"/>
      <c r="AA278" s="5"/>
    </row>
    <row r="279" spans="1:27" ht="12.75" customHeight="1">
      <c r="A279" s="5"/>
      <c r="B279" s="5"/>
      <c r="C279" s="5"/>
      <c r="D279" s="5"/>
      <c r="E279" s="5"/>
      <c r="F279" s="5"/>
      <c r="G279" s="5"/>
      <c r="H279" s="306"/>
      <c r="I279" s="306"/>
      <c r="J279" s="5"/>
      <c r="K279" s="5"/>
      <c r="L279" s="5"/>
      <c r="M279" s="5"/>
      <c r="N279" s="5"/>
      <c r="O279" s="5"/>
      <c r="P279" s="57"/>
      <c r="Q279" s="5"/>
      <c r="R279" s="5"/>
      <c r="S279" s="5"/>
      <c r="T279" s="5"/>
      <c r="U279" s="5"/>
      <c r="V279" s="5"/>
      <c r="W279" s="5"/>
      <c r="X279" s="5"/>
      <c r="Y279" s="5"/>
      <c r="Z279" s="5"/>
      <c r="AA279" s="5"/>
    </row>
    <row r="280" spans="1:27" ht="12.75" customHeight="1">
      <c r="A280" s="5"/>
      <c r="B280" s="5"/>
      <c r="C280" s="5"/>
      <c r="D280" s="5"/>
      <c r="E280" s="5"/>
      <c r="F280" s="5"/>
      <c r="G280" s="5"/>
      <c r="H280" s="306"/>
      <c r="I280" s="306"/>
      <c r="J280" s="5"/>
      <c r="K280" s="5"/>
      <c r="L280" s="5"/>
      <c r="M280" s="5"/>
      <c r="N280" s="5"/>
      <c r="O280" s="5"/>
      <c r="P280" s="57"/>
      <c r="Q280" s="5"/>
      <c r="R280" s="5"/>
      <c r="S280" s="5"/>
      <c r="T280" s="5"/>
      <c r="U280" s="5"/>
      <c r="V280" s="5"/>
      <c r="W280" s="5"/>
      <c r="X280" s="5"/>
      <c r="Y280" s="5"/>
      <c r="Z280" s="5"/>
      <c r="AA280" s="5"/>
    </row>
    <row r="281" spans="1:27" ht="12.75" customHeight="1">
      <c r="A281" s="5"/>
      <c r="B281" s="5"/>
      <c r="C281" s="5"/>
      <c r="D281" s="5"/>
      <c r="E281" s="5"/>
      <c r="F281" s="5"/>
      <c r="G281" s="5"/>
      <c r="H281" s="306"/>
      <c r="I281" s="306"/>
      <c r="J281" s="5"/>
      <c r="K281" s="5"/>
      <c r="L281" s="5"/>
      <c r="M281" s="5"/>
      <c r="N281" s="5"/>
      <c r="O281" s="5"/>
      <c r="P281" s="57"/>
      <c r="Q281" s="5"/>
      <c r="R281" s="5"/>
      <c r="S281" s="5"/>
      <c r="T281" s="5"/>
      <c r="U281" s="5"/>
      <c r="V281" s="5"/>
      <c r="W281" s="5"/>
      <c r="X281" s="5"/>
      <c r="Y281" s="5"/>
      <c r="Z281" s="5"/>
      <c r="AA281" s="5"/>
    </row>
    <row r="282" spans="1:27" ht="12.75" customHeight="1">
      <c r="A282" s="5"/>
      <c r="B282" s="5"/>
      <c r="C282" s="5"/>
      <c r="D282" s="5"/>
      <c r="E282" s="5"/>
      <c r="F282" s="5"/>
      <c r="G282" s="5"/>
      <c r="H282" s="306"/>
      <c r="I282" s="306"/>
      <c r="J282" s="5"/>
      <c r="K282" s="5"/>
      <c r="L282" s="5"/>
      <c r="M282" s="5"/>
      <c r="N282" s="5"/>
      <c r="O282" s="5"/>
      <c r="P282" s="57"/>
      <c r="Q282" s="5"/>
      <c r="R282" s="5"/>
      <c r="S282" s="5"/>
      <c r="T282" s="5"/>
      <c r="U282" s="5"/>
      <c r="V282" s="5"/>
      <c r="W282" s="5"/>
      <c r="X282" s="5"/>
      <c r="Y282" s="5"/>
      <c r="Z282" s="5"/>
      <c r="AA282" s="5"/>
    </row>
    <row r="283" spans="1:27" ht="12.75" customHeight="1">
      <c r="A283" s="5"/>
      <c r="B283" s="5"/>
      <c r="C283" s="5"/>
      <c r="D283" s="5"/>
      <c r="E283" s="5"/>
      <c r="F283" s="5"/>
      <c r="G283" s="5"/>
      <c r="H283" s="306"/>
      <c r="I283" s="306"/>
      <c r="J283" s="5"/>
      <c r="K283" s="5"/>
      <c r="L283" s="5"/>
      <c r="M283" s="5"/>
      <c r="N283" s="5"/>
      <c r="O283" s="5"/>
      <c r="P283" s="57"/>
      <c r="Q283" s="5"/>
      <c r="R283" s="5"/>
      <c r="S283" s="5"/>
      <c r="T283" s="5"/>
      <c r="U283" s="5"/>
      <c r="V283" s="5"/>
      <c r="W283" s="5"/>
      <c r="X283" s="5"/>
      <c r="Y283" s="5"/>
      <c r="Z283" s="5"/>
      <c r="AA283" s="5"/>
    </row>
    <row r="284" spans="1:27" ht="12.75" customHeight="1">
      <c r="A284" s="5"/>
      <c r="B284" s="5"/>
      <c r="C284" s="5"/>
      <c r="D284" s="5"/>
      <c r="E284" s="5"/>
      <c r="F284" s="5"/>
      <c r="G284" s="5"/>
      <c r="H284" s="306"/>
      <c r="I284" s="306"/>
      <c r="J284" s="5"/>
      <c r="K284" s="5"/>
      <c r="L284" s="5"/>
      <c r="M284" s="5"/>
      <c r="N284" s="5"/>
      <c r="O284" s="5"/>
      <c r="P284" s="57"/>
      <c r="Q284" s="5"/>
      <c r="R284" s="5"/>
      <c r="S284" s="5"/>
      <c r="T284" s="5"/>
      <c r="U284" s="5"/>
      <c r="V284" s="5"/>
      <c r="W284" s="5"/>
      <c r="X284" s="5"/>
      <c r="Y284" s="5"/>
      <c r="Z284" s="5"/>
      <c r="AA284" s="5"/>
    </row>
    <row r="285" spans="1:27" ht="12.75" customHeight="1">
      <c r="A285" s="5"/>
      <c r="B285" s="5"/>
      <c r="C285" s="5"/>
      <c r="D285" s="5"/>
      <c r="E285" s="5"/>
      <c r="F285" s="5"/>
      <c r="G285" s="5"/>
      <c r="H285" s="306"/>
      <c r="I285" s="306"/>
      <c r="J285" s="5"/>
      <c r="K285" s="5"/>
      <c r="L285" s="5"/>
      <c r="M285" s="5"/>
      <c r="N285" s="5"/>
      <c r="O285" s="5"/>
      <c r="P285" s="57"/>
      <c r="Q285" s="5"/>
      <c r="R285" s="5"/>
      <c r="S285" s="5"/>
      <c r="T285" s="5"/>
      <c r="U285" s="5"/>
      <c r="V285" s="5"/>
      <c r="W285" s="5"/>
      <c r="X285" s="5"/>
      <c r="Y285" s="5"/>
      <c r="Z285" s="5"/>
      <c r="AA285" s="5"/>
    </row>
    <row r="286" spans="1:27" ht="12.75" customHeight="1">
      <c r="A286" s="5"/>
      <c r="B286" s="5"/>
      <c r="C286" s="5"/>
      <c r="D286" s="5"/>
      <c r="E286" s="5"/>
      <c r="F286" s="5"/>
      <c r="G286" s="5"/>
      <c r="H286" s="306"/>
      <c r="I286" s="306"/>
      <c r="J286" s="5"/>
      <c r="K286" s="5"/>
      <c r="L286" s="5"/>
      <c r="M286" s="5"/>
      <c r="N286" s="5"/>
      <c r="O286" s="5"/>
      <c r="P286" s="57"/>
      <c r="Q286" s="5"/>
      <c r="R286" s="5"/>
      <c r="S286" s="5"/>
      <c r="T286" s="5"/>
      <c r="U286" s="5"/>
      <c r="V286" s="5"/>
      <c r="W286" s="5"/>
      <c r="X286" s="5"/>
      <c r="Y286" s="5"/>
      <c r="Z286" s="5"/>
      <c r="AA286" s="5"/>
    </row>
    <row r="287" spans="1:27" ht="12.75" customHeight="1">
      <c r="A287" s="5"/>
      <c r="B287" s="5"/>
      <c r="C287" s="5"/>
      <c r="D287" s="5"/>
      <c r="E287" s="5"/>
      <c r="F287" s="5"/>
      <c r="G287" s="5"/>
      <c r="H287" s="306"/>
      <c r="I287" s="306"/>
      <c r="J287" s="5"/>
      <c r="K287" s="5"/>
      <c r="L287" s="5"/>
      <c r="M287" s="5"/>
      <c r="N287" s="5"/>
      <c r="O287" s="5"/>
      <c r="P287" s="57"/>
      <c r="Q287" s="5"/>
      <c r="R287" s="5"/>
      <c r="S287" s="5"/>
      <c r="T287" s="5"/>
      <c r="U287" s="5"/>
      <c r="V287" s="5"/>
      <c r="W287" s="5"/>
      <c r="X287" s="5"/>
      <c r="Y287" s="5"/>
      <c r="Z287" s="5"/>
      <c r="AA287" s="5"/>
    </row>
    <row r="288" spans="1:27" ht="12.75" customHeight="1">
      <c r="A288" s="5"/>
      <c r="B288" s="5"/>
      <c r="C288" s="5"/>
      <c r="D288" s="5"/>
      <c r="E288" s="5"/>
      <c r="F288" s="5"/>
      <c r="G288" s="5"/>
      <c r="H288" s="306"/>
      <c r="I288" s="306"/>
      <c r="J288" s="5"/>
      <c r="K288" s="5"/>
      <c r="L288" s="5"/>
      <c r="M288" s="5"/>
      <c r="N288" s="5"/>
      <c r="O288" s="5"/>
      <c r="P288" s="57"/>
      <c r="Q288" s="5"/>
      <c r="R288" s="5"/>
      <c r="S288" s="5"/>
      <c r="T288" s="5"/>
      <c r="U288" s="5"/>
      <c r="V288" s="5"/>
      <c r="W288" s="5"/>
      <c r="X288" s="5"/>
      <c r="Y288" s="5"/>
      <c r="Z288" s="5"/>
      <c r="AA288" s="5"/>
    </row>
    <row r="289" spans="1:27" ht="12.75" customHeight="1">
      <c r="A289" s="5"/>
      <c r="B289" s="5"/>
      <c r="C289" s="5"/>
      <c r="D289" s="5"/>
      <c r="E289" s="5"/>
      <c r="F289" s="5"/>
      <c r="G289" s="5"/>
      <c r="H289" s="306"/>
      <c r="I289" s="306"/>
      <c r="J289" s="5"/>
      <c r="K289" s="5"/>
      <c r="L289" s="5"/>
      <c r="M289" s="5"/>
      <c r="N289" s="5"/>
      <c r="O289" s="5"/>
      <c r="P289" s="57"/>
      <c r="Q289" s="5"/>
      <c r="R289" s="5"/>
      <c r="S289" s="5"/>
      <c r="T289" s="5"/>
      <c r="U289" s="5"/>
      <c r="V289" s="5"/>
      <c r="W289" s="5"/>
      <c r="X289" s="5"/>
      <c r="Y289" s="5"/>
      <c r="Z289" s="5"/>
      <c r="AA289" s="5"/>
    </row>
    <row r="290" spans="1:27" ht="12.75" customHeight="1">
      <c r="A290" s="5"/>
      <c r="B290" s="5"/>
      <c r="C290" s="5"/>
      <c r="D290" s="5"/>
      <c r="E290" s="5"/>
      <c r="F290" s="5"/>
      <c r="G290" s="5"/>
      <c r="H290" s="306"/>
      <c r="I290" s="306"/>
      <c r="J290" s="5"/>
      <c r="K290" s="5"/>
      <c r="L290" s="5"/>
      <c r="M290" s="5"/>
      <c r="N290" s="5"/>
      <c r="O290" s="5"/>
      <c r="P290" s="57"/>
      <c r="Q290" s="5"/>
      <c r="R290" s="5"/>
      <c r="S290" s="5"/>
      <c r="T290" s="5"/>
      <c r="U290" s="5"/>
      <c r="V290" s="5"/>
      <c r="W290" s="5"/>
      <c r="X290" s="5"/>
      <c r="Y290" s="5"/>
      <c r="Z290" s="5"/>
      <c r="AA290" s="5"/>
    </row>
    <row r="291" spans="1:27" ht="12.75" customHeight="1">
      <c r="A291" s="5"/>
      <c r="B291" s="5"/>
      <c r="C291" s="5"/>
      <c r="D291" s="5"/>
      <c r="E291" s="5"/>
      <c r="F291" s="5"/>
      <c r="G291" s="5"/>
      <c r="H291" s="306"/>
      <c r="I291" s="306"/>
      <c r="J291" s="5"/>
      <c r="K291" s="5"/>
      <c r="L291" s="5"/>
      <c r="M291" s="5"/>
      <c r="N291" s="5"/>
      <c r="O291" s="5"/>
      <c r="P291" s="57"/>
      <c r="Q291" s="5"/>
      <c r="R291" s="5"/>
      <c r="S291" s="5"/>
      <c r="T291" s="5"/>
      <c r="U291" s="5"/>
      <c r="V291" s="5"/>
      <c r="W291" s="5"/>
      <c r="X291" s="5"/>
      <c r="Y291" s="5"/>
      <c r="Z291" s="5"/>
      <c r="AA291" s="5"/>
    </row>
    <row r="292" spans="1:27" ht="12.75" customHeight="1">
      <c r="A292" s="5"/>
      <c r="B292" s="5"/>
      <c r="C292" s="5"/>
      <c r="D292" s="5"/>
      <c r="E292" s="5"/>
      <c r="F292" s="5"/>
      <c r="G292" s="5"/>
      <c r="H292" s="306"/>
      <c r="I292" s="306"/>
      <c r="J292" s="5"/>
      <c r="K292" s="5"/>
      <c r="L292" s="5"/>
      <c r="M292" s="5"/>
      <c r="N292" s="5"/>
      <c r="O292" s="5"/>
      <c r="P292" s="57"/>
      <c r="Q292" s="5"/>
      <c r="R292" s="5"/>
      <c r="S292" s="5"/>
      <c r="T292" s="5"/>
      <c r="U292" s="5"/>
      <c r="V292" s="5"/>
      <c r="W292" s="5"/>
      <c r="X292" s="5"/>
      <c r="Y292" s="5"/>
      <c r="Z292" s="5"/>
      <c r="AA292" s="5"/>
    </row>
    <row r="293" spans="1:27" ht="12.75" customHeight="1">
      <c r="A293" s="5"/>
      <c r="B293" s="5"/>
      <c r="C293" s="5"/>
      <c r="D293" s="5"/>
      <c r="E293" s="5"/>
      <c r="F293" s="5"/>
      <c r="G293" s="5"/>
      <c r="H293" s="306"/>
      <c r="I293" s="306"/>
      <c r="J293" s="5"/>
      <c r="K293" s="5"/>
      <c r="L293" s="5"/>
      <c r="M293" s="5"/>
      <c r="N293" s="5"/>
      <c r="O293" s="5"/>
      <c r="P293" s="57"/>
      <c r="Q293" s="5"/>
      <c r="R293" s="5"/>
      <c r="S293" s="5"/>
      <c r="T293" s="5"/>
      <c r="U293" s="5"/>
      <c r="V293" s="5"/>
      <c r="W293" s="5"/>
      <c r="X293" s="5"/>
      <c r="Y293" s="5"/>
      <c r="Z293" s="5"/>
      <c r="AA293" s="5"/>
    </row>
    <row r="294" spans="1:27" ht="12.75" customHeight="1">
      <c r="A294" s="5"/>
      <c r="B294" s="5"/>
      <c r="C294" s="5"/>
      <c r="D294" s="5"/>
      <c r="E294" s="5"/>
      <c r="F294" s="5"/>
      <c r="G294" s="5"/>
      <c r="H294" s="306"/>
      <c r="I294" s="306"/>
      <c r="J294" s="5"/>
      <c r="K294" s="5"/>
      <c r="L294" s="5"/>
      <c r="M294" s="5"/>
      <c r="N294" s="5"/>
      <c r="O294" s="5"/>
      <c r="P294" s="57"/>
      <c r="Q294" s="5"/>
      <c r="R294" s="5"/>
      <c r="S294" s="5"/>
      <c r="T294" s="5"/>
      <c r="U294" s="5"/>
      <c r="V294" s="5"/>
      <c r="W294" s="5"/>
      <c r="X294" s="5"/>
      <c r="Y294" s="5"/>
      <c r="Z294" s="5"/>
      <c r="AA294" s="5"/>
    </row>
    <row r="295" spans="1:27" ht="12.75" customHeight="1">
      <c r="A295" s="5"/>
      <c r="B295" s="5"/>
      <c r="C295" s="5"/>
      <c r="D295" s="5"/>
      <c r="E295" s="5"/>
      <c r="F295" s="5"/>
      <c r="G295" s="5"/>
      <c r="H295" s="306"/>
      <c r="I295" s="306"/>
      <c r="J295" s="5"/>
      <c r="K295" s="5"/>
      <c r="L295" s="5"/>
      <c r="M295" s="5"/>
      <c r="N295" s="5"/>
      <c r="O295" s="5"/>
      <c r="P295" s="57"/>
      <c r="Q295" s="5"/>
      <c r="R295" s="5"/>
      <c r="S295" s="5"/>
      <c r="T295" s="5"/>
      <c r="U295" s="5"/>
      <c r="V295" s="5"/>
      <c r="W295" s="5"/>
      <c r="X295" s="5"/>
      <c r="Y295" s="5"/>
      <c r="Z295" s="5"/>
      <c r="AA295" s="5"/>
    </row>
    <row r="296" spans="1:27" ht="12.75" customHeight="1">
      <c r="A296" s="5"/>
      <c r="B296" s="5"/>
      <c r="C296" s="5"/>
      <c r="D296" s="5"/>
      <c r="E296" s="5"/>
      <c r="F296" s="5"/>
      <c r="G296" s="5"/>
      <c r="H296" s="306"/>
      <c r="I296" s="306"/>
      <c r="J296" s="5"/>
      <c r="K296" s="5"/>
      <c r="L296" s="5"/>
      <c r="M296" s="5"/>
      <c r="N296" s="5"/>
      <c r="O296" s="5"/>
      <c r="P296" s="57"/>
      <c r="Q296" s="5"/>
      <c r="R296" s="5"/>
      <c r="S296" s="5"/>
      <c r="T296" s="5"/>
      <c r="U296" s="5"/>
      <c r="V296" s="5"/>
      <c r="W296" s="5"/>
      <c r="X296" s="5"/>
      <c r="Y296" s="5"/>
      <c r="Z296" s="5"/>
      <c r="AA296" s="5"/>
    </row>
    <row r="297" spans="1:27" ht="12.75" customHeight="1">
      <c r="A297" s="5"/>
      <c r="B297" s="5"/>
      <c r="C297" s="5"/>
      <c r="D297" s="5"/>
      <c r="E297" s="5"/>
      <c r="F297" s="5"/>
      <c r="G297" s="5"/>
      <c r="H297" s="306"/>
      <c r="I297" s="306"/>
      <c r="J297" s="5"/>
      <c r="K297" s="5"/>
      <c r="L297" s="5"/>
      <c r="M297" s="5"/>
      <c r="N297" s="5"/>
      <c r="O297" s="5"/>
      <c r="P297" s="57"/>
      <c r="Q297" s="5"/>
      <c r="R297" s="5"/>
      <c r="S297" s="5"/>
      <c r="T297" s="5"/>
      <c r="U297" s="5"/>
      <c r="V297" s="5"/>
      <c r="W297" s="5"/>
      <c r="X297" s="5"/>
      <c r="Y297" s="5"/>
      <c r="Z297" s="5"/>
      <c r="AA297" s="5"/>
    </row>
    <row r="298" spans="1:27" ht="12.75" customHeight="1">
      <c r="A298" s="5"/>
      <c r="B298" s="5"/>
      <c r="C298" s="5"/>
      <c r="D298" s="5"/>
      <c r="E298" s="5"/>
      <c r="F298" s="5"/>
      <c r="G298" s="5"/>
      <c r="H298" s="306"/>
      <c r="I298" s="306"/>
      <c r="J298" s="5"/>
      <c r="K298" s="5"/>
      <c r="L298" s="5"/>
      <c r="M298" s="5"/>
      <c r="N298" s="5"/>
      <c r="O298" s="5"/>
      <c r="P298" s="57"/>
      <c r="Q298" s="5"/>
      <c r="R298" s="5"/>
      <c r="S298" s="5"/>
      <c r="T298" s="5"/>
      <c r="U298" s="5"/>
      <c r="V298" s="5"/>
      <c r="W298" s="5"/>
      <c r="X298" s="5"/>
      <c r="Y298" s="5"/>
      <c r="Z298" s="5"/>
      <c r="AA298" s="5"/>
    </row>
    <row r="299" spans="1:27" ht="12.75" customHeight="1">
      <c r="A299" s="5"/>
      <c r="B299" s="5"/>
      <c r="C299" s="5"/>
      <c r="D299" s="5"/>
      <c r="E299" s="5"/>
      <c r="F299" s="5"/>
      <c r="G299" s="5"/>
      <c r="H299" s="306"/>
      <c r="I299" s="306"/>
      <c r="J299" s="5"/>
      <c r="K299" s="5"/>
      <c r="L299" s="5"/>
      <c r="M299" s="5"/>
      <c r="N299" s="5"/>
      <c r="O299" s="5"/>
      <c r="P299" s="57"/>
      <c r="Q299" s="5"/>
      <c r="R299" s="5"/>
      <c r="S299" s="5"/>
      <c r="T299" s="5"/>
      <c r="U299" s="5"/>
      <c r="V299" s="5"/>
      <c r="W299" s="5"/>
      <c r="X299" s="5"/>
      <c r="Y299" s="5"/>
      <c r="Z299" s="5"/>
      <c r="AA299" s="5"/>
    </row>
    <row r="300" spans="1:27" ht="12.75" customHeight="1">
      <c r="A300" s="5"/>
      <c r="B300" s="5"/>
      <c r="C300" s="5"/>
      <c r="D300" s="5"/>
      <c r="E300" s="5"/>
      <c r="F300" s="5"/>
      <c r="G300" s="5"/>
      <c r="H300" s="306"/>
      <c r="I300" s="306"/>
      <c r="J300" s="5"/>
      <c r="K300" s="5"/>
      <c r="L300" s="5"/>
      <c r="M300" s="5"/>
      <c r="N300" s="5"/>
      <c r="O300" s="5"/>
      <c r="P300" s="57"/>
      <c r="Q300" s="5"/>
      <c r="R300" s="5"/>
      <c r="S300" s="5"/>
      <c r="T300" s="5"/>
      <c r="U300" s="5"/>
      <c r="V300" s="5"/>
      <c r="W300" s="5"/>
      <c r="X300" s="5"/>
      <c r="Y300" s="5"/>
      <c r="Z300" s="5"/>
      <c r="AA300" s="5"/>
    </row>
    <row r="301" spans="1:27" ht="12.75" customHeight="1">
      <c r="A301" s="5"/>
      <c r="B301" s="5"/>
      <c r="C301" s="5"/>
      <c r="D301" s="5"/>
      <c r="E301" s="5"/>
      <c r="F301" s="5"/>
      <c r="G301" s="5"/>
      <c r="H301" s="306"/>
      <c r="I301" s="306"/>
      <c r="J301" s="5"/>
      <c r="K301" s="5"/>
      <c r="L301" s="5"/>
      <c r="M301" s="5"/>
      <c r="N301" s="5"/>
      <c r="O301" s="5"/>
      <c r="P301" s="57"/>
      <c r="Q301" s="5"/>
      <c r="R301" s="5"/>
      <c r="S301" s="5"/>
      <c r="T301" s="5"/>
      <c r="U301" s="5"/>
      <c r="V301" s="5"/>
      <c r="W301" s="5"/>
      <c r="X301" s="5"/>
      <c r="Y301" s="5"/>
      <c r="Z301" s="5"/>
      <c r="AA301" s="5"/>
    </row>
    <row r="302" spans="1:27" ht="12.75" customHeight="1">
      <c r="A302" s="5"/>
      <c r="B302" s="5"/>
      <c r="C302" s="5"/>
      <c r="D302" s="5"/>
      <c r="E302" s="5"/>
      <c r="F302" s="5"/>
      <c r="G302" s="5"/>
      <c r="H302" s="306"/>
      <c r="I302" s="306"/>
      <c r="J302" s="5"/>
      <c r="K302" s="5"/>
      <c r="L302" s="5"/>
      <c r="M302" s="5"/>
      <c r="N302" s="5"/>
      <c r="O302" s="5"/>
      <c r="P302" s="57"/>
      <c r="Q302" s="5"/>
      <c r="R302" s="5"/>
      <c r="S302" s="5"/>
      <c r="T302" s="5"/>
      <c r="U302" s="5"/>
      <c r="V302" s="5"/>
      <c r="W302" s="5"/>
      <c r="X302" s="5"/>
      <c r="Y302" s="5"/>
      <c r="Z302" s="5"/>
      <c r="AA302" s="5"/>
    </row>
    <row r="303" spans="1:27" ht="12.75" customHeight="1">
      <c r="A303" s="5"/>
      <c r="B303" s="5"/>
      <c r="C303" s="5"/>
      <c r="D303" s="5"/>
      <c r="E303" s="5"/>
      <c r="F303" s="5"/>
      <c r="G303" s="5"/>
      <c r="H303" s="306"/>
      <c r="I303" s="306"/>
      <c r="J303" s="5"/>
      <c r="K303" s="5"/>
      <c r="L303" s="5"/>
      <c r="M303" s="5"/>
      <c r="N303" s="5"/>
      <c r="O303" s="5"/>
      <c r="P303" s="57"/>
      <c r="Q303" s="5"/>
      <c r="R303" s="5"/>
      <c r="S303" s="5"/>
      <c r="T303" s="5"/>
      <c r="U303" s="5"/>
      <c r="V303" s="5"/>
      <c r="W303" s="5"/>
      <c r="X303" s="5"/>
      <c r="Y303" s="5"/>
      <c r="Z303" s="5"/>
      <c r="AA303" s="5"/>
    </row>
    <row r="304" spans="1:27" ht="12.75" customHeight="1">
      <c r="A304" s="5"/>
      <c r="B304" s="5"/>
      <c r="C304" s="5"/>
      <c r="D304" s="5"/>
      <c r="E304" s="5"/>
      <c r="F304" s="5"/>
      <c r="G304" s="5"/>
      <c r="H304" s="306"/>
      <c r="I304" s="306"/>
      <c r="J304" s="5"/>
      <c r="K304" s="5"/>
      <c r="L304" s="5"/>
      <c r="M304" s="5"/>
      <c r="N304" s="5"/>
      <c r="O304" s="5"/>
      <c r="P304" s="57"/>
      <c r="Q304" s="5"/>
      <c r="R304" s="5"/>
      <c r="S304" s="5"/>
      <c r="T304" s="5"/>
      <c r="U304" s="5"/>
      <c r="V304" s="5"/>
      <c r="W304" s="5"/>
      <c r="X304" s="5"/>
      <c r="Y304" s="5"/>
      <c r="Z304" s="5"/>
      <c r="AA304" s="5"/>
    </row>
    <row r="305" spans="1:27" ht="12.75" customHeight="1">
      <c r="A305" s="5"/>
      <c r="B305" s="5"/>
      <c r="C305" s="5"/>
      <c r="D305" s="5"/>
      <c r="E305" s="5"/>
      <c r="F305" s="5"/>
      <c r="G305" s="5"/>
      <c r="H305" s="306"/>
      <c r="I305" s="306"/>
      <c r="J305" s="5"/>
      <c r="K305" s="5"/>
      <c r="L305" s="5"/>
      <c r="M305" s="5"/>
      <c r="N305" s="5"/>
      <c r="O305" s="5"/>
      <c r="P305" s="57"/>
      <c r="Q305" s="5"/>
      <c r="R305" s="5"/>
      <c r="S305" s="5"/>
      <c r="T305" s="5"/>
      <c r="U305" s="5"/>
      <c r="V305" s="5"/>
      <c r="W305" s="5"/>
      <c r="X305" s="5"/>
      <c r="Y305" s="5"/>
      <c r="Z305" s="5"/>
      <c r="AA305" s="5"/>
    </row>
    <row r="306" spans="1:27" ht="12.75" customHeight="1">
      <c r="A306" s="5"/>
      <c r="B306" s="5"/>
      <c r="C306" s="5"/>
      <c r="D306" s="5"/>
      <c r="E306" s="5"/>
      <c r="F306" s="5"/>
      <c r="G306" s="5"/>
      <c r="H306" s="306"/>
      <c r="I306" s="306"/>
      <c r="J306" s="5"/>
      <c r="K306" s="5"/>
      <c r="L306" s="5"/>
      <c r="M306" s="5"/>
      <c r="N306" s="5"/>
      <c r="O306" s="5"/>
      <c r="P306" s="57"/>
      <c r="Q306" s="5"/>
      <c r="R306" s="5"/>
      <c r="S306" s="5"/>
      <c r="T306" s="5"/>
      <c r="U306" s="5"/>
      <c r="V306" s="5"/>
      <c r="W306" s="5"/>
      <c r="X306" s="5"/>
      <c r="Y306" s="5"/>
      <c r="Z306" s="5"/>
      <c r="AA306" s="5"/>
    </row>
    <row r="307" spans="1:27" ht="12.75" customHeight="1">
      <c r="A307" s="5"/>
      <c r="B307" s="5"/>
      <c r="C307" s="5"/>
      <c r="D307" s="5"/>
      <c r="E307" s="5"/>
      <c r="F307" s="5"/>
      <c r="G307" s="5"/>
      <c r="H307" s="306"/>
      <c r="I307" s="306"/>
      <c r="J307" s="5"/>
      <c r="K307" s="5"/>
      <c r="L307" s="5"/>
      <c r="M307" s="5"/>
      <c r="N307" s="5"/>
      <c r="O307" s="5"/>
      <c r="P307" s="57"/>
      <c r="Q307" s="5"/>
      <c r="R307" s="5"/>
      <c r="S307" s="5"/>
      <c r="T307" s="5"/>
      <c r="U307" s="5"/>
      <c r="V307" s="5"/>
      <c r="W307" s="5"/>
      <c r="X307" s="5"/>
      <c r="Y307" s="5"/>
      <c r="Z307" s="5"/>
      <c r="AA307" s="5"/>
    </row>
    <row r="308" spans="1:27" ht="12.75" customHeight="1">
      <c r="A308" s="5"/>
      <c r="B308" s="5"/>
      <c r="C308" s="5"/>
      <c r="D308" s="5"/>
      <c r="E308" s="5"/>
      <c r="F308" s="5"/>
      <c r="G308" s="5"/>
      <c r="H308" s="306"/>
      <c r="I308" s="306"/>
      <c r="J308" s="5"/>
      <c r="K308" s="5"/>
      <c r="L308" s="5"/>
      <c r="M308" s="5"/>
      <c r="N308" s="5"/>
      <c r="O308" s="5"/>
      <c r="P308" s="57"/>
      <c r="Q308" s="5"/>
      <c r="R308" s="5"/>
      <c r="S308" s="5"/>
      <c r="T308" s="5"/>
      <c r="U308" s="5"/>
      <c r="V308" s="5"/>
      <c r="W308" s="5"/>
      <c r="X308" s="5"/>
      <c r="Y308" s="5"/>
      <c r="Z308" s="5"/>
      <c r="AA308" s="5"/>
    </row>
    <row r="309" spans="1:27" ht="12.75" customHeight="1">
      <c r="A309" s="5"/>
      <c r="B309" s="5"/>
      <c r="C309" s="5"/>
      <c r="D309" s="5"/>
      <c r="E309" s="5"/>
      <c r="F309" s="5"/>
      <c r="G309" s="5"/>
      <c r="H309" s="306"/>
      <c r="I309" s="306"/>
      <c r="J309" s="5"/>
      <c r="K309" s="5"/>
      <c r="L309" s="5"/>
      <c r="M309" s="5"/>
      <c r="N309" s="5"/>
      <c r="O309" s="5"/>
      <c r="P309" s="57"/>
      <c r="Q309" s="5"/>
      <c r="R309" s="5"/>
      <c r="S309" s="5"/>
      <c r="T309" s="5"/>
      <c r="U309" s="5"/>
      <c r="V309" s="5"/>
      <c r="W309" s="5"/>
      <c r="X309" s="5"/>
      <c r="Y309" s="5"/>
      <c r="Z309" s="5"/>
      <c r="AA309" s="5"/>
    </row>
    <row r="310" spans="1:27" ht="12.75" customHeight="1">
      <c r="A310" s="5"/>
      <c r="B310" s="5"/>
      <c r="C310" s="5"/>
      <c r="D310" s="5"/>
      <c r="E310" s="5"/>
      <c r="F310" s="5"/>
      <c r="G310" s="5"/>
      <c r="H310" s="306"/>
      <c r="I310" s="306"/>
      <c r="J310" s="5"/>
      <c r="K310" s="5"/>
      <c r="L310" s="5"/>
      <c r="M310" s="5"/>
      <c r="N310" s="5"/>
      <c r="O310" s="5"/>
      <c r="P310" s="57"/>
      <c r="Q310" s="5"/>
      <c r="R310" s="5"/>
      <c r="S310" s="5"/>
      <c r="T310" s="5"/>
      <c r="U310" s="5"/>
      <c r="V310" s="5"/>
      <c r="W310" s="5"/>
      <c r="X310" s="5"/>
      <c r="Y310" s="5"/>
      <c r="Z310" s="5"/>
      <c r="AA310" s="5"/>
    </row>
    <row r="311" spans="1:27" ht="12.75" customHeight="1">
      <c r="A311" s="5"/>
      <c r="B311" s="5"/>
      <c r="C311" s="5"/>
      <c r="D311" s="5"/>
      <c r="E311" s="5"/>
      <c r="F311" s="5"/>
      <c r="G311" s="5"/>
      <c r="H311" s="306"/>
      <c r="I311" s="306"/>
      <c r="J311" s="5"/>
      <c r="K311" s="5"/>
      <c r="L311" s="5"/>
      <c r="M311" s="5"/>
      <c r="N311" s="5"/>
      <c r="O311" s="5"/>
      <c r="P311" s="57"/>
      <c r="Q311" s="5"/>
      <c r="R311" s="5"/>
      <c r="S311" s="5"/>
      <c r="T311" s="5"/>
      <c r="U311" s="5"/>
      <c r="V311" s="5"/>
      <c r="W311" s="5"/>
      <c r="X311" s="5"/>
      <c r="Y311" s="5"/>
      <c r="Z311" s="5"/>
      <c r="AA311" s="5"/>
    </row>
    <row r="312" spans="1:27" ht="12.75" customHeight="1">
      <c r="A312" s="5"/>
      <c r="B312" s="5"/>
      <c r="C312" s="5"/>
      <c r="D312" s="5"/>
      <c r="E312" s="5"/>
      <c r="F312" s="5"/>
      <c r="G312" s="5"/>
      <c r="H312" s="306"/>
      <c r="I312" s="306"/>
      <c r="J312" s="5"/>
      <c r="K312" s="5"/>
      <c r="L312" s="5"/>
      <c r="M312" s="5"/>
      <c r="N312" s="5"/>
      <c r="O312" s="5"/>
      <c r="P312" s="57"/>
      <c r="Q312" s="5"/>
      <c r="R312" s="5"/>
      <c r="S312" s="5"/>
      <c r="T312" s="5"/>
      <c r="U312" s="5"/>
      <c r="V312" s="5"/>
      <c r="W312" s="5"/>
      <c r="X312" s="5"/>
      <c r="Y312" s="5"/>
      <c r="Z312" s="5"/>
      <c r="AA312" s="5"/>
    </row>
    <row r="313" spans="1:27" ht="12.75" customHeight="1">
      <c r="A313" s="5"/>
      <c r="B313" s="5"/>
      <c r="C313" s="5"/>
      <c r="D313" s="5"/>
      <c r="E313" s="5"/>
      <c r="F313" s="5"/>
      <c r="G313" s="5"/>
      <c r="H313" s="306"/>
      <c r="I313" s="306"/>
      <c r="J313" s="5"/>
      <c r="K313" s="5"/>
      <c r="L313" s="5"/>
      <c r="M313" s="5"/>
      <c r="N313" s="5"/>
      <c r="O313" s="5"/>
      <c r="P313" s="57"/>
      <c r="Q313" s="5"/>
      <c r="R313" s="5"/>
      <c r="S313" s="5"/>
      <c r="T313" s="5"/>
      <c r="U313" s="5"/>
      <c r="V313" s="5"/>
      <c r="W313" s="5"/>
      <c r="X313" s="5"/>
      <c r="Y313" s="5"/>
      <c r="Z313" s="5"/>
      <c r="AA313" s="5"/>
    </row>
    <row r="314" spans="1:27" ht="12.75" customHeight="1">
      <c r="A314" s="5"/>
      <c r="B314" s="5"/>
      <c r="C314" s="5"/>
      <c r="D314" s="5"/>
      <c r="E314" s="5"/>
      <c r="F314" s="5"/>
      <c r="G314" s="5"/>
      <c r="H314" s="306"/>
      <c r="I314" s="306"/>
      <c r="J314" s="5"/>
      <c r="K314" s="5"/>
      <c r="L314" s="5"/>
      <c r="M314" s="5"/>
      <c r="N314" s="5"/>
      <c r="O314" s="5"/>
      <c r="P314" s="57"/>
      <c r="Q314" s="5"/>
      <c r="R314" s="5"/>
      <c r="S314" s="5"/>
      <c r="T314" s="5"/>
      <c r="U314" s="5"/>
      <c r="V314" s="5"/>
      <c r="W314" s="5"/>
      <c r="X314" s="5"/>
      <c r="Y314" s="5"/>
      <c r="Z314" s="5"/>
      <c r="AA314" s="5"/>
    </row>
    <row r="315" spans="1:27" ht="12.75" customHeight="1">
      <c r="A315" s="5"/>
      <c r="B315" s="5"/>
      <c r="C315" s="5"/>
      <c r="D315" s="5"/>
      <c r="E315" s="5"/>
      <c r="F315" s="5"/>
      <c r="G315" s="5"/>
      <c r="H315" s="306"/>
      <c r="I315" s="306"/>
      <c r="J315" s="5"/>
      <c r="K315" s="5"/>
      <c r="L315" s="5"/>
      <c r="M315" s="5"/>
      <c r="N315" s="5"/>
      <c r="O315" s="5"/>
      <c r="P315" s="57"/>
      <c r="Q315" s="5"/>
      <c r="R315" s="5"/>
      <c r="S315" s="5"/>
      <c r="T315" s="5"/>
      <c r="U315" s="5"/>
      <c r="V315" s="5"/>
      <c r="W315" s="5"/>
      <c r="X315" s="5"/>
      <c r="Y315" s="5"/>
      <c r="Z315" s="5"/>
      <c r="AA315" s="5"/>
    </row>
    <row r="316" spans="1:27" ht="12.75" customHeight="1">
      <c r="A316" s="5"/>
      <c r="B316" s="5"/>
      <c r="C316" s="5"/>
      <c r="D316" s="5"/>
      <c r="E316" s="5"/>
      <c r="F316" s="5"/>
      <c r="G316" s="5"/>
      <c r="H316" s="306"/>
      <c r="I316" s="306"/>
      <c r="J316" s="5"/>
      <c r="K316" s="5"/>
      <c r="L316" s="5"/>
      <c r="M316" s="5"/>
      <c r="N316" s="5"/>
      <c r="O316" s="5"/>
      <c r="P316" s="57"/>
      <c r="Q316" s="5"/>
      <c r="R316" s="5"/>
      <c r="S316" s="5"/>
      <c r="T316" s="5"/>
      <c r="U316" s="5"/>
      <c r="V316" s="5"/>
      <c r="W316" s="5"/>
      <c r="X316" s="5"/>
      <c r="Y316" s="5"/>
      <c r="Z316" s="5"/>
      <c r="AA316" s="5"/>
    </row>
    <row r="317" spans="1:27" ht="12.75" customHeight="1">
      <c r="A317" s="5"/>
      <c r="B317" s="5"/>
      <c r="C317" s="5"/>
      <c r="D317" s="5"/>
      <c r="E317" s="5"/>
      <c r="F317" s="5"/>
      <c r="G317" s="5"/>
      <c r="H317" s="306"/>
      <c r="I317" s="306"/>
      <c r="J317" s="5"/>
      <c r="K317" s="5"/>
      <c r="L317" s="5"/>
      <c r="M317" s="5"/>
      <c r="N317" s="5"/>
      <c r="O317" s="5"/>
      <c r="P317" s="57"/>
      <c r="Q317" s="5"/>
      <c r="R317" s="5"/>
      <c r="S317" s="5"/>
      <c r="T317" s="5"/>
      <c r="U317" s="5"/>
      <c r="V317" s="5"/>
      <c r="W317" s="5"/>
      <c r="X317" s="5"/>
      <c r="Y317" s="5"/>
      <c r="Z317" s="5"/>
      <c r="AA317" s="5"/>
    </row>
    <row r="318" spans="1:27" ht="12.75" customHeight="1">
      <c r="A318" s="5"/>
      <c r="B318" s="5"/>
      <c r="C318" s="5"/>
      <c r="D318" s="5"/>
      <c r="E318" s="5"/>
      <c r="F318" s="5"/>
      <c r="G318" s="5"/>
      <c r="H318" s="306"/>
      <c r="I318" s="306"/>
      <c r="J318" s="5"/>
      <c r="K318" s="5"/>
      <c r="L318" s="5"/>
      <c r="M318" s="5"/>
      <c r="N318" s="5"/>
      <c r="O318" s="5"/>
      <c r="P318" s="57"/>
      <c r="Q318" s="5"/>
      <c r="R318" s="5"/>
      <c r="S318" s="5"/>
      <c r="T318" s="5"/>
      <c r="U318" s="5"/>
      <c r="V318" s="5"/>
      <c r="W318" s="5"/>
      <c r="X318" s="5"/>
      <c r="Y318" s="5"/>
      <c r="Z318" s="5"/>
      <c r="AA318" s="5"/>
    </row>
    <row r="319" spans="1:27" ht="12.75" customHeight="1">
      <c r="A319" s="5"/>
      <c r="B319" s="5"/>
      <c r="C319" s="5"/>
      <c r="D319" s="5"/>
      <c r="E319" s="5"/>
      <c r="F319" s="5"/>
      <c r="G319" s="5"/>
      <c r="H319" s="306"/>
      <c r="I319" s="306"/>
      <c r="J319" s="5"/>
      <c r="K319" s="5"/>
      <c r="L319" s="5"/>
      <c r="M319" s="5"/>
      <c r="N319" s="5"/>
      <c r="O319" s="5"/>
      <c r="P319" s="57"/>
      <c r="Q319" s="5"/>
      <c r="R319" s="5"/>
      <c r="S319" s="5"/>
      <c r="T319" s="5"/>
      <c r="U319" s="5"/>
      <c r="V319" s="5"/>
      <c r="W319" s="5"/>
      <c r="X319" s="5"/>
      <c r="Y319" s="5"/>
      <c r="Z319" s="5"/>
      <c r="AA319" s="5"/>
    </row>
    <row r="320" spans="1:27" ht="12.75" customHeight="1">
      <c r="A320" s="5"/>
      <c r="B320" s="5"/>
      <c r="C320" s="5"/>
      <c r="D320" s="5"/>
      <c r="E320" s="5"/>
      <c r="F320" s="5"/>
      <c r="G320" s="5"/>
      <c r="H320" s="306"/>
      <c r="I320" s="306"/>
      <c r="J320" s="5"/>
      <c r="K320" s="5"/>
      <c r="L320" s="5"/>
      <c r="M320" s="5"/>
      <c r="N320" s="5"/>
      <c r="O320" s="5"/>
      <c r="P320" s="57"/>
      <c r="Q320" s="5"/>
      <c r="R320" s="5"/>
      <c r="S320" s="5"/>
      <c r="T320" s="5"/>
      <c r="U320" s="5"/>
      <c r="V320" s="5"/>
      <c r="W320" s="5"/>
      <c r="X320" s="5"/>
      <c r="Y320" s="5"/>
      <c r="Z320" s="5"/>
      <c r="AA320" s="5"/>
    </row>
    <row r="321" spans="1:27" ht="12.75" customHeight="1">
      <c r="A321" s="5"/>
      <c r="B321" s="5"/>
      <c r="C321" s="5"/>
      <c r="D321" s="5"/>
      <c r="E321" s="5"/>
      <c r="F321" s="5"/>
      <c r="G321" s="5"/>
      <c r="H321" s="306"/>
      <c r="I321" s="306"/>
      <c r="J321" s="5"/>
      <c r="K321" s="5"/>
      <c r="L321" s="5"/>
      <c r="M321" s="5"/>
      <c r="N321" s="5"/>
      <c r="O321" s="5"/>
      <c r="P321" s="57"/>
      <c r="Q321" s="5"/>
      <c r="R321" s="5"/>
      <c r="S321" s="5"/>
      <c r="T321" s="5"/>
      <c r="U321" s="5"/>
      <c r="V321" s="5"/>
      <c r="W321" s="5"/>
      <c r="X321" s="5"/>
      <c r="Y321" s="5"/>
      <c r="Z321" s="5"/>
      <c r="AA321" s="5"/>
    </row>
    <row r="322" spans="1:27" ht="12.75" customHeight="1">
      <c r="A322" s="5"/>
      <c r="B322" s="5"/>
      <c r="C322" s="5"/>
      <c r="D322" s="5"/>
      <c r="E322" s="5"/>
      <c r="F322" s="5"/>
      <c r="G322" s="5"/>
      <c r="H322" s="306"/>
      <c r="I322" s="306"/>
      <c r="J322" s="5"/>
      <c r="K322" s="5"/>
      <c r="L322" s="5"/>
      <c r="M322" s="5"/>
      <c r="N322" s="5"/>
      <c r="O322" s="5"/>
      <c r="P322" s="57"/>
      <c r="Q322" s="5"/>
      <c r="R322" s="5"/>
      <c r="S322" s="5"/>
      <c r="T322" s="5"/>
      <c r="U322" s="5"/>
      <c r="V322" s="5"/>
      <c r="W322" s="5"/>
      <c r="X322" s="5"/>
      <c r="Y322" s="5"/>
      <c r="Z322" s="5"/>
      <c r="AA322" s="5"/>
    </row>
    <row r="323" spans="1:27" ht="12.75" customHeight="1">
      <c r="A323" s="5"/>
      <c r="B323" s="5"/>
      <c r="C323" s="5"/>
      <c r="D323" s="5"/>
      <c r="E323" s="5"/>
      <c r="F323" s="5"/>
      <c r="G323" s="5"/>
      <c r="H323" s="306"/>
      <c r="I323" s="306"/>
      <c r="J323" s="5"/>
      <c r="K323" s="5"/>
      <c r="L323" s="5"/>
      <c r="M323" s="5"/>
      <c r="N323" s="5"/>
      <c r="O323" s="5"/>
      <c r="P323" s="57"/>
      <c r="Q323" s="5"/>
      <c r="R323" s="5"/>
      <c r="S323" s="5"/>
      <c r="T323" s="5"/>
      <c r="U323" s="5"/>
      <c r="V323" s="5"/>
      <c r="W323" s="5"/>
      <c r="X323" s="5"/>
      <c r="Y323" s="5"/>
      <c r="Z323" s="5"/>
      <c r="AA323" s="5"/>
    </row>
    <row r="324" spans="1:27" ht="12.75" customHeight="1">
      <c r="A324" s="5"/>
      <c r="B324" s="5"/>
      <c r="C324" s="5"/>
      <c r="D324" s="5"/>
      <c r="E324" s="5"/>
      <c r="F324" s="5"/>
      <c r="G324" s="5"/>
      <c r="H324" s="306"/>
      <c r="I324" s="306"/>
      <c r="J324" s="5"/>
      <c r="K324" s="5"/>
      <c r="L324" s="5"/>
      <c r="M324" s="5"/>
      <c r="N324" s="5"/>
      <c r="O324" s="5"/>
      <c r="P324" s="57"/>
      <c r="Q324" s="5"/>
      <c r="R324" s="5"/>
      <c r="S324" s="5"/>
      <c r="T324" s="5"/>
      <c r="U324" s="5"/>
      <c r="V324" s="5"/>
      <c r="W324" s="5"/>
      <c r="X324" s="5"/>
      <c r="Y324" s="5"/>
      <c r="Z324" s="5"/>
      <c r="AA324" s="5"/>
    </row>
    <row r="325" spans="1:27" ht="12.75" customHeight="1">
      <c r="A325" s="5"/>
      <c r="B325" s="5"/>
      <c r="C325" s="5"/>
      <c r="D325" s="5"/>
      <c r="E325" s="5"/>
      <c r="F325" s="5"/>
      <c r="G325" s="5"/>
      <c r="H325" s="306"/>
      <c r="I325" s="306"/>
      <c r="J325" s="5"/>
      <c r="K325" s="5"/>
      <c r="L325" s="5"/>
      <c r="M325" s="5"/>
      <c r="N325" s="5"/>
      <c r="O325" s="5"/>
      <c r="P325" s="57"/>
      <c r="Q325" s="5"/>
      <c r="R325" s="5"/>
      <c r="S325" s="5"/>
      <c r="T325" s="5"/>
      <c r="U325" s="5"/>
      <c r="V325" s="5"/>
      <c r="W325" s="5"/>
      <c r="X325" s="5"/>
      <c r="Y325" s="5"/>
      <c r="Z325" s="5"/>
      <c r="AA325" s="5"/>
    </row>
    <row r="326" spans="1:27" ht="12.75" customHeight="1">
      <c r="A326" s="5"/>
      <c r="B326" s="5"/>
      <c r="C326" s="5"/>
      <c r="D326" s="5"/>
      <c r="E326" s="5"/>
      <c r="F326" s="5"/>
      <c r="G326" s="5"/>
      <c r="H326" s="306"/>
      <c r="I326" s="306"/>
      <c r="J326" s="5"/>
      <c r="K326" s="5"/>
      <c r="L326" s="5"/>
      <c r="M326" s="5"/>
      <c r="N326" s="5"/>
      <c r="O326" s="5"/>
      <c r="P326" s="57"/>
      <c r="Q326" s="5"/>
      <c r="R326" s="5"/>
      <c r="S326" s="5"/>
      <c r="T326" s="5"/>
      <c r="U326" s="5"/>
      <c r="V326" s="5"/>
      <c r="W326" s="5"/>
      <c r="X326" s="5"/>
      <c r="Y326" s="5"/>
      <c r="Z326" s="5"/>
      <c r="AA326" s="5"/>
    </row>
    <row r="327" spans="1:27" ht="12.75" customHeight="1">
      <c r="A327" s="5"/>
      <c r="B327" s="5"/>
      <c r="C327" s="5"/>
      <c r="D327" s="5"/>
      <c r="E327" s="5"/>
      <c r="F327" s="5"/>
      <c r="G327" s="5"/>
      <c r="H327" s="306"/>
      <c r="I327" s="306"/>
      <c r="J327" s="5"/>
      <c r="K327" s="5"/>
      <c r="L327" s="5"/>
      <c r="M327" s="5"/>
      <c r="N327" s="5"/>
      <c r="O327" s="5"/>
      <c r="P327" s="57"/>
      <c r="Q327" s="5"/>
      <c r="R327" s="5"/>
      <c r="S327" s="5"/>
      <c r="T327" s="5"/>
      <c r="U327" s="5"/>
      <c r="V327" s="5"/>
      <c r="W327" s="5"/>
      <c r="X327" s="5"/>
      <c r="Y327" s="5"/>
      <c r="Z327" s="5"/>
      <c r="AA327" s="5"/>
    </row>
    <row r="328" spans="1:27" ht="12.75" customHeight="1">
      <c r="A328" s="5"/>
      <c r="B328" s="5"/>
      <c r="C328" s="5"/>
      <c r="D328" s="5"/>
      <c r="E328" s="5"/>
      <c r="F328" s="5"/>
      <c r="G328" s="5"/>
      <c r="H328" s="306"/>
      <c r="I328" s="306"/>
      <c r="J328" s="5"/>
      <c r="K328" s="5"/>
      <c r="L328" s="5"/>
      <c r="M328" s="5"/>
      <c r="N328" s="5"/>
      <c r="O328" s="5"/>
      <c r="P328" s="57"/>
      <c r="Q328" s="5"/>
      <c r="R328" s="5"/>
      <c r="S328" s="5"/>
      <c r="T328" s="5"/>
      <c r="U328" s="5"/>
      <c r="V328" s="5"/>
      <c r="W328" s="5"/>
      <c r="X328" s="5"/>
      <c r="Y328" s="5"/>
      <c r="Z328" s="5"/>
      <c r="AA328" s="5"/>
    </row>
    <row r="329" spans="1:27" ht="12.75" customHeight="1">
      <c r="A329" s="5"/>
      <c r="B329" s="5"/>
      <c r="C329" s="5"/>
      <c r="D329" s="5"/>
      <c r="E329" s="5"/>
      <c r="F329" s="5"/>
      <c r="G329" s="5"/>
      <c r="H329" s="306"/>
      <c r="I329" s="306"/>
      <c r="J329" s="5"/>
      <c r="K329" s="5"/>
      <c r="L329" s="5"/>
      <c r="M329" s="5"/>
      <c r="N329" s="5"/>
      <c r="O329" s="5"/>
      <c r="P329" s="57"/>
      <c r="Q329" s="5"/>
      <c r="R329" s="5"/>
      <c r="S329" s="5"/>
      <c r="T329" s="5"/>
      <c r="U329" s="5"/>
      <c r="V329" s="5"/>
      <c r="W329" s="5"/>
      <c r="X329" s="5"/>
      <c r="Y329" s="5"/>
      <c r="Z329" s="5"/>
      <c r="AA329" s="5"/>
    </row>
    <row r="330" spans="1:27" ht="12.75" customHeight="1">
      <c r="A330" s="5"/>
      <c r="B330" s="5"/>
      <c r="C330" s="5"/>
      <c r="D330" s="5"/>
      <c r="E330" s="5"/>
      <c r="F330" s="5"/>
      <c r="G330" s="5"/>
      <c r="H330" s="306"/>
      <c r="I330" s="306"/>
      <c r="J330" s="5"/>
      <c r="K330" s="5"/>
      <c r="L330" s="5"/>
      <c r="M330" s="5"/>
      <c r="N330" s="5"/>
      <c r="O330" s="5"/>
      <c r="P330" s="57"/>
      <c r="Q330" s="5"/>
      <c r="R330" s="5"/>
      <c r="S330" s="5"/>
      <c r="T330" s="5"/>
      <c r="U330" s="5"/>
      <c r="V330" s="5"/>
      <c r="W330" s="5"/>
      <c r="X330" s="5"/>
      <c r="Y330" s="5"/>
      <c r="Z330" s="5"/>
      <c r="AA330" s="5"/>
    </row>
    <row r="331" spans="1:27" ht="12.75" customHeight="1">
      <c r="A331" s="5"/>
      <c r="B331" s="5"/>
      <c r="C331" s="5"/>
      <c r="D331" s="5"/>
      <c r="E331" s="5"/>
      <c r="F331" s="5"/>
      <c r="G331" s="5"/>
      <c r="H331" s="306"/>
      <c r="I331" s="306"/>
      <c r="J331" s="5"/>
      <c r="K331" s="5"/>
      <c r="L331" s="5"/>
      <c r="M331" s="5"/>
      <c r="N331" s="5"/>
      <c r="O331" s="5"/>
      <c r="P331" s="57"/>
      <c r="Q331" s="5"/>
      <c r="R331" s="5"/>
      <c r="S331" s="5"/>
      <c r="T331" s="5"/>
      <c r="U331" s="5"/>
      <c r="V331" s="5"/>
      <c r="W331" s="5"/>
      <c r="X331" s="5"/>
      <c r="Y331" s="5"/>
      <c r="Z331" s="5"/>
      <c r="AA331" s="5"/>
    </row>
    <row r="332" spans="1:27" ht="12.75" customHeight="1">
      <c r="A332" s="5"/>
      <c r="B332" s="5"/>
      <c r="C332" s="5"/>
      <c r="D332" s="5"/>
      <c r="E332" s="5"/>
      <c r="F332" s="5"/>
      <c r="G332" s="5"/>
      <c r="H332" s="306"/>
      <c r="I332" s="306"/>
      <c r="J332" s="5"/>
      <c r="K332" s="5"/>
      <c r="L332" s="5"/>
      <c r="M332" s="5"/>
      <c r="N332" s="5"/>
      <c r="O332" s="5"/>
      <c r="P332" s="57"/>
      <c r="Q332" s="5"/>
      <c r="R332" s="5"/>
      <c r="S332" s="5"/>
      <c r="T332" s="5"/>
      <c r="U332" s="5"/>
      <c r="V332" s="5"/>
      <c r="W332" s="5"/>
      <c r="X332" s="5"/>
      <c r="Y332" s="5"/>
      <c r="Z332" s="5"/>
      <c r="AA332" s="5"/>
    </row>
    <row r="333" spans="1:27" ht="12.75" customHeight="1">
      <c r="A333" s="5"/>
      <c r="B333" s="5"/>
      <c r="C333" s="5"/>
      <c r="D333" s="5"/>
      <c r="E333" s="5"/>
      <c r="F333" s="5"/>
      <c r="G333" s="5"/>
      <c r="H333" s="306"/>
      <c r="I333" s="306"/>
      <c r="J333" s="5"/>
      <c r="K333" s="5"/>
      <c r="L333" s="5"/>
      <c r="M333" s="5"/>
      <c r="N333" s="5"/>
      <c r="O333" s="5"/>
      <c r="P333" s="57"/>
      <c r="Q333" s="5"/>
      <c r="R333" s="5"/>
      <c r="S333" s="5"/>
      <c r="T333" s="5"/>
      <c r="U333" s="5"/>
      <c r="V333" s="5"/>
      <c r="W333" s="5"/>
      <c r="X333" s="5"/>
      <c r="Y333" s="5"/>
      <c r="Z333" s="5"/>
      <c r="AA333" s="5"/>
    </row>
    <row r="334" spans="1:27" ht="12.75" customHeight="1">
      <c r="A334" s="5"/>
      <c r="B334" s="5"/>
      <c r="C334" s="5"/>
      <c r="D334" s="5"/>
      <c r="E334" s="5"/>
      <c r="F334" s="5"/>
      <c r="G334" s="5"/>
      <c r="H334" s="306"/>
      <c r="I334" s="306"/>
      <c r="J334" s="5"/>
      <c r="K334" s="5"/>
      <c r="L334" s="5"/>
      <c r="M334" s="5"/>
      <c r="N334" s="5"/>
      <c r="O334" s="5"/>
      <c r="P334" s="57"/>
      <c r="Q334" s="5"/>
      <c r="R334" s="5"/>
      <c r="S334" s="5"/>
      <c r="T334" s="5"/>
      <c r="U334" s="5"/>
      <c r="V334" s="5"/>
      <c r="W334" s="5"/>
      <c r="X334" s="5"/>
      <c r="Y334" s="5"/>
      <c r="Z334" s="5"/>
      <c r="AA334" s="5"/>
    </row>
    <row r="335" spans="1:27" ht="12.75" customHeight="1">
      <c r="A335" s="5"/>
      <c r="B335" s="5"/>
      <c r="C335" s="5"/>
      <c r="D335" s="5"/>
      <c r="E335" s="5"/>
      <c r="F335" s="5"/>
      <c r="G335" s="5"/>
      <c r="H335" s="306"/>
      <c r="I335" s="306"/>
      <c r="J335" s="5"/>
      <c r="K335" s="5"/>
      <c r="L335" s="5"/>
      <c r="M335" s="5"/>
      <c r="N335" s="5"/>
      <c r="O335" s="5"/>
      <c r="P335" s="57"/>
      <c r="Q335" s="5"/>
      <c r="R335" s="5"/>
      <c r="S335" s="5"/>
      <c r="T335" s="5"/>
      <c r="U335" s="5"/>
      <c r="V335" s="5"/>
      <c r="W335" s="5"/>
      <c r="X335" s="5"/>
      <c r="Y335" s="5"/>
      <c r="Z335" s="5"/>
      <c r="AA335" s="5"/>
    </row>
    <row r="336" spans="1:27" ht="12.75" customHeight="1">
      <c r="A336" s="5"/>
      <c r="B336" s="5"/>
      <c r="C336" s="5"/>
      <c r="D336" s="5"/>
      <c r="E336" s="5"/>
      <c r="F336" s="5"/>
      <c r="G336" s="5"/>
      <c r="H336" s="306"/>
      <c r="I336" s="306"/>
      <c r="J336" s="5"/>
      <c r="K336" s="5"/>
      <c r="L336" s="5"/>
      <c r="M336" s="5"/>
      <c r="N336" s="5"/>
      <c r="O336" s="5"/>
      <c r="P336" s="57"/>
      <c r="Q336" s="5"/>
      <c r="R336" s="5"/>
      <c r="S336" s="5"/>
      <c r="T336" s="5"/>
      <c r="U336" s="5"/>
      <c r="V336" s="5"/>
      <c r="W336" s="5"/>
      <c r="X336" s="5"/>
      <c r="Y336" s="5"/>
      <c r="Z336" s="5"/>
      <c r="AA336" s="5"/>
    </row>
    <row r="337" spans="1:27" ht="12.75" customHeight="1">
      <c r="A337" s="5"/>
      <c r="B337" s="5"/>
      <c r="C337" s="5"/>
      <c r="D337" s="5"/>
      <c r="E337" s="5"/>
      <c r="F337" s="5"/>
      <c r="G337" s="5"/>
      <c r="H337" s="306"/>
      <c r="I337" s="306"/>
      <c r="J337" s="5"/>
      <c r="K337" s="5"/>
      <c r="L337" s="5"/>
      <c r="M337" s="5"/>
      <c r="N337" s="5"/>
      <c r="O337" s="5"/>
      <c r="P337" s="57"/>
      <c r="Q337" s="5"/>
      <c r="R337" s="5"/>
      <c r="S337" s="5"/>
      <c r="T337" s="5"/>
      <c r="U337" s="5"/>
      <c r="V337" s="5"/>
      <c r="W337" s="5"/>
      <c r="X337" s="5"/>
      <c r="Y337" s="5"/>
      <c r="Z337" s="5"/>
      <c r="AA337" s="5"/>
    </row>
    <row r="338" spans="1:27" ht="12.75" customHeight="1">
      <c r="A338" s="5"/>
      <c r="B338" s="5"/>
      <c r="C338" s="5"/>
      <c r="D338" s="5"/>
      <c r="E338" s="5"/>
      <c r="F338" s="5"/>
      <c r="G338" s="5"/>
      <c r="H338" s="306"/>
      <c r="I338" s="306"/>
      <c r="J338" s="5"/>
      <c r="K338" s="5"/>
      <c r="L338" s="5"/>
      <c r="M338" s="5"/>
      <c r="N338" s="5"/>
      <c r="O338" s="5"/>
      <c r="P338" s="57"/>
      <c r="Q338" s="5"/>
      <c r="R338" s="5"/>
      <c r="S338" s="5"/>
      <c r="T338" s="5"/>
      <c r="U338" s="5"/>
      <c r="V338" s="5"/>
      <c r="W338" s="5"/>
      <c r="X338" s="5"/>
      <c r="Y338" s="5"/>
      <c r="Z338" s="5"/>
      <c r="AA338" s="5"/>
    </row>
    <row r="339" spans="1:27" ht="12.75" customHeight="1">
      <c r="A339" s="5"/>
      <c r="B339" s="5"/>
      <c r="C339" s="5"/>
      <c r="D339" s="5"/>
      <c r="E339" s="5"/>
      <c r="F339" s="5"/>
      <c r="G339" s="5"/>
      <c r="H339" s="306"/>
      <c r="I339" s="306"/>
      <c r="J339" s="5"/>
      <c r="K339" s="5"/>
      <c r="L339" s="5"/>
      <c r="M339" s="5"/>
      <c r="N339" s="5"/>
      <c r="O339" s="5"/>
      <c r="P339" s="57"/>
      <c r="Q339" s="5"/>
      <c r="R339" s="5"/>
      <c r="S339" s="5"/>
      <c r="T339" s="5"/>
      <c r="U339" s="5"/>
      <c r="V339" s="5"/>
      <c r="W339" s="5"/>
      <c r="X339" s="5"/>
      <c r="Y339" s="5"/>
      <c r="Z339" s="5"/>
      <c r="AA339" s="5"/>
    </row>
    <row r="340" spans="1:27" ht="12.75" customHeight="1">
      <c r="A340" s="5"/>
      <c r="B340" s="5"/>
      <c r="C340" s="5"/>
      <c r="D340" s="5"/>
      <c r="E340" s="5"/>
      <c r="F340" s="5"/>
      <c r="G340" s="5"/>
      <c r="H340" s="306"/>
      <c r="I340" s="306"/>
      <c r="J340" s="5"/>
      <c r="K340" s="5"/>
      <c r="L340" s="5"/>
      <c r="M340" s="5"/>
      <c r="N340" s="5"/>
      <c r="O340" s="5"/>
      <c r="P340" s="57"/>
      <c r="Q340" s="5"/>
      <c r="R340" s="5"/>
      <c r="S340" s="5"/>
      <c r="T340" s="5"/>
      <c r="U340" s="5"/>
      <c r="V340" s="5"/>
      <c r="W340" s="5"/>
      <c r="X340" s="5"/>
      <c r="Y340" s="5"/>
      <c r="Z340" s="5"/>
      <c r="AA340" s="5"/>
    </row>
    <row r="341" spans="1:27" ht="12.75" customHeight="1">
      <c r="A341" s="5"/>
      <c r="B341" s="5"/>
      <c r="C341" s="5"/>
      <c r="D341" s="5"/>
      <c r="E341" s="5"/>
      <c r="F341" s="5"/>
      <c r="G341" s="5"/>
      <c r="H341" s="306"/>
      <c r="I341" s="306"/>
      <c r="J341" s="5"/>
      <c r="K341" s="5"/>
      <c r="L341" s="5"/>
      <c r="M341" s="5"/>
      <c r="N341" s="5"/>
      <c r="O341" s="5"/>
      <c r="P341" s="57"/>
      <c r="Q341" s="5"/>
      <c r="R341" s="5"/>
      <c r="S341" s="5"/>
      <c r="T341" s="5"/>
      <c r="U341" s="5"/>
      <c r="V341" s="5"/>
      <c r="W341" s="5"/>
      <c r="X341" s="5"/>
      <c r="Y341" s="5"/>
      <c r="Z341" s="5"/>
      <c r="AA341" s="5"/>
    </row>
    <row r="342" spans="1:27" ht="12.75" customHeight="1">
      <c r="A342" s="5"/>
      <c r="B342" s="5"/>
      <c r="C342" s="5"/>
      <c r="D342" s="5"/>
      <c r="E342" s="5"/>
      <c r="F342" s="5"/>
      <c r="G342" s="5"/>
      <c r="H342" s="306"/>
      <c r="I342" s="306"/>
      <c r="J342" s="5"/>
      <c r="K342" s="5"/>
      <c r="L342" s="5"/>
      <c r="M342" s="5"/>
      <c r="N342" s="5"/>
      <c r="O342" s="5"/>
      <c r="P342" s="57"/>
      <c r="Q342" s="5"/>
      <c r="R342" s="5"/>
      <c r="S342" s="5"/>
      <c r="T342" s="5"/>
      <c r="U342" s="5"/>
      <c r="V342" s="5"/>
      <c r="W342" s="5"/>
      <c r="X342" s="5"/>
      <c r="Y342" s="5"/>
      <c r="Z342" s="5"/>
      <c r="AA342" s="5"/>
    </row>
    <row r="343" spans="1:27" ht="12.75" customHeight="1">
      <c r="A343" s="5"/>
      <c r="B343" s="5"/>
      <c r="C343" s="5"/>
      <c r="D343" s="5"/>
      <c r="E343" s="5"/>
      <c r="F343" s="5"/>
      <c r="G343" s="5"/>
      <c r="H343" s="306"/>
      <c r="I343" s="306"/>
      <c r="J343" s="5"/>
      <c r="K343" s="5"/>
      <c r="L343" s="5"/>
      <c r="M343" s="5"/>
      <c r="N343" s="5"/>
      <c r="O343" s="5"/>
      <c r="P343" s="57"/>
      <c r="Q343" s="5"/>
      <c r="R343" s="5"/>
      <c r="S343" s="5"/>
      <c r="T343" s="5"/>
      <c r="U343" s="5"/>
      <c r="V343" s="5"/>
      <c r="W343" s="5"/>
      <c r="X343" s="5"/>
      <c r="Y343" s="5"/>
      <c r="Z343" s="5"/>
      <c r="AA343" s="5"/>
    </row>
    <row r="344" spans="1:27" ht="12.75" customHeight="1">
      <c r="A344" s="5"/>
      <c r="B344" s="5"/>
      <c r="C344" s="5"/>
      <c r="D344" s="5"/>
      <c r="E344" s="5"/>
      <c r="F344" s="5"/>
      <c r="G344" s="5"/>
      <c r="H344" s="306"/>
      <c r="I344" s="306"/>
      <c r="J344" s="5"/>
      <c r="K344" s="5"/>
      <c r="L344" s="5"/>
      <c r="M344" s="5"/>
      <c r="N344" s="5"/>
      <c r="O344" s="5"/>
      <c r="P344" s="57"/>
      <c r="Q344" s="5"/>
      <c r="R344" s="5"/>
      <c r="S344" s="5"/>
      <c r="T344" s="5"/>
      <c r="U344" s="5"/>
      <c r="V344" s="5"/>
      <c r="W344" s="5"/>
      <c r="X344" s="5"/>
      <c r="Y344" s="5"/>
      <c r="Z344" s="5"/>
      <c r="AA344" s="5"/>
    </row>
    <row r="345" spans="1:27" ht="12.75" customHeight="1">
      <c r="A345" s="5"/>
      <c r="B345" s="5"/>
      <c r="C345" s="5"/>
      <c r="D345" s="5"/>
      <c r="E345" s="5"/>
      <c r="F345" s="5"/>
      <c r="G345" s="5"/>
      <c r="H345" s="306"/>
      <c r="I345" s="306"/>
      <c r="J345" s="5"/>
      <c r="K345" s="5"/>
      <c r="L345" s="5"/>
      <c r="M345" s="5"/>
      <c r="N345" s="5"/>
      <c r="O345" s="5"/>
      <c r="P345" s="57"/>
      <c r="Q345" s="5"/>
      <c r="R345" s="5"/>
      <c r="S345" s="5"/>
      <c r="T345" s="5"/>
      <c r="U345" s="5"/>
      <c r="V345" s="5"/>
      <c r="W345" s="5"/>
      <c r="X345" s="5"/>
      <c r="Y345" s="5"/>
      <c r="Z345" s="5"/>
      <c r="AA345" s="5"/>
    </row>
    <row r="346" spans="1:27" ht="12.75" customHeight="1">
      <c r="A346" s="5"/>
      <c r="B346" s="5"/>
      <c r="C346" s="5"/>
      <c r="D346" s="5"/>
      <c r="E346" s="5"/>
      <c r="F346" s="5"/>
      <c r="G346" s="5"/>
      <c r="H346" s="306"/>
      <c r="I346" s="306"/>
      <c r="J346" s="5"/>
      <c r="K346" s="5"/>
      <c r="L346" s="5"/>
      <c r="M346" s="5"/>
      <c r="N346" s="5"/>
      <c r="O346" s="5"/>
      <c r="P346" s="57"/>
      <c r="Q346" s="5"/>
      <c r="R346" s="5"/>
      <c r="S346" s="5"/>
      <c r="T346" s="5"/>
      <c r="U346" s="5"/>
      <c r="V346" s="5"/>
      <c r="W346" s="5"/>
      <c r="X346" s="5"/>
      <c r="Y346" s="5"/>
      <c r="Z346" s="5"/>
      <c r="AA346" s="5"/>
    </row>
    <row r="347" spans="1:27" ht="12.75" customHeight="1">
      <c r="A347" s="5"/>
      <c r="B347" s="5"/>
      <c r="C347" s="5"/>
      <c r="D347" s="5"/>
      <c r="E347" s="5"/>
      <c r="F347" s="5"/>
      <c r="G347" s="5"/>
      <c r="H347" s="306"/>
      <c r="I347" s="306"/>
      <c r="J347" s="5"/>
      <c r="K347" s="5"/>
      <c r="L347" s="5"/>
      <c r="M347" s="5"/>
      <c r="N347" s="5"/>
      <c r="O347" s="5"/>
      <c r="P347" s="57"/>
      <c r="Q347" s="5"/>
      <c r="R347" s="5"/>
      <c r="S347" s="5"/>
      <c r="T347" s="5"/>
      <c r="U347" s="5"/>
      <c r="V347" s="5"/>
      <c r="W347" s="5"/>
      <c r="X347" s="5"/>
      <c r="Y347" s="5"/>
      <c r="Z347" s="5"/>
      <c r="AA347" s="5"/>
    </row>
    <row r="348" spans="1:27" ht="12.75" customHeight="1">
      <c r="A348" s="5"/>
      <c r="B348" s="5"/>
      <c r="C348" s="5"/>
      <c r="D348" s="5"/>
      <c r="E348" s="5"/>
      <c r="F348" s="5"/>
      <c r="G348" s="5"/>
      <c r="H348" s="306"/>
      <c r="I348" s="306"/>
      <c r="J348" s="5"/>
      <c r="K348" s="5"/>
      <c r="L348" s="5"/>
      <c r="M348" s="5"/>
      <c r="N348" s="5"/>
      <c r="O348" s="5"/>
      <c r="P348" s="57"/>
      <c r="Q348" s="5"/>
      <c r="R348" s="5"/>
      <c r="S348" s="5"/>
      <c r="T348" s="5"/>
      <c r="U348" s="5"/>
      <c r="V348" s="5"/>
      <c r="W348" s="5"/>
      <c r="X348" s="5"/>
      <c r="Y348" s="5"/>
      <c r="Z348" s="5"/>
      <c r="AA348" s="5"/>
    </row>
    <row r="349" spans="1:27" ht="12.75" customHeight="1">
      <c r="A349" s="5"/>
      <c r="B349" s="5"/>
      <c r="C349" s="5"/>
      <c r="D349" s="5"/>
      <c r="E349" s="5"/>
      <c r="F349" s="5"/>
      <c r="G349" s="5"/>
      <c r="H349" s="306"/>
      <c r="I349" s="306"/>
      <c r="J349" s="5"/>
      <c r="K349" s="5"/>
      <c r="L349" s="5"/>
      <c r="M349" s="5"/>
      <c r="N349" s="5"/>
      <c r="O349" s="5"/>
      <c r="P349" s="57"/>
      <c r="Q349" s="5"/>
      <c r="R349" s="5"/>
      <c r="S349" s="5"/>
      <c r="T349" s="5"/>
      <c r="U349" s="5"/>
      <c r="V349" s="5"/>
      <c r="W349" s="5"/>
      <c r="X349" s="5"/>
      <c r="Y349" s="5"/>
      <c r="Z349" s="5"/>
      <c r="AA349" s="5"/>
    </row>
    <row r="350" spans="1:27" ht="12.75" customHeight="1">
      <c r="A350" s="5"/>
      <c r="B350" s="5"/>
      <c r="C350" s="5"/>
      <c r="D350" s="5"/>
      <c r="E350" s="5"/>
      <c r="F350" s="5"/>
      <c r="G350" s="5"/>
      <c r="H350" s="306"/>
      <c r="I350" s="306"/>
      <c r="J350" s="5"/>
      <c r="K350" s="5"/>
      <c r="L350" s="5"/>
      <c r="M350" s="5"/>
      <c r="N350" s="5"/>
      <c r="O350" s="5"/>
      <c r="P350" s="57"/>
      <c r="Q350" s="5"/>
      <c r="R350" s="5"/>
      <c r="S350" s="5"/>
      <c r="T350" s="5"/>
      <c r="U350" s="5"/>
      <c r="V350" s="5"/>
      <c r="W350" s="5"/>
      <c r="X350" s="5"/>
      <c r="Y350" s="5"/>
      <c r="Z350" s="5"/>
      <c r="AA350" s="5"/>
    </row>
    <row r="351" spans="1:27" ht="12.75" customHeight="1">
      <c r="A351" s="5"/>
      <c r="B351" s="5"/>
      <c r="C351" s="5"/>
      <c r="D351" s="5"/>
      <c r="E351" s="5"/>
      <c r="F351" s="5"/>
      <c r="G351" s="5"/>
      <c r="H351" s="306"/>
      <c r="I351" s="306"/>
      <c r="J351" s="5"/>
      <c r="K351" s="5"/>
      <c r="L351" s="5"/>
      <c r="M351" s="5"/>
      <c r="N351" s="5"/>
      <c r="O351" s="5"/>
      <c r="P351" s="57"/>
      <c r="Q351" s="5"/>
      <c r="R351" s="5"/>
      <c r="S351" s="5"/>
      <c r="T351" s="5"/>
      <c r="U351" s="5"/>
      <c r="V351" s="5"/>
      <c r="W351" s="5"/>
      <c r="X351" s="5"/>
      <c r="Y351" s="5"/>
      <c r="Z351" s="5"/>
      <c r="AA351" s="5"/>
    </row>
    <row r="352" spans="1:27" ht="12.75" customHeight="1">
      <c r="A352" s="5"/>
      <c r="B352" s="5"/>
      <c r="C352" s="5"/>
      <c r="D352" s="5"/>
      <c r="E352" s="5"/>
      <c r="F352" s="5"/>
      <c r="G352" s="5"/>
      <c r="H352" s="306"/>
      <c r="I352" s="306"/>
      <c r="J352" s="5"/>
      <c r="K352" s="5"/>
      <c r="L352" s="5"/>
      <c r="M352" s="5"/>
      <c r="N352" s="5"/>
      <c r="O352" s="5"/>
      <c r="P352" s="57"/>
      <c r="Q352" s="5"/>
      <c r="R352" s="5"/>
      <c r="S352" s="5"/>
      <c r="T352" s="5"/>
      <c r="U352" s="5"/>
      <c r="V352" s="5"/>
      <c r="W352" s="5"/>
      <c r="X352" s="5"/>
      <c r="Y352" s="5"/>
      <c r="Z352" s="5"/>
      <c r="AA352" s="5"/>
    </row>
    <row r="353" spans="1:27" ht="12.75" customHeight="1">
      <c r="A353" s="5"/>
      <c r="B353" s="5"/>
      <c r="C353" s="5"/>
      <c r="D353" s="5"/>
      <c r="E353" s="5"/>
      <c r="F353" s="5"/>
      <c r="G353" s="5"/>
      <c r="H353" s="306"/>
      <c r="I353" s="306"/>
      <c r="J353" s="5"/>
      <c r="K353" s="5"/>
      <c r="L353" s="5"/>
      <c r="M353" s="5"/>
      <c r="N353" s="5"/>
      <c r="O353" s="5"/>
      <c r="P353" s="57"/>
      <c r="Q353" s="5"/>
      <c r="R353" s="5"/>
      <c r="S353" s="5"/>
      <c r="T353" s="5"/>
      <c r="U353" s="5"/>
      <c r="V353" s="5"/>
      <c r="W353" s="5"/>
      <c r="X353" s="5"/>
      <c r="Y353" s="5"/>
      <c r="Z353" s="5"/>
      <c r="AA353" s="5"/>
    </row>
    <row r="354" spans="1:27" ht="12.75" customHeight="1">
      <c r="A354" s="5"/>
      <c r="B354" s="5"/>
      <c r="C354" s="5"/>
      <c r="D354" s="5"/>
      <c r="E354" s="5"/>
      <c r="F354" s="5"/>
      <c r="G354" s="5"/>
      <c r="H354" s="306"/>
      <c r="I354" s="306"/>
      <c r="J354" s="5"/>
      <c r="K354" s="5"/>
      <c r="L354" s="5"/>
      <c r="M354" s="5"/>
      <c r="N354" s="5"/>
      <c r="O354" s="5"/>
      <c r="P354" s="57"/>
      <c r="Q354" s="5"/>
      <c r="R354" s="5"/>
      <c r="S354" s="5"/>
      <c r="T354" s="5"/>
      <c r="U354" s="5"/>
      <c r="V354" s="5"/>
      <c r="W354" s="5"/>
      <c r="X354" s="5"/>
      <c r="Y354" s="5"/>
      <c r="Z354" s="5"/>
      <c r="AA354" s="5"/>
    </row>
    <row r="355" spans="1:27" ht="12.75" customHeight="1">
      <c r="A355" s="5"/>
      <c r="B355" s="5"/>
      <c r="C355" s="5"/>
      <c r="D355" s="5"/>
      <c r="E355" s="5"/>
      <c r="F355" s="5"/>
      <c r="G355" s="5"/>
      <c r="H355" s="306"/>
      <c r="I355" s="306"/>
      <c r="J355" s="5"/>
      <c r="K355" s="5"/>
      <c r="L355" s="5"/>
      <c r="M355" s="5"/>
      <c r="N355" s="5"/>
      <c r="O355" s="5"/>
      <c r="P355" s="57"/>
      <c r="Q355" s="5"/>
      <c r="R355" s="5"/>
      <c r="S355" s="5"/>
      <c r="T355" s="5"/>
      <c r="U355" s="5"/>
      <c r="V355" s="5"/>
      <c r="W355" s="5"/>
      <c r="X355" s="5"/>
      <c r="Y355" s="5"/>
      <c r="Z355" s="5"/>
      <c r="AA355" s="5"/>
    </row>
    <row r="356" spans="1:27" ht="12.75" customHeight="1">
      <c r="A356" s="5"/>
      <c r="B356" s="5"/>
      <c r="C356" s="5"/>
      <c r="D356" s="5"/>
      <c r="E356" s="5"/>
      <c r="F356" s="5"/>
      <c r="G356" s="5"/>
      <c r="H356" s="306"/>
      <c r="I356" s="306"/>
      <c r="J356" s="5"/>
      <c r="K356" s="5"/>
      <c r="L356" s="5"/>
      <c r="M356" s="5"/>
      <c r="N356" s="5"/>
      <c r="O356" s="5"/>
      <c r="P356" s="57"/>
      <c r="Q356" s="5"/>
      <c r="R356" s="5"/>
      <c r="S356" s="5"/>
      <c r="T356" s="5"/>
      <c r="U356" s="5"/>
      <c r="V356" s="5"/>
      <c r="W356" s="5"/>
      <c r="X356" s="5"/>
      <c r="Y356" s="5"/>
      <c r="Z356" s="5"/>
      <c r="AA356" s="5"/>
    </row>
    <row r="357" spans="1:27" ht="12.75" customHeight="1">
      <c r="A357" s="5"/>
      <c r="B357" s="5"/>
      <c r="C357" s="5"/>
      <c r="D357" s="5"/>
      <c r="E357" s="5"/>
      <c r="F357" s="5"/>
      <c r="G357" s="5"/>
      <c r="H357" s="306"/>
      <c r="I357" s="306"/>
      <c r="J357" s="5"/>
      <c r="K357" s="5"/>
      <c r="L357" s="5"/>
      <c r="M357" s="5"/>
      <c r="N357" s="5"/>
      <c r="O357" s="5"/>
      <c r="P357" s="57"/>
      <c r="Q357" s="5"/>
      <c r="R357" s="5"/>
      <c r="S357" s="5"/>
      <c r="T357" s="5"/>
      <c r="U357" s="5"/>
      <c r="V357" s="5"/>
      <c r="W357" s="5"/>
      <c r="X357" s="5"/>
      <c r="Y357" s="5"/>
      <c r="Z357" s="5"/>
      <c r="AA357" s="5"/>
    </row>
    <row r="358" spans="1:27" ht="12.75" customHeight="1">
      <c r="A358" s="5"/>
      <c r="B358" s="5"/>
      <c r="C358" s="5"/>
      <c r="D358" s="5"/>
      <c r="E358" s="5"/>
      <c r="F358" s="5"/>
      <c r="G358" s="5"/>
      <c r="H358" s="306"/>
      <c r="I358" s="306"/>
      <c r="J358" s="5"/>
      <c r="K358" s="5"/>
      <c r="L358" s="5"/>
      <c r="M358" s="5"/>
      <c r="N358" s="5"/>
      <c r="O358" s="5"/>
      <c r="P358" s="57"/>
      <c r="Q358" s="5"/>
      <c r="R358" s="5"/>
      <c r="S358" s="5"/>
      <c r="T358" s="5"/>
      <c r="U358" s="5"/>
      <c r="V358" s="5"/>
      <c r="W358" s="5"/>
      <c r="X358" s="5"/>
      <c r="Y358" s="5"/>
      <c r="Z358" s="5"/>
      <c r="AA358" s="5"/>
    </row>
    <row r="359" spans="1:27" ht="12.75" customHeight="1">
      <c r="A359" s="5"/>
      <c r="B359" s="5"/>
      <c r="C359" s="5"/>
      <c r="D359" s="5"/>
      <c r="E359" s="5"/>
      <c r="F359" s="5"/>
      <c r="G359" s="5"/>
      <c r="H359" s="306"/>
      <c r="I359" s="306"/>
      <c r="J359" s="5"/>
      <c r="K359" s="5"/>
      <c r="L359" s="5"/>
      <c r="M359" s="5"/>
      <c r="N359" s="5"/>
      <c r="O359" s="5"/>
      <c r="P359" s="57"/>
      <c r="Q359" s="5"/>
      <c r="R359" s="5"/>
      <c r="S359" s="5"/>
      <c r="T359" s="5"/>
      <c r="U359" s="5"/>
      <c r="V359" s="5"/>
      <c r="W359" s="5"/>
      <c r="X359" s="5"/>
      <c r="Y359" s="5"/>
      <c r="Z359" s="5"/>
      <c r="AA359" s="5"/>
    </row>
    <row r="360" spans="1:27" ht="12.75" customHeight="1">
      <c r="A360" s="5"/>
      <c r="B360" s="5"/>
      <c r="C360" s="5"/>
      <c r="D360" s="5"/>
      <c r="E360" s="5"/>
      <c r="F360" s="5"/>
      <c r="G360" s="5"/>
      <c r="H360" s="306"/>
      <c r="I360" s="306"/>
      <c r="J360" s="5"/>
      <c r="K360" s="5"/>
      <c r="L360" s="5"/>
      <c r="M360" s="5"/>
      <c r="N360" s="5"/>
      <c r="O360" s="5"/>
      <c r="P360" s="57"/>
      <c r="Q360" s="5"/>
      <c r="R360" s="5"/>
      <c r="S360" s="5"/>
      <c r="T360" s="5"/>
      <c r="U360" s="5"/>
      <c r="V360" s="5"/>
      <c r="W360" s="5"/>
      <c r="X360" s="5"/>
      <c r="Y360" s="5"/>
      <c r="Z360" s="5"/>
      <c r="AA360" s="5"/>
    </row>
    <row r="361" spans="1:27" ht="12.75" customHeight="1">
      <c r="A361" s="5"/>
      <c r="B361" s="5"/>
      <c r="C361" s="5"/>
      <c r="D361" s="5"/>
      <c r="E361" s="5"/>
      <c r="F361" s="5"/>
      <c r="G361" s="5"/>
      <c r="H361" s="306"/>
      <c r="I361" s="306"/>
      <c r="J361" s="5"/>
      <c r="K361" s="5"/>
      <c r="L361" s="5"/>
      <c r="M361" s="5"/>
      <c r="N361" s="5"/>
      <c r="O361" s="5"/>
      <c r="P361" s="57"/>
      <c r="Q361" s="5"/>
      <c r="R361" s="5"/>
      <c r="S361" s="5"/>
      <c r="T361" s="5"/>
      <c r="U361" s="5"/>
      <c r="V361" s="5"/>
      <c r="W361" s="5"/>
      <c r="X361" s="5"/>
      <c r="Y361" s="5"/>
      <c r="Z361" s="5"/>
      <c r="AA361" s="5"/>
    </row>
    <row r="362" spans="1:27" ht="12.75" customHeight="1">
      <c r="A362" s="5"/>
      <c r="B362" s="5"/>
      <c r="C362" s="5"/>
      <c r="D362" s="5"/>
      <c r="E362" s="5"/>
      <c r="F362" s="5"/>
      <c r="G362" s="5"/>
      <c r="H362" s="306"/>
      <c r="I362" s="306"/>
      <c r="J362" s="5"/>
      <c r="K362" s="5"/>
      <c r="L362" s="5"/>
      <c r="M362" s="5"/>
      <c r="N362" s="5"/>
      <c r="O362" s="5"/>
      <c r="P362" s="57"/>
      <c r="Q362" s="5"/>
      <c r="R362" s="5"/>
      <c r="S362" s="5"/>
      <c r="T362" s="5"/>
      <c r="U362" s="5"/>
      <c r="V362" s="5"/>
      <c r="W362" s="5"/>
      <c r="X362" s="5"/>
      <c r="Y362" s="5"/>
      <c r="Z362" s="5"/>
      <c r="AA362" s="5"/>
    </row>
    <row r="363" spans="1:27" ht="12.75" customHeight="1">
      <c r="A363" s="5"/>
      <c r="B363" s="5"/>
      <c r="C363" s="5"/>
      <c r="D363" s="5"/>
      <c r="E363" s="5"/>
      <c r="F363" s="5"/>
      <c r="G363" s="5"/>
      <c r="H363" s="306"/>
      <c r="I363" s="306"/>
      <c r="J363" s="5"/>
      <c r="K363" s="5"/>
      <c r="L363" s="5"/>
      <c r="M363" s="5"/>
      <c r="N363" s="5"/>
      <c r="O363" s="5"/>
      <c r="P363" s="57"/>
      <c r="Q363" s="5"/>
      <c r="R363" s="5"/>
      <c r="S363" s="5"/>
      <c r="T363" s="5"/>
      <c r="U363" s="5"/>
      <c r="V363" s="5"/>
      <c r="W363" s="5"/>
      <c r="X363" s="5"/>
      <c r="Y363" s="5"/>
      <c r="Z363" s="5"/>
      <c r="AA363" s="5"/>
    </row>
    <row r="364" spans="1:27" ht="12.75" customHeight="1">
      <c r="A364" s="5"/>
      <c r="B364" s="5"/>
      <c r="C364" s="5"/>
      <c r="D364" s="5"/>
      <c r="E364" s="5"/>
      <c r="F364" s="5"/>
      <c r="G364" s="5"/>
      <c r="H364" s="306"/>
      <c r="I364" s="306"/>
      <c r="J364" s="5"/>
      <c r="K364" s="5"/>
      <c r="L364" s="5"/>
      <c r="M364" s="5"/>
      <c r="N364" s="5"/>
      <c r="O364" s="5"/>
      <c r="P364" s="57"/>
      <c r="Q364" s="5"/>
      <c r="R364" s="5"/>
      <c r="S364" s="5"/>
      <c r="T364" s="5"/>
      <c r="U364" s="5"/>
      <c r="V364" s="5"/>
      <c r="W364" s="5"/>
      <c r="X364" s="5"/>
      <c r="Y364" s="5"/>
      <c r="Z364" s="5"/>
      <c r="AA364" s="5"/>
    </row>
    <row r="365" spans="1:27" ht="12.75" customHeight="1">
      <c r="A365" s="5"/>
      <c r="B365" s="5"/>
      <c r="C365" s="5"/>
      <c r="D365" s="5"/>
      <c r="E365" s="5"/>
      <c r="F365" s="5"/>
      <c r="G365" s="5"/>
      <c r="H365" s="306"/>
      <c r="I365" s="306"/>
      <c r="J365" s="5"/>
      <c r="K365" s="5"/>
      <c r="L365" s="5"/>
      <c r="M365" s="5"/>
      <c r="N365" s="5"/>
      <c r="O365" s="5"/>
      <c r="P365" s="57"/>
      <c r="Q365" s="5"/>
      <c r="R365" s="5"/>
      <c r="S365" s="5"/>
      <c r="T365" s="5"/>
      <c r="U365" s="5"/>
      <c r="V365" s="5"/>
      <c r="W365" s="5"/>
      <c r="X365" s="5"/>
      <c r="Y365" s="5"/>
      <c r="Z365" s="5"/>
      <c r="AA365" s="5"/>
    </row>
    <row r="366" spans="1:27" ht="12.75" customHeight="1">
      <c r="A366" s="5"/>
      <c r="B366" s="5"/>
      <c r="C366" s="5"/>
      <c r="D366" s="5"/>
      <c r="E366" s="5"/>
      <c r="F366" s="5"/>
      <c r="G366" s="5"/>
      <c r="H366" s="306"/>
      <c r="I366" s="306"/>
      <c r="J366" s="5"/>
      <c r="K366" s="5"/>
      <c r="L366" s="5"/>
      <c r="M366" s="5"/>
      <c r="N366" s="5"/>
      <c r="O366" s="5"/>
      <c r="P366" s="57"/>
      <c r="Q366" s="5"/>
      <c r="R366" s="5"/>
      <c r="S366" s="5"/>
      <c r="T366" s="5"/>
      <c r="U366" s="5"/>
      <c r="V366" s="5"/>
      <c r="W366" s="5"/>
      <c r="X366" s="5"/>
      <c r="Y366" s="5"/>
      <c r="Z366" s="5"/>
      <c r="AA366" s="5"/>
    </row>
    <row r="367" spans="1:27" ht="12.75" customHeight="1">
      <c r="A367" s="5"/>
      <c r="B367" s="5"/>
      <c r="C367" s="5"/>
      <c r="D367" s="5"/>
      <c r="E367" s="5"/>
      <c r="F367" s="5"/>
      <c r="G367" s="5"/>
      <c r="H367" s="306"/>
      <c r="I367" s="306"/>
      <c r="J367" s="5"/>
      <c r="K367" s="5"/>
      <c r="L367" s="5"/>
      <c r="M367" s="5"/>
      <c r="N367" s="5"/>
      <c r="O367" s="5"/>
      <c r="P367" s="57"/>
      <c r="Q367" s="5"/>
      <c r="R367" s="5"/>
      <c r="S367" s="5"/>
      <c r="T367" s="5"/>
      <c r="U367" s="5"/>
      <c r="V367" s="5"/>
      <c r="W367" s="5"/>
      <c r="X367" s="5"/>
      <c r="Y367" s="5"/>
      <c r="Z367" s="5"/>
      <c r="AA367" s="5"/>
    </row>
    <row r="368" spans="1:27" ht="12.75" customHeight="1">
      <c r="A368" s="5"/>
      <c r="B368" s="5"/>
      <c r="C368" s="5"/>
      <c r="D368" s="5"/>
      <c r="E368" s="5"/>
      <c r="F368" s="5"/>
      <c r="G368" s="5"/>
      <c r="H368" s="306"/>
      <c r="I368" s="306"/>
      <c r="J368" s="5"/>
      <c r="K368" s="5"/>
      <c r="L368" s="5"/>
      <c r="M368" s="5"/>
      <c r="N368" s="5"/>
      <c r="O368" s="5"/>
      <c r="P368" s="57"/>
      <c r="Q368" s="5"/>
      <c r="R368" s="5"/>
      <c r="S368" s="5"/>
      <c r="T368" s="5"/>
      <c r="U368" s="5"/>
      <c r="V368" s="5"/>
      <c r="W368" s="5"/>
      <c r="X368" s="5"/>
      <c r="Y368" s="5"/>
      <c r="Z368" s="5"/>
      <c r="AA368" s="5"/>
    </row>
    <row r="369" spans="1:27" ht="12.75" customHeight="1">
      <c r="A369" s="5"/>
      <c r="B369" s="5"/>
      <c r="C369" s="5"/>
      <c r="D369" s="5"/>
      <c r="E369" s="5"/>
      <c r="F369" s="5"/>
      <c r="G369" s="5"/>
      <c r="H369" s="306"/>
      <c r="I369" s="306"/>
      <c r="J369" s="5"/>
      <c r="K369" s="5"/>
      <c r="L369" s="5"/>
      <c r="M369" s="5"/>
      <c r="N369" s="5"/>
      <c r="O369" s="5"/>
      <c r="P369" s="57"/>
      <c r="Q369" s="5"/>
      <c r="R369" s="5"/>
      <c r="S369" s="5"/>
      <c r="T369" s="5"/>
      <c r="U369" s="5"/>
      <c r="V369" s="5"/>
      <c r="W369" s="5"/>
      <c r="X369" s="5"/>
      <c r="Y369" s="5"/>
      <c r="Z369" s="5"/>
      <c r="AA369" s="5"/>
    </row>
    <row r="370" spans="1:27" ht="12.75" customHeight="1">
      <c r="A370" s="5"/>
      <c r="B370" s="5"/>
      <c r="C370" s="5"/>
      <c r="D370" s="5"/>
      <c r="E370" s="5"/>
      <c r="F370" s="5"/>
      <c r="G370" s="5"/>
      <c r="H370" s="306"/>
      <c r="I370" s="306"/>
      <c r="J370" s="5"/>
      <c r="K370" s="5"/>
      <c r="L370" s="5"/>
      <c r="M370" s="5"/>
      <c r="N370" s="5"/>
      <c r="O370" s="5"/>
      <c r="P370" s="57"/>
      <c r="Q370" s="5"/>
      <c r="R370" s="5"/>
      <c r="S370" s="5"/>
      <c r="T370" s="5"/>
      <c r="U370" s="5"/>
      <c r="V370" s="5"/>
      <c r="W370" s="5"/>
      <c r="X370" s="5"/>
      <c r="Y370" s="5"/>
      <c r="Z370" s="5"/>
      <c r="AA370" s="5"/>
    </row>
    <row r="371" spans="1:27" ht="12.75" customHeight="1">
      <c r="A371" s="5"/>
      <c r="B371" s="5"/>
      <c r="C371" s="5"/>
      <c r="D371" s="5"/>
      <c r="E371" s="5"/>
      <c r="F371" s="5"/>
      <c r="G371" s="5"/>
      <c r="H371" s="306"/>
      <c r="I371" s="306"/>
      <c r="J371" s="5"/>
      <c r="K371" s="5"/>
      <c r="L371" s="5"/>
      <c r="M371" s="5"/>
      <c r="N371" s="5"/>
      <c r="O371" s="5"/>
      <c r="P371" s="57"/>
      <c r="Q371" s="5"/>
      <c r="R371" s="5"/>
      <c r="S371" s="5"/>
      <c r="T371" s="5"/>
      <c r="U371" s="5"/>
      <c r="V371" s="5"/>
      <c r="W371" s="5"/>
      <c r="X371" s="5"/>
      <c r="Y371" s="5"/>
      <c r="Z371" s="5"/>
      <c r="AA371" s="5"/>
    </row>
    <row r="372" spans="1:27" ht="12.75" customHeight="1">
      <c r="A372" s="5"/>
      <c r="B372" s="5"/>
      <c r="C372" s="5"/>
      <c r="D372" s="5"/>
      <c r="E372" s="5"/>
      <c r="F372" s="5"/>
      <c r="G372" s="5"/>
      <c r="H372" s="306"/>
      <c r="I372" s="306"/>
      <c r="J372" s="5"/>
      <c r="K372" s="5"/>
      <c r="L372" s="5"/>
      <c r="M372" s="5"/>
      <c r="N372" s="5"/>
      <c r="O372" s="5"/>
      <c r="P372" s="57"/>
      <c r="Q372" s="5"/>
      <c r="R372" s="5"/>
      <c r="S372" s="5"/>
      <c r="T372" s="5"/>
      <c r="U372" s="5"/>
      <c r="V372" s="5"/>
      <c r="W372" s="5"/>
      <c r="X372" s="5"/>
      <c r="Y372" s="5"/>
      <c r="Z372" s="5"/>
      <c r="AA372" s="5"/>
    </row>
    <row r="373" spans="1:27" ht="12.75" customHeight="1">
      <c r="A373" s="5"/>
      <c r="B373" s="5"/>
      <c r="C373" s="5"/>
      <c r="D373" s="5"/>
      <c r="E373" s="5"/>
      <c r="F373" s="5"/>
      <c r="G373" s="5"/>
      <c r="H373" s="306"/>
      <c r="I373" s="306"/>
      <c r="J373" s="5"/>
      <c r="K373" s="5"/>
      <c r="L373" s="5"/>
      <c r="M373" s="5"/>
      <c r="N373" s="5"/>
      <c r="O373" s="5"/>
      <c r="P373" s="57"/>
      <c r="Q373" s="5"/>
      <c r="R373" s="5"/>
      <c r="S373" s="5"/>
      <c r="T373" s="5"/>
      <c r="U373" s="5"/>
      <c r="V373" s="5"/>
      <c r="W373" s="5"/>
      <c r="X373" s="5"/>
      <c r="Y373" s="5"/>
      <c r="Z373" s="5"/>
      <c r="AA373" s="5"/>
    </row>
    <row r="374" spans="1:27" ht="12.75" customHeight="1">
      <c r="A374" s="5"/>
      <c r="B374" s="5"/>
      <c r="C374" s="5"/>
      <c r="D374" s="5"/>
      <c r="E374" s="5"/>
      <c r="F374" s="5"/>
      <c r="G374" s="5"/>
      <c r="H374" s="306"/>
      <c r="I374" s="306"/>
      <c r="J374" s="5"/>
      <c r="K374" s="5"/>
      <c r="L374" s="5"/>
      <c r="M374" s="5"/>
      <c r="N374" s="5"/>
      <c r="O374" s="5"/>
      <c r="P374" s="57"/>
      <c r="Q374" s="5"/>
      <c r="R374" s="5"/>
      <c r="S374" s="5"/>
      <c r="T374" s="5"/>
      <c r="U374" s="5"/>
      <c r="V374" s="5"/>
      <c r="W374" s="5"/>
      <c r="X374" s="5"/>
      <c r="Y374" s="5"/>
      <c r="Z374" s="5"/>
      <c r="AA374" s="5"/>
    </row>
    <row r="375" spans="1:27" ht="12.75" customHeight="1">
      <c r="A375" s="5"/>
      <c r="B375" s="5"/>
      <c r="C375" s="5"/>
      <c r="D375" s="5"/>
      <c r="E375" s="5"/>
      <c r="F375" s="5"/>
      <c r="G375" s="5"/>
      <c r="H375" s="306"/>
      <c r="I375" s="306"/>
      <c r="J375" s="5"/>
      <c r="K375" s="5"/>
      <c r="L375" s="5"/>
      <c r="M375" s="5"/>
      <c r="N375" s="5"/>
      <c r="O375" s="5"/>
      <c r="P375" s="57"/>
      <c r="Q375" s="5"/>
      <c r="R375" s="5"/>
      <c r="S375" s="5"/>
      <c r="T375" s="5"/>
      <c r="U375" s="5"/>
      <c r="V375" s="5"/>
      <c r="W375" s="5"/>
      <c r="X375" s="5"/>
      <c r="Y375" s="5"/>
      <c r="Z375" s="5"/>
      <c r="AA375" s="5"/>
    </row>
    <row r="376" spans="1:27" ht="12.75" customHeight="1">
      <c r="A376" s="5"/>
      <c r="B376" s="5"/>
      <c r="C376" s="5"/>
      <c r="D376" s="5"/>
      <c r="E376" s="5"/>
      <c r="F376" s="5"/>
      <c r="G376" s="5"/>
      <c r="H376" s="306"/>
      <c r="I376" s="306"/>
      <c r="J376" s="5"/>
      <c r="K376" s="5"/>
      <c r="L376" s="5"/>
      <c r="M376" s="5"/>
      <c r="N376" s="5"/>
      <c r="O376" s="5"/>
      <c r="P376" s="57"/>
      <c r="Q376" s="5"/>
      <c r="R376" s="5"/>
      <c r="S376" s="5"/>
      <c r="T376" s="5"/>
      <c r="U376" s="5"/>
      <c r="V376" s="5"/>
      <c r="W376" s="5"/>
      <c r="X376" s="5"/>
      <c r="Y376" s="5"/>
      <c r="Z376" s="5"/>
      <c r="AA376" s="5"/>
    </row>
    <row r="377" spans="1:27" ht="12.75" customHeight="1">
      <c r="A377" s="5"/>
      <c r="B377" s="5"/>
      <c r="C377" s="5"/>
      <c r="D377" s="5"/>
      <c r="E377" s="5"/>
      <c r="F377" s="5"/>
      <c r="G377" s="5"/>
      <c r="H377" s="306"/>
      <c r="I377" s="306"/>
      <c r="J377" s="5"/>
      <c r="K377" s="5"/>
      <c r="L377" s="5"/>
      <c r="M377" s="5"/>
      <c r="N377" s="5"/>
      <c r="O377" s="5"/>
      <c r="P377" s="57"/>
      <c r="Q377" s="5"/>
      <c r="R377" s="5"/>
      <c r="S377" s="5"/>
      <c r="T377" s="5"/>
      <c r="U377" s="5"/>
      <c r="V377" s="5"/>
      <c r="W377" s="5"/>
      <c r="X377" s="5"/>
      <c r="Y377" s="5"/>
      <c r="Z377" s="5"/>
      <c r="AA377" s="5"/>
    </row>
    <row r="378" spans="1:27" ht="12.75" customHeight="1">
      <c r="A378" s="5"/>
      <c r="B378" s="5"/>
      <c r="C378" s="5"/>
      <c r="D378" s="5"/>
      <c r="E378" s="5"/>
      <c r="F378" s="5"/>
      <c r="G378" s="5"/>
      <c r="H378" s="306"/>
      <c r="I378" s="306"/>
      <c r="J378" s="5"/>
      <c r="K378" s="5"/>
      <c r="L378" s="5"/>
      <c r="M378" s="5"/>
      <c r="N378" s="5"/>
      <c r="O378" s="5"/>
      <c r="P378" s="57"/>
      <c r="Q378" s="5"/>
      <c r="R378" s="5"/>
      <c r="S378" s="5"/>
      <c r="T378" s="5"/>
      <c r="U378" s="5"/>
      <c r="V378" s="5"/>
      <c r="W378" s="5"/>
      <c r="X378" s="5"/>
      <c r="Y378" s="5"/>
      <c r="Z378" s="5"/>
      <c r="AA378" s="5"/>
    </row>
    <row r="379" spans="1:27" ht="12.75" customHeight="1">
      <c r="A379" s="5"/>
      <c r="B379" s="5"/>
      <c r="C379" s="5"/>
      <c r="D379" s="5"/>
      <c r="E379" s="5"/>
      <c r="F379" s="5"/>
      <c r="G379" s="5"/>
      <c r="H379" s="306"/>
      <c r="I379" s="306"/>
      <c r="J379" s="5"/>
      <c r="K379" s="5"/>
      <c r="L379" s="5"/>
      <c r="M379" s="5"/>
      <c r="N379" s="5"/>
      <c r="O379" s="5"/>
      <c r="P379" s="57"/>
      <c r="Q379" s="5"/>
      <c r="R379" s="5"/>
      <c r="S379" s="5"/>
      <c r="T379" s="5"/>
      <c r="U379" s="5"/>
      <c r="V379" s="5"/>
      <c r="W379" s="5"/>
      <c r="X379" s="5"/>
      <c r="Y379" s="5"/>
      <c r="Z379" s="5"/>
      <c r="AA379" s="5"/>
    </row>
    <row r="380" spans="1:27" ht="12.75" customHeight="1">
      <c r="A380" s="5"/>
      <c r="B380" s="5"/>
      <c r="C380" s="5"/>
      <c r="D380" s="5"/>
      <c r="E380" s="5"/>
      <c r="F380" s="5"/>
      <c r="G380" s="5"/>
      <c r="H380" s="306"/>
      <c r="I380" s="306"/>
      <c r="J380" s="5"/>
      <c r="K380" s="5"/>
      <c r="L380" s="5"/>
      <c r="M380" s="5"/>
      <c r="N380" s="5"/>
      <c r="O380" s="5"/>
      <c r="P380" s="57"/>
      <c r="Q380" s="5"/>
      <c r="R380" s="5"/>
      <c r="S380" s="5"/>
      <c r="T380" s="5"/>
      <c r="U380" s="5"/>
      <c r="V380" s="5"/>
      <c r="W380" s="5"/>
      <c r="X380" s="5"/>
      <c r="Y380" s="5"/>
      <c r="Z380" s="5"/>
      <c r="AA380" s="5"/>
    </row>
    <row r="381" spans="1:27" ht="12.75" customHeight="1">
      <c r="A381" s="5"/>
      <c r="B381" s="5"/>
      <c r="C381" s="5"/>
      <c r="D381" s="5"/>
      <c r="E381" s="5"/>
      <c r="F381" s="5"/>
      <c r="G381" s="5"/>
      <c r="H381" s="306"/>
      <c r="I381" s="306"/>
      <c r="J381" s="5"/>
      <c r="K381" s="5"/>
      <c r="L381" s="5"/>
      <c r="M381" s="5"/>
      <c r="N381" s="5"/>
      <c r="O381" s="5"/>
      <c r="P381" s="57"/>
      <c r="Q381" s="5"/>
      <c r="R381" s="5"/>
      <c r="S381" s="5"/>
      <c r="T381" s="5"/>
      <c r="U381" s="5"/>
      <c r="V381" s="5"/>
      <c r="W381" s="5"/>
      <c r="X381" s="5"/>
      <c r="Y381" s="5"/>
      <c r="Z381" s="5"/>
      <c r="AA381" s="5"/>
    </row>
    <row r="382" spans="1:27" ht="12.75" customHeight="1">
      <c r="A382" s="5"/>
      <c r="B382" s="5"/>
      <c r="C382" s="5"/>
      <c r="D382" s="5"/>
      <c r="E382" s="5"/>
      <c r="F382" s="5"/>
      <c r="G382" s="5"/>
      <c r="H382" s="306"/>
      <c r="I382" s="306"/>
      <c r="J382" s="5"/>
      <c r="K382" s="5"/>
      <c r="L382" s="5"/>
      <c r="M382" s="5"/>
      <c r="N382" s="5"/>
      <c r="O382" s="5"/>
      <c r="P382" s="57"/>
      <c r="Q382" s="5"/>
      <c r="R382" s="5"/>
      <c r="S382" s="5"/>
      <c r="T382" s="5"/>
      <c r="U382" s="5"/>
      <c r="V382" s="5"/>
      <c r="W382" s="5"/>
      <c r="X382" s="5"/>
      <c r="Y382" s="5"/>
      <c r="Z382" s="5"/>
      <c r="AA382" s="5"/>
    </row>
    <row r="383" spans="1:27" ht="12.75" customHeight="1">
      <c r="A383" s="5"/>
      <c r="B383" s="5"/>
      <c r="C383" s="5"/>
      <c r="D383" s="5"/>
      <c r="E383" s="5"/>
      <c r="F383" s="5"/>
      <c r="G383" s="5"/>
      <c r="H383" s="306"/>
      <c r="I383" s="306"/>
      <c r="J383" s="5"/>
      <c r="K383" s="5"/>
      <c r="L383" s="5"/>
      <c r="M383" s="5"/>
      <c r="N383" s="5"/>
      <c r="O383" s="5"/>
      <c r="P383" s="57"/>
      <c r="Q383" s="5"/>
      <c r="R383" s="5"/>
      <c r="S383" s="5"/>
      <c r="T383" s="5"/>
      <c r="U383" s="5"/>
      <c r="V383" s="5"/>
      <c r="W383" s="5"/>
      <c r="X383" s="5"/>
      <c r="Y383" s="5"/>
      <c r="Z383" s="5"/>
      <c r="AA383" s="5"/>
    </row>
    <row r="384" spans="1:27" ht="12.75" customHeight="1">
      <c r="A384" s="5"/>
      <c r="B384" s="5"/>
      <c r="C384" s="5"/>
      <c r="D384" s="5"/>
      <c r="E384" s="5"/>
      <c r="F384" s="5"/>
      <c r="G384" s="5"/>
      <c r="H384" s="306"/>
      <c r="I384" s="306"/>
      <c r="J384" s="5"/>
      <c r="K384" s="5"/>
      <c r="L384" s="5"/>
      <c r="M384" s="5"/>
      <c r="N384" s="5"/>
      <c r="O384" s="5"/>
      <c r="P384" s="57"/>
      <c r="Q384" s="5"/>
      <c r="R384" s="5"/>
      <c r="S384" s="5"/>
      <c r="T384" s="5"/>
      <c r="U384" s="5"/>
      <c r="V384" s="5"/>
      <c r="W384" s="5"/>
      <c r="X384" s="5"/>
      <c r="Y384" s="5"/>
      <c r="Z384" s="5"/>
      <c r="AA384" s="5"/>
    </row>
    <row r="385" spans="1:27" ht="12.75" customHeight="1">
      <c r="A385" s="5"/>
      <c r="B385" s="5"/>
      <c r="C385" s="5"/>
      <c r="D385" s="5"/>
      <c r="E385" s="5"/>
      <c r="F385" s="5"/>
      <c r="G385" s="5"/>
      <c r="H385" s="306"/>
      <c r="I385" s="306"/>
      <c r="J385" s="5"/>
      <c r="K385" s="5"/>
      <c r="L385" s="5"/>
      <c r="M385" s="5"/>
      <c r="N385" s="5"/>
      <c r="O385" s="5"/>
      <c r="P385" s="57"/>
      <c r="Q385" s="5"/>
      <c r="R385" s="5"/>
      <c r="S385" s="5"/>
      <c r="T385" s="5"/>
      <c r="U385" s="5"/>
      <c r="V385" s="5"/>
      <c r="W385" s="5"/>
      <c r="X385" s="5"/>
      <c r="Y385" s="5"/>
      <c r="Z385" s="5"/>
      <c r="AA385" s="5"/>
    </row>
    <row r="386" spans="1:27" ht="12.75" customHeight="1">
      <c r="A386" s="5"/>
      <c r="B386" s="5"/>
      <c r="C386" s="5"/>
      <c r="D386" s="5"/>
      <c r="E386" s="5"/>
      <c r="F386" s="5"/>
      <c r="G386" s="5"/>
      <c r="H386" s="306"/>
      <c r="I386" s="306"/>
      <c r="J386" s="5"/>
      <c r="K386" s="5"/>
      <c r="L386" s="5"/>
      <c r="M386" s="5"/>
      <c r="N386" s="5"/>
      <c r="O386" s="5"/>
      <c r="P386" s="57"/>
      <c r="Q386" s="5"/>
      <c r="R386" s="5"/>
      <c r="S386" s="5"/>
      <c r="T386" s="5"/>
      <c r="U386" s="5"/>
      <c r="V386" s="5"/>
      <c r="W386" s="5"/>
      <c r="X386" s="5"/>
      <c r="Y386" s="5"/>
      <c r="Z386" s="5"/>
      <c r="AA386" s="5"/>
    </row>
    <row r="387" spans="1:27" ht="12.75" customHeight="1">
      <c r="A387" s="5"/>
      <c r="B387" s="5"/>
      <c r="C387" s="5"/>
      <c r="D387" s="5"/>
      <c r="E387" s="5"/>
      <c r="F387" s="5"/>
      <c r="G387" s="5"/>
      <c r="H387" s="306"/>
      <c r="I387" s="306"/>
      <c r="J387" s="5"/>
      <c r="K387" s="5"/>
      <c r="L387" s="5"/>
      <c r="M387" s="5"/>
      <c r="N387" s="5"/>
      <c r="O387" s="5"/>
      <c r="P387" s="57"/>
      <c r="Q387" s="5"/>
      <c r="R387" s="5"/>
      <c r="S387" s="5"/>
      <c r="T387" s="5"/>
      <c r="U387" s="5"/>
      <c r="V387" s="5"/>
      <c r="W387" s="5"/>
      <c r="X387" s="5"/>
      <c r="Y387" s="5"/>
      <c r="Z387" s="5"/>
      <c r="AA387" s="5"/>
    </row>
    <row r="388" spans="1:27" ht="12.75" customHeight="1">
      <c r="A388" s="5"/>
      <c r="B388" s="5"/>
      <c r="C388" s="5"/>
      <c r="D388" s="5"/>
      <c r="E388" s="5"/>
      <c r="F388" s="5"/>
      <c r="G388" s="5"/>
      <c r="H388" s="306"/>
      <c r="I388" s="306"/>
      <c r="J388" s="5"/>
      <c r="K388" s="5"/>
      <c r="L388" s="5"/>
      <c r="M388" s="5"/>
      <c r="N388" s="5"/>
      <c r="O388" s="5"/>
      <c r="P388" s="57"/>
      <c r="Q388" s="5"/>
      <c r="R388" s="5"/>
      <c r="S388" s="5"/>
      <c r="T388" s="5"/>
      <c r="U388" s="5"/>
      <c r="V388" s="5"/>
      <c r="W388" s="5"/>
      <c r="X388" s="5"/>
      <c r="Y388" s="5"/>
      <c r="Z388" s="5"/>
      <c r="AA388" s="5"/>
    </row>
    <row r="389" spans="1:27" ht="12.75" customHeight="1">
      <c r="A389" s="5"/>
      <c r="B389" s="5"/>
      <c r="C389" s="5"/>
      <c r="D389" s="5"/>
      <c r="E389" s="5"/>
      <c r="F389" s="5"/>
      <c r="G389" s="5"/>
      <c r="H389" s="306"/>
      <c r="I389" s="306"/>
      <c r="J389" s="5"/>
      <c r="K389" s="5"/>
      <c r="L389" s="5"/>
      <c r="M389" s="5"/>
      <c r="N389" s="5"/>
      <c r="O389" s="5"/>
      <c r="P389" s="57"/>
      <c r="Q389" s="5"/>
      <c r="R389" s="5"/>
      <c r="S389" s="5"/>
      <c r="T389" s="5"/>
      <c r="U389" s="5"/>
      <c r="V389" s="5"/>
      <c r="W389" s="5"/>
      <c r="X389" s="5"/>
      <c r="Y389" s="5"/>
      <c r="Z389" s="5"/>
      <c r="AA389" s="5"/>
    </row>
    <row r="390" spans="1:27" ht="12.75" customHeight="1">
      <c r="A390" s="5"/>
      <c r="B390" s="5"/>
      <c r="C390" s="5"/>
      <c r="D390" s="5"/>
      <c r="E390" s="5"/>
      <c r="F390" s="5"/>
      <c r="G390" s="5"/>
      <c r="H390" s="306"/>
      <c r="I390" s="306"/>
      <c r="J390" s="5"/>
      <c r="K390" s="5"/>
      <c r="L390" s="5"/>
      <c r="M390" s="5"/>
      <c r="N390" s="5"/>
      <c r="O390" s="5"/>
      <c r="P390" s="57"/>
      <c r="Q390" s="5"/>
      <c r="R390" s="5"/>
      <c r="S390" s="5"/>
      <c r="T390" s="5"/>
      <c r="U390" s="5"/>
      <c r="V390" s="5"/>
      <c r="W390" s="5"/>
      <c r="X390" s="5"/>
      <c r="Y390" s="5"/>
      <c r="Z390" s="5"/>
      <c r="AA390" s="5"/>
    </row>
    <row r="391" spans="1:27" ht="12.75" customHeight="1">
      <c r="A391" s="5"/>
      <c r="B391" s="5"/>
      <c r="C391" s="5"/>
      <c r="D391" s="5"/>
      <c r="E391" s="5"/>
      <c r="F391" s="5"/>
      <c r="G391" s="5"/>
      <c r="H391" s="306"/>
      <c r="I391" s="306"/>
      <c r="J391" s="5"/>
      <c r="K391" s="5"/>
      <c r="L391" s="5"/>
      <c r="M391" s="5"/>
      <c r="N391" s="5"/>
      <c r="O391" s="5"/>
      <c r="P391" s="57"/>
      <c r="Q391" s="5"/>
      <c r="R391" s="5"/>
      <c r="S391" s="5"/>
      <c r="T391" s="5"/>
      <c r="U391" s="5"/>
      <c r="V391" s="5"/>
      <c r="W391" s="5"/>
      <c r="X391" s="5"/>
      <c r="Y391" s="5"/>
      <c r="Z391" s="5"/>
      <c r="AA391" s="5"/>
    </row>
    <row r="392" spans="1:27" ht="12.75" customHeight="1">
      <c r="A392" s="5"/>
      <c r="B392" s="5"/>
      <c r="C392" s="5"/>
      <c r="D392" s="5"/>
      <c r="E392" s="5"/>
      <c r="F392" s="5"/>
      <c r="G392" s="5"/>
      <c r="H392" s="306"/>
      <c r="I392" s="306"/>
      <c r="J392" s="5"/>
      <c r="K392" s="5"/>
      <c r="L392" s="5"/>
      <c r="M392" s="5"/>
      <c r="N392" s="5"/>
      <c r="O392" s="5"/>
      <c r="P392" s="57"/>
      <c r="Q392" s="5"/>
      <c r="R392" s="5"/>
      <c r="S392" s="5"/>
      <c r="T392" s="5"/>
      <c r="U392" s="5"/>
      <c r="V392" s="5"/>
      <c r="W392" s="5"/>
      <c r="X392" s="5"/>
      <c r="Y392" s="5"/>
      <c r="Z392" s="5"/>
      <c r="AA392" s="5"/>
    </row>
    <row r="393" spans="1:27" ht="12.75" customHeight="1">
      <c r="A393" s="5"/>
      <c r="B393" s="5"/>
      <c r="C393" s="5"/>
      <c r="D393" s="5"/>
      <c r="E393" s="5"/>
      <c r="F393" s="5"/>
      <c r="G393" s="5"/>
      <c r="H393" s="306"/>
      <c r="I393" s="306"/>
      <c r="J393" s="5"/>
      <c r="K393" s="5"/>
      <c r="L393" s="5"/>
      <c r="M393" s="5"/>
      <c r="N393" s="5"/>
      <c r="O393" s="5"/>
      <c r="P393" s="57"/>
      <c r="Q393" s="5"/>
      <c r="R393" s="5"/>
      <c r="S393" s="5"/>
      <c r="T393" s="5"/>
      <c r="U393" s="5"/>
      <c r="V393" s="5"/>
      <c r="W393" s="5"/>
      <c r="X393" s="5"/>
      <c r="Y393" s="5"/>
      <c r="Z393" s="5"/>
      <c r="AA393" s="5"/>
    </row>
    <row r="394" spans="1:27" ht="12.75" customHeight="1">
      <c r="A394" s="5"/>
      <c r="B394" s="5"/>
      <c r="C394" s="5"/>
      <c r="D394" s="5"/>
      <c r="E394" s="5"/>
      <c r="F394" s="5"/>
      <c r="G394" s="5"/>
      <c r="H394" s="306"/>
      <c r="I394" s="306"/>
      <c r="J394" s="5"/>
      <c r="K394" s="5"/>
      <c r="L394" s="5"/>
      <c r="M394" s="5"/>
      <c r="N394" s="5"/>
      <c r="O394" s="5"/>
      <c r="P394" s="57"/>
      <c r="Q394" s="5"/>
      <c r="R394" s="5"/>
      <c r="S394" s="5"/>
      <c r="T394" s="5"/>
      <c r="U394" s="5"/>
      <c r="V394" s="5"/>
      <c r="W394" s="5"/>
      <c r="X394" s="5"/>
      <c r="Y394" s="5"/>
      <c r="Z394" s="5"/>
      <c r="AA394" s="5"/>
    </row>
    <row r="395" spans="1:27" ht="12.75" customHeight="1">
      <c r="A395" s="5"/>
      <c r="B395" s="5"/>
      <c r="C395" s="5"/>
      <c r="D395" s="5"/>
      <c r="E395" s="5"/>
      <c r="F395" s="5"/>
      <c r="G395" s="5"/>
      <c r="H395" s="306"/>
      <c r="I395" s="306"/>
      <c r="J395" s="5"/>
      <c r="K395" s="5"/>
      <c r="L395" s="5"/>
      <c r="M395" s="5"/>
      <c r="N395" s="5"/>
      <c r="O395" s="5"/>
      <c r="P395" s="57"/>
      <c r="Q395" s="5"/>
      <c r="R395" s="5"/>
      <c r="S395" s="5"/>
      <c r="T395" s="5"/>
      <c r="U395" s="5"/>
      <c r="V395" s="5"/>
      <c r="W395" s="5"/>
      <c r="X395" s="5"/>
      <c r="Y395" s="5"/>
      <c r="Z395" s="5"/>
      <c r="AA395" s="5"/>
    </row>
    <row r="396" spans="1:27" ht="12.75" customHeight="1">
      <c r="A396" s="5"/>
      <c r="B396" s="5"/>
      <c r="C396" s="5"/>
      <c r="D396" s="5"/>
      <c r="E396" s="5"/>
      <c r="F396" s="5"/>
      <c r="G396" s="5"/>
      <c r="H396" s="306"/>
      <c r="I396" s="306"/>
      <c r="J396" s="5"/>
      <c r="K396" s="5"/>
      <c r="L396" s="5"/>
      <c r="M396" s="5"/>
      <c r="N396" s="5"/>
      <c r="O396" s="5"/>
      <c r="P396" s="57"/>
      <c r="Q396" s="5"/>
      <c r="R396" s="5"/>
      <c r="S396" s="5"/>
      <c r="T396" s="5"/>
      <c r="U396" s="5"/>
      <c r="V396" s="5"/>
      <c r="W396" s="5"/>
      <c r="X396" s="5"/>
      <c r="Y396" s="5"/>
      <c r="Z396" s="5"/>
      <c r="AA396" s="5"/>
    </row>
    <row r="397" spans="1:27" ht="12.75" customHeight="1">
      <c r="A397" s="5"/>
      <c r="B397" s="5"/>
      <c r="C397" s="5"/>
      <c r="D397" s="5"/>
      <c r="E397" s="5"/>
      <c r="F397" s="5"/>
      <c r="G397" s="5"/>
      <c r="H397" s="306"/>
      <c r="I397" s="306"/>
      <c r="J397" s="5"/>
      <c r="K397" s="5"/>
      <c r="L397" s="5"/>
      <c r="M397" s="5"/>
      <c r="N397" s="5"/>
      <c r="O397" s="5"/>
      <c r="P397" s="57"/>
      <c r="Q397" s="5"/>
      <c r="R397" s="5"/>
      <c r="S397" s="5"/>
      <c r="T397" s="5"/>
      <c r="U397" s="5"/>
      <c r="V397" s="5"/>
      <c r="W397" s="5"/>
      <c r="X397" s="5"/>
      <c r="Y397" s="5"/>
      <c r="Z397" s="5"/>
      <c r="AA397" s="5"/>
    </row>
    <row r="398" spans="1:27" ht="12.75" customHeight="1">
      <c r="A398" s="5"/>
      <c r="B398" s="5"/>
      <c r="C398" s="5"/>
      <c r="D398" s="5"/>
      <c r="E398" s="5"/>
      <c r="F398" s="5"/>
      <c r="G398" s="5"/>
      <c r="H398" s="306"/>
      <c r="I398" s="306"/>
      <c r="J398" s="5"/>
      <c r="K398" s="5"/>
      <c r="L398" s="5"/>
      <c r="M398" s="5"/>
      <c r="N398" s="5"/>
      <c r="O398" s="5"/>
      <c r="P398" s="57"/>
      <c r="Q398" s="5"/>
      <c r="R398" s="5"/>
      <c r="S398" s="5"/>
      <c r="T398" s="5"/>
      <c r="U398" s="5"/>
      <c r="V398" s="5"/>
      <c r="W398" s="5"/>
      <c r="X398" s="5"/>
      <c r="Y398" s="5"/>
      <c r="Z398" s="5"/>
      <c r="AA398" s="5"/>
    </row>
    <row r="399" spans="1:27" ht="12.75" customHeight="1">
      <c r="A399" s="5"/>
      <c r="B399" s="5"/>
      <c r="C399" s="5"/>
      <c r="D399" s="5"/>
      <c r="E399" s="5"/>
      <c r="F399" s="5"/>
      <c r="G399" s="5"/>
      <c r="H399" s="306"/>
      <c r="I399" s="306"/>
      <c r="J399" s="5"/>
      <c r="K399" s="5"/>
      <c r="L399" s="5"/>
      <c r="M399" s="5"/>
      <c r="N399" s="5"/>
      <c r="O399" s="5"/>
      <c r="P399" s="57"/>
      <c r="Q399" s="5"/>
      <c r="R399" s="5"/>
      <c r="S399" s="5"/>
      <c r="T399" s="5"/>
      <c r="U399" s="5"/>
      <c r="V399" s="5"/>
      <c r="W399" s="5"/>
      <c r="X399" s="5"/>
      <c r="Y399" s="5"/>
      <c r="Z399" s="5"/>
      <c r="AA399" s="5"/>
    </row>
    <row r="400" spans="1:27" ht="12.75" customHeight="1">
      <c r="A400" s="5"/>
      <c r="B400" s="5"/>
      <c r="C400" s="5"/>
      <c r="D400" s="5"/>
      <c r="E400" s="5"/>
      <c r="F400" s="5"/>
      <c r="G400" s="5"/>
      <c r="H400" s="306"/>
      <c r="I400" s="306"/>
      <c r="J400" s="5"/>
      <c r="K400" s="5"/>
      <c r="L400" s="5"/>
      <c r="M400" s="5"/>
      <c r="N400" s="5"/>
      <c r="O400" s="5"/>
      <c r="P400" s="57"/>
      <c r="Q400" s="5"/>
      <c r="R400" s="5"/>
      <c r="S400" s="5"/>
      <c r="T400" s="5"/>
      <c r="U400" s="5"/>
      <c r="V400" s="5"/>
      <c r="W400" s="5"/>
      <c r="X400" s="5"/>
      <c r="Y400" s="5"/>
      <c r="Z400" s="5"/>
      <c r="AA400" s="5"/>
    </row>
    <row r="401" spans="1:27" ht="12.75" customHeight="1">
      <c r="A401" s="5"/>
      <c r="B401" s="5"/>
      <c r="C401" s="5"/>
      <c r="D401" s="5"/>
      <c r="E401" s="5"/>
      <c r="F401" s="5"/>
      <c r="G401" s="5"/>
      <c r="H401" s="306"/>
      <c r="I401" s="306"/>
      <c r="J401" s="5"/>
      <c r="K401" s="5"/>
      <c r="L401" s="5"/>
      <c r="M401" s="5"/>
      <c r="N401" s="5"/>
      <c r="O401" s="5"/>
      <c r="P401" s="57"/>
      <c r="Q401" s="5"/>
      <c r="R401" s="5"/>
      <c r="S401" s="5"/>
      <c r="T401" s="5"/>
      <c r="U401" s="5"/>
      <c r="V401" s="5"/>
      <c r="W401" s="5"/>
      <c r="X401" s="5"/>
      <c r="Y401" s="5"/>
      <c r="Z401" s="5"/>
      <c r="AA401" s="5"/>
    </row>
    <row r="402" spans="1:27" ht="12.75" customHeight="1">
      <c r="A402" s="5"/>
      <c r="B402" s="5"/>
      <c r="C402" s="5"/>
      <c r="D402" s="5"/>
      <c r="E402" s="5"/>
      <c r="F402" s="5"/>
      <c r="G402" s="5"/>
      <c r="H402" s="306"/>
      <c r="I402" s="306"/>
      <c r="J402" s="5"/>
      <c r="K402" s="5"/>
      <c r="L402" s="5"/>
      <c r="M402" s="5"/>
      <c r="N402" s="5"/>
      <c r="O402" s="5"/>
      <c r="P402" s="57"/>
      <c r="Q402" s="5"/>
      <c r="R402" s="5"/>
      <c r="S402" s="5"/>
      <c r="T402" s="5"/>
      <c r="U402" s="5"/>
      <c r="V402" s="5"/>
      <c r="W402" s="5"/>
      <c r="X402" s="5"/>
      <c r="Y402" s="5"/>
      <c r="Z402" s="5"/>
      <c r="AA402" s="5"/>
    </row>
    <row r="403" spans="1:27" ht="12.75" customHeight="1">
      <c r="A403" s="5"/>
      <c r="B403" s="5"/>
      <c r="C403" s="5"/>
      <c r="D403" s="5"/>
      <c r="E403" s="5"/>
      <c r="F403" s="5"/>
      <c r="G403" s="5"/>
      <c r="H403" s="306"/>
      <c r="I403" s="306"/>
      <c r="J403" s="5"/>
      <c r="K403" s="5"/>
      <c r="L403" s="5"/>
      <c r="M403" s="5"/>
      <c r="N403" s="5"/>
      <c r="O403" s="5"/>
      <c r="P403" s="57"/>
      <c r="Q403" s="5"/>
      <c r="R403" s="5"/>
      <c r="S403" s="5"/>
      <c r="T403" s="5"/>
      <c r="U403" s="5"/>
      <c r="V403" s="5"/>
      <c r="W403" s="5"/>
      <c r="X403" s="5"/>
      <c r="Y403" s="5"/>
      <c r="Z403" s="5"/>
      <c r="AA403" s="5"/>
    </row>
    <row r="404" spans="1:27" ht="12.75" customHeight="1">
      <c r="A404" s="5"/>
      <c r="B404" s="5"/>
      <c r="C404" s="5"/>
      <c r="D404" s="5"/>
      <c r="E404" s="5"/>
      <c r="F404" s="5"/>
      <c r="G404" s="5"/>
      <c r="H404" s="306"/>
      <c r="I404" s="306"/>
      <c r="J404" s="5"/>
      <c r="K404" s="5"/>
      <c r="L404" s="5"/>
      <c r="M404" s="5"/>
      <c r="N404" s="5"/>
      <c r="O404" s="5"/>
      <c r="P404" s="57"/>
      <c r="Q404" s="5"/>
      <c r="R404" s="5"/>
      <c r="S404" s="5"/>
      <c r="T404" s="5"/>
      <c r="U404" s="5"/>
      <c r="V404" s="5"/>
      <c r="W404" s="5"/>
      <c r="X404" s="5"/>
      <c r="Y404" s="5"/>
      <c r="Z404" s="5"/>
      <c r="AA404" s="5"/>
    </row>
    <row r="405" spans="1:27" ht="12.75" customHeight="1">
      <c r="A405" s="5"/>
      <c r="B405" s="5"/>
      <c r="C405" s="5"/>
      <c r="D405" s="5"/>
      <c r="E405" s="5"/>
      <c r="F405" s="5"/>
      <c r="G405" s="5"/>
      <c r="H405" s="306"/>
      <c r="I405" s="306"/>
      <c r="J405" s="5"/>
      <c r="K405" s="5"/>
      <c r="L405" s="5"/>
      <c r="M405" s="5"/>
      <c r="N405" s="5"/>
      <c r="O405" s="5"/>
      <c r="P405" s="57"/>
      <c r="Q405" s="5"/>
      <c r="R405" s="5"/>
      <c r="S405" s="5"/>
      <c r="T405" s="5"/>
      <c r="U405" s="5"/>
      <c r="V405" s="5"/>
      <c r="W405" s="5"/>
      <c r="X405" s="5"/>
      <c r="Y405" s="5"/>
      <c r="Z405" s="5"/>
      <c r="AA405" s="5"/>
    </row>
    <row r="406" spans="1:27" ht="12.75" customHeight="1">
      <c r="A406" s="5"/>
      <c r="B406" s="5"/>
      <c r="C406" s="5"/>
      <c r="D406" s="5"/>
      <c r="E406" s="5"/>
      <c r="F406" s="5"/>
      <c r="G406" s="5"/>
      <c r="H406" s="306"/>
      <c r="I406" s="306"/>
      <c r="J406" s="5"/>
      <c r="K406" s="5"/>
      <c r="L406" s="5"/>
      <c r="M406" s="5"/>
      <c r="N406" s="5"/>
      <c r="O406" s="5"/>
      <c r="P406" s="57"/>
      <c r="Q406" s="5"/>
      <c r="R406" s="5"/>
      <c r="S406" s="5"/>
      <c r="T406" s="5"/>
      <c r="U406" s="5"/>
      <c r="V406" s="5"/>
      <c r="W406" s="5"/>
      <c r="X406" s="5"/>
      <c r="Y406" s="5"/>
      <c r="Z406" s="5"/>
      <c r="AA406" s="5"/>
    </row>
    <row r="407" spans="1:27" ht="12.75" customHeight="1">
      <c r="A407" s="5"/>
      <c r="B407" s="5"/>
      <c r="C407" s="5"/>
      <c r="D407" s="5"/>
      <c r="E407" s="5"/>
      <c r="F407" s="5"/>
      <c r="G407" s="5"/>
      <c r="H407" s="306"/>
      <c r="I407" s="306"/>
      <c r="J407" s="5"/>
      <c r="K407" s="5"/>
      <c r="L407" s="5"/>
      <c r="M407" s="5"/>
      <c r="N407" s="5"/>
      <c r="O407" s="5"/>
      <c r="P407" s="57"/>
      <c r="Q407" s="5"/>
      <c r="R407" s="5"/>
      <c r="S407" s="5"/>
      <c r="T407" s="5"/>
      <c r="U407" s="5"/>
      <c r="V407" s="5"/>
      <c r="W407" s="5"/>
      <c r="X407" s="5"/>
      <c r="Y407" s="5"/>
      <c r="Z407" s="5"/>
      <c r="AA407" s="5"/>
    </row>
    <row r="408" spans="1:27" ht="12.75" customHeight="1">
      <c r="A408" s="5"/>
      <c r="B408" s="5"/>
      <c r="C408" s="5"/>
      <c r="D408" s="5"/>
      <c r="E408" s="5"/>
      <c r="F408" s="5"/>
      <c r="G408" s="5"/>
      <c r="H408" s="306"/>
      <c r="I408" s="306"/>
      <c r="J408" s="5"/>
      <c r="K408" s="5"/>
      <c r="L408" s="5"/>
      <c r="M408" s="5"/>
      <c r="N408" s="5"/>
      <c r="O408" s="5"/>
      <c r="P408" s="57"/>
      <c r="Q408" s="5"/>
      <c r="R408" s="5"/>
      <c r="S408" s="5"/>
      <c r="T408" s="5"/>
      <c r="U408" s="5"/>
      <c r="V408" s="5"/>
      <c r="W408" s="5"/>
      <c r="X408" s="5"/>
      <c r="Y408" s="5"/>
      <c r="Z408" s="5"/>
      <c r="AA408" s="5"/>
    </row>
    <row r="409" spans="1:27" ht="12.75" customHeight="1">
      <c r="A409" s="5"/>
      <c r="B409" s="5"/>
      <c r="C409" s="5"/>
      <c r="D409" s="5"/>
      <c r="E409" s="5"/>
      <c r="F409" s="5"/>
      <c r="G409" s="5"/>
      <c r="H409" s="306"/>
      <c r="I409" s="306"/>
      <c r="J409" s="5"/>
      <c r="K409" s="5"/>
      <c r="L409" s="5"/>
      <c r="M409" s="5"/>
      <c r="N409" s="5"/>
      <c r="O409" s="5"/>
      <c r="P409" s="57"/>
      <c r="Q409" s="5"/>
      <c r="R409" s="5"/>
      <c r="S409" s="5"/>
      <c r="T409" s="5"/>
      <c r="U409" s="5"/>
      <c r="V409" s="5"/>
      <c r="W409" s="5"/>
      <c r="X409" s="5"/>
      <c r="Y409" s="5"/>
      <c r="Z409" s="5"/>
      <c r="AA409" s="5"/>
    </row>
    <row r="410" spans="1:27" ht="12.75" customHeight="1">
      <c r="A410" s="5"/>
      <c r="B410" s="5"/>
      <c r="C410" s="5"/>
      <c r="D410" s="5"/>
      <c r="E410" s="5"/>
      <c r="F410" s="5"/>
      <c r="G410" s="5"/>
      <c r="H410" s="306"/>
      <c r="I410" s="306"/>
      <c r="J410" s="5"/>
      <c r="K410" s="5"/>
      <c r="L410" s="5"/>
      <c r="M410" s="5"/>
      <c r="N410" s="5"/>
      <c r="O410" s="5"/>
      <c r="P410" s="57"/>
      <c r="Q410" s="5"/>
      <c r="R410" s="5"/>
      <c r="S410" s="5"/>
      <c r="T410" s="5"/>
      <c r="U410" s="5"/>
      <c r="V410" s="5"/>
      <c r="W410" s="5"/>
      <c r="X410" s="5"/>
      <c r="Y410" s="5"/>
      <c r="Z410" s="5"/>
      <c r="AA410" s="5"/>
    </row>
    <row r="411" spans="1:27" ht="12.75" customHeight="1">
      <c r="A411" s="5"/>
      <c r="B411" s="5"/>
      <c r="C411" s="5"/>
      <c r="D411" s="5"/>
      <c r="E411" s="5"/>
      <c r="F411" s="5"/>
      <c r="G411" s="5"/>
      <c r="H411" s="306"/>
      <c r="I411" s="306"/>
      <c r="J411" s="5"/>
      <c r="K411" s="5"/>
      <c r="L411" s="5"/>
      <c r="M411" s="5"/>
      <c r="N411" s="5"/>
      <c r="O411" s="5"/>
      <c r="P411" s="57"/>
      <c r="Q411" s="5"/>
      <c r="R411" s="5"/>
      <c r="S411" s="5"/>
      <c r="T411" s="5"/>
      <c r="U411" s="5"/>
      <c r="V411" s="5"/>
      <c r="W411" s="5"/>
      <c r="X411" s="5"/>
      <c r="Y411" s="5"/>
      <c r="Z411" s="5"/>
      <c r="AA411" s="5"/>
    </row>
    <row r="412" spans="1:27" ht="12.75" customHeight="1">
      <c r="A412" s="5"/>
      <c r="B412" s="5"/>
      <c r="C412" s="5"/>
      <c r="D412" s="5"/>
      <c r="E412" s="5"/>
      <c r="F412" s="5"/>
      <c r="G412" s="5"/>
      <c r="H412" s="306"/>
      <c r="I412" s="306"/>
      <c r="J412" s="5"/>
      <c r="K412" s="5"/>
      <c r="L412" s="5"/>
      <c r="M412" s="5"/>
      <c r="N412" s="5"/>
      <c r="O412" s="5"/>
      <c r="P412" s="57"/>
      <c r="Q412" s="5"/>
      <c r="R412" s="5"/>
      <c r="S412" s="5"/>
      <c r="T412" s="5"/>
      <c r="U412" s="5"/>
      <c r="V412" s="5"/>
      <c r="W412" s="5"/>
      <c r="X412" s="5"/>
      <c r="Y412" s="5"/>
      <c r="Z412" s="5"/>
      <c r="AA412" s="5"/>
    </row>
    <row r="413" spans="1:27" ht="12.75" customHeight="1">
      <c r="A413" s="5"/>
      <c r="B413" s="5"/>
      <c r="C413" s="5"/>
      <c r="D413" s="5"/>
      <c r="E413" s="5"/>
      <c r="F413" s="5"/>
      <c r="G413" s="5"/>
      <c r="H413" s="306"/>
      <c r="I413" s="306"/>
      <c r="J413" s="5"/>
      <c r="K413" s="5"/>
      <c r="L413" s="5"/>
      <c r="M413" s="5"/>
      <c r="N413" s="5"/>
      <c r="O413" s="5"/>
      <c r="P413" s="57"/>
      <c r="Q413" s="5"/>
      <c r="R413" s="5"/>
      <c r="S413" s="5"/>
      <c r="T413" s="5"/>
      <c r="U413" s="5"/>
      <c r="V413" s="5"/>
      <c r="W413" s="5"/>
      <c r="X413" s="5"/>
      <c r="Y413" s="5"/>
      <c r="Z413" s="5"/>
      <c r="AA413" s="5"/>
    </row>
    <row r="414" spans="1:27" ht="12.75" customHeight="1">
      <c r="A414" s="5"/>
      <c r="B414" s="5"/>
      <c r="C414" s="5"/>
      <c r="D414" s="5"/>
      <c r="E414" s="5"/>
      <c r="F414" s="5"/>
      <c r="G414" s="5"/>
      <c r="H414" s="306"/>
      <c r="I414" s="306"/>
      <c r="J414" s="5"/>
      <c r="K414" s="5"/>
      <c r="L414" s="5"/>
      <c r="M414" s="5"/>
      <c r="N414" s="5"/>
      <c r="O414" s="5"/>
      <c r="P414" s="57"/>
      <c r="Q414" s="5"/>
      <c r="R414" s="5"/>
      <c r="S414" s="5"/>
      <c r="T414" s="5"/>
      <c r="U414" s="5"/>
      <c r="V414" s="5"/>
      <c r="W414" s="5"/>
      <c r="X414" s="5"/>
      <c r="Y414" s="5"/>
      <c r="Z414" s="5"/>
      <c r="AA414" s="5"/>
    </row>
    <row r="415" spans="1:27" ht="12.75" customHeight="1">
      <c r="A415" s="5"/>
      <c r="B415" s="5"/>
      <c r="C415" s="5"/>
      <c r="D415" s="5"/>
      <c r="E415" s="5"/>
      <c r="F415" s="5"/>
      <c r="G415" s="5"/>
      <c r="H415" s="306"/>
      <c r="I415" s="306"/>
      <c r="J415" s="5"/>
      <c r="K415" s="5"/>
      <c r="L415" s="5"/>
      <c r="M415" s="5"/>
      <c r="N415" s="5"/>
      <c r="O415" s="5"/>
      <c r="P415" s="57"/>
      <c r="Q415" s="5"/>
      <c r="R415" s="5"/>
      <c r="S415" s="5"/>
      <c r="T415" s="5"/>
      <c r="U415" s="5"/>
      <c r="V415" s="5"/>
      <c r="W415" s="5"/>
      <c r="X415" s="5"/>
      <c r="Y415" s="5"/>
      <c r="Z415" s="5"/>
      <c r="AA415" s="5"/>
    </row>
    <row r="416" spans="1:27" ht="12.75" customHeight="1">
      <c r="A416" s="5"/>
      <c r="B416" s="5"/>
      <c r="C416" s="5"/>
      <c r="D416" s="5"/>
      <c r="E416" s="5"/>
      <c r="F416" s="5"/>
      <c r="G416" s="5"/>
      <c r="H416" s="306"/>
      <c r="I416" s="306"/>
      <c r="J416" s="5"/>
      <c r="K416" s="5"/>
      <c r="L416" s="5"/>
      <c r="M416" s="5"/>
      <c r="N416" s="5"/>
      <c r="O416" s="5"/>
      <c r="P416" s="57"/>
      <c r="Q416" s="5"/>
      <c r="R416" s="5"/>
      <c r="S416" s="5"/>
      <c r="T416" s="5"/>
      <c r="U416" s="5"/>
      <c r="V416" s="5"/>
      <c r="W416" s="5"/>
      <c r="X416" s="5"/>
      <c r="Y416" s="5"/>
      <c r="Z416" s="5"/>
      <c r="AA416" s="5"/>
    </row>
    <row r="417" spans="1:27" ht="12.75" customHeight="1">
      <c r="A417" s="5"/>
      <c r="B417" s="5"/>
      <c r="C417" s="5"/>
      <c r="D417" s="5"/>
      <c r="E417" s="5"/>
      <c r="F417" s="5"/>
      <c r="G417" s="5"/>
      <c r="H417" s="306"/>
      <c r="I417" s="306"/>
      <c r="J417" s="5"/>
      <c r="K417" s="5"/>
      <c r="L417" s="5"/>
      <c r="M417" s="5"/>
      <c r="N417" s="5"/>
      <c r="O417" s="5"/>
      <c r="P417" s="57"/>
      <c r="Q417" s="5"/>
      <c r="R417" s="5"/>
      <c r="S417" s="5"/>
      <c r="T417" s="5"/>
      <c r="U417" s="5"/>
      <c r="V417" s="5"/>
      <c r="W417" s="5"/>
      <c r="X417" s="5"/>
      <c r="Y417" s="5"/>
      <c r="Z417" s="5"/>
      <c r="AA417" s="5"/>
    </row>
    <row r="418" spans="1:27" ht="12.75" customHeight="1">
      <c r="A418" s="5"/>
      <c r="B418" s="5"/>
      <c r="C418" s="5"/>
      <c r="D418" s="5"/>
      <c r="E418" s="5"/>
      <c r="F418" s="5"/>
      <c r="G418" s="5"/>
      <c r="H418" s="306"/>
      <c r="I418" s="306"/>
      <c r="J418" s="5"/>
      <c r="K418" s="5"/>
      <c r="L418" s="5"/>
      <c r="M418" s="5"/>
      <c r="N418" s="5"/>
      <c r="O418" s="5"/>
      <c r="P418" s="57"/>
      <c r="Q418" s="5"/>
      <c r="R418" s="5"/>
      <c r="S418" s="5"/>
      <c r="T418" s="5"/>
      <c r="U418" s="5"/>
      <c r="V418" s="5"/>
      <c r="W418" s="5"/>
      <c r="X418" s="5"/>
      <c r="Y418" s="5"/>
      <c r="Z418" s="5"/>
      <c r="AA418" s="5"/>
    </row>
    <row r="419" spans="1:27" ht="12.75" customHeight="1">
      <c r="A419" s="5"/>
      <c r="B419" s="5"/>
      <c r="C419" s="5"/>
      <c r="D419" s="5"/>
      <c r="E419" s="5"/>
      <c r="F419" s="5"/>
      <c r="G419" s="5"/>
      <c r="H419" s="306"/>
      <c r="I419" s="306"/>
      <c r="J419" s="5"/>
      <c r="K419" s="5"/>
      <c r="L419" s="5"/>
      <c r="M419" s="5"/>
      <c r="N419" s="5"/>
      <c r="O419" s="5"/>
      <c r="P419" s="57"/>
      <c r="Q419" s="5"/>
      <c r="R419" s="5"/>
      <c r="S419" s="5"/>
      <c r="T419" s="5"/>
      <c r="U419" s="5"/>
      <c r="V419" s="5"/>
      <c r="W419" s="5"/>
      <c r="X419" s="5"/>
      <c r="Y419" s="5"/>
      <c r="Z419" s="5"/>
      <c r="AA419" s="5"/>
    </row>
    <row r="420" spans="1:27" ht="12.75" customHeight="1">
      <c r="A420" s="5"/>
      <c r="B420" s="5"/>
      <c r="C420" s="5"/>
      <c r="D420" s="5"/>
      <c r="E420" s="5"/>
      <c r="F420" s="5"/>
      <c r="G420" s="5"/>
      <c r="H420" s="306"/>
      <c r="I420" s="306"/>
      <c r="J420" s="5"/>
      <c r="K420" s="5"/>
      <c r="L420" s="5"/>
      <c r="M420" s="5"/>
      <c r="N420" s="5"/>
      <c r="O420" s="5"/>
      <c r="P420" s="57"/>
      <c r="Q420" s="5"/>
      <c r="R420" s="5"/>
      <c r="S420" s="5"/>
      <c r="T420" s="5"/>
      <c r="U420" s="5"/>
      <c r="V420" s="5"/>
      <c r="W420" s="5"/>
      <c r="X420" s="5"/>
      <c r="Y420" s="5"/>
      <c r="Z420" s="5"/>
      <c r="AA420" s="5"/>
    </row>
    <row r="421" spans="1:27" ht="12.75" customHeight="1">
      <c r="A421" s="5"/>
      <c r="B421" s="5"/>
      <c r="C421" s="5"/>
      <c r="D421" s="5"/>
      <c r="E421" s="5"/>
      <c r="F421" s="5"/>
      <c r="G421" s="5"/>
      <c r="H421" s="306"/>
      <c r="I421" s="306"/>
      <c r="J421" s="5"/>
      <c r="K421" s="5"/>
      <c r="L421" s="5"/>
      <c r="M421" s="5"/>
      <c r="N421" s="5"/>
      <c r="O421" s="5"/>
      <c r="P421" s="57"/>
      <c r="Q421" s="5"/>
      <c r="R421" s="5"/>
      <c r="S421" s="5"/>
      <c r="T421" s="5"/>
      <c r="U421" s="5"/>
      <c r="V421" s="5"/>
      <c r="W421" s="5"/>
      <c r="X421" s="5"/>
      <c r="Y421" s="5"/>
      <c r="Z421" s="5"/>
      <c r="AA421" s="5"/>
    </row>
    <row r="422" spans="1:27" ht="12.75" customHeight="1">
      <c r="A422" s="5"/>
      <c r="B422" s="5"/>
      <c r="C422" s="5"/>
      <c r="D422" s="5"/>
      <c r="E422" s="5"/>
      <c r="F422" s="5"/>
      <c r="G422" s="5"/>
      <c r="H422" s="306"/>
      <c r="I422" s="306"/>
      <c r="J422" s="5"/>
      <c r="K422" s="5"/>
      <c r="L422" s="5"/>
      <c r="M422" s="5"/>
      <c r="N422" s="5"/>
      <c r="O422" s="5"/>
      <c r="P422" s="57"/>
      <c r="Q422" s="5"/>
      <c r="R422" s="5"/>
      <c r="S422" s="5"/>
      <c r="T422" s="5"/>
      <c r="U422" s="5"/>
      <c r="V422" s="5"/>
      <c r="W422" s="5"/>
      <c r="X422" s="5"/>
      <c r="Y422" s="5"/>
      <c r="Z422" s="5"/>
      <c r="AA422" s="5"/>
    </row>
    <row r="423" spans="1:27" ht="12.75" customHeight="1">
      <c r="A423" s="5"/>
      <c r="B423" s="5"/>
      <c r="C423" s="5"/>
      <c r="D423" s="5"/>
      <c r="E423" s="5"/>
      <c r="F423" s="5"/>
      <c r="G423" s="5"/>
      <c r="H423" s="306"/>
      <c r="I423" s="306"/>
      <c r="J423" s="5"/>
      <c r="K423" s="5"/>
      <c r="L423" s="5"/>
      <c r="M423" s="5"/>
      <c r="N423" s="5"/>
      <c r="O423" s="5"/>
      <c r="P423" s="57"/>
      <c r="Q423" s="5"/>
      <c r="R423" s="5"/>
      <c r="S423" s="5"/>
      <c r="T423" s="5"/>
      <c r="U423" s="5"/>
      <c r="V423" s="5"/>
      <c r="W423" s="5"/>
      <c r="X423" s="5"/>
      <c r="Y423" s="5"/>
      <c r="Z423" s="5"/>
      <c r="AA423" s="5"/>
    </row>
    <row r="424" spans="1:27" ht="12.75" customHeight="1">
      <c r="A424" s="5"/>
      <c r="B424" s="5"/>
      <c r="C424" s="5"/>
      <c r="D424" s="5"/>
      <c r="E424" s="5"/>
      <c r="F424" s="5"/>
      <c r="G424" s="5"/>
      <c r="H424" s="306"/>
      <c r="I424" s="306"/>
      <c r="J424" s="5"/>
      <c r="K424" s="5"/>
      <c r="L424" s="5"/>
      <c r="M424" s="5"/>
      <c r="N424" s="5"/>
      <c r="O424" s="5"/>
      <c r="P424" s="57"/>
      <c r="Q424" s="5"/>
      <c r="R424" s="5"/>
      <c r="S424" s="5"/>
      <c r="T424" s="5"/>
      <c r="U424" s="5"/>
      <c r="V424" s="5"/>
      <c r="W424" s="5"/>
      <c r="X424" s="5"/>
      <c r="Y424" s="5"/>
      <c r="Z424" s="5"/>
      <c r="AA424" s="5"/>
    </row>
    <row r="425" spans="1:27" ht="12.75" customHeight="1">
      <c r="A425" s="5"/>
      <c r="B425" s="5"/>
      <c r="C425" s="5"/>
      <c r="D425" s="5"/>
      <c r="E425" s="5"/>
      <c r="F425" s="5"/>
      <c r="G425" s="5"/>
      <c r="H425" s="306"/>
      <c r="I425" s="306"/>
      <c r="J425" s="5"/>
      <c r="K425" s="5"/>
      <c r="L425" s="5"/>
      <c r="M425" s="5"/>
      <c r="N425" s="5"/>
      <c r="O425" s="5"/>
      <c r="P425" s="57"/>
      <c r="Q425" s="5"/>
      <c r="R425" s="5"/>
      <c r="S425" s="5"/>
      <c r="T425" s="5"/>
      <c r="U425" s="5"/>
      <c r="V425" s="5"/>
      <c r="W425" s="5"/>
      <c r="X425" s="5"/>
      <c r="Y425" s="5"/>
      <c r="Z425" s="5"/>
      <c r="AA425" s="5"/>
    </row>
    <row r="426" spans="1:27" ht="12.75" customHeight="1">
      <c r="A426" s="5"/>
      <c r="B426" s="5"/>
      <c r="C426" s="5"/>
      <c r="D426" s="5"/>
      <c r="E426" s="5"/>
      <c r="F426" s="5"/>
      <c r="G426" s="5"/>
      <c r="H426" s="306"/>
      <c r="I426" s="306"/>
      <c r="J426" s="5"/>
      <c r="K426" s="5"/>
      <c r="L426" s="5"/>
      <c r="M426" s="5"/>
      <c r="N426" s="5"/>
      <c r="O426" s="5"/>
      <c r="P426" s="57"/>
      <c r="Q426" s="5"/>
      <c r="R426" s="5"/>
      <c r="S426" s="5"/>
      <c r="T426" s="5"/>
      <c r="U426" s="5"/>
      <c r="V426" s="5"/>
      <c r="W426" s="5"/>
      <c r="X426" s="5"/>
      <c r="Y426" s="5"/>
      <c r="Z426" s="5"/>
      <c r="AA426" s="5"/>
    </row>
    <row r="427" spans="1:27" ht="12.75" customHeight="1">
      <c r="A427" s="5"/>
      <c r="B427" s="5"/>
      <c r="C427" s="5"/>
      <c r="D427" s="5"/>
      <c r="E427" s="5"/>
      <c r="F427" s="5"/>
      <c r="G427" s="5"/>
      <c r="H427" s="306"/>
      <c r="I427" s="306"/>
      <c r="J427" s="5"/>
      <c r="K427" s="5"/>
      <c r="L427" s="5"/>
      <c r="M427" s="5"/>
      <c r="N427" s="5"/>
      <c r="O427" s="5"/>
      <c r="P427" s="57"/>
      <c r="Q427" s="5"/>
      <c r="R427" s="5"/>
      <c r="S427" s="5"/>
      <c r="T427" s="5"/>
      <c r="U427" s="5"/>
      <c r="V427" s="5"/>
      <c r="W427" s="5"/>
      <c r="X427" s="5"/>
      <c r="Y427" s="5"/>
      <c r="Z427" s="5"/>
      <c r="AA427" s="5"/>
    </row>
    <row r="428" spans="1:27" ht="12.75" customHeight="1">
      <c r="A428" s="5"/>
      <c r="B428" s="5"/>
      <c r="C428" s="5"/>
      <c r="D428" s="5"/>
      <c r="E428" s="5"/>
      <c r="F428" s="5"/>
      <c r="G428" s="5"/>
      <c r="H428" s="306"/>
      <c r="I428" s="306"/>
      <c r="J428" s="5"/>
      <c r="K428" s="5"/>
      <c r="L428" s="5"/>
      <c r="M428" s="5"/>
      <c r="N428" s="5"/>
      <c r="O428" s="5"/>
      <c r="P428" s="57"/>
      <c r="Q428" s="5"/>
      <c r="R428" s="5"/>
      <c r="S428" s="5"/>
      <c r="T428" s="5"/>
      <c r="U428" s="5"/>
      <c r="V428" s="5"/>
      <c r="W428" s="5"/>
      <c r="X428" s="5"/>
      <c r="Y428" s="5"/>
      <c r="Z428" s="5"/>
      <c r="AA428" s="5"/>
    </row>
    <row r="429" spans="1:27" ht="12.75" customHeight="1">
      <c r="A429" s="5"/>
      <c r="B429" s="5"/>
      <c r="C429" s="5"/>
      <c r="D429" s="5"/>
      <c r="E429" s="5"/>
      <c r="F429" s="5"/>
      <c r="G429" s="5"/>
      <c r="H429" s="306"/>
      <c r="I429" s="306"/>
      <c r="J429" s="5"/>
      <c r="K429" s="5"/>
      <c r="L429" s="5"/>
      <c r="M429" s="5"/>
      <c r="N429" s="5"/>
      <c r="O429" s="5"/>
      <c r="P429" s="57"/>
      <c r="Q429" s="5"/>
      <c r="R429" s="5"/>
      <c r="S429" s="5"/>
      <c r="T429" s="5"/>
      <c r="U429" s="5"/>
      <c r="V429" s="5"/>
      <c r="W429" s="5"/>
      <c r="X429" s="5"/>
      <c r="Y429" s="5"/>
      <c r="Z429" s="5"/>
      <c r="AA429" s="5"/>
    </row>
    <row r="430" spans="1:27" ht="12.75" customHeight="1">
      <c r="A430" s="5"/>
      <c r="B430" s="5"/>
      <c r="C430" s="5"/>
      <c r="D430" s="5"/>
      <c r="E430" s="5"/>
      <c r="F430" s="5"/>
      <c r="G430" s="5"/>
      <c r="H430" s="306"/>
      <c r="I430" s="306"/>
      <c r="J430" s="5"/>
      <c r="K430" s="5"/>
      <c r="L430" s="5"/>
      <c r="M430" s="5"/>
      <c r="N430" s="5"/>
      <c r="O430" s="5"/>
      <c r="P430" s="57"/>
      <c r="Q430" s="5"/>
      <c r="R430" s="5"/>
      <c r="S430" s="5"/>
      <c r="T430" s="5"/>
      <c r="U430" s="5"/>
      <c r="V430" s="5"/>
      <c r="W430" s="5"/>
      <c r="X430" s="5"/>
      <c r="Y430" s="5"/>
      <c r="Z430" s="5"/>
      <c r="AA430" s="5"/>
    </row>
    <row r="431" spans="1:27" ht="12.75" customHeight="1">
      <c r="A431" s="5"/>
      <c r="B431" s="5"/>
      <c r="C431" s="5"/>
      <c r="D431" s="5"/>
      <c r="E431" s="5"/>
      <c r="F431" s="5"/>
      <c r="G431" s="5"/>
      <c r="H431" s="306"/>
      <c r="I431" s="306"/>
      <c r="J431" s="5"/>
      <c r="K431" s="5"/>
      <c r="L431" s="5"/>
      <c r="M431" s="5"/>
      <c r="N431" s="5"/>
      <c r="O431" s="5"/>
      <c r="P431" s="57"/>
      <c r="Q431" s="5"/>
      <c r="R431" s="5"/>
      <c r="S431" s="5"/>
      <c r="T431" s="5"/>
      <c r="U431" s="5"/>
      <c r="V431" s="5"/>
      <c r="W431" s="5"/>
      <c r="X431" s="5"/>
      <c r="Y431" s="5"/>
      <c r="Z431" s="5"/>
      <c r="AA431" s="5"/>
    </row>
    <row r="432" spans="1:27" ht="12.75" customHeight="1">
      <c r="A432" s="5"/>
      <c r="B432" s="5"/>
      <c r="C432" s="5"/>
      <c r="D432" s="5"/>
      <c r="E432" s="5"/>
      <c r="F432" s="5"/>
      <c r="G432" s="5"/>
      <c r="H432" s="306"/>
      <c r="I432" s="306"/>
      <c r="J432" s="5"/>
      <c r="K432" s="5"/>
      <c r="L432" s="5"/>
      <c r="M432" s="5"/>
      <c r="N432" s="5"/>
      <c r="O432" s="5"/>
      <c r="P432" s="57"/>
      <c r="Q432" s="5"/>
      <c r="R432" s="5"/>
      <c r="S432" s="5"/>
      <c r="T432" s="5"/>
      <c r="U432" s="5"/>
      <c r="V432" s="5"/>
      <c r="W432" s="5"/>
      <c r="X432" s="5"/>
      <c r="Y432" s="5"/>
      <c r="Z432" s="5"/>
      <c r="AA432" s="5"/>
    </row>
    <row r="433" spans="1:27" ht="12.75" customHeight="1">
      <c r="A433" s="5"/>
      <c r="B433" s="5"/>
      <c r="C433" s="5"/>
      <c r="D433" s="5"/>
      <c r="E433" s="5"/>
      <c r="F433" s="5"/>
      <c r="G433" s="5"/>
      <c r="H433" s="306"/>
      <c r="I433" s="306"/>
      <c r="J433" s="5"/>
      <c r="K433" s="5"/>
      <c r="L433" s="5"/>
      <c r="M433" s="5"/>
      <c r="N433" s="5"/>
      <c r="O433" s="5"/>
      <c r="P433" s="57"/>
      <c r="Q433" s="5"/>
      <c r="R433" s="5"/>
      <c r="S433" s="5"/>
      <c r="T433" s="5"/>
      <c r="U433" s="5"/>
      <c r="V433" s="5"/>
      <c r="W433" s="5"/>
      <c r="X433" s="5"/>
      <c r="Y433" s="5"/>
      <c r="Z433" s="5"/>
      <c r="AA433" s="5"/>
    </row>
    <row r="434" spans="1:27" ht="12.75" customHeight="1">
      <c r="A434" s="5"/>
      <c r="B434" s="5"/>
      <c r="C434" s="5"/>
      <c r="D434" s="5"/>
      <c r="E434" s="5"/>
      <c r="F434" s="5"/>
      <c r="G434" s="5"/>
      <c r="H434" s="306"/>
      <c r="I434" s="306"/>
      <c r="J434" s="5"/>
      <c r="K434" s="5"/>
      <c r="L434" s="5"/>
      <c r="M434" s="5"/>
      <c r="N434" s="5"/>
      <c r="O434" s="5"/>
      <c r="P434" s="57"/>
      <c r="Q434" s="5"/>
      <c r="R434" s="5"/>
      <c r="S434" s="5"/>
      <c r="T434" s="5"/>
      <c r="U434" s="5"/>
      <c r="V434" s="5"/>
      <c r="W434" s="5"/>
      <c r="X434" s="5"/>
      <c r="Y434" s="5"/>
      <c r="Z434" s="5"/>
      <c r="AA434" s="5"/>
    </row>
    <row r="435" spans="1:27" ht="12.75" customHeight="1">
      <c r="A435" s="5"/>
      <c r="B435" s="5"/>
      <c r="C435" s="5"/>
      <c r="D435" s="5"/>
      <c r="E435" s="5"/>
      <c r="F435" s="5"/>
      <c r="G435" s="5"/>
      <c r="H435" s="306"/>
      <c r="I435" s="306"/>
      <c r="J435" s="5"/>
      <c r="K435" s="5"/>
      <c r="L435" s="5"/>
      <c r="M435" s="5"/>
      <c r="N435" s="5"/>
      <c r="O435" s="5"/>
      <c r="P435" s="57"/>
      <c r="Q435" s="5"/>
      <c r="R435" s="5"/>
      <c r="S435" s="5"/>
      <c r="T435" s="5"/>
      <c r="U435" s="5"/>
      <c r="V435" s="5"/>
      <c r="W435" s="5"/>
      <c r="X435" s="5"/>
      <c r="Y435" s="5"/>
      <c r="Z435" s="5"/>
      <c r="AA435" s="5"/>
    </row>
    <row r="436" spans="1:27" ht="12.75" customHeight="1">
      <c r="A436" s="5"/>
      <c r="B436" s="5"/>
      <c r="C436" s="5"/>
      <c r="D436" s="5"/>
      <c r="E436" s="5"/>
      <c r="F436" s="5"/>
      <c r="G436" s="5"/>
      <c r="H436" s="306"/>
      <c r="I436" s="306"/>
      <c r="J436" s="5"/>
      <c r="K436" s="5"/>
      <c r="L436" s="5"/>
      <c r="M436" s="5"/>
      <c r="N436" s="5"/>
      <c r="O436" s="5"/>
      <c r="P436" s="57"/>
      <c r="Q436" s="5"/>
      <c r="R436" s="5"/>
      <c r="S436" s="5"/>
      <c r="T436" s="5"/>
      <c r="U436" s="5"/>
      <c r="V436" s="5"/>
      <c r="W436" s="5"/>
      <c r="X436" s="5"/>
      <c r="Y436" s="5"/>
      <c r="Z436" s="5"/>
      <c r="AA436" s="5"/>
    </row>
    <row r="437" spans="1:27" ht="12.75" customHeight="1">
      <c r="A437" s="5"/>
      <c r="B437" s="5"/>
      <c r="C437" s="5"/>
      <c r="D437" s="5"/>
      <c r="E437" s="5"/>
      <c r="F437" s="5"/>
      <c r="G437" s="5"/>
      <c r="H437" s="306"/>
      <c r="I437" s="306"/>
      <c r="J437" s="5"/>
      <c r="K437" s="5"/>
      <c r="L437" s="5"/>
      <c r="M437" s="5"/>
      <c r="N437" s="5"/>
      <c r="O437" s="5"/>
      <c r="P437" s="57"/>
      <c r="Q437" s="5"/>
      <c r="R437" s="5"/>
      <c r="S437" s="5"/>
      <c r="T437" s="5"/>
      <c r="U437" s="5"/>
      <c r="V437" s="5"/>
      <c r="W437" s="5"/>
      <c r="X437" s="5"/>
      <c r="Y437" s="5"/>
      <c r="Z437" s="5"/>
      <c r="AA437" s="5"/>
    </row>
    <row r="438" spans="1:27" ht="12.75" customHeight="1">
      <c r="A438" s="5"/>
      <c r="B438" s="5"/>
      <c r="C438" s="5"/>
      <c r="D438" s="5"/>
      <c r="E438" s="5"/>
      <c r="F438" s="5"/>
      <c r="G438" s="5"/>
      <c r="H438" s="306"/>
      <c r="I438" s="306"/>
      <c r="J438" s="5"/>
      <c r="K438" s="5"/>
      <c r="L438" s="5"/>
      <c r="M438" s="5"/>
      <c r="N438" s="5"/>
      <c r="O438" s="5"/>
      <c r="P438" s="57"/>
      <c r="Q438" s="5"/>
      <c r="R438" s="5"/>
      <c r="S438" s="5"/>
      <c r="T438" s="5"/>
      <c r="U438" s="5"/>
      <c r="V438" s="5"/>
      <c r="W438" s="5"/>
      <c r="X438" s="5"/>
      <c r="Y438" s="5"/>
      <c r="Z438" s="5"/>
      <c r="AA438" s="5"/>
    </row>
    <row r="439" spans="1:27" ht="12.75" customHeight="1">
      <c r="A439" s="5"/>
      <c r="B439" s="5"/>
      <c r="C439" s="5"/>
      <c r="D439" s="5"/>
      <c r="E439" s="5"/>
      <c r="F439" s="5"/>
      <c r="G439" s="5"/>
      <c r="H439" s="306"/>
      <c r="I439" s="306"/>
      <c r="J439" s="5"/>
      <c r="K439" s="5"/>
      <c r="L439" s="5"/>
      <c r="M439" s="5"/>
      <c r="N439" s="5"/>
      <c r="O439" s="5"/>
      <c r="P439" s="57"/>
      <c r="Q439" s="5"/>
      <c r="R439" s="5"/>
      <c r="S439" s="5"/>
      <c r="T439" s="5"/>
      <c r="U439" s="5"/>
      <c r="V439" s="5"/>
      <c r="W439" s="5"/>
      <c r="X439" s="5"/>
      <c r="Y439" s="5"/>
      <c r="Z439" s="5"/>
      <c r="AA439" s="5"/>
    </row>
    <row r="440" spans="1:27" ht="12.75" customHeight="1">
      <c r="A440" s="5"/>
      <c r="B440" s="5"/>
      <c r="C440" s="5"/>
      <c r="D440" s="5"/>
      <c r="E440" s="5"/>
      <c r="F440" s="5"/>
      <c r="G440" s="5"/>
      <c r="H440" s="306"/>
      <c r="I440" s="306"/>
      <c r="J440" s="5"/>
      <c r="K440" s="5"/>
      <c r="L440" s="5"/>
      <c r="M440" s="5"/>
      <c r="N440" s="5"/>
      <c r="O440" s="5"/>
      <c r="P440" s="57"/>
      <c r="Q440" s="5"/>
      <c r="R440" s="5"/>
      <c r="S440" s="5"/>
      <c r="T440" s="5"/>
      <c r="U440" s="5"/>
      <c r="V440" s="5"/>
      <c r="W440" s="5"/>
      <c r="X440" s="5"/>
      <c r="Y440" s="5"/>
      <c r="Z440" s="5"/>
      <c r="AA440" s="5"/>
    </row>
    <row r="441" spans="1:27" ht="12.75" customHeight="1">
      <c r="A441" s="5"/>
      <c r="B441" s="5"/>
      <c r="C441" s="5"/>
      <c r="D441" s="5"/>
      <c r="E441" s="5"/>
      <c r="F441" s="5"/>
      <c r="G441" s="5"/>
      <c r="H441" s="306"/>
      <c r="I441" s="306"/>
      <c r="J441" s="5"/>
      <c r="K441" s="5"/>
      <c r="L441" s="5"/>
      <c r="M441" s="5"/>
      <c r="N441" s="5"/>
      <c r="O441" s="5"/>
      <c r="P441" s="57"/>
      <c r="Q441" s="5"/>
      <c r="R441" s="5"/>
      <c r="S441" s="5"/>
      <c r="T441" s="5"/>
      <c r="U441" s="5"/>
      <c r="V441" s="5"/>
      <c r="W441" s="5"/>
      <c r="X441" s="5"/>
      <c r="Y441" s="5"/>
      <c r="Z441" s="5"/>
      <c r="AA441" s="5"/>
    </row>
    <row r="442" spans="1:27" ht="12.75" customHeight="1">
      <c r="A442" s="5"/>
      <c r="B442" s="5"/>
      <c r="C442" s="5"/>
      <c r="D442" s="5"/>
      <c r="E442" s="5"/>
      <c r="F442" s="5"/>
      <c r="G442" s="5"/>
      <c r="H442" s="306"/>
      <c r="I442" s="306"/>
      <c r="J442" s="5"/>
      <c r="K442" s="5"/>
      <c r="L442" s="5"/>
      <c r="M442" s="5"/>
      <c r="N442" s="5"/>
      <c r="O442" s="5"/>
      <c r="P442" s="57"/>
      <c r="Q442" s="5"/>
      <c r="R442" s="5"/>
      <c r="S442" s="5"/>
      <c r="T442" s="5"/>
      <c r="U442" s="5"/>
      <c r="V442" s="5"/>
      <c r="W442" s="5"/>
      <c r="X442" s="5"/>
      <c r="Y442" s="5"/>
      <c r="Z442" s="5"/>
      <c r="AA442" s="5"/>
    </row>
    <row r="443" spans="1:27" ht="12.75" customHeight="1">
      <c r="A443" s="5"/>
      <c r="B443" s="5"/>
      <c r="C443" s="5"/>
      <c r="D443" s="5"/>
      <c r="E443" s="5"/>
      <c r="F443" s="5"/>
      <c r="G443" s="5"/>
      <c r="H443" s="306"/>
      <c r="I443" s="306"/>
      <c r="J443" s="5"/>
      <c r="K443" s="5"/>
      <c r="L443" s="5"/>
      <c r="M443" s="5"/>
      <c r="N443" s="5"/>
      <c r="O443" s="5"/>
      <c r="P443" s="57"/>
      <c r="Q443" s="5"/>
      <c r="R443" s="5"/>
      <c r="S443" s="5"/>
      <c r="T443" s="5"/>
      <c r="U443" s="5"/>
      <c r="V443" s="5"/>
      <c r="W443" s="5"/>
      <c r="X443" s="5"/>
      <c r="Y443" s="5"/>
      <c r="Z443" s="5"/>
      <c r="AA443" s="5"/>
    </row>
    <row r="444" spans="1:27" ht="12.75" customHeight="1">
      <c r="A444" s="5"/>
      <c r="B444" s="5"/>
      <c r="C444" s="5"/>
      <c r="D444" s="5"/>
      <c r="E444" s="5"/>
      <c r="F444" s="5"/>
      <c r="G444" s="5"/>
      <c r="H444" s="306"/>
      <c r="I444" s="306"/>
      <c r="J444" s="5"/>
      <c r="K444" s="5"/>
      <c r="L444" s="5"/>
      <c r="M444" s="5"/>
      <c r="N444" s="5"/>
      <c r="O444" s="5"/>
      <c r="P444" s="57"/>
      <c r="Q444" s="5"/>
      <c r="R444" s="5"/>
      <c r="S444" s="5"/>
      <c r="T444" s="5"/>
      <c r="U444" s="5"/>
      <c r="V444" s="5"/>
      <c r="W444" s="5"/>
      <c r="X444" s="5"/>
      <c r="Y444" s="5"/>
      <c r="Z444" s="5"/>
      <c r="AA444" s="5"/>
    </row>
    <row r="445" spans="1:27" ht="12.75" customHeight="1">
      <c r="A445" s="5"/>
      <c r="B445" s="5"/>
      <c r="C445" s="5"/>
      <c r="D445" s="5"/>
      <c r="E445" s="5"/>
      <c r="F445" s="5"/>
      <c r="G445" s="5"/>
      <c r="H445" s="306"/>
      <c r="I445" s="306"/>
      <c r="J445" s="5"/>
      <c r="K445" s="5"/>
      <c r="L445" s="5"/>
      <c r="M445" s="5"/>
      <c r="N445" s="5"/>
      <c r="O445" s="5"/>
      <c r="P445" s="57"/>
      <c r="Q445" s="5"/>
      <c r="R445" s="5"/>
      <c r="S445" s="5"/>
      <c r="T445" s="5"/>
      <c r="U445" s="5"/>
      <c r="V445" s="5"/>
      <c r="W445" s="5"/>
      <c r="X445" s="5"/>
      <c r="Y445" s="5"/>
      <c r="Z445" s="5"/>
      <c r="AA445" s="5"/>
    </row>
    <row r="446" spans="1:27" ht="12.75" customHeight="1">
      <c r="A446" s="5"/>
      <c r="B446" s="5"/>
      <c r="C446" s="5"/>
      <c r="D446" s="5"/>
      <c r="E446" s="5"/>
      <c r="F446" s="5"/>
      <c r="G446" s="5"/>
      <c r="H446" s="306"/>
      <c r="I446" s="306"/>
      <c r="J446" s="5"/>
      <c r="K446" s="5"/>
      <c r="L446" s="5"/>
      <c r="M446" s="5"/>
      <c r="N446" s="5"/>
      <c r="O446" s="5"/>
      <c r="P446" s="57"/>
      <c r="Q446" s="5"/>
      <c r="R446" s="5"/>
      <c r="S446" s="5"/>
      <c r="T446" s="5"/>
      <c r="U446" s="5"/>
      <c r="V446" s="5"/>
      <c r="W446" s="5"/>
      <c r="X446" s="5"/>
      <c r="Y446" s="5"/>
      <c r="Z446" s="5"/>
      <c r="AA446" s="5"/>
    </row>
    <row r="447" spans="1:27" ht="12.75" customHeight="1">
      <c r="A447" s="5"/>
      <c r="B447" s="5"/>
      <c r="C447" s="5"/>
      <c r="D447" s="5"/>
      <c r="E447" s="5"/>
      <c r="F447" s="5"/>
      <c r="G447" s="5"/>
      <c r="H447" s="306"/>
      <c r="I447" s="306"/>
      <c r="J447" s="5"/>
      <c r="K447" s="5"/>
      <c r="L447" s="5"/>
      <c r="M447" s="5"/>
      <c r="N447" s="5"/>
      <c r="O447" s="5"/>
      <c r="P447" s="57"/>
      <c r="Q447" s="5"/>
      <c r="R447" s="5"/>
      <c r="S447" s="5"/>
      <c r="T447" s="5"/>
      <c r="U447" s="5"/>
      <c r="V447" s="5"/>
      <c r="W447" s="5"/>
      <c r="X447" s="5"/>
      <c r="Y447" s="5"/>
      <c r="Z447" s="5"/>
      <c r="AA447" s="5"/>
    </row>
    <row r="448" spans="1:27" ht="12.75" customHeight="1">
      <c r="A448" s="5"/>
      <c r="B448" s="5"/>
      <c r="C448" s="5"/>
      <c r="D448" s="5"/>
      <c r="E448" s="5"/>
      <c r="F448" s="5"/>
      <c r="G448" s="5"/>
      <c r="H448" s="306"/>
      <c r="I448" s="306"/>
      <c r="J448" s="5"/>
      <c r="K448" s="5"/>
      <c r="L448" s="5"/>
      <c r="M448" s="5"/>
      <c r="N448" s="5"/>
      <c r="O448" s="5"/>
      <c r="P448" s="57"/>
      <c r="Q448" s="5"/>
      <c r="R448" s="5"/>
      <c r="S448" s="5"/>
      <c r="T448" s="5"/>
      <c r="U448" s="5"/>
      <c r="V448" s="5"/>
      <c r="W448" s="5"/>
      <c r="X448" s="5"/>
      <c r="Y448" s="5"/>
      <c r="Z448" s="5"/>
      <c r="AA448" s="5"/>
    </row>
    <row r="449" spans="1:27" ht="12.75" customHeight="1">
      <c r="A449" s="5"/>
      <c r="B449" s="5"/>
      <c r="C449" s="5"/>
      <c r="D449" s="5"/>
      <c r="E449" s="5"/>
      <c r="F449" s="5"/>
      <c r="G449" s="5"/>
      <c r="H449" s="306"/>
      <c r="I449" s="306"/>
      <c r="J449" s="5"/>
      <c r="K449" s="5"/>
      <c r="L449" s="5"/>
      <c r="M449" s="5"/>
      <c r="N449" s="5"/>
      <c r="O449" s="5"/>
      <c r="P449" s="57"/>
      <c r="Q449" s="5"/>
      <c r="R449" s="5"/>
      <c r="S449" s="5"/>
      <c r="T449" s="5"/>
      <c r="U449" s="5"/>
      <c r="V449" s="5"/>
      <c r="W449" s="5"/>
      <c r="X449" s="5"/>
      <c r="Y449" s="5"/>
      <c r="Z449" s="5"/>
      <c r="AA449" s="5"/>
    </row>
    <row r="450" spans="1:27" ht="12.75" customHeight="1">
      <c r="A450" s="5"/>
      <c r="B450" s="5"/>
      <c r="C450" s="5"/>
      <c r="D450" s="5"/>
      <c r="E450" s="5"/>
      <c r="F450" s="5"/>
      <c r="G450" s="5"/>
      <c r="H450" s="306"/>
      <c r="I450" s="306"/>
      <c r="J450" s="5"/>
      <c r="K450" s="5"/>
      <c r="L450" s="5"/>
      <c r="M450" s="5"/>
      <c r="N450" s="5"/>
      <c r="O450" s="5"/>
      <c r="P450" s="57"/>
      <c r="Q450" s="5"/>
      <c r="R450" s="5"/>
      <c r="S450" s="5"/>
      <c r="T450" s="5"/>
      <c r="U450" s="5"/>
      <c r="V450" s="5"/>
      <c r="W450" s="5"/>
      <c r="X450" s="5"/>
      <c r="Y450" s="5"/>
      <c r="Z450" s="5"/>
      <c r="AA450" s="5"/>
    </row>
    <row r="451" spans="1:27" ht="12.75" customHeight="1">
      <c r="A451" s="5"/>
      <c r="B451" s="5"/>
      <c r="C451" s="5"/>
      <c r="D451" s="5"/>
      <c r="E451" s="5"/>
      <c r="F451" s="5"/>
      <c r="G451" s="5"/>
      <c r="H451" s="306"/>
      <c r="I451" s="306"/>
      <c r="J451" s="5"/>
      <c r="K451" s="5"/>
      <c r="L451" s="5"/>
      <c r="M451" s="5"/>
      <c r="N451" s="5"/>
      <c r="O451" s="5"/>
      <c r="P451" s="57"/>
      <c r="Q451" s="5"/>
      <c r="R451" s="5"/>
      <c r="S451" s="5"/>
      <c r="T451" s="5"/>
      <c r="U451" s="5"/>
      <c r="V451" s="5"/>
      <c r="W451" s="5"/>
      <c r="X451" s="5"/>
      <c r="Y451" s="5"/>
      <c r="Z451" s="5"/>
      <c r="AA451" s="5"/>
    </row>
    <row r="452" spans="1:27" ht="12.75" customHeight="1">
      <c r="A452" s="5"/>
      <c r="B452" s="5"/>
      <c r="C452" s="5"/>
      <c r="D452" s="5"/>
      <c r="E452" s="5"/>
      <c r="F452" s="5"/>
      <c r="G452" s="5"/>
      <c r="H452" s="306"/>
      <c r="I452" s="306"/>
      <c r="J452" s="5"/>
      <c r="K452" s="5"/>
      <c r="L452" s="5"/>
      <c r="M452" s="5"/>
      <c r="N452" s="5"/>
      <c r="O452" s="5"/>
      <c r="P452" s="57"/>
      <c r="Q452" s="5"/>
      <c r="R452" s="5"/>
      <c r="S452" s="5"/>
      <c r="T452" s="5"/>
      <c r="U452" s="5"/>
      <c r="V452" s="5"/>
      <c r="W452" s="5"/>
      <c r="X452" s="5"/>
      <c r="Y452" s="5"/>
      <c r="Z452" s="5"/>
      <c r="AA452" s="5"/>
    </row>
    <row r="453" spans="1:27" ht="12.75" customHeight="1">
      <c r="A453" s="5"/>
      <c r="B453" s="5"/>
      <c r="C453" s="5"/>
      <c r="D453" s="5"/>
      <c r="E453" s="5"/>
      <c r="F453" s="5"/>
      <c r="G453" s="5"/>
      <c r="H453" s="306"/>
      <c r="I453" s="306"/>
      <c r="J453" s="5"/>
      <c r="K453" s="5"/>
      <c r="L453" s="5"/>
      <c r="M453" s="5"/>
      <c r="N453" s="5"/>
      <c r="O453" s="5"/>
      <c r="P453" s="57"/>
      <c r="Q453" s="5"/>
      <c r="R453" s="5"/>
      <c r="S453" s="5"/>
      <c r="T453" s="5"/>
      <c r="U453" s="5"/>
      <c r="V453" s="5"/>
      <c r="W453" s="5"/>
      <c r="X453" s="5"/>
      <c r="Y453" s="5"/>
      <c r="Z453" s="5"/>
      <c r="AA453" s="5"/>
    </row>
    <row r="454" spans="1:27" ht="12.75" customHeight="1">
      <c r="A454" s="5"/>
      <c r="B454" s="5"/>
      <c r="C454" s="5"/>
      <c r="D454" s="5"/>
      <c r="E454" s="5"/>
      <c r="F454" s="5"/>
      <c r="G454" s="5"/>
      <c r="H454" s="306"/>
      <c r="I454" s="306"/>
      <c r="J454" s="5"/>
      <c r="K454" s="5"/>
      <c r="L454" s="5"/>
      <c r="M454" s="5"/>
      <c r="N454" s="5"/>
      <c r="O454" s="5"/>
      <c r="P454" s="57"/>
      <c r="Q454" s="5"/>
      <c r="R454" s="5"/>
      <c r="S454" s="5"/>
      <c r="T454" s="5"/>
      <c r="U454" s="5"/>
      <c r="V454" s="5"/>
      <c r="W454" s="5"/>
      <c r="X454" s="5"/>
      <c r="Y454" s="5"/>
      <c r="Z454" s="5"/>
      <c r="AA454" s="5"/>
    </row>
    <row r="455" spans="1:27" ht="12.75" customHeight="1">
      <c r="A455" s="5"/>
      <c r="B455" s="5"/>
      <c r="C455" s="5"/>
      <c r="D455" s="5"/>
      <c r="E455" s="5"/>
      <c r="F455" s="5"/>
      <c r="G455" s="5"/>
      <c r="H455" s="306"/>
      <c r="I455" s="306"/>
      <c r="J455" s="5"/>
      <c r="K455" s="5"/>
      <c r="L455" s="5"/>
      <c r="M455" s="5"/>
      <c r="N455" s="5"/>
      <c r="O455" s="5"/>
      <c r="P455" s="57"/>
      <c r="Q455" s="5"/>
      <c r="R455" s="5"/>
      <c r="S455" s="5"/>
      <c r="T455" s="5"/>
      <c r="U455" s="5"/>
      <c r="V455" s="5"/>
      <c r="W455" s="5"/>
      <c r="X455" s="5"/>
      <c r="Y455" s="5"/>
      <c r="Z455" s="5"/>
      <c r="AA455" s="5"/>
    </row>
    <row r="456" spans="1:27" ht="12.75" customHeight="1">
      <c r="A456" s="5"/>
      <c r="B456" s="5"/>
      <c r="C456" s="5"/>
      <c r="D456" s="5"/>
      <c r="E456" s="5"/>
      <c r="F456" s="5"/>
      <c r="G456" s="5"/>
      <c r="H456" s="306"/>
      <c r="I456" s="306"/>
      <c r="J456" s="5"/>
      <c r="K456" s="5"/>
      <c r="L456" s="5"/>
      <c r="M456" s="5"/>
      <c r="N456" s="5"/>
      <c r="O456" s="5"/>
      <c r="P456" s="57"/>
      <c r="Q456" s="5"/>
      <c r="R456" s="5"/>
      <c r="S456" s="5"/>
      <c r="T456" s="5"/>
      <c r="U456" s="5"/>
      <c r="V456" s="5"/>
      <c r="W456" s="5"/>
      <c r="X456" s="5"/>
      <c r="Y456" s="5"/>
      <c r="Z456" s="5"/>
      <c r="AA456" s="5"/>
    </row>
    <row r="457" spans="1:27" ht="12.75" customHeight="1">
      <c r="A457" s="5"/>
      <c r="B457" s="5"/>
      <c r="C457" s="5"/>
      <c r="D457" s="5"/>
      <c r="E457" s="5"/>
      <c r="F457" s="5"/>
      <c r="G457" s="5"/>
      <c r="H457" s="306"/>
      <c r="I457" s="306"/>
      <c r="J457" s="5"/>
      <c r="K457" s="5"/>
      <c r="L457" s="5"/>
      <c r="M457" s="5"/>
      <c r="N457" s="5"/>
      <c r="O457" s="5"/>
      <c r="P457" s="57"/>
      <c r="Q457" s="5"/>
      <c r="R457" s="5"/>
      <c r="S457" s="5"/>
      <c r="T457" s="5"/>
      <c r="U457" s="5"/>
      <c r="V457" s="5"/>
      <c r="W457" s="5"/>
      <c r="X457" s="5"/>
      <c r="Y457" s="5"/>
      <c r="Z457" s="5"/>
      <c r="AA457" s="5"/>
    </row>
    <row r="458" spans="1:27" ht="12.75" customHeight="1">
      <c r="A458" s="5"/>
      <c r="B458" s="5"/>
      <c r="C458" s="5"/>
      <c r="D458" s="5"/>
      <c r="E458" s="5"/>
      <c r="F458" s="5"/>
      <c r="G458" s="5"/>
      <c r="H458" s="306"/>
      <c r="I458" s="306"/>
      <c r="J458" s="5"/>
      <c r="K458" s="5"/>
      <c r="L458" s="5"/>
      <c r="M458" s="5"/>
      <c r="N458" s="5"/>
      <c r="O458" s="5"/>
      <c r="P458" s="57"/>
      <c r="Q458" s="5"/>
      <c r="R458" s="5"/>
      <c r="S458" s="5"/>
      <c r="T458" s="5"/>
      <c r="U458" s="5"/>
      <c r="V458" s="5"/>
      <c r="W458" s="5"/>
      <c r="X458" s="5"/>
      <c r="Y458" s="5"/>
      <c r="Z458" s="5"/>
      <c r="AA458" s="5"/>
    </row>
    <row r="459" spans="1:27" ht="12.75" customHeight="1">
      <c r="A459" s="5"/>
      <c r="B459" s="5"/>
      <c r="C459" s="5"/>
      <c r="D459" s="5"/>
      <c r="E459" s="5"/>
      <c r="F459" s="5"/>
      <c r="G459" s="5"/>
      <c r="H459" s="306"/>
      <c r="I459" s="306"/>
      <c r="J459" s="5"/>
      <c r="K459" s="5"/>
      <c r="L459" s="5"/>
      <c r="M459" s="5"/>
      <c r="N459" s="5"/>
      <c r="O459" s="5"/>
      <c r="P459" s="57"/>
      <c r="Q459" s="5"/>
      <c r="R459" s="5"/>
      <c r="S459" s="5"/>
      <c r="T459" s="5"/>
      <c r="U459" s="5"/>
      <c r="V459" s="5"/>
      <c r="W459" s="5"/>
      <c r="X459" s="5"/>
      <c r="Y459" s="5"/>
      <c r="Z459" s="5"/>
      <c r="AA459" s="5"/>
    </row>
    <row r="460" spans="1:27" ht="12.75" customHeight="1">
      <c r="A460" s="5"/>
      <c r="B460" s="5"/>
      <c r="C460" s="5"/>
      <c r="D460" s="5"/>
      <c r="E460" s="5"/>
      <c r="F460" s="5"/>
      <c r="G460" s="5"/>
      <c r="H460" s="306"/>
      <c r="I460" s="306"/>
      <c r="J460" s="5"/>
      <c r="K460" s="5"/>
      <c r="L460" s="5"/>
      <c r="M460" s="5"/>
      <c r="N460" s="5"/>
      <c r="O460" s="5"/>
      <c r="P460" s="57"/>
      <c r="Q460" s="5"/>
      <c r="R460" s="5"/>
      <c r="S460" s="5"/>
      <c r="T460" s="5"/>
      <c r="U460" s="5"/>
      <c r="V460" s="5"/>
      <c r="W460" s="5"/>
      <c r="X460" s="5"/>
      <c r="Y460" s="5"/>
      <c r="Z460" s="5"/>
      <c r="AA460" s="5"/>
    </row>
    <row r="461" spans="1:27" ht="12.75" customHeight="1">
      <c r="A461" s="5"/>
      <c r="B461" s="5"/>
      <c r="C461" s="5"/>
      <c r="D461" s="5"/>
      <c r="E461" s="5"/>
      <c r="F461" s="5"/>
      <c r="G461" s="5"/>
      <c r="H461" s="306"/>
      <c r="I461" s="306"/>
      <c r="J461" s="5"/>
      <c r="K461" s="5"/>
      <c r="L461" s="5"/>
      <c r="M461" s="5"/>
      <c r="N461" s="5"/>
      <c r="O461" s="5"/>
      <c r="P461" s="57"/>
      <c r="Q461" s="5"/>
      <c r="R461" s="5"/>
      <c r="S461" s="5"/>
      <c r="T461" s="5"/>
      <c r="U461" s="5"/>
      <c r="V461" s="5"/>
      <c r="W461" s="5"/>
      <c r="X461" s="5"/>
      <c r="Y461" s="5"/>
      <c r="Z461" s="5"/>
      <c r="AA461" s="5"/>
    </row>
    <row r="462" spans="1:27" ht="12.75" customHeight="1">
      <c r="A462" s="5"/>
      <c r="B462" s="5"/>
      <c r="C462" s="5"/>
      <c r="D462" s="5"/>
      <c r="E462" s="5"/>
      <c r="F462" s="5"/>
      <c r="G462" s="5"/>
      <c r="H462" s="306"/>
      <c r="I462" s="306"/>
      <c r="J462" s="5"/>
      <c r="K462" s="5"/>
      <c r="L462" s="5"/>
      <c r="M462" s="5"/>
      <c r="N462" s="5"/>
      <c r="O462" s="5"/>
      <c r="P462" s="57"/>
      <c r="Q462" s="5"/>
      <c r="R462" s="5"/>
      <c r="S462" s="5"/>
      <c r="T462" s="5"/>
      <c r="U462" s="5"/>
      <c r="V462" s="5"/>
      <c r="W462" s="5"/>
      <c r="X462" s="5"/>
      <c r="Y462" s="5"/>
      <c r="Z462" s="5"/>
      <c r="AA462" s="5"/>
    </row>
    <row r="463" spans="1:27" ht="12.75" customHeight="1">
      <c r="A463" s="5"/>
      <c r="B463" s="5"/>
      <c r="C463" s="5"/>
      <c r="D463" s="5"/>
      <c r="E463" s="5"/>
      <c r="F463" s="5"/>
      <c r="G463" s="5"/>
      <c r="H463" s="306"/>
      <c r="I463" s="306"/>
      <c r="J463" s="5"/>
      <c r="K463" s="5"/>
      <c r="L463" s="5"/>
      <c r="M463" s="5"/>
      <c r="N463" s="5"/>
      <c r="O463" s="5"/>
      <c r="P463" s="57"/>
      <c r="Q463" s="5"/>
      <c r="R463" s="5"/>
      <c r="S463" s="5"/>
      <c r="T463" s="5"/>
      <c r="U463" s="5"/>
      <c r="V463" s="5"/>
      <c r="W463" s="5"/>
      <c r="X463" s="5"/>
      <c r="Y463" s="5"/>
      <c r="Z463" s="5"/>
      <c r="AA463" s="5"/>
    </row>
    <row r="464" spans="1:27" ht="12.75" customHeight="1">
      <c r="A464" s="5"/>
      <c r="B464" s="5"/>
      <c r="C464" s="5"/>
      <c r="D464" s="5"/>
      <c r="E464" s="5"/>
      <c r="F464" s="5"/>
      <c r="G464" s="5"/>
      <c r="H464" s="306"/>
      <c r="I464" s="306"/>
      <c r="J464" s="5"/>
      <c r="K464" s="5"/>
      <c r="L464" s="5"/>
      <c r="M464" s="5"/>
      <c r="N464" s="5"/>
      <c r="O464" s="5"/>
      <c r="P464" s="57"/>
      <c r="Q464" s="5"/>
      <c r="R464" s="5"/>
      <c r="S464" s="5"/>
      <c r="T464" s="5"/>
      <c r="U464" s="5"/>
      <c r="V464" s="5"/>
      <c r="W464" s="5"/>
      <c r="X464" s="5"/>
      <c r="Y464" s="5"/>
      <c r="Z464" s="5"/>
      <c r="AA464" s="5"/>
    </row>
    <row r="465" spans="1:27" ht="12.75" customHeight="1">
      <c r="A465" s="5"/>
      <c r="B465" s="5"/>
      <c r="C465" s="5"/>
      <c r="D465" s="5"/>
      <c r="E465" s="5"/>
      <c r="F465" s="5"/>
      <c r="G465" s="5"/>
      <c r="H465" s="306"/>
      <c r="I465" s="306"/>
      <c r="J465" s="5"/>
      <c r="K465" s="5"/>
      <c r="L465" s="5"/>
      <c r="M465" s="5"/>
      <c r="N465" s="5"/>
      <c r="O465" s="5"/>
      <c r="P465" s="57"/>
      <c r="Q465" s="5"/>
      <c r="R465" s="5"/>
      <c r="S465" s="5"/>
      <c r="T465" s="5"/>
      <c r="U465" s="5"/>
      <c r="V465" s="5"/>
      <c r="W465" s="5"/>
      <c r="X465" s="5"/>
      <c r="Y465" s="5"/>
      <c r="Z465" s="5"/>
      <c r="AA465" s="5"/>
    </row>
    <row r="466" spans="1:27" ht="12.75" customHeight="1">
      <c r="A466" s="5"/>
      <c r="B466" s="5"/>
      <c r="C466" s="5"/>
      <c r="D466" s="5"/>
      <c r="E466" s="5"/>
      <c r="F466" s="5"/>
      <c r="G466" s="5"/>
      <c r="H466" s="306"/>
      <c r="I466" s="306"/>
      <c r="J466" s="5"/>
      <c r="K466" s="5"/>
      <c r="L466" s="5"/>
      <c r="M466" s="5"/>
      <c r="N466" s="5"/>
      <c r="O466" s="5"/>
      <c r="P466" s="57"/>
      <c r="Q466" s="5"/>
      <c r="R466" s="5"/>
      <c r="S466" s="5"/>
      <c r="T466" s="5"/>
      <c r="U466" s="5"/>
      <c r="V466" s="5"/>
      <c r="W466" s="5"/>
      <c r="X466" s="5"/>
      <c r="Y466" s="5"/>
      <c r="Z466" s="5"/>
      <c r="AA466" s="5"/>
    </row>
    <row r="467" spans="1:27" ht="12.75" customHeight="1">
      <c r="A467" s="5"/>
      <c r="B467" s="5"/>
      <c r="C467" s="5"/>
      <c r="D467" s="5"/>
      <c r="E467" s="5"/>
      <c r="F467" s="5"/>
      <c r="G467" s="5"/>
      <c r="H467" s="306"/>
      <c r="I467" s="306"/>
      <c r="J467" s="5"/>
      <c r="K467" s="5"/>
      <c r="L467" s="5"/>
      <c r="M467" s="5"/>
      <c r="N467" s="5"/>
      <c r="O467" s="5"/>
      <c r="P467" s="57"/>
      <c r="Q467" s="5"/>
      <c r="R467" s="5"/>
      <c r="S467" s="5"/>
      <c r="T467" s="5"/>
      <c r="U467" s="5"/>
      <c r="V467" s="5"/>
      <c r="W467" s="5"/>
      <c r="X467" s="5"/>
      <c r="Y467" s="5"/>
      <c r="Z467" s="5"/>
      <c r="AA467" s="5"/>
    </row>
    <row r="468" spans="1:27" ht="12.75" customHeight="1">
      <c r="A468" s="5"/>
      <c r="B468" s="5"/>
      <c r="C468" s="5"/>
      <c r="D468" s="5"/>
      <c r="E468" s="5"/>
      <c r="F468" s="5"/>
      <c r="G468" s="5"/>
      <c r="H468" s="306"/>
      <c r="I468" s="306"/>
      <c r="J468" s="5"/>
      <c r="K468" s="5"/>
      <c r="L468" s="5"/>
      <c r="M468" s="5"/>
      <c r="N468" s="5"/>
      <c r="O468" s="5"/>
      <c r="P468" s="57"/>
      <c r="Q468" s="5"/>
      <c r="R468" s="5"/>
      <c r="S468" s="5"/>
      <c r="T468" s="5"/>
      <c r="U468" s="5"/>
      <c r="V468" s="5"/>
      <c r="W468" s="5"/>
      <c r="X468" s="5"/>
      <c r="Y468" s="5"/>
      <c r="Z468" s="5"/>
      <c r="AA468" s="5"/>
    </row>
    <row r="469" spans="1:27" ht="12.75" customHeight="1">
      <c r="A469" s="5"/>
      <c r="B469" s="5"/>
      <c r="C469" s="5"/>
      <c r="D469" s="5"/>
      <c r="E469" s="5"/>
      <c r="F469" s="5"/>
      <c r="G469" s="5"/>
      <c r="H469" s="306"/>
      <c r="I469" s="306"/>
      <c r="J469" s="5"/>
      <c r="K469" s="5"/>
      <c r="L469" s="5"/>
      <c r="M469" s="5"/>
      <c r="N469" s="5"/>
      <c r="O469" s="5"/>
      <c r="P469" s="57"/>
      <c r="Q469" s="5"/>
      <c r="R469" s="5"/>
      <c r="S469" s="5"/>
      <c r="T469" s="5"/>
      <c r="U469" s="5"/>
      <c r="V469" s="5"/>
      <c r="W469" s="5"/>
      <c r="X469" s="5"/>
      <c r="Y469" s="5"/>
      <c r="Z469" s="5"/>
      <c r="AA469" s="5"/>
    </row>
    <row r="470" spans="1:27" ht="12.75" customHeight="1">
      <c r="A470" s="5"/>
      <c r="B470" s="5"/>
      <c r="C470" s="5"/>
      <c r="D470" s="5"/>
      <c r="E470" s="5"/>
      <c r="F470" s="5"/>
      <c r="G470" s="5"/>
      <c r="H470" s="306"/>
      <c r="I470" s="306"/>
      <c r="J470" s="5"/>
      <c r="K470" s="5"/>
      <c r="L470" s="5"/>
      <c r="M470" s="5"/>
      <c r="N470" s="5"/>
      <c r="O470" s="5"/>
      <c r="P470" s="57"/>
      <c r="Q470" s="5"/>
      <c r="R470" s="5"/>
      <c r="S470" s="5"/>
      <c r="T470" s="5"/>
      <c r="U470" s="5"/>
      <c r="V470" s="5"/>
      <c r="W470" s="5"/>
      <c r="X470" s="5"/>
      <c r="Y470" s="5"/>
      <c r="Z470" s="5"/>
      <c r="AA470" s="5"/>
    </row>
    <row r="471" spans="1:27" ht="12.75" customHeight="1">
      <c r="A471" s="5"/>
      <c r="B471" s="5"/>
      <c r="C471" s="5"/>
      <c r="D471" s="5"/>
      <c r="E471" s="5"/>
      <c r="F471" s="5"/>
      <c r="G471" s="5"/>
      <c r="H471" s="306"/>
      <c r="I471" s="306"/>
      <c r="J471" s="5"/>
      <c r="K471" s="5"/>
      <c r="L471" s="5"/>
      <c r="M471" s="5"/>
      <c r="N471" s="5"/>
      <c r="O471" s="5"/>
      <c r="P471" s="57"/>
      <c r="Q471" s="5"/>
      <c r="R471" s="5"/>
      <c r="S471" s="5"/>
      <c r="T471" s="5"/>
      <c r="U471" s="5"/>
      <c r="V471" s="5"/>
      <c r="W471" s="5"/>
      <c r="X471" s="5"/>
      <c r="Y471" s="5"/>
      <c r="Z471" s="5"/>
      <c r="AA471" s="5"/>
    </row>
    <row r="472" spans="1:27" ht="12.75" customHeight="1">
      <c r="A472" s="5"/>
      <c r="B472" s="5"/>
      <c r="C472" s="5"/>
      <c r="D472" s="5"/>
      <c r="E472" s="5"/>
      <c r="F472" s="5"/>
      <c r="G472" s="5"/>
      <c r="H472" s="306"/>
      <c r="I472" s="306"/>
      <c r="J472" s="5"/>
      <c r="K472" s="5"/>
      <c r="L472" s="5"/>
      <c r="M472" s="5"/>
      <c r="N472" s="5"/>
      <c r="O472" s="5"/>
      <c r="P472" s="57"/>
      <c r="Q472" s="5"/>
      <c r="R472" s="5"/>
      <c r="S472" s="5"/>
      <c r="T472" s="5"/>
      <c r="U472" s="5"/>
      <c r="V472" s="5"/>
      <c r="W472" s="5"/>
      <c r="X472" s="5"/>
      <c r="Y472" s="5"/>
      <c r="Z472" s="5"/>
      <c r="AA472" s="5"/>
    </row>
    <row r="473" spans="1:27" ht="12.75" customHeight="1">
      <c r="A473" s="5"/>
      <c r="B473" s="5"/>
      <c r="C473" s="5"/>
      <c r="D473" s="5"/>
      <c r="E473" s="5"/>
      <c r="F473" s="5"/>
      <c r="G473" s="5"/>
      <c r="H473" s="306"/>
      <c r="I473" s="306"/>
      <c r="J473" s="5"/>
      <c r="K473" s="5"/>
      <c r="L473" s="5"/>
      <c r="M473" s="5"/>
      <c r="N473" s="5"/>
      <c r="O473" s="5"/>
      <c r="P473" s="57"/>
      <c r="Q473" s="5"/>
      <c r="R473" s="5"/>
      <c r="S473" s="5"/>
      <c r="T473" s="5"/>
      <c r="U473" s="5"/>
      <c r="V473" s="5"/>
      <c r="W473" s="5"/>
      <c r="X473" s="5"/>
      <c r="Y473" s="5"/>
      <c r="Z473" s="5"/>
      <c r="AA473" s="5"/>
    </row>
    <row r="474" spans="1:27" ht="12.75" customHeight="1">
      <c r="A474" s="5"/>
      <c r="B474" s="5"/>
      <c r="C474" s="5"/>
      <c r="D474" s="5"/>
      <c r="E474" s="5"/>
      <c r="F474" s="5"/>
      <c r="G474" s="5"/>
      <c r="H474" s="306"/>
      <c r="I474" s="306"/>
      <c r="J474" s="5"/>
      <c r="K474" s="5"/>
      <c r="L474" s="5"/>
      <c r="M474" s="5"/>
      <c r="N474" s="5"/>
      <c r="O474" s="5"/>
      <c r="P474" s="57"/>
      <c r="Q474" s="5"/>
      <c r="R474" s="5"/>
      <c r="S474" s="5"/>
      <c r="T474" s="5"/>
      <c r="U474" s="5"/>
      <c r="V474" s="5"/>
      <c r="W474" s="5"/>
      <c r="X474" s="5"/>
      <c r="Y474" s="5"/>
      <c r="Z474" s="5"/>
      <c r="AA474" s="5"/>
    </row>
    <row r="475" spans="1:27" ht="12.75" customHeight="1">
      <c r="A475" s="5"/>
      <c r="B475" s="5"/>
      <c r="C475" s="5"/>
      <c r="D475" s="5"/>
      <c r="E475" s="5"/>
      <c r="F475" s="5"/>
      <c r="G475" s="5"/>
      <c r="H475" s="306"/>
      <c r="I475" s="306"/>
      <c r="J475" s="5"/>
      <c r="K475" s="5"/>
      <c r="L475" s="5"/>
      <c r="M475" s="5"/>
      <c r="N475" s="5"/>
      <c r="O475" s="5"/>
      <c r="P475" s="57"/>
      <c r="Q475" s="5"/>
      <c r="R475" s="5"/>
      <c r="S475" s="5"/>
      <c r="T475" s="5"/>
      <c r="U475" s="5"/>
      <c r="V475" s="5"/>
      <c r="W475" s="5"/>
      <c r="X475" s="5"/>
      <c r="Y475" s="5"/>
      <c r="Z475" s="5"/>
      <c r="AA475" s="5"/>
    </row>
    <row r="476" spans="1:27" ht="12.75" customHeight="1">
      <c r="A476" s="5"/>
      <c r="B476" s="5"/>
      <c r="C476" s="5"/>
      <c r="D476" s="5"/>
      <c r="E476" s="5"/>
      <c r="F476" s="5"/>
      <c r="G476" s="5"/>
      <c r="H476" s="306"/>
      <c r="I476" s="306"/>
      <c r="J476" s="5"/>
      <c r="K476" s="5"/>
      <c r="L476" s="5"/>
      <c r="M476" s="5"/>
      <c r="N476" s="5"/>
      <c r="O476" s="5"/>
      <c r="P476" s="57"/>
      <c r="Q476" s="5"/>
      <c r="R476" s="5"/>
      <c r="S476" s="5"/>
      <c r="T476" s="5"/>
      <c r="U476" s="5"/>
      <c r="V476" s="5"/>
      <c r="W476" s="5"/>
      <c r="X476" s="5"/>
      <c r="Y476" s="5"/>
      <c r="Z476" s="5"/>
      <c r="AA476" s="5"/>
    </row>
    <row r="477" spans="1:27" ht="12.75" customHeight="1">
      <c r="A477" s="5"/>
      <c r="B477" s="5"/>
      <c r="C477" s="5"/>
      <c r="D477" s="5"/>
      <c r="E477" s="5"/>
      <c r="F477" s="5"/>
      <c r="G477" s="5"/>
      <c r="H477" s="306"/>
      <c r="I477" s="306"/>
      <c r="J477" s="5"/>
      <c r="K477" s="5"/>
      <c r="L477" s="5"/>
      <c r="M477" s="5"/>
      <c r="N477" s="5"/>
      <c r="O477" s="5"/>
      <c r="P477" s="57"/>
      <c r="Q477" s="5"/>
      <c r="R477" s="5"/>
      <c r="S477" s="5"/>
      <c r="T477" s="5"/>
      <c r="U477" s="5"/>
      <c r="V477" s="5"/>
      <c r="W477" s="5"/>
      <c r="X477" s="5"/>
      <c r="Y477" s="5"/>
      <c r="Z477" s="5"/>
      <c r="AA477" s="5"/>
    </row>
    <row r="478" spans="1:27" ht="12.75" customHeight="1">
      <c r="A478" s="5"/>
      <c r="B478" s="5"/>
      <c r="C478" s="5"/>
      <c r="D478" s="5"/>
      <c r="E478" s="5"/>
      <c r="F478" s="5"/>
      <c r="G478" s="5"/>
      <c r="H478" s="306"/>
      <c r="I478" s="306"/>
      <c r="J478" s="5"/>
      <c r="K478" s="5"/>
      <c r="L478" s="5"/>
      <c r="M478" s="5"/>
      <c r="N478" s="5"/>
      <c r="O478" s="5"/>
      <c r="P478" s="57"/>
      <c r="Q478" s="5"/>
      <c r="R478" s="5"/>
      <c r="S478" s="5"/>
      <c r="T478" s="5"/>
      <c r="U478" s="5"/>
      <c r="V478" s="5"/>
      <c r="W478" s="5"/>
      <c r="X478" s="5"/>
      <c r="Y478" s="5"/>
      <c r="Z478" s="5"/>
      <c r="AA478" s="5"/>
    </row>
    <row r="479" spans="1:27" ht="12.75" customHeight="1">
      <c r="A479" s="5"/>
      <c r="B479" s="5"/>
      <c r="C479" s="5"/>
      <c r="D479" s="5"/>
      <c r="E479" s="5"/>
      <c r="F479" s="5"/>
      <c r="G479" s="5"/>
      <c r="H479" s="306"/>
      <c r="I479" s="306"/>
      <c r="J479" s="5"/>
      <c r="K479" s="5"/>
      <c r="L479" s="5"/>
      <c r="M479" s="5"/>
      <c r="N479" s="5"/>
      <c r="O479" s="5"/>
      <c r="P479" s="57"/>
      <c r="Q479" s="5"/>
      <c r="R479" s="5"/>
      <c r="S479" s="5"/>
      <c r="T479" s="5"/>
      <c r="U479" s="5"/>
      <c r="V479" s="5"/>
      <c r="W479" s="5"/>
      <c r="X479" s="5"/>
      <c r="Y479" s="5"/>
      <c r="Z479" s="5"/>
      <c r="AA479" s="5"/>
    </row>
    <row r="480" spans="1:27" ht="12.75" customHeight="1">
      <c r="A480" s="5"/>
      <c r="B480" s="5"/>
      <c r="C480" s="5"/>
      <c r="D480" s="5"/>
      <c r="E480" s="5"/>
      <c r="F480" s="5"/>
      <c r="G480" s="5"/>
      <c r="H480" s="306"/>
      <c r="I480" s="306"/>
      <c r="J480" s="5"/>
      <c r="K480" s="5"/>
      <c r="L480" s="5"/>
      <c r="M480" s="5"/>
      <c r="N480" s="5"/>
      <c r="O480" s="5"/>
      <c r="P480" s="57"/>
      <c r="Q480" s="5"/>
      <c r="R480" s="5"/>
      <c r="S480" s="5"/>
      <c r="T480" s="5"/>
      <c r="U480" s="5"/>
      <c r="V480" s="5"/>
      <c r="W480" s="5"/>
      <c r="X480" s="5"/>
      <c r="Y480" s="5"/>
      <c r="Z480" s="5"/>
      <c r="AA480" s="5"/>
    </row>
    <row r="481" spans="1:27" ht="12.75" customHeight="1">
      <c r="A481" s="5"/>
      <c r="B481" s="5"/>
      <c r="C481" s="5"/>
      <c r="D481" s="5"/>
      <c r="E481" s="5"/>
      <c r="F481" s="5"/>
      <c r="G481" s="5"/>
      <c r="H481" s="306"/>
      <c r="I481" s="306"/>
      <c r="J481" s="5"/>
      <c r="K481" s="5"/>
      <c r="L481" s="5"/>
      <c r="M481" s="5"/>
      <c r="N481" s="5"/>
      <c r="O481" s="5"/>
      <c r="P481" s="57"/>
      <c r="Q481" s="5"/>
      <c r="R481" s="5"/>
      <c r="S481" s="5"/>
      <c r="T481" s="5"/>
      <c r="U481" s="5"/>
      <c r="V481" s="5"/>
      <c r="W481" s="5"/>
      <c r="X481" s="5"/>
      <c r="Y481" s="5"/>
      <c r="Z481" s="5"/>
      <c r="AA481" s="5"/>
    </row>
    <row r="482" spans="1:27" ht="12.75" customHeight="1">
      <c r="A482" s="5"/>
      <c r="B482" s="5"/>
      <c r="C482" s="5"/>
      <c r="D482" s="5"/>
      <c r="E482" s="5"/>
      <c r="F482" s="5"/>
      <c r="G482" s="5"/>
      <c r="H482" s="306"/>
      <c r="I482" s="306"/>
      <c r="J482" s="5"/>
      <c r="K482" s="5"/>
      <c r="L482" s="5"/>
      <c r="M482" s="5"/>
      <c r="N482" s="5"/>
      <c r="O482" s="5"/>
      <c r="P482" s="57"/>
      <c r="Q482" s="5"/>
      <c r="R482" s="5"/>
      <c r="S482" s="5"/>
      <c r="T482" s="5"/>
      <c r="U482" s="5"/>
      <c r="V482" s="5"/>
      <c r="W482" s="5"/>
      <c r="X482" s="5"/>
      <c r="Y482" s="5"/>
      <c r="Z482" s="5"/>
      <c r="AA482" s="5"/>
    </row>
    <row r="483" spans="1:27" ht="12.75" customHeight="1">
      <c r="A483" s="5"/>
      <c r="B483" s="5"/>
      <c r="C483" s="5"/>
      <c r="D483" s="5"/>
      <c r="E483" s="5"/>
      <c r="F483" s="5"/>
      <c r="G483" s="5"/>
      <c r="H483" s="306"/>
      <c r="I483" s="306"/>
      <c r="J483" s="5"/>
      <c r="K483" s="5"/>
      <c r="L483" s="5"/>
      <c r="M483" s="5"/>
      <c r="N483" s="5"/>
      <c r="O483" s="5"/>
      <c r="P483" s="57"/>
      <c r="Q483" s="5"/>
      <c r="R483" s="5"/>
      <c r="S483" s="5"/>
      <c r="T483" s="5"/>
      <c r="U483" s="5"/>
      <c r="V483" s="5"/>
      <c r="W483" s="5"/>
      <c r="X483" s="5"/>
      <c r="Y483" s="5"/>
      <c r="Z483" s="5"/>
      <c r="AA483" s="5"/>
    </row>
    <row r="484" spans="1:27" ht="12.75" customHeight="1">
      <c r="A484" s="5"/>
      <c r="B484" s="5"/>
      <c r="C484" s="5"/>
      <c r="D484" s="5"/>
      <c r="E484" s="5"/>
      <c r="F484" s="5"/>
      <c r="G484" s="5"/>
      <c r="H484" s="306"/>
      <c r="I484" s="306"/>
      <c r="J484" s="5"/>
      <c r="K484" s="5"/>
      <c r="L484" s="5"/>
      <c r="M484" s="5"/>
      <c r="N484" s="5"/>
      <c r="O484" s="5"/>
      <c r="P484" s="57"/>
      <c r="Q484" s="5"/>
      <c r="R484" s="5"/>
      <c r="S484" s="5"/>
      <c r="T484" s="5"/>
      <c r="U484" s="5"/>
      <c r="V484" s="5"/>
      <c r="W484" s="5"/>
      <c r="X484" s="5"/>
      <c r="Y484" s="5"/>
      <c r="Z484" s="5"/>
      <c r="AA484" s="5"/>
    </row>
    <row r="485" spans="1:27" ht="12.75" customHeight="1">
      <c r="A485" s="5"/>
      <c r="B485" s="5"/>
      <c r="C485" s="5"/>
      <c r="D485" s="5"/>
      <c r="E485" s="5"/>
      <c r="F485" s="5"/>
      <c r="G485" s="5"/>
      <c r="H485" s="306"/>
      <c r="I485" s="306"/>
      <c r="J485" s="5"/>
      <c r="K485" s="5"/>
      <c r="L485" s="5"/>
      <c r="M485" s="5"/>
      <c r="N485" s="5"/>
      <c r="O485" s="5"/>
      <c r="P485" s="57"/>
      <c r="Q485" s="5"/>
      <c r="R485" s="5"/>
      <c r="S485" s="5"/>
      <c r="T485" s="5"/>
      <c r="U485" s="5"/>
      <c r="V485" s="5"/>
      <c r="W485" s="5"/>
      <c r="X485" s="5"/>
      <c r="Y485" s="5"/>
      <c r="Z485" s="5"/>
      <c r="AA485" s="5"/>
    </row>
    <row r="486" spans="1:27" ht="12.75" customHeight="1">
      <c r="A486" s="5"/>
      <c r="B486" s="5"/>
      <c r="C486" s="5"/>
      <c r="D486" s="5"/>
      <c r="E486" s="5"/>
      <c r="F486" s="5"/>
      <c r="G486" s="5"/>
      <c r="H486" s="306"/>
      <c r="I486" s="306"/>
      <c r="J486" s="5"/>
      <c r="K486" s="5"/>
      <c r="L486" s="5"/>
      <c r="M486" s="5"/>
      <c r="N486" s="5"/>
      <c r="O486" s="5"/>
      <c r="P486" s="57"/>
      <c r="Q486" s="5"/>
      <c r="R486" s="5"/>
      <c r="S486" s="5"/>
      <c r="T486" s="5"/>
      <c r="U486" s="5"/>
      <c r="V486" s="5"/>
      <c r="W486" s="5"/>
      <c r="X486" s="5"/>
      <c r="Y486" s="5"/>
      <c r="Z486" s="5"/>
      <c r="AA486" s="5"/>
    </row>
    <row r="487" spans="1:27" ht="12.75" customHeight="1">
      <c r="A487" s="5"/>
      <c r="B487" s="5"/>
      <c r="C487" s="5"/>
      <c r="D487" s="5"/>
      <c r="E487" s="5"/>
      <c r="F487" s="5"/>
      <c r="G487" s="5"/>
      <c r="H487" s="306"/>
      <c r="I487" s="306"/>
      <c r="J487" s="5"/>
      <c r="K487" s="5"/>
      <c r="L487" s="5"/>
      <c r="M487" s="5"/>
      <c r="N487" s="5"/>
      <c r="O487" s="5"/>
      <c r="P487" s="57"/>
      <c r="Q487" s="5"/>
      <c r="R487" s="5"/>
      <c r="S487" s="5"/>
      <c r="T487" s="5"/>
      <c r="U487" s="5"/>
      <c r="V487" s="5"/>
      <c r="W487" s="5"/>
      <c r="X487" s="5"/>
      <c r="Y487" s="5"/>
      <c r="Z487" s="5"/>
      <c r="AA487" s="5"/>
    </row>
    <row r="488" spans="1:27" ht="12.75" customHeight="1">
      <c r="A488" s="5"/>
      <c r="B488" s="5"/>
      <c r="C488" s="5"/>
      <c r="D488" s="5"/>
      <c r="E488" s="5"/>
      <c r="F488" s="5"/>
      <c r="G488" s="5"/>
      <c r="H488" s="306"/>
      <c r="I488" s="306"/>
      <c r="J488" s="5"/>
      <c r="K488" s="5"/>
      <c r="L488" s="5"/>
      <c r="M488" s="5"/>
      <c r="N488" s="5"/>
      <c r="O488" s="5"/>
      <c r="P488" s="57"/>
      <c r="Q488" s="5"/>
      <c r="R488" s="5"/>
      <c r="S488" s="5"/>
      <c r="T488" s="5"/>
      <c r="U488" s="5"/>
      <c r="V488" s="5"/>
      <c r="W488" s="5"/>
      <c r="X488" s="5"/>
      <c r="Y488" s="5"/>
      <c r="Z488" s="5"/>
      <c r="AA488" s="5"/>
    </row>
    <row r="489" spans="1:27" ht="12.75" customHeight="1">
      <c r="A489" s="5"/>
      <c r="B489" s="5"/>
      <c r="C489" s="5"/>
      <c r="D489" s="5"/>
      <c r="E489" s="5"/>
      <c r="F489" s="5"/>
      <c r="G489" s="5"/>
      <c r="H489" s="306"/>
      <c r="I489" s="306"/>
      <c r="J489" s="5"/>
      <c r="K489" s="5"/>
      <c r="L489" s="5"/>
      <c r="M489" s="5"/>
      <c r="N489" s="5"/>
      <c r="O489" s="5"/>
      <c r="P489" s="57"/>
      <c r="Q489" s="5"/>
      <c r="R489" s="5"/>
      <c r="S489" s="5"/>
      <c r="T489" s="5"/>
      <c r="U489" s="5"/>
      <c r="V489" s="5"/>
      <c r="W489" s="5"/>
      <c r="X489" s="5"/>
      <c r="Y489" s="5"/>
      <c r="Z489" s="5"/>
      <c r="AA489" s="5"/>
    </row>
    <row r="490" spans="1:27" ht="12.75" customHeight="1">
      <c r="A490" s="5"/>
      <c r="B490" s="5"/>
      <c r="C490" s="5"/>
      <c r="D490" s="5"/>
      <c r="E490" s="5"/>
      <c r="F490" s="5"/>
      <c r="G490" s="5"/>
      <c r="H490" s="306"/>
      <c r="I490" s="306"/>
      <c r="J490" s="5"/>
      <c r="K490" s="5"/>
      <c r="L490" s="5"/>
      <c r="M490" s="5"/>
      <c r="N490" s="5"/>
      <c r="O490" s="5"/>
      <c r="P490" s="57"/>
      <c r="Q490" s="5"/>
      <c r="R490" s="5"/>
      <c r="S490" s="5"/>
      <c r="T490" s="5"/>
      <c r="U490" s="5"/>
      <c r="V490" s="5"/>
      <c r="W490" s="5"/>
      <c r="X490" s="5"/>
      <c r="Y490" s="5"/>
      <c r="Z490" s="5"/>
      <c r="AA490" s="5"/>
    </row>
    <row r="491" spans="1:27" ht="12.75" customHeight="1">
      <c r="A491" s="5"/>
      <c r="B491" s="5"/>
      <c r="C491" s="5"/>
      <c r="D491" s="5"/>
      <c r="E491" s="5"/>
      <c r="F491" s="5"/>
      <c r="G491" s="5"/>
      <c r="H491" s="306"/>
      <c r="I491" s="306"/>
      <c r="J491" s="5"/>
      <c r="K491" s="5"/>
      <c r="L491" s="5"/>
      <c r="M491" s="5"/>
      <c r="N491" s="5"/>
      <c r="O491" s="5"/>
      <c r="P491" s="57"/>
      <c r="Q491" s="5"/>
      <c r="R491" s="5"/>
      <c r="S491" s="5"/>
      <c r="T491" s="5"/>
      <c r="U491" s="5"/>
      <c r="V491" s="5"/>
      <c r="W491" s="5"/>
      <c r="X491" s="5"/>
      <c r="Y491" s="5"/>
      <c r="Z491" s="5"/>
      <c r="AA491" s="5"/>
    </row>
    <row r="492" spans="1:27" ht="12.75" customHeight="1">
      <c r="A492" s="5"/>
      <c r="B492" s="5"/>
      <c r="C492" s="5"/>
      <c r="D492" s="5"/>
      <c r="E492" s="5"/>
      <c r="F492" s="5"/>
      <c r="G492" s="5"/>
      <c r="H492" s="306"/>
      <c r="I492" s="306"/>
      <c r="J492" s="5"/>
      <c r="K492" s="5"/>
      <c r="L492" s="5"/>
      <c r="M492" s="5"/>
      <c r="N492" s="5"/>
      <c r="O492" s="5"/>
      <c r="P492" s="57"/>
      <c r="Q492" s="5"/>
      <c r="R492" s="5"/>
      <c r="S492" s="5"/>
      <c r="T492" s="5"/>
      <c r="U492" s="5"/>
      <c r="V492" s="5"/>
      <c r="W492" s="5"/>
      <c r="X492" s="5"/>
      <c r="Y492" s="5"/>
      <c r="Z492" s="5"/>
      <c r="AA492" s="5"/>
    </row>
    <row r="493" spans="1:27" ht="12.75" customHeight="1">
      <c r="A493" s="5"/>
      <c r="B493" s="5"/>
      <c r="C493" s="5"/>
      <c r="D493" s="5"/>
      <c r="E493" s="5"/>
      <c r="F493" s="5"/>
      <c r="G493" s="5"/>
      <c r="H493" s="306"/>
      <c r="I493" s="306"/>
      <c r="J493" s="5"/>
      <c r="K493" s="5"/>
      <c r="L493" s="5"/>
      <c r="M493" s="5"/>
      <c r="N493" s="5"/>
      <c r="O493" s="5"/>
      <c r="P493" s="57"/>
      <c r="Q493" s="5"/>
      <c r="R493" s="5"/>
      <c r="S493" s="5"/>
      <c r="T493" s="5"/>
      <c r="U493" s="5"/>
      <c r="V493" s="5"/>
      <c r="W493" s="5"/>
      <c r="X493" s="5"/>
      <c r="Y493" s="5"/>
      <c r="Z493" s="5"/>
      <c r="AA493" s="5"/>
    </row>
    <row r="494" spans="1:27" ht="12.75" customHeight="1">
      <c r="A494" s="5"/>
      <c r="B494" s="5"/>
      <c r="C494" s="5"/>
      <c r="D494" s="5"/>
      <c r="E494" s="5"/>
      <c r="F494" s="5"/>
      <c r="G494" s="5"/>
      <c r="H494" s="306"/>
      <c r="I494" s="306"/>
      <c r="J494" s="5"/>
      <c r="K494" s="5"/>
      <c r="L494" s="5"/>
      <c r="M494" s="5"/>
      <c r="N494" s="5"/>
      <c r="O494" s="5"/>
      <c r="P494" s="57"/>
      <c r="Q494" s="5"/>
      <c r="R494" s="5"/>
      <c r="S494" s="5"/>
      <c r="T494" s="5"/>
      <c r="U494" s="5"/>
      <c r="V494" s="5"/>
      <c r="W494" s="5"/>
      <c r="X494" s="5"/>
      <c r="Y494" s="5"/>
      <c r="Z494" s="5"/>
      <c r="AA494" s="5"/>
    </row>
    <row r="495" spans="1:27" ht="12.75" customHeight="1">
      <c r="A495" s="5"/>
      <c r="B495" s="5"/>
      <c r="C495" s="5"/>
      <c r="D495" s="5"/>
      <c r="E495" s="5"/>
      <c r="F495" s="5"/>
      <c r="G495" s="5"/>
      <c r="H495" s="306"/>
      <c r="I495" s="306"/>
      <c r="J495" s="5"/>
      <c r="K495" s="5"/>
      <c r="L495" s="5"/>
      <c r="M495" s="5"/>
      <c r="N495" s="5"/>
      <c r="O495" s="5"/>
      <c r="P495" s="57"/>
      <c r="Q495" s="5"/>
      <c r="R495" s="5"/>
      <c r="S495" s="5"/>
      <c r="T495" s="5"/>
      <c r="U495" s="5"/>
      <c r="V495" s="5"/>
      <c r="W495" s="5"/>
      <c r="X495" s="5"/>
      <c r="Y495" s="5"/>
      <c r="Z495" s="5"/>
      <c r="AA495" s="5"/>
    </row>
    <row r="496" spans="1:27" ht="12.75" customHeight="1">
      <c r="A496" s="5"/>
      <c r="B496" s="5"/>
      <c r="C496" s="5"/>
      <c r="D496" s="5"/>
      <c r="E496" s="5"/>
      <c r="F496" s="5"/>
      <c r="G496" s="5"/>
      <c r="H496" s="306"/>
      <c r="I496" s="306"/>
      <c r="J496" s="5"/>
      <c r="K496" s="5"/>
      <c r="L496" s="5"/>
      <c r="M496" s="5"/>
      <c r="N496" s="5"/>
      <c r="O496" s="5"/>
      <c r="P496" s="57"/>
      <c r="Q496" s="5"/>
      <c r="R496" s="5"/>
      <c r="S496" s="5"/>
      <c r="T496" s="5"/>
      <c r="U496" s="5"/>
      <c r="V496" s="5"/>
      <c r="W496" s="5"/>
      <c r="X496" s="5"/>
      <c r="Y496" s="5"/>
      <c r="Z496" s="5"/>
      <c r="AA496" s="5"/>
    </row>
    <row r="497" spans="1:27" ht="12.75" customHeight="1">
      <c r="A497" s="5"/>
      <c r="B497" s="5"/>
      <c r="C497" s="5"/>
      <c r="D497" s="5"/>
      <c r="E497" s="5"/>
      <c r="F497" s="5"/>
      <c r="G497" s="5"/>
      <c r="H497" s="306"/>
      <c r="I497" s="306"/>
      <c r="J497" s="5"/>
      <c r="K497" s="5"/>
      <c r="L497" s="5"/>
      <c r="M497" s="5"/>
      <c r="N497" s="5"/>
      <c r="O497" s="5"/>
      <c r="P497" s="57"/>
      <c r="Q497" s="5"/>
      <c r="R497" s="5"/>
      <c r="S497" s="5"/>
      <c r="T497" s="5"/>
      <c r="U497" s="5"/>
      <c r="V497" s="5"/>
      <c r="W497" s="5"/>
      <c r="X497" s="5"/>
      <c r="Y497" s="5"/>
      <c r="Z497" s="5"/>
      <c r="AA497" s="5"/>
    </row>
    <row r="498" spans="1:27" ht="12.75" customHeight="1">
      <c r="A498" s="5"/>
      <c r="B498" s="5"/>
      <c r="C498" s="5"/>
      <c r="D498" s="5"/>
      <c r="E498" s="5"/>
      <c r="F498" s="5"/>
      <c r="G498" s="5"/>
      <c r="H498" s="306"/>
      <c r="I498" s="306"/>
      <c r="J498" s="5"/>
      <c r="K498" s="5"/>
      <c r="L498" s="5"/>
      <c r="M498" s="5"/>
      <c r="N498" s="5"/>
      <c r="O498" s="5"/>
      <c r="P498" s="57"/>
      <c r="Q498" s="5"/>
      <c r="R498" s="5"/>
      <c r="S498" s="5"/>
      <c r="T498" s="5"/>
      <c r="U498" s="5"/>
      <c r="V498" s="5"/>
      <c r="W498" s="5"/>
      <c r="X498" s="5"/>
      <c r="Y498" s="5"/>
      <c r="Z498" s="5"/>
      <c r="AA498" s="5"/>
    </row>
    <row r="499" spans="1:27" ht="12.75" customHeight="1">
      <c r="A499" s="5"/>
      <c r="B499" s="5"/>
      <c r="C499" s="5"/>
      <c r="D499" s="5"/>
      <c r="E499" s="5"/>
      <c r="F499" s="5"/>
      <c r="G499" s="5"/>
      <c r="H499" s="306"/>
      <c r="I499" s="306"/>
      <c r="J499" s="5"/>
      <c r="K499" s="5"/>
      <c r="L499" s="5"/>
      <c r="M499" s="5"/>
      <c r="N499" s="5"/>
      <c r="O499" s="5"/>
      <c r="P499" s="57"/>
      <c r="Q499" s="5"/>
      <c r="R499" s="5"/>
      <c r="S499" s="5"/>
      <c r="T499" s="5"/>
      <c r="U499" s="5"/>
      <c r="V499" s="5"/>
      <c r="W499" s="5"/>
      <c r="X499" s="5"/>
      <c r="Y499" s="5"/>
      <c r="Z499" s="5"/>
      <c r="AA499" s="5"/>
    </row>
    <row r="500" spans="1:27" ht="12.75" customHeight="1">
      <c r="A500" s="5"/>
      <c r="B500" s="5"/>
      <c r="C500" s="5"/>
      <c r="D500" s="5"/>
      <c r="E500" s="5"/>
      <c r="F500" s="5"/>
      <c r="G500" s="5"/>
      <c r="H500" s="306"/>
      <c r="I500" s="306"/>
      <c r="J500" s="5"/>
      <c r="K500" s="5"/>
      <c r="L500" s="5"/>
      <c r="M500" s="5"/>
      <c r="N500" s="5"/>
      <c r="O500" s="5"/>
      <c r="P500" s="57"/>
      <c r="Q500" s="5"/>
      <c r="R500" s="5"/>
      <c r="S500" s="5"/>
      <c r="T500" s="5"/>
      <c r="U500" s="5"/>
      <c r="V500" s="5"/>
      <c r="W500" s="5"/>
      <c r="X500" s="5"/>
      <c r="Y500" s="5"/>
      <c r="Z500" s="5"/>
      <c r="AA500" s="5"/>
    </row>
    <row r="501" spans="1:27" ht="12.75" customHeight="1">
      <c r="A501" s="5"/>
      <c r="B501" s="5"/>
      <c r="C501" s="5"/>
      <c r="D501" s="5"/>
      <c r="E501" s="5"/>
      <c r="F501" s="5"/>
      <c r="G501" s="5"/>
      <c r="H501" s="306"/>
      <c r="I501" s="306"/>
      <c r="J501" s="5"/>
      <c r="K501" s="5"/>
      <c r="L501" s="5"/>
      <c r="M501" s="5"/>
      <c r="N501" s="5"/>
      <c r="O501" s="5"/>
      <c r="P501" s="57"/>
      <c r="Q501" s="5"/>
      <c r="R501" s="5"/>
      <c r="S501" s="5"/>
      <c r="T501" s="5"/>
      <c r="U501" s="5"/>
      <c r="V501" s="5"/>
      <c r="W501" s="5"/>
      <c r="X501" s="5"/>
      <c r="Y501" s="5"/>
      <c r="Z501" s="5"/>
      <c r="AA501" s="5"/>
    </row>
    <row r="502" spans="1:27" ht="12.75" customHeight="1">
      <c r="A502" s="5"/>
      <c r="B502" s="5"/>
      <c r="C502" s="5"/>
      <c r="D502" s="5"/>
      <c r="E502" s="5"/>
      <c r="F502" s="5"/>
      <c r="G502" s="5"/>
      <c r="H502" s="306"/>
      <c r="I502" s="306"/>
      <c r="J502" s="5"/>
      <c r="K502" s="5"/>
      <c r="L502" s="5"/>
      <c r="M502" s="5"/>
      <c r="N502" s="5"/>
      <c r="O502" s="5"/>
      <c r="P502" s="57"/>
      <c r="Q502" s="5"/>
      <c r="R502" s="5"/>
      <c r="S502" s="5"/>
      <c r="T502" s="5"/>
      <c r="U502" s="5"/>
      <c r="V502" s="5"/>
      <c r="W502" s="5"/>
      <c r="X502" s="5"/>
      <c r="Y502" s="5"/>
      <c r="Z502" s="5"/>
      <c r="AA502" s="5"/>
    </row>
    <row r="503" spans="1:27" ht="12.75" customHeight="1">
      <c r="A503" s="5"/>
      <c r="B503" s="5"/>
      <c r="C503" s="5"/>
      <c r="D503" s="5"/>
      <c r="E503" s="5"/>
      <c r="F503" s="5"/>
      <c r="G503" s="5"/>
      <c r="H503" s="306"/>
      <c r="I503" s="306"/>
      <c r="J503" s="5"/>
      <c r="K503" s="5"/>
      <c r="L503" s="5"/>
      <c r="M503" s="5"/>
      <c r="N503" s="5"/>
      <c r="O503" s="5"/>
      <c r="P503" s="57"/>
      <c r="Q503" s="5"/>
      <c r="R503" s="5"/>
      <c r="S503" s="5"/>
      <c r="T503" s="5"/>
      <c r="U503" s="5"/>
      <c r="V503" s="5"/>
      <c r="W503" s="5"/>
      <c r="X503" s="5"/>
      <c r="Y503" s="5"/>
      <c r="Z503" s="5"/>
      <c r="AA503" s="5"/>
    </row>
    <row r="504" spans="1:27" ht="12.75" customHeight="1">
      <c r="A504" s="5"/>
      <c r="B504" s="5"/>
      <c r="C504" s="5"/>
      <c r="D504" s="5"/>
      <c r="E504" s="5"/>
      <c r="F504" s="5"/>
      <c r="G504" s="5"/>
      <c r="H504" s="306"/>
      <c r="I504" s="306"/>
      <c r="J504" s="5"/>
      <c r="K504" s="5"/>
      <c r="L504" s="5"/>
      <c r="M504" s="5"/>
      <c r="N504" s="5"/>
      <c r="O504" s="5"/>
      <c r="P504" s="57"/>
      <c r="Q504" s="5"/>
      <c r="R504" s="5"/>
      <c r="S504" s="5"/>
      <c r="T504" s="5"/>
      <c r="U504" s="5"/>
      <c r="V504" s="5"/>
      <c r="W504" s="5"/>
      <c r="X504" s="5"/>
      <c r="Y504" s="5"/>
      <c r="Z504" s="5"/>
      <c r="AA504" s="5"/>
    </row>
    <row r="505" spans="1:27" ht="12.75" customHeight="1">
      <c r="A505" s="5"/>
      <c r="B505" s="5"/>
      <c r="C505" s="5"/>
      <c r="D505" s="5"/>
      <c r="E505" s="5"/>
      <c r="F505" s="5"/>
      <c r="G505" s="5"/>
      <c r="H505" s="306"/>
      <c r="I505" s="306"/>
      <c r="J505" s="5"/>
      <c r="K505" s="5"/>
      <c r="L505" s="5"/>
      <c r="M505" s="5"/>
      <c r="N505" s="5"/>
      <c r="O505" s="5"/>
      <c r="P505" s="57"/>
      <c r="Q505" s="5"/>
      <c r="R505" s="5"/>
      <c r="S505" s="5"/>
      <c r="T505" s="5"/>
      <c r="U505" s="5"/>
      <c r="V505" s="5"/>
      <c r="W505" s="5"/>
      <c r="X505" s="5"/>
      <c r="Y505" s="5"/>
      <c r="Z505" s="5"/>
      <c r="AA505" s="5"/>
    </row>
    <row r="506" spans="1:27" ht="12.75" customHeight="1">
      <c r="A506" s="5"/>
      <c r="B506" s="5"/>
      <c r="C506" s="5"/>
      <c r="D506" s="5"/>
      <c r="E506" s="5"/>
      <c r="F506" s="5"/>
      <c r="G506" s="5"/>
      <c r="H506" s="306"/>
      <c r="I506" s="306"/>
      <c r="J506" s="5"/>
      <c r="K506" s="5"/>
      <c r="L506" s="5"/>
      <c r="M506" s="5"/>
      <c r="N506" s="5"/>
      <c r="O506" s="5"/>
      <c r="P506" s="57"/>
      <c r="Q506" s="5"/>
      <c r="R506" s="5"/>
      <c r="S506" s="5"/>
      <c r="T506" s="5"/>
      <c r="U506" s="5"/>
      <c r="V506" s="5"/>
      <c r="W506" s="5"/>
      <c r="X506" s="5"/>
      <c r="Y506" s="5"/>
      <c r="Z506" s="5"/>
      <c r="AA506" s="5"/>
    </row>
    <row r="507" spans="1:27" ht="12.75" customHeight="1">
      <c r="A507" s="5"/>
      <c r="B507" s="5"/>
      <c r="C507" s="5"/>
      <c r="D507" s="5"/>
      <c r="E507" s="5"/>
      <c r="F507" s="5"/>
      <c r="G507" s="5"/>
      <c r="H507" s="306"/>
      <c r="I507" s="306"/>
      <c r="J507" s="5"/>
      <c r="K507" s="5"/>
      <c r="L507" s="5"/>
      <c r="M507" s="5"/>
      <c r="N507" s="5"/>
      <c r="O507" s="5"/>
      <c r="P507" s="57"/>
      <c r="Q507" s="5"/>
      <c r="R507" s="5"/>
      <c r="S507" s="5"/>
      <c r="T507" s="5"/>
      <c r="U507" s="5"/>
      <c r="V507" s="5"/>
      <c r="W507" s="5"/>
      <c r="X507" s="5"/>
      <c r="Y507" s="5"/>
      <c r="Z507" s="5"/>
      <c r="AA507" s="5"/>
    </row>
    <row r="508" spans="1:27" ht="12.75" customHeight="1">
      <c r="A508" s="5"/>
      <c r="B508" s="5"/>
      <c r="C508" s="5"/>
      <c r="D508" s="5"/>
      <c r="E508" s="5"/>
      <c r="F508" s="5"/>
      <c r="G508" s="5"/>
      <c r="H508" s="306"/>
      <c r="I508" s="306"/>
      <c r="J508" s="5"/>
      <c r="K508" s="5"/>
      <c r="L508" s="5"/>
      <c r="M508" s="5"/>
      <c r="N508" s="5"/>
      <c r="O508" s="5"/>
      <c r="P508" s="57"/>
      <c r="Q508" s="5"/>
      <c r="R508" s="5"/>
      <c r="S508" s="5"/>
      <c r="T508" s="5"/>
      <c r="U508" s="5"/>
      <c r="V508" s="5"/>
      <c r="W508" s="5"/>
      <c r="X508" s="5"/>
      <c r="Y508" s="5"/>
      <c r="Z508" s="5"/>
      <c r="AA508" s="5"/>
    </row>
    <row r="509" spans="1:27" ht="12.75" customHeight="1">
      <c r="A509" s="5"/>
      <c r="B509" s="5"/>
      <c r="C509" s="5"/>
      <c r="D509" s="5"/>
      <c r="E509" s="5"/>
      <c r="F509" s="5"/>
      <c r="G509" s="5"/>
      <c r="H509" s="306"/>
      <c r="I509" s="306"/>
      <c r="J509" s="5"/>
      <c r="K509" s="5"/>
      <c r="L509" s="5"/>
      <c r="M509" s="5"/>
      <c r="N509" s="5"/>
      <c r="O509" s="5"/>
      <c r="P509" s="57"/>
      <c r="Q509" s="5"/>
      <c r="R509" s="5"/>
      <c r="S509" s="5"/>
      <c r="T509" s="5"/>
      <c r="U509" s="5"/>
      <c r="V509" s="5"/>
      <c r="W509" s="5"/>
      <c r="X509" s="5"/>
      <c r="Y509" s="5"/>
      <c r="Z509" s="5"/>
      <c r="AA509" s="5"/>
    </row>
    <row r="510" spans="1:27" ht="12.75" customHeight="1">
      <c r="A510" s="5"/>
      <c r="B510" s="5"/>
      <c r="C510" s="5"/>
      <c r="D510" s="5"/>
      <c r="E510" s="5"/>
      <c r="F510" s="5"/>
      <c r="G510" s="5"/>
      <c r="H510" s="306"/>
      <c r="I510" s="306"/>
      <c r="J510" s="5"/>
      <c r="K510" s="5"/>
      <c r="L510" s="5"/>
      <c r="M510" s="5"/>
      <c r="N510" s="5"/>
      <c r="O510" s="5"/>
      <c r="P510" s="57"/>
      <c r="Q510" s="5"/>
      <c r="R510" s="5"/>
      <c r="S510" s="5"/>
      <c r="T510" s="5"/>
      <c r="U510" s="5"/>
      <c r="V510" s="5"/>
      <c r="W510" s="5"/>
      <c r="X510" s="5"/>
      <c r="Y510" s="5"/>
      <c r="Z510" s="5"/>
      <c r="AA510" s="5"/>
    </row>
    <row r="511" spans="1:27" ht="12.75" customHeight="1">
      <c r="A511" s="5"/>
      <c r="B511" s="5"/>
      <c r="C511" s="5"/>
      <c r="D511" s="5"/>
      <c r="E511" s="5"/>
      <c r="F511" s="5"/>
      <c r="G511" s="5"/>
      <c r="H511" s="306"/>
      <c r="I511" s="306"/>
      <c r="J511" s="5"/>
      <c r="K511" s="5"/>
      <c r="L511" s="5"/>
      <c r="M511" s="5"/>
      <c r="N511" s="5"/>
      <c r="O511" s="5"/>
      <c r="P511" s="57"/>
      <c r="Q511" s="5"/>
      <c r="R511" s="5"/>
      <c r="S511" s="5"/>
      <c r="T511" s="5"/>
      <c r="U511" s="5"/>
      <c r="V511" s="5"/>
      <c r="W511" s="5"/>
      <c r="X511" s="5"/>
      <c r="Y511" s="5"/>
      <c r="Z511" s="5"/>
      <c r="AA511" s="5"/>
    </row>
    <row r="512" spans="1:27" ht="12.75" customHeight="1">
      <c r="A512" s="5"/>
      <c r="B512" s="5"/>
      <c r="C512" s="5"/>
      <c r="D512" s="5"/>
      <c r="E512" s="5"/>
      <c r="F512" s="5"/>
      <c r="G512" s="5"/>
      <c r="H512" s="306"/>
      <c r="I512" s="306"/>
      <c r="J512" s="5"/>
      <c r="K512" s="5"/>
      <c r="L512" s="5"/>
      <c r="M512" s="5"/>
      <c r="N512" s="5"/>
      <c r="O512" s="5"/>
      <c r="P512" s="57"/>
      <c r="Q512" s="5"/>
      <c r="R512" s="5"/>
      <c r="S512" s="5"/>
      <c r="T512" s="5"/>
      <c r="U512" s="5"/>
      <c r="V512" s="5"/>
      <c r="W512" s="5"/>
      <c r="X512" s="5"/>
      <c r="Y512" s="5"/>
      <c r="Z512" s="5"/>
      <c r="AA512" s="5"/>
    </row>
    <row r="513" spans="1:27" ht="12.75" customHeight="1">
      <c r="A513" s="5"/>
      <c r="B513" s="5"/>
      <c r="C513" s="5"/>
      <c r="D513" s="5"/>
      <c r="E513" s="5"/>
      <c r="F513" s="5"/>
      <c r="G513" s="5"/>
      <c r="H513" s="306"/>
      <c r="I513" s="306"/>
      <c r="J513" s="5"/>
      <c r="K513" s="5"/>
      <c r="L513" s="5"/>
      <c r="M513" s="5"/>
      <c r="N513" s="5"/>
      <c r="O513" s="5"/>
      <c r="P513" s="57"/>
      <c r="Q513" s="5"/>
      <c r="R513" s="5"/>
      <c r="S513" s="5"/>
      <c r="T513" s="5"/>
      <c r="U513" s="5"/>
      <c r="V513" s="5"/>
      <c r="W513" s="5"/>
      <c r="X513" s="5"/>
      <c r="Y513" s="5"/>
      <c r="Z513" s="5"/>
      <c r="AA513" s="5"/>
    </row>
    <row r="514" spans="1:27" ht="12.75" customHeight="1">
      <c r="A514" s="5"/>
      <c r="B514" s="5"/>
      <c r="C514" s="5"/>
      <c r="D514" s="5"/>
      <c r="E514" s="5"/>
      <c r="F514" s="5"/>
      <c r="G514" s="5"/>
      <c r="H514" s="306"/>
      <c r="I514" s="306"/>
      <c r="J514" s="5"/>
      <c r="K514" s="5"/>
      <c r="L514" s="5"/>
      <c r="M514" s="5"/>
      <c r="N514" s="5"/>
      <c r="O514" s="5"/>
      <c r="P514" s="57"/>
      <c r="Q514" s="5"/>
      <c r="R514" s="5"/>
      <c r="S514" s="5"/>
      <c r="T514" s="5"/>
      <c r="U514" s="5"/>
      <c r="V514" s="5"/>
      <c r="W514" s="5"/>
      <c r="X514" s="5"/>
      <c r="Y514" s="5"/>
      <c r="Z514" s="5"/>
      <c r="AA514" s="5"/>
    </row>
    <row r="515" spans="1:27" ht="12.75" customHeight="1">
      <c r="A515" s="5"/>
      <c r="B515" s="5"/>
      <c r="C515" s="5"/>
      <c r="D515" s="5"/>
      <c r="E515" s="5"/>
      <c r="F515" s="5"/>
      <c r="G515" s="5"/>
      <c r="H515" s="306"/>
      <c r="I515" s="306"/>
      <c r="J515" s="5"/>
      <c r="K515" s="5"/>
      <c r="L515" s="5"/>
      <c r="M515" s="5"/>
      <c r="N515" s="5"/>
      <c r="O515" s="5"/>
      <c r="P515" s="57"/>
      <c r="Q515" s="5"/>
      <c r="R515" s="5"/>
      <c r="S515" s="5"/>
      <c r="T515" s="5"/>
      <c r="U515" s="5"/>
      <c r="V515" s="5"/>
      <c r="W515" s="5"/>
      <c r="X515" s="5"/>
      <c r="Y515" s="5"/>
      <c r="Z515" s="5"/>
      <c r="AA515" s="5"/>
    </row>
    <row r="516" spans="1:27" ht="12.75" customHeight="1">
      <c r="A516" s="5"/>
      <c r="B516" s="5"/>
      <c r="C516" s="5"/>
      <c r="D516" s="5"/>
      <c r="E516" s="5"/>
      <c r="F516" s="5"/>
      <c r="G516" s="5"/>
      <c r="H516" s="306"/>
      <c r="I516" s="306"/>
      <c r="J516" s="5"/>
      <c r="K516" s="5"/>
      <c r="L516" s="5"/>
      <c r="M516" s="5"/>
      <c r="N516" s="5"/>
      <c r="O516" s="5"/>
      <c r="P516" s="57"/>
      <c r="Q516" s="5"/>
      <c r="R516" s="5"/>
      <c r="S516" s="5"/>
      <c r="T516" s="5"/>
      <c r="U516" s="5"/>
      <c r="V516" s="5"/>
      <c r="W516" s="5"/>
      <c r="X516" s="5"/>
      <c r="Y516" s="5"/>
      <c r="Z516" s="5"/>
      <c r="AA516" s="5"/>
    </row>
    <row r="517" spans="1:27" ht="12.75" customHeight="1">
      <c r="A517" s="5"/>
      <c r="B517" s="5"/>
      <c r="C517" s="5"/>
      <c r="D517" s="5"/>
      <c r="E517" s="5"/>
      <c r="F517" s="5"/>
      <c r="G517" s="5"/>
      <c r="H517" s="306"/>
      <c r="I517" s="306"/>
      <c r="J517" s="5"/>
      <c r="K517" s="5"/>
      <c r="L517" s="5"/>
      <c r="M517" s="5"/>
      <c r="N517" s="5"/>
      <c r="O517" s="5"/>
      <c r="P517" s="57"/>
      <c r="Q517" s="5"/>
      <c r="R517" s="5"/>
      <c r="S517" s="5"/>
      <c r="T517" s="5"/>
      <c r="U517" s="5"/>
      <c r="V517" s="5"/>
      <c r="W517" s="5"/>
      <c r="X517" s="5"/>
      <c r="Y517" s="5"/>
      <c r="Z517" s="5"/>
      <c r="AA517" s="5"/>
    </row>
    <row r="518" spans="1:27" ht="12.75" customHeight="1">
      <c r="A518" s="5"/>
      <c r="B518" s="5"/>
      <c r="C518" s="5"/>
      <c r="D518" s="5"/>
      <c r="E518" s="5"/>
      <c r="F518" s="5"/>
      <c r="G518" s="5"/>
      <c r="H518" s="306"/>
      <c r="I518" s="306"/>
      <c r="J518" s="5"/>
      <c r="K518" s="5"/>
      <c r="L518" s="5"/>
      <c r="M518" s="5"/>
      <c r="N518" s="5"/>
      <c r="O518" s="5"/>
      <c r="P518" s="57"/>
      <c r="Q518" s="5"/>
      <c r="R518" s="5"/>
      <c r="S518" s="5"/>
      <c r="T518" s="5"/>
      <c r="U518" s="5"/>
      <c r="V518" s="5"/>
      <c r="W518" s="5"/>
      <c r="X518" s="5"/>
      <c r="Y518" s="5"/>
      <c r="Z518" s="5"/>
      <c r="AA518" s="5"/>
    </row>
    <row r="519" spans="1:27" ht="12.75" customHeight="1">
      <c r="A519" s="5"/>
      <c r="B519" s="5"/>
      <c r="C519" s="5"/>
      <c r="D519" s="5"/>
      <c r="E519" s="5"/>
      <c r="F519" s="5"/>
      <c r="G519" s="5"/>
      <c r="H519" s="306"/>
      <c r="I519" s="306"/>
      <c r="J519" s="5"/>
      <c r="K519" s="5"/>
      <c r="L519" s="5"/>
      <c r="M519" s="5"/>
      <c r="N519" s="5"/>
      <c r="O519" s="5"/>
      <c r="P519" s="57"/>
      <c r="Q519" s="5"/>
      <c r="R519" s="5"/>
      <c r="S519" s="5"/>
      <c r="T519" s="5"/>
      <c r="U519" s="5"/>
      <c r="V519" s="5"/>
      <c r="W519" s="5"/>
      <c r="X519" s="5"/>
      <c r="Y519" s="5"/>
      <c r="Z519" s="5"/>
      <c r="AA519" s="5"/>
    </row>
    <row r="520" spans="1:27" ht="12.75" customHeight="1">
      <c r="A520" s="5"/>
      <c r="B520" s="5"/>
      <c r="C520" s="5"/>
      <c r="D520" s="5"/>
      <c r="E520" s="5"/>
      <c r="F520" s="5"/>
      <c r="G520" s="5"/>
      <c r="H520" s="306"/>
      <c r="I520" s="306"/>
      <c r="J520" s="5"/>
      <c r="K520" s="5"/>
      <c r="L520" s="5"/>
      <c r="M520" s="5"/>
      <c r="N520" s="5"/>
      <c r="O520" s="5"/>
      <c r="P520" s="57"/>
      <c r="Q520" s="5"/>
      <c r="R520" s="5"/>
      <c r="S520" s="5"/>
      <c r="T520" s="5"/>
      <c r="U520" s="5"/>
      <c r="V520" s="5"/>
      <c r="W520" s="5"/>
      <c r="X520" s="5"/>
      <c r="Y520" s="5"/>
      <c r="Z520" s="5"/>
      <c r="AA520" s="5"/>
    </row>
    <row r="521" spans="1:27" ht="12.75" customHeight="1">
      <c r="A521" s="5"/>
      <c r="B521" s="5"/>
      <c r="C521" s="5"/>
      <c r="D521" s="5"/>
      <c r="E521" s="5"/>
      <c r="F521" s="5"/>
      <c r="G521" s="5"/>
      <c r="H521" s="306"/>
      <c r="I521" s="306"/>
      <c r="J521" s="5"/>
      <c r="K521" s="5"/>
      <c r="L521" s="5"/>
      <c r="M521" s="5"/>
      <c r="N521" s="5"/>
      <c r="O521" s="5"/>
      <c r="P521" s="57"/>
      <c r="Q521" s="5"/>
      <c r="R521" s="5"/>
      <c r="S521" s="5"/>
      <c r="T521" s="5"/>
      <c r="U521" s="5"/>
      <c r="V521" s="5"/>
      <c r="W521" s="5"/>
      <c r="X521" s="5"/>
      <c r="Y521" s="5"/>
      <c r="Z521" s="5"/>
      <c r="AA521" s="5"/>
    </row>
    <row r="522" spans="1:27" ht="12.75" customHeight="1">
      <c r="A522" s="5"/>
      <c r="B522" s="5"/>
      <c r="C522" s="5"/>
      <c r="D522" s="5"/>
      <c r="E522" s="5"/>
      <c r="F522" s="5"/>
      <c r="G522" s="5"/>
      <c r="H522" s="306"/>
      <c r="I522" s="306"/>
      <c r="J522" s="5"/>
      <c r="K522" s="5"/>
      <c r="L522" s="5"/>
      <c r="M522" s="5"/>
      <c r="N522" s="5"/>
      <c r="O522" s="5"/>
      <c r="P522" s="57"/>
      <c r="Q522" s="5"/>
      <c r="R522" s="5"/>
      <c r="S522" s="5"/>
      <c r="T522" s="5"/>
      <c r="U522" s="5"/>
      <c r="V522" s="5"/>
      <c r="W522" s="5"/>
      <c r="X522" s="5"/>
      <c r="Y522" s="5"/>
      <c r="Z522" s="5"/>
      <c r="AA522" s="5"/>
    </row>
    <row r="523" spans="1:27" ht="12.75" customHeight="1">
      <c r="A523" s="5"/>
      <c r="B523" s="5"/>
      <c r="C523" s="5"/>
      <c r="D523" s="5"/>
      <c r="E523" s="5"/>
      <c r="F523" s="5"/>
      <c r="G523" s="5"/>
      <c r="H523" s="306"/>
      <c r="I523" s="306"/>
      <c r="J523" s="5"/>
      <c r="K523" s="5"/>
      <c r="L523" s="5"/>
      <c r="M523" s="5"/>
      <c r="N523" s="5"/>
      <c r="O523" s="5"/>
      <c r="P523" s="57"/>
      <c r="Q523" s="5"/>
      <c r="R523" s="5"/>
      <c r="S523" s="5"/>
      <c r="T523" s="5"/>
      <c r="U523" s="5"/>
      <c r="V523" s="5"/>
      <c r="W523" s="5"/>
      <c r="X523" s="5"/>
      <c r="Y523" s="5"/>
      <c r="Z523" s="5"/>
      <c r="AA523" s="5"/>
    </row>
    <row r="524" spans="1:27" ht="12.75" customHeight="1">
      <c r="A524" s="5"/>
      <c r="B524" s="5"/>
      <c r="C524" s="5"/>
      <c r="D524" s="5"/>
      <c r="E524" s="5"/>
      <c r="F524" s="5"/>
      <c r="G524" s="5"/>
      <c r="H524" s="306"/>
      <c r="I524" s="306"/>
      <c r="J524" s="5"/>
      <c r="K524" s="5"/>
      <c r="L524" s="5"/>
      <c r="M524" s="5"/>
      <c r="N524" s="5"/>
      <c r="O524" s="5"/>
      <c r="P524" s="57"/>
      <c r="Q524" s="5"/>
      <c r="R524" s="5"/>
      <c r="S524" s="5"/>
      <c r="T524" s="5"/>
      <c r="U524" s="5"/>
      <c r="V524" s="5"/>
      <c r="W524" s="5"/>
      <c r="X524" s="5"/>
      <c r="Y524" s="5"/>
      <c r="Z524" s="5"/>
      <c r="AA524" s="5"/>
    </row>
    <row r="525" spans="1:27" ht="12.75" customHeight="1">
      <c r="A525" s="5"/>
      <c r="B525" s="5"/>
      <c r="C525" s="5"/>
      <c r="D525" s="5"/>
      <c r="E525" s="5"/>
      <c r="F525" s="5"/>
      <c r="G525" s="5"/>
      <c r="H525" s="306"/>
      <c r="I525" s="306"/>
      <c r="J525" s="5"/>
      <c r="K525" s="5"/>
      <c r="L525" s="5"/>
      <c r="M525" s="5"/>
      <c r="N525" s="5"/>
      <c r="O525" s="5"/>
      <c r="P525" s="57"/>
      <c r="Q525" s="5"/>
      <c r="R525" s="5"/>
      <c r="S525" s="5"/>
      <c r="T525" s="5"/>
      <c r="U525" s="5"/>
      <c r="V525" s="5"/>
      <c r="W525" s="5"/>
      <c r="X525" s="5"/>
      <c r="Y525" s="5"/>
      <c r="Z525" s="5"/>
      <c r="AA525" s="5"/>
    </row>
    <row r="526" spans="1:27" ht="12.75" customHeight="1">
      <c r="A526" s="5"/>
      <c r="B526" s="5"/>
      <c r="C526" s="5"/>
      <c r="D526" s="5"/>
      <c r="E526" s="5"/>
      <c r="F526" s="5"/>
      <c r="G526" s="5"/>
      <c r="H526" s="306"/>
      <c r="I526" s="306"/>
      <c r="J526" s="5"/>
      <c r="K526" s="5"/>
      <c r="L526" s="5"/>
      <c r="M526" s="5"/>
      <c r="N526" s="5"/>
      <c r="O526" s="5"/>
      <c r="P526" s="57"/>
      <c r="Q526" s="5"/>
      <c r="R526" s="5"/>
      <c r="S526" s="5"/>
      <c r="T526" s="5"/>
      <c r="U526" s="5"/>
      <c r="V526" s="5"/>
      <c r="W526" s="5"/>
      <c r="X526" s="5"/>
      <c r="Y526" s="5"/>
      <c r="Z526" s="5"/>
      <c r="AA526" s="5"/>
    </row>
    <row r="527" spans="1:27" ht="12.75" customHeight="1">
      <c r="A527" s="5"/>
      <c r="B527" s="5"/>
      <c r="C527" s="5"/>
      <c r="D527" s="5"/>
      <c r="E527" s="5"/>
      <c r="F527" s="5"/>
      <c r="G527" s="5"/>
      <c r="H527" s="306"/>
      <c r="I527" s="306"/>
      <c r="J527" s="5"/>
      <c r="K527" s="5"/>
      <c r="L527" s="5"/>
      <c r="M527" s="5"/>
      <c r="N527" s="5"/>
      <c r="O527" s="5"/>
      <c r="P527" s="57"/>
      <c r="Q527" s="5"/>
      <c r="R527" s="5"/>
      <c r="S527" s="5"/>
      <c r="T527" s="5"/>
      <c r="U527" s="5"/>
      <c r="V527" s="5"/>
      <c r="W527" s="5"/>
      <c r="X527" s="5"/>
      <c r="Y527" s="5"/>
      <c r="Z527" s="5"/>
      <c r="AA527" s="5"/>
    </row>
    <row r="528" spans="1:27" ht="12.75" customHeight="1">
      <c r="A528" s="5"/>
      <c r="B528" s="5"/>
      <c r="C528" s="5"/>
      <c r="D528" s="5"/>
      <c r="E528" s="5"/>
      <c r="F528" s="5"/>
      <c r="G528" s="5"/>
      <c r="H528" s="306"/>
      <c r="I528" s="306"/>
      <c r="J528" s="5"/>
      <c r="K528" s="5"/>
      <c r="L528" s="5"/>
      <c r="M528" s="5"/>
      <c r="N528" s="5"/>
      <c r="O528" s="5"/>
      <c r="P528" s="57"/>
      <c r="Q528" s="5"/>
      <c r="R528" s="5"/>
      <c r="S528" s="5"/>
      <c r="T528" s="5"/>
      <c r="U528" s="5"/>
      <c r="V528" s="5"/>
      <c r="W528" s="5"/>
      <c r="X528" s="5"/>
      <c r="Y528" s="5"/>
      <c r="Z528" s="5"/>
      <c r="AA528" s="5"/>
    </row>
    <row r="529" spans="1:27" ht="12.75" customHeight="1">
      <c r="A529" s="5"/>
      <c r="B529" s="5"/>
      <c r="C529" s="5"/>
      <c r="D529" s="5"/>
      <c r="E529" s="5"/>
      <c r="F529" s="5"/>
      <c r="G529" s="5"/>
      <c r="H529" s="306"/>
      <c r="I529" s="306"/>
      <c r="J529" s="5"/>
      <c r="K529" s="5"/>
      <c r="L529" s="5"/>
      <c r="M529" s="5"/>
      <c r="N529" s="5"/>
      <c r="O529" s="5"/>
      <c r="P529" s="57"/>
      <c r="Q529" s="5"/>
      <c r="R529" s="5"/>
      <c r="S529" s="5"/>
      <c r="T529" s="5"/>
      <c r="U529" s="5"/>
      <c r="V529" s="5"/>
      <c r="W529" s="5"/>
      <c r="X529" s="5"/>
      <c r="Y529" s="5"/>
      <c r="Z529" s="5"/>
      <c r="AA529" s="5"/>
    </row>
    <row r="530" spans="1:27" ht="12.75" customHeight="1">
      <c r="A530" s="5"/>
      <c r="B530" s="5"/>
      <c r="C530" s="5"/>
      <c r="D530" s="5"/>
      <c r="E530" s="5"/>
      <c r="F530" s="5"/>
      <c r="G530" s="5"/>
      <c r="H530" s="306"/>
      <c r="I530" s="306"/>
      <c r="J530" s="5"/>
      <c r="K530" s="5"/>
      <c r="L530" s="5"/>
      <c r="M530" s="5"/>
      <c r="N530" s="5"/>
      <c r="O530" s="5"/>
      <c r="P530" s="57"/>
      <c r="Q530" s="5"/>
      <c r="R530" s="5"/>
      <c r="S530" s="5"/>
      <c r="T530" s="5"/>
      <c r="U530" s="5"/>
      <c r="V530" s="5"/>
      <c r="W530" s="5"/>
      <c r="X530" s="5"/>
      <c r="Y530" s="5"/>
      <c r="Z530" s="5"/>
      <c r="AA530" s="5"/>
    </row>
    <row r="531" spans="1:27" ht="12.75" customHeight="1">
      <c r="A531" s="5"/>
      <c r="B531" s="5"/>
      <c r="C531" s="5"/>
      <c r="D531" s="5"/>
      <c r="E531" s="5"/>
      <c r="F531" s="5"/>
      <c r="G531" s="5"/>
      <c r="H531" s="306"/>
      <c r="I531" s="306"/>
      <c r="J531" s="5"/>
      <c r="K531" s="5"/>
      <c r="L531" s="5"/>
      <c r="M531" s="5"/>
      <c r="N531" s="5"/>
      <c r="O531" s="5"/>
      <c r="P531" s="57"/>
      <c r="Q531" s="5"/>
      <c r="R531" s="5"/>
      <c r="S531" s="5"/>
      <c r="T531" s="5"/>
      <c r="U531" s="5"/>
      <c r="V531" s="5"/>
      <c r="W531" s="5"/>
      <c r="X531" s="5"/>
      <c r="Y531" s="5"/>
      <c r="Z531" s="5"/>
      <c r="AA531" s="5"/>
    </row>
    <row r="532" spans="1:27" ht="12.75" customHeight="1">
      <c r="A532" s="5"/>
      <c r="B532" s="5"/>
      <c r="C532" s="5"/>
      <c r="D532" s="5"/>
      <c r="E532" s="5"/>
      <c r="F532" s="5"/>
      <c r="G532" s="5"/>
      <c r="H532" s="306"/>
      <c r="I532" s="306"/>
      <c r="J532" s="5"/>
      <c r="K532" s="5"/>
      <c r="L532" s="5"/>
      <c r="M532" s="5"/>
      <c r="N532" s="5"/>
      <c r="O532" s="5"/>
      <c r="P532" s="57"/>
      <c r="Q532" s="5"/>
      <c r="R532" s="5"/>
      <c r="S532" s="5"/>
      <c r="T532" s="5"/>
      <c r="U532" s="5"/>
      <c r="V532" s="5"/>
      <c r="W532" s="5"/>
      <c r="X532" s="5"/>
      <c r="Y532" s="5"/>
      <c r="Z532" s="5"/>
      <c r="AA532" s="5"/>
    </row>
    <row r="533" spans="1:27" ht="12.75" customHeight="1">
      <c r="A533" s="5"/>
      <c r="B533" s="5"/>
      <c r="C533" s="5"/>
      <c r="D533" s="5"/>
      <c r="E533" s="5"/>
      <c r="F533" s="5"/>
      <c r="G533" s="5"/>
      <c r="H533" s="306"/>
      <c r="I533" s="306"/>
      <c r="J533" s="5"/>
      <c r="K533" s="5"/>
      <c r="L533" s="5"/>
      <c r="M533" s="5"/>
      <c r="N533" s="5"/>
      <c r="O533" s="5"/>
      <c r="P533" s="57"/>
      <c r="Q533" s="5"/>
      <c r="R533" s="5"/>
      <c r="S533" s="5"/>
      <c r="T533" s="5"/>
      <c r="U533" s="5"/>
      <c r="V533" s="5"/>
      <c r="W533" s="5"/>
      <c r="X533" s="5"/>
      <c r="Y533" s="5"/>
      <c r="Z533" s="5"/>
      <c r="AA533" s="5"/>
    </row>
    <row r="534" spans="1:27" ht="12.75" customHeight="1">
      <c r="A534" s="5"/>
      <c r="B534" s="5"/>
      <c r="C534" s="5"/>
      <c r="D534" s="5"/>
      <c r="E534" s="5"/>
      <c r="F534" s="5"/>
      <c r="G534" s="5"/>
      <c r="H534" s="306"/>
      <c r="I534" s="306"/>
      <c r="J534" s="5"/>
      <c r="K534" s="5"/>
      <c r="L534" s="5"/>
      <c r="M534" s="5"/>
      <c r="N534" s="5"/>
      <c r="O534" s="5"/>
      <c r="P534" s="57"/>
      <c r="Q534" s="5"/>
      <c r="R534" s="5"/>
      <c r="S534" s="5"/>
      <c r="T534" s="5"/>
      <c r="U534" s="5"/>
      <c r="V534" s="5"/>
      <c r="W534" s="5"/>
      <c r="X534" s="5"/>
      <c r="Y534" s="5"/>
      <c r="Z534" s="5"/>
      <c r="AA534" s="5"/>
    </row>
    <row r="535" spans="1:27" ht="12.75" customHeight="1">
      <c r="A535" s="5"/>
      <c r="B535" s="5"/>
      <c r="C535" s="5"/>
      <c r="D535" s="5"/>
      <c r="E535" s="5"/>
      <c r="F535" s="5"/>
      <c r="G535" s="5"/>
      <c r="H535" s="306"/>
      <c r="I535" s="306"/>
      <c r="J535" s="5"/>
      <c r="K535" s="5"/>
      <c r="L535" s="5"/>
      <c r="M535" s="5"/>
      <c r="N535" s="5"/>
      <c r="O535" s="5"/>
      <c r="P535" s="57"/>
      <c r="Q535" s="5"/>
      <c r="R535" s="5"/>
      <c r="S535" s="5"/>
      <c r="T535" s="5"/>
      <c r="U535" s="5"/>
      <c r="V535" s="5"/>
      <c r="W535" s="5"/>
      <c r="X535" s="5"/>
      <c r="Y535" s="5"/>
      <c r="Z535" s="5"/>
      <c r="AA535" s="5"/>
    </row>
    <row r="536" spans="1:27" ht="12.75" customHeight="1">
      <c r="A536" s="5"/>
      <c r="B536" s="5"/>
      <c r="C536" s="5"/>
      <c r="D536" s="5"/>
      <c r="E536" s="5"/>
      <c r="F536" s="5"/>
      <c r="G536" s="5"/>
      <c r="H536" s="306"/>
      <c r="I536" s="306"/>
      <c r="J536" s="5"/>
      <c r="K536" s="5"/>
      <c r="L536" s="5"/>
      <c r="M536" s="5"/>
      <c r="N536" s="5"/>
      <c r="O536" s="5"/>
      <c r="P536" s="57"/>
      <c r="Q536" s="5"/>
      <c r="R536" s="5"/>
      <c r="S536" s="5"/>
      <c r="T536" s="5"/>
      <c r="U536" s="5"/>
      <c r="V536" s="5"/>
      <c r="W536" s="5"/>
      <c r="X536" s="5"/>
      <c r="Y536" s="5"/>
      <c r="Z536" s="5"/>
      <c r="AA536" s="5"/>
    </row>
    <row r="537" spans="1:27" ht="12.75" customHeight="1">
      <c r="A537" s="5"/>
      <c r="B537" s="5"/>
      <c r="C537" s="5"/>
      <c r="D537" s="5"/>
      <c r="E537" s="5"/>
      <c r="F537" s="5"/>
      <c r="G537" s="5"/>
      <c r="H537" s="306"/>
      <c r="I537" s="306"/>
      <c r="J537" s="5"/>
      <c r="K537" s="5"/>
      <c r="L537" s="5"/>
      <c r="M537" s="5"/>
      <c r="N537" s="5"/>
      <c r="O537" s="5"/>
      <c r="P537" s="57"/>
      <c r="Q537" s="5"/>
      <c r="R537" s="5"/>
      <c r="S537" s="5"/>
      <c r="T537" s="5"/>
      <c r="U537" s="5"/>
      <c r="V537" s="5"/>
      <c r="W537" s="5"/>
      <c r="X537" s="5"/>
      <c r="Y537" s="5"/>
      <c r="Z537" s="5"/>
      <c r="AA537" s="5"/>
    </row>
    <row r="538" spans="1:27" ht="12.75" customHeight="1">
      <c r="A538" s="5"/>
      <c r="B538" s="5"/>
      <c r="C538" s="5"/>
      <c r="D538" s="5"/>
      <c r="E538" s="5"/>
      <c r="F538" s="5"/>
      <c r="G538" s="5"/>
      <c r="H538" s="306"/>
      <c r="I538" s="306"/>
      <c r="J538" s="5"/>
      <c r="K538" s="5"/>
      <c r="L538" s="5"/>
      <c r="M538" s="5"/>
      <c r="N538" s="5"/>
      <c r="O538" s="5"/>
      <c r="P538" s="57"/>
      <c r="Q538" s="5"/>
      <c r="R538" s="5"/>
      <c r="S538" s="5"/>
      <c r="T538" s="5"/>
      <c r="U538" s="5"/>
      <c r="V538" s="5"/>
      <c r="W538" s="5"/>
      <c r="X538" s="5"/>
      <c r="Y538" s="5"/>
      <c r="Z538" s="5"/>
      <c r="AA538" s="5"/>
    </row>
    <row r="539" spans="1:27" ht="12.75" customHeight="1">
      <c r="A539" s="5"/>
      <c r="B539" s="5"/>
      <c r="C539" s="5"/>
      <c r="D539" s="5"/>
      <c r="E539" s="5"/>
      <c r="F539" s="5"/>
      <c r="G539" s="5"/>
      <c r="H539" s="306"/>
      <c r="I539" s="306"/>
      <c r="J539" s="5"/>
      <c r="K539" s="5"/>
      <c r="L539" s="5"/>
      <c r="M539" s="5"/>
      <c r="N539" s="5"/>
      <c r="O539" s="5"/>
      <c r="P539" s="57"/>
      <c r="Q539" s="5"/>
      <c r="R539" s="5"/>
      <c r="S539" s="5"/>
      <c r="T539" s="5"/>
      <c r="U539" s="5"/>
      <c r="V539" s="5"/>
      <c r="W539" s="5"/>
      <c r="X539" s="5"/>
      <c r="Y539" s="5"/>
      <c r="Z539" s="5"/>
      <c r="AA539" s="5"/>
    </row>
    <row r="540" spans="1:27" ht="12.75" customHeight="1">
      <c r="A540" s="5"/>
      <c r="B540" s="5"/>
      <c r="C540" s="5"/>
      <c r="D540" s="5"/>
      <c r="E540" s="5"/>
      <c r="F540" s="5"/>
      <c r="G540" s="5"/>
      <c r="H540" s="306"/>
      <c r="I540" s="306"/>
      <c r="J540" s="5"/>
      <c r="K540" s="5"/>
      <c r="L540" s="5"/>
      <c r="M540" s="5"/>
      <c r="N540" s="5"/>
      <c r="O540" s="5"/>
      <c r="P540" s="57"/>
      <c r="Q540" s="5"/>
      <c r="R540" s="5"/>
      <c r="S540" s="5"/>
      <c r="T540" s="5"/>
      <c r="U540" s="5"/>
      <c r="V540" s="5"/>
      <c r="W540" s="5"/>
      <c r="X540" s="5"/>
      <c r="Y540" s="5"/>
      <c r="Z540" s="5"/>
      <c r="AA540" s="5"/>
    </row>
    <row r="541" spans="1:27" ht="12.75" customHeight="1">
      <c r="A541" s="5"/>
      <c r="B541" s="5"/>
      <c r="C541" s="5"/>
      <c r="D541" s="5"/>
      <c r="E541" s="5"/>
      <c r="F541" s="5"/>
      <c r="G541" s="5"/>
      <c r="H541" s="306"/>
      <c r="I541" s="306"/>
      <c r="J541" s="5"/>
      <c r="K541" s="5"/>
      <c r="L541" s="5"/>
      <c r="M541" s="5"/>
      <c r="N541" s="5"/>
      <c r="O541" s="5"/>
      <c r="P541" s="57"/>
      <c r="Q541" s="5"/>
      <c r="R541" s="5"/>
      <c r="S541" s="5"/>
      <c r="T541" s="5"/>
      <c r="U541" s="5"/>
      <c r="V541" s="5"/>
      <c r="W541" s="5"/>
      <c r="X541" s="5"/>
      <c r="Y541" s="5"/>
      <c r="Z541" s="5"/>
      <c r="AA541" s="5"/>
    </row>
    <row r="542" spans="1:27" ht="12.75" customHeight="1">
      <c r="A542" s="5"/>
      <c r="B542" s="5"/>
      <c r="C542" s="5"/>
      <c r="D542" s="5"/>
      <c r="E542" s="5"/>
      <c r="F542" s="5"/>
      <c r="G542" s="5"/>
      <c r="H542" s="306"/>
      <c r="I542" s="306"/>
      <c r="J542" s="5"/>
      <c r="K542" s="5"/>
      <c r="L542" s="5"/>
      <c r="M542" s="5"/>
      <c r="N542" s="5"/>
      <c r="O542" s="5"/>
      <c r="P542" s="57"/>
      <c r="Q542" s="5"/>
      <c r="R542" s="5"/>
      <c r="S542" s="5"/>
      <c r="T542" s="5"/>
      <c r="U542" s="5"/>
      <c r="V542" s="5"/>
      <c r="W542" s="5"/>
      <c r="X542" s="5"/>
      <c r="Y542" s="5"/>
      <c r="Z542" s="5"/>
      <c r="AA542" s="5"/>
    </row>
    <row r="543" spans="1:27" ht="12.75" customHeight="1">
      <c r="A543" s="5"/>
      <c r="B543" s="5"/>
      <c r="C543" s="5"/>
      <c r="D543" s="5"/>
      <c r="E543" s="5"/>
      <c r="F543" s="5"/>
      <c r="G543" s="5"/>
      <c r="H543" s="306"/>
      <c r="I543" s="306"/>
      <c r="J543" s="5"/>
      <c r="K543" s="5"/>
      <c r="L543" s="5"/>
      <c r="M543" s="5"/>
      <c r="N543" s="5"/>
      <c r="O543" s="5"/>
      <c r="P543" s="57"/>
      <c r="Q543" s="5"/>
      <c r="R543" s="5"/>
      <c r="S543" s="5"/>
      <c r="T543" s="5"/>
      <c r="U543" s="5"/>
      <c r="V543" s="5"/>
      <c r="W543" s="5"/>
      <c r="X543" s="5"/>
      <c r="Y543" s="5"/>
      <c r="Z543" s="5"/>
      <c r="AA543" s="5"/>
    </row>
    <row r="544" spans="1:27" ht="12.75" customHeight="1">
      <c r="A544" s="5"/>
      <c r="B544" s="5"/>
      <c r="C544" s="5"/>
      <c r="D544" s="5"/>
      <c r="E544" s="5"/>
      <c r="F544" s="5"/>
      <c r="G544" s="5"/>
      <c r="H544" s="306"/>
      <c r="I544" s="306"/>
      <c r="J544" s="5"/>
      <c r="K544" s="5"/>
      <c r="L544" s="5"/>
      <c r="M544" s="5"/>
      <c r="N544" s="5"/>
      <c r="O544" s="5"/>
      <c r="P544" s="57"/>
      <c r="Q544" s="5"/>
      <c r="R544" s="5"/>
      <c r="S544" s="5"/>
      <c r="T544" s="5"/>
      <c r="U544" s="5"/>
      <c r="V544" s="5"/>
      <c r="W544" s="5"/>
      <c r="X544" s="5"/>
      <c r="Y544" s="5"/>
      <c r="Z544" s="5"/>
      <c r="AA544" s="5"/>
    </row>
    <row r="545" spans="1:27" ht="12.75" customHeight="1">
      <c r="A545" s="5"/>
      <c r="B545" s="5"/>
      <c r="C545" s="5"/>
      <c r="D545" s="5"/>
      <c r="E545" s="5"/>
      <c r="F545" s="5"/>
      <c r="G545" s="5"/>
      <c r="H545" s="306"/>
      <c r="I545" s="306"/>
      <c r="J545" s="5"/>
      <c r="K545" s="5"/>
      <c r="L545" s="5"/>
      <c r="M545" s="5"/>
      <c r="N545" s="5"/>
      <c r="O545" s="5"/>
      <c r="P545" s="57"/>
      <c r="Q545" s="5"/>
      <c r="R545" s="5"/>
      <c r="S545" s="5"/>
      <c r="T545" s="5"/>
      <c r="U545" s="5"/>
      <c r="V545" s="5"/>
      <c r="W545" s="5"/>
      <c r="X545" s="5"/>
      <c r="Y545" s="5"/>
      <c r="Z545" s="5"/>
      <c r="AA545" s="5"/>
    </row>
    <row r="546" spans="1:27" ht="12.75" customHeight="1">
      <c r="A546" s="5"/>
      <c r="B546" s="5"/>
      <c r="C546" s="5"/>
      <c r="D546" s="5"/>
      <c r="E546" s="5"/>
      <c r="F546" s="5"/>
      <c r="G546" s="5"/>
      <c r="H546" s="306"/>
      <c r="I546" s="306"/>
      <c r="J546" s="5"/>
      <c r="K546" s="5"/>
      <c r="L546" s="5"/>
      <c r="M546" s="5"/>
      <c r="N546" s="5"/>
      <c r="O546" s="5"/>
      <c r="P546" s="57"/>
      <c r="Q546" s="5"/>
      <c r="R546" s="5"/>
      <c r="S546" s="5"/>
      <c r="T546" s="5"/>
      <c r="U546" s="5"/>
      <c r="V546" s="5"/>
      <c r="W546" s="5"/>
      <c r="X546" s="5"/>
      <c r="Y546" s="5"/>
      <c r="Z546" s="5"/>
      <c r="AA546" s="5"/>
    </row>
    <row r="547" spans="1:27" ht="12.75" customHeight="1">
      <c r="A547" s="5"/>
      <c r="B547" s="5"/>
      <c r="C547" s="5"/>
      <c r="D547" s="5"/>
      <c r="E547" s="5"/>
      <c r="F547" s="5"/>
      <c r="G547" s="5"/>
      <c r="H547" s="306"/>
      <c r="I547" s="306"/>
      <c r="J547" s="5"/>
      <c r="K547" s="5"/>
      <c r="L547" s="5"/>
      <c r="M547" s="5"/>
      <c r="N547" s="5"/>
      <c r="O547" s="5"/>
      <c r="P547" s="57"/>
      <c r="Q547" s="5"/>
      <c r="R547" s="5"/>
      <c r="S547" s="5"/>
      <c r="T547" s="5"/>
      <c r="U547" s="5"/>
      <c r="V547" s="5"/>
      <c r="W547" s="5"/>
      <c r="X547" s="5"/>
      <c r="Y547" s="5"/>
      <c r="Z547" s="5"/>
      <c r="AA547" s="5"/>
    </row>
    <row r="548" spans="1:27" ht="12.75" customHeight="1">
      <c r="A548" s="5"/>
      <c r="B548" s="5"/>
      <c r="C548" s="5"/>
      <c r="D548" s="5"/>
      <c r="E548" s="5"/>
      <c r="F548" s="5"/>
      <c r="G548" s="5"/>
      <c r="H548" s="306"/>
      <c r="I548" s="306"/>
      <c r="J548" s="5"/>
      <c r="K548" s="5"/>
      <c r="L548" s="5"/>
      <c r="M548" s="5"/>
      <c r="N548" s="5"/>
      <c r="O548" s="5"/>
      <c r="P548" s="57"/>
      <c r="Q548" s="5"/>
      <c r="R548" s="5"/>
      <c r="S548" s="5"/>
      <c r="T548" s="5"/>
      <c r="U548" s="5"/>
      <c r="V548" s="5"/>
      <c r="W548" s="5"/>
      <c r="X548" s="5"/>
      <c r="Y548" s="5"/>
      <c r="Z548" s="5"/>
      <c r="AA548" s="5"/>
    </row>
    <row r="549" spans="1:27" ht="12.75" customHeight="1">
      <c r="A549" s="5"/>
      <c r="B549" s="5"/>
      <c r="C549" s="5"/>
      <c r="D549" s="5"/>
      <c r="E549" s="5"/>
      <c r="F549" s="5"/>
      <c r="G549" s="5"/>
      <c r="H549" s="306"/>
      <c r="I549" s="306"/>
      <c r="J549" s="5"/>
      <c r="K549" s="5"/>
      <c r="L549" s="5"/>
      <c r="M549" s="5"/>
      <c r="N549" s="5"/>
      <c r="O549" s="5"/>
      <c r="P549" s="57"/>
      <c r="Q549" s="5"/>
      <c r="R549" s="5"/>
      <c r="S549" s="5"/>
      <c r="T549" s="5"/>
      <c r="U549" s="5"/>
      <c r="V549" s="5"/>
      <c r="W549" s="5"/>
      <c r="X549" s="5"/>
      <c r="Y549" s="5"/>
      <c r="Z549" s="5"/>
      <c r="AA549" s="5"/>
    </row>
    <row r="550" spans="1:27" ht="12.75" customHeight="1">
      <c r="A550" s="5"/>
      <c r="B550" s="5"/>
      <c r="C550" s="5"/>
      <c r="D550" s="5"/>
      <c r="E550" s="5"/>
      <c r="F550" s="5"/>
      <c r="G550" s="5"/>
      <c r="H550" s="306"/>
      <c r="I550" s="306"/>
      <c r="J550" s="5"/>
      <c r="K550" s="5"/>
      <c r="L550" s="5"/>
      <c r="M550" s="5"/>
      <c r="N550" s="5"/>
      <c r="O550" s="5"/>
      <c r="P550" s="57"/>
      <c r="Q550" s="5"/>
      <c r="R550" s="5"/>
      <c r="S550" s="5"/>
      <c r="T550" s="5"/>
      <c r="U550" s="5"/>
      <c r="V550" s="5"/>
      <c r="W550" s="5"/>
      <c r="X550" s="5"/>
      <c r="Y550" s="5"/>
      <c r="Z550" s="5"/>
      <c r="AA550" s="5"/>
    </row>
    <row r="551" spans="1:27" ht="12.75" customHeight="1">
      <c r="A551" s="5"/>
      <c r="B551" s="5"/>
      <c r="C551" s="5"/>
      <c r="D551" s="5"/>
      <c r="E551" s="5"/>
      <c r="F551" s="5"/>
      <c r="G551" s="5"/>
      <c r="H551" s="306"/>
      <c r="I551" s="306"/>
      <c r="J551" s="5"/>
      <c r="K551" s="5"/>
      <c r="L551" s="5"/>
      <c r="M551" s="5"/>
      <c r="N551" s="5"/>
      <c r="O551" s="5"/>
      <c r="P551" s="57"/>
      <c r="Q551" s="5"/>
      <c r="R551" s="5"/>
      <c r="S551" s="5"/>
      <c r="T551" s="5"/>
      <c r="U551" s="5"/>
      <c r="V551" s="5"/>
      <c r="W551" s="5"/>
      <c r="X551" s="5"/>
      <c r="Y551" s="5"/>
      <c r="Z551" s="5"/>
      <c r="AA551" s="5"/>
    </row>
    <row r="552" spans="1:27" ht="12.75" customHeight="1">
      <c r="A552" s="5"/>
      <c r="B552" s="5"/>
      <c r="C552" s="5"/>
      <c r="D552" s="5"/>
      <c r="E552" s="5"/>
      <c r="F552" s="5"/>
      <c r="G552" s="5"/>
      <c r="H552" s="306"/>
      <c r="I552" s="306"/>
      <c r="J552" s="5"/>
      <c r="K552" s="5"/>
      <c r="L552" s="5"/>
      <c r="M552" s="5"/>
      <c r="N552" s="5"/>
      <c r="O552" s="5"/>
      <c r="P552" s="57"/>
      <c r="Q552" s="5"/>
      <c r="R552" s="5"/>
      <c r="S552" s="5"/>
      <c r="T552" s="5"/>
      <c r="U552" s="5"/>
      <c r="V552" s="5"/>
      <c r="W552" s="5"/>
      <c r="X552" s="5"/>
      <c r="Y552" s="5"/>
      <c r="Z552" s="5"/>
      <c r="AA552" s="5"/>
    </row>
    <row r="553" spans="1:27" ht="12.75" customHeight="1">
      <c r="A553" s="5"/>
      <c r="B553" s="5"/>
      <c r="C553" s="5"/>
      <c r="D553" s="5"/>
      <c r="E553" s="5"/>
      <c r="F553" s="5"/>
      <c r="G553" s="5"/>
      <c r="H553" s="306"/>
      <c r="I553" s="306"/>
      <c r="J553" s="5"/>
      <c r="K553" s="5"/>
      <c r="L553" s="5"/>
      <c r="M553" s="5"/>
      <c r="N553" s="5"/>
      <c r="O553" s="5"/>
      <c r="P553" s="57"/>
      <c r="Q553" s="5"/>
      <c r="R553" s="5"/>
      <c r="S553" s="5"/>
      <c r="T553" s="5"/>
      <c r="U553" s="5"/>
      <c r="V553" s="5"/>
      <c r="W553" s="5"/>
      <c r="X553" s="5"/>
      <c r="Y553" s="5"/>
      <c r="Z553" s="5"/>
      <c r="AA553" s="5"/>
    </row>
    <row r="554" spans="1:27" ht="12.75" customHeight="1">
      <c r="A554" s="5"/>
      <c r="B554" s="5"/>
      <c r="C554" s="5"/>
      <c r="D554" s="5"/>
      <c r="E554" s="5"/>
      <c r="F554" s="5"/>
      <c r="G554" s="5"/>
      <c r="H554" s="306"/>
      <c r="I554" s="306"/>
      <c r="J554" s="5"/>
      <c r="K554" s="5"/>
      <c r="L554" s="5"/>
      <c r="M554" s="5"/>
      <c r="N554" s="5"/>
      <c r="O554" s="5"/>
      <c r="P554" s="57"/>
      <c r="Q554" s="5"/>
      <c r="R554" s="5"/>
      <c r="S554" s="5"/>
      <c r="T554" s="5"/>
      <c r="U554" s="5"/>
      <c r="V554" s="5"/>
      <c r="W554" s="5"/>
      <c r="X554" s="5"/>
      <c r="Y554" s="5"/>
      <c r="Z554" s="5"/>
      <c r="AA554" s="5"/>
    </row>
    <row r="555" spans="1:27" ht="12.75" customHeight="1">
      <c r="A555" s="5"/>
      <c r="B555" s="5"/>
      <c r="C555" s="5"/>
      <c r="D555" s="5"/>
      <c r="E555" s="5"/>
      <c r="F555" s="5"/>
      <c r="G555" s="5"/>
      <c r="H555" s="306"/>
      <c r="I555" s="306"/>
      <c r="J555" s="5"/>
      <c r="K555" s="5"/>
      <c r="L555" s="5"/>
      <c r="M555" s="5"/>
      <c r="N555" s="5"/>
      <c r="O555" s="5"/>
      <c r="P555" s="57"/>
      <c r="Q555" s="5"/>
      <c r="R555" s="5"/>
      <c r="S555" s="5"/>
      <c r="T555" s="5"/>
      <c r="U555" s="5"/>
      <c r="V555" s="5"/>
      <c r="W555" s="5"/>
      <c r="X555" s="5"/>
      <c r="Y555" s="5"/>
      <c r="Z555" s="5"/>
      <c r="AA555" s="5"/>
    </row>
    <row r="556" spans="1:27" ht="12.75" customHeight="1">
      <c r="A556" s="5"/>
      <c r="B556" s="5"/>
      <c r="C556" s="5"/>
      <c r="D556" s="5"/>
      <c r="E556" s="5"/>
      <c r="F556" s="5"/>
      <c r="G556" s="5"/>
      <c r="H556" s="306"/>
      <c r="I556" s="306"/>
      <c r="J556" s="5"/>
      <c r="K556" s="5"/>
      <c r="L556" s="5"/>
      <c r="M556" s="5"/>
      <c r="N556" s="5"/>
      <c r="O556" s="5"/>
      <c r="P556" s="57"/>
      <c r="Q556" s="5"/>
      <c r="R556" s="5"/>
      <c r="S556" s="5"/>
      <c r="T556" s="5"/>
      <c r="U556" s="5"/>
      <c r="V556" s="5"/>
      <c r="W556" s="5"/>
      <c r="X556" s="5"/>
      <c r="Y556" s="5"/>
      <c r="Z556" s="5"/>
      <c r="AA556" s="5"/>
    </row>
    <row r="557" spans="1:27" ht="12.75" customHeight="1">
      <c r="A557" s="5"/>
      <c r="B557" s="5"/>
      <c r="C557" s="5"/>
      <c r="D557" s="5"/>
      <c r="E557" s="5"/>
      <c r="F557" s="5"/>
      <c r="G557" s="5"/>
      <c r="H557" s="306"/>
      <c r="I557" s="306"/>
      <c r="J557" s="5"/>
      <c r="K557" s="5"/>
      <c r="L557" s="5"/>
      <c r="M557" s="5"/>
      <c r="N557" s="5"/>
      <c r="O557" s="5"/>
      <c r="P557" s="57"/>
      <c r="Q557" s="5"/>
      <c r="R557" s="5"/>
      <c r="S557" s="5"/>
      <c r="T557" s="5"/>
      <c r="U557" s="5"/>
      <c r="V557" s="5"/>
      <c r="W557" s="5"/>
      <c r="X557" s="5"/>
      <c r="Y557" s="5"/>
      <c r="Z557" s="5"/>
      <c r="AA557" s="5"/>
    </row>
    <row r="558" spans="1:27" ht="12.75" customHeight="1">
      <c r="A558" s="5"/>
      <c r="B558" s="5"/>
      <c r="C558" s="5"/>
      <c r="D558" s="5"/>
      <c r="E558" s="5"/>
      <c r="F558" s="5"/>
      <c r="G558" s="5"/>
      <c r="H558" s="306"/>
      <c r="I558" s="306"/>
      <c r="J558" s="5"/>
      <c r="K558" s="5"/>
      <c r="L558" s="5"/>
      <c r="M558" s="5"/>
      <c r="N558" s="5"/>
      <c r="O558" s="5"/>
      <c r="P558" s="57"/>
      <c r="Q558" s="5"/>
      <c r="R558" s="5"/>
      <c r="S558" s="5"/>
      <c r="T558" s="5"/>
      <c r="U558" s="5"/>
      <c r="V558" s="5"/>
      <c r="W558" s="5"/>
      <c r="X558" s="5"/>
      <c r="Y558" s="5"/>
      <c r="Z558" s="5"/>
      <c r="AA558" s="5"/>
    </row>
    <row r="559" spans="1:27" ht="12.75" customHeight="1">
      <c r="A559" s="5"/>
      <c r="B559" s="5"/>
      <c r="C559" s="5"/>
      <c r="D559" s="5"/>
      <c r="E559" s="5"/>
      <c r="F559" s="5"/>
      <c r="G559" s="5"/>
      <c r="H559" s="306"/>
      <c r="I559" s="306"/>
      <c r="J559" s="5"/>
      <c r="K559" s="5"/>
      <c r="L559" s="5"/>
      <c r="M559" s="5"/>
      <c r="N559" s="5"/>
      <c r="O559" s="5"/>
      <c r="P559" s="57"/>
      <c r="Q559" s="5"/>
      <c r="R559" s="5"/>
      <c r="S559" s="5"/>
      <c r="T559" s="5"/>
      <c r="U559" s="5"/>
      <c r="V559" s="5"/>
      <c r="W559" s="5"/>
      <c r="X559" s="5"/>
      <c r="Y559" s="5"/>
      <c r="Z559" s="5"/>
      <c r="AA559" s="5"/>
    </row>
    <row r="560" spans="1:27" ht="12.75" customHeight="1">
      <c r="A560" s="5"/>
      <c r="B560" s="5"/>
      <c r="C560" s="5"/>
      <c r="D560" s="5"/>
      <c r="E560" s="5"/>
      <c r="F560" s="5"/>
      <c r="G560" s="5"/>
      <c r="H560" s="306"/>
      <c r="I560" s="306"/>
      <c r="J560" s="5"/>
      <c r="K560" s="5"/>
      <c r="L560" s="5"/>
      <c r="M560" s="5"/>
      <c r="N560" s="5"/>
      <c r="O560" s="5"/>
      <c r="P560" s="57"/>
      <c r="Q560" s="5"/>
      <c r="R560" s="5"/>
      <c r="S560" s="5"/>
      <c r="T560" s="5"/>
      <c r="U560" s="5"/>
      <c r="V560" s="5"/>
      <c r="W560" s="5"/>
      <c r="X560" s="5"/>
      <c r="Y560" s="5"/>
      <c r="Z560" s="5"/>
      <c r="AA560" s="5"/>
    </row>
    <row r="561" spans="1:27" ht="12.75" customHeight="1">
      <c r="A561" s="5"/>
      <c r="B561" s="5"/>
      <c r="C561" s="5"/>
      <c r="D561" s="5"/>
      <c r="E561" s="5"/>
      <c r="F561" s="5"/>
      <c r="G561" s="5"/>
      <c r="H561" s="306"/>
      <c r="I561" s="306"/>
      <c r="J561" s="5"/>
      <c r="K561" s="5"/>
      <c r="L561" s="5"/>
      <c r="M561" s="5"/>
      <c r="N561" s="5"/>
      <c r="O561" s="5"/>
      <c r="P561" s="57"/>
      <c r="Q561" s="5"/>
      <c r="R561" s="5"/>
      <c r="S561" s="5"/>
      <c r="T561" s="5"/>
      <c r="U561" s="5"/>
      <c r="V561" s="5"/>
      <c r="W561" s="5"/>
      <c r="X561" s="5"/>
      <c r="Y561" s="5"/>
      <c r="Z561" s="5"/>
      <c r="AA561" s="5"/>
    </row>
    <row r="562" spans="1:27" ht="12.75" customHeight="1">
      <c r="A562" s="5"/>
      <c r="B562" s="5"/>
      <c r="C562" s="5"/>
      <c r="D562" s="5"/>
      <c r="E562" s="5"/>
      <c r="F562" s="5"/>
      <c r="G562" s="5"/>
      <c r="H562" s="306"/>
      <c r="I562" s="306"/>
      <c r="J562" s="5"/>
      <c r="K562" s="5"/>
      <c r="L562" s="5"/>
      <c r="M562" s="5"/>
      <c r="N562" s="5"/>
      <c r="O562" s="5"/>
      <c r="P562" s="57"/>
      <c r="Q562" s="5"/>
      <c r="R562" s="5"/>
      <c r="S562" s="5"/>
      <c r="T562" s="5"/>
      <c r="U562" s="5"/>
      <c r="V562" s="5"/>
      <c r="W562" s="5"/>
      <c r="X562" s="5"/>
      <c r="Y562" s="5"/>
      <c r="Z562" s="5"/>
      <c r="AA562" s="5"/>
    </row>
    <row r="563" spans="1:27" ht="12.75" customHeight="1">
      <c r="A563" s="5"/>
      <c r="B563" s="5"/>
      <c r="C563" s="5"/>
      <c r="D563" s="5"/>
      <c r="E563" s="5"/>
      <c r="F563" s="5"/>
      <c r="G563" s="5"/>
      <c r="H563" s="306"/>
      <c r="I563" s="306"/>
      <c r="J563" s="5"/>
      <c r="K563" s="5"/>
      <c r="L563" s="5"/>
      <c r="M563" s="5"/>
      <c r="N563" s="5"/>
      <c r="O563" s="5"/>
      <c r="P563" s="57"/>
      <c r="Q563" s="5"/>
      <c r="R563" s="5"/>
      <c r="S563" s="5"/>
      <c r="T563" s="5"/>
      <c r="U563" s="5"/>
      <c r="V563" s="5"/>
      <c r="W563" s="5"/>
      <c r="X563" s="5"/>
      <c r="Y563" s="5"/>
      <c r="Z563" s="5"/>
      <c r="AA563" s="5"/>
    </row>
    <row r="564" spans="1:27" ht="12.75" customHeight="1">
      <c r="A564" s="5"/>
      <c r="B564" s="5"/>
      <c r="C564" s="5"/>
      <c r="D564" s="5"/>
      <c r="E564" s="5"/>
      <c r="F564" s="5"/>
      <c r="G564" s="5"/>
      <c r="H564" s="306"/>
      <c r="I564" s="306"/>
      <c r="J564" s="5"/>
      <c r="K564" s="5"/>
      <c r="L564" s="5"/>
      <c r="M564" s="5"/>
      <c r="N564" s="5"/>
      <c r="O564" s="5"/>
      <c r="P564" s="57"/>
      <c r="Q564" s="5"/>
      <c r="R564" s="5"/>
      <c r="S564" s="5"/>
      <c r="T564" s="5"/>
      <c r="U564" s="5"/>
      <c r="V564" s="5"/>
      <c r="W564" s="5"/>
      <c r="X564" s="5"/>
      <c r="Y564" s="5"/>
      <c r="Z564" s="5"/>
      <c r="AA564" s="5"/>
    </row>
    <row r="565" spans="1:27" ht="12.75" customHeight="1">
      <c r="A565" s="5"/>
      <c r="B565" s="5"/>
      <c r="C565" s="5"/>
      <c r="D565" s="5"/>
      <c r="E565" s="5"/>
      <c r="F565" s="5"/>
      <c r="G565" s="5"/>
      <c r="H565" s="306"/>
      <c r="I565" s="306"/>
      <c r="J565" s="5"/>
      <c r="K565" s="5"/>
      <c r="L565" s="5"/>
      <c r="M565" s="5"/>
      <c r="N565" s="5"/>
      <c r="O565" s="5"/>
      <c r="P565" s="57"/>
      <c r="Q565" s="5"/>
      <c r="R565" s="5"/>
      <c r="S565" s="5"/>
      <c r="T565" s="5"/>
      <c r="U565" s="5"/>
      <c r="V565" s="5"/>
      <c r="W565" s="5"/>
      <c r="X565" s="5"/>
      <c r="Y565" s="5"/>
      <c r="Z565" s="5"/>
      <c r="AA565" s="5"/>
    </row>
    <row r="566" spans="1:27" ht="12.75" customHeight="1">
      <c r="A566" s="5"/>
      <c r="B566" s="5"/>
      <c r="C566" s="5"/>
      <c r="D566" s="5"/>
      <c r="E566" s="5"/>
      <c r="F566" s="5"/>
      <c r="G566" s="5"/>
      <c r="H566" s="306"/>
      <c r="I566" s="306"/>
      <c r="J566" s="5"/>
      <c r="K566" s="5"/>
      <c r="L566" s="5"/>
      <c r="M566" s="5"/>
      <c r="N566" s="5"/>
      <c r="O566" s="5"/>
      <c r="P566" s="57"/>
      <c r="Q566" s="5"/>
      <c r="R566" s="5"/>
      <c r="S566" s="5"/>
      <c r="T566" s="5"/>
      <c r="U566" s="5"/>
      <c r="V566" s="5"/>
      <c r="W566" s="5"/>
      <c r="X566" s="5"/>
      <c r="Y566" s="5"/>
      <c r="Z566" s="5"/>
      <c r="AA566" s="5"/>
    </row>
    <row r="567" spans="1:27" ht="12.75" customHeight="1">
      <c r="A567" s="5"/>
      <c r="B567" s="5"/>
      <c r="C567" s="5"/>
      <c r="D567" s="5"/>
      <c r="E567" s="5"/>
      <c r="F567" s="5"/>
      <c r="G567" s="5"/>
      <c r="H567" s="306"/>
      <c r="I567" s="306"/>
      <c r="J567" s="5"/>
      <c r="K567" s="5"/>
      <c r="L567" s="5"/>
      <c r="M567" s="5"/>
      <c r="N567" s="5"/>
      <c r="O567" s="5"/>
      <c r="P567" s="57"/>
      <c r="Q567" s="5"/>
      <c r="R567" s="5"/>
      <c r="S567" s="5"/>
      <c r="T567" s="5"/>
      <c r="U567" s="5"/>
      <c r="V567" s="5"/>
      <c r="W567" s="5"/>
      <c r="X567" s="5"/>
      <c r="Y567" s="5"/>
      <c r="Z567" s="5"/>
      <c r="AA567" s="5"/>
    </row>
    <row r="568" spans="1:27" ht="12.75" customHeight="1">
      <c r="A568" s="5"/>
      <c r="B568" s="5"/>
      <c r="C568" s="5"/>
      <c r="D568" s="5"/>
      <c r="E568" s="5"/>
      <c r="F568" s="5"/>
      <c r="G568" s="5"/>
      <c r="H568" s="306"/>
      <c r="I568" s="306"/>
      <c r="J568" s="5"/>
      <c r="K568" s="5"/>
      <c r="L568" s="5"/>
      <c r="M568" s="5"/>
      <c r="N568" s="5"/>
      <c r="O568" s="5"/>
      <c r="P568" s="57"/>
      <c r="Q568" s="5"/>
      <c r="R568" s="5"/>
      <c r="S568" s="5"/>
      <c r="T568" s="5"/>
      <c r="U568" s="5"/>
      <c r="V568" s="5"/>
      <c r="W568" s="5"/>
      <c r="X568" s="5"/>
      <c r="Y568" s="5"/>
      <c r="Z568" s="5"/>
      <c r="AA568" s="5"/>
    </row>
    <row r="569" spans="1:27" ht="12.75" customHeight="1">
      <c r="A569" s="5"/>
      <c r="B569" s="5"/>
      <c r="C569" s="5"/>
      <c r="D569" s="5"/>
      <c r="E569" s="5"/>
      <c r="F569" s="5"/>
      <c r="G569" s="5"/>
      <c r="H569" s="306"/>
      <c r="I569" s="306"/>
      <c r="J569" s="5"/>
      <c r="K569" s="5"/>
      <c r="L569" s="5"/>
      <c r="M569" s="5"/>
      <c r="N569" s="5"/>
      <c r="O569" s="5"/>
      <c r="P569" s="57"/>
      <c r="Q569" s="5"/>
      <c r="R569" s="5"/>
      <c r="S569" s="5"/>
      <c r="T569" s="5"/>
      <c r="U569" s="5"/>
      <c r="V569" s="5"/>
      <c r="W569" s="5"/>
      <c r="X569" s="5"/>
      <c r="Y569" s="5"/>
      <c r="Z569" s="5"/>
      <c r="AA569" s="5"/>
    </row>
    <row r="570" spans="1:27" ht="12.75" customHeight="1">
      <c r="A570" s="5"/>
      <c r="B570" s="5"/>
      <c r="C570" s="5"/>
      <c r="D570" s="5"/>
      <c r="E570" s="5"/>
      <c r="F570" s="5"/>
      <c r="G570" s="5"/>
      <c r="H570" s="306"/>
      <c r="I570" s="306"/>
      <c r="J570" s="5"/>
      <c r="K570" s="5"/>
      <c r="L570" s="5"/>
      <c r="M570" s="5"/>
      <c r="N570" s="5"/>
      <c r="O570" s="5"/>
      <c r="P570" s="57"/>
      <c r="Q570" s="5"/>
      <c r="R570" s="5"/>
      <c r="S570" s="5"/>
      <c r="T570" s="5"/>
      <c r="U570" s="5"/>
      <c r="V570" s="5"/>
      <c r="W570" s="5"/>
      <c r="X570" s="5"/>
      <c r="Y570" s="5"/>
      <c r="Z570" s="5"/>
      <c r="AA570" s="5"/>
    </row>
    <row r="571" spans="1:27" ht="12.75" customHeight="1">
      <c r="A571" s="5"/>
      <c r="B571" s="5"/>
      <c r="C571" s="5"/>
      <c r="D571" s="5"/>
      <c r="E571" s="5"/>
      <c r="F571" s="5"/>
      <c r="G571" s="5"/>
      <c r="H571" s="306"/>
      <c r="I571" s="306"/>
      <c r="J571" s="5"/>
      <c r="K571" s="5"/>
      <c r="L571" s="5"/>
      <c r="M571" s="5"/>
      <c r="N571" s="5"/>
      <c r="O571" s="5"/>
      <c r="P571" s="57"/>
      <c r="Q571" s="5"/>
      <c r="R571" s="5"/>
      <c r="S571" s="5"/>
      <c r="T571" s="5"/>
      <c r="U571" s="5"/>
      <c r="V571" s="5"/>
      <c r="W571" s="5"/>
      <c r="X571" s="5"/>
      <c r="Y571" s="5"/>
      <c r="Z571" s="5"/>
      <c r="AA571" s="5"/>
    </row>
    <row r="572" spans="1:27" ht="12.75" customHeight="1">
      <c r="A572" s="5"/>
      <c r="B572" s="5"/>
      <c r="C572" s="5"/>
      <c r="D572" s="5"/>
      <c r="E572" s="5"/>
      <c r="F572" s="5"/>
      <c r="G572" s="5"/>
      <c r="H572" s="306"/>
      <c r="I572" s="306"/>
      <c r="J572" s="5"/>
      <c r="K572" s="5"/>
      <c r="L572" s="5"/>
      <c r="M572" s="5"/>
      <c r="N572" s="5"/>
      <c r="O572" s="5"/>
      <c r="P572" s="57"/>
      <c r="Q572" s="5"/>
      <c r="R572" s="5"/>
      <c r="S572" s="5"/>
      <c r="T572" s="5"/>
      <c r="U572" s="5"/>
      <c r="V572" s="5"/>
      <c r="W572" s="5"/>
      <c r="X572" s="5"/>
      <c r="Y572" s="5"/>
      <c r="Z572" s="5"/>
      <c r="AA572" s="5"/>
    </row>
    <row r="573" spans="1:27" ht="12.75" customHeight="1">
      <c r="A573" s="5"/>
      <c r="B573" s="5"/>
      <c r="C573" s="5"/>
      <c r="D573" s="5"/>
      <c r="E573" s="5"/>
      <c r="F573" s="5"/>
      <c r="G573" s="5"/>
      <c r="H573" s="306"/>
      <c r="I573" s="306"/>
      <c r="J573" s="5"/>
      <c r="K573" s="5"/>
      <c r="L573" s="5"/>
      <c r="M573" s="5"/>
      <c r="N573" s="5"/>
      <c r="O573" s="5"/>
      <c r="P573" s="57"/>
      <c r="Q573" s="5"/>
      <c r="R573" s="5"/>
      <c r="S573" s="5"/>
      <c r="T573" s="5"/>
      <c r="U573" s="5"/>
      <c r="V573" s="5"/>
      <c r="W573" s="5"/>
      <c r="X573" s="5"/>
      <c r="Y573" s="5"/>
      <c r="Z573" s="5"/>
      <c r="AA573" s="5"/>
    </row>
    <row r="574" spans="1:27" ht="12.75" customHeight="1">
      <c r="A574" s="5"/>
      <c r="B574" s="5"/>
      <c r="C574" s="5"/>
      <c r="D574" s="5"/>
      <c r="E574" s="5"/>
      <c r="F574" s="5"/>
      <c r="G574" s="5"/>
      <c r="H574" s="306"/>
      <c r="I574" s="306"/>
      <c r="J574" s="5"/>
      <c r="K574" s="5"/>
      <c r="L574" s="5"/>
      <c r="M574" s="5"/>
      <c r="N574" s="5"/>
      <c r="O574" s="5"/>
      <c r="P574" s="57"/>
      <c r="Q574" s="5"/>
      <c r="R574" s="5"/>
      <c r="S574" s="5"/>
      <c r="T574" s="5"/>
      <c r="U574" s="5"/>
      <c r="V574" s="5"/>
      <c r="W574" s="5"/>
      <c r="X574" s="5"/>
      <c r="Y574" s="5"/>
      <c r="Z574" s="5"/>
      <c r="AA574" s="5"/>
    </row>
    <row r="575" spans="1:27" ht="12.75" customHeight="1">
      <c r="A575" s="5"/>
      <c r="B575" s="5"/>
      <c r="C575" s="5"/>
      <c r="D575" s="5"/>
      <c r="E575" s="5"/>
      <c r="F575" s="5"/>
      <c r="G575" s="5"/>
      <c r="H575" s="306"/>
      <c r="I575" s="306"/>
      <c r="J575" s="5"/>
      <c r="K575" s="5"/>
      <c r="L575" s="5"/>
      <c r="M575" s="5"/>
      <c r="N575" s="5"/>
      <c r="O575" s="5"/>
      <c r="P575" s="57"/>
      <c r="Q575" s="5"/>
      <c r="R575" s="5"/>
      <c r="S575" s="5"/>
      <c r="T575" s="5"/>
      <c r="U575" s="5"/>
      <c r="V575" s="5"/>
      <c r="W575" s="5"/>
      <c r="X575" s="5"/>
      <c r="Y575" s="5"/>
      <c r="Z575" s="5"/>
      <c r="AA575" s="5"/>
    </row>
    <row r="576" spans="1:27" ht="12.75" customHeight="1">
      <c r="A576" s="5"/>
      <c r="B576" s="5"/>
      <c r="C576" s="5"/>
      <c r="D576" s="5"/>
      <c r="E576" s="5"/>
      <c r="F576" s="5"/>
      <c r="G576" s="5"/>
      <c r="H576" s="306"/>
      <c r="I576" s="306"/>
      <c r="J576" s="5"/>
      <c r="K576" s="5"/>
      <c r="L576" s="5"/>
      <c r="M576" s="5"/>
      <c r="N576" s="5"/>
      <c r="O576" s="5"/>
      <c r="P576" s="57"/>
      <c r="Q576" s="5"/>
      <c r="R576" s="5"/>
      <c r="S576" s="5"/>
      <c r="T576" s="5"/>
      <c r="U576" s="5"/>
      <c r="V576" s="5"/>
      <c r="W576" s="5"/>
      <c r="X576" s="5"/>
      <c r="Y576" s="5"/>
      <c r="Z576" s="5"/>
      <c r="AA576" s="5"/>
    </row>
    <row r="577" spans="1:27" ht="12.75" customHeight="1">
      <c r="A577" s="5"/>
      <c r="B577" s="5"/>
      <c r="C577" s="5"/>
      <c r="D577" s="5"/>
      <c r="E577" s="5"/>
      <c r="F577" s="5"/>
      <c r="G577" s="5"/>
      <c r="H577" s="306"/>
      <c r="I577" s="306"/>
      <c r="J577" s="5"/>
      <c r="K577" s="5"/>
      <c r="L577" s="5"/>
      <c r="M577" s="5"/>
      <c r="N577" s="5"/>
      <c r="O577" s="5"/>
      <c r="P577" s="57"/>
      <c r="Q577" s="5"/>
      <c r="R577" s="5"/>
      <c r="S577" s="5"/>
      <c r="T577" s="5"/>
      <c r="U577" s="5"/>
      <c r="V577" s="5"/>
      <c r="W577" s="5"/>
      <c r="X577" s="5"/>
      <c r="Y577" s="5"/>
      <c r="Z577" s="5"/>
      <c r="AA577" s="5"/>
    </row>
    <row r="578" spans="1:27" ht="12.75" customHeight="1">
      <c r="A578" s="5"/>
      <c r="B578" s="5"/>
      <c r="C578" s="5"/>
      <c r="D578" s="5"/>
      <c r="E578" s="5"/>
      <c r="F578" s="5"/>
      <c r="G578" s="5"/>
      <c r="H578" s="306"/>
      <c r="I578" s="306"/>
      <c r="J578" s="5"/>
      <c r="K578" s="5"/>
      <c r="L578" s="5"/>
      <c r="M578" s="5"/>
      <c r="N578" s="5"/>
      <c r="O578" s="5"/>
      <c r="P578" s="57"/>
      <c r="Q578" s="5"/>
      <c r="R578" s="5"/>
      <c r="S578" s="5"/>
      <c r="T578" s="5"/>
      <c r="U578" s="5"/>
      <c r="V578" s="5"/>
      <c r="W578" s="5"/>
      <c r="X578" s="5"/>
      <c r="Y578" s="5"/>
      <c r="Z578" s="5"/>
      <c r="AA578" s="5"/>
    </row>
    <row r="579" spans="1:27" ht="12.75" customHeight="1">
      <c r="A579" s="5"/>
      <c r="B579" s="5"/>
      <c r="C579" s="5"/>
      <c r="D579" s="5"/>
      <c r="E579" s="5"/>
      <c r="F579" s="5"/>
      <c r="G579" s="5"/>
      <c r="H579" s="306"/>
      <c r="I579" s="306"/>
      <c r="J579" s="5"/>
      <c r="K579" s="5"/>
      <c r="L579" s="5"/>
      <c r="M579" s="5"/>
      <c r="N579" s="5"/>
      <c r="O579" s="5"/>
      <c r="P579" s="57"/>
      <c r="Q579" s="5"/>
      <c r="R579" s="5"/>
      <c r="S579" s="5"/>
      <c r="T579" s="5"/>
      <c r="U579" s="5"/>
      <c r="V579" s="5"/>
      <c r="W579" s="5"/>
      <c r="X579" s="5"/>
      <c r="Y579" s="5"/>
      <c r="Z579" s="5"/>
      <c r="AA579" s="5"/>
    </row>
    <row r="580" spans="1:27" ht="12.75" customHeight="1">
      <c r="A580" s="5"/>
      <c r="B580" s="5"/>
      <c r="C580" s="5"/>
      <c r="D580" s="5"/>
      <c r="E580" s="5"/>
      <c r="F580" s="5"/>
      <c r="G580" s="5"/>
      <c r="H580" s="306"/>
      <c r="I580" s="306"/>
      <c r="J580" s="5"/>
      <c r="K580" s="5"/>
      <c r="L580" s="5"/>
      <c r="M580" s="5"/>
      <c r="N580" s="5"/>
      <c r="O580" s="5"/>
      <c r="P580" s="57"/>
      <c r="Q580" s="5"/>
      <c r="R580" s="5"/>
      <c r="S580" s="5"/>
      <c r="T580" s="5"/>
      <c r="U580" s="5"/>
      <c r="V580" s="5"/>
      <c r="W580" s="5"/>
      <c r="X580" s="5"/>
      <c r="Y580" s="5"/>
      <c r="Z580" s="5"/>
      <c r="AA580" s="5"/>
    </row>
    <row r="581" spans="1:27" ht="12.75" customHeight="1">
      <c r="A581" s="5"/>
      <c r="B581" s="5"/>
      <c r="C581" s="5"/>
      <c r="D581" s="5"/>
      <c r="E581" s="5"/>
      <c r="F581" s="5"/>
      <c r="G581" s="5"/>
      <c r="H581" s="306"/>
      <c r="I581" s="306"/>
      <c r="J581" s="5"/>
      <c r="K581" s="5"/>
      <c r="L581" s="5"/>
      <c r="M581" s="5"/>
      <c r="N581" s="5"/>
      <c r="O581" s="5"/>
      <c r="P581" s="57"/>
      <c r="Q581" s="5"/>
      <c r="R581" s="5"/>
      <c r="S581" s="5"/>
      <c r="T581" s="5"/>
      <c r="U581" s="5"/>
      <c r="V581" s="5"/>
      <c r="W581" s="5"/>
      <c r="X581" s="5"/>
      <c r="Y581" s="5"/>
      <c r="Z581" s="5"/>
      <c r="AA581" s="5"/>
    </row>
    <row r="582" spans="1:27" ht="12.75" customHeight="1">
      <c r="A582" s="5"/>
      <c r="B582" s="5"/>
      <c r="C582" s="5"/>
      <c r="D582" s="5"/>
      <c r="E582" s="5"/>
      <c r="F582" s="5"/>
      <c r="G582" s="5"/>
      <c r="H582" s="306"/>
      <c r="I582" s="306"/>
      <c r="J582" s="5"/>
      <c r="K582" s="5"/>
      <c r="L582" s="5"/>
      <c r="M582" s="5"/>
      <c r="N582" s="5"/>
      <c r="O582" s="5"/>
      <c r="P582" s="57"/>
      <c r="Q582" s="5"/>
      <c r="R582" s="5"/>
      <c r="S582" s="5"/>
      <c r="T582" s="5"/>
      <c r="U582" s="5"/>
      <c r="V582" s="5"/>
      <c r="W582" s="5"/>
      <c r="X582" s="5"/>
      <c r="Y582" s="5"/>
      <c r="Z582" s="5"/>
      <c r="AA582" s="5"/>
    </row>
    <row r="583" spans="1:27" ht="12.75" customHeight="1">
      <c r="A583" s="5"/>
      <c r="B583" s="5"/>
      <c r="C583" s="5"/>
      <c r="D583" s="5"/>
      <c r="E583" s="5"/>
      <c r="F583" s="5"/>
      <c r="G583" s="5"/>
      <c r="H583" s="306"/>
      <c r="I583" s="306"/>
      <c r="J583" s="5"/>
      <c r="K583" s="5"/>
      <c r="L583" s="5"/>
      <c r="M583" s="5"/>
      <c r="N583" s="5"/>
      <c r="O583" s="5"/>
      <c r="P583" s="57"/>
      <c r="Q583" s="5"/>
      <c r="R583" s="5"/>
      <c r="S583" s="5"/>
      <c r="T583" s="5"/>
      <c r="U583" s="5"/>
      <c r="V583" s="5"/>
      <c r="W583" s="5"/>
      <c r="X583" s="5"/>
      <c r="Y583" s="5"/>
      <c r="Z583" s="5"/>
      <c r="AA583" s="5"/>
    </row>
    <row r="584" spans="1:27" ht="12.75" customHeight="1">
      <c r="A584" s="5"/>
      <c r="B584" s="5"/>
      <c r="C584" s="5"/>
      <c r="D584" s="5"/>
      <c r="E584" s="5"/>
      <c r="F584" s="5"/>
      <c r="G584" s="5"/>
      <c r="H584" s="306"/>
      <c r="I584" s="306"/>
      <c r="J584" s="5"/>
      <c r="K584" s="5"/>
      <c r="L584" s="5"/>
      <c r="M584" s="5"/>
      <c r="N584" s="5"/>
      <c r="O584" s="5"/>
      <c r="P584" s="57"/>
      <c r="Q584" s="5"/>
      <c r="R584" s="5"/>
      <c r="S584" s="5"/>
      <c r="T584" s="5"/>
      <c r="U584" s="5"/>
      <c r="V584" s="5"/>
      <c r="W584" s="5"/>
      <c r="X584" s="5"/>
      <c r="Y584" s="5"/>
      <c r="Z584" s="5"/>
      <c r="AA584" s="5"/>
    </row>
    <row r="585" spans="1:27" ht="12.75" customHeight="1">
      <c r="A585" s="5"/>
      <c r="B585" s="5"/>
      <c r="C585" s="5"/>
      <c r="D585" s="5"/>
      <c r="E585" s="5"/>
      <c r="F585" s="5"/>
      <c r="G585" s="5"/>
      <c r="H585" s="306"/>
      <c r="I585" s="306"/>
      <c r="J585" s="5"/>
      <c r="K585" s="5"/>
      <c r="L585" s="5"/>
      <c r="M585" s="5"/>
      <c r="N585" s="5"/>
      <c r="O585" s="5"/>
      <c r="P585" s="57"/>
      <c r="Q585" s="5"/>
      <c r="R585" s="5"/>
      <c r="S585" s="5"/>
      <c r="T585" s="5"/>
      <c r="U585" s="5"/>
      <c r="V585" s="5"/>
      <c r="W585" s="5"/>
      <c r="X585" s="5"/>
      <c r="Y585" s="5"/>
      <c r="Z585" s="5"/>
      <c r="AA585" s="5"/>
    </row>
    <row r="586" spans="1:27" ht="12.75" customHeight="1">
      <c r="A586" s="5"/>
      <c r="B586" s="5"/>
      <c r="C586" s="5"/>
      <c r="D586" s="5"/>
      <c r="E586" s="5"/>
      <c r="F586" s="5"/>
      <c r="G586" s="5"/>
      <c r="H586" s="306"/>
      <c r="I586" s="306"/>
      <c r="J586" s="5"/>
      <c r="K586" s="5"/>
      <c r="L586" s="5"/>
      <c r="M586" s="5"/>
      <c r="N586" s="5"/>
      <c r="O586" s="5"/>
      <c r="P586" s="57"/>
      <c r="Q586" s="5"/>
      <c r="R586" s="5"/>
      <c r="S586" s="5"/>
      <c r="T586" s="5"/>
      <c r="U586" s="5"/>
      <c r="V586" s="5"/>
      <c r="W586" s="5"/>
      <c r="X586" s="5"/>
      <c r="Y586" s="5"/>
      <c r="Z586" s="5"/>
      <c r="AA586" s="5"/>
    </row>
    <row r="587" spans="1:27" ht="12.75" customHeight="1">
      <c r="A587" s="5"/>
      <c r="B587" s="5"/>
      <c r="C587" s="5"/>
      <c r="D587" s="5"/>
      <c r="E587" s="5"/>
      <c r="F587" s="5"/>
      <c r="G587" s="5"/>
      <c r="H587" s="306"/>
      <c r="I587" s="306"/>
      <c r="J587" s="5"/>
      <c r="K587" s="5"/>
      <c r="L587" s="5"/>
      <c r="M587" s="5"/>
      <c r="N587" s="5"/>
      <c r="O587" s="5"/>
      <c r="P587" s="57"/>
      <c r="Q587" s="5"/>
      <c r="R587" s="5"/>
      <c r="S587" s="5"/>
      <c r="T587" s="5"/>
      <c r="U587" s="5"/>
      <c r="V587" s="5"/>
      <c r="W587" s="5"/>
      <c r="X587" s="5"/>
      <c r="Y587" s="5"/>
      <c r="Z587" s="5"/>
      <c r="AA587" s="5"/>
    </row>
    <row r="588" spans="1:27" ht="12.75" customHeight="1">
      <c r="A588" s="5"/>
      <c r="B588" s="5"/>
      <c r="C588" s="5"/>
      <c r="D588" s="5"/>
      <c r="E588" s="5"/>
      <c r="F588" s="5"/>
      <c r="G588" s="5"/>
      <c r="H588" s="306"/>
      <c r="I588" s="306"/>
      <c r="J588" s="5"/>
      <c r="K588" s="5"/>
      <c r="L588" s="5"/>
      <c r="M588" s="5"/>
      <c r="N588" s="5"/>
      <c r="O588" s="5"/>
      <c r="P588" s="57"/>
      <c r="Q588" s="5"/>
      <c r="R588" s="5"/>
      <c r="S588" s="5"/>
      <c r="T588" s="5"/>
      <c r="U588" s="5"/>
      <c r="V588" s="5"/>
      <c r="W588" s="5"/>
      <c r="X588" s="5"/>
      <c r="Y588" s="5"/>
      <c r="Z588" s="5"/>
      <c r="AA588" s="5"/>
    </row>
    <row r="589" spans="1:27" ht="12.75" customHeight="1">
      <c r="A589" s="5"/>
      <c r="B589" s="5"/>
      <c r="C589" s="5"/>
      <c r="D589" s="5"/>
      <c r="E589" s="5"/>
      <c r="F589" s="5"/>
      <c r="G589" s="5"/>
      <c r="H589" s="306"/>
      <c r="I589" s="306"/>
      <c r="J589" s="5"/>
      <c r="K589" s="5"/>
      <c r="L589" s="5"/>
      <c r="M589" s="5"/>
      <c r="N589" s="5"/>
      <c r="O589" s="5"/>
      <c r="P589" s="57"/>
      <c r="Q589" s="5"/>
      <c r="R589" s="5"/>
      <c r="S589" s="5"/>
      <c r="T589" s="5"/>
      <c r="U589" s="5"/>
      <c r="V589" s="5"/>
      <c r="W589" s="5"/>
      <c r="X589" s="5"/>
      <c r="Y589" s="5"/>
      <c r="Z589" s="5"/>
      <c r="AA589" s="5"/>
    </row>
    <row r="590" spans="1:27" ht="12.75" customHeight="1">
      <c r="A590" s="5"/>
      <c r="B590" s="5"/>
      <c r="C590" s="5"/>
      <c r="D590" s="5"/>
      <c r="E590" s="5"/>
      <c r="F590" s="5"/>
      <c r="G590" s="5"/>
      <c r="H590" s="306"/>
      <c r="I590" s="306"/>
      <c r="J590" s="5"/>
      <c r="K590" s="5"/>
      <c r="L590" s="5"/>
      <c r="M590" s="5"/>
      <c r="N590" s="5"/>
      <c r="O590" s="5"/>
      <c r="P590" s="57"/>
      <c r="Q590" s="5"/>
      <c r="R590" s="5"/>
      <c r="S590" s="5"/>
      <c r="T590" s="5"/>
      <c r="U590" s="5"/>
      <c r="V590" s="5"/>
      <c r="W590" s="5"/>
      <c r="X590" s="5"/>
      <c r="Y590" s="5"/>
      <c r="Z590" s="5"/>
      <c r="AA590" s="5"/>
    </row>
    <row r="591" spans="1:27" ht="12.75" customHeight="1">
      <c r="A591" s="5"/>
      <c r="B591" s="5"/>
      <c r="C591" s="5"/>
      <c r="D591" s="5"/>
      <c r="E591" s="5"/>
      <c r="F591" s="5"/>
      <c r="G591" s="5"/>
      <c r="H591" s="306"/>
      <c r="I591" s="306"/>
      <c r="J591" s="5"/>
      <c r="K591" s="5"/>
      <c r="L591" s="5"/>
      <c r="M591" s="5"/>
      <c r="N591" s="5"/>
      <c r="O591" s="5"/>
      <c r="P591" s="57"/>
      <c r="Q591" s="5"/>
      <c r="R591" s="5"/>
      <c r="S591" s="5"/>
      <c r="T591" s="5"/>
      <c r="U591" s="5"/>
      <c r="V591" s="5"/>
      <c r="W591" s="5"/>
      <c r="X591" s="5"/>
      <c r="Y591" s="5"/>
      <c r="Z591" s="5"/>
      <c r="AA591" s="5"/>
    </row>
    <row r="592" spans="1:27" ht="12.75" customHeight="1">
      <c r="A592" s="5"/>
      <c r="B592" s="5"/>
      <c r="C592" s="5"/>
      <c r="D592" s="5"/>
      <c r="E592" s="5"/>
      <c r="F592" s="5"/>
      <c r="G592" s="5"/>
      <c r="H592" s="306"/>
      <c r="I592" s="306"/>
      <c r="J592" s="5"/>
      <c r="K592" s="5"/>
      <c r="L592" s="5"/>
      <c r="M592" s="5"/>
      <c r="N592" s="5"/>
      <c r="O592" s="5"/>
      <c r="P592" s="57"/>
      <c r="Q592" s="5"/>
      <c r="R592" s="5"/>
      <c r="S592" s="5"/>
      <c r="T592" s="5"/>
      <c r="U592" s="5"/>
      <c r="V592" s="5"/>
      <c r="W592" s="5"/>
      <c r="X592" s="5"/>
      <c r="Y592" s="5"/>
      <c r="Z592" s="5"/>
      <c r="AA592" s="5"/>
    </row>
    <row r="593" spans="1:27" ht="12.75" customHeight="1">
      <c r="A593" s="5"/>
      <c r="B593" s="5"/>
      <c r="C593" s="5"/>
      <c r="D593" s="5"/>
      <c r="E593" s="5"/>
      <c r="F593" s="5"/>
      <c r="G593" s="5"/>
      <c r="H593" s="306"/>
      <c r="I593" s="306"/>
      <c r="J593" s="5"/>
      <c r="K593" s="5"/>
      <c r="L593" s="5"/>
      <c r="M593" s="5"/>
      <c r="N593" s="5"/>
      <c r="O593" s="5"/>
      <c r="P593" s="57"/>
      <c r="Q593" s="5"/>
      <c r="R593" s="5"/>
      <c r="S593" s="5"/>
      <c r="T593" s="5"/>
      <c r="U593" s="5"/>
      <c r="V593" s="5"/>
      <c r="W593" s="5"/>
      <c r="X593" s="5"/>
      <c r="Y593" s="5"/>
      <c r="Z593" s="5"/>
      <c r="AA593" s="5"/>
    </row>
    <row r="594" spans="1:27" ht="12.75" customHeight="1">
      <c r="A594" s="5"/>
      <c r="B594" s="5"/>
      <c r="C594" s="5"/>
      <c r="D594" s="5"/>
      <c r="E594" s="5"/>
      <c r="F594" s="5"/>
      <c r="G594" s="5"/>
      <c r="H594" s="306"/>
      <c r="I594" s="306"/>
      <c r="J594" s="5"/>
      <c r="K594" s="5"/>
      <c r="L594" s="5"/>
      <c r="M594" s="5"/>
      <c r="N594" s="5"/>
      <c r="O594" s="5"/>
      <c r="P594" s="57"/>
      <c r="Q594" s="5"/>
      <c r="R594" s="5"/>
      <c r="S594" s="5"/>
      <c r="T594" s="5"/>
      <c r="U594" s="5"/>
      <c r="V594" s="5"/>
      <c r="W594" s="5"/>
      <c r="X594" s="5"/>
      <c r="Y594" s="5"/>
      <c r="Z594" s="5"/>
      <c r="AA594" s="5"/>
    </row>
    <row r="595" spans="1:27" ht="12.75" customHeight="1">
      <c r="A595" s="5"/>
      <c r="B595" s="5"/>
      <c r="C595" s="5"/>
      <c r="D595" s="5"/>
      <c r="E595" s="5"/>
      <c r="F595" s="5"/>
      <c r="G595" s="5"/>
      <c r="H595" s="306"/>
      <c r="I595" s="306"/>
      <c r="J595" s="5"/>
      <c r="K595" s="5"/>
      <c r="L595" s="5"/>
      <c r="M595" s="5"/>
      <c r="N595" s="5"/>
      <c r="O595" s="5"/>
      <c r="P595" s="57"/>
      <c r="Q595" s="5"/>
      <c r="R595" s="5"/>
      <c r="S595" s="5"/>
      <c r="T595" s="5"/>
      <c r="U595" s="5"/>
      <c r="V595" s="5"/>
      <c r="W595" s="5"/>
      <c r="X595" s="5"/>
      <c r="Y595" s="5"/>
      <c r="Z595" s="5"/>
      <c r="AA595" s="5"/>
    </row>
    <row r="596" spans="1:27" ht="12.75" customHeight="1">
      <c r="A596" s="5"/>
      <c r="B596" s="5"/>
      <c r="C596" s="5"/>
      <c r="D596" s="5"/>
      <c r="E596" s="5"/>
      <c r="F596" s="5"/>
      <c r="G596" s="5"/>
      <c r="H596" s="306"/>
      <c r="I596" s="306"/>
      <c r="J596" s="5"/>
      <c r="K596" s="5"/>
      <c r="L596" s="5"/>
      <c r="M596" s="5"/>
      <c r="N596" s="5"/>
      <c r="O596" s="5"/>
      <c r="P596" s="57"/>
      <c r="Q596" s="5"/>
      <c r="R596" s="5"/>
      <c r="S596" s="5"/>
      <c r="T596" s="5"/>
      <c r="U596" s="5"/>
      <c r="V596" s="5"/>
      <c r="W596" s="5"/>
      <c r="X596" s="5"/>
      <c r="Y596" s="5"/>
      <c r="Z596" s="5"/>
      <c r="AA596" s="5"/>
    </row>
    <row r="597" spans="1:27" ht="12.75" customHeight="1">
      <c r="A597" s="5"/>
      <c r="B597" s="5"/>
      <c r="C597" s="5"/>
      <c r="D597" s="5"/>
      <c r="E597" s="5"/>
      <c r="F597" s="5"/>
      <c r="G597" s="5"/>
      <c r="H597" s="306"/>
      <c r="I597" s="306"/>
      <c r="J597" s="5"/>
      <c r="K597" s="5"/>
      <c r="L597" s="5"/>
      <c r="M597" s="5"/>
      <c r="N597" s="5"/>
      <c r="O597" s="5"/>
      <c r="P597" s="57"/>
      <c r="Q597" s="5"/>
      <c r="R597" s="5"/>
      <c r="S597" s="5"/>
      <c r="T597" s="5"/>
      <c r="U597" s="5"/>
      <c r="V597" s="5"/>
      <c r="W597" s="5"/>
      <c r="X597" s="5"/>
      <c r="Y597" s="5"/>
      <c r="Z597" s="5"/>
      <c r="AA597" s="5"/>
    </row>
    <row r="598" spans="1:27" ht="12.75" customHeight="1">
      <c r="A598" s="5"/>
      <c r="B598" s="5"/>
      <c r="C598" s="5"/>
      <c r="D598" s="5"/>
      <c r="E598" s="5"/>
      <c r="F598" s="5"/>
      <c r="G598" s="5"/>
      <c r="H598" s="306"/>
      <c r="I598" s="306"/>
      <c r="J598" s="5"/>
      <c r="K598" s="5"/>
      <c r="L598" s="5"/>
      <c r="M598" s="5"/>
      <c r="N598" s="5"/>
      <c r="O598" s="5"/>
      <c r="P598" s="57"/>
      <c r="Q598" s="5"/>
      <c r="R598" s="5"/>
      <c r="S598" s="5"/>
      <c r="T598" s="5"/>
      <c r="U598" s="5"/>
      <c r="V598" s="5"/>
      <c r="W598" s="5"/>
      <c r="X598" s="5"/>
      <c r="Y598" s="5"/>
      <c r="Z598" s="5"/>
      <c r="AA598" s="5"/>
    </row>
    <row r="599" spans="1:27" ht="12.75" customHeight="1">
      <c r="A599" s="5"/>
      <c r="B599" s="5"/>
      <c r="C599" s="5"/>
      <c r="D599" s="5"/>
      <c r="E599" s="5"/>
      <c r="F599" s="5"/>
      <c r="G599" s="5"/>
      <c r="H599" s="306"/>
      <c r="I599" s="306"/>
      <c r="J599" s="5"/>
      <c r="K599" s="5"/>
      <c r="L599" s="5"/>
      <c r="M599" s="5"/>
      <c r="N599" s="5"/>
      <c r="O599" s="5"/>
      <c r="P599" s="57"/>
      <c r="Q599" s="5"/>
      <c r="R599" s="5"/>
      <c r="S599" s="5"/>
      <c r="T599" s="5"/>
      <c r="U599" s="5"/>
      <c r="V599" s="5"/>
      <c r="W599" s="5"/>
      <c r="X599" s="5"/>
      <c r="Y599" s="5"/>
      <c r="Z599" s="5"/>
      <c r="AA599" s="5"/>
    </row>
    <row r="600" spans="1:27" ht="12.75" customHeight="1">
      <c r="A600" s="5"/>
      <c r="B600" s="5"/>
      <c r="C600" s="5"/>
      <c r="D600" s="5"/>
      <c r="E600" s="5"/>
      <c r="F600" s="5"/>
      <c r="G600" s="5"/>
      <c r="H600" s="306"/>
      <c r="I600" s="306"/>
      <c r="J600" s="5"/>
      <c r="K600" s="5"/>
      <c r="L600" s="5"/>
      <c r="M600" s="5"/>
      <c r="N600" s="5"/>
      <c r="O600" s="5"/>
      <c r="P600" s="57"/>
      <c r="Q600" s="5"/>
      <c r="R600" s="5"/>
      <c r="S600" s="5"/>
      <c r="T600" s="5"/>
      <c r="U600" s="5"/>
      <c r="V600" s="5"/>
      <c r="W600" s="5"/>
      <c r="X600" s="5"/>
      <c r="Y600" s="5"/>
      <c r="Z600" s="5"/>
      <c r="AA600" s="5"/>
    </row>
    <row r="601" spans="1:27" ht="12.75" customHeight="1">
      <c r="A601" s="5"/>
      <c r="B601" s="5"/>
      <c r="C601" s="5"/>
      <c r="D601" s="5"/>
      <c r="E601" s="5"/>
      <c r="F601" s="5"/>
      <c r="G601" s="5"/>
      <c r="H601" s="306"/>
      <c r="I601" s="306"/>
      <c r="J601" s="5"/>
      <c r="K601" s="5"/>
      <c r="L601" s="5"/>
      <c r="M601" s="5"/>
      <c r="N601" s="5"/>
      <c r="O601" s="5"/>
      <c r="P601" s="57"/>
      <c r="Q601" s="5"/>
      <c r="R601" s="5"/>
      <c r="S601" s="5"/>
      <c r="T601" s="5"/>
      <c r="U601" s="5"/>
      <c r="V601" s="5"/>
      <c r="W601" s="5"/>
      <c r="X601" s="5"/>
      <c r="Y601" s="5"/>
      <c r="Z601" s="5"/>
      <c r="AA601" s="5"/>
    </row>
    <row r="602" spans="1:27" ht="12.75" customHeight="1">
      <c r="A602" s="5"/>
      <c r="B602" s="5"/>
      <c r="C602" s="5"/>
      <c r="D602" s="5"/>
      <c r="E602" s="5"/>
      <c r="F602" s="5"/>
      <c r="G602" s="5"/>
      <c r="H602" s="306"/>
      <c r="I602" s="306"/>
      <c r="J602" s="5"/>
      <c r="K602" s="5"/>
      <c r="L602" s="5"/>
      <c r="M602" s="5"/>
      <c r="N602" s="5"/>
      <c r="O602" s="5"/>
      <c r="P602" s="57"/>
      <c r="Q602" s="5"/>
      <c r="R602" s="5"/>
      <c r="S602" s="5"/>
      <c r="T602" s="5"/>
      <c r="U602" s="5"/>
      <c r="V602" s="5"/>
      <c r="W602" s="5"/>
      <c r="X602" s="5"/>
      <c r="Y602" s="5"/>
      <c r="Z602" s="5"/>
      <c r="AA602" s="5"/>
    </row>
    <row r="603" spans="1:27" ht="12.75" customHeight="1">
      <c r="A603" s="5"/>
      <c r="B603" s="5"/>
      <c r="C603" s="5"/>
      <c r="D603" s="5"/>
      <c r="E603" s="5"/>
      <c r="F603" s="5"/>
      <c r="G603" s="5"/>
      <c r="H603" s="306"/>
      <c r="I603" s="306"/>
      <c r="J603" s="5"/>
      <c r="K603" s="5"/>
      <c r="L603" s="5"/>
      <c r="M603" s="5"/>
      <c r="N603" s="5"/>
      <c r="O603" s="5"/>
      <c r="P603" s="57"/>
      <c r="Q603" s="5"/>
      <c r="R603" s="5"/>
      <c r="S603" s="5"/>
      <c r="T603" s="5"/>
      <c r="U603" s="5"/>
      <c r="V603" s="5"/>
      <c r="W603" s="5"/>
      <c r="X603" s="5"/>
      <c r="Y603" s="5"/>
      <c r="Z603" s="5"/>
      <c r="AA603" s="5"/>
    </row>
    <row r="604" spans="1:27" ht="12.75" customHeight="1">
      <c r="A604" s="5"/>
      <c r="B604" s="5"/>
      <c r="C604" s="5"/>
      <c r="D604" s="5"/>
      <c r="E604" s="5"/>
      <c r="F604" s="5"/>
      <c r="G604" s="5"/>
      <c r="H604" s="306"/>
      <c r="I604" s="306"/>
      <c r="J604" s="5"/>
      <c r="K604" s="5"/>
      <c r="L604" s="5"/>
      <c r="M604" s="5"/>
      <c r="N604" s="5"/>
      <c r="O604" s="5"/>
      <c r="P604" s="57"/>
      <c r="Q604" s="5"/>
      <c r="R604" s="5"/>
      <c r="S604" s="5"/>
      <c r="T604" s="5"/>
      <c r="U604" s="5"/>
      <c r="V604" s="5"/>
      <c r="W604" s="5"/>
      <c r="X604" s="5"/>
      <c r="Y604" s="5"/>
      <c r="Z604" s="5"/>
      <c r="AA604" s="5"/>
    </row>
    <row r="605" spans="1:27" ht="12.75" customHeight="1">
      <c r="A605" s="5"/>
      <c r="B605" s="5"/>
      <c r="C605" s="5"/>
      <c r="D605" s="5"/>
      <c r="E605" s="5"/>
      <c r="F605" s="5"/>
      <c r="G605" s="5"/>
      <c r="H605" s="306"/>
      <c r="I605" s="306"/>
      <c r="J605" s="5"/>
      <c r="K605" s="5"/>
      <c r="L605" s="5"/>
      <c r="M605" s="5"/>
      <c r="N605" s="5"/>
      <c r="O605" s="5"/>
      <c r="P605" s="57"/>
      <c r="Q605" s="5"/>
      <c r="R605" s="5"/>
      <c r="S605" s="5"/>
      <c r="T605" s="5"/>
      <c r="U605" s="5"/>
      <c r="V605" s="5"/>
      <c r="W605" s="5"/>
      <c r="X605" s="5"/>
      <c r="Y605" s="5"/>
      <c r="Z605" s="5"/>
      <c r="AA605" s="5"/>
    </row>
    <row r="606" spans="1:27" ht="12.75" customHeight="1">
      <c r="A606" s="5"/>
      <c r="B606" s="5"/>
      <c r="C606" s="5"/>
      <c r="D606" s="5"/>
      <c r="E606" s="5"/>
      <c r="F606" s="5"/>
      <c r="G606" s="5"/>
      <c r="H606" s="306"/>
      <c r="I606" s="306"/>
      <c r="J606" s="5"/>
      <c r="K606" s="5"/>
      <c r="L606" s="5"/>
      <c r="M606" s="5"/>
      <c r="N606" s="5"/>
      <c r="O606" s="5"/>
      <c r="P606" s="57"/>
      <c r="Q606" s="5"/>
      <c r="R606" s="5"/>
      <c r="S606" s="5"/>
      <c r="T606" s="5"/>
      <c r="U606" s="5"/>
      <c r="V606" s="5"/>
      <c r="W606" s="5"/>
      <c r="X606" s="5"/>
      <c r="Y606" s="5"/>
      <c r="Z606" s="5"/>
      <c r="AA606" s="5"/>
    </row>
    <row r="607" spans="1:27" ht="12.75" customHeight="1">
      <c r="A607" s="5"/>
      <c r="B607" s="5"/>
      <c r="C607" s="5"/>
      <c r="D607" s="5"/>
      <c r="E607" s="5"/>
      <c r="F607" s="5"/>
      <c r="G607" s="5"/>
      <c r="H607" s="306"/>
      <c r="I607" s="306"/>
      <c r="J607" s="5"/>
      <c r="K607" s="5"/>
      <c r="L607" s="5"/>
      <c r="M607" s="5"/>
      <c r="N607" s="5"/>
      <c r="O607" s="5"/>
      <c r="P607" s="57"/>
      <c r="Q607" s="5"/>
      <c r="R607" s="5"/>
      <c r="S607" s="5"/>
      <c r="T607" s="5"/>
      <c r="U607" s="5"/>
      <c r="V607" s="5"/>
      <c r="W607" s="5"/>
      <c r="X607" s="5"/>
      <c r="Y607" s="5"/>
      <c r="Z607" s="5"/>
      <c r="AA607" s="5"/>
    </row>
    <row r="608" spans="1:27" ht="12.75" customHeight="1">
      <c r="A608" s="5"/>
      <c r="B608" s="5"/>
      <c r="C608" s="5"/>
      <c r="D608" s="5"/>
      <c r="E608" s="5"/>
      <c r="F608" s="5"/>
      <c r="G608" s="5"/>
      <c r="H608" s="306"/>
      <c r="I608" s="306"/>
      <c r="J608" s="5"/>
      <c r="K608" s="5"/>
      <c r="L608" s="5"/>
      <c r="M608" s="5"/>
      <c r="N608" s="5"/>
      <c r="O608" s="5"/>
      <c r="P608" s="57"/>
      <c r="Q608" s="5"/>
      <c r="R608" s="5"/>
      <c r="S608" s="5"/>
      <c r="T608" s="5"/>
      <c r="U608" s="5"/>
      <c r="V608" s="5"/>
      <c r="W608" s="5"/>
      <c r="X608" s="5"/>
      <c r="Y608" s="5"/>
      <c r="Z608" s="5"/>
      <c r="AA608" s="5"/>
    </row>
    <row r="609" spans="1:27" ht="12.75" customHeight="1">
      <c r="A609" s="5"/>
      <c r="B609" s="5"/>
      <c r="C609" s="5"/>
      <c r="D609" s="5"/>
      <c r="E609" s="5"/>
      <c r="F609" s="5"/>
      <c r="G609" s="5"/>
      <c r="H609" s="306"/>
      <c r="I609" s="306"/>
      <c r="J609" s="5"/>
      <c r="K609" s="5"/>
      <c r="L609" s="5"/>
      <c r="M609" s="5"/>
      <c r="N609" s="5"/>
      <c r="O609" s="5"/>
      <c r="P609" s="57"/>
      <c r="Q609" s="5"/>
      <c r="R609" s="5"/>
      <c r="S609" s="5"/>
      <c r="T609" s="5"/>
      <c r="U609" s="5"/>
      <c r="V609" s="5"/>
      <c r="W609" s="5"/>
      <c r="X609" s="5"/>
      <c r="Y609" s="5"/>
      <c r="Z609" s="5"/>
      <c r="AA609" s="5"/>
    </row>
    <row r="610" spans="1:27" ht="12.75" customHeight="1">
      <c r="A610" s="5"/>
      <c r="B610" s="5"/>
      <c r="C610" s="5"/>
      <c r="D610" s="5"/>
      <c r="E610" s="5"/>
      <c r="F610" s="5"/>
      <c r="G610" s="5"/>
      <c r="H610" s="306"/>
      <c r="I610" s="306"/>
      <c r="J610" s="5"/>
      <c r="K610" s="5"/>
      <c r="L610" s="5"/>
      <c r="M610" s="5"/>
      <c r="N610" s="5"/>
      <c r="O610" s="5"/>
      <c r="P610" s="57"/>
      <c r="Q610" s="5"/>
      <c r="R610" s="5"/>
      <c r="S610" s="5"/>
      <c r="T610" s="5"/>
      <c r="U610" s="5"/>
      <c r="V610" s="5"/>
      <c r="W610" s="5"/>
      <c r="X610" s="5"/>
      <c r="Y610" s="5"/>
      <c r="Z610" s="5"/>
      <c r="AA610" s="5"/>
    </row>
    <row r="611" spans="1:27" ht="12.75" customHeight="1">
      <c r="A611" s="5"/>
      <c r="B611" s="5"/>
      <c r="C611" s="5"/>
      <c r="D611" s="5"/>
      <c r="E611" s="5"/>
      <c r="F611" s="5"/>
      <c r="G611" s="5"/>
      <c r="H611" s="306"/>
      <c r="I611" s="306"/>
      <c r="J611" s="5"/>
      <c r="K611" s="5"/>
      <c r="L611" s="5"/>
      <c r="M611" s="5"/>
      <c r="N611" s="5"/>
      <c r="O611" s="5"/>
      <c r="P611" s="57"/>
      <c r="Q611" s="5"/>
      <c r="R611" s="5"/>
      <c r="S611" s="5"/>
      <c r="T611" s="5"/>
      <c r="U611" s="5"/>
      <c r="V611" s="5"/>
      <c r="W611" s="5"/>
      <c r="X611" s="5"/>
      <c r="Y611" s="5"/>
      <c r="Z611" s="5"/>
      <c r="AA611" s="5"/>
    </row>
    <row r="612" spans="1:27" ht="12.75" customHeight="1">
      <c r="A612" s="5"/>
      <c r="B612" s="5"/>
      <c r="C612" s="5"/>
      <c r="D612" s="5"/>
      <c r="E612" s="5"/>
      <c r="F612" s="5"/>
      <c r="G612" s="5"/>
      <c r="H612" s="306"/>
      <c r="I612" s="306"/>
      <c r="J612" s="5"/>
      <c r="K612" s="5"/>
      <c r="L612" s="5"/>
      <c r="M612" s="5"/>
      <c r="N612" s="5"/>
      <c r="O612" s="5"/>
      <c r="P612" s="57"/>
      <c r="Q612" s="5"/>
      <c r="R612" s="5"/>
      <c r="S612" s="5"/>
      <c r="T612" s="5"/>
      <c r="U612" s="5"/>
      <c r="V612" s="5"/>
      <c r="W612" s="5"/>
      <c r="X612" s="5"/>
      <c r="Y612" s="5"/>
      <c r="Z612" s="5"/>
      <c r="AA612" s="5"/>
    </row>
    <row r="613" spans="1:27" ht="12.75" customHeight="1">
      <c r="A613" s="5"/>
      <c r="B613" s="5"/>
      <c r="C613" s="5"/>
      <c r="D613" s="5"/>
      <c r="E613" s="5"/>
      <c r="F613" s="5"/>
      <c r="G613" s="5"/>
      <c r="H613" s="306"/>
      <c r="I613" s="306"/>
      <c r="J613" s="5"/>
      <c r="K613" s="5"/>
      <c r="L613" s="5"/>
      <c r="M613" s="5"/>
      <c r="N613" s="5"/>
      <c r="O613" s="5"/>
      <c r="P613" s="57"/>
      <c r="Q613" s="5"/>
      <c r="R613" s="5"/>
      <c r="S613" s="5"/>
      <c r="T613" s="5"/>
      <c r="U613" s="5"/>
      <c r="V613" s="5"/>
      <c r="W613" s="5"/>
      <c r="X613" s="5"/>
      <c r="Y613" s="5"/>
      <c r="Z613" s="5"/>
      <c r="AA613" s="5"/>
    </row>
    <row r="614" spans="1:27" ht="12.75" customHeight="1">
      <c r="A614" s="5"/>
      <c r="B614" s="5"/>
      <c r="C614" s="5"/>
      <c r="D614" s="5"/>
      <c r="E614" s="5"/>
      <c r="F614" s="5"/>
      <c r="G614" s="5"/>
      <c r="H614" s="306"/>
      <c r="I614" s="306"/>
      <c r="J614" s="5"/>
      <c r="K614" s="5"/>
      <c r="L614" s="5"/>
      <c r="M614" s="5"/>
      <c r="N614" s="5"/>
      <c r="O614" s="5"/>
      <c r="P614" s="57"/>
      <c r="Q614" s="5"/>
      <c r="R614" s="5"/>
      <c r="S614" s="5"/>
      <c r="T614" s="5"/>
      <c r="U614" s="5"/>
      <c r="V614" s="5"/>
      <c r="W614" s="5"/>
      <c r="X614" s="5"/>
      <c r="Y614" s="5"/>
      <c r="Z614" s="5"/>
      <c r="AA614" s="5"/>
    </row>
    <row r="615" spans="1:27" ht="12.75" customHeight="1">
      <c r="A615" s="5"/>
      <c r="B615" s="5"/>
      <c r="C615" s="5"/>
      <c r="D615" s="5"/>
      <c r="E615" s="5"/>
      <c r="F615" s="5"/>
      <c r="G615" s="5"/>
      <c r="H615" s="306"/>
      <c r="I615" s="306"/>
      <c r="J615" s="5"/>
      <c r="K615" s="5"/>
      <c r="L615" s="5"/>
      <c r="M615" s="5"/>
      <c r="N615" s="5"/>
      <c r="O615" s="5"/>
      <c r="P615" s="57"/>
      <c r="Q615" s="5"/>
      <c r="R615" s="5"/>
      <c r="S615" s="5"/>
      <c r="T615" s="5"/>
      <c r="U615" s="5"/>
      <c r="V615" s="5"/>
      <c r="W615" s="5"/>
      <c r="X615" s="5"/>
      <c r="Y615" s="5"/>
      <c r="Z615" s="5"/>
      <c r="AA615" s="5"/>
    </row>
    <row r="616" spans="1:27" ht="12.75" customHeight="1">
      <c r="A616" s="5"/>
      <c r="B616" s="5"/>
      <c r="C616" s="5"/>
      <c r="D616" s="5"/>
      <c r="E616" s="5"/>
      <c r="F616" s="5"/>
      <c r="G616" s="5"/>
      <c r="H616" s="306"/>
      <c r="I616" s="306"/>
      <c r="J616" s="5"/>
      <c r="K616" s="5"/>
      <c r="L616" s="5"/>
      <c r="M616" s="5"/>
      <c r="N616" s="5"/>
      <c r="O616" s="5"/>
      <c r="P616" s="57"/>
      <c r="Q616" s="5"/>
      <c r="R616" s="5"/>
      <c r="S616" s="5"/>
      <c r="T616" s="5"/>
      <c r="U616" s="5"/>
      <c r="V616" s="5"/>
      <c r="W616" s="5"/>
      <c r="X616" s="5"/>
      <c r="Y616" s="5"/>
      <c r="Z616" s="5"/>
      <c r="AA616" s="5"/>
    </row>
    <row r="617" spans="1:27" ht="12.75" customHeight="1">
      <c r="A617" s="5"/>
      <c r="B617" s="5"/>
      <c r="C617" s="5"/>
      <c r="D617" s="5"/>
      <c r="E617" s="5"/>
      <c r="F617" s="5"/>
      <c r="G617" s="5"/>
      <c r="H617" s="306"/>
      <c r="I617" s="306"/>
      <c r="J617" s="5"/>
      <c r="K617" s="5"/>
      <c r="L617" s="5"/>
      <c r="M617" s="5"/>
      <c r="N617" s="5"/>
      <c r="O617" s="5"/>
      <c r="P617" s="57"/>
      <c r="Q617" s="5"/>
      <c r="R617" s="5"/>
      <c r="S617" s="5"/>
      <c r="T617" s="5"/>
      <c r="U617" s="5"/>
      <c r="V617" s="5"/>
      <c r="W617" s="5"/>
      <c r="X617" s="5"/>
      <c r="Y617" s="5"/>
      <c r="Z617" s="5"/>
      <c r="AA617" s="5"/>
    </row>
    <row r="618" spans="1:27" ht="12.75" customHeight="1">
      <c r="A618" s="5"/>
      <c r="B618" s="5"/>
      <c r="C618" s="5"/>
      <c r="D618" s="5"/>
      <c r="E618" s="5"/>
      <c r="F618" s="5"/>
      <c r="G618" s="5"/>
      <c r="H618" s="306"/>
      <c r="I618" s="306"/>
      <c r="J618" s="5"/>
      <c r="K618" s="5"/>
      <c r="L618" s="5"/>
      <c r="M618" s="5"/>
      <c r="N618" s="5"/>
      <c r="O618" s="5"/>
      <c r="P618" s="57"/>
      <c r="Q618" s="5"/>
      <c r="R618" s="5"/>
      <c r="S618" s="5"/>
      <c r="T618" s="5"/>
      <c r="U618" s="5"/>
      <c r="V618" s="5"/>
      <c r="W618" s="5"/>
      <c r="X618" s="5"/>
      <c r="Y618" s="5"/>
      <c r="Z618" s="5"/>
      <c r="AA618" s="5"/>
    </row>
    <row r="619" spans="1:27" ht="12.75" customHeight="1">
      <c r="A619" s="5"/>
      <c r="B619" s="5"/>
      <c r="C619" s="5"/>
      <c r="D619" s="5"/>
      <c r="E619" s="5"/>
      <c r="F619" s="5"/>
      <c r="G619" s="5"/>
      <c r="H619" s="306"/>
      <c r="I619" s="306"/>
      <c r="J619" s="5"/>
      <c r="K619" s="5"/>
      <c r="L619" s="5"/>
      <c r="M619" s="5"/>
      <c r="N619" s="5"/>
      <c r="O619" s="5"/>
      <c r="P619" s="57"/>
      <c r="Q619" s="5"/>
      <c r="R619" s="5"/>
      <c r="S619" s="5"/>
      <c r="T619" s="5"/>
      <c r="U619" s="5"/>
      <c r="V619" s="5"/>
      <c r="W619" s="5"/>
      <c r="X619" s="5"/>
      <c r="Y619" s="5"/>
      <c r="Z619" s="5"/>
      <c r="AA619" s="5"/>
    </row>
    <row r="620" spans="1:27" ht="12.75" customHeight="1">
      <c r="A620" s="5"/>
      <c r="B620" s="5"/>
      <c r="C620" s="5"/>
      <c r="D620" s="5"/>
      <c r="E620" s="5"/>
      <c r="F620" s="5"/>
      <c r="G620" s="5"/>
      <c r="H620" s="306"/>
      <c r="I620" s="306"/>
      <c r="J620" s="5"/>
      <c r="K620" s="5"/>
      <c r="L620" s="5"/>
      <c r="M620" s="5"/>
      <c r="N620" s="5"/>
      <c r="O620" s="5"/>
      <c r="P620" s="57"/>
      <c r="Q620" s="5"/>
      <c r="R620" s="5"/>
      <c r="S620" s="5"/>
      <c r="T620" s="5"/>
      <c r="U620" s="5"/>
      <c r="V620" s="5"/>
      <c r="W620" s="5"/>
      <c r="X620" s="5"/>
      <c r="Y620" s="5"/>
      <c r="Z620" s="5"/>
      <c r="AA620" s="5"/>
    </row>
    <row r="621" spans="1:27" ht="12.75" customHeight="1">
      <c r="A621" s="5"/>
      <c r="B621" s="5"/>
      <c r="C621" s="5"/>
      <c r="D621" s="5"/>
      <c r="E621" s="5"/>
      <c r="F621" s="5"/>
      <c r="G621" s="5"/>
      <c r="H621" s="306"/>
      <c r="I621" s="306"/>
      <c r="J621" s="5"/>
      <c r="K621" s="5"/>
      <c r="L621" s="5"/>
      <c r="M621" s="5"/>
      <c r="N621" s="5"/>
      <c r="O621" s="5"/>
      <c r="P621" s="57"/>
      <c r="Q621" s="5"/>
      <c r="R621" s="5"/>
      <c r="S621" s="5"/>
      <c r="T621" s="5"/>
      <c r="U621" s="5"/>
      <c r="V621" s="5"/>
      <c r="W621" s="5"/>
      <c r="X621" s="5"/>
      <c r="Y621" s="5"/>
      <c r="Z621" s="5"/>
      <c r="AA621" s="5"/>
    </row>
    <row r="622" spans="1:27" ht="12.75" customHeight="1">
      <c r="A622" s="5"/>
      <c r="B622" s="5"/>
      <c r="C622" s="5"/>
      <c r="D622" s="5"/>
      <c r="E622" s="5"/>
      <c r="F622" s="5"/>
      <c r="G622" s="5"/>
      <c r="H622" s="306"/>
      <c r="I622" s="306"/>
      <c r="J622" s="5"/>
      <c r="K622" s="5"/>
      <c r="L622" s="5"/>
      <c r="M622" s="5"/>
      <c r="N622" s="5"/>
      <c r="O622" s="5"/>
      <c r="P622" s="57"/>
      <c r="Q622" s="5"/>
      <c r="R622" s="5"/>
      <c r="S622" s="5"/>
      <c r="T622" s="5"/>
      <c r="U622" s="5"/>
      <c r="V622" s="5"/>
      <c r="W622" s="5"/>
      <c r="X622" s="5"/>
      <c r="Y622" s="5"/>
      <c r="Z622" s="5"/>
      <c r="AA622" s="5"/>
    </row>
    <row r="623" spans="1:27" ht="12.75" customHeight="1">
      <c r="A623" s="5"/>
      <c r="B623" s="5"/>
      <c r="C623" s="5"/>
      <c r="D623" s="5"/>
      <c r="E623" s="5"/>
      <c r="F623" s="5"/>
      <c r="G623" s="5"/>
      <c r="H623" s="306"/>
      <c r="I623" s="306"/>
      <c r="J623" s="5"/>
      <c r="K623" s="5"/>
      <c r="L623" s="5"/>
      <c r="M623" s="5"/>
      <c r="N623" s="5"/>
      <c r="O623" s="5"/>
      <c r="P623" s="57"/>
      <c r="Q623" s="5"/>
      <c r="R623" s="5"/>
      <c r="S623" s="5"/>
      <c r="T623" s="5"/>
      <c r="U623" s="5"/>
      <c r="V623" s="5"/>
      <c r="W623" s="5"/>
      <c r="X623" s="5"/>
      <c r="Y623" s="5"/>
      <c r="Z623" s="5"/>
      <c r="AA623" s="5"/>
    </row>
    <row r="624" spans="1:27" ht="12.75" customHeight="1">
      <c r="A624" s="5"/>
      <c r="B624" s="5"/>
      <c r="C624" s="5"/>
      <c r="D624" s="5"/>
      <c r="E624" s="5"/>
      <c r="F624" s="5"/>
      <c r="G624" s="5"/>
      <c r="H624" s="306"/>
      <c r="I624" s="306"/>
      <c r="J624" s="5"/>
      <c r="K624" s="5"/>
      <c r="L624" s="5"/>
      <c r="M624" s="5"/>
      <c r="N624" s="5"/>
      <c r="O624" s="5"/>
      <c r="P624" s="57"/>
      <c r="Q624" s="5"/>
      <c r="R624" s="5"/>
      <c r="S624" s="5"/>
      <c r="T624" s="5"/>
      <c r="U624" s="5"/>
      <c r="V624" s="5"/>
      <c r="W624" s="5"/>
      <c r="X624" s="5"/>
      <c r="Y624" s="5"/>
      <c r="Z624" s="5"/>
      <c r="AA624" s="5"/>
    </row>
    <row r="625" spans="1:27" ht="12.75" customHeight="1">
      <c r="A625" s="5"/>
      <c r="B625" s="5"/>
      <c r="C625" s="5"/>
      <c r="D625" s="5"/>
      <c r="E625" s="5"/>
      <c r="F625" s="5"/>
      <c r="G625" s="5"/>
      <c r="H625" s="306"/>
      <c r="I625" s="306"/>
      <c r="J625" s="5"/>
      <c r="K625" s="5"/>
      <c r="L625" s="5"/>
      <c r="M625" s="5"/>
      <c r="N625" s="5"/>
      <c r="O625" s="5"/>
      <c r="P625" s="57"/>
      <c r="Q625" s="5"/>
      <c r="R625" s="5"/>
      <c r="S625" s="5"/>
      <c r="T625" s="5"/>
      <c r="U625" s="5"/>
      <c r="V625" s="5"/>
      <c r="W625" s="5"/>
      <c r="X625" s="5"/>
      <c r="Y625" s="5"/>
      <c r="Z625" s="5"/>
      <c r="AA625" s="5"/>
    </row>
    <row r="626" spans="1:27" ht="12.75" customHeight="1">
      <c r="A626" s="5"/>
      <c r="B626" s="5"/>
      <c r="C626" s="5"/>
      <c r="D626" s="5"/>
      <c r="E626" s="5"/>
      <c r="F626" s="5"/>
      <c r="G626" s="5"/>
      <c r="H626" s="306"/>
      <c r="I626" s="306"/>
      <c r="J626" s="5"/>
      <c r="K626" s="5"/>
      <c r="L626" s="5"/>
      <c r="M626" s="5"/>
      <c r="N626" s="5"/>
      <c r="O626" s="5"/>
      <c r="P626" s="57"/>
      <c r="Q626" s="5"/>
      <c r="R626" s="5"/>
      <c r="S626" s="5"/>
      <c r="T626" s="5"/>
      <c r="U626" s="5"/>
      <c r="V626" s="5"/>
      <c r="W626" s="5"/>
      <c r="X626" s="5"/>
      <c r="Y626" s="5"/>
      <c r="Z626" s="5"/>
      <c r="AA626" s="5"/>
    </row>
    <row r="627" spans="1:27" ht="12.75" customHeight="1">
      <c r="A627" s="5"/>
      <c r="B627" s="5"/>
      <c r="C627" s="5"/>
      <c r="D627" s="5"/>
      <c r="E627" s="5"/>
      <c r="F627" s="5"/>
      <c r="G627" s="5"/>
      <c r="H627" s="306"/>
      <c r="I627" s="306"/>
      <c r="J627" s="5"/>
      <c r="K627" s="5"/>
      <c r="L627" s="5"/>
      <c r="M627" s="5"/>
      <c r="N627" s="5"/>
      <c r="O627" s="5"/>
      <c r="P627" s="57"/>
      <c r="Q627" s="5"/>
      <c r="R627" s="5"/>
      <c r="S627" s="5"/>
      <c r="T627" s="5"/>
      <c r="U627" s="5"/>
      <c r="V627" s="5"/>
      <c r="W627" s="5"/>
      <c r="X627" s="5"/>
      <c r="Y627" s="5"/>
      <c r="Z627" s="5"/>
      <c r="AA627" s="5"/>
    </row>
    <row r="628" spans="1:27" ht="12.75" customHeight="1">
      <c r="A628" s="5"/>
      <c r="B628" s="5"/>
      <c r="C628" s="5"/>
      <c r="D628" s="5"/>
      <c r="E628" s="5"/>
      <c r="F628" s="5"/>
      <c r="G628" s="5"/>
      <c r="H628" s="306"/>
      <c r="I628" s="306"/>
      <c r="J628" s="5"/>
      <c r="K628" s="5"/>
      <c r="L628" s="5"/>
      <c r="M628" s="5"/>
      <c r="N628" s="5"/>
      <c r="O628" s="5"/>
      <c r="P628" s="57"/>
      <c r="Q628" s="5"/>
      <c r="R628" s="5"/>
      <c r="S628" s="5"/>
      <c r="T628" s="5"/>
      <c r="U628" s="5"/>
      <c r="V628" s="5"/>
      <c r="W628" s="5"/>
      <c r="X628" s="5"/>
      <c r="Y628" s="5"/>
      <c r="Z628" s="5"/>
      <c r="AA628" s="5"/>
    </row>
    <row r="629" spans="1:27" ht="12.75" customHeight="1">
      <c r="A629" s="5"/>
      <c r="B629" s="5"/>
      <c r="C629" s="5"/>
      <c r="D629" s="5"/>
      <c r="E629" s="5"/>
      <c r="F629" s="5"/>
      <c r="G629" s="5"/>
      <c r="H629" s="306"/>
      <c r="I629" s="306"/>
      <c r="J629" s="5"/>
      <c r="K629" s="5"/>
      <c r="L629" s="5"/>
      <c r="M629" s="5"/>
      <c r="N629" s="5"/>
      <c r="O629" s="5"/>
      <c r="P629" s="57"/>
      <c r="Q629" s="5"/>
      <c r="R629" s="5"/>
      <c r="S629" s="5"/>
      <c r="T629" s="5"/>
      <c r="U629" s="5"/>
      <c r="V629" s="5"/>
      <c r="W629" s="5"/>
      <c r="X629" s="5"/>
      <c r="Y629" s="5"/>
      <c r="Z629" s="5"/>
      <c r="AA629" s="5"/>
    </row>
    <row r="630" spans="1:27" ht="12.75" customHeight="1">
      <c r="A630" s="5"/>
      <c r="B630" s="5"/>
      <c r="C630" s="5"/>
      <c r="D630" s="5"/>
      <c r="E630" s="5"/>
      <c r="F630" s="5"/>
      <c r="G630" s="5"/>
      <c r="H630" s="306"/>
      <c r="I630" s="306"/>
      <c r="J630" s="5"/>
      <c r="K630" s="5"/>
      <c r="L630" s="5"/>
      <c r="M630" s="5"/>
      <c r="N630" s="5"/>
      <c r="O630" s="5"/>
      <c r="P630" s="57"/>
      <c r="Q630" s="5"/>
      <c r="R630" s="5"/>
      <c r="S630" s="5"/>
      <c r="T630" s="5"/>
      <c r="U630" s="5"/>
      <c r="V630" s="5"/>
      <c r="W630" s="5"/>
      <c r="X630" s="5"/>
      <c r="Y630" s="5"/>
      <c r="Z630" s="5"/>
      <c r="AA630" s="5"/>
    </row>
    <row r="631" spans="1:27" ht="12.75" customHeight="1">
      <c r="A631" s="5"/>
      <c r="B631" s="5"/>
      <c r="C631" s="5"/>
      <c r="D631" s="5"/>
      <c r="E631" s="5"/>
      <c r="F631" s="5"/>
      <c r="G631" s="5"/>
      <c r="H631" s="306"/>
      <c r="I631" s="306"/>
      <c r="J631" s="5"/>
      <c r="K631" s="5"/>
      <c r="L631" s="5"/>
      <c r="M631" s="5"/>
      <c r="N631" s="5"/>
      <c r="O631" s="5"/>
      <c r="P631" s="57"/>
      <c r="Q631" s="5"/>
      <c r="R631" s="5"/>
      <c r="S631" s="5"/>
      <c r="T631" s="5"/>
      <c r="U631" s="5"/>
      <c r="V631" s="5"/>
      <c r="W631" s="5"/>
      <c r="X631" s="5"/>
      <c r="Y631" s="5"/>
      <c r="Z631" s="5"/>
      <c r="AA631" s="5"/>
    </row>
    <row r="632" spans="1:27" ht="12.75" customHeight="1">
      <c r="A632" s="5"/>
      <c r="B632" s="5"/>
      <c r="C632" s="5"/>
      <c r="D632" s="5"/>
      <c r="E632" s="5"/>
      <c r="F632" s="5"/>
      <c r="G632" s="5"/>
      <c r="H632" s="306"/>
      <c r="I632" s="306"/>
      <c r="J632" s="5"/>
      <c r="K632" s="5"/>
      <c r="L632" s="5"/>
      <c r="M632" s="5"/>
      <c r="N632" s="5"/>
      <c r="O632" s="5"/>
      <c r="P632" s="57"/>
      <c r="Q632" s="5"/>
      <c r="R632" s="5"/>
      <c r="S632" s="5"/>
      <c r="T632" s="5"/>
      <c r="U632" s="5"/>
      <c r="V632" s="5"/>
      <c r="W632" s="5"/>
      <c r="X632" s="5"/>
      <c r="Y632" s="5"/>
      <c r="Z632" s="5"/>
      <c r="AA632" s="5"/>
    </row>
    <row r="633" spans="1:27" ht="12.75" customHeight="1">
      <c r="A633" s="5"/>
      <c r="B633" s="5"/>
      <c r="C633" s="5"/>
      <c r="D633" s="5"/>
      <c r="E633" s="5"/>
      <c r="F633" s="5"/>
      <c r="G633" s="5"/>
      <c r="H633" s="306"/>
      <c r="I633" s="306"/>
      <c r="J633" s="5"/>
      <c r="K633" s="5"/>
      <c r="L633" s="5"/>
      <c r="M633" s="5"/>
      <c r="N633" s="5"/>
      <c r="O633" s="5"/>
      <c r="P633" s="57"/>
      <c r="Q633" s="5"/>
      <c r="R633" s="5"/>
      <c r="S633" s="5"/>
      <c r="T633" s="5"/>
      <c r="U633" s="5"/>
      <c r="V633" s="5"/>
      <c r="W633" s="5"/>
      <c r="X633" s="5"/>
      <c r="Y633" s="5"/>
      <c r="Z633" s="5"/>
      <c r="AA633" s="5"/>
    </row>
    <row r="634" spans="1:27" ht="12.75" customHeight="1">
      <c r="A634" s="5"/>
      <c r="B634" s="5"/>
      <c r="C634" s="5"/>
      <c r="D634" s="5"/>
      <c r="E634" s="5"/>
      <c r="F634" s="5"/>
      <c r="G634" s="5"/>
      <c r="H634" s="306"/>
      <c r="I634" s="306"/>
      <c r="J634" s="5"/>
      <c r="K634" s="5"/>
      <c r="L634" s="5"/>
      <c r="M634" s="5"/>
      <c r="N634" s="5"/>
      <c r="O634" s="5"/>
      <c r="P634" s="57"/>
      <c r="Q634" s="5"/>
      <c r="R634" s="5"/>
      <c r="S634" s="5"/>
      <c r="T634" s="5"/>
      <c r="U634" s="5"/>
      <c r="V634" s="5"/>
      <c r="W634" s="5"/>
      <c r="X634" s="5"/>
      <c r="Y634" s="5"/>
      <c r="Z634" s="5"/>
      <c r="AA634" s="5"/>
    </row>
    <row r="635" spans="1:27" ht="12.75" customHeight="1">
      <c r="A635" s="5"/>
      <c r="B635" s="5"/>
      <c r="C635" s="5"/>
      <c r="D635" s="5"/>
      <c r="E635" s="5"/>
      <c r="F635" s="5"/>
      <c r="G635" s="5"/>
      <c r="H635" s="306"/>
      <c r="I635" s="306"/>
      <c r="J635" s="5"/>
      <c r="K635" s="5"/>
      <c r="L635" s="5"/>
      <c r="M635" s="5"/>
      <c r="N635" s="5"/>
      <c r="O635" s="5"/>
      <c r="P635" s="57"/>
      <c r="Q635" s="5"/>
      <c r="R635" s="5"/>
      <c r="S635" s="5"/>
      <c r="T635" s="5"/>
      <c r="U635" s="5"/>
      <c r="V635" s="5"/>
      <c r="W635" s="5"/>
      <c r="X635" s="5"/>
      <c r="Y635" s="5"/>
      <c r="Z635" s="5"/>
      <c r="AA635" s="5"/>
    </row>
    <row r="636" spans="1:27" ht="12.75" customHeight="1">
      <c r="A636" s="5"/>
      <c r="B636" s="5"/>
      <c r="C636" s="5"/>
      <c r="D636" s="5"/>
      <c r="E636" s="5"/>
      <c r="F636" s="5"/>
      <c r="G636" s="5"/>
      <c r="H636" s="306"/>
      <c r="I636" s="306"/>
      <c r="J636" s="5"/>
      <c r="K636" s="5"/>
      <c r="L636" s="5"/>
      <c r="M636" s="5"/>
      <c r="N636" s="5"/>
      <c r="O636" s="5"/>
      <c r="P636" s="57"/>
      <c r="Q636" s="5"/>
      <c r="R636" s="5"/>
      <c r="S636" s="5"/>
      <c r="T636" s="5"/>
      <c r="U636" s="5"/>
      <c r="V636" s="5"/>
      <c r="W636" s="5"/>
      <c r="X636" s="5"/>
      <c r="Y636" s="5"/>
      <c r="Z636" s="5"/>
      <c r="AA636" s="5"/>
    </row>
    <row r="637" spans="1:27" ht="12.75" customHeight="1">
      <c r="A637" s="5"/>
      <c r="B637" s="5"/>
      <c r="C637" s="5"/>
      <c r="D637" s="5"/>
      <c r="E637" s="5"/>
      <c r="F637" s="5"/>
      <c r="G637" s="5"/>
      <c r="H637" s="306"/>
      <c r="I637" s="306"/>
      <c r="J637" s="5"/>
      <c r="K637" s="5"/>
      <c r="L637" s="5"/>
      <c r="M637" s="5"/>
      <c r="N637" s="5"/>
      <c r="O637" s="5"/>
      <c r="P637" s="57"/>
      <c r="Q637" s="5"/>
      <c r="R637" s="5"/>
      <c r="S637" s="5"/>
      <c r="T637" s="5"/>
      <c r="U637" s="5"/>
      <c r="V637" s="5"/>
      <c r="W637" s="5"/>
      <c r="X637" s="5"/>
      <c r="Y637" s="5"/>
      <c r="Z637" s="5"/>
      <c r="AA637" s="5"/>
    </row>
    <row r="638" spans="1:27" ht="12.75" customHeight="1">
      <c r="A638" s="5"/>
      <c r="B638" s="5"/>
      <c r="C638" s="5"/>
      <c r="D638" s="5"/>
      <c r="E638" s="5"/>
      <c r="F638" s="5"/>
      <c r="G638" s="5"/>
      <c r="H638" s="306"/>
      <c r="I638" s="306"/>
      <c r="J638" s="5"/>
      <c r="K638" s="5"/>
      <c r="L638" s="5"/>
      <c r="M638" s="5"/>
      <c r="N638" s="5"/>
      <c r="O638" s="5"/>
      <c r="P638" s="57"/>
      <c r="Q638" s="5"/>
      <c r="R638" s="5"/>
      <c r="S638" s="5"/>
      <c r="T638" s="5"/>
      <c r="U638" s="5"/>
      <c r="V638" s="5"/>
      <c r="W638" s="5"/>
      <c r="X638" s="5"/>
      <c r="Y638" s="5"/>
      <c r="Z638" s="5"/>
      <c r="AA638" s="5"/>
    </row>
    <row r="639" spans="1:27" ht="12.75" customHeight="1">
      <c r="A639" s="5"/>
      <c r="B639" s="5"/>
      <c r="C639" s="5"/>
      <c r="D639" s="5"/>
      <c r="E639" s="5"/>
      <c r="F639" s="5"/>
      <c r="G639" s="5"/>
      <c r="H639" s="306"/>
      <c r="I639" s="306"/>
      <c r="J639" s="5"/>
      <c r="K639" s="5"/>
      <c r="L639" s="5"/>
      <c r="M639" s="5"/>
      <c r="N639" s="5"/>
      <c r="O639" s="5"/>
      <c r="P639" s="57"/>
      <c r="Q639" s="5"/>
      <c r="R639" s="5"/>
      <c r="S639" s="5"/>
      <c r="T639" s="5"/>
      <c r="U639" s="5"/>
      <c r="V639" s="5"/>
      <c r="W639" s="5"/>
      <c r="X639" s="5"/>
      <c r="Y639" s="5"/>
      <c r="Z639" s="5"/>
      <c r="AA639" s="5"/>
    </row>
    <row r="640" spans="1:27" ht="12.75" customHeight="1">
      <c r="A640" s="5"/>
      <c r="B640" s="5"/>
      <c r="C640" s="5"/>
      <c r="D640" s="5"/>
      <c r="E640" s="5"/>
      <c r="F640" s="5"/>
      <c r="G640" s="5"/>
      <c r="H640" s="306"/>
      <c r="I640" s="306"/>
      <c r="J640" s="5"/>
      <c r="K640" s="5"/>
      <c r="L640" s="5"/>
      <c r="M640" s="5"/>
      <c r="N640" s="5"/>
      <c r="O640" s="5"/>
      <c r="P640" s="57"/>
      <c r="Q640" s="5"/>
      <c r="R640" s="5"/>
      <c r="S640" s="5"/>
      <c r="T640" s="5"/>
      <c r="U640" s="5"/>
      <c r="V640" s="5"/>
      <c r="W640" s="5"/>
      <c r="X640" s="5"/>
      <c r="Y640" s="5"/>
      <c r="Z640" s="5"/>
      <c r="AA640" s="5"/>
    </row>
    <row r="641" spans="1:27" ht="12.75" customHeight="1">
      <c r="A641" s="5"/>
      <c r="B641" s="5"/>
      <c r="C641" s="5"/>
      <c r="D641" s="5"/>
      <c r="E641" s="5"/>
      <c r="F641" s="5"/>
      <c r="G641" s="5"/>
      <c r="H641" s="306"/>
      <c r="I641" s="306"/>
      <c r="J641" s="5"/>
      <c r="K641" s="5"/>
      <c r="L641" s="5"/>
      <c r="M641" s="5"/>
      <c r="N641" s="5"/>
      <c r="O641" s="5"/>
      <c r="P641" s="57"/>
      <c r="Q641" s="5"/>
      <c r="R641" s="5"/>
      <c r="S641" s="5"/>
      <c r="T641" s="5"/>
      <c r="U641" s="5"/>
      <c r="V641" s="5"/>
      <c r="W641" s="5"/>
      <c r="X641" s="5"/>
      <c r="Y641" s="5"/>
      <c r="Z641" s="5"/>
      <c r="AA641" s="5"/>
    </row>
    <row r="642" spans="1:27" ht="12.75" customHeight="1">
      <c r="A642" s="5"/>
      <c r="B642" s="5"/>
      <c r="C642" s="5"/>
      <c r="D642" s="5"/>
      <c r="E642" s="5"/>
      <c r="F642" s="5"/>
      <c r="G642" s="5"/>
      <c r="H642" s="306"/>
      <c r="I642" s="306"/>
      <c r="J642" s="5"/>
      <c r="K642" s="5"/>
      <c r="L642" s="5"/>
      <c r="M642" s="5"/>
      <c r="N642" s="5"/>
      <c r="O642" s="5"/>
      <c r="P642" s="57"/>
      <c r="Q642" s="5"/>
      <c r="R642" s="5"/>
      <c r="S642" s="5"/>
      <c r="T642" s="5"/>
      <c r="U642" s="5"/>
      <c r="V642" s="5"/>
      <c r="W642" s="5"/>
      <c r="X642" s="5"/>
      <c r="Y642" s="5"/>
      <c r="Z642" s="5"/>
      <c r="AA642" s="5"/>
    </row>
    <row r="643" spans="1:27" ht="12.75" customHeight="1">
      <c r="A643" s="5"/>
      <c r="B643" s="5"/>
      <c r="C643" s="5"/>
      <c r="D643" s="5"/>
      <c r="E643" s="5"/>
      <c r="F643" s="5"/>
      <c r="G643" s="5"/>
      <c r="H643" s="306"/>
      <c r="I643" s="306"/>
      <c r="J643" s="5"/>
      <c r="K643" s="5"/>
      <c r="L643" s="5"/>
      <c r="M643" s="5"/>
      <c r="N643" s="5"/>
      <c r="O643" s="5"/>
      <c r="P643" s="57"/>
      <c r="Q643" s="5"/>
      <c r="R643" s="5"/>
      <c r="S643" s="5"/>
      <c r="T643" s="5"/>
      <c r="U643" s="5"/>
      <c r="V643" s="5"/>
      <c r="W643" s="5"/>
      <c r="X643" s="5"/>
      <c r="Y643" s="5"/>
      <c r="Z643" s="5"/>
      <c r="AA643" s="5"/>
    </row>
    <row r="644" spans="1:27" ht="12.75" customHeight="1">
      <c r="A644" s="5"/>
      <c r="B644" s="5"/>
      <c r="C644" s="5"/>
      <c r="D644" s="5"/>
      <c r="E644" s="5"/>
      <c r="F644" s="5"/>
      <c r="G644" s="5"/>
      <c r="H644" s="306"/>
      <c r="I644" s="306"/>
      <c r="J644" s="5"/>
      <c r="K644" s="5"/>
      <c r="L644" s="5"/>
      <c r="M644" s="5"/>
      <c r="N644" s="5"/>
      <c r="O644" s="5"/>
      <c r="P644" s="57"/>
      <c r="Q644" s="5"/>
      <c r="R644" s="5"/>
      <c r="S644" s="5"/>
      <c r="T644" s="5"/>
      <c r="U644" s="5"/>
      <c r="V644" s="5"/>
      <c r="W644" s="5"/>
      <c r="X644" s="5"/>
      <c r="Y644" s="5"/>
      <c r="Z644" s="5"/>
      <c r="AA644" s="5"/>
    </row>
    <row r="645" spans="1:27" ht="12.75" customHeight="1">
      <c r="A645" s="5"/>
      <c r="B645" s="5"/>
      <c r="C645" s="5"/>
      <c r="D645" s="5"/>
      <c r="E645" s="5"/>
      <c r="F645" s="5"/>
      <c r="G645" s="5"/>
      <c r="H645" s="306"/>
      <c r="I645" s="306"/>
      <c r="J645" s="5"/>
      <c r="K645" s="5"/>
      <c r="L645" s="5"/>
      <c r="M645" s="5"/>
      <c r="N645" s="5"/>
      <c r="O645" s="5"/>
      <c r="P645" s="57"/>
      <c r="Q645" s="5"/>
      <c r="R645" s="5"/>
      <c r="S645" s="5"/>
      <c r="T645" s="5"/>
      <c r="U645" s="5"/>
      <c r="V645" s="5"/>
      <c r="W645" s="5"/>
      <c r="X645" s="5"/>
      <c r="Y645" s="5"/>
      <c r="Z645" s="5"/>
      <c r="AA645" s="5"/>
    </row>
    <row r="646" spans="1:27" ht="12.75" customHeight="1">
      <c r="A646" s="5"/>
      <c r="B646" s="5"/>
      <c r="C646" s="5"/>
      <c r="D646" s="5"/>
      <c r="E646" s="5"/>
      <c r="F646" s="5"/>
      <c r="G646" s="5"/>
      <c r="H646" s="306"/>
      <c r="I646" s="306"/>
      <c r="J646" s="5"/>
      <c r="K646" s="5"/>
      <c r="L646" s="5"/>
      <c r="M646" s="5"/>
      <c r="N646" s="5"/>
      <c r="O646" s="5"/>
      <c r="P646" s="57"/>
      <c r="Q646" s="5"/>
      <c r="R646" s="5"/>
      <c r="S646" s="5"/>
      <c r="T646" s="5"/>
      <c r="U646" s="5"/>
      <c r="V646" s="5"/>
      <c r="W646" s="5"/>
      <c r="X646" s="5"/>
      <c r="Y646" s="5"/>
      <c r="Z646" s="5"/>
      <c r="AA646" s="5"/>
    </row>
    <row r="647" spans="1:27" ht="12.75" customHeight="1">
      <c r="A647" s="5"/>
      <c r="B647" s="5"/>
      <c r="C647" s="5"/>
      <c r="D647" s="5"/>
      <c r="E647" s="5"/>
      <c r="F647" s="5"/>
      <c r="G647" s="5"/>
      <c r="H647" s="306"/>
      <c r="I647" s="306"/>
      <c r="J647" s="5"/>
      <c r="K647" s="5"/>
      <c r="L647" s="5"/>
      <c r="M647" s="5"/>
      <c r="N647" s="5"/>
      <c r="O647" s="5"/>
      <c r="P647" s="57"/>
      <c r="Q647" s="5"/>
      <c r="R647" s="5"/>
      <c r="S647" s="5"/>
      <c r="T647" s="5"/>
      <c r="U647" s="5"/>
      <c r="V647" s="5"/>
      <c r="W647" s="5"/>
      <c r="X647" s="5"/>
      <c r="Y647" s="5"/>
      <c r="Z647" s="5"/>
      <c r="AA647" s="5"/>
    </row>
    <row r="648" spans="1:27" ht="12.75" customHeight="1">
      <c r="A648" s="5"/>
      <c r="B648" s="5"/>
      <c r="C648" s="5"/>
      <c r="D648" s="5"/>
      <c r="E648" s="5"/>
      <c r="F648" s="5"/>
      <c r="G648" s="5"/>
      <c r="H648" s="306"/>
      <c r="I648" s="306"/>
      <c r="J648" s="5"/>
      <c r="K648" s="5"/>
      <c r="L648" s="5"/>
      <c r="M648" s="5"/>
      <c r="N648" s="5"/>
      <c r="O648" s="5"/>
      <c r="P648" s="57"/>
      <c r="Q648" s="5"/>
      <c r="R648" s="5"/>
      <c r="S648" s="5"/>
      <c r="T648" s="5"/>
      <c r="U648" s="5"/>
      <c r="V648" s="5"/>
      <c r="W648" s="5"/>
      <c r="X648" s="5"/>
      <c r="Y648" s="5"/>
      <c r="Z648" s="5"/>
      <c r="AA648" s="5"/>
    </row>
    <row r="649" spans="1:27" ht="12.75" customHeight="1">
      <c r="A649" s="5"/>
      <c r="B649" s="5"/>
      <c r="C649" s="5"/>
      <c r="D649" s="5"/>
      <c r="E649" s="5"/>
      <c r="F649" s="5"/>
      <c r="G649" s="5"/>
      <c r="H649" s="306"/>
      <c r="I649" s="306"/>
      <c r="J649" s="5"/>
      <c r="K649" s="5"/>
      <c r="L649" s="5"/>
      <c r="M649" s="5"/>
      <c r="N649" s="5"/>
      <c r="O649" s="5"/>
      <c r="P649" s="57"/>
      <c r="Q649" s="5"/>
      <c r="R649" s="5"/>
      <c r="S649" s="5"/>
      <c r="T649" s="5"/>
      <c r="U649" s="5"/>
      <c r="V649" s="5"/>
      <c r="W649" s="5"/>
      <c r="X649" s="5"/>
      <c r="Y649" s="5"/>
      <c r="Z649" s="5"/>
      <c r="AA649" s="5"/>
    </row>
    <row r="650" spans="1:27" ht="12.75" customHeight="1">
      <c r="A650" s="5"/>
      <c r="B650" s="5"/>
      <c r="C650" s="5"/>
      <c r="D650" s="5"/>
      <c r="E650" s="5"/>
      <c r="F650" s="5"/>
      <c r="G650" s="5"/>
      <c r="H650" s="306"/>
      <c r="I650" s="306"/>
      <c r="J650" s="5"/>
      <c r="K650" s="5"/>
      <c r="L650" s="5"/>
      <c r="M650" s="5"/>
      <c r="N650" s="5"/>
      <c r="O650" s="5"/>
      <c r="P650" s="57"/>
      <c r="Q650" s="5"/>
      <c r="R650" s="5"/>
      <c r="S650" s="5"/>
      <c r="T650" s="5"/>
      <c r="U650" s="5"/>
      <c r="V650" s="5"/>
      <c r="W650" s="5"/>
      <c r="X650" s="5"/>
      <c r="Y650" s="5"/>
      <c r="Z650" s="5"/>
      <c r="AA650" s="5"/>
    </row>
    <row r="651" spans="1:27" ht="12.75" customHeight="1">
      <c r="A651" s="5"/>
      <c r="B651" s="5"/>
      <c r="C651" s="5"/>
      <c r="D651" s="5"/>
      <c r="E651" s="5"/>
      <c r="F651" s="5"/>
      <c r="G651" s="5"/>
      <c r="H651" s="306"/>
      <c r="I651" s="306"/>
      <c r="J651" s="5"/>
      <c r="K651" s="5"/>
      <c r="L651" s="5"/>
      <c r="M651" s="5"/>
      <c r="N651" s="5"/>
      <c r="O651" s="5"/>
      <c r="P651" s="57"/>
      <c r="Q651" s="5"/>
      <c r="R651" s="5"/>
      <c r="S651" s="5"/>
      <c r="T651" s="5"/>
      <c r="U651" s="5"/>
      <c r="V651" s="5"/>
      <c r="W651" s="5"/>
      <c r="X651" s="5"/>
      <c r="Y651" s="5"/>
      <c r="Z651" s="5"/>
      <c r="AA651" s="5"/>
    </row>
    <row r="652" spans="1:27" ht="12.75" customHeight="1">
      <c r="A652" s="5"/>
      <c r="B652" s="5"/>
      <c r="C652" s="5"/>
      <c r="D652" s="5"/>
      <c r="E652" s="5"/>
      <c r="F652" s="5"/>
      <c r="G652" s="5"/>
      <c r="H652" s="306"/>
      <c r="I652" s="306"/>
      <c r="J652" s="5"/>
      <c r="K652" s="5"/>
      <c r="L652" s="5"/>
      <c r="M652" s="5"/>
      <c r="N652" s="5"/>
      <c r="O652" s="5"/>
      <c r="P652" s="57"/>
      <c r="Q652" s="5"/>
      <c r="R652" s="5"/>
      <c r="S652" s="5"/>
      <c r="T652" s="5"/>
      <c r="U652" s="5"/>
      <c r="V652" s="5"/>
      <c r="W652" s="5"/>
      <c r="X652" s="5"/>
      <c r="Y652" s="5"/>
      <c r="Z652" s="5"/>
      <c r="AA652" s="5"/>
    </row>
    <row r="653" spans="1:27" ht="12.75" customHeight="1">
      <c r="A653" s="5"/>
      <c r="B653" s="5"/>
      <c r="C653" s="5"/>
      <c r="D653" s="5"/>
      <c r="E653" s="5"/>
      <c r="F653" s="5"/>
      <c r="G653" s="5"/>
      <c r="H653" s="306"/>
      <c r="I653" s="306"/>
      <c r="J653" s="5"/>
      <c r="K653" s="5"/>
      <c r="L653" s="5"/>
      <c r="M653" s="5"/>
      <c r="N653" s="5"/>
      <c r="O653" s="5"/>
      <c r="P653" s="57"/>
      <c r="Q653" s="5"/>
      <c r="R653" s="5"/>
      <c r="S653" s="5"/>
      <c r="T653" s="5"/>
      <c r="U653" s="5"/>
      <c r="V653" s="5"/>
      <c r="W653" s="5"/>
      <c r="X653" s="5"/>
      <c r="Y653" s="5"/>
      <c r="Z653" s="5"/>
      <c r="AA653" s="5"/>
    </row>
    <row r="654" spans="1:27" ht="12.75" customHeight="1">
      <c r="A654" s="5"/>
      <c r="B654" s="5"/>
      <c r="C654" s="5"/>
      <c r="D654" s="5"/>
      <c r="E654" s="5"/>
      <c r="F654" s="5"/>
      <c r="G654" s="5"/>
      <c r="H654" s="306"/>
      <c r="I654" s="306"/>
      <c r="J654" s="5"/>
      <c r="K654" s="5"/>
      <c r="L654" s="5"/>
      <c r="M654" s="5"/>
      <c r="N654" s="5"/>
      <c r="O654" s="5"/>
      <c r="P654" s="57"/>
      <c r="Q654" s="5"/>
      <c r="R654" s="5"/>
      <c r="S654" s="5"/>
      <c r="T654" s="5"/>
      <c r="U654" s="5"/>
      <c r="V654" s="5"/>
      <c r="W654" s="5"/>
      <c r="X654" s="5"/>
      <c r="Y654" s="5"/>
      <c r="Z654" s="5"/>
      <c r="AA654" s="5"/>
    </row>
    <row r="655" spans="1:27" ht="12.75" customHeight="1">
      <c r="A655" s="5"/>
      <c r="B655" s="5"/>
      <c r="C655" s="5"/>
      <c r="D655" s="5"/>
      <c r="E655" s="5"/>
      <c r="F655" s="5"/>
      <c r="G655" s="5"/>
      <c r="H655" s="306"/>
      <c r="I655" s="306"/>
      <c r="J655" s="5"/>
      <c r="K655" s="5"/>
      <c r="L655" s="5"/>
      <c r="M655" s="5"/>
      <c r="N655" s="5"/>
      <c r="O655" s="5"/>
      <c r="P655" s="57"/>
      <c r="Q655" s="5"/>
      <c r="R655" s="5"/>
      <c r="S655" s="5"/>
      <c r="T655" s="5"/>
      <c r="U655" s="5"/>
      <c r="V655" s="5"/>
      <c r="W655" s="5"/>
      <c r="X655" s="5"/>
      <c r="Y655" s="5"/>
      <c r="Z655" s="5"/>
      <c r="AA655" s="5"/>
    </row>
    <row r="656" spans="1:27" ht="12.75" customHeight="1">
      <c r="A656" s="5"/>
      <c r="B656" s="5"/>
      <c r="C656" s="5"/>
      <c r="D656" s="5"/>
      <c r="E656" s="5"/>
      <c r="F656" s="5"/>
      <c r="G656" s="5"/>
      <c r="H656" s="306"/>
      <c r="I656" s="306"/>
      <c r="J656" s="5"/>
      <c r="K656" s="5"/>
      <c r="L656" s="5"/>
      <c r="M656" s="5"/>
      <c r="N656" s="5"/>
      <c r="O656" s="5"/>
      <c r="P656" s="57"/>
      <c r="Q656" s="5"/>
      <c r="R656" s="5"/>
      <c r="S656" s="5"/>
      <c r="T656" s="5"/>
      <c r="U656" s="5"/>
      <c r="V656" s="5"/>
      <c r="W656" s="5"/>
      <c r="X656" s="5"/>
      <c r="Y656" s="5"/>
      <c r="Z656" s="5"/>
      <c r="AA656" s="5"/>
    </row>
    <row r="657" spans="1:27" ht="12.75" customHeight="1">
      <c r="A657" s="5"/>
      <c r="B657" s="5"/>
      <c r="C657" s="5"/>
      <c r="D657" s="5"/>
      <c r="E657" s="5"/>
      <c r="F657" s="5"/>
      <c r="G657" s="5"/>
      <c r="H657" s="306"/>
      <c r="I657" s="306"/>
      <c r="J657" s="5"/>
      <c r="K657" s="5"/>
      <c r="L657" s="5"/>
      <c r="M657" s="5"/>
      <c r="N657" s="5"/>
      <c r="O657" s="5"/>
      <c r="P657" s="57"/>
      <c r="Q657" s="5"/>
      <c r="R657" s="5"/>
      <c r="S657" s="5"/>
      <c r="T657" s="5"/>
      <c r="U657" s="5"/>
      <c r="V657" s="5"/>
      <c r="W657" s="5"/>
      <c r="X657" s="5"/>
      <c r="Y657" s="5"/>
      <c r="Z657" s="5"/>
      <c r="AA657" s="5"/>
    </row>
    <row r="658" spans="1:27" ht="12.75" customHeight="1">
      <c r="A658" s="5"/>
      <c r="B658" s="5"/>
      <c r="C658" s="5"/>
      <c r="D658" s="5"/>
      <c r="E658" s="5"/>
      <c r="F658" s="5"/>
      <c r="G658" s="5"/>
      <c r="H658" s="306"/>
      <c r="I658" s="306"/>
      <c r="J658" s="5"/>
      <c r="K658" s="5"/>
      <c r="L658" s="5"/>
      <c r="M658" s="5"/>
      <c r="N658" s="5"/>
      <c r="O658" s="5"/>
      <c r="P658" s="57"/>
      <c r="Q658" s="5"/>
      <c r="R658" s="5"/>
      <c r="S658" s="5"/>
      <c r="T658" s="5"/>
      <c r="U658" s="5"/>
      <c r="V658" s="5"/>
      <c r="W658" s="5"/>
      <c r="X658" s="5"/>
      <c r="Y658" s="5"/>
      <c r="Z658" s="5"/>
      <c r="AA658" s="5"/>
    </row>
    <row r="659" spans="1:27" ht="12.75" customHeight="1">
      <c r="A659" s="5"/>
      <c r="B659" s="5"/>
      <c r="C659" s="5"/>
      <c r="D659" s="5"/>
      <c r="E659" s="5"/>
      <c r="F659" s="5"/>
      <c r="G659" s="5"/>
      <c r="H659" s="306"/>
      <c r="I659" s="306"/>
      <c r="J659" s="5"/>
      <c r="K659" s="5"/>
      <c r="L659" s="5"/>
      <c r="M659" s="5"/>
      <c r="N659" s="5"/>
      <c r="O659" s="5"/>
      <c r="P659" s="57"/>
      <c r="Q659" s="5"/>
      <c r="R659" s="5"/>
      <c r="S659" s="5"/>
      <c r="T659" s="5"/>
      <c r="U659" s="5"/>
      <c r="V659" s="5"/>
      <c r="W659" s="5"/>
      <c r="X659" s="5"/>
      <c r="Y659" s="5"/>
      <c r="Z659" s="5"/>
      <c r="AA659" s="5"/>
    </row>
    <row r="660" spans="1:27" ht="12.75" customHeight="1">
      <c r="A660" s="5"/>
      <c r="B660" s="5"/>
      <c r="C660" s="5"/>
      <c r="D660" s="5"/>
      <c r="E660" s="5"/>
      <c r="F660" s="5"/>
      <c r="G660" s="5"/>
      <c r="H660" s="306"/>
      <c r="I660" s="306"/>
      <c r="J660" s="5"/>
      <c r="K660" s="5"/>
      <c r="L660" s="5"/>
      <c r="M660" s="5"/>
      <c r="N660" s="5"/>
      <c r="O660" s="5"/>
      <c r="P660" s="57"/>
      <c r="Q660" s="5"/>
      <c r="R660" s="5"/>
      <c r="S660" s="5"/>
      <c r="T660" s="5"/>
      <c r="U660" s="5"/>
      <c r="V660" s="5"/>
      <c r="W660" s="5"/>
      <c r="X660" s="5"/>
      <c r="Y660" s="5"/>
      <c r="Z660" s="5"/>
      <c r="AA660" s="5"/>
    </row>
    <row r="661" spans="1:27" ht="12.75" customHeight="1">
      <c r="A661" s="5"/>
      <c r="B661" s="5"/>
      <c r="C661" s="5"/>
      <c r="D661" s="5"/>
      <c r="E661" s="5"/>
      <c r="F661" s="5"/>
      <c r="G661" s="5"/>
      <c r="H661" s="306"/>
      <c r="I661" s="306"/>
      <c r="J661" s="5"/>
      <c r="K661" s="5"/>
      <c r="L661" s="5"/>
      <c r="M661" s="5"/>
      <c r="N661" s="5"/>
      <c r="O661" s="5"/>
      <c r="P661" s="57"/>
      <c r="Q661" s="5"/>
      <c r="R661" s="5"/>
      <c r="S661" s="5"/>
      <c r="T661" s="5"/>
      <c r="U661" s="5"/>
      <c r="V661" s="5"/>
      <c r="W661" s="5"/>
      <c r="X661" s="5"/>
      <c r="Y661" s="5"/>
      <c r="Z661" s="5"/>
      <c r="AA661" s="5"/>
    </row>
    <row r="662" spans="1:27" ht="12.75" customHeight="1">
      <c r="A662" s="5"/>
      <c r="B662" s="5"/>
      <c r="C662" s="5"/>
      <c r="D662" s="5"/>
      <c r="E662" s="5"/>
      <c r="F662" s="5"/>
      <c r="G662" s="5"/>
      <c r="H662" s="306"/>
      <c r="I662" s="306"/>
      <c r="J662" s="5"/>
      <c r="K662" s="5"/>
      <c r="L662" s="5"/>
      <c r="M662" s="5"/>
      <c r="N662" s="5"/>
      <c r="O662" s="5"/>
      <c r="P662" s="57"/>
      <c r="Q662" s="5"/>
      <c r="R662" s="5"/>
      <c r="S662" s="5"/>
      <c r="T662" s="5"/>
      <c r="U662" s="5"/>
      <c r="V662" s="5"/>
      <c r="W662" s="5"/>
      <c r="X662" s="5"/>
      <c r="Y662" s="5"/>
      <c r="Z662" s="5"/>
      <c r="AA662" s="5"/>
    </row>
    <row r="663" spans="1:27" ht="12.75" customHeight="1">
      <c r="A663" s="5"/>
      <c r="B663" s="5"/>
      <c r="C663" s="5"/>
      <c r="D663" s="5"/>
      <c r="E663" s="5"/>
      <c r="F663" s="5"/>
      <c r="G663" s="5"/>
      <c r="H663" s="306"/>
      <c r="I663" s="306"/>
      <c r="J663" s="5"/>
      <c r="K663" s="5"/>
      <c r="L663" s="5"/>
      <c r="M663" s="5"/>
      <c r="N663" s="5"/>
      <c r="O663" s="5"/>
      <c r="P663" s="57"/>
      <c r="Q663" s="5"/>
      <c r="R663" s="5"/>
      <c r="S663" s="5"/>
      <c r="T663" s="5"/>
      <c r="U663" s="5"/>
      <c r="V663" s="5"/>
      <c r="W663" s="5"/>
      <c r="X663" s="5"/>
      <c r="Y663" s="5"/>
      <c r="Z663" s="5"/>
      <c r="AA663" s="5"/>
    </row>
    <row r="664" spans="1:27" ht="12.75" customHeight="1">
      <c r="A664" s="5"/>
      <c r="B664" s="5"/>
      <c r="C664" s="5"/>
      <c r="D664" s="5"/>
      <c r="E664" s="5"/>
      <c r="F664" s="5"/>
      <c r="G664" s="5"/>
      <c r="H664" s="306"/>
      <c r="I664" s="306"/>
      <c r="J664" s="5"/>
      <c r="K664" s="5"/>
      <c r="L664" s="5"/>
      <c r="M664" s="5"/>
      <c r="N664" s="5"/>
      <c r="O664" s="5"/>
      <c r="P664" s="57"/>
      <c r="Q664" s="5"/>
      <c r="R664" s="5"/>
      <c r="S664" s="5"/>
      <c r="T664" s="5"/>
      <c r="U664" s="5"/>
      <c r="V664" s="5"/>
      <c r="W664" s="5"/>
      <c r="X664" s="5"/>
      <c r="Y664" s="5"/>
      <c r="Z664" s="5"/>
      <c r="AA664" s="5"/>
    </row>
    <row r="665" spans="1:27" ht="12.75" customHeight="1">
      <c r="A665" s="5"/>
      <c r="B665" s="5"/>
      <c r="C665" s="5"/>
      <c r="D665" s="5"/>
      <c r="E665" s="5"/>
      <c r="F665" s="5"/>
      <c r="G665" s="5"/>
      <c r="H665" s="306"/>
      <c r="I665" s="306"/>
      <c r="J665" s="5"/>
      <c r="K665" s="5"/>
      <c r="L665" s="5"/>
      <c r="M665" s="5"/>
      <c r="N665" s="5"/>
      <c r="O665" s="5"/>
      <c r="P665" s="57"/>
      <c r="Q665" s="5"/>
      <c r="R665" s="5"/>
      <c r="S665" s="5"/>
      <c r="T665" s="5"/>
      <c r="U665" s="5"/>
      <c r="V665" s="5"/>
      <c r="W665" s="5"/>
      <c r="X665" s="5"/>
      <c r="Y665" s="5"/>
      <c r="Z665" s="5"/>
      <c r="AA665" s="5"/>
    </row>
    <row r="666" spans="1:27" ht="12.75" customHeight="1">
      <c r="A666" s="5"/>
      <c r="B666" s="5"/>
      <c r="C666" s="5"/>
      <c r="D666" s="5"/>
      <c r="E666" s="5"/>
      <c r="F666" s="5"/>
      <c r="G666" s="5"/>
      <c r="H666" s="306"/>
      <c r="I666" s="306"/>
      <c r="J666" s="5"/>
      <c r="K666" s="5"/>
      <c r="L666" s="5"/>
      <c r="M666" s="5"/>
      <c r="N666" s="5"/>
      <c r="O666" s="5"/>
      <c r="P666" s="57"/>
      <c r="Q666" s="5"/>
      <c r="R666" s="5"/>
      <c r="S666" s="5"/>
      <c r="T666" s="5"/>
      <c r="U666" s="5"/>
      <c r="V666" s="5"/>
      <c r="W666" s="5"/>
      <c r="X666" s="5"/>
      <c r="Y666" s="5"/>
      <c r="Z666" s="5"/>
      <c r="AA666" s="5"/>
    </row>
    <row r="667" spans="1:27" ht="12.75" customHeight="1">
      <c r="A667" s="5"/>
      <c r="B667" s="5"/>
      <c r="C667" s="5"/>
      <c r="D667" s="5"/>
      <c r="E667" s="5"/>
      <c r="F667" s="5"/>
      <c r="G667" s="5"/>
      <c r="H667" s="306"/>
      <c r="I667" s="306"/>
      <c r="J667" s="5"/>
      <c r="K667" s="5"/>
      <c r="L667" s="5"/>
      <c r="M667" s="5"/>
      <c r="N667" s="5"/>
      <c r="O667" s="5"/>
      <c r="P667" s="57"/>
      <c r="Q667" s="5"/>
      <c r="R667" s="5"/>
      <c r="S667" s="5"/>
      <c r="T667" s="5"/>
      <c r="U667" s="5"/>
      <c r="V667" s="5"/>
      <c r="W667" s="5"/>
      <c r="X667" s="5"/>
      <c r="Y667" s="5"/>
      <c r="Z667" s="5"/>
      <c r="AA667" s="5"/>
    </row>
    <row r="668" spans="1:27" ht="12.75" customHeight="1">
      <c r="A668" s="5"/>
      <c r="B668" s="5"/>
      <c r="C668" s="5"/>
      <c r="D668" s="5"/>
      <c r="E668" s="5"/>
      <c r="F668" s="5"/>
      <c r="G668" s="5"/>
      <c r="H668" s="306"/>
      <c r="I668" s="306"/>
      <c r="J668" s="5"/>
      <c r="K668" s="5"/>
      <c r="L668" s="5"/>
      <c r="M668" s="5"/>
      <c r="N668" s="5"/>
      <c r="O668" s="5"/>
      <c r="P668" s="57"/>
      <c r="Q668" s="5"/>
      <c r="R668" s="5"/>
      <c r="S668" s="5"/>
      <c r="T668" s="5"/>
      <c r="U668" s="5"/>
      <c r="V668" s="5"/>
      <c r="W668" s="5"/>
      <c r="X668" s="5"/>
      <c r="Y668" s="5"/>
      <c r="Z668" s="5"/>
      <c r="AA668" s="5"/>
    </row>
    <row r="669" spans="1:27" ht="12.75" customHeight="1">
      <c r="A669" s="5"/>
      <c r="B669" s="5"/>
      <c r="C669" s="5"/>
      <c r="D669" s="5"/>
      <c r="E669" s="5"/>
      <c r="F669" s="5"/>
      <c r="G669" s="5"/>
      <c r="H669" s="306"/>
      <c r="I669" s="306"/>
      <c r="J669" s="5"/>
      <c r="K669" s="5"/>
      <c r="L669" s="5"/>
      <c r="M669" s="5"/>
      <c r="N669" s="5"/>
      <c r="O669" s="5"/>
      <c r="P669" s="57"/>
      <c r="Q669" s="5"/>
      <c r="R669" s="5"/>
      <c r="S669" s="5"/>
      <c r="T669" s="5"/>
      <c r="U669" s="5"/>
      <c r="V669" s="5"/>
      <c r="W669" s="5"/>
      <c r="X669" s="5"/>
      <c r="Y669" s="5"/>
      <c r="Z669" s="5"/>
      <c r="AA669" s="5"/>
    </row>
    <row r="670" spans="1:27" ht="12.75" customHeight="1">
      <c r="A670" s="5"/>
      <c r="B670" s="5"/>
      <c r="C670" s="5"/>
      <c r="D670" s="5"/>
      <c r="E670" s="5"/>
      <c r="F670" s="5"/>
      <c r="G670" s="5"/>
      <c r="H670" s="306"/>
      <c r="I670" s="306"/>
      <c r="J670" s="5"/>
      <c r="K670" s="5"/>
      <c r="L670" s="5"/>
      <c r="M670" s="5"/>
      <c r="N670" s="5"/>
      <c r="O670" s="5"/>
      <c r="P670" s="57"/>
      <c r="Q670" s="5"/>
      <c r="R670" s="5"/>
      <c r="S670" s="5"/>
      <c r="T670" s="5"/>
      <c r="U670" s="5"/>
      <c r="V670" s="5"/>
      <c r="W670" s="5"/>
      <c r="X670" s="5"/>
      <c r="Y670" s="5"/>
      <c r="Z670" s="5"/>
      <c r="AA670" s="5"/>
    </row>
    <row r="671" spans="1:27" ht="12.75" customHeight="1">
      <c r="A671" s="5"/>
      <c r="B671" s="5"/>
      <c r="C671" s="5"/>
      <c r="D671" s="5"/>
      <c r="E671" s="5"/>
      <c r="F671" s="5"/>
      <c r="G671" s="5"/>
      <c r="H671" s="306"/>
      <c r="I671" s="306"/>
      <c r="J671" s="5"/>
      <c r="K671" s="5"/>
      <c r="L671" s="5"/>
      <c r="M671" s="5"/>
      <c r="N671" s="5"/>
      <c r="O671" s="5"/>
      <c r="P671" s="57"/>
      <c r="Q671" s="5"/>
      <c r="R671" s="5"/>
      <c r="S671" s="5"/>
      <c r="T671" s="5"/>
      <c r="U671" s="5"/>
      <c r="V671" s="5"/>
      <c r="W671" s="5"/>
      <c r="X671" s="5"/>
      <c r="Y671" s="5"/>
      <c r="Z671" s="5"/>
      <c r="AA671" s="5"/>
    </row>
    <row r="672" spans="1:27" ht="12.75" customHeight="1">
      <c r="A672" s="5"/>
      <c r="B672" s="5"/>
      <c r="C672" s="5"/>
      <c r="D672" s="5"/>
      <c r="E672" s="5"/>
      <c r="F672" s="5"/>
      <c r="G672" s="5"/>
      <c r="H672" s="306"/>
      <c r="I672" s="306"/>
      <c r="J672" s="5"/>
      <c r="K672" s="5"/>
      <c r="L672" s="5"/>
      <c r="M672" s="5"/>
      <c r="N672" s="5"/>
      <c r="O672" s="5"/>
      <c r="P672" s="57"/>
      <c r="Q672" s="5"/>
      <c r="R672" s="5"/>
      <c r="S672" s="5"/>
      <c r="T672" s="5"/>
      <c r="U672" s="5"/>
      <c r="V672" s="5"/>
      <c r="W672" s="5"/>
      <c r="X672" s="5"/>
      <c r="Y672" s="5"/>
      <c r="Z672" s="5"/>
      <c r="AA672" s="5"/>
    </row>
    <row r="673" spans="1:27" ht="12.75" customHeight="1">
      <c r="A673" s="5"/>
      <c r="B673" s="5"/>
      <c r="C673" s="5"/>
      <c r="D673" s="5"/>
      <c r="E673" s="5"/>
      <c r="F673" s="5"/>
      <c r="G673" s="5"/>
      <c r="H673" s="306"/>
      <c r="I673" s="306"/>
      <c r="J673" s="5"/>
      <c r="K673" s="5"/>
      <c r="L673" s="5"/>
      <c r="M673" s="5"/>
      <c r="N673" s="5"/>
      <c r="O673" s="5"/>
      <c r="P673" s="57"/>
      <c r="Q673" s="5"/>
      <c r="R673" s="5"/>
      <c r="S673" s="5"/>
      <c r="T673" s="5"/>
      <c r="U673" s="5"/>
      <c r="V673" s="5"/>
      <c r="W673" s="5"/>
      <c r="X673" s="5"/>
      <c r="Y673" s="5"/>
      <c r="Z673" s="5"/>
      <c r="AA673" s="5"/>
    </row>
    <row r="674" spans="1:27" ht="12.75" customHeight="1">
      <c r="A674" s="5"/>
      <c r="B674" s="5"/>
      <c r="C674" s="5"/>
      <c r="D674" s="5"/>
      <c r="E674" s="5"/>
      <c r="F674" s="5"/>
      <c r="G674" s="5"/>
      <c r="H674" s="306"/>
      <c r="I674" s="306"/>
      <c r="J674" s="5"/>
      <c r="K674" s="5"/>
      <c r="L674" s="5"/>
      <c r="M674" s="5"/>
      <c r="N674" s="5"/>
      <c r="O674" s="5"/>
      <c r="P674" s="57"/>
      <c r="Q674" s="5"/>
      <c r="R674" s="5"/>
      <c r="S674" s="5"/>
      <c r="T674" s="5"/>
      <c r="U674" s="5"/>
      <c r="V674" s="5"/>
      <c r="W674" s="5"/>
      <c r="X674" s="5"/>
      <c r="Y674" s="5"/>
      <c r="Z674" s="5"/>
      <c r="AA674" s="5"/>
    </row>
    <row r="675" spans="1:27" ht="12.75" customHeight="1">
      <c r="A675" s="5"/>
      <c r="B675" s="5"/>
      <c r="C675" s="5"/>
      <c r="D675" s="5"/>
      <c r="E675" s="5"/>
      <c r="F675" s="5"/>
      <c r="G675" s="5"/>
      <c r="H675" s="306"/>
      <c r="I675" s="306"/>
      <c r="J675" s="5"/>
      <c r="K675" s="5"/>
      <c r="L675" s="5"/>
      <c r="M675" s="5"/>
      <c r="N675" s="5"/>
      <c r="O675" s="5"/>
      <c r="P675" s="57"/>
      <c r="Q675" s="5"/>
      <c r="R675" s="5"/>
      <c r="S675" s="5"/>
      <c r="T675" s="5"/>
      <c r="U675" s="5"/>
      <c r="V675" s="5"/>
      <c r="W675" s="5"/>
      <c r="X675" s="5"/>
      <c r="Y675" s="5"/>
      <c r="Z675" s="5"/>
      <c r="AA675" s="5"/>
    </row>
    <row r="676" spans="1:27" ht="12.75" customHeight="1">
      <c r="A676" s="5"/>
      <c r="B676" s="5"/>
      <c r="C676" s="5"/>
      <c r="D676" s="5"/>
      <c r="E676" s="5"/>
      <c r="F676" s="5"/>
      <c r="G676" s="5"/>
      <c r="H676" s="306"/>
      <c r="I676" s="306"/>
      <c r="J676" s="5"/>
      <c r="K676" s="5"/>
      <c r="L676" s="5"/>
      <c r="M676" s="5"/>
      <c r="N676" s="5"/>
      <c r="O676" s="5"/>
      <c r="P676" s="57"/>
      <c r="Q676" s="5"/>
      <c r="R676" s="5"/>
      <c r="S676" s="5"/>
      <c r="T676" s="5"/>
      <c r="U676" s="5"/>
      <c r="V676" s="5"/>
      <c r="W676" s="5"/>
      <c r="X676" s="5"/>
      <c r="Y676" s="5"/>
      <c r="Z676" s="5"/>
      <c r="AA676" s="5"/>
    </row>
    <row r="677" spans="1:27" ht="12.75" customHeight="1">
      <c r="A677" s="5"/>
      <c r="B677" s="5"/>
      <c r="C677" s="5"/>
      <c r="D677" s="5"/>
      <c r="E677" s="5"/>
      <c r="F677" s="5"/>
      <c r="G677" s="5"/>
      <c r="H677" s="306"/>
      <c r="I677" s="306"/>
      <c r="J677" s="5"/>
      <c r="K677" s="5"/>
      <c r="L677" s="5"/>
      <c r="M677" s="5"/>
      <c r="N677" s="5"/>
      <c r="O677" s="5"/>
      <c r="P677" s="57"/>
      <c r="Q677" s="5"/>
      <c r="R677" s="5"/>
      <c r="S677" s="5"/>
      <c r="T677" s="5"/>
      <c r="U677" s="5"/>
      <c r="V677" s="5"/>
      <c r="W677" s="5"/>
      <c r="X677" s="5"/>
      <c r="Y677" s="5"/>
      <c r="Z677" s="5"/>
      <c r="AA677" s="5"/>
    </row>
    <row r="678" spans="1:27" ht="12.75" customHeight="1">
      <c r="A678" s="5"/>
      <c r="B678" s="5"/>
      <c r="C678" s="5"/>
      <c r="D678" s="5"/>
      <c r="E678" s="5"/>
      <c r="F678" s="5"/>
      <c r="G678" s="5"/>
      <c r="H678" s="306"/>
      <c r="I678" s="306"/>
      <c r="J678" s="5"/>
      <c r="K678" s="5"/>
      <c r="L678" s="5"/>
      <c r="M678" s="5"/>
      <c r="N678" s="5"/>
      <c r="O678" s="5"/>
      <c r="P678" s="57"/>
      <c r="Q678" s="5"/>
      <c r="R678" s="5"/>
      <c r="S678" s="5"/>
      <c r="T678" s="5"/>
      <c r="U678" s="5"/>
      <c r="V678" s="5"/>
      <c r="W678" s="5"/>
      <c r="X678" s="5"/>
      <c r="Y678" s="5"/>
      <c r="Z678" s="5"/>
      <c r="AA678" s="5"/>
    </row>
    <row r="679" spans="1:27" ht="12.75" customHeight="1">
      <c r="A679" s="5"/>
      <c r="B679" s="5"/>
      <c r="C679" s="5"/>
      <c r="D679" s="5"/>
      <c r="E679" s="5"/>
      <c r="F679" s="5"/>
      <c r="G679" s="5"/>
      <c r="H679" s="306"/>
      <c r="I679" s="306"/>
      <c r="J679" s="5"/>
      <c r="K679" s="5"/>
      <c r="L679" s="5"/>
      <c r="M679" s="5"/>
      <c r="N679" s="5"/>
      <c r="O679" s="5"/>
      <c r="P679" s="57"/>
      <c r="Q679" s="5"/>
      <c r="R679" s="5"/>
      <c r="S679" s="5"/>
      <c r="T679" s="5"/>
      <c r="U679" s="5"/>
      <c r="V679" s="5"/>
      <c r="W679" s="5"/>
      <c r="X679" s="5"/>
      <c r="Y679" s="5"/>
      <c r="Z679" s="5"/>
      <c r="AA679" s="5"/>
    </row>
    <row r="680" spans="1:27" ht="12.75" customHeight="1">
      <c r="A680" s="5"/>
      <c r="B680" s="5"/>
      <c r="C680" s="5"/>
      <c r="D680" s="5"/>
      <c r="E680" s="5"/>
      <c r="F680" s="5"/>
      <c r="G680" s="5"/>
      <c r="H680" s="306"/>
      <c r="I680" s="306"/>
      <c r="J680" s="5"/>
      <c r="K680" s="5"/>
      <c r="L680" s="5"/>
      <c r="M680" s="5"/>
      <c r="N680" s="5"/>
      <c r="O680" s="5"/>
      <c r="P680" s="57"/>
      <c r="Q680" s="5"/>
      <c r="R680" s="5"/>
      <c r="S680" s="5"/>
      <c r="T680" s="5"/>
      <c r="U680" s="5"/>
      <c r="V680" s="5"/>
      <c r="W680" s="5"/>
      <c r="X680" s="5"/>
      <c r="Y680" s="5"/>
      <c r="Z680" s="5"/>
      <c r="AA680" s="5"/>
    </row>
    <row r="681" spans="1:27" ht="12.75" customHeight="1">
      <c r="A681" s="5"/>
      <c r="B681" s="5"/>
      <c r="C681" s="5"/>
      <c r="D681" s="5"/>
      <c r="E681" s="5"/>
      <c r="F681" s="5"/>
      <c r="G681" s="5"/>
      <c r="H681" s="306"/>
      <c r="I681" s="306"/>
      <c r="J681" s="5"/>
      <c r="K681" s="5"/>
      <c r="L681" s="5"/>
      <c r="M681" s="5"/>
      <c r="N681" s="5"/>
      <c r="O681" s="5"/>
      <c r="P681" s="57"/>
      <c r="Q681" s="5"/>
      <c r="R681" s="5"/>
      <c r="S681" s="5"/>
      <c r="T681" s="5"/>
      <c r="U681" s="5"/>
      <c r="V681" s="5"/>
      <c r="W681" s="5"/>
      <c r="X681" s="5"/>
      <c r="Y681" s="5"/>
      <c r="Z681" s="5"/>
      <c r="AA681" s="5"/>
    </row>
    <row r="682" spans="1:27" ht="12.75" customHeight="1">
      <c r="A682" s="5"/>
      <c r="B682" s="5"/>
      <c r="C682" s="5"/>
      <c r="D682" s="5"/>
      <c r="E682" s="5"/>
      <c r="F682" s="5"/>
      <c r="G682" s="5"/>
      <c r="H682" s="306"/>
      <c r="I682" s="306"/>
      <c r="J682" s="5"/>
      <c r="K682" s="5"/>
      <c r="L682" s="5"/>
      <c r="M682" s="5"/>
      <c r="N682" s="5"/>
      <c r="O682" s="5"/>
      <c r="P682" s="57"/>
      <c r="Q682" s="5"/>
      <c r="R682" s="5"/>
      <c r="S682" s="5"/>
      <c r="T682" s="5"/>
      <c r="U682" s="5"/>
      <c r="V682" s="5"/>
      <c r="W682" s="5"/>
      <c r="X682" s="5"/>
      <c r="Y682" s="5"/>
      <c r="Z682" s="5"/>
      <c r="AA682" s="5"/>
    </row>
    <row r="683" spans="1:27" ht="12.75" customHeight="1">
      <c r="A683" s="5"/>
      <c r="B683" s="5"/>
      <c r="C683" s="5"/>
      <c r="D683" s="5"/>
      <c r="E683" s="5"/>
      <c r="F683" s="5"/>
      <c r="G683" s="5"/>
      <c r="H683" s="306"/>
      <c r="I683" s="306"/>
      <c r="J683" s="5"/>
      <c r="K683" s="5"/>
      <c r="L683" s="5"/>
      <c r="M683" s="5"/>
      <c r="N683" s="5"/>
      <c r="O683" s="5"/>
      <c r="P683" s="57"/>
      <c r="Q683" s="5"/>
      <c r="R683" s="5"/>
      <c r="S683" s="5"/>
      <c r="T683" s="5"/>
      <c r="U683" s="5"/>
      <c r="V683" s="5"/>
      <c r="W683" s="5"/>
      <c r="X683" s="5"/>
      <c r="Y683" s="5"/>
      <c r="Z683" s="5"/>
      <c r="AA683" s="5"/>
    </row>
    <row r="684" spans="1:27" ht="12.75" customHeight="1">
      <c r="A684" s="5"/>
      <c r="B684" s="5"/>
      <c r="C684" s="5"/>
      <c r="D684" s="5"/>
      <c r="E684" s="5"/>
      <c r="F684" s="5"/>
      <c r="G684" s="5"/>
      <c r="H684" s="306"/>
      <c r="I684" s="306"/>
      <c r="J684" s="5"/>
      <c r="K684" s="5"/>
      <c r="L684" s="5"/>
      <c r="M684" s="5"/>
      <c r="N684" s="5"/>
      <c r="O684" s="5"/>
      <c r="P684" s="57"/>
      <c r="Q684" s="5"/>
      <c r="R684" s="5"/>
      <c r="S684" s="5"/>
      <c r="T684" s="5"/>
      <c r="U684" s="5"/>
      <c r="V684" s="5"/>
      <c r="W684" s="5"/>
      <c r="X684" s="5"/>
      <c r="Y684" s="5"/>
      <c r="Z684" s="5"/>
      <c r="AA684" s="5"/>
    </row>
    <row r="685" spans="1:27" ht="12.75" customHeight="1">
      <c r="A685" s="5"/>
      <c r="B685" s="5"/>
      <c r="C685" s="5"/>
      <c r="D685" s="5"/>
      <c r="E685" s="5"/>
      <c r="F685" s="5"/>
      <c r="G685" s="5"/>
      <c r="H685" s="306"/>
      <c r="I685" s="306"/>
      <c r="J685" s="5"/>
      <c r="K685" s="5"/>
      <c r="L685" s="5"/>
      <c r="M685" s="5"/>
      <c r="N685" s="5"/>
      <c r="O685" s="5"/>
      <c r="P685" s="57"/>
      <c r="Q685" s="5"/>
      <c r="R685" s="5"/>
      <c r="S685" s="5"/>
      <c r="T685" s="5"/>
      <c r="U685" s="5"/>
      <c r="V685" s="5"/>
      <c r="W685" s="5"/>
      <c r="X685" s="5"/>
      <c r="Y685" s="5"/>
      <c r="Z685" s="5"/>
      <c r="AA685" s="5"/>
    </row>
    <row r="686" spans="1:27" ht="12.75" customHeight="1">
      <c r="A686" s="5"/>
      <c r="B686" s="5"/>
      <c r="C686" s="5"/>
      <c r="D686" s="5"/>
      <c r="E686" s="5"/>
      <c r="F686" s="5"/>
      <c r="G686" s="5"/>
      <c r="H686" s="306"/>
      <c r="I686" s="306"/>
      <c r="J686" s="5"/>
      <c r="K686" s="5"/>
      <c r="L686" s="5"/>
      <c r="M686" s="5"/>
      <c r="N686" s="5"/>
      <c r="O686" s="5"/>
      <c r="P686" s="57"/>
      <c r="Q686" s="5"/>
      <c r="R686" s="5"/>
      <c r="S686" s="5"/>
      <c r="T686" s="5"/>
      <c r="U686" s="5"/>
      <c r="V686" s="5"/>
      <c r="W686" s="5"/>
      <c r="X686" s="5"/>
      <c r="Y686" s="5"/>
      <c r="Z686" s="5"/>
      <c r="AA686" s="5"/>
    </row>
    <row r="687" spans="1:27" ht="12.75" customHeight="1">
      <c r="A687" s="5"/>
      <c r="B687" s="5"/>
      <c r="C687" s="5"/>
      <c r="D687" s="5"/>
      <c r="E687" s="5"/>
      <c r="F687" s="5"/>
      <c r="G687" s="5"/>
      <c r="H687" s="306"/>
      <c r="I687" s="306"/>
      <c r="J687" s="5"/>
      <c r="K687" s="5"/>
      <c r="L687" s="5"/>
      <c r="M687" s="5"/>
      <c r="N687" s="5"/>
      <c r="O687" s="5"/>
      <c r="P687" s="57"/>
      <c r="Q687" s="5"/>
      <c r="R687" s="5"/>
      <c r="S687" s="5"/>
      <c r="T687" s="5"/>
      <c r="U687" s="5"/>
      <c r="V687" s="5"/>
      <c r="W687" s="5"/>
      <c r="X687" s="5"/>
      <c r="Y687" s="5"/>
      <c r="Z687" s="5"/>
      <c r="AA687" s="5"/>
    </row>
    <row r="688" spans="1:27" ht="12.75" customHeight="1">
      <c r="A688" s="5"/>
      <c r="B688" s="5"/>
      <c r="C688" s="5"/>
      <c r="D688" s="5"/>
      <c r="E688" s="5"/>
      <c r="F688" s="5"/>
      <c r="G688" s="5"/>
      <c r="H688" s="306"/>
      <c r="I688" s="306"/>
      <c r="J688" s="5"/>
      <c r="K688" s="5"/>
      <c r="L688" s="5"/>
      <c r="M688" s="5"/>
      <c r="N688" s="5"/>
      <c r="O688" s="5"/>
      <c r="P688" s="57"/>
      <c r="Q688" s="5"/>
      <c r="R688" s="5"/>
      <c r="S688" s="5"/>
      <c r="T688" s="5"/>
      <c r="U688" s="5"/>
      <c r="V688" s="5"/>
      <c r="W688" s="5"/>
      <c r="X688" s="5"/>
      <c r="Y688" s="5"/>
      <c r="Z688" s="5"/>
      <c r="AA688" s="5"/>
    </row>
    <row r="689" spans="1:27" ht="12.75" customHeight="1">
      <c r="A689" s="5"/>
      <c r="B689" s="5"/>
      <c r="C689" s="5"/>
      <c r="D689" s="5"/>
      <c r="E689" s="5"/>
      <c r="F689" s="5"/>
      <c r="G689" s="5"/>
      <c r="H689" s="306"/>
      <c r="I689" s="306"/>
      <c r="J689" s="5"/>
      <c r="K689" s="5"/>
      <c r="L689" s="5"/>
      <c r="M689" s="5"/>
      <c r="N689" s="5"/>
      <c r="O689" s="5"/>
      <c r="P689" s="57"/>
      <c r="Q689" s="5"/>
      <c r="R689" s="5"/>
      <c r="S689" s="5"/>
      <c r="T689" s="5"/>
      <c r="U689" s="5"/>
      <c r="V689" s="5"/>
      <c r="W689" s="5"/>
      <c r="X689" s="5"/>
      <c r="Y689" s="5"/>
      <c r="Z689" s="5"/>
      <c r="AA689" s="5"/>
    </row>
    <row r="690" spans="1:27" ht="12.75" customHeight="1">
      <c r="A690" s="5"/>
      <c r="B690" s="5"/>
      <c r="C690" s="5"/>
      <c r="D690" s="5"/>
      <c r="E690" s="5"/>
      <c r="F690" s="5"/>
      <c r="G690" s="5"/>
      <c r="H690" s="306"/>
      <c r="I690" s="306"/>
      <c r="J690" s="5"/>
      <c r="K690" s="5"/>
      <c r="L690" s="5"/>
      <c r="M690" s="5"/>
      <c r="N690" s="5"/>
      <c r="O690" s="5"/>
      <c r="P690" s="57"/>
      <c r="Q690" s="5"/>
      <c r="R690" s="5"/>
      <c r="S690" s="5"/>
      <c r="T690" s="5"/>
      <c r="U690" s="5"/>
      <c r="V690" s="5"/>
      <c r="W690" s="5"/>
      <c r="X690" s="5"/>
      <c r="Y690" s="5"/>
      <c r="Z690" s="5"/>
      <c r="AA690" s="5"/>
    </row>
    <row r="691" spans="1:27" ht="12.75" customHeight="1">
      <c r="A691" s="5"/>
      <c r="B691" s="5"/>
      <c r="C691" s="5"/>
      <c r="D691" s="5"/>
      <c r="E691" s="5"/>
      <c r="F691" s="5"/>
      <c r="G691" s="5"/>
      <c r="H691" s="306"/>
      <c r="I691" s="306"/>
      <c r="J691" s="5"/>
      <c r="K691" s="5"/>
      <c r="L691" s="5"/>
      <c r="M691" s="5"/>
      <c r="N691" s="5"/>
      <c r="O691" s="5"/>
      <c r="P691" s="57"/>
      <c r="Q691" s="5"/>
      <c r="R691" s="5"/>
      <c r="S691" s="5"/>
      <c r="T691" s="5"/>
      <c r="U691" s="5"/>
      <c r="V691" s="5"/>
      <c r="W691" s="5"/>
      <c r="X691" s="5"/>
      <c r="Y691" s="5"/>
      <c r="Z691" s="5"/>
      <c r="AA691" s="5"/>
    </row>
    <row r="692" spans="1:27" ht="12.75" customHeight="1">
      <c r="A692" s="5"/>
      <c r="B692" s="5"/>
      <c r="C692" s="5"/>
      <c r="D692" s="5"/>
      <c r="E692" s="5"/>
      <c r="F692" s="5"/>
      <c r="G692" s="5"/>
      <c r="H692" s="306"/>
      <c r="I692" s="306"/>
      <c r="J692" s="5"/>
      <c r="K692" s="5"/>
      <c r="L692" s="5"/>
      <c r="M692" s="5"/>
      <c r="N692" s="5"/>
      <c r="O692" s="5"/>
      <c r="P692" s="57"/>
      <c r="Q692" s="5"/>
      <c r="R692" s="5"/>
      <c r="S692" s="5"/>
      <c r="T692" s="5"/>
      <c r="U692" s="5"/>
      <c r="V692" s="5"/>
      <c r="W692" s="5"/>
      <c r="X692" s="5"/>
      <c r="Y692" s="5"/>
      <c r="Z692" s="5"/>
      <c r="AA692" s="5"/>
    </row>
    <row r="693" spans="1:27" ht="12.75" customHeight="1">
      <c r="A693" s="5"/>
      <c r="B693" s="5"/>
      <c r="C693" s="5"/>
      <c r="D693" s="5"/>
      <c r="E693" s="5"/>
      <c r="F693" s="5"/>
      <c r="G693" s="5"/>
      <c r="H693" s="306"/>
      <c r="I693" s="306"/>
      <c r="J693" s="5"/>
      <c r="K693" s="5"/>
      <c r="L693" s="5"/>
      <c r="M693" s="5"/>
      <c r="N693" s="5"/>
      <c r="O693" s="5"/>
      <c r="P693" s="57"/>
      <c r="Q693" s="5"/>
      <c r="R693" s="5"/>
      <c r="S693" s="5"/>
      <c r="T693" s="5"/>
      <c r="U693" s="5"/>
      <c r="V693" s="5"/>
      <c r="W693" s="5"/>
      <c r="X693" s="5"/>
      <c r="Y693" s="5"/>
      <c r="Z693" s="5"/>
      <c r="AA693" s="5"/>
    </row>
    <row r="694" spans="1:27" ht="12.75" customHeight="1">
      <c r="A694" s="5"/>
      <c r="B694" s="5"/>
      <c r="C694" s="5"/>
      <c r="D694" s="5"/>
      <c r="E694" s="5"/>
      <c r="F694" s="5"/>
      <c r="G694" s="5"/>
      <c r="H694" s="306"/>
      <c r="I694" s="306"/>
      <c r="J694" s="5"/>
      <c r="K694" s="5"/>
      <c r="L694" s="5"/>
      <c r="M694" s="5"/>
      <c r="N694" s="5"/>
      <c r="O694" s="5"/>
      <c r="P694" s="57"/>
      <c r="Q694" s="5"/>
      <c r="R694" s="5"/>
      <c r="S694" s="5"/>
      <c r="T694" s="5"/>
      <c r="U694" s="5"/>
      <c r="V694" s="5"/>
      <c r="W694" s="5"/>
      <c r="X694" s="5"/>
      <c r="Y694" s="5"/>
      <c r="Z694" s="5"/>
      <c r="AA694" s="5"/>
    </row>
    <row r="695" spans="1:27" ht="12.75" customHeight="1">
      <c r="A695" s="5"/>
      <c r="B695" s="5"/>
      <c r="C695" s="5"/>
      <c r="D695" s="5"/>
      <c r="E695" s="5"/>
      <c r="F695" s="5"/>
      <c r="G695" s="5"/>
      <c r="H695" s="306"/>
      <c r="I695" s="306"/>
      <c r="J695" s="5"/>
      <c r="K695" s="5"/>
      <c r="L695" s="5"/>
      <c r="M695" s="5"/>
      <c r="N695" s="5"/>
      <c r="O695" s="5"/>
      <c r="P695" s="57"/>
      <c r="Q695" s="5"/>
      <c r="R695" s="5"/>
      <c r="S695" s="5"/>
      <c r="T695" s="5"/>
      <c r="U695" s="5"/>
      <c r="V695" s="5"/>
      <c r="W695" s="5"/>
      <c r="X695" s="5"/>
      <c r="Y695" s="5"/>
      <c r="Z695" s="5"/>
      <c r="AA695" s="5"/>
    </row>
    <row r="696" spans="1:27" ht="12.75" customHeight="1">
      <c r="A696" s="5"/>
      <c r="B696" s="5"/>
      <c r="C696" s="5"/>
      <c r="D696" s="5"/>
      <c r="E696" s="5"/>
      <c r="F696" s="5"/>
      <c r="G696" s="5"/>
      <c r="H696" s="306"/>
      <c r="I696" s="306"/>
      <c r="J696" s="5"/>
      <c r="K696" s="5"/>
      <c r="L696" s="5"/>
      <c r="M696" s="5"/>
      <c r="N696" s="5"/>
      <c r="O696" s="5"/>
      <c r="P696" s="57"/>
      <c r="Q696" s="5"/>
      <c r="R696" s="5"/>
      <c r="S696" s="5"/>
      <c r="T696" s="5"/>
      <c r="U696" s="5"/>
      <c r="V696" s="5"/>
      <c r="W696" s="5"/>
      <c r="X696" s="5"/>
      <c r="Y696" s="5"/>
      <c r="Z696" s="5"/>
      <c r="AA696" s="5"/>
    </row>
    <row r="697" spans="1:27" ht="12.75" customHeight="1">
      <c r="A697" s="5"/>
      <c r="B697" s="5"/>
      <c r="C697" s="5"/>
      <c r="D697" s="5"/>
      <c r="E697" s="5"/>
      <c r="F697" s="5"/>
      <c r="G697" s="5"/>
      <c r="H697" s="306"/>
      <c r="I697" s="306"/>
      <c r="J697" s="5"/>
      <c r="K697" s="5"/>
      <c r="L697" s="5"/>
      <c r="M697" s="5"/>
      <c r="N697" s="5"/>
      <c r="O697" s="5"/>
      <c r="P697" s="57"/>
      <c r="Q697" s="5"/>
      <c r="R697" s="5"/>
      <c r="S697" s="5"/>
      <c r="T697" s="5"/>
      <c r="U697" s="5"/>
      <c r="V697" s="5"/>
      <c r="W697" s="5"/>
      <c r="X697" s="5"/>
      <c r="Y697" s="5"/>
      <c r="Z697" s="5"/>
      <c r="AA697" s="5"/>
    </row>
    <row r="698" spans="1:27" ht="12.75" customHeight="1">
      <c r="A698" s="5"/>
      <c r="B698" s="5"/>
      <c r="C698" s="5"/>
      <c r="D698" s="5"/>
      <c r="E698" s="5"/>
      <c r="F698" s="5"/>
      <c r="G698" s="5"/>
      <c r="H698" s="306"/>
      <c r="I698" s="306"/>
      <c r="J698" s="5"/>
      <c r="K698" s="5"/>
      <c r="L698" s="5"/>
      <c r="M698" s="5"/>
      <c r="N698" s="5"/>
      <c r="O698" s="5"/>
      <c r="P698" s="57"/>
      <c r="Q698" s="5"/>
      <c r="R698" s="5"/>
      <c r="S698" s="5"/>
      <c r="T698" s="5"/>
      <c r="U698" s="5"/>
      <c r="V698" s="5"/>
      <c r="W698" s="5"/>
      <c r="X698" s="5"/>
      <c r="Y698" s="5"/>
      <c r="Z698" s="5"/>
      <c r="AA698" s="5"/>
    </row>
    <row r="699" spans="1:27" ht="12.75" customHeight="1">
      <c r="A699" s="5"/>
      <c r="B699" s="5"/>
      <c r="C699" s="5"/>
      <c r="D699" s="5"/>
      <c r="E699" s="5"/>
      <c r="F699" s="5"/>
      <c r="G699" s="5"/>
      <c r="H699" s="306"/>
      <c r="I699" s="306"/>
      <c r="J699" s="5"/>
      <c r="K699" s="5"/>
      <c r="L699" s="5"/>
      <c r="M699" s="5"/>
      <c r="N699" s="5"/>
      <c r="O699" s="5"/>
      <c r="P699" s="57"/>
      <c r="Q699" s="5"/>
      <c r="R699" s="5"/>
      <c r="S699" s="5"/>
      <c r="T699" s="5"/>
      <c r="U699" s="5"/>
      <c r="V699" s="5"/>
      <c r="W699" s="5"/>
      <c r="X699" s="5"/>
      <c r="Y699" s="5"/>
      <c r="Z699" s="5"/>
      <c r="AA699" s="5"/>
    </row>
    <row r="700" spans="1:27" ht="12.75" customHeight="1">
      <c r="A700" s="5"/>
      <c r="B700" s="5"/>
      <c r="C700" s="5"/>
      <c r="D700" s="5"/>
      <c r="E700" s="5"/>
      <c r="F700" s="5"/>
      <c r="G700" s="5"/>
      <c r="H700" s="306"/>
      <c r="I700" s="306"/>
      <c r="J700" s="5"/>
      <c r="K700" s="5"/>
      <c r="L700" s="5"/>
      <c r="M700" s="5"/>
      <c r="N700" s="5"/>
      <c r="O700" s="5"/>
      <c r="P700" s="57"/>
      <c r="Q700" s="5"/>
      <c r="R700" s="5"/>
      <c r="S700" s="5"/>
      <c r="T700" s="5"/>
      <c r="U700" s="5"/>
      <c r="V700" s="5"/>
      <c r="W700" s="5"/>
      <c r="X700" s="5"/>
      <c r="Y700" s="5"/>
      <c r="Z700" s="5"/>
      <c r="AA700" s="5"/>
    </row>
    <row r="701" spans="1:27" ht="12.75" customHeight="1">
      <c r="A701" s="5"/>
      <c r="B701" s="5"/>
      <c r="C701" s="5"/>
      <c r="D701" s="5"/>
      <c r="E701" s="5"/>
      <c r="F701" s="5"/>
      <c r="G701" s="5"/>
      <c r="H701" s="306"/>
      <c r="I701" s="306"/>
      <c r="J701" s="5"/>
      <c r="K701" s="5"/>
      <c r="L701" s="5"/>
      <c r="M701" s="5"/>
      <c r="N701" s="5"/>
      <c r="O701" s="5"/>
      <c r="P701" s="57"/>
      <c r="Q701" s="5"/>
      <c r="R701" s="5"/>
      <c r="S701" s="5"/>
      <c r="T701" s="5"/>
      <c r="U701" s="5"/>
      <c r="V701" s="5"/>
      <c r="W701" s="5"/>
      <c r="X701" s="5"/>
      <c r="Y701" s="5"/>
      <c r="Z701" s="5"/>
      <c r="AA701" s="5"/>
    </row>
    <row r="702" spans="1:27" ht="12.75" customHeight="1">
      <c r="A702" s="5"/>
      <c r="B702" s="5"/>
      <c r="C702" s="5"/>
      <c r="D702" s="5"/>
      <c r="E702" s="5"/>
      <c r="F702" s="5"/>
      <c r="G702" s="5"/>
      <c r="H702" s="306"/>
      <c r="I702" s="306"/>
      <c r="J702" s="5"/>
      <c r="K702" s="5"/>
      <c r="L702" s="5"/>
      <c r="M702" s="5"/>
      <c r="N702" s="5"/>
      <c r="O702" s="5"/>
      <c r="P702" s="57"/>
      <c r="Q702" s="5"/>
      <c r="R702" s="5"/>
      <c r="S702" s="5"/>
      <c r="T702" s="5"/>
      <c r="U702" s="5"/>
      <c r="V702" s="5"/>
      <c r="W702" s="5"/>
      <c r="X702" s="5"/>
      <c r="Y702" s="5"/>
      <c r="Z702" s="5"/>
      <c r="AA702" s="5"/>
    </row>
    <row r="703" spans="1:27" ht="12.75" customHeight="1">
      <c r="A703" s="5"/>
      <c r="B703" s="5"/>
      <c r="C703" s="5"/>
      <c r="D703" s="5"/>
      <c r="E703" s="5"/>
      <c r="F703" s="5"/>
      <c r="G703" s="5"/>
      <c r="H703" s="306"/>
      <c r="I703" s="306"/>
      <c r="J703" s="5"/>
      <c r="K703" s="5"/>
      <c r="L703" s="5"/>
      <c r="M703" s="5"/>
      <c r="N703" s="5"/>
      <c r="O703" s="5"/>
      <c r="P703" s="57"/>
      <c r="Q703" s="5"/>
      <c r="R703" s="5"/>
      <c r="S703" s="5"/>
      <c r="T703" s="5"/>
      <c r="U703" s="5"/>
      <c r="V703" s="5"/>
      <c r="W703" s="5"/>
      <c r="X703" s="5"/>
      <c r="Y703" s="5"/>
      <c r="Z703" s="5"/>
      <c r="AA703" s="5"/>
    </row>
    <row r="704" spans="1:27" ht="12.75" customHeight="1">
      <c r="A704" s="5"/>
      <c r="B704" s="5"/>
      <c r="C704" s="5"/>
      <c r="D704" s="5"/>
      <c r="E704" s="5"/>
      <c r="F704" s="5"/>
      <c r="G704" s="5"/>
      <c r="H704" s="306"/>
      <c r="I704" s="306"/>
      <c r="J704" s="5"/>
      <c r="K704" s="5"/>
      <c r="L704" s="5"/>
      <c r="M704" s="5"/>
      <c r="N704" s="5"/>
      <c r="O704" s="5"/>
      <c r="P704" s="57"/>
      <c r="Q704" s="5"/>
      <c r="R704" s="5"/>
      <c r="S704" s="5"/>
      <c r="T704" s="5"/>
      <c r="U704" s="5"/>
      <c r="V704" s="5"/>
      <c r="W704" s="5"/>
      <c r="X704" s="5"/>
      <c r="Y704" s="5"/>
      <c r="Z704" s="5"/>
      <c r="AA704" s="5"/>
    </row>
    <row r="705" spans="1:27" ht="12.75" customHeight="1">
      <c r="A705" s="5"/>
      <c r="B705" s="5"/>
      <c r="C705" s="5"/>
      <c r="D705" s="5"/>
      <c r="E705" s="5"/>
      <c r="F705" s="5"/>
      <c r="G705" s="5"/>
      <c r="H705" s="306"/>
      <c r="I705" s="306"/>
      <c r="J705" s="5"/>
      <c r="K705" s="5"/>
      <c r="L705" s="5"/>
      <c r="M705" s="5"/>
      <c r="N705" s="5"/>
      <c r="O705" s="5"/>
      <c r="P705" s="57"/>
      <c r="Q705" s="5"/>
      <c r="R705" s="5"/>
      <c r="S705" s="5"/>
      <c r="T705" s="5"/>
      <c r="U705" s="5"/>
      <c r="V705" s="5"/>
      <c r="W705" s="5"/>
      <c r="X705" s="5"/>
      <c r="Y705" s="5"/>
      <c r="Z705" s="5"/>
      <c r="AA705" s="5"/>
    </row>
    <row r="706" spans="1:27" ht="12.75" customHeight="1">
      <c r="A706" s="5"/>
      <c r="B706" s="5"/>
      <c r="C706" s="5"/>
      <c r="D706" s="5"/>
      <c r="E706" s="5"/>
      <c r="F706" s="5"/>
      <c r="G706" s="5"/>
      <c r="H706" s="306"/>
      <c r="I706" s="306"/>
      <c r="J706" s="5"/>
      <c r="K706" s="5"/>
      <c r="L706" s="5"/>
      <c r="M706" s="5"/>
      <c r="N706" s="5"/>
      <c r="O706" s="5"/>
      <c r="P706" s="57"/>
      <c r="Q706" s="5"/>
      <c r="R706" s="5"/>
      <c r="S706" s="5"/>
      <c r="T706" s="5"/>
      <c r="U706" s="5"/>
      <c r="V706" s="5"/>
      <c r="W706" s="5"/>
      <c r="X706" s="5"/>
      <c r="Y706" s="5"/>
      <c r="Z706" s="5"/>
      <c r="AA706" s="5"/>
    </row>
    <row r="707" spans="1:27" ht="12.75" customHeight="1">
      <c r="A707" s="5"/>
      <c r="B707" s="5"/>
      <c r="C707" s="5"/>
      <c r="D707" s="5"/>
      <c r="E707" s="5"/>
      <c r="F707" s="5"/>
      <c r="G707" s="5"/>
      <c r="H707" s="306"/>
      <c r="I707" s="306"/>
      <c r="J707" s="5"/>
      <c r="K707" s="5"/>
      <c r="L707" s="5"/>
      <c r="M707" s="5"/>
      <c r="N707" s="5"/>
      <c r="O707" s="5"/>
      <c r="P707" s="57"/>
      <c r="Q707" s="5"/>
      <c r="R707" s="5"/>
      <c r="S707" s="5"/>
      <c r="T707" s="5"/>
      <c r="U707" s="5"/>
      <c r="V707" s="5"/>
      <c r="W707" s="5"/>
      <c r="X707" s="5"/>
      <c r="Y707" s="5"/>
      <c r="Z707" s="5"/>
      <c r="AA707" s="5"/>
    </row>
    <row r="708" spans="1:27" ht="12.75" customHeight="1">
      <c r="A708" s="5"/>
      <c r="B708" s="5"/>
      <c r="C708" s="5"/>
      <c r="D708" s="5"/>
      <c r="E708" s="5"/>
      <c r="F708" s="5"/>
      <c r="G708" s="5"/>
      <c r="H708" s="306"/>
      <c r="I708" s="306"/>
      <c r="J708" s="5"/>
      <c r="K708" s="5"/>
      <c r="L708" s="5"/>
      <c r="M708" s="5"/>
      <c r="N708" s="5"/>
      <c r="O708" s="5"/>
      <c r="P708" s="57"/>
      <c r="Q708" s="5"/>
      <c r="R708" s="5"/>
      <c r="S708" s="5"/>
      <c r="T708" s="5"/>
      <c r="U708" s="5"/>
      <c r="V708" s="5"/>
      <c r="W708" s="5"/>
      <c r="X708" s="5"/>
      <c r="Y708" s="5"/>
      <c r="Z708" s="5"/>
      <c r="AA708" s="5"/>
    </row>
    <row r="709" spans="1:27" ht="12.75" customHeight="1">
      <c r="A709" s="5"/>
      <c r="B709" s="5"/>
      <c r="C709" s="5"/>
      <c r="D709" s="5"/>
      <c r="E709" s="5"/>
      <c r="F709" s="5"/>
      <c r="G709" s="5"/>
      <c r="H709" s="306"/>
      <c r="I709" s="306"/>
      <c r="J709" s="5"/>
      <c r="K709" s="5"/>
      <c r="L709" s="5"/>
      <c r="M709" s="5"/>
      <c r="N709" s="5"/>
      <c r="O709" s="5"/>
      <c r="P709" s="57"/>
      <c r="Q709" s="5"/>
      <c r="R709" s="5"/>
      <c r="S709" s="5"/>
      <c r="T709" s="5"/>
      <c r="U709" s="5"/>
      <c r="V709" s="5"/>
      <c r="W709" s="5"/>
      <c r="X709" s="5"/>
      <c r="Y709" s="5"/>
      <c r="Z709" s="5"/>
      <c r="AA709" s="5"/>
    </row>
    <row r="710" spans="1:27" ht="12.75" customHeight="1">
      <c r="A710" s="5"/>
      <c r="B710" s="5"/>
      <c r="C710" s="5"/>
      <c r="D710" s="5"/>
      <c r="E710" s="5"/>
      <c r="F710" s="5"/>
      <c r="G710" s="5"/>
      <c r="H710" s="306"/>
      <c r="I710" s="306"/>
      <c r="J710" s="5"/>
      <c r="K710" s="5"/>
      <c r="L710" s="5"/>
      <c r="M710" s="5"/>
      <c r="N710" s="5"/>
      <c r="O710" s="5"/>
      <c r="P710" s="57"/>
      <c r="Q710" s="5"/>
      <c r="R710" s="5"/>
      <c r="S710" s="5"/>
      <c r="T710" s="5"/>
      <c r="U710" s="5"/>
      <c r="V710" s="5"/>
      <c r="W710" s="5"/>
      <c r="X710" s="5"/>
      <c r="Y710" s="5"/>
      <c r="Z710" s="5"/>
      <c r="AA710" s="5"/>
    </row>
    <row r="711" spans="1:27" ht="12.75" customHeight="1">
      <c r="A711" s="5"/>
      <c r="B711" s="5"/>
      <c r="C711" s="5"/>
      <c r="D711" s="5"/>
      <c r="E711" s="5"/>
      <c r="F711" s="5"/>
      <c r="G711" s="5"/>
      <c r="H711" s="306"/>
      <c r="I711" s="306"/>
      <c r="J711" s="5"/>
      <c r="K711" s="5"/>
      <c r="L711" s="5"/>
      <c r="M711" s="5"/>
      <c r="N711" s="5"/>
      <c r="O711" s="5"/>
      <c r="P711" s="57"/>
      <c r="Q711" s="5"/>
      <c r="R711" s="5"/>
      <c r="S711" s="5"/>
      <c r="T711" s="5"/>
      <c r="U711" s="5"/>
      <c r="V711" s="5"/>
      <c r="W711" s="5"/>
      <c r="X711" s="5"/>
      <c r="Y711" s="5"/>
      <c r="Z711" s="5"/>
      <c r="AA711" s="5"/>
    </row>
    <row r="712" spans="1:27" ht="12.75" customHeight="1">
      <c r="A712" s="5"/>
      <c r="B712" s="5"/>
      <c r="C712" s="5"/>
      <c r="D712" s="5"/>
      <c r="E712" s="5"/>
      <c r="F712" s="5"/>
      <c r="G712" s="5"/>
      <c r="H712" s="306"/>
      <c r="I712" s="306"/>
      <c r="J712" s="5"/>
      <c r="K712" s="5"/>
      <c r="L712" s="5"/>
      <c r="M712" s="5"/>
      <c r="N712" s="5"/>
      <c r="O712" s="5"/>
      <c r="P712" s="57"/>
      <c r="Q712" s="5"/>
      <c r="R712" s="5"/>
      <c r="S712" s="5"/>
      <c r="T712" s="5"/>
      <c r="U712" s="5"/>
      <c r="V712" s="5"/>
      <c r="W712" s="5"/>
      <c r="X712" s="5"/>
      <c r="Y712" s="5"/>
      <c r="Z712" s="5"/>
      <c r="AA712" s="5"/>
    </row>
    <row r="713" spans="1:27" ht="12.75" customHeight="1">
      <c r="A713" s="5"/>
      <c r="B713" s="5"/>
      <c r="C713" s="5"/>
      <c r="D713" s="5"/>
      <c r="E713" s="5"/>
      <c r="F713" s="5"/>
      <c r="G713" s="5"/>
      <c r="H713" s="306"/>
      <c r="I713" s="306"/>
      <c r="J713" s="5"/>
      <c r="K713" s="5"/>
      <c r="L713" s="5"/>
      <c r="M713" s="5"/>
      <c r="N713" s="5"/>
      <c r="O713" s="5"/>
      <c r="P713" s="57"/>
      <c r="Q713" s="5"/>
      <c r="R713" s="5"/>
      <c r="S713" s="5"/>
      <c r="T713" s="5"/>
      <c r="U713" s="5"/>
      <c r="V713" s="5"/>
      <c r="W713" s="5"/>
      <c r="X713" s="5"/>
      <c r="Y713" s="5"/>
      <c r="Z713" s="5"/>
      <c r="AA713" s="5"/>
    </row>
    <row r="714" spans="1:27" ht="12.75" customHeight="1">
      <c r="A714" s="5"/>
      <c r="B714" s="5"/>
      <c r="C714" s="5"/>
      <c r="D714" s="5"/>
      <c r="E714" s="5"/>
      <c r="F714" s="5"/>
      <c r="G714" s="5"/>
      <c r="H714" s="306"/>
      <c r="I714" s="306"/>
      <c r="J714" s="5"/>
      <c r="K714" s="5"/>
      <c r="L714" s="5"/>
      <c r="M714" s="5"/>
      <c r="N714" s="5"/>
      <c r="O714" s="5"/>
      <c r="P714" s="57"/>
      <c r="Q714" s="5"/>
      <c r="R714" s="5"/>
      <c r="S714" s="5"/>
      <c r="T714" s="5"/>
      <c r="U714" s="5"/>
      <c r="V714" s="5"/>
      <c r="W714" s="5"/>
      <c r="X714" s="5"/>
      <c r="Y714" s="5"/>
      <c r="Z714" s="5"/>
      <c r="AA714" s="5"/>
    </row>
    <row r="715" spans="1:27" ht="12.75" customHeight="1">
      <c r="A715" s="5"/>
      <c r="B715" s="5"/>
      <c r="C715" s="5"/>
      <c r="D715" s="5"/>
      <c r="E715" s="5"/>
      <c r="F715" s="5"/>
      <c r="G715" s="5"/>
      <c r="H715" s="306"/>
      <c r="I715" s="306"/>
      <c r="J715" s="5"/>
      <c r="K715" s="5"/>
      <c r="L715" s="5"/>
      <c r="M715" s="5"/>
      <c r="N715" s="5"/>
      <c r="O715" s="5"/>
      <c r="P715" s="57"/>
      <c r="Q715" s="5"/>
      <c r="R715" s="5"/>
      <c r="S715" s="5"/>
      <c r="T715" s="5"/>
      <c r="U715" s="5"/>
      <c r="V715" s="5"/>
      <c r="W715" s="5"/>
      <c r="X715" s="5"/>
      <c r="Y715" s="5"/>
      <c r="Z715" s="5"/>
      <c r="AA715" s="5"/>
    </row>
    <row r="716" spans="1:27" ht="12.75" customHeight="1">
      <c r="A716" s="5"/>
      <c r="B716" s="5"/>
      <c r="C716" s="5"/>
      <c r="D716" s="5"/>
      <c r="E716" s="5"/>
      <c r="F716" s="5"/>
      <c r="G716" s="5"/>
      <c r="H716" s="306"/>
      <c r="I716" s="306"/>
      <c r="J716" s="5"/>
      <c r="K716" s="5"/>
      <c r="L716" s="5"/>
      <c r="M716" s="5"/>
      <c r="N716" s="5"/>
      <c r="O716" s="5"/>
      <c r="P716" s="57"/>
      <c r="Q716" s="5"/>
      <c r="R716" s="5"/>
      <c r="S716" s="5"/>
      <c r="T716" s="5"/>
      <c r="U716" s="5"/>
      <c r="V716" s="5"/>
      <c r="W716" s="5"/>
      <c r="X716" s="5"/>
      <c r="Y716" s="5"/>
      <c r="Z716" s="5"/>
      <c r="AA716" s="5"/>
    </row>
    <row r="717" spans="1:27" ht="12.75" customHeight="1">
      <c r="A717" s="5"/>
      <c r="B717" s="5"/>
      <c r="C717" s="5"/>
      <c r="D717" s="5"/>
      <c r="E717" s="5"/>
      <c r="F717" s="5"/>
      <c r="G717" s="5"/>
      <c r="H717" s="306"/>
      <c r="I717" s="306"/>
      <c r="J717" s="5"/>
      <c r="K717" s="5"/>
      <c r="L717" s="5"/>
      <c r="M717" s="5"/>
      <c r="N717" s="5"/>
      <c r="O717" s="5"/>
      <c r="P717" s="57"/>
      <c r="Q717" s="5"/>
      <c r="R717" s="5"/>
      <c r="S717" s="5"/>
      <c r="T717" s="5"/>
      <c r="U717" s="5"/>
      <c r="V717" s="5"/>
      <c r="W717" s="5"/>
      <c r="X717" s="5"/>
      <c r="Y717" s="5"/>
      <c r="Z717" s="5"/>
      <c r="AA717" s="5"/>
    </row>
    <row r="718" spans="1:27" ht="12.75" customHeight="1">
      <c r="A718" s="5"/>
      <c r="B718" s="5"/>
      <c r="C718" s="5"/>
      <c r="D718" s="5"/>
      <c r="E718" s="5"/>
      <c r="F718" s="5"/>
      <c r="G718" s="5"/>
      <c r="H718" s="306"/>
      <c r="I718" s="306"/>
      <c r="J718" s="5"/>
      <c r="K718" s="5"/>
      <c r="L718" s="5"/>
      <c r="M718" s="5"/>
      <c r="N718" s="5"/>
      <c r="O718" s="5"/>
      <c r="P718" s="57"/>
      <c r="Q718" s="5"/>
      <c r="R718" s="5"/>
      <c r="S718" s="5"/>
      <c r="T718" s="5"/>
      <c r="U718" s="5"/>
      <c r="V718" s="5"/>
      <c r="W718" s="5"/>
      <c r="X718" s="5"/>
      <c r="Y718" s="5"/>
      <c r="Z718" s="5"/>
      <c r="AA718" s="5"/>
    </row>
    <row r="719" spans="1:27" ht="12.75" customHeight="1">
      <c r="A719" s="5"/>
      <c r="B719" s="5"/>
      <c r="C719" s="5"/>
      <c r="D719" s="5"/>
      <c r="E719" s="5"/>
      <c r="F719" s="5"/>
      <c r="G719" s="5"/>
      <c r="H719" s="306"/>
      <c r="I719" s="306"/>
      <c r="J719" s="5"/>
      <c r="K719" s="5"/>
      <c r="L719" s="5"/>
      <c r="M719" s="5"/>
      <c r="N719" s="5"/>
      <c r="O719" s="5"/>
      <c r="P719" s="57"/>
      <c r="Q719" s="5"/>
      <c r="R719" s="5"/>
      <c r="S719" s="5"/>
      <c r="T719" s="5"/>
      <c r="U719" s="5"/>
      <c r="V719" s="5"/>
      <c r="W719" s="5"/>
      <c r="X719" s="5"/>
      <c r="Y719" s="5"/>
      <c r="Z719" s="5"/>
      <c r="AA719" s="5"/>
    </row>
    <row r="720" spans="1:27" ht="12.75" customHeight="1">
      <c r="A720" s="5"/>
      <c r="B720" s="5"/>
      <c r="C720" s="5"/>
      <c r="D720" s="5"/>
      <c r="E720" s="5"/>
      <c r="F720" s="5"/>
      <c r="G720" s="5"/>
      <c r="H720" s="306"/>
      <c r="I720" s="306"/>
      <c r="J720" s="5"/>
      <c r="K720" s="5"/>
      <c r="L720" s="5"/>
      <c r="M720" s="5"/>
      <c r="N720" s="5"/>
      <c r="O720" s="5"/>
      <c r="P720" s="57"/>
      <c r="Q720" s="5"/>
      <c r="R720" s="5"/>
      <c r="S720" s="5"/>
      <c r="T720" s="5"/>
      <c r="U720" s="5"/>
      <c r="V720" s="5"/>
      <c r="W720" s="5"/>
      <c r="X720" s="5"/>
      <c r="Y720" s="5"/>
      <c r="Z720" s="5"/>
      <c r="AA720" s="5"/>
    </row>
    <row r="721" spans="1:27" ht="12.75" customHeight="1">
      <c r="A721" s="5"/>
      <c r="B721" s="5"/>
      <c r="C721" s="5"/>
      <c r="D721" s="5"/>
      <c r="E721" s="5"/>
      <c r="F721" s="5"/>
      <c r="G721" s="5"/>
      <c r="H721" s="306"/>
      <c r="I721" s="306"/>
      <c r="J721" s="5"/>
      <c r="K721" s="5"/>
      <c r="L721" s="5"/>
      <c r="M721" s="5"/>
      <c r="N721" s="5"/>
      <c r="O721" s="5"/>
      <c r="P721" s="57"/>
      <c r="Q721" s="5"/>
      <c r="R721" s="5"/>
      <c r="S721" s="5"/>
      <c r="T721" s="5"/>
      <c r="U721" s="5"/>
      <c r="V721" s="5"/>
      <c r="W721" s="5"/>
      <c r="X721" s="5"/>
      <c r="Y721" s="5"/>
      <c r="Z721" s="5"/>
      <c r="AA721" s="5"/>
    </row>
    <row r="722" spans="1:27" ht="12.75" customHeight="1">
      <c r="A722" s="5"/>
      <c r="B722" s="5"/>
      <c r="C722" s="5"/>
      <c r="D722" s="5"/>
      <c r="E722" s="5"/>
      <c r="F722" s="5"/>
      <c r="G722" s="5"/>
      <c r="H722" s="306"/>
      <c r="I722" s="306"/>
      <c r="J722" s="5"/>
      <c r="K722" s="5"/>
      <c r="L722" s="5"/>
      <c r="M722" s="5"/>
      <c r="N722" s="5"/>
      <c r="O722" s="5"/>
      <c r="P722" s="57"/>
      <c r="Q722" s="5"/>
      <c r="R722" s="5"/>
      <c r="S722" s="5"/>
      <c r="T722" s="5"/>
      <c r="U722" s="5"/>
      <c r="V722" s="5"/>
      <c r="W722" s="5"/>
      <c r="X722" s="5"/>
      <c r="Y722" s="5"/>
      <c r="Z722" s="5"/>
      <c r="AA722" s="5"/>
    </row>
    <row r="723" spans="1:27" ht="12.75" customHeight="1">
      <c r="A723" s="5"/>
      <c r="B723" s="5"/>
      <c r="C723" s="5"/>
      <c r="D723" s="5"/>
      <c r="E723" s="5"/>
      <c r="F723" s="5"/>
      <c r="G723" s="5"/>
      <c r="H723" s="306"/>
      <c r="I723" s="306"/>
      <c r="J723" s="5"/>
      <c r="K723" s="5"/>
      <c r="L723" s="5"/>
      <c r="M723" s="5"/>
      <c r="N723" s="5"/>
      <c r="O723" s="5"/>
      <c r="P723" s="57"/>
      <c r="Q723" s="5"/>
      <c r="R723" s="5"/>
      <c r="S723" s="5"/>
      <c r="T723" s="5"/>
      <c r="U723" s="5"/>
      <c r="V723" s="5"/>
      <c r="W723" s="5"/>
      <c r="X723" s="5"/>
      <c r="Y723" s="5"/>
      <c r="Z723" s="5"/>
      <c r="AA723" s="5"/>
    </row>
    <row r="724" spans="1:27" ht="12.75" customHeight="1">
      <c r="A724" s="5"/>
      <c r="B724" s="5"/>
      <c r="C724" s="5"/>
      <c r="D724" s="5"/>
      <c r="E724" s="5"/>
      <c r="F724" s="5"/>
      <c r="G724" s="5"/>
      <c r="H724" s="306"/>
      <c r="I724" s="306"/>
      <c r="J724" s="5"/>
      <c r="K724" s="5"/>
      <c r="L724" s="5"/>
      <c r="M724" s="5"/>
      <c r="N724" s="5"/>
      <c r="O724" s="5"/>
      <c r="P724" s="57"/>
      <c r="Q724" s="5"/>
      <c r="R724" s="5"/>
      <c r="S724" s="5"/>
      <c r="T724" s="5"/>
      <c r="U724" s="5"/>
      <c r="V724" s="5"/>
      <c r="W724" s="5"/>
      <c r="X724" s="5"/>
      <c r="Y724" s="5"/>
      <c r="Z724" s="5"/>
      <c r="AA724" s="5"/>
    </row>
    <row r="725" spans="1:27" ht="12.75" customHeight="1">
      <c r="A725" s="5"/>
      <c r="B725" s="5"/>
      <c r="C725" s="5"/>
      <c r="D725" s="5"/>
      <c r="E725" s="5"/>
      <c r="F725" s="5"/>
      <c r="G725" s="5"/>
      <c r="H725" s="306"/>
      <c r="I725" s="306"/>
      <c r="J725" s="5"/>
      <c r="K725" s="5"/>
      <c r="L725" s="5"/>
      <c r="M725" s="5"/>
      <c r="N725" s="5"/>
      <c r="O725" s="5"/>
      <c r="P725" s="57"/>
      <c r="Q725" s="5"/>
      <c r="R725" s="5"/>
      <c r="S725" s="5"/>
      <c r="T725" s="5"/>
      <c r="U725" s="5"/>
      <c r="V725" s="5"/>
      <c r="W725" s="5"/>
      <c r="X725" s="5"/>
      <c r="Y725" s="5"/>
      <c r="Z725" s="5"/>
      <c r="AA725" s="5"/>
    </row>
    <row r="726" spans="1:27" ht="12.75" customHeight="1">
      <c r="A726" s="5"/>
      <c r="B726" s="5"/>
      <c r="C726" s="5"/>
      <c r="D726" s="5"/>
      <c r="E726" s="5"/>
      <c r="F726" s="5"/>
      <c r="G726" s="5"/>
      <c r="H726" s="306"/>
      <c r="I726" s="306"/>
      <c r="J726" s="5"/>
      <c r="K726" s="5"/>
      <c r="L726" s="5"/>
      <c r="M726" s="5"/>
      <c r="N726" s="5"/>
      <c r="O726" s="5"/>
      <c r="P726" s="57"/>
      <c r="Q726" s="5"/>
      <c r="R726" s="5"/>
      <c r="S726" s="5"/>
      <c r="T726" s="5"/>
      <c r="U726" s="5"/>
      <c r="V726" s="5"/>
      <c r="W726" s="5"/>
      <c r="X726" s="5"/>
      <c r="Y726" s="5"/>
      <c r="Z726" s="5"/>
      <c r="AA726" s="5"/>
    </row>
    <row r="727" spans="1:27" ht="12.75" customHeight="1">
      <c r="A727" s="5"/>
      <c r="B727" s="5"/>
      <c r="C727" s="5"/>
      <c r="D727" s="5"/>
      <c r="E727" s="5"/>
      <c r="F727" s="5"/>
      <c r="G727" s="5"/>
      <c r="H727" s="306"/>
      <c r="I727" s="306"/>
      <c r="J727" s="5"/>
      <c r="K727" s="5"/>
      <c r="L727" s="5"/>
      <c r="M727" s="5"/>
      <c r="N727" s="5"/>
      <c r="O727" s="5"/>
      <c r="P727" s="57"/>
      <c r="Q727" s="5"/>
      <c r="R727" s="5"/>
      <c r="S727" s="5"/>
      <c r="T727" s="5"/>
      <c r="U727" s="5"/>
      <c r="V727" s="5"/>
      <c r="W727" s="5"/>
      <c r="X727" s="5"/>
      <c r="Y727" s="5"/>
      <c r="Z727" s="5"/>
      <c r="AA727" s="5"/>
    </row>
    <row r="728" spans="1:27" ht="12.75" customHeight="1">
      <c r="A728" s="5"/>
      <c r="B728" s="5"/>
      <c r="C728" s="5"/>
      <c r="D728" s="5"/>
      <c r="E728" s="5"/>
      <c r="F728" s="5"/>
      <c r="G728" s="5"/>
      <c r="H728" s="306"/>
      <c r="I728" s="306"/>
      <c r="J728" s="5"/>
      <c r="K728" s="5"/>
      <c r="L728" s="5"/>
      <c r="M728" s="5"/>
      <c r="N728" s="5"/>
      <c r="O728" s="5"/>
      <c r="P728" s="57"/>
      <c r="Q728" s="5"/>
      <c r="R728" s="5"/>
      <c r="S728" s="5"/>
      <c r="T728" s="5"/>
      <c r="U728" s="5"/>
      <c r="V728" s="5"/>
      <c r="W728" s="5"/>
      <c r="X728" s="5"/>
      <c r="Y728" s="5"/>
      <c r="Z728" s="5"/>
      <c r="AA728" s="5"/>
    </row>
    <row r="729" spans="1:27" ht="12.75" customHeight="1">
      <c r="A729" s="5"/>
      <c r="B729" s="5"/>
      <c r="C729" s="5"/>
      <c r="D729" s="5"/>
      <c r="E729" s="5"/>
      <c r="F729" s="5"/>
      <c r="G729" s="5"/>
      <c r="H729" s="306"/>
      <c r="I729" s="306"/>
      <c r="J729" s="5"/>
      <c r="K729" s="5"/>
      <c r="L729" s="5"/>
      <c r="M729" s="5"/>
      <c r="N729" s="5"/>
      <c r="O729" s="5"/>
      <c r="P729" s="57"/>
      <c r="Q729" s="5"/>
      <c r="R729" s="5"/>
      <c r="S729" s="5"/>
      <c r="T729" s="5"/>
      <c r="U729" s="5"/>
      <c r="V729" s="5"/>
      <c r="W729" s="5"/>
      <c r="X729" s="5"/>
      <c r="Y729" s="5"/>
      <c r="Z729" s="5"/>
      <c r="AA729" s="5"/>
    </row>
    <row r="730" spans="1:27" ht="12.75" customHeight="1">
      <c r="A730" s="5"/>
      <c r="B730" s="5"/>
      <c r="C730" s="5"/>
      <c r="D730" s="5"/>
      <c r="E730" s="5"/>
      <c r="F730" s="5"/>
      <c r="G730" s="5"/>
      <c r="H730" s="306"/>
      <c r="I730" s="306"/>
      <c r="J730" s="5"/>
      <c r="K730" s="5"/>
      <c r="L730" s="5"/>
      <c r="M730" s="5"/>
      <c r="N730" s="5"/>
      <c r="O730" s="5"/>
      <c r="P730" s="57"/>
      <c r="Q730" s="5"/>
      <c r="R730" s="5"/>
      <c r="S730" s="5"/>
      <c r="T730" s="5"/>
      <c r="U730" s="5"/>
      <c r="V730" s="5"/>
      <c r="W730" s="5"/>
      <c r="X730" s="5"/>
      <c r="Y730" s="5"/>
      <c r="Z730" s="5"/>
      <c r="AA730" s="5"/>
    </row>
    <row r="731" spans="1:27" ht="12.75" customHeight="1">
      <c r="A731" s="5"/>
      <c r="B731" s="5"/>
      <c r="C731" s="5"/>
      <c r="D731" s="5"/>
      <c r="E731" s="5"/>
      <c r="F731" s="5"/>
      <c r="G731" s="5"/>
      <c r="H731" s="306"/>
      <c r="I731" s="306"/>
      <c r="J731" s="5"/>
      <c r="K731" s="5"/>
      <c r="L731" s="5"/>
      <c r="M731" s="5"/>
      <c r="N731" s="5"/>
      <c r="O731" s="5"/>
      <c r="P731" s="57"/>
      <c r="Q731" s="5"/>
      <c r="R731" s="5"/>
      <c r="S731" s="5"/>
      <c r="T731" s="5"/>
      <c r="U731" s="5"/>
      <c r="V731" s="5"/>
      <c r="W731" s="5"/>
      <c r="X731" s="5"/>
      <c r="Y731" s="5"/>
      <c r="Z731" s="5"/>
      <c r="AA731" s="5"/>
    </row>
    <row r="732" spans="1:27" ht="12.75" customHeight="1">
      <c r="A732" s="5"/>
      <c r="B732" s="5"/>
      <c r="C732" s="5"/>
      <c r="D732" s="5"/>
      <c r="E732" s="5"/>
      <c r="F732" s="5"/>
      <c r="G732" s="5"/>
      <c r="H732" s="306"/>
      <c r="I732" s="306"/>
      <c r="J732" s="5"/>
      <c r="K732" s="5"/>
      <c r="L732" s="5"/>
      <c r="M732" s="5"/>
      <c r="N732" s="5"/>
      <c r="O732" s="5"/>
      <c r="P732" s="57"/>
      <c r="Q732" s="5"/>
      <c r="R732" s="5"/>
      <c r="S732" s="5"/>
      <c r="T732" s="5"/>
      <c r="U732" s="5"/>
      <c r="V732" s="5"/>
      <c r="W732" s="5"/>
      <c r="X732" s="5"/>
      <c r="Y732" s="5"/>
      <c r="Z732" s="5"/>
      <c r="AA732" s="5"/>
    </row>
    <row r="733" spans="1:27" ht="12.75" customHeight="1">
      <c r="A733" s="5"/>
      <c r="B733" s="5"/>
      <c r="C733" s="5"/>
      <c r="D733" s="5"/>
      <c r="E733" s="5"/>
      <c r="F733" s="5"/>
      <c r="G733" s="5"/>
      <c r="H733" s="306"/>
      <c r="I733" s="306"/>
      <c r="J733" s="5"/>
      <c r="K733" s="5"/>
      <c r="L733" s="5"/>
      <c r="M733" s="5"/>
      <c r="N733" s="5"/>
      <c r="O733" s="5"/>
      <c r="P733" s="57"/>
      <c r="Q733" s="5"/>
      <c r="R733" s="5"/>
      <c r="S733" s="5"/>
      <c r="T733" s="5"/>
      <c r="U733" s="5"/>
      <c r="V733" s="5"/>
      <c r="W733" s="5"/>
      <c r="X733" s="5"/>
      <c r="Y733" s="5"/>
      <c r="Z733" s="5"/>
      <c r="AA733" s="5"/>
    </row>
    <row r="734" spans="1:27" ht="12.75" customHeight="1">
      <c r="A734" s="5"/>
      <c r="B734" s="5"/>
      <c r="C734" s="5"/>
      <c r="D734" s="5"/>
      <c r="E734" s="5"/>
      <c r="F734" s="5"/>
      <c r="G734" s="5"/>
      <c r="H734" s="306"/>
      <c r="I734" s="306"/>
      <c r="J734" s="5"/>
      <c r="K734" s="5"/>
      <c r="L734" s="5"/>
      <c r="M734" s="5"/>
      <c r="N734" s="5"/>
      <c r="O734" s="5"/>
      <c r="P734" s="57"/>
      <c r="Q734" s="5"/>
      <c r="R734" s="5"/>
      <c r="S734" s="5"/>
      <c r="T734" s="5"/>
      <c r="U734" s="5"/>
      <c r="V734" s="5"/>
      <c r="W734" s="5"/>
      <c r="X734" s="5"/>
      <c r="Y734" s="5"/>
      <c r="Z734" s="5"/>
      <c r="AA734" s="5"/>
    </row>
    <row r="735" spans="1:27" ht="12.75" customHeight="1">
      <c r="A735" s="5"/>
      <c r="B735" s="5"/>
      <c r="C735" s="5"/>
      <c r="D735" s="5"/>
      <c r="E735" s="5"/>
      <c r="F735" s="5"/>
      <c r="G735" s="5"/>
      <c r="H735" s="306"/>
      <c r="I735" s="306"/>
      <c r="J735" s="5"/>
      <c r="K735" s="5"/>
      <c r="L735" s="5"/>
      <c r="M735" s="5"/>
      <c r="N735" s="5"/>
      <c r="O735" s="5"/>
      <c r="P735" s="57"/>
      <c r="Q735" s="5"/>
      <c r="R735" s="5"/>
      <c r="S735" s="5"/>
      <c r="T735" s="5"/>
      <c r="U735" s="5"/>
      <c r="V735" s="5"/>
      <c r="W735" s="5"/>
      <c r="X735" s="5"/>
      <c r="Y735" s="5"/>
      <c r="Z735" s="5"/>
      <c r="AA735" s="5"/>
    </row>
    <row r="736" spans="1:27" ht="12.75" customHeight="1">
      <c r="A736" s="5"/>
      <c r="B736" s="5"/>
      <c r="C736" s="5"/>
      <c r="D736" s="5"/>
      <c r="E736" s="5"/>
      <c r="F736" s="5"/>
      <c r="G736" s="5"/>
      <c r="H736" s="306"/>
      <c r="I736" s="306"/>
      <c r="J736" s="5"/>
      <c r="K736" s="5"/>
      <c r="L736" s="5"/>
      <c r="M736" s="5"/>
      <c r="N736" s="5"/>
      <c r="O736" s="5"/>
      <c r="P736" s="57"/>
      <c r="Q736" s="5"/>
      <c r="R736" s="5"/>
      <c r="S736" s="5"/>
      <c r="T736" s="5"/>
      <c r="U736" s="5"/>
      <c r="V736" s="5"/>
      <c r="W736" s="5"/>
      <c r="X736" s="5"/>
      <c r="Y736" s="5"/>
      <c r="Z736" s="5"/>
      <c r="AA736" s="5"/>
    </row>
    <row r="737" spans="1:27" ht="12.75" customHeight="1">
      <c r="A737" s="5"/>
      <c r="B737" s="5"/>
      <c r="C737" s="5"/>
      <c r="D737" s="5"/>
      <c r="E737" s="5"/>
      <c r="F737" s="5"/>
      <c r="G737" s="5"/>
      <c r="H737" s="306"/>
      <c r="I737" s="306"/>
      <c r="J737" s="5"/>
      <c r="K737" s="5"/>
      <c r="L737" s="5"/>
      <c r="M737" s="5"/>
      <c r="N737" s="5"/>
      <c r="O737" s="5"/>
      <c r="P737" s="57"/>
      <c r="Q737" s="5"/>
      <c r="R737" s="5"/>
      <c r="S737" s="5"/>
      <c r="T737" s="5"/>
      <c r="U737" s="5"/>
      <c r="V737" s="5"/>
      <c r="W737" s="5"/>
      <c r="X737" s="5"/>
      <c r="Y737" s="5"/>
      <c r="Z737" s="5"/>
      <c r="AA737" s="5"/>
    </row>
    <row r="738" spans="1:27" ht="12.75" customHeight="1">
      <c r="A738" s="5"/>
      <c r="B738" s="5"/>
      <c r="C738" s="5"/>
      <c r="D738" s="5"/>
      <c r="E738" s="5"/>
      <c r="F738" s="5"/>
      <c r="G738" s="5"/>
      <c r="H738" s="306"/>
      <c r="I738" s="306"/>
      <c r="J738" s="5"/>
      <c r="K738" s="5"/>
      <c r="L738" s="5"/>
      <c r="M738" s="5"/>
      <c r="N738" s="5"/>
      <c r="O738" s="5"/>
      <c r="P738" s="57"/>
      <c r="Q738" s="5"/>
      <c r="R738" s="5"/>
      <c r="S738" s="5"/>
      <c r="T738" s="5"/>
      <c r="U738" s="5"/>
      <c r="V738" s="5"/>
      <c r="W738" s="5"/>
      <c r="X738" s="5"/>
      <c r="Y738" s="5"/>
      <c r="Z738" s="5"/>
      <c r="AA738" s="5"/>
    </row>
    <row r="739" spans="1:27" ht="12.75" customHeight="1">
      <c r="A739" s="5"/>
      <c r="B739" s="5"/>
      <c r="C739" s="5"/>
      <c r="D739" s="5"/>
      <c r="E739" s="5"/>
      <c r="F739" s="5"/>
      <c r="G739" s="5"/>
      <c r="H739" s="306"/>
      <c r="I739" s="306"/>
      <c r="J739" s="5"/>
      <c r="K739" s="5"/>
      <c r="L739" s="5"/>
      <c r="M739" s="5"/>
      <c r="N739" s="5"/>
      <c r="O739" s="5"/>
      <c r="P739" s="57"/>
      <c r="Q739" s="5"/>
      <c r="R739" s="5"/>
      <c r="S739" s="5"/>
      <c r="T739" s="5"/>
      <c r="U739" s="5"/>
      <c r="V739" s="5"/>
      <c r="W739" s="5"/>
      <c r="X739" s="5"/>
      <c r="Y739" s="5"/>
      <c r="Z739" s="5"/>
      <c r="AA739" s="5"/>
    </row>
    <row r="740" spans="1:27" ht="12.75" customHeight="1">
      <c r="A740" s="5"/>
      <c r="B740" s="5"/>
      <c r="C740" s="5"/>
      <c r="D740" s="5"/>
      <c r="E740" s="5"/>
      <c r="F740" s="5"/>
      <c r="G740" s="5"/>
      <c r="H740" s="306"/>
      <c r="I740" s="306"/>
      <c r="J740" s="5"/>
      <c r="K740" s="5"/>
      <c r="L740" s="5"/>
      <c r="M740" s="5"/>
      <c r="N740" s="5"/>
      <c r="O740" s="5"/>
      <c r="P740" s="57"/>
      <c r="Q740" s="5"/>
      <c r="R740" s="5"/>
      <c r="S740" s="5"/>
      <c r="T740" s="5"/>
      <c r="U740" s="5"/>
      <c r="V740" s="5"/>
      <c r="W740" s="5"/>
      <c r="X740" s="5"/>
      <c r="Y740" s="5"/>
      <c r="Z740" s="5"/>
      <c r="AA740" s="5"/>
    </row>
    <row r="741" spans="1:27" ht="12.75" customHeight="1">
      <c r="A741" s="5"/>
      <c r="B741" s="5"/>
      <c r="C741" s="5"/>
      <c r="D741" s="5"/>
      <c r="E741" s="5"/>
      <c r="F741" s="5"/>
      <c r="G741" s="5"/>
      <c r="H741" s="306"/>
      <c r="I741" s="306"/>
      <c r="J741" s="5"/>
      <c r="K741" s="5"/>
      <c r="L741" s="5"/>
      <c r="M741" s="5"/>
      <c r="N741" s="5"/>
      <c r="O741" s="5"/>
      <c r="P741" s="57"/>
      <c r="Q741" s="5"/>
      <c r="R741" s="5"/>
      <c r="S741" s="5"/>
      <c r="T741" s="5"/>
      <c r="U741" s="5"/>
      <c r="V741" s="5"/>
      <c r="W741" s="5"/>
      <c r="X741" s="5"/>
      <c r="Y741" s="5"/>
      <c r="Z741" s="5"/>
      <c r="AA741" s="5"/>
    </row>
    <row r="742" spans="1:27" ht="12.75" customHeight="1">
      <c r="A742" s="5"/>
      <c r="B742" s="5"/>
      <c r="C742" s="5"/>
      <c r="D742" s="5"/>
      <c r="E742" s="5"/>
      <c r="F742" s="5"/>
      <c r="G742" s="5"/>
      <c r="H742" s="306"/>
      <c r="I742" s="306"/>
      <c r="J742" s="5"/>
      <c r="K742" s="5"/>
      <c r="L742" s="5"/>
      <c r="M742" s="5"/>
      <c r="N742" s="5"/>
      <c r="O742" s="5"/>
      <c r="P742" s="57"/>
      <c r="Q742" s="5"/>
      <c r="R742" s="5"/>
      <c r="S742" s="5"/>
      <c r="T742" s="5"/>
      <c r="U742" s="5"/>
      <c r="V742" s="5"/>
      <c r="W742" s="5"/>
      <c r="X742" s="5"/>
      <c r="Y742" s="5"/>
      <c r="Z742" s="5"/>
      <c r="AA742" s="5"/>
    </row>
    <row r="743" spans="1:27" ht="12.75" customHeight="1">
      <c r="A743" s="5"/>
      <c r="B743" s="5"/>
      <c r="C743" s="5"/>
      <c r="D743" s="5"/>
      <c r="E743" s="5"/>
      <c r="F743" s="5"/>
      <c r="G743" s="5"/>
      <c r="H743" s="306"/>
      <c r="I743" s="306"/>
      <c r="J743" s="5"/>
      <c r="K743" s="5"/>
      <c r="L743" s="5"/>
      <c r="M743" s="5"/>
      <c r="N743" s="5"/>
      <c r="O743" s="5"/>
      <c r="P743" s="57"/>
      <c r="Q743" s="5"/>
      <c r="R743" s="5"/>
      <c r="S743" s="5"/>
      <c r="T743" s="5"/>
      <c r="U743" s="5"/>
      <c r="V743" s="5"/>
      <c r="W743" s="5"/>
      <c r="X743" s="5"/>
      <c r="Y743" s="5"/>
      <c r="Z743" s="5"/>
      <c r="AA743" s="5"/>
    </row>
    <row r="744" spans="1:27" ht="12.75" customHeight="1">
      <c r="A744" s="5"/>
      <c r="B744" s="5"/>
      <c r="C744" s="5"/>
      <c r="D744" s="5"/>
      <c r="E744" s="5"/>
      <c r="F744" s="5"/>
      <c r="G744" s="5"/>
      <c r="H744" s="306"/>
      <c r="I744" s="306"/>
      <c r="J744" s="5"/>
      <c r="K744" s="5"/>
      <c r="L744" s="5"/>
      <c r="M744" s="5"/>
      <c r="N744" s="5"/>
      <c r="O744" s="5"/>
      <c r="P744" s="57"/>
      <c r="Q744" s="5"/>
      <c r="R744" s="5"/>
      <c r="S744" s="5"/>
      <c r="T744" s="5"/>
      <c r="U744" s="5"/>
      <c r="V744" s="5"/>
      <c r="W744" s="5"/>
      <c r="X744" s="5"/>
      <c r="Y744" s="5"/>
      <c r="Z744" s="5"/>
      <c r="AA744" s="5"/>
    </row>
    <row r="745" spans="1:27" ht="12.75" customHeight="1">
      <c r="A745" s="5"/>
      <c r="B745" s="5"/>
      <c r="C745" s="5"/>
      <c r="D745" s="5"/>
      <c r="E745" s="5"/>
      <c r="F745" s="5"/>
      <c r="G745" s="5"/>
      <c r="H745" s="306"/>
      <c r="I745" s="306"/>
      <c r="J745" s="5"/>
      <c r="K745" s="5"/>
      <c r="L745" s="5"/>
      <c r="M745" s="5"/>
      <c r="N745" s="5"/>
      <c r="O745" s="5"/>
      <c r="P745" s="57"/>
      <c r="Q745" s="5"/>
      <c r="R745" s="5"/>
      <c r="S745" s="5"/>
      <c r="T745" s="5"/>
      <c r="U745" s="5"/>
      <c r="V745" s="5"/>
      <c r="W745" s="5"/>
      <c r="X745" s="5"/>
      <c r="Y745" s="5"/>
      <c r="Z745" s="5"/>
      <c r="AA745" s="5"/>
    </row>
    <row r="746" spans="1:27" ht="12.75" customHeight="1">
      <c r="A746" s="5"/>
      <c r="B746" s="5"/>
      <c r="C746" s="5"/>
      <c r="D746" s="5"/>
      <c r="E746" s="5"/>
      <c r="F746" s="5"/>
      <c r="G746" s="5"/>
      <c r="H746" s="306"/>
      <c r="I746" s="306"/>
      <c r="J746" s="5"/>
      <c r="K746" s="5"/>
      <c r="L746" s="5"/>
      <c r="M746" s="5"/>
      <c r="N746" s="5"/>
      <c r="O746" s="5"/>
      <c r="P746" s="57"/>
      <c r="Q746" s="5"/>
      <c r="R746" s="5"/>
      <c r="S746" s="5"/>
      <c r="T746" s="5"/>
      <c r="U746" s="5"/>
      <c r="V746" s="5"/>
      <c r="W746" s="5"/>
      <c r="X746" s="5"/>
      <c r="Y746" s="5"/>
      <c r="Z746" s="5"/>
      <c r="AA746" s="5"/>
    </row>
    <row r="747" spans="1:27" ht="12.75" customHeight="1">
      <c r="A747" s="5"/>
      <c r="B747" s="5"/>
      <c r="C747" s="5"/>
      <c r="D747" s="5"/>
      <c r="E747" s="5"/>
      <c r="F747" s="5"/>
      <c r="G747" s="5"/>
      <c r="H747" s="306"/>
      <c r="I747" s="306"/>
      <c r="J747" s="5"/>
      <c r="K747" s="5"/>
      <c r="L747" s="5"/>
      <c r="M747" s="5"/>
      <c r="N747" s="5"/>
      <c r="O747" s="5"/>
      <c r="P747" s="57"/>
      <c r="Q747" s="5"/>
      <c r="R747" s="5"/>
      <c r="S747" s="5"/>
      <c r="T747" s="5"/>
      <c r="U747" s="5"/>
      <c r="V747" s="5"/>
      <c r="W747" s="5"/>
      <c r="X747" s="5"/>
      <c r="Y747" s="5"/>
      <c r="Z747" s="5"/>
      <c r="AA747" s="5"/>
    </row>
    <row r="748" spans="1:27" ht="12.75" customHeight="1">
      <c r="A748" s="5"/>
      <c r="B748" s="5"/>
      <c r="C748" s="5"/>
      <c r="D748" s="5"/>
      <c r="E748" s="5"/>
      <c r="F748" s="5"/>
      <c r="G748" s="5"/>
      <c r="H748" s="306"/>
      <c r="I748" s="306"/>
      <c r="J748" s="5"/>
      <c r="K748" s="5"/>
      <c r="L748" s="5"/>
      <c r="M748" s="5"/>
      <c r="N748" s="5"/>
      <c r="O748" s="5"/>
      <c r="P748" s="57"/>
      <c r="Q748" s="5"/>
      <c r="R748" s="5"/>
      <c r="S748" s="5"/>
      <c r="T748" s="5"/>
      <c r="U748" s="5"/>
      <c r="V748" s="5"/>
      <c r="W748" s="5"/>
      <c r="X748" s="5"/>
      <c r="Y748" s="5"/>
      <c r="Z748" s="5"/>
      <c r="AA748" s="5"/>
    </row>
    <row r="749" spans="1:27" ht="12.75" customHeight="1">
      <c r="A749" s="5"/>
      <c r="B749" s="5"/>
      <c r="C749" s="5"/>
      <c r="D749" s="5"/>
      <c r="E749" s="5"/>
      <c r="F749" s="5"/>
      <c r="G749" s="5"/>
      <c r="H749" s="306"/>
      <c r="I749" s="306"/>
      <c r="J749" s="5"/>
      <c r="K749" s="5"/>
      <c r="L749" s="5"/>
      <c r="M749" s="5"/>
      <c r="N749" s="5"/>
      <c r="O749" s="5"/>
      <c r="P749" s="57"/>
      <c r="Q749" s="5"/>
      <c r="R749" s="5"/>
      <c r="S749" s="5"/>
      <c r="T749" s="5"/>
      <c r="U749" s="5"/>
      <c r="V749" s="5"/>
      <c r="W749" s="5"/>
      <c r="X749" s="5"/>
      <c r="Y749" s="5"/>
      <c r="Z749" s="5"/>
      <c r="AA749" s="5"/>
    </row>
    <row r="750" spans="1:27" ht="12.75" customHeight="1">
      <c r="A750" s="5"/>
      <c r="B750" s="5"/>
      <c r="C750" s="5"/>
      <c r="D750" s="5"/>
      <c r="E750" s="5"/>
      <c r="F750" s="5"/>
      <c r="G750" s="5"/>
      <c r="H750" s="306"/>
      <c r="I750" s="306"/>
      <c r="J750" s="5"/>
      <c r="K750" s="5"/>
      <c r="L750" s="5"/>
      <c r="M750" s="5"/>
      <c r="N750" s="5"/>
      <c r="O750" s="5"/>
      <c r="P750" s="57"/>
      <c r="Q750" s="5"/>
      <c r="R750" s="5"/>
      <c r="S750" s="5"/>
      <c r="T750" s="5"/>
      <c r="U750" s="5"/>
      <c r="V750" s="5"/>
      <c r="W750" s="5"/>
      <c r="X750" s="5"/>
      <c r="Y750" s="5"/>
      <c r="Z750" s="5"/>
      <c r="AA750" s="5"/>
    </row>
    <row r="751" spans="1:27" ht="12.75" customHeight="1">
      <c r="A751" s="5"/>
      <c r="B751" s="5"/>
      <c r="C751" s="5"/>
      <c r="D751" s="5"/>
      <c r="E751" s="5"/>
      <c r="F751" s="5"/>
      <c r="G751" s="5"/>
      <c r="H751" s="306"/>
      <c r="I751" s="306"/>
      <c r="J751" s="5"/>
      <c r="K751" s="5"/>
      <c r="L751" s="5"/>
      <c r="M751" s="5"/>
      <c r="N751" s="5"/>
      <c r="O751" s="5"/>
      <c r="P751" s="57"/>
      <c r="Q751" s="5"/>
      <c r="R751" s="5"/>
      <c r="S751" s="5"/>
      <c r="T751" s="5"/>
      <c r="U751" s="5"/>
      <c r="V751" s="5"/>
      <c r="W751" s="5"/>
      <c r="X751" s="5"/>
      <c r="Y751" s="5"/>
      <c r="Z751" s="5"/>
      <c r="AA751" s="5"/>
    </row>
    <row r="752" spans="1:27" ht="12.75" customHeight="1">
      <c r="A752" s="5"/>
      <c r="B752" s="5"/>
      <c r="C752" s="5"/>
      <c r="D752" s="5"/>
      <c r="E752" s="5"/>
      <c r="F752" s="5"/>
      <c r="G752" s="5"/>
      <c r="H752" s="306"/>
      <c r="I752" s="306"/>
      <c r="J752" s="5"/>
      <c r="K752" s="5"/>
      <c r="L752" s="5"/>
      <c r="M752" s="5"/>
      <c r="N752" s="5"/>
      <c r="O752" s="5"/>
      <c r="P752" s="57"/>
      <c r="Q752" s="5"/>
      <c r="R752" s="5"/>
      <c r="S752" s="5"/>
      <c r="T752" s="5"/>
      <c r="U752" s="5"/>
      <c r="V752" s="5"/>
      <c r="W752" s="5"/>
      <c r="X752" s="5"/>
      <c r="Y752" s="5"/>
      <c r="Z752" s="5"/>
      <c r="AA752" s="5"/>
    </row>
    <row r="753" spans="1:27" ht="12.75" customHeight="1">
      <c r="A753" s="5"/>
      <c r="B753" s="5"/>
      <c r="C753" s="5"/>
      <c r="D753" s="5"/>
      <c r="E753" s="5"/>
      <c r="F753" s="5"/>
      <c r="G753" s="5"/>
      <c r="H753" s="306"/>
      <c r="I753" s="306"/>
      <c r="J753" s="5"/>
      <c r="K753" s="5"/>
      <c r="L753" s="5"/>
      <c r="M753" s="5"/>
      <c r="N753" s="5"/>
      <c r="O753" s="5"/>
      <c r="P753" s="57"/>
      <c r="Q753" s="5"/>
      <c r="R753" s="5"/>
      <c r="S753" s="5"/>
      <c r="T753" s="5"/>
      <c r="U753" s="5"/>
      <c r="V753" s="5"/>
      <c r="W753" s="5"/>
      <c r="X753" s="5"/>
      <c r="Y753" s="5"/>
      <c r="Z753" s="5"/>
      <c r="AA753" s="5"/>
    </row>
    <row r="754" spans="1:27" ht="12.75" customHeight="1">
      <c r="A754" s="5"/>
      <c r="B754" s="5"/>
      <c r="C754" s="5"/>
      <c r="D754" s="5"/>
      <c r="E754" s="5"/>
      <c r="F754" s="5"/>
      <c r="G754" s="5"/>
      <c r="H754" s="306"/>
      <c r="I754" s="306"/>
      <c r="J754" s="5"/>
      <c r="K754" s="5"/>
      <c r="L754" s="5"/>
      <c r="M754" s="5"/>
      <c r="N754" s="5"/>
      <c r="O754" s="5"/>
      <c r="P754" s="57"/>
      <c r="Q754" s="5"/>
      <c r="R754" s="5"/>
      <c r="S754" s="5"/>
      <c r="T754" s="5"/>
      <c r="U754" s="5"/>
      <c r="V754" s="5"/>
      <c r="W754" s="5"/>
      <c r="X754" s="5"/>
      <c r="Y754" s="5"/>
      <c r="Z754" s="5"/>
      <c r="AA754" s="5"/>
    </row>
    <row r="755" spans="1:27" ht="12.75" customHeight="1">
      <c r="A755" s="5"/>
      <c r="B755" s="5"/>
      <c r="C755" s="5"/>
      <c r="D755" s="5"/>
      <c r="E755" s="5"/>
      <c r="F755" s="5"/>
      <c r="G755" s="5"/>
      <c r="H755" s="306"/>
      <c r="I755" s="306"/>
      <c r="J755" s="5"/>
      <c r="K755" s="5"/>
      <c r="L755" s="5"/>
      <c r="M755" s="5"/>
      <c r="N755" s="5"/>
      <c r="O755" s="5"/>
      <c r="P755" s="57"/>
      <c r="Q755" s="5"/>
      <c r="R755" s="5"/>
      <c r="S755" s="5"/>
      <c r="T755" s="5"/>
      <c r="U755" s="5"/>
      <c r="V755" s="5"/>
      <c r="W755" s="5"/>
      <c r="X755" s="5"/>
      <c r="Y755" s="5"/>
      <c r="Z755" s="5"/>
      <c r="AA755" s="5"/>
    </row>
    <row r="756" spans="1:27" ht="12.75" customHeight="1">
      <c r="A756" s="5"/>
      <c r="B756" s="5"/>
      <c r="C756" s="5"/>
      <c r="D756" s="5"/>
      <c r="E756" s="5"/>
      <c r="F756" s="5"/>
      <c r="G756" s="5"/>
      <c r="H756" s="306"/>
      <c r="I756" s="306"/>
      <c r="J756" s="5"/>
      <c r="K756" s="5"/>
      <c r="L756" s="5"/>
      <c r="M756" s="5"/>
      <c r="N756" s="5"/>
      <c r="O756" s="5"/>
      <c r="P756" s="57"/>
      <c r="Q756" s="5"/>
      <c r="R756" s="5"/>
      <c r="S756" s="5"/>
      <c r="T756" s="5"/>
      <c r="U756" s="5"/>
      <c r="V756" s="5"/>
      <c r="W756" s="5"/>
      <c r="X756" s="5"/>
      <c r="Y756" s="5"/>
      <c r="Z756" s="5"/>
      <c r="AA756" s="5"/>
    </row>
    <row r="757" spans="1:27" ht="12.75" customHeight="1">
      <c r="A757" s="5"/>
      <c r="B757" s="5"/>
      <c r="C757" s="5"/>
      <c r="D757" s="5"/>
      <c r="E757" s="5"/>
      <c r="F757" s="5"/>
      <c r="G757" s="5"/>
      <c r="H757" s="306"/>
      <c r="I757" s="306"/>
      <c r="J757" s="5"/>
      <c r="K757" s="5"/>
      <c r="L757" s="5"/>
      <c r="M757" s="5"/>
      <c r="N757" s="5"/>
      <c r="O757" s="5"/>
      <c r="P757" s="57"/>
      <c r="Q757" s="5"/>
      <c r="R757" s="5"/>
      <c r="S757" s="5"/>
      <c r="T757" s="5"/>
      <c r="U757" s="5"/>
      <c r="V757" s="5"/>
      <c r="W757" s="5"/>
      <c r="X757" s="5"/>
      <c r="Y757" s="5"/>
      <c r="Z757" s="5"/>
      <c r="AA757" s="5"/>
    </row>
    <row r="758" spans="1:27" ht="12.75" customHeight="1">
      <c r="A758" s="5"/>
      <c r="B758" s="5"/>
      <c r="C758" s="5"/>
      <c r="D758" s="5"/>
      <c r="E758" s="5"/>
      <c r="F758" s="5"/>
      <c r="G758" s="5"/>
      <c r="H758" s="306"/>
      <c r="I758" s="306"/>
      <c r="J758" s="5"/>
      <c r="K758" s="5"/>
      <c r="L758" s="5"/>
      <c r="M758" s="5"/>
      <c r="N758" s="5"/>
      <c r="O758" s="5"/>
      <c r="P758" s="57"/>
      <c r="Q758" s="5"/>
      <c r="R758" s="5"/>
      <c r="S758" s="5"/>
      <c r="T758" s="5"/>
      <c r="U758" s="5"/>
      <c r="V758" s="5"/>
      <c r="W758" s="5"/>
      <c r="X758" s="5"/>
      <c r="Y758" s="5"/>
      <c r="Z758" s="5"/>
      <c r="AA758" s="5"/>
    </row>
    <row r="759" spans="1:27" ht="12.75" customHeight="1">
      <c r="A759" s="5"/>
      <c r="B759" s="5"/>
      <c r="C759" s="5"/>
      <c r="D759" s="5"/>
      <c r="E759" s="5"/>
      <c r="F759" s="5"/>
      <c r="G759" s="5"/>
      <c r="H759" s="306"/>
      <c r="I759" s="306"/>
      <c r="J759" s="5"/>
      <c r="K759" s="5"/>
      <c r="L759" s="5"/>
      <c r="M759" s="5"/>
      <c r="N759" s="5"/>
      <c r="O759" s="5"/>
      <c r="P759" s="57"/>
      <c r="Q759" s="5"/>
      <c r="R759" s="5"/>
      <c r="S759" s="5"/>
      <c r="T759" s="5"/>
      <c r="U759" s="5"/>
      <c r="V759" s="5"/>
      <c r="W759" s="5"/>
      <c r="X759" s="5"/>
      <c r="Y759" s="5"/>
      <c r="Z759" s="5"/>
      <c r="AA759" s="5"/>
    </row>
    <row r="760" spans="1:27" ht="12.75" customHeight="1">
      <c r="A760" s="5"/>
      <c r="B760" s="5"/>
      <c r="C760" s="5"/>
      <c r="D760" s="5"/>
      <c r="E760" s="5"/>
      <c r="F760" s="5"/>
      <c r="G760" s="5"/>
      <c r="H760" s="306"/>
      <c r="I760" s="306"/>
      <c r="J760" s="5"/>
      <c r="K760" s="5"/>
      <c r="L760" s="5"/>
      <c r="M760" s="5"/>
      <c r="N760" s="5"/>
      <c r="O760" s="5"/>
      <c r="P760" s="57"/>
      <c r="Q760" s="5"/>
      <c r="R760" s="5"/>
      <c r="S760" s="5"/>
      <c r="T760" s="5"/>
      <c r="U760" s="5"/>
      <c r="V760" s="5"/>
      <c r="W760" s="5"/>
      <c r="X760" s="5"/>
      <c r="Y760" s="5"/>
      <c r="Z760" s="5"/>
      <c r="AA760" s="5"/>
    </row>
    <row r="761" spans="1:27" ht="12.75" customHeight="1">
      <c r="A761" s="5"/>
      <c r="B761" s="5"/>
      <c r="C761" s="5"/>
      <c r="D761" s="5"/>
      <c r="E761" s="5"/>
      <c r="F761" s="5"/>
      <c r="G761" s="5"/>
      <c r="H761" s="306"/>
      <c r="I761" s="306"/>
      <c r="J761" s="5"/>
      <c r="K761" s="5"/>
      <c r="L761" s="5"/>
      <c r="M761" s="5"/>
      <c r="N761" s="5"/>
      <c r="O761" s="5"/>
      <c r="P761" s="57"/>
      <c r="Q761" s="5"/>
      <c r="R761" s="5"/>
      <c r="S761" s="5"/>
      <c r="T761" s="5"/>
      <c r="U761" s="5"/>
      <c r="V761" s="5"/>
      <c r="W761" s="5"/>
      <c r="X761" s="5"/>
      <c r="Y761" s="5"/>
      <c r="Z761" s="5"/>
      <c r="AA761" s="5"/>
    </row>
    <row r="762" spans="1:27" ht="12.75" customHeight="1">
      <c r="A762" s="5"/>
      <c r="B762" s="5"/>
      <c r="C762" s="5"/>
      <c r="D762" s="5"/>
      <c r="E762" s="5"/>
      <c r="F762" s="5"/>
      <c r="G762" s="5"/>
      <c r="H762" s="306"/>
      <c r="I762" s="306"/>
      <c r="J762" s="5"/>
      <c r="K762" s="5"/>
      <c r="L762" s="5"/>
      <c r="M762" s="5"/>
      <c r="N762" s="5"/>
      <c r="O762" s="5"/>
      <c r="P762" s="57"/>
      <c r="Q762" s="5"/>
      <c r="R762" s="5"/>
      <c r="S762" s="5"/>
      <c r="T762" s="5"/>
      <c r="U762" s="5"/>
      <c r="V762" s="5"/>
      <c r="W762" s="5"/>
      <c r="X762" s="5"/>
      <c r="Y762" s="5"/>
      <c r="Z762" s="5"/>
      <c r="AA762" s="5"/>
    </row>
    <row r="763" spans="1:27" ht="12.75" customHeight="1">
      <c r="A763" s="5"/>
      <c r="B763" s="5"/>
      <c r="C763" s="5"/>
      <c r="D763" s="5"/>
      <c r="E763" s="5"/>
      <c r="F763" s="5"/>
      <c r="G763" s="5"/>
      <c r="H763" s="306"/>
      <c r="I763" s="306"/>
      <c r="J763" s="5"/>
      <c r="K763" s="5"/>
      <c r="L763" s="5"/>
      <c r="M763" s="5"/>
      <c r="N763" s="5"/>
      <c r="O763" s="5"/>
      <c r="P763" s="57"/>
      <c r="Q763" s="5"/>
      <c r="R763" s="5"/>
      <c r="S763" s="5"/>
      <c r="T763" s="5"/>
      <c r="U763" s="5"/>
      <c r="V763" s="5"/>
      <c r="W763" s="5"/>
      <c r="X763" s="5"/>
      <c r="Y763" s="5"/>
      <c r="Z763" s="5"/>
      <c r="AA763" s="5"/>
    </row>
    <row r="764" spans="1:27" ht="12.75" customHeight="1">
      <c r="A764" s="5"/>
      <c r="B764" s="5"/>
      <c r="C764" s="5"/>
      <c r="D764" s="5"/>
      <c r="E764" s="5"/>
      <c r="F764" s="5"/>
      <c r="G764" s="5"/>
      <c r="H764" s="306"/>
      <c r="I764" s="306"/>
      <c r="J764" s="5"/>
      <c r="K764" s="5"/>
      <c r="L764" s="5"/>
      <c r="M764" s="5"/>
      <c r="N764" s="5"/>
      <c r="O764" s="5"/>
      <c r="P764" s="57"/>
      <c r="Q764" s="5"/>
      <c r="R764" s="5"/>
      <c r="S764" s="5"/>
      <c r="T764" s="5"/>
      <c r="U764" s="5"/>
      <c r="V764" s="5"/>
      <c r="W764" s="5"/>
      <c r="X764" s="5"/>
      <c r="Y764" s="5"/>
      <c r="Z764" s="5"/>
      <c r="AA764" s="5"/>
    </row>
    <row r="765" spans="1:27" ht="12.75" customHeight="1">
      <c r="A765" s="5"/>
      <c r="B765" s="5"/>
      <c r="C765" s="5"/>
      <c r="D765" s="5"/>
      <c r="E765" s="5"/>
      <c r="F765" s="5"/>
      <c r="G765" s="5"/>
      <c r="H765" s="306"/>
      <c r="I765" s="306"/>
      <c r="J765" s="5"/>
      <c r="K765" s="5"/>
      <c r="L765" s="5"/>
      <c r="M765" s="5"/>
      <c r="N765" s="5"/>
      <c r="O765" s="5"/>
      <c r="P765" s="57"/>
      <c r="Q765" s="5"/>
      <c r="R765" s="5"/>
      <c r="S765" s="5"/>
      <c r="T765" s="5"/>
      <c r="U765" s="5"/>
      <c r="V765" s="5"/>
      <c r="W765" s="5"/>
      <c r="X765" s="5"/>
      <c r="Y765" s="5"/>
      <c r="Z765" s="5"/>
      <c r="AA765" s="5"/>
    </row>
    <row r="766" spans="1:27" ht="12.75" customHeight="1">
      <c r="A766" s="5"/>
      <c r="B766" s="5"/>
      <c r="C766" s="5"/>
      <c r="D766" s="5"/>
      <c r="E766" s="5"/>
      <c r="F766" s="5"/>
      <c r="G766" s="5"/>
      <c r="H766" s="306"/>
      <c r="I766" s="306"/>
      <c r="J766" s="5"/>
      <c r="K766" s="5"/>
      <c r="L766" s="5"/>
      <c r="M766" s="5"/>
      <c r="N766" s="5"/>
      <c r="O766" s="5"/>
      <c r="P766" s="57"/>
      <c r="Q766" s="5"/>
      <c r="R766" s="5"/>
      <c r="S766" s="5"/>
      <c r="T766" s="5"/>
      <c r="U766" s="5"/>
      <c r="V766" s="5"/>
      <c r="W766" s="5"/>
      <c r="X766" s="5"/>
      <c r="Y766" s="5"/>
      <c r="Z766" s="5"/>
      <c r="AA766" s="5"/>
    </row>
    <row r="767" spans="1:27" ht="12.75" customHeight="1">
      <c r="A767" s="5"/>
      <c r="B767" s="5"/>
      <c r="C767" s="5"/>
      <c r="D767" s="5"/>
      <c r="E767" s="5"/>
      <c r="F767" s="5"/>
      <c r="G767" s="5"/>
      <c r="H767" s="306"/>
      <c r="I767" s="306"/>
      <c r="J767" s="5"/>
      <c r="K767" s="5"/>
      <c r="L767" s="5"/>
      <c r="M767" s="5"/>
      <c r="N767" s="5"/>
      <c r="O767" s="5"/>
      <c r="P767" s="57"/>
      <c r="Q767" s="5"/>
      <c r="R767" s="5"/>
      <c r="S767" s="5"/>
      <c r="T767" s="5"/>
      <c r="U767" s="5"/>
      <c r="V767" s="5"/>
      <c r="W767" s="5"/>
      <c r="X767" s="5"/>
      <c r="Y767" s="5"/>
      <c r="Z767" s="5"/>
      <c r="AA767" s="5"/>
    </row>
    <row r="768" spans="1:27" ht="12.75" customHeight="1">
      <c r="A768" s="5"/>
      <c r="B768" s="5"/>
      <c r="C768" s="5"/>
      <c r="D768" s="5"/>
      <c r="E768" s="5"/>
      <c r="F768" s="5"/>
      <c r="G768" s="5"/>
      <c r="H768" s="306"/>
      <c r="I768" s="306"/>
      <c r="J768" s="5"/>
      <c r="K768" s="5"/>
      <c r="L768" s="5"/>
      <c r="M768" s="5"/>
      <c r="N768" s="5"/>
      <c r="O768" s="5"/>
      <c r="P768" s="57"/>
      <c r="Q768" s="5"/>
      <c r="R768" s="5"/>
      <c r="S768" s="5"/>
      <c r="T768" s="5"/>
      <c r="U768" s="5"/>
      <c r="V768" s="5"/>
      <c r="W768" s="5"/>
      <c r="X768" s="5"/>
      <c r="Y768" s="5"/>
      <c r="Z768" s="5"/>
      <c r="AA768" s="5"/>
    </row>
    <row r="769" spans="1:27" ht="12.75" customHeight="1">
      <c r="A769" s="5"/>
      <c r="B769" s="5"/>
      <c r="C769" s="5"/>
      <c r="D769" s="5"/>
      <c r="E769" s="5"/>
      <c r="F769" s="5"/>
      <c r="G769" s="5"/>
      <c r="H769" s="306"/>
      <c r="I769" s="306"/>
      <c r="J769" s="5"/>
      <c r="K769" s="5"/>
      <c r="L769" s="5"/>
      <c r="M769" s="5"/>
      <c r="N769" s="5"/>
      <c r="O769" s="5"/>
      <c r="P769" s="57"/>
      <c r="Q769" s="5"/>
      <c r="R769" s="5"/>
      <c r="S769" s="5"/>
      <c r="T769" s="5"/>
      <c r="U769" s="5"/>
      <c r="V769" s="5"/>
      <c r="W769" s="5"/>
      <c r="X769" s="5"/>
      <c r="Y769" s="5"/>
      <c r="Z769" s="5"/>
      <c r="AA769" s="5"/>
    </row>
    <row r="770" spans="1:27" ht="12.75" customHeight="1">
      <c r="A770" s="5"/>
      <c r="B770" s="5"/>
      <c r="C770" s="5"/>
      <c r="D770" s="5"/>
      <c r="E770" s="5"/>
      <c r="F770" s="5"/>
      <c r="G770" s="5"/>
      <c r="H770" s="306"/>
      <c r="I770" s="306"/>
      <c r="J770" s="5"/>
      <c r="K770" s="5"/>
      <c r="L770" s="5"/>
      <c r="M770" s="5"/>
      <c r="N770" s="5"/>
      <c r="O770" s="5"/>
      <c r="P770" s="57"/>
      <c r="Q770" s="5"/>
      <c r="R770" s="5"/>
      <c r="S770" s="5"/>
      <c r="T770" s="5"/>
      <c r="U770" s="5"/>
      <c r="V770" s="5"/>
      <c r="W770" s="5"/>
      <c r="X770" s="5"/>
      <c r="Y770" s="5"/>
      <c r="Z770" s="5"/>
      <c r="AA770" s="5"/>
    </row>
    <row r="771" spans="1:27" ht="12.75" customHeight="1">
      <c r="A771" s="5"/>
      <c r="B771" s="5"/>
      <c r="C771" s="5"/>
      <c r="D771" s="5"/>
      <c r="E771" s="5"/>
      <c r="F771" s="5"/>
      <c r="G771" s="5"/>
      <c r="H771" s="306"/>
      <c r="I771" s="306"/>
      <c r="J771" s="5"/>
      <c r="K771" s="5"/>
      <c r="L771" s="5"/>
      <c r="M771" s="5"/>
      <c r="N771" s="5"/>
      <c r="O771" s="5"/>
      <c r="P771" s="57"/>
      <c r="Q771" s="5"/>
      <c r="R771" s="5"/>
      <c r="S771" s="5"/>
      <c r="T771" s="5"/>
      <c r="U771" s="5"/>
      <c r="V771" s="5"/>
      <c r="W771" s="5"/>
      <c r="X771" s="5"/>
      <c r="Y771" s="5"/>
      <c r="Z771" s="5"/>
      <c r="AA771" s="5"/>
    </row>
    <row r="772" spans="1:27" ht="12.75" customHeight="1">
      <c r="A772" s="5"/>
      <c r="B772" s="5"/>
      <c r="C772" s="5"/>
      <c r="D772" s="5"/>
      <c r="E772" s="5"/>
      <c r="F772" s="5"/>
      <c r="G772" s="5"/>
      <c r="H772" s="306"/>
      <c r="I772" s="306"/>
      <c r="J772" s="5"/>
      <c r="K772" s="5"/>
      <c r="L772" s="5"/>
      <c r="M772" s="5"/>
      <c r="N772" s="5"/>
      <c r="O772" s="5"/>
      <c r="P772" s="57"/>
      <c r="Q772" s="5"/>
      <c r="R772" s="5"/>
      <c r="S772" s="5"/>
      <c r="T772" s="5"/>
      <c r="U772" s="5"/>
      <c r="V772" s="5"/>
      <c r="W772" s="5"/>
      <c r="X772" s="5"/>
      <c r="Y772" s="5"/>
      <c r="Z772" s="5"/>
      <c r="AA772" s="5"/>
    </row>
    <row r="773" spans="1:27" ht="12.75" customHeight="1">
      <c r="A773" s="5"/>
      <c r="B773" s="5"/>
      <c r="C773" s="5"/>
      <c r="D773" s="5"/>
      <c r="E773" s="5"/>
      <c r="F773" s="5"/>
      <c r="G773" s="5"/>
      <c r="H773" s="306"/>
      <c r="I773" s="306"/>
      <c r="J773" s="5"/>
      <c r="K773" s="5"/>
      <c r="L773" s="5"/>
      <c r="M773" s="5"/>
      <c r="N773" s="5"/>
      <c r="O773" s="5"/>
      <c r="P773" s="57"/>
      <c r="Q773" s="5"/>
      <c r="R773" s="5"/>
      <c r="S773" s="5"/>
      <c r="T773" s="5"/>
      <c r="U773" s="5"/>
      <c r="V773" s="5"/>
      <c r="W773" s="5"/>
      <c r="X773" s="5"/>
      <c r="Y773" s="5"/>
      <c r="Z773" s="5"/>
      <c r="AA773" s="5"/>
    </row>
    <row r="774" spans="1:27" ht="12.75" customHeight="1">
      <c r="A774" s="5"/>
      <c r="B774" s="5"/>
      <c r="C774" s="5"/>
      <c r="D774" s="5"/>
      <c r="E774" s="5"/>
      <c r="F774" s="5"/>
      <c r="G774" s="5"/>
      <c r="H774" s="306"/>
      <c r="I774" s="306"/>
      <c r="J774" s="5"/>
      <c r="K774" s="5"/>
      <c r="L774" s="5"/>
      <c r="M774" s="5"/>
      <c r="N774" s="5"/>
      <c r="O774" s="5"/>
      <c r="P774" s="57"/>
      <c r="Q774" s="5"/>
      <c r="R774" s="5"/>
      <c r="S774" s="5"/>
      <c r="T774" s="5"/>
      <c r="U774" s="5"/>
      <c r="V774" s="5"/>
      <c r="W774" s="5"/>
      <c r="X774" s="5"/>
      <c r="Y774" s="5"/>
      <c r="Z774" s="5"/>
      <c r="AA774" s="5"/>
    </row>
    <row r="775" spans="1:27" ht="12.75" customHeight="1">
      <c r="A775" s="5"/>
      <c r="B775" s="5"/>
      <c r="C775" s="5"/>
      <c r="D775" s="5"/>
      <c r="E775" s="5"/>
      <c r="F775" s="5"/>
      <c r="G775" s="5"/>
      <c r="H775" s="306"/>
      <c r="I775" s="306"/>
      <c r="J775" s="5"/>
      <c r="K775" s="5"/>
      <c r="L775" s="5"/>
      <c r="M775" s="5"/>
      <c r="N775" s="5"/>
      <c r="O775" s="5"/>
      <c r="P775" s="57"/>
      <c r="Q775" s="5"/>
      <c r="R775" s="5"/>
      <c r="S775" s="5"/>
      <c r="T775" s="5"/>
      <c r="U775" s="5"/>
      <c r="V775" s="5"/>
      <c r="W775" s="5"/>
      <c r="X775" s="5"/>
      <c r="Y775" s="5"/>
      <c r="Z775" s="5"/>
      <c r="AA775" s="5"/>
    </row>
    <row r="776" spans="1:27" ht="12.75" customHeight="1">
      <c r="A776" s="5"/>
      <c r="B776" s="5"/>
      <c r="C776" s="5"/>
      <c r="D776" s="5"/>
      <c r="E776" s="5"/>
      <c r="F776" s="5"/>
      <c r="G776" s="5"/>
      <c r="H776" s="306"/>
      <c r="I776" s="306"/>
      <c r="J776" s="5"/>
      <c r="K776" s="5"/>
      <c r="L776" s="5"/>
      <c r="M776" s="5"/>
      <c r="N776" s="5"/>
      <c r="O776" s="5"/>
      <c r="P776" s="57"/>
      <c r="Q776" s="5"/>
      <c r="R776" s="5"/>
      <c r="S776" s="5"/>
      <c r="T776" s="5"/>
      <c r="U776" s="5"/>
      <c r="V776" s="5"/>
      <c r="W776" s="5"/>
      <c r="X776" s="5"/>
      <c r="Y776" s="5"/>
      <c r="Z776" s="5"/>
      <c r="AA776" s="5"/>
    </row>
    <row r="777" spans="1:27" ht="12.75" customHeight="1">
      <c r="A777" s="5"/>
      <c r="B777" s="5"/>
      <c r="C777" s="5"/>
      <c r="D777" s="5"/>
      <c r="E777" s="5"/>
      <c r="F777" s="5"/>
      <c r="G777" s="5"/>
      <c r="H777" s="306"/>
      <c r="I777" s="306"/>
      <c r="J777" s="5"/>
      <c r="K777" s="5"/>
      <c r="L777" s="5"/>
      <c r="M777" s="5"/>
      <c r="N777" s="5"/>
      <c r="O777" s="5"/>
      <c r="P777" s="57"/>
      <c r="Q777" s="5"/>
      <c r="R777" s="5"/>
      <c r="S777" s="5"/>
      <c r="T777" s="5"/>
      <c r="U777" s="5"/>
      <c r="V777" s="5"/>
      <c r="W777" s="5"/>
      <c r="X777" s="5"/>
      <c r="Y777" s="5"/>
      <c r="Z777" s="5"/>
      <c r="AA777" s="5"/>
    </row>
    <row r="778" spans="1:27" ht="12.75" customHeight="1">
      <c r="A778" s="5"/>
      <c r="B778" s="5"/>
      <c r="C778" s="5"/>
      <c r="D778" s="5"/>
      <c r="E778" s="5"/>
      <c r="F778" s="5"/>
      <c r="G778" s="5"/>
      <c r="H778" s="306"/>
      <c r="I778" s="306"/>
      <c r="J778" s="5"/>
      <c r="K778" s="5"/>
      <c r="L778" s="5"/>
      <c r="M778" s="5"/>
      <c r="N778" s="5"/>
      <c r="O778" s="5"/>
      <c r="P778" s="57"/>
      <c r="Q778" s="5"/>
      <c r="R778" s="5"/>
      <c r="S778" s="5"/>
      <c r="T778" s="5"/>
      <c r="U778" s="5"/>
      <c r="V778" s="5"/>
      <c r="W778" s="5"/>
      <c r="X778" s="5"/>
      <c r="Y778" s="5"/>
      <c r="Z778" s="5"/>
      <c r="AA778" s="5"/>
    </row>
    <row r="779" spans="1:27" ht="12.75" customHeight="1">
      <c r="A779" s="5"/>
      <c r="B779" s="5"/>
      <c r="C779" s="5"/>
      <c r="D779" s="5"/>
      <c r="E779" s="5"/>
      <c r="F779" s="5"/>
      <c r="G779" s="5"/>
      <c r="H779" s="306"/>
      <c r="I779" s="306"/>
      <c r="J779" s="5"/>
      <c r="K779" s="5"/>
      <c r="L779" s="5"/>
      <c r="M779" s="5"/>
      <c r="N779" s="5"/>
      <c r="O779" s="5"/>
      <c r="P779" s="57"/>
      <c r="Q779" s="5"/>
      <c r="R779" s="5"/>
      <c r="S779" s="5"/>
      <c r="T779" s="5"/>
      <c r="U779" s="5"/>
      <c r="V779" s="5"/>
      <c r="W779" s="5"/>
      <c r="X779" s="5"/>
      <c r="Y779" s="5"/>
      <c r="Z779" s="5"/>
      <c r="AA779" s="5"/>
    </row>
    <row r="780" spans="1:27" ht="12.75" customHeight="1">
      <c r="A780" s="5"/>
      <c r="B780" s="5"/>
      <c r="C780" s="5"/>
      <c r="D780" s="5"/>
      <c r="E780" s="5"/>
      <c r="F780" s="5"/>
      <c r="G780" s="5"/>
      <c r="H780" s="306"/>
      <c r="I780" s="306"/>
      <c r="J780" s="5"/>
      <c r="K780" s="5"/>
      <c r="L780" s="5"/>
      <c r="M780" s="5"/>
      <c r="N780" s="5"/>
      <c r="O780" s="5"/>
      <c r="P780" s="57"/>
      <c r="Q780" s="5"/>
      <c r="R780" s="5"/>
      <c r="S780" s="5"/>
      <c r="T780" s="5"/>
      <c r="U780" s="5"/>
      <c r="V780" s="5"/>
      <c r="W780" s="5"/>
      <c r="X780" s="5"/>
      <c r="Y780" s="5"/>
      <c r="Z780" s="5"/>
      <c r="AA780" s="5"/>
    </row>
    <row r="781" spans="1:27" ht="12.75" customHeight="1">
      <c r="A781" s="5"/>
      <c r="B781" s="5"/>
      <c r="C781" s="5"/>
      <c r="D781" s="5"/>
      <c r="E781" s="5"/>
      <c r="F781" s="5"/>
      <c r="G781" s="5"/>
      <c r="H781" s="306"/>
      <c r="I781" s="306"/>
      <c r="J781" s="5"/>
      <c r="K781" s="5"/>
      <c r="L781" s="5"/>
      <c r="M781" s="5"/>
      <c r="N781" s="5"/>
      <c r="O781" s="5"/>
      <c r="P781" s="57"/>
      <c r="Q781" s="5"/>
      <c r="R781" s="5"/>
      <c r="S781" s="5"/>
      <c r="T781" s="5"/>
      <c r="U781" s="5"/>
      <c r="V781" s="5"/>
      <c r="W781" s="5"/>
      <c r="X781" s="5"/>
      <c r="Y781" s="5"/>
      <c r="Z781" s="5"/>
      <c r="AA781" s="5"/>
    </row>
    <row r="782" spans="1:27" ht="12.75" customHeight="1">
      <c r="A782" s="5"/>
      <c r="B782" s="5"/>
      <c r="C782" s="5"/>
      <c r="D782" s="5"/>
      <c r="E782" s="5"/>
      <c r="F782" s="5"/>
      <c r="G782" s="5"/>
      <c r="H782" s="306"/>
      <c r="I782" s="306"/>
      <c r="J782" s="5"/>
      <c r="K782" s="5"/>
      <c r="L782" s="5"/>
      <c r="M782" s="5"/>
      <c r="N782" s="5"/>
      <c r="O782" s="5"/>
      <c r="P782" s="57"/>
      <c r="Q782" s="5"/>
      <c r="R782" s="5"/>
      <c r="S782" s="5"/>
      <c r="T782" s="5"/>
      <c r="U782" s="5"/>
      <c r="V782" s="5"/>
      <c r="W782" s="5"/>
      <c r="X782" s="5"/>
      <c r="Y782" s="5"/>
      <c r="Z782" s="5"/>
      <c r="AA782" s="5"/>
    </row>
    <row r="783" spans="1:27" ht="12.75" customHeight="1">
      <c r="A783" s="5"/>
      <c r="B783" s="5"/>
      <c r="C783" s="5"/>
      <c r="D783" s="5"/>
      <c r="E783" s="5"/>
      <c r="F783" s="5"/>
      <c r="G783" s="5"/>
      <c r="H783" s="306"/>
      <c r="I783" s="306"/>
      <c r="J783" s="5"/>
      <c r="K783" s="5"/>
      <c r="L783" s="5"/>
      <c r="M783" s="5"/>
      <c r="N783" s="5"/>
      <c r="O783" s="5"/>
      <c r="P783" s="57"/>
      <c r="Q783" s="5"/>
      <c r="R783" s="5"/>
      <c r="S783" s="5"/>
      <c r="T783" s="5"/>
      <c r="U783" s="5"/>
      <c r="V783" s="5"/>
      <c r="W783" s="5"/>
      <c r="X783" s="5"/>
      <c r="Y783" s="5"/>
      <c r="Z783" s="5"/>
      <c r="AA783" s="5"/>
    </row>
    <row r="784" spans="1:27" ht="12.75" customHeight="1">
      <c r="A784" s="5"/>
      <c r="B784" s="5"/>
      <c r="C784" s="5"/>
      <c r="D784" s="5"/>
      <c r="E784" s="5"/>
      <c r="F784" s="5"/>
      <c r="G784" s="5"/>
      <c r="H784" s="306"/>
      <c r="I784" s="306"/>
      <c r="J784" s="5"/>
      <c r="K784" s="5"/>
      <c r="L784" s="5"/>
      <c r="M784" s="5"/>
      <c r="N784" s="5"/>
      <c r="O784" s="5"/>
      <c r="P784" s="57"/>
      <c r="Q784" s="5"/>
      <c r="R784" s="5"/>
      <c r="S784" s="5"/>
      <c r="T784" s="5"/>
      <c r="U784" s="5"/>
      <c r="V784" s="5"/>
      <c r="W784" s="5"/>
      <c r="X784" s="5"/>
      <c r="Y784" s="5"/>
      <c r="Z784" s="5"/>
      <c r="AA784" s="5"/>
    </row>
    <row r="785" spans="1:27" ht="12.75" customHeight="1">
      <c r="A785" s="5"/>
      <c r="B785" s="5"/>
      <c r="C785" s="5"/>
      <c r="D785" s="5"/>
      <c r="E785" s="5"/>
      <c r="F785" s="5"/>
      <c r="G785" s="5"/>
      <c r="H785" s="306"/>
      <c r="I785" s="306"/>
      <c r="J785" s="5"/>
      <c r="K785" s="5"/>
      <c r="L785" s="5"/>
      <c r="M785" s="5"/>
      <c r="N785" s="5"/>
      <c r="O785" s="5"/>
      <c r="P785" s="57"/>
      <c r="Q785" s="5"/>
      <c r="R785" s="5"/>
      <c r="S785" s="5"/>
      <c r="T785" s="5"/>
      <c r="U785" s="5"/>
      <c r="V785" s="5"/>
      <c r="W785" s="5"/>
      <c r="X785" s="5"/>
      <c r="Y785" s="5"/>
      <c r="Z785" s="5"/>
      <c r="AA785" s="5"/>
    </row>
    <row r="786" spans="1:27" ht="12.75" customHeight="1">
      <c r="A786" s="5"/>
      <c r="B786" s="5"/>
      <c r="C786" s="5"/>
      <c r="D786" s="5"/>
      <c r="E786" s="5"/>
      <c r="F786" s="5"/>
      <c r="G786" s="5"/>
      <c r="H786" s="306"/>
      <c r="I786" s="306"/>
      <c r="J786" s="5"/>
      <c r="K786" s="5"/>
      <c r="L786" s="5"/>
      <c r="M786" s="5"/>
      <c r="N786" s="5"/>
      <c r="O786" s="5"/>
      <c r="P786" s="57"/>
      <c r="Q786" s="5"/>
      <c r="R786" s="5"/>
      <c r="S786" s="5"/>
      <c r="T786" s="5"/>
      <c r="U786" s="5"/>
      <c r="V786" s="5"/>
      <c r="W786" s="5"/>
      <c r="X786" s="5"/>
      <c r="Y786" s="5"/>
      <c r="Z786" s="5"/>
      <c r="AA786" s="5"/>
    </row>
    <row r="787" spans="1:27" ht="12.75" customHeight="1">
      <c r="A787" s="5"/>
      <c r="B787" s="5"/>
      <c r="C787" s="5"/>
      <c r="D787" s="5"/>
      <c r="E787" s="5"/>
      <c r="F787" s="5"/>
      <c r="G787" s="5"/>
      <c r="H787" s="306"/>
      <c r="I787" s="306"/>
      <c r="J787" s="5"/>
      <c r="K787" s="5"/>
      <c r="L787" s="5"/>
      <c r="M787" s="5"/>
      <c r="N787" s="5"/>
      <c r="O787" s="5"/>
      <c r="P787" s="57"/>
      <c r="Q787" s="5"/>
      <c r="R787" s="5"/>
      <c r="S787" s="5"/>
      <c r="T787" s="5"/>
      <c r="U787" s="5"/>
      <c r="V787" s="5"/>
      <c r="W787" s="5"/>
      <c r="X787" s="5"/>
      <c r="Y787" s="5"/>
      <c r="Z787" s="5"/>
      <c r="AA787" s="5"/>
    </row>
    <row r="788" spans="1:27" ht="12.75" customHeight="1">
      <c r="A788" s="5"/>
      <c r="B788" s="5"/>
      <c r="C788" s="5"/>
      <c r="D788" s="5"/>
      <c r="E788" s="5"/>
      <c r="F788" s="5"/>
      <c r="G788" s="5"/>
      <c r="H788" s="306"/>
      <c r="I788" s="306"/>
      <c r="J788" s="5"/>
      <c r="K788" s="5"/>
      <c r="L788" s="5"/>
      <c r="M788" s="5"/>
      <c r="N788" s="5"/>
      <c r="O788" s="5"/>
      <c r="P788" s="57"/>
      <c r="Q788" s="5"/>
      <c r="R788" s="5"/>
      <c r="S788" s="5"/>
      <c r="T788" s="5"/>
      <c r="U788" s="5"/>
      <c r="V788" s="5"/>
      <c r="W788" s="5"/>
      <c r="X788" s="5"/>
      <c r="Y788" s="5"/>
      <c r="Z788" s="5"/>
      <c r="AA788" s="5"/>
    </row>
    <row r="789" spans="1:27" ht="12.75" customHeight="1">
      <c r="A789" s="5"/>
      <c r="B789" s="5"/>
      <c r="C789" s="5"/>
      <c r="D789" s="5"/>
      <c r="E789" s="5"/>
      <c r="F789" s="5"/>
      <c r="G789" s="5"/>
      <c r="H789" s="306"/>
      <c r="I789" s="306"/>
      <c r="J789" s="5"/>
      <c r="K789" s="5"/>
      <c r="L789" s="5"/>
      <c r="M789" s="5"/>
      <c r="N789" s="5"/>
      <c r="O789" s="5"/>
      <c r="P789" s="57"/>
      <c r="Q789" s="5"/>
      <c r="R789" s="5"/>
      <c r="S789" s="5"/>
      <c r="T789" s="5"/>
      <c r="U789" s="5"/>
      <c r="V789" s="5"/>
      <c r="W789" s="5"/>
      <c r="X789" s="5"/>
      <c r="Y789" s="5"/>
      <c r="Z789" s="5"/>
      <c r="AA789" s="5"/>
    </row>
    <row r="790" spans="1:27" ht="12.75" customHeight="1">
      <c r="A790" s="5"/>
      <c r="B790" s="5"/>
      <c r="C790" s="5"/>
      <c r="D790" s="5"/>
      <c r="E790" s="5"/>
      <c r="F790" s="5"/>
      <c r="G790" s="5"/>
      <c r="H790" s="306"/>
      <c r="I790" s="306"/>
      <c r="J790" s="5"/>
      <c r="K790" s="5"/>
      <c r="L790" s="5"/>
      <c r="M790" s="5"/>
      <c r="N790" s="5"/>
      <c r="O790" s="5"/>
      <c r="P790" s="57"/>
      <c r="Q790" s="5"/>
      <c r="R790" s="5"/>
      <c r="S790" s="5"/>
      <c r="T790" s="5"/>
      <c r="U790" s="5"/>
      <c r="V790" s="5"/>
      <c r="W790" s="5"/>
      <c r="X790" s="5"/>
      <c r="Y790" s="5"/>
      <c r="Z790" s="5"/>
      <c r="AA790" s="5"/>
    </row>
    <row r="791" spans="1:27" ht="12.75" customHeight="1">
      <c r="A791" s="5"/>
      <c r="B791" s="5"/>
      <c r="C791" s="5"/>
      <c r="D791" s="5"/>
      <c r="E791" s="5"/>
      <c r="F791" s="5"/>
      <c r="G791" s="5"/>
      <c r="H791" s="306"/>
      <c r="I791" s="306"/>
      <c r="J791" s="5"/>
      <c r="K791" s="5"/>
      <c r="L791" s="5"/>
      <c r="M791" s="5"/>
      <c r="N791" s="5"/>
      <c r="O791" s="5"/>
      <c r="P791" s="57"/>
      <c r="Q791" s="5"/>
      <c r="R791" s="5"/>
      <c r="S791" s="5"/>
      <c r="T791" s="5"/>
      <c r="U791" s="5"/>
      <c r="V791" s="5"/>
      <c r="W791" s="5"/>
      <c r="X791" s="5"/>
      <c r="Y791" s="5"/>
      <c r="Z791" s="5"/>
      <c r="AA791" s="5"/>
    </row>
    <row r="792" spans="1:27" ht="12.75" customHeight="1">
      <c r="A792" s="5"/>
      <c r="B792" s="5"/>
      <c r="C792" s="5"/>
      <c r="D792" s="5"/>
      <c r="E792" s="5"/>
      <c r="F792" s="5"/>
      <c r="G792" s="5"/>
      <c r="H792" s="306"/>
      <c r="I792" s="306"/>
      <c r="J792" s="5"/>
      <c r="K792" s="5"/>
      <c r="L792" s="5"/>
      <c r="M792" s="5"/>
      <c r="N792" s="5"/>
      <c r="O792" s="5"/>
      <c r="P792" s="57"/>
      <c r="Q792" s="5"/>
      <c r="R792" s="5"/>
      <c r="S792" s="5"/>
      <c r="T792" s="5"/>
      <c r="U792" s="5"/>
      <c r="V792" s="5"/>
      <c r="W792" s="5"/>
      <c r="X792" s="5"/>
      <c r="Y792" s="5"/>
      <c r="Z792" s="5"/>
      <c r="AA792" s="5"/>
    </row>
    <row r="793" spans="1:27" ht="12.75" customHeight="1">
      <c r="A793" s="5"/>
      <c r="B793" s="5"/>
      <c r="C793" s="5"/>
      <c r="D793" s="5"/>
      <c r="E793" s="5"/>
      <c r="F793" s="5"/>
      <c r="G793" s="5"/>
      <c r="H793" s="306"/>
      <c r="I793" s="306"/>
      <c r="J793" s="5"/>
      <c r="K793" s="5"/>
      <c r="L793" s="5"/>
      <c r="M793" s="5"/>
      <c r="N793" s="5"/>
      <c r="O793" s="5"/>
      <c r="P793" s="57"/>
      <c r="Q793" s="5"/>
      <c r="R793" s="5"/>
      <c r="S793" s="5"/>
      <c r="T793" s="5"/>
      <c r="U793" s="5"/>
      <c r="V793" s="5"/>
      <c r="W793" s="5"/>
      <c r="X793" s="5"/>
      <c r="Y793" s="5"/>
      <c r="Z793" s="5"/>
      <c r="AA793" s="5"/>
    </row>
    <row r="794" spans="1:27" ht="12.75" customHeight="1">
      <c r="A794" s="5"/>
      <c r="B794" s="5"/>
      <c r="C794" s="5"/>
      <c r="D794" s="5"/>
      <c r="E794" s="5"/>
      <c r="F794" s="5"/>
      <c r="G794" s="5"/>
      <c r="H794" s="306"/>
      <c r="I794" s="306"/>
      <c r="J794" s="5"/>
      <c r="K794" s="5"/>
      <c r="L794" s="5"/>
      <c r="M794" s="5"/>
      <c r="N794" s="5"/>
      <c r="O794" s="5"/>
      <c r="P794" s="57"/>
      <c r="Q794" s="5"/>
      <c r="R794" s="5"/>
      <c r="S794" s="5"/>
      <c r="T794" s="5"/>
      <c r="U794" s="5"/>
      <c r="V794" s="5"/>
      <c r="W794" s="5"/>
      <c r="X794" s="5"/>
      <c r="Y794" s="5"/>
      <c r="Z794" s="5"/>
      <c r="AA794" s="5"/>
    </row>
    <row r="795" spans="1:27" ht="12.75" customHeight="1">
      <c r="A795" s="5"/>
      <c r="B795" s="5"/>
      <c r="C795" s="5"/>
      <c r="D795" s="5"/>
      <c r="E795" s="5"/>
      <c r="F795" s="5"/>
      <c r="G795" s="5"/>
      <c r="H795" s="306"/>
      <c r="I795" s="306"/>
      <c r="J795" s="5"/>
      <c r="K795" s="5"/>
      <c r="L795" s="5"/>
      <c r="M795" s="5"/>
      <c r="N795" s="5"/>
      <c r="O795" s="5"/>
      <c r="P795" s="57"/>
      <c r="Q795" s="5"/>
      <c r="R795" s="5"/>
      <c r="S795" s="5"/>
      <c r="T795" s="5"/>
      <c r="U795" s="5"/>
      <c r="V795" s="5"/>
      <c r="W795" s="5"/>
      <c r="X795" s="5"/>
      <c r="Y795" s="5"/>
      <c r="Z795" s="5"/>
      <c r="AA795" s="5"/>
    </row>
    <row r="796" spans="1:27" ht="12.75" customHeight="1">
      <c r="A796" s="5"/>
      <c r="B796" s="5"/>
      <c r="C796" s="5"/>
      <c r="D796" s="5"/>
      <c r="E796" s="5"/>
      <c r="F796" s="5"/>
      <c r="G796" s="5"/>
      <c r="H796" s="306"/>
      <c r="I796" s="306"/>
      <c r="J796" s="5"/>
      <c r="K796" s="5"/>
      <c r="L796" s="5"/>
      <c r="M796" s="5"/>
      <c r="N796" s="5"/>
      <c r="O796" s="5"/>
      <c r="P796" s="57"/>
      <c r="Q796" s="5"/>
      <c r="R796" s="5"/>
      <c r="S796" s="5"/>
      <c r="T796" s="5"/>
      <c r="U796" s="5"/>
      <c r="V796" s="5"/>
      <c r="W796" s="5"/>
      <c r="X796" s="5"/>
      <c r="Y796" s="5"/>
      <c r="Z796" s="5"/>
      <c r="AA796" s="5"/>
    </row>
    <row r="797" spans="1:27" ht="12.75" customHeight="1">
      <c r="A797" s="5"/>
      <c r="B797" s="5"/>
      <c r="C797" s="5"/>
      <c r="D797" s="5"/>
      <c r="E797" s="5"/>
      <c r="F797" s="5"/>
      <c r="G797" s="5"/>
      <c r="H797" s="306"/>
      <c r="I797" s="306"/>
      <c r="J797" s="5"/>
      <c r="K797" s="5"/>
      <c r="L797" s="5"/>
      <c r="M797" s="5"/>
      <c r="N797" s="5"/>
      <c r="O797" s="5"/>
      <c r="P797" s="57"/>
      <c r="Q797" s="5"/>
      <c r="R797" s="5"/>
      <c r="S797" s="5"/>
      <c r="T797" s="5"/>
      <c r="U797" s="5"/>
      <c r="V797" s="5"/>
      <c r="W797" s="5"/>
      <c r="X797" s="5"/>
      <c r="Y797" s="5"/>
      <c r="Z797" s="5"/>
      <c r="AA797" s="5"/>
    </row>
    <row r="798" spans="1:27" ht="12.75" customHeight="1">
      <c r="A798" s="5"/>
      <c r="B798" s="5"/>
      <c r="C798" s="5"/>
      <c r="D798" s="5"/>
      <c r="E798" s="5"/>
      <c r="F798" s="5"/>
      <c r="G798" s="5"/>
      <c r="H798" s="306"/>
      <c r="I798" s="306"/>
      <c r="J798" s="5"/>
      <c r="K798" s="5"/>
      <c r="L798" s="5"/>
      <c r="M798" s="5"/>
      <c r="N798" s="5"/>
      <c r="O798" s="5"/>
      <c r="P798" s="57"/>
      <c r="Q798" s="5"/>
      <c r="R798" s="5"/>
      <c r="S798" s="5"/>
      <c r="T798" s="5"/>
      <c r="U798" s="5"/>
      <c r="V798" s="5"/>
      <c r="W798" s="5"/>
      <c r="X798" s="5"/>
      <c r="Y798" s="5"/>
      <c r="Z798" s="5"/>
      <c r="AA798" s="5"/>
    </row>
    <row r="799" spans="1:27" ht="12.75" customHeight="1">
      <c r="A799" s="5"/>
      <c r="B799" s="5"/>
      <c r="C799" s="5"/>
      <c r="D799" s="5"/>
      <c r="E799" s="5"/>
      <c r="F799" s="5"/>
      <c r="G799" s="5"/>
      <c r="H799" s="306"/>
      <c r="I799" s="306"/>
      <c r="J799" s="5"/>
      <c r="K799" s="5"/>
      <c r="L799" s="5"/>
      <c r="M799" s="5"/>
      <c r="N799" s="5"/>
      <c r="O799" s="5"/>
      <c r="P799" s="57"/>
      <c r="Q799" s="5"/>
      <c r="R799" s="5"/>
      <c r="S799" s="5"/>
      <c r="T799" s="5"/>
      <c r="U799" s="5"/>
      <c r="V799" s="5"/>
      <c r="W799" s="5"/>
      <c r="X799" s="5"/>
      <c r="Y799" s="5"/>
      <c r="Z799" s="5"/>
      <c r="AA799" s="5"/>
    </row>
    <row r="800" spans="1:27" ht="12.75" customHeight="1">
      <c r="A800" s="5"/>
      <c r="B800" s="5"/>
      <c r="C800" s="5"/>
      <c r="D800" s="5"/>
      <c r="E800" s="5"/>
      <c r="F800" s="5"/>
      <c r="G800" s="5"/>
      <c r="H800" s="306"/>
      <c r="I800" s="306"/>
      <c r="J800" s="5"/>
      <c r="K800" s="5"/>
      <c r="L800" s="5"/>
      <c r="M800" s="5"/>
      <c r="N800" s="5"/>
      <c r="O800" s="5"/>
      <c r="P800" s="57"/>
      <c r="Q800" s="5"/>
      <c r="R800" s="5"/>
      <c r="S800" s="5"/>
      <c r="T800" s="5"/>
      <c r="U800" s="5"/>
      <c r="V800" s="5"/>
      <c r="W800" s="5"/>
      <c r="X800" s="5"/>
      <c r="Y800" s="5"/>
      <c r="Z800" s="5"/>
      <c r="AA800" s="5"/>
    </row>
    <row r="801" spans="1:27" ht="12.75" customHeight="1">
      <c r="A801" s="5"/>
      <c r="B801" s="5"/>
      <c r="C801" s="5"/>
      <c r="D801" s="5"/>
      <c r="E801" s="5"/>
      <c r="F801" s="5"/>
      <c r="G801" s="5"/>
      <c r="H801" s="306"/>
      <c r="I801" s="306"/>
      <c r="J801" s="5"/>
      <c r="K801" s="5"/>
      <c r="L801" s="5"/>
      <c r="M801" s="5"/>
      <c r="N801" s="5"/>
      <c r="O801" s="5"/>
      <c r="P801" s="57"/>
      <c r="Q801" s="5"/>
      <c r="R801" s="5"/>
      <c r="S801" s="5"/>
      <c r="T801" s="5"/>
      <c r="U801" s="5"/>
      <c r="V801" s="5"/>
      <c r="W801" s="5"/>
      <c r="X801" s="5"/>
      <c r="Y801" s="5"/>
      <c r="Z801" s="5"/>
      <c r="AA801" s="5"/>
    </row>
    <row r="802" spans="1:27" ht="12.75" customHeight="1">
      <c r="A802" s="5"/>
      <c r="B802" s="5"/>
      <c r="C802" s="5"/>
      <c r="D802" s="5"/>
      <c r="E802" s="5"/>
      <c r="F802" s="5"/>
      <c r="G802" s="5"/>
      <c r="H802" s="306"/>
      <c r="I802" s="306"/>
      <c r="J802" s="5"/>
      <c r="K802" s="5"/>
      <c r="L802" s="5"/>
      <c r="M802" s="5"/>
      <c r="N802" s="5"/>
      <c r="O802" s="5"/>
      <c r="P802" s="57"/>
      <c r="Q802" s="5"/>
      <c r="R802" s="5"/>
      <c r="S802" s="5"/>
      <c r="T802" s="5"/>
      <c r="U802" s="5"/>
      <c r="V802" s="5"/>
      <c r="W802" s="5"/>
      <c r="X802" s="5"/>
      <c r="Y802" s="5"/>
      <c r="Z802" s="5"/>
      <c r="AA802" s="5"/>
    </row>
    <row r="803" spans="1:27" ht="12.75" customHeight="1">
      <c r="A803" s="5"/>
      <c r="B803" s="5"/>
      <c r="C803" s="5"/>
      <c r="D803" s="5"/>
      <c r="E803" s="5"/>
      <c r="F803" s="5"/>
      <c r="G803" s="5"/>
      <c r="H803" s="306"/>
      <c r="I803" s="306"/>
      <c r="J803" s="5"/>
      <c r="K803" s="5"/>
      <c r="L803" s="5"/>
      <c r="M803" s="5"/>
      <c r="N803" s="5"/>
      <c r="O803" s="5"/>
      <c r="P803" s="57"/>
      <c r="Q803" s="5"/>
      <c r="R803" s="5"/>
      <c r="S803" s="5"/>
      <c r="T803" s="5"/>
      <c r="U803" s="5"/>
      <c r="V803" s="5"/>
      <c r="W803" s="5"/>
      <c r="X803" s="5"/>
      <c r="Y803" s="5"/>
      <c r="Z803" s="5"/>
      <c r="AA803" s="5"/>
    </row>
    <row r="804" spans="1:27" ht="12.75" customHeight="1">
      <c r="A804" s="5"/>
      <c r="B804" s="5"/>
      <c r="C804" s="5"/>
      <c r="D804" s="5"/>
      <c r="E804" s="5"/>
      <c r="F804" s="5"/>
      <c r="G804" s="5"/>
      <c r="H804" s="306"/>
      <c r="I804" s="306"/>
      <c r="J804" s="5"/>
      <c r="K804" s="5"/>
      <c r="L804" s="5"/>
      <c r="M804" s="5"/>
      <c r="N804" s="5"/>
      <c r="O804" s="5"/>
      <c r="P804" s="57"/>
      <c r="Q804" s="5"/>
      <c r="R804" s="5"/>
      <c r="S804" s="5"/>
      <c r="T804" s="5"/>
      <c r="U804" s="5"/>
      <c r="V804" s="5"/>
      <c r="W804" s="5"/>
      <c r="X804" s="5"/>
      <c r="Y804" s="5"/>
      <c r="Z804" s="5"/>
      <c r="AA804" s="5"/>
    </row>
    <row r="805" spans="1:27" ht="12.75" customHeight="1">
      <c r="A805" s="5"/>
      <c r="B805" s="5"/>
      <c r="C805" s="5"/>
      <c r="D805" s="5"/>
      <c r="E805" s="5"/>
      <c r="F805" s="5"/>
      <c r="G805" s="5"/>
      <c r="H805" s="306"/>
      <c r="I805" s="306"/>
      <c r="J805" s="5"/>
      <c r="K805" s="5"/>
      <c r="L805" s="5"/>
      <c r="M805" s="5"/>
      <c r="N805" s="5"/>
      <c r="O805" s="5"/>
      <c r="P805" s="57"/>
      <c r="Q805" s="5"/>
      <c r="R805" s="5"/>
      <c r="S805" s="5"/>
      <c r="T805" s="5"/>
      <c r="U805" s="5"/>
      <c r="V805" s="5"/>
      <c r="W805" s="5"/>
      <c r="X805" s="5"/>
      <c r="Y805" s="5"/>
      <c r="Z805" s="5"/>
      <c r="AA805" s="5"/>
    </row>
    <row r="806" spans="1:27" ht="12.75" customHeight="1">
      <c r="A806" s="5"/>
      <c r="B806" s="5"/>
      <c r="C806" s="5"/>
      <c r="D806" s="5"/>
      <c r="E806" s="5"/>
      <c r="F806" s="5"/>
      <c r="G806" s="5"/>
      <c r="H806" s="306"/>
      <c r="I806" s="306"/>
      <c r="J806" s="5"/>
      <c r="K806" s="5"/>
      <c r="L806" s="5"/>
      <c r="M806" s="5"/>
      <c r="N806" s="5"/>
      <c r="O806" s="5"/>
      <c r="P806" s="57"/>
      <c r="Q806" s="5"/>
      <c r="R806" s="5"/>
      <c r="S806" s="5"/>
      <c r="T806" s="5"/>
      <c r="U806" s="5"/>
      <c r="V806" s="5"/>
      <c r="W806" s="5"/>
      <c r="X806" s="5"/>
      <c r="Y806" s="5"/>
      <c r="Z806" s="5"/>
      <c r="AA806" s="5"/>
    </row>
    <row r="807" spans="1:27" ht="12.75" customHeight="1">
      <c r="A807" s="5"/>
      <c r="B807" s="5"/>
      <c r="C807" s="5"/>
      <c r="D807" s="5"/>
      <c r="E807" s="5"/>
      <c r="F807" s="5"/>
      <c r="G807" s="5"/>
      <c r="H807" s="306"/>
      <c r="I807" s="306"/>
      <c r="J807" s="5"/>
      <c r="K807" s="5"/>
      <c r="L807" s="5"/>
      <c r="M807" s="5"/>
      <c r="N807" s="5"/>
      <c r="O807" s="5"/>
      <c r="P807" s="57"/>
      <c r="Q807" s="5"/>
      <c r="R807" s="5"/>
      <c r="S807" s="5"/>
      <c r="T807" s="5"/>
      <c r="U807" s="5"/>
      <c r="V807" s="5"/>
      <c r="W807" s="5"/>
      <c r="X807" s="5"/>
      <c r="Y807" s="5"/>
      <c r="Z807" s="5"/>
      <c r="AA807" s="5"/>
    </row>
    <row r="808" spans="1:27" ht="12.75" customHeight="1">
      <c r="A808" s="5"/>
      <c r="B808" s="5"/>
      <c r="C808" s="5"/>
      <c r="D808" s="5"/>
      <c r="E808" s="5"/>
      <c r="F808" s="5"/>
      <c r="G808" s="5"/>
      <c r="H808" s="306"/>
      <c r="I808" s="306"/>
      <c r="J808" s="5"/>
      <c r="K808" s="5"/>
      <c r="L808" s="5"/>
      <c r="M808" s="5"/>
      <c r="N808" s="5"/>
      <c r="O808" s="5"/>
      <c r="P808" s="57"/>
      <c r="Q808" s="5"/>
      <c r="R808" s="5"/>
      <c r="S808" s="5"/>
      <c r="T808" s="5"/>
      <c r="U808" s="5"/>
      <c r="V808" s="5"/>
      <c r="W808" s="5"/>
      <c r="X808" s="5"/>
      <c r="Y808" s="5"/>
      <c r="Z808" s="5"/>
      <c r="AA808" s="5"/>
    </row>
    <row r="809" spans="1:27" ht="12.75" customHeight="1">
      <c r="A809" s="5"/>
      <c r="B809" s="5"/>
      <c r="C809" s="5"/>
      <c r="D809" s="5"/>
      <c r="E809" s="5"/>
      <c r="F809" s="5"/>
      <c r="G809" s="5"/>
      <c r="H809" s="306"/>
      <c r="I809" s="306"/>
      <c r="J809" s="5"/>
      <c r="K809" s="5"/>
      <c r="L809" s="5"/>
      <c r="M809" s="5"/>
      <c r="N809" s="5"/>
      <c r="O809" s="5"/>
      <c r="P809" s="57"/>
      <c r="Q809" s="5"/>
      <c r="R809" s="5"/>
      <c r="S809" s="5"/>
      <c r="T809" s="5"/>
      <c r="U809" s="5"/>
      <c r="V809" s="5"/>
      <c r="W809" s="5"/>
      <c r="X809" s="5"/>
      <c r="Y809" s="5"/>
      <c r="Z809" s="5"/>
      <c r="AA809" s="5"/>
    </row>
    <row r="810" spans="1:27" ht="12.75" customHeight="1">
      <c r="A810" s="5"/>
      <c r="B810" s="5"/>
      <c r="C810" s="5"/>
      <c r="D810" s="5"/>
      <c r="E810" s="5"/>
      <c r="F810" s="5"/>
      <c r="G810" s="5"/>
      <c r="H810" s="306"/>
      <c r="I810" s="306"/>
      <c r="J810" s="5"/>
      <c r="K810" s="5"/>
      <c r="L810" s="5"/>
      <c r="M810" s="5"/>
      <c r="N810" s="5"/>
      <c r="O810" s="5"/>
      <c r="P810" s="57"/>
      <c r="Q810" s="5"/>
      <c r="R810" s="5"/>
      <c r="S810" s="5"/>
      <c r="T810" s="5"/>
      <c r="U810" s="5"/>
      <c r="V810" s="5"/>
      <c r="W810" s="5"/>
      <c r="X810" s="5"/>
      <c r="Y810" s="5"/>
      <c r="Z810" s="5"/>
      <c r="AA810" s="5"/>
    </row>
    <row r="811" spans="1:27" ht="12.75" customHeight="1">
      <c r="A811" s="5"/>
      <c r="B811" s="5"/>
      <c r="C811" s="5"/>
      <c r="D811" s="5"/>
      <c r="E811" s="5"/>
      <c r="F811" s="5"/>
      <c r="G811" s="5"/>
      <c r="H811" s="306"/>
      <c r="I811" s="306"/>
      <c r="J811" s="5"/>
      <c r="K811" s="5"/>
      <c r="L811" s="5"/>
      <c r="M811" s="5"/>
      <c r="N811" s="5"/>
      <c r="O811" s="5"/>
      <c r="P811" s="57"/>
      <c r="Q811" s="5"/>
      <c r="R811" s="5"/>
      <c r="S811" s="5"/>
      <c r="T811" s="5"/>
      <c r="U811" s="5"/>
      <c r="V811" s="5"/>
      <c r="W811" s="5"/>
      <c r="X811" s="5"/>
      <c r="Y811" s="5"/>
      <c r="Z811" s="5"/>
      <c r="AA811" s="5"/>
    </row>
    <row r="812" spans="1:27" ht="12.75" customHeight="1">
      <c r="A812" s="5"/>
      <c r="B812" s="5"/>
      <c r="C812" s="5"/>
      <c r="D812" s="5"/>
      <c r="E812" s="5"/>
      <c r="F812" s="5"/>
      <c r="G812" s="5"/>
      <c r="H812" s="306"/>
      <c r="I812" s="306"/>
      <c r="J812" s="5"/>
      <c r="K812" s="5"/>
      <c r="L812" s="5"/>
      <c r="M812" s="5"/>
      <c r="N812" s="5"/>
      <c r="O812" s="5"/>
      <c r="P812" s="57"/>
      <c r="Q812" s="5"/>
      <c r="R812" s="5"/>
      <c r="S812" s="5"/>
      <c r="T812" s="5"/>
      <c r="U812" s="5"/>
      <c r="V812" s="5"/>
      <c r="W812" s="5"/>
      <c r="X812" s="5"/>
      <c r="Y812" s="5"/>
      <c r="Z812" s="5"/>
      <c r="AA812" s="5"/>
    </row>
    <row r="813" spans="1:27" ht="12.75" customHeight="1">
      <c r="A813" s="5"/>
      <c r="B813" s="5"/>
      <c r="C813" s="5"/>
      <c r="D813" s="5"/>
      <c r="E813" s="5"/>
      <c r="F813" s="5"/>
      <c r="G813" s="5"/>
      <c r="H813" s="306"/>
      <c r="I813" s="306"/>
      <c r="J813" s="5"/>
      <c r="K813" s="5"/>
      <c r="L813" s="5"/>
      <c r="M813" s="5"/>
      <c r="N813" s="5"/>
      <c r="O813" s="5"/>
      <c r="P813" s="57"/>
      <c r="Q813" s="5"/>
      <c r="R813" s="5"/>
      <c r="S813" s="5"/>
      <c r="T813" s="5"/>
      <c r="U813" s="5"/>
      <c r="V813" s="5"/>
      <c r="W813" s="5"/>
      <c r="X813" s="5"/>
      <c r="Y813" s="5"/>
      <c r="Z813" s="5"/>
      <c r="AA813" s="5"/>
    </row>
    <row r="814" spans="1:27" ht="12.75" customHeight="1">
      <c r="A814" s="5"/>
      <c r="B814" s="5"/>
      <c r="C814" s="5"/>
      <c r="D814" s="5"/>
      <c r="E814" s="5"/>
      <c r="F814" s="5"/>
      <c r="G814" s="5"/>
      <c r="H814" s="306"/>
      <c r="I814" s="306"/>
      <c r="J814" s="5"/>
      <c r="K814" s="5"/>
      <c r="L814" s="5"/>
      <c r="M814" s="5"/>
      <c r="N814" s="5"/>
      <c r="O814" s="5"/>
      <c r="P814" s="57"/>
      <c r="Q814" s="5"/>
      <c r="R814" s="5"/>
      <c r="S814" s="5"/>
      <c r="T814" s="5"/>
      <c r="U814" s="5"/>
      <c r="V814" s="5"/>
      <c r="W814" s="5"/>
      <c r="X814" s="5"/>
      <c r="Y814" s="5"/>
      <c r="Z814" s="5"/>
      <c r="AA814" s="5"/>
    </row>
    <row r="815" spans="1:27" ht="12.75" customHeight="1">
      <c r="A815" s="5"/>
      <c r="B815" s="5"/>
      <c r="C815" s="5"/>
      <c r="D815" s="5"/>
      <c r="E815" s="5"/>
      <c r="F815" s="5"/>
      <c r="G815" s="5"/>
      <c r="H815" s="306"/>
      <c r="I815" s="306"/>
      <c r="J815" s="5"/>
      <c r="K815" s="5"/>
      <c r="L815" s="5"/>
      <c r="M815" s="5"/>
      <c r="N815" s="5"/>
      <c r="O815" s="5"/>
      <c r="P815" s="57"/>
      <c r="Q815" s="5"/>
      <c r="R815" s="5"/>
      <c r="S815" s="5"/>
      <c r="T815" s="5"/>
      <c r="U815" s="5"/>
      <c r="V815" s="5"/>
      <c r="W815" s="5"/>
      <c r="X815" s="5"/>
      <c r="Y815" s="5"/>
      <c r="Z815" s="5"/>
      <c r="AA815" s="5"/>
    </row>
    <row r="816" spans="1:27" ht="12.75" customHeight="1">
      <c r="A816" s="5"/>
      <c r="B816" s="5"/>
      <c r="C816" s="5"/>
      <c r="D816" s="5"/>
      <c r="E816" s="5"/>
      <c r="F816" s="5"/>
      <c r="G816" s="5"/>
      <c r="H816" s="306"/>
      <c r="I816" s="306"/>
      <c r="J816" s="5"/>
      <c r="K816" s="5"/>
      <c r="L816" s="5"/>
      <c r="M816" s="5"/>
      <c r="N816" s="5"/>
      <c r="O816" s="5"/>
      <c r="P816" s="57"/>
      <c r="Q816" s="5"/>
      <c r="R816" s="5"/>
      <c r="S816" s="5"/>
      <c r="T816" s="5"/>
      <c r="U816" s="5"/>
      <c r="V816" s="5"/>
      <c r="W816" s="5"/>
      <c r="X816" s="5"/>
      <c r="Y816" s="5"/>
      <c r="Z816" s="5"/>
      <c r="AA816" s="5"/>
    </row>
    <row r="817" spans="1:27" ht="12.75" customHeight="1">
      <c r="A817" s="5"/>
      <c r="B817" s="5"/>
      <c r="C817" s="5"/>
      <c r="D817" s="5"/>
      <c r="E817" s="5"/>
      <c r="F817" s="5"/>
      <c r="G817" s="5"/>
      <c r="H817" s="306"/>
      <c r="I817" s="306"/>
      <c r="J817" s="5"/>
      <c r="K817" s="5"/>
      <c r="L817" s="5"/>
      <c r="M817" s="5"/>
      <c r="N817" s="5"/>
      <c r="O817" s="5"/>
      <c r="P817" s="57"/>
      <c r="Q817" s="5"/>
      <c r="R817" s="5"/>
      <c r="S817" s="5"/>
      <c r="T817" s="5"/>
      <c r="U817" s="5"/>
      <c r="V817" s="5"/>
      <c r="W817" s="5"/>
      <c r="X817" s="5"/>
      <c r="Y817" s="5"/>
      <c r="Z817" s="5"/>
      <c r="AA817" s="5"/>
    </row>
    <row r="818" spans="1:27" ht="12.75" customHeight="1">
      <c r="A818" s="5"/>
      <c r="B818" s="5"/>
      <c r="C818" s="5"/>
      <c r="D818" s="5"/>
      <c r="E818" s="5"/>
      <c r="F818" s="5"/>
      <c r="G818" s="5"/>
      <c r="H818" s="306"/>
      <c r="I818" s="306"/>
      <c r="J818" s="5"/>
      <c r="K818" s="5"/>
      <c r="L818" s="5"/>
      <c r="M818" s="5"/>
      <c r="N818" s="5"/>
      <c r="O818" s="5"/>
      <c r="P818" s="57"/>
      <c r="Q818" s="5"/>
      <c r="R818" s="5"/>
      <c r="S818" s="5"/>
      <c r="T818" s="5"/>
      <c r="U818" s="5"/>
      <c r="V818" s="5"/>
      <c r="W818" s="5"/>
      <c r="X818" s="5"/>
      <c r="Y818" s="5"/>
      <c r="Z818" s="5"/>
      <c r="AA818" s="5"/>
    </row>
    <row r="819" spans="1:27" ht="12.75" customHeight="1">
      <c r="A819" s="5"/>
      <c r="B819" s="5"/>
      <c r="C819" s="5"/>
      <c r="D819" s="5"/>
      <c r="E819" s="5"/>
      <c r="F819" s="5"/>
      <c r="G819" s="5"/>
      <c r="H819" s="306"/>
      <c r="I819" s="306"/>
      <c r="J819" s="5"/>
      <c r="K819" s="5"/>
      <c r="L819" s="5"/>
      <c r="M819" s="5"/>
      <c r="N819" s="5"/>
      <c r="O819" s="5"/>
      <c r="P819" s="57"/>
      <c r="Q819" s="5"/>
      <c r="R819" s="5"/>
      <c r="S819" s="5"/>
      <c r="T819" s="5"/>
      <c r="U819" s="5"/>
      <c r="V819" s="5"/>
      <c r="W819" s="5"/>
      <c r="X819" s="5"/>
      <c r="Y819" s="5"/>
      <c r="Z819" s="5"/>
      <c r="AA819" s="5"/>
    </row>
    <row r="820" spans="1:27" ht="12.75" customHeight="1">
      <c r="A820" s="5"/>
      <c r="B820" s="5"/>
      <c r="C820" s="5"/>
      <c r="D820" s="5"/>
      <c r="E820" s="5"/>
      <c r="F820" s="5"/>
      <c r="G820" s="5"/>
      <c r="H820" s="306"/>
      <c r="I820" s="306"/>
      <c r="J820" s="5"/>
      <c r="K820" s="5"/>
      <c r="L820" s="5"/>
      <c r="M820" s="5"/>
      <c r="N820" s="5"/>
      <c r="O820" s="5"/>
      <c r="P820" s="57"/>
      <c r="Q820" s="5"/>
      <c r="R820" s="5"/>
      <c r="S820" s="5"/>
      <c r="T820" s="5"/>
      <c r="U820" s="5"/>
      <c r="V820" s="5"/>
      <c r="W820" s="5"/>
      <c r="X820" s="5"/>
      <c r="Y820" s="5"/>
      <c r="Z820" s="5"/>
      <c r="AA820" s="5"/>
    </row>
    <row r="821" spans="1:27" ht="12.75" customHeight="1">
      <c r="A821" s="5"/>
      <c r="B821" s="5"/>
      <c r="C821" s="5"/>
      <c r="D821" s="5"/>
      <c r="E821" s="5"/>
      <c r="F821" s="5"/>
      <c r="G821" s="5"/>
      <c r="H821" s="306"/>
      <c r="I821" s="306"/>
      <c r="J821" s="5"/>
      <c r="K821" s="5"/>
      <c r="L821" s="5"/>
      <c r="M821" s="5"/>
      <c r="N821" s="5"/>
      <c r="O821" s="5"/>
      <c r="P821" s="57"/>
      <c r="Q821" s="5"/>
      <c r="R821" s="5"/>
      <c r="S821" s="5"/>
      <c r="T821" s="5"/>
      <c r="U821" s="5"/>
      <c r="V821" s="5"/>
      <c r="W821" s="5"/>
      <c r="X821" s="5"/>
      <c r="Y821" s="5"/>
      <c r="Z821" s="5"/>
      <c r="AA821" s="5"/>
    </row>
    <row r="822" spans="1:27" ht="12.75" customHeight="1">
      <c r="A822" s="5"/>
      <c r="B822" s="5"/>
      <c r="C822" s="5"/>
      <c r="D822" s="5"/>
      <c r="E822" s="5"/>
      <c r="F822" s="5"/>
      <c r="G822" s="5"/>
      <c r="H822" s="306"/>
      <c r="I822" s="306"/>
      <c r="J822" s="5"/>
      <c r="K822" s="5"/>
      <c r="L822" s="5"/>
      <c r="M822" s="5"/>
      <c r="N822" s="5"/>
      <c r="O822" s="5"/>
      <c r="P822" s="57"/>
      <c r="Q822" s="5"/>
      <c r="R822" s="5"/>
      <c r="S822" s="5"/>
      <c r="T822" s="5"/>
      <c r="U822" s="5"/>
      <c r="V822" s="5"/>
      <c r="W822" s="5"/>
      <c r="X822" s="5"/>
      <c r="Y822" s="5"/>
      <c r="Z822" s="5"/>
      <c r="AA822" s="5"/>
    </row>
    <row r="823" spans="1:27" ht="12.75" customHeight="1">
      <c r="A823" s="5"/>
      <c r="B823" s="5"/>
      <c r="C823" s="5"/>
      <c r="D823" s="5"/>
      <c r="E823" s="5"/>
      <c r="F823" s="5"/>
      <c r="G823" s="5"/>
      <c r="H823" s="306"/>
      <c r="I823" s="306"/>
      <c r="J823" s="5"/>
      <c r="K823" s="5"/>
      <c r="L823" s="5"/>
      <c r="M823" s="5"/>
      <c r="N823" s="5"/>
      <c r="O823" s="5"/>
      <c r="P823" s="57"/>
      <c r="Q823" s="5"/>
      <c r="R823" s="5"/>
      <c r="S823" s="5"/>
      <c r="T823" s="5"/>
      <c r="U823" s="5"/>
      <c r="V823" s="5"/>
      <c r="W823" s="5"/>
      <c r="X823" s="5"/>
      <c r="Y823" s="5"/>
      <c r="Z823" s="5"/>
      <c r="AA823" s="5"/>
    </row>
    <row r="824" spans="1:27" ht="12.75" customHeight="1">
      <c r="A824" s="5"/>
      <c r="B824" s="5"/>
      <c r="C824" s="5"/>
      <c r="D824" s="5"/>
      <c r="E824" s="5"/>
      <c r="F824" s="5"/>
      <c r="G824" s="5"/>
      <c r="H824" s="306"/>
      <c r="I824" s="306"/>
      <c r="J824" s="5"/>
      <c r="K824" s="5"/>
      <c r="L824" s="5"/>
      <c r="M824" s="5"/>
      <c r="N824" s="5"/>
      <c r="O824" s="5"/>
      <c r="P824" s="57"/>
      <c r="Q824" s="5"/>
      <c r="R824" s="5"/>
      <c r="S824" s="5"/>
      <c r="T824" s="5"/>
      <c r="U824" s="5"/>
      <c r="V824" s="5"/>
      <c r="W824" s="5"/>
      <c r="X824" s="5"/>
      <c r="Y824" s="5"/>
      <c r="Z824" s="5"/>
      <c r="AA824" s="5"/>
    </row>
    <row r="825" spans="1:27" ht="12.75" customHeight="1">
      <c r="A825" s="5"/>
      <c r="B825" s="5"/>
      <c r="C825" s="5"/>
      <c r="D825" s="5"/>
      <c r="E825" s="5"/>
      <c r="F825" s="5"/>
      <c r="G825" s="5"/>
      <c r="H825" s="306"/>
      <c r="I825" s="306"/>
      <c r="J825" s="5"/>
      <c r="K825" s="5"/>
      <c r="L825" s="5"/>
      <c r="M825" s="5"/>
      <c r="N825" s="5"/>
      <c r="O825" s="5"/>
      <c r="P825" s="57"/>
      <c r="Q825" s="5"/>
      <c r="R825" s="5"/>
      <c r="S825" s="5"/>
      <c r="T825" s="5"/>
      <c r="U825" s="5"/>
      <c r="V825" s="5"/>
      <c r="W825" s="5"/>
      <c r="X825" s="5"/>
      <c r="Y825" s="5"/>
      <c r="Z825" s="5"/>
      <c r="AA825" s="5"/>
    </row>
    <row r="826" spans="1:27" ht="12.75" customHeight="1">
      <c r="A826" s="5"/>
      <c r="B826" s="5"/>
      <c r="C826" s="5"/>
      <c r="D826" s="5"/>
      <c r="E826" s="5"/>
      <c r="F826" s="5"/>
      <c r="G826" s="5"/>
      <c r="H826" s="306"/>
      <c r="I826" s="306"/>
      <c r="J826" s="5"/>
      <c r="K826" s="5"/>
      <c r="L826" s="5"/>
      <c r="M826" s="5"/>
      <c r="N826" s="5"/>
      <c r="O826" s="5"/>
      <c r="P826" s="57"/>
      <c r="Q826" s="5"/>
      <c r="R826" s="5"/>
      <c r="S826" s="5"/>
      <c r="T826" s="5"/>
      <c r="U826" s="5"/>
      <c r="V826" s="5"/>
      <c r="W826" s="5"/>
      <c r="X826" s="5"/>
      <c r="Y826" s="5"/>
      <c r="Z826" s="5"/>
      <c r="AA826" s="5"/>
    </row>
    <row r="827" spans="1:27" ht="12.75" customHeight="1">
      <c r="A827" s="5"/>
      <c r="B827" s="5"/>
      <c r="C827" s="5"/>
      <c r="D827" s="5"/>
      <c r="E827" s="5"/>
      <c r="F827" s="5"/>
      <c r="G827" s="5"/>
      <c r="H827" s="306"/>
      <c r="I827" s="306"/>
      <c r="J827" s="5"/>
      <c r="K827" s="5"/>
      <c r="L827" s="5"/>
      <c r="M827" s="5"/>
      <c r="N827" s="5"/>
      <c r="O827" s="5"/>
      <c r="P827" s="57"/>
      <c r="Q827" s="5"/>
      <c r="R827" s="5"/>
      <c r="S827" s="5"/>
      <c r="T827" s="5"/>
      <c r="U827" s="5"/>
      <c r="V827" s="5"/>
      <c r="W827" s="5"/>
      <c r="X827" s="5"/>
      <c r="Y827" s="5"/>
      <c r="Z827" s="5"/>
      <c r="AA827" s="5"/>
    </row>
    <row r="828" spans="1:27" ht="12.75" customHeight="1">
      <c r="A828" s="5"/>
      <c r="B828" s="5"/>
      <c r="C828" s="5"/>
      <c r="D828" s="5"/>
      <c r="E828" s="5"/>
      <c r="F828" s="5"/>
      <c r="G828" s="5"/>
      <c r="H828" s="306"/>
      <c r="I828" s="306"/>
      <c r="J828" s="5"/>
      <c r="K828" s="5"/>
      <c r="L828" s="5"/>
      <c r="M828" s="5"/>
      <c r="N828" s="5"/>
      <c r="O828" s="5"/>
      <c r="P828" s="57"/>
      <c r="Q828" s="5"/>
      <c r="R828" s="5"/>
      <c r="S828" s="5"/>
      <c r="T828" s="5"/>
      <c r="U828" s="5"/>
      <c r="V828" s="5"/>
      <c r="W828" s="5"/>
      <c r="X828" s="5"/>
      <c r="Y828" s="5"/>
      <c r="Z828" s="5"/>
      <c r="AA828" s="5"/>
    </row>
    <row r="829" spans="1:27" ht="12.75" customHeight="1">
      <c r="A829" s="5"/>
      <c r="B829" s="5"/>
      <c r="C829" s="5"/>
      <c r="D829" s="5"/>
      <c r="E829" s="5"/>
      <c r="F829" s="5"/>
      <c r="G829" s="5"/>
      <c r="H829" s="306"/>
      <c r="I829" s="306"/>
      <c r="J829" s="5"/>
      <c r="K829" s="5"/>
      <c r="L829" s="5"/>
      <c r="M829" s="5"/>
      <c r="N829" s="5"/>
      <c r="O829" s="5"/>
      <c r="P829" s="57"/>
      <c r="Q829" s="5"/>
      <c r="R829" s="5"/>
      <c r="S829" s="5"/>
      <c r="T829" s="5"/>
      <c r="U829" s="5"/>
      <c r="V829" s="5"/>
      <c r="W829" s="5"/>
      <c r="X829" s="5"/>
      <c r="Y829" s="5"/>
      <c r="Z829" s="5"/>
      <c r="AA829" s="5"/>
    </row>
    <row r="830" spans="1:27" ht="12.75" customHeight="1">
      <c r="A830" s="5"/>
      <c r="B830" s="5"/>
      <c r="C830" s="5"/>
      <c r="D830" s="5"/>
      <c r="E830" s="5"/>
      <c r="F830" s="5"/>
      <c r="G830" s="5"/>
      <c r="H830" s="306"/>
      <c r="I830" s="306"/>
      <c r="J830" s="5"/>
      <c r="K830" s="5"/>
      <c r="L830" s="5"/>
      <c r="M830" s="5"/>
      <c r="N830" s="5"/>
      <c r="O830" s="5"/>
      <c r="P830" s="57"/>
      <c r="Q830" s="5"/>
      <c r="R830" s="5"/>
      <c r="S830" s="5"/>
      <c r="T830" s="5"/>
      <c r="U830" s="5"/>
      <c r="V830" s="5"/>
      <c r="W830" s="5"/>
      <c r="X830" s="5"/>
      <c r="Y830" s="5"/>
      <c r="Z830" s="5"/>
      <c r="AA830" s="5"/>
    </row>
    <row r="831" spans="1:27" ht="12.75" customHeight="1">
      <c r="A831" s="5"/>
      <c r="B831" s="5"/>
      <c r="C831" s="5"/>
      <c r="D831" s="5"/>
      <c r="E831" s="5"/>
      <c r="F831" s="5"/>
      <c r="G831" s="5"/>
      <c r="H831" s="306"/>
      <c r="I831" s="306"/>
      <c r="J831" s="5"/>
      <c r="K831" s="5"/>
      <c r="L831" s="5"/>
      <c r="M831" s="5"/>
      <c r="N831" s="5"/>
      <c r="O831" s="5"/>
      <c r="P831" s="57"/>
      <c r="Q831" s="5"/>
      <c r="R831" s="5"/>
      <c r="S831" s="5"/>
      <c r="T831" s="5"/>
      <c r="U831" s="5"/>
      <c r="V831" s="5"/>
      <c r="W831" s="5"/>
      <c r="X831" s="5"/>
      <c r="Y831" s="5"/>
      <c r="Z831" s="5"/>
      <c r="AA831" s="5"/>
    </row>
    <row r="832" spans="1:27" ht="12.75" customHeight="1">
      <c r="A832" s="5"/>
      <c r="B832" s="5"/>
      <c r="C832" s="5"/>
      <c r="D832" s="5"/>
      <c r="E832" s="5"/>
      <c r="F832" s="5"/>
      <c r="G832" s="5"/>
      <c r="H832" s="306"/>
      <c r="I832" s="306"/>
      <c r="J832" s="5"/>
      <c r="K832" s="5"/>
      <c r="L832" s="5"/>
      <c r="M832" s="5"/>
      <c r="N832" s="5"/>
      <c r="O832" s="5"/>
      <c r="P832" s="57"/>
      <c r="Q832" s="5"/>
      <c r="R832" s="5"/>
      <c r="S832" s="5"/>
      <c r="T832" s="5"/>
      <c r="U832" s="5"/>
      <c r="V832" s="5"/>
      <c r="W832" s="5"/>
      <c r="X832" s="5"/>
      <c r="Y832" s="5"/>
      <c r="Z832" s="5"/>
      <c r="AA832" s="5"/>
    </row>
    <row r="833" spans="1:27" ht="12.75" customHeight="1">
      <c r="A833" s="5"/>
      <c r="B833" s="5"/>
      <c r="C833" s="5"/>
      <c r="D833" s="5"/>
      <c r="E833" s="5"/>
      <c r="F833" s="5"/>
      <c r="G833" s="5"/>
      <c r="H833" s="306"/>
      <c r="I833" s="306"/>
      <c r="J833" s="5"/>
      <c r="K833" s="5"/>
      <c r="L833" s="5"/>
      <c r="M833" s="5"/>
      <c r="N833" s="5"/>
      <c r="O833" s="5"/>
      <c r="P833" s="57"/>
      <c r="Q833" s="5"/>
      <c r="R833" s="5"/>
      <c r="S833" s="5"/>
      <c r="T833" s="5"/>
      <c r="U833" s="5"/>
      <c r="V833" s="5"/>
      <c r="W833" s="5"/>
      <c r="X833" s="5"/>
      <c r="Y833" s="5"/>
      <c r="Z833" s="5"/>
      <c r="AA833" s="5"/>
    </row>
    <row r="834" spans="1:27" ht="12.75" customHeight="1">
      <c r="A834" s="5"/>
      <c r="B834" s="5"/>
      <c r="C834" s="5"/>
      <c r="D834" s="5"/>
      <c r="E834" s="5"/>
      <c r="F834" s="5"/>
      <c r="G834" s="5"/>
      <c r="H834" s="306"/>
      <c r="I834" s="306"/>
      <c r="J834" s="5"/>
      <c r="K834" s="5"/>
      <c r="L834" s="5"/>
      <c r="M834" s="5"/>
      <c r="N834" s="5"/>
      <c r="O834" s="5"/>
      <c r="P834" s="57"/>
      <c r="Q834" s="5"/>
      <c r="R834" s="5"/>
      <c r="S834" s="5"/>
      <c r="T834" s="5"/>
      <c r="U834" s="5"/>
      <c r="V834" s="5"/>
      <c r="W834" s="5"/>
      <c r="X834" s="5"/>
      <c r="Y834" s="5"/>
      <c r="Z834" s="5"/>
      <c r="AA834" s="5"/>
    </row>
    <row r="835" spans="1:27" ht="12.75" customHeight="1">
      <c r="A835" s="5"/>
      <c r="B835" s="5"/>
      <c r="C835" s="5"/>
      <c r="D835" s="5"/>
      <c r="E835" s="5"/>
      <c r="F835" s="5"/>
      <c r="G835" s="5"/>
      <c r="H835" s="306"/>
      <c r="I835" s="306"/>
      <c r="J835" s="5"/>
      <c r="K835" s="5"/>
      <c r="L835" s="5"/>
      <c r="M835" s="5"/>
      <c r="N835" s="5"/>
      <c r="O835" s="5"/>
      <c r="P835" s="57"/>
      <c r="Q835" s="5"/>
      <c r="R835" s="5"/>
      <c r="S835" s="5"/>
      <c r="T835" s="5"/>
      <c r="U835" s="5"/>
      <c r="V835" s="5"/>
      <c r="W835" s="5"/>
      <c r="X835" s="5"/>
      <c r="Y835" s="5"/>
      <c r="Z835" s="5"/>
      <c r="AA835" s="5"/>
    </row>
    <row r="836" spans="1:27" ht="12.75" customHeight="1">
      <c r="A836" s="5"/>
      <c r="B836" s="5"/>
      <c r="C836" s="5"/>
      <c r="D836" s="5"/>
      <c r="E836" s="5"/>
      <c r="F836" s="5"/>
      <c r="G836" s="5"/>
      <c r="H836" s="306"/>
      <c r="I836" s="306"/>
      <c r="J836" s="5"/>
      <c r="K836" s="5"/>
      <c r="L836" s="5"/>
      <c r="M836" s="5"/>
      <c r="N836" s="5"/>
      <c r="O836" s="5"/>
      <c r="P836" s="57"/>
      <c r="Q836" s="5"/>
      <c r="R836" s="5"/>
      <c r="S836" s="5"/>
      <c r="T836" s="5"/>
      <c r="U836" s="5"/>
      <c r="V836" s="5"/>
      <c r="W836" s="5"/>
      <c r="X836" s="5"/>
      <c r="Y836" s="5"/>
      <c r="Z836" s="5"/>
      <c r="AA836" s="5"/>
    </row>
    <row r="837" spans="1:27" ht="12.75" customHeight="1">
      <c r="A837" s="5"/>
      <c r="B837" s="5"/>
      <c r="C837" s="5"/>
      <c r="D837" s="5"/>
      <c r="E837" s="5"/>
      <c r="F837" s="5"/>
      <c r="G837" s="5"/>
      <c r="H837" s="306"/>
      <c r="I837" s="306"/>
      <c r="J837" s="5"/>
      <c r="K837" s="5"/>
      <c r="L837" s="5"/>
      <c r="M837" s="5"/>
      <c r="N837" s="5"/>
      <c r="O837" s="5"/>
      <c r="P837" s="57"/>
      <c r="Q837" s="5"/>
      <c r="R837" s="5"/>
      <c r="S837" s="5"/>
      <c r="T837" s="5"/>
      <c r="U837" s="5"/>
      <c r="V837" s="5"/>
      <c r="W837" s="5"/>
      <c r="X837" s="5"/>
      <c r="Y837" s="5"/>
      <c r="Z837" s="5"/>
      <c r="AA837" s="5"/>
    </row>
    <row r="838" spans="1:27" ht="12.75" customHeight="1">
      <c r="A838" s="5"/>
      <c r="B838" s="5"/>
      <c r="C838" s="5"/>
      <c r="D838" s="5"/>
      <c r="E838" s="5"/>
      <c r="F838" s="5"/>
      <c r="G838" s="5"/>
      <c r="H838" s="306"/>
      <c r="I838" s="306"/>
      <c r="J838" s="5"/>
      <c r="K838" s="5"/>
      <c r="L838" s="5"/>
      <c r="M838" s="5"/>
      <c r="N838" s="5"/>
      <c r="O838" s="5"/>
      <c r="P838" s="57"/>
      <c r="Q838" s="5"/>
      <c r="R838" s="5"/>
      <c r="S838" s="5"/>
      <c r="T838" s="5"/>
      <c r="U838" s="5"/>
      <c r="V838" s="5"/>
      <c r="W838" s="5"/>
      <c r="X838" s="5"/>
      <c r="Y838" s="5"/>
      <c r="Z838" s="5"/>
      <c r="AA838" s="5"/>
    </row>
    <row r="839" spans="1:27" ht="12.75" customHeight="1">
      <c r="A839" s="5"/>
      <c r="B839" s="5"/>
      <c r="C839" s="5"/>
      <c r="D839" s="5"/>
      <c r="E839" s="5"/>
      <c r="F839" s="5"/>
      <c r="G839" s="5"/>
      <c r="H839" s="306"/>
      <c r="I839" s="306"/>
      <c r="J839" s="5"/>
      <c r="K839" s="5"/>
      <c r="L839" s="5"/>
      <c r="M839" s="5"/>
      <c r="N839" s="5"/>
      <c r="O839" s="5"/>
      <c r="P839" s="57"/>
      <c r="Q839" s="5"/>
      <c r="R839" s="5"/>
      <c r="S839" s="5"/>
      <c r="T839" s="5"/>
      <c r="U839" s="5"/>
      <c r="V839" s="5"/>
      <c r="W839" s="5"/>
      <c r="X839" s="5"/>
      <c r="Y839" s="5"/>
      <c r="Z839" s="5"/>
      <c r="AA839" s="5"/>
    </row>
    <row r="840" spans="1:27" ht="12.75" customHeight="1">
      <c r="A840" s="5"/>
      <c r="B840" s="5"/>
      <c r="C840" s="5"/>
      <c r="D840" s="5"/>
      <c r="E840" s="5"/>
      <c r="F840" s="5"/>
      <c r="G840" s="5"/>
      <c r="H840" s="306"/>
      <c r="I840" s="306"/>
      <c r="J840" s="5"/>
      <c r="K840" s="5"/>
      <c r="L840" s="5"/>
      <c r="M840" s="5"/>
      <c r="N840" s="5"/>
      <c r="O840" s="5"/>
      <c r="P840" s="57"/>
      <c r="Q840" s="5"/>
      <c r="R840" s="5"/>
      <c r="S840" s="5"/>
      <c r="T840" s="5"/>
      <c r="U840" s="5"/>
      <c r="V840" s="5"/>
      <c r="W840" s="5"/>
      <c r="X840" s="5"/>
      <c r="Y840" s="5"/>
      <c r="Z840" s="5"/>
      <c r="AA840" s="5"/>
    </row>
    <row r="841" spans="1:27" ht="12.75" customHeight="1">
      <c r="A841" s="5"/>
      <c r="B841" s="5"/>
      <c r="C841" s="5"/>
      <c r="D841" s="5"/>
      <c r="E841" s="5"/>
      <c r="F841" s="5"/>
      <c r="G841" s="5"/>
      <c r="H841" s="306"/>
      <c r="I841" s="306"/>
      <c r="J841" s="5"/>
      <c r="K841" s="5"/>
      <c r="L841" s="5"/>
      <c r="M841" s="5"/>
      <c r="N841" s="5"/>
      <c r="O841" s="5"/>
      <c r="P841" s="57"/>
      <c r="Q841" s="5"/>
      <c r="R841" s="5"/>
      <c r="S841" s="5"/>
      <c r="T841" s="5"/>
      <c r="U841" s="5"/>
      <c r="V841" s="5"/>
      <c r="W841" s="5"/>
      <c r="X841" s="5"/>
      <c r="Y841" s="5"/>
      <c r="Z841" s="5"/>
      <c r="AA841" s="5"/>
    </row>
    <row r="842" spans="1:27" ht="12.75" customHeight="1">
      <c r="A842" s="5"/>
      <c r="B842" s="5"/>
      <c r="C842" s="5"/>
      <c r="D842" s="5"/>
      <c r="E842" s="5"/>
      <c r="F842" s="5"/>
      <c r="G842" s="5"/>
      <c r="H842" s="306"/>
      <c r="I842" s="306"/>
      <c r="J842" s="5"/>
      <c r="K842" s="5"/>
      <c r="L842" s="5"/>
      <c r="M842" s="5"/>
      <c r="N842" s="5"/>
      <c r="O842" s="5"/>
      <c r="P842" s="57"/>
      <c r="Q842" s="5"/>
      <c r="R842" s="5"/>
      <c r="S842" s="5"/>
      <c r="T842" s="5"/>
      <c r="U842" s="5"/>
      <c r="V842" s="5"/>
      <c r="W842" s="5"/>
      <c r="X842" s="5"/>
      <c r="Y842" s="5"/>
      <c r="Z842" s="5"/>
      <c r="AA842" s="5"/>
    </row>
    <row r="843" spans="1:27" ht="12.75" customHeight="1">
      <c r="A843" s="5"/>
      <c r="B843" s="5"/>
      <c r="C843" s="5"/>
      <c r="D843" s="5"/>
      <c r="E843" s="5"/>
      <c r="F843" s="5"/>
      <c r="G843" s="5"/>
      <c r="H843" s="306"/>
      <c r="I843" s="306"/>
      <c r="J843" s="5"/>
      <c r="K843" s="5"/>
      <c r="L843" s="5"/>
      <c r="M843" s="5"/>
      <c r="N843" s="5"/>
      <c r="O843" s="5"/>
      <c r="P843" s="57"/>
      <c r="Q843" s="5"/>
      <c r="R843" s="5"/>
      <c r="S843" s="5"/>
      <c r="T843" s="5"/>
      <c r="U843" s="5"/>
      <c r="V843" s="5"/>
      <c r="W843" s="5"/>
      <c r="X843" s="5"/>
      <c r="Y843" s="5"/>
      <c r="Z843" s="5"/>
      <c r="AA843" s="5"/>
    </row>
    <row r="844" spans="1:27" ht="12.75" customHeight="1">
      <c r="A844" s="5"/>
      <c r="B844" s="5"/>
      <c r="C844" s="5"/>
      <c r="D844" s="5"/>
      <c r="E844" s="5"/>
      <c r="F844" s="5"/>
      <c r="G844" s="5"/>
      <c r="H844" s="306"/>
      <c r="I844" s="306"/>
      <c r="J844" s="5"/>
      <c r="K844" s="5"/>
      <c r="L844" s="5"/>
      <c r="M844" s="5"/>
      <c r="N844" s="5"/>
      <c r="O844" s="5"/>
      <c r="P844" s="57"/>
      <c r="Q844" s="5"/>
      <c r="R844" s="5"/>
      <c r="S844" s="5"/>
      <c r="T844" s="5"/>
      <c r="U844" s="5"/>
      <c r="V844" s="5"/>
      <c r="W844" s="5"/>
      <c r="X844" s="5"/>
      <c r="Y844" s="5"/>
      <c r="Z844" s="5"/>
      <c r="AA844" s="5"/>
    </row>
    <row r="845" spans="1:27" ht="12.75" customHeight="1">
      <c r="A845" s="5"/>
      <c r="B845" s="5"/>
      <c r="C845" s="5"/>
      <c r="D845" s="5"/>
      <c r="E845" s="5"/>
      <c r="F845" s="5"/>
      <c r="G845" s="5"/>
      <c r="H845" s="306"/>
      <c r="I845" s="306"/>
      <c r="J845" s="5"/>
      <c r="K845" s="5"/>
      <c r="L845" s="5"/>
      <c r="M845" s="5"/>
      <c r="N845" s="5"/>
      <c r="O845" s="5"/>
      <c r="P845" s="57"/>
      <c r="Q845" s="5"/>
      <c r="R845" s="5"/>
      <c r="S845" s="5"/>
      <c r="T845" s="5"/>
      <c r="U845" s="5"/>
      <c r="V845" s="5"/>
      <c r="W845" s="5"/>
      <c r="X845" s="5"/>
      <c r="Y845" s="5"/>
      <c r="Z845" s="5"/>
      <c r="AA845" s="5"/>
    </row>
    <row r="846" spans="1:27" ht="12.75" customHeight="1">
      <c r="A846" s="5"/>
      <c r="B846" s="5"/>
      <c r="C846" s="5"/>
      <c r="D846" s="5"/>
      <c r="E846" s="5"/>
      <c r="F846" s="5"/>
      <c r="G846" s="5"/>
      <c r="H846" s="306"/>
      <c r="I846" s="306"/>
      <c r="J846" s="5"/>
      <c r="K846" s="5"/>
      <c r="L846" s="5"/>
      <c r="M846" s="5"/>
      <c r="N846" s="5"/>
      <c r="O846" s="5"/>
      <c r="P846" s="57"/>
      <c r="Q846" s="5"/>
      <c r="R846" s="5"/>
      <c r="S846" s="5"/>
      <c r="T846" s="5"/>
      <c r="U846" s="5"/>
      <c r="V846" s="5"/>
      <c r="W846" s="5"/>
      <c r="X846" s="5"/>
      <c r="Y846" s="5"/>
      <c r="Z846" s="5"/>
      <c r="AA846" s="5"/>
    </row>
    <row r="847" spans="1:27" ht="12.75" customHeight="1">
      <c r="A847" s="5"/>
      <c r="B847" s="5"/>
      <c r="C847" s="5"/>
      <c r="D847" s="5"/>
      <c r="E847" s="5"/>
      <c r="F847" s="5"/>
      <c r="G847" s="5"/>
      <c r="H847" s="306"/>
      <c r="I847" s="306"/>
      <c r="J847" s="5"/>
      <c r="K847" s="5"/>
      <c r="L847" s="5"/>
      <c r="M847" s="5"/>
      <c r="N847" s="5"/>
      <c r="O847" s="5"/>
      <c r="P847" s="57"/>
      <c r="Q847" s="5"/>
      <c r="R847" s="5"/>
      <c r="S847" s="5"/>
      <c r="T847" s="5"/>
      <c r="U847" s="5"/>
      <c r="V847" s="5"/>
      <c r="W847" s="5"/>
      <c r="X847" s="5"/>
      <c r="Y847" s="5"/>
      <c r="Z847" s="5"/>
      <c r="AA847" s="5"/>
    </row>
    <row r="848" spans="1:27" ht="12.75" customHeight="1">
      <c r="A848" s="5"/>
      <c r="B848" s="5"/>
      <c r="C848" s="5"/>
      <c r="D848" s="5"/>
      <c r="E848" s="5"/>
      <c r="F848" s="5"/>
      <c r="G848" s="5"/>
      <c r="H848" s="306"/>
      <c r="I848" s="306"/>
      <c r="J848" s="5"/>
      <c r="K848" s="5"/>
      <c r="L848" s="5"/>
      <c r="M848" s="5"/>
      <c r="N848" s="5"/>
      <c r="O848" s="5"/>
      <c r="P848" s="57"/>
      <c r="Q848" s="5"/>
      <c r="R848" s="5"/>
      <c r="S848" s="5"/>
      <c r="T848" s="5"/>
      <c r="U848" s="5"/>
      <c r="V848" s="5"/>
      <c r="W848" s="5"/>
      <c r="X848" s="5"/>
      <c r="Y848" s="5"/>
      <c r="Z848" s="5"/>
      <c r="AA848" s="5"/>
    </row>
    <row r="849" spans="1:27" ht="12.75" customHeight="1">
      <c r="A849" s="5"/>
      <c r="B849" s="5"/>
      <c r="C849" s="5"/>
      <c r="D849" s="5"/>
      <c r="E849" s="5"/>
      <c r="F849" s="5"/>
      <c r="G849" s="5"/>
      <c r="H849" s="306"/>
      <c r="I849" s="306"/>
      <c r="J849" s="5"/>
      <c r="K849" s="5"/>
      <c r="L849" s="5"/>
      <c r="M849" s="5"/>
      <c r="N849" s="5"/>
      <c r="O849" s="5"/>
      <c r="P849" s="57"/>
      <c r="Q849" s="5"/>
      <c r="R849" s="5"/>
      <c r="S849" s="5"/>
      <c r="T849" s="5"/>
      <c r="U849" s="5"/>
      <c r="V849" s="5"/>
      <c r="W849" s="5"/>
      <c r="X849" s="5"/>
      <c r="Y849" s="5"/>
      <c r="Z849" s="5"/>
      <c r="AA849" s="5"/>
    </row>
    <row r="850" spans="1:27" ht="12.75" customHeight="1">
      <c r="A850" s="5"/>
      <c r="B850" s="5"/>
      <c r="C850" s="5"/>
      <c r="D850" s="5"/>
      <c r="E850" s="5"/>
      <c r="F850" s="5"/>
      <c r="G850" s="5"/>
      <c r="H850" s="306"/>
      <c r="I850" s="306"/>
      <c r="J850" s="5"/>
      <c r="K850" s="5"/>
      <c r="L850" s="5"/>
      <c r="M850" s="5"/>
      <c r="N850" s="5"/>
      <c r="O850" s="5"/>
      <c r="P850" s="57"/>
      <c r="Q850" s="5"/>
      <c r="R850" s="5"/>
      <c r="S850" s="5"/>
      <c r="T850" s="5"/>
      <c r="U850" s="5"/>
      <c r="V850" s="5"/>
      <c r="W850" s="5"/>
      <c r="X850" s="5"/>
      <c r="Y850" s="5"/>
      <c r="Z850" s="5"/>
      <c r="AA850" s="5"/>
    </row>
    <row r="851" spans="1:27" ht="12.75" customHeight="1">
      <c r="A851" s="5"/>
      <c r="B851" s="5"/>
      <c r="C851" s="5"/>
      <c r="D851" s="5"/>
      <c r="E851" s="5"/>
      <c r="F851" s="5"/>
      <c r="G851" s="5"/>
      <c r="H851" s="306"/>
      <c r="I851" s="306"/>
      <c r="J851" s="5"/>
      <c r="K851" s="5"/>
      <c r="L851" s="5"/>
      <c r="M851" s="5"/>
      <c r="N851" s="5"/>
      <c r="O851" s="5"/>
      <c r="P851" s="57"/>
      <c r="Q851" s="5"/>
      <c r="R851" s="5"/>
      <c r="S851" s="5"/>
      <c r="T851" s="5"/>
      <c r="U851" s="5"/>
      <c r="V851" s="5"/>
      <c r="W851" s="5"/>
      <c r="X851" s="5"/>
      <c r="Y851" s="5"/>
      <c r="Z851" s="5"/>
      <c r="AA851" s="5"/>
    </row>
    <row r="852" spans="1:27" ht="12.75" customHeight="1">
      <c r="A852" s="5"/>
      <c r="B852" s="5"/>
      <c r="C852" s="5"/>
      <c r="D852" s="5"/>
      <c r="E852" s="5"/>
      <c r="F852" s="5"/>
      <c r="G852" s="5"/>
      <c r="H852" s="306"/>
      <c r="I852" s="306"/>
      <c r="J852" s="5"/>
      <c r="K852" s="5"/>
      <c r="L852" s="5"/>
      <c r="M852" s="5"/>
      <c r="N852" s="5"/>
      <c r="O852" s="5"/>
      <c r="P852" s="57"/>
      <c r="Q852" s="5"/>
      <c r="R852" s="5"/>
      <c r="S852" s="5"/>
      <c r="T852" s="5"/>
      <c r="U852" s="5"/>
      <c r="V852" s="5"/>
      <c r="W852" s="5"/>
      <c r="X852" s="5"/>
      <c r="Y852" s="5"/>
      <c r="Z852" s="5"/>
      <c r="AA852" s="5"/>
    </row>
    <row r="853" spans="1:27" ht="12.75" customHeight="1">
      <c r="A853" s="5"/>
      <c r="B853" s="5"/>
      <c r="C853" s="5"/>
      <c r="D853" s="5"/>
      <c r="E853" s="5"/>
      <c r="F853" s="5"/>
      <c r="G853" s="5"/>
      <c r="H853" s="306"/>
      <c r="I853" s="306"/>
      <c r="J853" s="5"/>
      <c r="K853" s="5"/>
      <c r="L853" s="5"/>
      <c r="M853" s="5"/>
      <c r="N853" s="5"/>
      <c r="O853" s="5"/>
      <c r="P853" s="57"/>
      <c r="Q853" s="5"/>
      <c r="R853" s="5"/>
      <c r="S853" s="5"/>
      <c r="T853" s="5"/>
      <c r="U853" s="5"/>
      <c r="V853" s="5"/>
      <c r="W853" s="5"/>
      <c r="X853" s="5"/>
      <c r="Y853" s="5"/>
      <c r="Z853" s="5"/>
      <c r="AA853" s="5"/>
    </row>
    <row r="854" spans="1:27" ht="12.75" customHeight="1">
      <c r="A854" s="5"/>
      <c r="B854" s="5"/>
      <c r="C854" s="5"/>
      <c r="D854" s="5"/>
      <c r="E854" s="5"/>
      <c r="F854" s="5"/>
      <c r="G854" s="5"/>
      <c r="H854" s="306"/>
      <c r="I854" s="306"/>
      <c r="J854" s="5"/>
      <c r="K854" s="5"/>
      <c r="L854" s="5"/>
      <c r="M854" s="5"/>
      <c r="N854" s="5"/>
      <c r="O854" s="5"/>
      <c r="P854" s="57"/>
      <c r="Q854" s="5"/>
      <c r="R854" s="5"/>
      <c r="S854" s="5"/>
      <c r="T854" s="5"/>
      <c r="U854" s="5"/>
      <c r="V854" s="5"/>
      <c r="W854" s="5"/>
      <c r="X854" s="5"/>
      <c r="Y854" s="5"/>
      <c r="Z854" s="5"/>
      <c r="AA854" s="5"/>
    </row>
    <row r="855" spans="1:27" ht="12.75" customHeight="1">
      <c r="A855" s="5"/>
      <c r="B855" s="5"/>
      <c r="C855" s="5"/>
      <c r="D855" s="5"/>
      <c r="E855" s="5"/>
      <c r="F855" s="5"/>
      <c r="G855" s="5"/>
      <c r="H855" s="306"/>
      <c r="I855" s="306"/>
      <c r="J855" s="5"/>
      <c r="K855" s="5"/>
      <c r="L855" s="5"/>
      <c r="M855" s="5"/>
      <c r="N855" s="5"/>
      <c r="O855" s="5"/>
      <c r="P855" s="57"/>
      <c r="Q855" s="5"/>
      <c r="R855" s="5"/>
      <c r="S855" s="5"/>
      <c r="T855" s="5"/>
      <c r="U855" s="5"/>
      <c r="V855" s="5"/>
      <c r="W855" s="5"/>
      <c r="X855" s="5"/>
      <c r="Y855" s="5"/>
      <c r="Z855" s="5"/>
      <c r="AA855" s="5"/>
    </row>
    <row r="856" spans="1:27" ht="12.75" customHeight="1">
      <c r="A856" s="5"/>
      <c r="B856" s="5"/>
      <c r="C856" s="5"/>
      <c r="D856" s="5"/>
      <c r="E856" s="5"/>
      <c r="F856" s="5"/>
      <c r="G856" s="5"/>
      <c r="H856" s="306"/>
      <c r="I856" s="306"/>
      <c r="J856" s="5"/>
      <c r="K856" s="5"/>
      <c r="L856" s="5"/>
      <c r="M856" s="5"/>
      <c r="N856" s="5"/>
      <c r="O856" s="5"/>
      <c r="P856" s="57"/>
      <c r="Q856" s="5"/>
      <c r="R856" s="5"/>
      <c r="S856" s="5"/>
      <c r="T856" s="5"/>
      <c r="U856" s="5"/>
      <c r="V856" s="5"/>
      <c r="W856" s="5"/>
      <c r="X856" s="5"/>
      <c r="Y856" s="5"/>
      <c r="Z856" s="5"/>
      <c r="AA856" s="5"/>
    </row>
    <row r="857" spans="1:27" ht="12.75" customHeight="1">
      <c r="A857" s="5"/>
      <c r="B857" s="5"/>
      <c r="C857" s="5"/>
      <c r="D857" s="5"/>
      <c r="E857" s="5"/>
      <c r="F857" s="5"/>
      <c r="G857" s="5"/>
      <c r="H857" s="306"/>
      <c r="I857" s="306"/>
      <c r="J857" s="5"/>
      <c r="K857" s="5"/>
      <c r="L857" s="5"/>
      <c r="M857" s="5"/>
      <c r="N857" s="5"/>
      <c r="O857" s="5"/>
      <c r="P857" s="57"/>
      <c r="Q857" s="5"/>
      <c r="R857" s="5"/>
      <c r="S857" s="5"/>
      <c r="T857" s="5"/>
      <c r="U857" s="5"/>
      <c r="V857" s="5"/>
      <c r="W857" s="5"/>
      <c r="X857" s="5"/>
      <c r="Y857" s="5"/>
      <c r="Z857" s="5"/>
      <c r="AA857" s="5"/>
    </row>
    <row r="858" spans="1:27" ht="12.75" customHeight="1">
      <c r="A858" s="5"/>
      <c r="B858" s="5"/>
      <c r="C858" s="5"/>
      <c r="D858" s="5"/>
      <c r="E858" s="5"/>
      <c r="F858" s="5"/>
      <c r="G858" s="5"/>
      <c r="H858" s="306"/>
      <c r="I858" s="306"/>
      <c r="J858" s="5"/>
      <c r="K858" s="5"/>
      <c r="L858" s="5"/>
      <c r="M858" s="5"/>
      <c r="N858" s="5"/>
      <c r="O858" s="5"/>
      <c r="P858" s="57"/>
      <c r="Q858" s="5"/>
      <c r="R858" s="5"/>
      <c r="S858" s="5"/>
      <c r="T858" s="5"/>
      <c r="U858" s="5"/>
      <c r="V858" s="5"/>
      <c r="W858" s="5"/>
      <c r="X858" s="5"/>
      <c r="Y858" s="5"/>
      <c r="Z858" s="5"/>
      <c r="AA858" s="5"/>
    </row>
    <row r="859" spans="1:27" ht="12.75" customHeight="1">
      <c r="A859" s="5"/>
      <c r="B859" s="5"/>
      <c r="C859" s="5"/>
      <c r="D859" s="5"/>
      <c r="E859" s="5"/>
      <c r="F859" s="5"/>
      <c r="G859" s="5"/>
      <c r="H859" s="306"/>
      <c r="I859" s="306"/>
      <c r="J859" s="5"/>
      <c r="K859" s="5"/>
      <c r="L859" s="5"/>
      <c r="M859" s="5"/>
      <c r="N859" s="5"/>
      <c r="O859" s="5"/>
      <c r="P859" s="57"/>
      <c r="Q859" s="5"/>
      <c r="R859" s="5"/>
      <c r="S859" s="5"/>
      <c r="T859" s="5"/>
      <c r="U859" s="5"/>
      <c r="V859" s="5"/>
      <c r="W859" s="5"/>
      <c r="X859" s="5"/>
      <c r="Y859" s="5"/>
      <c r="Z859" s="5"/>
      <c r="AA859" s="5"/>
    </row>
    <row r="860" spans="1:27" ht="12.75" customHeight="1">
      <c r="A860" s="5"/>
      <c r="B860" s="5"/>
      <c r="C860" s="5"/>
      <c r="D860" s="5"/>
      <c r="E860" s="5"/>
      <c r="F860" s="5"/>
      <c r="G860" s="5"/>
      <c r="H860" s="306"/>
      <c r="I860" s="306"/>
      <c r="J860" s="5"/>
      <c r="K860" s="5"/>
      <c r="L860" s="5"/>
      <c r="M860" s="5"/>
      <c r="N860" s="5"/>
      <c r="O860" s="5"/>
      <c r="P860" s="57"/>
      <c r="Q860" s="5"/>
      <c r="R860" s="5"/>
      <c r="S860" s="5"/>
      <c r="T860" s="5"/>
      <c r="U860" s="5"/>
      <c r="V860" s="5"/>
      <c r="W860" s="5"/>
      <c r="X860" s="5"/>
      <c r="Y860" s="5"/>
      <c r="Z860" s="5"/>
      <c r="AA860" s="5"/>
    </row>
    <row r="861" spans="1:27" ht="12.75" customHeight="1">
      <c r="A861" s="5"/>
      <c r="B861" s="5"/>
      <c r="C861" s="5"/>
      <c r="D861" s="5"/>
      <c r="E861" s="5"/>
      <c r="F861" s="5"/>
      <c r="G861" s="5"/>
      <c r="H861" s="306"/>
      <c r="I861" s="306"/>
      <c r="J861" s="5"/>
      <c r="K861" s="5"/>
      <c r="L861" s="5"/>
      <c r="M861" s="5"/>
      <c r="N861" s="5"/>
      <c r="O861" s="5"/>
      <c r="P861" s="57"/>
      <c r="Q861" s="5"/>
      <c r="R861" s="5"/>
      <c r="S861" s="5"/>
      <c r="T861" s="5"/>
      <c r="U861" s="5"/>
      <c r="V861" s="5"/>
      <c r="W861" s="5"/>
      <c r="X861" s="5"/>
      <c r="Y861" s="5"/>
      <c r="Z861" s="5"/>
      <c r="AA861" s="5"/>
    </row>
    <row r="862" spans="1:27" ht="12.75" customHeight="1">
      <c r="A862" s="5"/>
      <c r="B862" s="5"/>
      <c r="C862" s="5"/>
      <c r="D862" s="5"/>
      <c r="E862" s="5"/>
      <c r="F862" s="5"/>
      <c r="G862" s="5"/>
      <c r="H862" s="306"/>
      <c r="I862" s="306"/>
      <c r="J862" s="5"/>
      <c r="K862" s="5"/>
      <c r="L862" s="5"/>
      <c r="M862" s="5"/>
      <c r="N862" s="5"/>
      <c r="O862" s="5"/>
      <c r="P862" s="57"/>
      <c r="Q862" s="5"/>
      <c r="R862" s="5"/>
      <c r="S862" s="5"/>
      <c r="T862" s="5"/>
      <c r="U862" s="5"/>
      <c r="V862" s="5"/>
      <c r="W862" s="5"/>
      <c r="X862" s="5"/>
      <c r="Y862" s="5"/>
      <c r="Z862" s="5"/>
      <c r="AA862" s="5"/>
    </row>
    <row r="863" spans="1:27" ht="12.75" customHeight="1">
      <c r="A863" s="5"/>
      <c r="B863" s="5"/>
      <c r="C863" s="5"/>
      <c r="D863" s="5"/>
      <c r="E863" s="5"/>
      <c r="F863" s="5"/>
      <c r="G863" s="5"/>
      <c r="H863" s="306"/>
      <c r="I863" s="306"/>
      <c r="J863" s="5"/>
      <c r="K863" s="5"/>
      <c r="L863" s="5"/>
      <c r="M863" s="5"/>
      <c r="N863" s="5"/>
      <c r="O863" s="5"/>
      <c r="P863" s="57"/>
      <c r="Q863" s="5"/>
      <c r="R863" s="5"/>
      <c r="S863" s="5"/>
      <c r="T863" s="5"/>
      <c r="U863" s="5"/>
      <c r="V863" s="5"/>
      <c r="W863" s="5"/>
      <c r="X863" s="5"/>
      <c r="Y863" s="5"/>
      <c r="Z863" s="5"/>
      <c r="AA863" s="5"/>
    </row>
    <row r="864" spans="1:27" ht="12.75" customHeight="1">
      <c r="A864" s="5"/>
      <c r="B864" s="5"/>
      <c r="C864" s="5"/>
      <c r="D864" s="5"/>
      <c r="E864" s="5"/>
      <c r="F864" s="5"/>
      <c r="G864" s="5"/>
      <c r="H864" s="306"/>
      <c r="I864" s="306"/>
      <c r="J864" s="5"/>
      <c r="K864" s="5"/>
      <c r="L864" s="5"/>
      <c r="M864" s="5"/>
      <c r="N864" s="5"/>
      <c r="O864" s="5"/>
      <c r="P864" s="57"/>
      <c r="Q864" s="5"/>
      <c r="R864" s="5"/>
      <c r="S864" s="5"/>
      <c r="T864" s="5"/>
      <c r="U864" s="5"/>
      <c r="V864" s="5"/>
      <c r="W864" s="5"/>
      <c r="X864" s="5"/>
      <c r="Y864" s="5"/>
      <c r="Z864" s="5"/>
      <c r="AA864" s="5"/>
    </row>
    <row r="865" spans="1:27" ht="12.75" customHeight="1">
      <c r="A865" s="5"/>
      <c r="B865" s="5"/>
      <c r="C865" s="5"/>
      <c r="D865" s="5"/>
      <c r="E865" s="5"/>
      <c r="F865" s="5"/>
      <c r="G865" s="5"/>
      <c r="H865" s="306"/>
      <c r="I865" s="306"/>
      <c r="J865" s="5"/>
      <c r="K865" s="5"/>
      <c r="L865" s="5"/>
      <c r="M865" s="5"/>
      <c r="N865" s="5"/>
      <c r="O865" s="5"/>
      <c r="P865" s="57"/>
      <c r="Q865" s="5"/>
      <c r="R865" s="5"/>
      <c r="S865" s="5"/>
      <c r="T865" s="5"/>
      <c r="U865" s="5"/>
      <c r="V865" s="5"/>
      <c r="W865" s="5"/>
      <c r="X865" s="5"/>
      <c r="Y865" s="5"/>
      <c r="Z865" s="5"/>
      <c r="AA865" s="5"/>
    </row>
    <row r="866" spans="1:27" ht="12.75" customHeight="1">
      <c r="A866" s="5"/>
      <c r="B866" s="5"/>
      <c r="C866" s="5"/>
      <c r="D866" s="5"/>
      <c r="E866" s="5"/>
      <c r="F866" s="5"/>
      <c r="G866" s="5"/>
      <c r="H866" s="306"/>
      <c r="I866" s="306"/>
      <c r="J866" s="5"/>
      <c r="K866" s="5"/>
      <c r="L866" s="5"/>
      <c r="M866" s="5"/>
      <c r="N866" s="5"/>
      <c r="O866" s="5"/>
      <c r="P866" s="57"/>
      <c r="Q866" s="5"/>
      <c r="R866" s="5"/>
      <c r="S866" s="5"/>
      <c r="T866" s="5"/>
      <c r="U866" s="5"/>
      <c r="V866" s="5"/>
      <c r="W866" s="5"/>
      <c r="X866" s="5"/>
      <c r="Y866" s="5"/>
      <c r="Z866" s="5"/>
      <c r="AA866" s="5"/>
    </row>
    <row r="867" spans="1:27" ht="12.75" customHeight="1">
      <c r="A867" s="5"/>
      <c r="B867" s="5"/>
      <c r="C867" s="5"/>
      <c r="D867" s="5"/>
      <c r="E867" s="5"/>
      <c r="F867" s="5"/>
      <c r="G867" s="5"/>
      <c r="H867" s="306"/>
      <c r="I867" s="306"/>
      <c r="J867" s="5"/>
      <c r="K867" s="5"/>
      <c r="L867" s="5"/>
      <c r="M867" s="5"/>
      <c r="N867" s="5"/>
      <c r="O867" s="5"/>
      <c r="P867" s="57"/>
      <c r="Q867" s="5"/>
      <c r="R867" s="5"/>
      <c r="S867" s="5"/>
      <c r="T867" s="5"/>
      <c r="U867" s="5"/>
      <c r="V867" s="5"/>
      <c r="W867" s="5"/>
      <c r="X867" s="5"/>
      <c r="Y867" s="5"/>
      <c r="Z867" s="5"/>
      <c r="AA867" s="5"/>
    </row>
    <row r="868" spans="1:27" ht="12.75" customHeight="1">
      <c r="A868" s="5"/>
      <c r="B868" s="5"/>
      <c r="C868" s="5"/>
      <c r="D868" s="5"/>
      <c r="E868" s="5"/>
      <c r="F868" s="5"/>
      <c r="G868" s="5"/>
      <c r="H868" s="306"/>
      <c r="I868" s="306"/>
      <c r="J868" s="5"/>
      <c r="K868" s="5"/>
      <c r="L868" s="5"/>
      <c r="M868" s="5"/>
      <c r="N868" s="5"/>
      <c r="O868" s="5"/>
      <c r="P868" s="57"/>
      <c r="Q868" s="5"/>
      <c r="R868" s="5"/>
      <c r="S868" s="5"/>
      <c r="T868" s="5"/>
      <c r="U868" s="5"/>
      <c r="V868" s="5"/>
      <c r="W868" s="5"/>
      <c r="X868" s="5"/>
      <c r="Y868" s="5"/>
      <c r="Z868" s="5"/>
      <c r="AA868" s="5"/>
    </row>
    <row r="869" spans="1:27" ht="12.75" customHeight="1">
      <c r="A869" s="5"/>
      <c r="B869" s="5"/>
      <c r="C869" s="5"/>
      <c r="D869" s="5"/>
      <c r="E869" s="5"/>
      <c r="F869" s="5"/>
      <c r="G869" s="5"/>
      <c r="H869" s="306"/>
      <c r="I869" s="306"/>
      <c r="J869" s="5"/>
      <c r="K869" s="5"/>
      <c r="L869" s="5"/>
      <c r="M869" s="5"/>
      <c r="N869" s="5"/>
      <c r="O869" s="5"/>
      <c r="P869" s="57"/>
      <c r="Q869" s="5"/>
      <c r="R869" s="5"/>
      <c r="S869" s="5"/>
      <c r="T869" s="5"/>
      <c r="U869" s="5"/>
      <c r="V869" s="5"/>
      <c r="W869" s="5"/>
      <c r="X869" s="5"/>
      <c r="Y869" s="5"/>
      <c r="Z869" s="5"/>
      <c r="AA869" s="5"/>
    </row>
    <row r="870" spans="1:27" ht="12.75" customHeight="1">
      <c r="A870" s="5"/>
      <c r="B870" s="5"/>
      <c r="C870" s="5"/>
      <c r="D870" s="5"/>
      <c r="E870" s="5"/>
      <c r="F870" s="5"/>
      <c r="G870" s="5"/>
      <c r="H870" s="306"/>
      <c r="I870" s="306"/>
      <c r="J870" s="5"/>
      <c r="K870" s="5"/>
      <c r="L870" s="5"/>
      <c r="M870" s="5"/>
      <c r="N870" s="5"/>
      <c r="O870" s="5"/>
      <c r="P870" s="57"/>
      <c r="Q870" s="5"/>
      <c r="R870" s="5"/>
      <c r="S870" s="5"/>
      <c r="T870" s="5"/>
      <c r="U870" s="5"/>
      <c r="V870" s="5"/>
      <c r="W870" s="5"/>
      <c r="X870" s="5"/>
      <c r="Y870" s="5"/>
      <c r="Z870" s="5"/>
      <c r="AA870" s="5"/>
    </row>
    <row r="871" spans="1:27" ht="12.75" customHeight="1">
      <c r="A871" s="5"/>
      <c r="B871" s="5"/>
      <c r="C871" s="5"/>
      <c r="D871" s="5"/>
      <c r="E871" s="5"/>
      <c r="F871" s="5"/>
      <c r="G871" s="5"/>
      <c r="H871" s="306"/>
      <c r="I871" s="306"/>
      <c r="J871" s="5"/>
      <c r="K871" s="5"/>
      <c r="L871" s="5"/>
      <c r="M871" s="5"/>
      <c r="N871" s="5"/>
      <c r="O871" s="5"/>
      <c r="P871" s="57"/>
      <c r="Q871" s="5"/>
      <c r="R871" s="5"/>
      <c r="S871" s="5"/>
      <c r="T871" s="5"/>
      <c r="U871" s="5"/>
      <c r="V871" s="5"/>
      <c r="W871" s="5"/>
      <c r="X871" s="5"/>
      <c r="Y871" s="5"/>
      <c r="Z871" s="5"/>
      <c r="AA871" s="5"/>
    </row>
    <row r="872" spans="1:27" ht="12.75" customHeight="1">
      <c r="A872" s="5"/>
      <c r="B872" s="5"/>
      <c r="C872" s="5"/>
      <c r="D872" s="5"/>
      <c r="E872" s="5"/>
      <c r="F872" s="5"/>
      <c r="G872" s="5"/>
      <c r="H872" s="306"/>
      <c r="I872" s="306"/>
      <c r="J872" s="5"/>
      <c r="K872" s="5"/>
      <c r="L872" s="5"/>
      <c r="M872" s="5"/>
      <c r="N872" s="5"/>
      <c r="O872" s="5"/>
      <c r="P872" s="57"/>
      <c r="Q872" s="5"/>
      <c r="R872" s="5"/>
      <c r="S872" s="5"/>
      <c r="T872" s="5"/>
      <c r="U872" s="5"/>
      <c r="V872" s="5"/>
      <c r="W872" s="5"/>
      <c r="X872" s="5"/>
      <c r="Y872" s="5"/>
      <c r="Z872" s="5"/>
      <c r="AA872" s="5"/>
    </row>
    <row r="873" spans="1:27" ht="12.75" customHeight="1">
      <c r="A873" s="5"/>
      <c r="B873" s="5"/>
      <c r="C873" s="5"/>
      <c r="D873" s="5"/>
      <c r="E873" s="5"/>
      <c r="F873" s="5"/>
      <c r="G873" s="5"/>
      <c r="H873" s="306"/>
      <c r="I873" s="306"/>
      <c r="J873" s="5"/>
      <c r="K873" s="5"/>
      <c r="L873" s="5"/>
      <c r="M873" s="5"/>
      <c r="N873" s="5"/>
      <c r="O873" s="5"/>
      <c r="P873" s="57"/>
      <c r="Q873" s="5"/>
      <c r="R873" s="5"/>
      <c r="S873" s="5"/>
      <c r="T873" s="5"/>
      <c r="U873" s="5"/>
      <c r="V873" s="5"/>
      <c r="W873" s="5"/>
      <c r="X873" s="5"/>
      <c r="Y873" s="5"/>
      <c r="Z873" s="5"/>
      <c r="AA873" s="5"/>
    </row>
    <row r="874" spans="1:27" ht="12.75" customHeight="1">
      <c r="A874" s="5"/>
      <c r="B874" s="5"/>
      <c r="C874" s="5"/>
      <c r="D874" s="5"/>
      <c r="E874" s="5"/>
      <c r="F874" s="5"/>
      <c r="G874" s="5"/>
      <c r="H874" s="306"/>
      <c r="I874" s="306"/>
      <c r="J874" s="5"/>
      <c r="K874" s="5"/>
      <c r="L874" s="5"/>
      <c r="M874" s="5"/>
      <c r="N874" s="5"/>
      <c r="O874" s="5"/>
      <c r="P874" s="57"/>
      <c r="Q874" s="5"/>
      <c r="R874" s="5"/>
      <c r="S874" s="5"/>
      <c r="T874" s="5"/>
      <c r="U874" s="5"/>
      <c r="V874" s="5"/>
      <c r="W874" s="5"/>
      <c r="X874" s="5"/>
      <c r="Y874" s="5"/>
      <c r="Z874" s="5"/>
      <c r="AA874" s="5"/>
    </row>
    <row r="875" spans="1:27" ht="12.75" customHeight="1">
      <c r="A875" s="5"/>
      <c r="B875" s="5"/>
      <c r="C875" s="5"/>
      <c r="D875" s="5"/>
      <c r="E875" s="5"/>
      <c r="F875" s="5"/>
      <c r="G875" s="5"/>
      <c r="H875" s="306"/>
      <c r="I875" s="306"/>
      <c r="J875" s="5"/>
      <c r="K875" s="5"/>
      <c r="L875" s="5"/>
      <c r="M875" s="5"/>
      <c r="N875" s="5"/>
      <c r="O875" s="5"/>
      <c r="P875" s="57"/>
      <c r="Q875" s="5"/>
      <c r="R875" s="5"/>
      <c r="S875" s="5"/>
      <c r="T875" s="5"/>
      <c r="U875" s="5"/>
      <c r="V875" s="5"/>
      <c r="W875" s="5"/>
      <c r="X875" s="5"/>
      <c r="Y875" s="5"/>
      <c r="Z875" s="5"/>
      <c r="AA875" s="5"/>
    </row>
    <row r="876" spans="1:27" ht="12.75" customHeight="1">
      <c r="A876" s="5"/>
      <c r="B876" s="5"/>
      <c r="C876" s="5"/>
      <c r="D876" s="5"/>
      <c r="E876" s="5"/>
      <c r="F876" s="5"/>
      <c r="G876" s="5"/>
      <c r="H876" s="306"/>
      <c r="I876" s="306"/>
      <c r="J876" s="5"/>
      <c r="K876" s="5"/>
      <c r="L876" s="5"/>
      <c r="M876" s="5"/>
      <c r="N876" s="5"/>
      <c r="O876" s="5"/>
      <c r="P876" s="57"/>
      <c r="Q876" s="5"/>
      <c r="R876" s="5"/>
      <c r="S876" s="5"/>
      <c r="T876" s="5"/>
      <c r="U876" s="5"/>
      <c r="V876" s="5"/>
      <c r="W876" s="5"/>
      <c r="X876" s="5"/>
      <c r="Y876" s="5"/>
      <c r="Z876" s="5"/>
      <c r="AA876" s="5"/>
    </row>
    <row r="877" spans="1:27" ht="12.75" customHeight="1">
      <c r="A877" s="5"/>
      <c r="B877" s="5"/>
      <c r="C877" s="5"/>
      <c r="D877" s="5"/>
      <c r="E877" s="5"/>
      <c r="F877" s="5"/>
      <c r="G877" s="5"/>
      <c r="H877" s="306"/>
      <c r="I877" s="306"/>
      <c r="J877" s="5"/>
      <c r="K877" s="5"/>
      <c r="L877" s="5"/>
      <c r="M877" s="5"/>
      <c r="N877" s="5"/>
      <c r="O877" s="5"/>
      <c r="P877" s="57"/>
      <c r="Q877" s="5"/>
      <c r="R877" s="5"/>
      <c r="S877" s="5"/>
      <c r="T877" s="5"/>
      <c r="U877" s="5"/>
      <c r="V877" s="5"/>
      <c r="W877" s="5"/>
      <c r="X877" s="5"/>
      <c r="Y877" s="5"/>
      <c r="Z877" s="5"/>
      <c r="AA877" s="5"/>
    </row>
    <row r="878" spans="1:27" ht="12.75" customHeight="1">
      <c r="A878" s="5"/>
      <c r="B878" s="5"/>
      <c r="C878" s="5"/>
      <c r="D878" s="5"/>
      <c r="E878" s="5"/>
      <c r="F878" s="5"/>
      <c r="G878" s="5"/>
      <c r="H878" s="306"/>
      <c r="I878" s="306"/>
      <c r="J878" s="5"/>
      <c r="K878" s="5"/>
      <c r="L878" s="5"/>
      <c r="M878" s="5"/>
      <c r="N878" s="5"/>
      <c r="O878" s="5"/>
      <c r="P878" s="57"/>
      <c r="Q878" s="5"/>
      <c r="R878" s="5"/>
      <c r="S878" s="5"/>
      <c r="T878" s="5"/>
      <c r="U878" s="5"/>
      <c r="V878" s="5"/>
      <c r="W878" s="5"/>
      <c r="X878" s="5"/>
      <c r="Y878" s="5"/>
      <c r="Z878" s="5"/>
      <c r="AA878" s="5"/>
    </row>
    <row r="879" spans="1:27" ht="12.75" customHeight="1">
      <c r="A879" s="5"/>
      <c r="B879" s="5"/>
      <c r="C879" s="5"/>
      <c r="D879" s="5"/>
      <c r="E879" s="5"/>
      <c r="F879" s="5"/>
      <c r="G879" s="5"/>
      <c r="H879" s="306"/>
      <c r="I879" s="306"/>
      <c r="J879" s="5"/>
      <c r="K879" s="5"/>
      <c r="L879" s="5"/>
      <c r="M879" s="5"/>
      <c r="N879" s="5"/>
      <c r="O879" s="5"/>
      <c r="P879" s="57"/>
      <c r="Q879" s="5"/>
      <c r="R879" s="5"/>
      <c r="S879" s="5"/>
      <c r="T879" s="5"/>
      <c r="U879" s="5"/>
      <c r="V879" s="5"/>
      <c r="W879" s="5"/>
      <c r="X879" s="5"/>
      <c r="Y879" s="5"/>
      <c r="Z879" s="5"/>
      <c r="AA879" s="5"/>
    </row>
    <row r="880" spans="1:27" ht="12.75" customHeight="1">
      <c r="A880" s="5"/>
      <c r="B880" s="5"/>
      <c r="C880" s="5"/>
      <c r="D880" s="5"/>
      <c r="E880" s="5"/>
      <c r="F880" s="5"/>
      <c r="G880" s="5"/>
      <c r="H880" s="306"/>
      <c r="I880" s="306"/>
      <c r="J880" s="5"/>
      <c r="K880" s="5"/>
      <c r="L880" s="5"/>
      <c r="M880" s="5"/>
      <c r="N880" s="5"/>
      <c r="O880" s="5"/>
      <c r="P880" s="57"/>
      <c r="Q880" s="5"/>
      <c r="R880" s="5"/>
      <c r="S880" s="5"/>
      <c r="T880" s="5"/>
      <c r="U880" s="5"/>
      <c r="V880" s="5"/>
      <c r="W880" s="5"/>
      <c r="X880" s="5"/>
      <c r="Y880" s="5"/>
      <c r="Z880" s="5"/>
      <c r="AA880" s="5"/>
    </row>
    <row r="881" spans="1:27" ht="12.75" customHeight="1">
      <c r="A881" s="5"/>
      <c r="B881" s="5"/>
      <c r="C881" s="5"/>
      <c r="D881" s="5"/>
      <c r="E881" s="5"/>
      <c r="F881" s="5"/>
      <c r="G881" s="5"/>
      <c r="H881" s="306"/>
      <c r="I881" s="306"/>
      <c r="J881" s="5"/>
      <c r="K881" s="5"/>
      <c r="L881" s="5"/>
      <c r="M881" s="5"/>
      <c r="N881" s="5"/>
      <c r="O881" s="5"/>
      <c r="P881" s="57"/>
      <c r="Q881" s="5"/>
      <c r="R881" s="5"/>
      <c r="S881" s="5"/>
      <c r="T881" s="5"/>
      <c r="U881" s="5"/>
      <c r="V881" s="5"/>
      <c r="W881" s="5"/>
      <c r="X881" s="5"/>
      <c r="Y881" s="5"/>
      <c r="Z881" s="5"/>
      <c r="AA881" s="5"/>
    </row>
    <row r="882" spans="1:27" ht="12.75" customHeight="1">
      <c r="A882" s="5"/>
      <c r="B882" s="5"/>
      <c r="C882" s="5"/>
      <c r="D882" s="5"/>
      <c r="E882" s="5"/>
      <c r="F882" s="5"/>
      <c r="G882" s="5"/>
      <c r="H882" s="306"/>
      <c r="I882" s="306"/>
      <c r="J882" s="5"/>
      <c r="K882" s="5"/>
      <c r="L882" s="5"/>
      <c r="M882" s="5"/>
      <c r="N882" s="5"/>
      <c r="O882" s="5"/>
      <c r="P882" s="57"/>
      <c r="Q882" s="5"/>
      <c r="R882" s="5"/>
      <c r="S882" s="5"/>
      <c r="T882" s="5"/>
      <c r="U882" s="5"/>
      <c r="V882" s="5"/>
      <c r="W882" s="5"/>
      <c r="X882" s="5"/>
      <c r="Y882" s="5"/>
      <c r="Z882" s="5"/>
      <c r="AA882" s="5"/>
    </row>
    <row r="883" spans="1:27" ht="12.75" customHeight="1">
      <c r="A883" s="5"/>
      <c r="B883" s="5"/>
      <c r="C883" s="5"/>
      <c r="D883" s="5"/>
      <c r="E883" s="5"/>
      <c r="F883" s="5"/>
      <c r="G883" s="5"/>
      <c r="H883" s="306"/>
      <c r="I883" s="306"/>
      <c r="J883" s="5"/>
      <c r="K883" s="5"/>
      <c r="L883" s="5"/>
      <c r="M883" s="5"/>
      <c r="N883" s="5"/>
      <c r="O883" s="5"/>
      <c r="P883" s="57"/>
      <c r="Q883" s="5"/>
      <c r="R883" s="5"/>
      <c r="S883" s="5"/>
      <c r="T883" s="5"/>
      <c r="U883" s="5"/>
      <c r="V883" s="5"/>
      <c r="W883" s="5"/>
      <c r="X883" s="5"/>
      <c r="Y883" s="5"/>
      <c r="Z883" s="5"/>
      <c r="AA883" s="5"/>
    </row>
    <row r="884" spans="1:27" ht="12.75" customHeight="1">
      <c r="A884" s="5"/>
      <c r="B884" s="5"/>
      <c r="C884" s="5"/>
      <c r="D884" s="5"/>
      <c r="E884" s="5"/>
      <c r="F884" s="5"/>
      <c r="G884" s="5"/>
      <c r="H884" s="306"/>
      <c r="I884" s="306"/>
      <c r="J884" s="5"/>
      <c r="K884" s="5"/>
      <c r="L884" s="5"/>
      <c r="M884" s="5"/>
      <c r="N884" s="5"/>
      <c r="O884" s="5"/>
      <c r="P884" s="57"/>
      <c r="Q884" s="5"/>
      <c r="R884" s="5"/>
      <c r="S884" s="5"/>
      <c r="T884" s="5"/>
      <c r="U884" s="5"/>
      <c r="V884" s="5"/>
      <c r="W884" s="5"/>
      <c r="X884" s="5"/>
      <c r="Y884" s="5"/>
      <c r="Z884" s="5"/>
      <c r="AA884" s="5"/>
    </row>
    <row r="885" spans="1:27" ht="12.75" customHeight="1">
      <c r="A885" s="5"/>
      <c r="B885" s="5"/>
      <c r="C885" s="5"/>
      <c r="D885" s="5"/>
      <c r="E885" s="5"/>
      <c r="F885" s="5"/>
      <c r="G885" s="5"/>
      <c r="H885" s="306"/>
      <c r="I885" s="306"/>
      <c r="J885" s="5"/>
      <c r="K885" s="5"/>
      <c r="L885" s="5"/>
      <c r="M885" s="5"/>
      <c r="N885" s="5"/>
      <c r="O885" s="5"/>
      <c r="P885" s="57"/>
      <c r="Q885" s="5"/>
      <c r="R885" s="5"/>
      <c r="S885" s="5"/>
      <c r="T885" s="5"/>
      <c r="U885" s="5"/>
      <c r="V885" s="5"/>
      <c r="W885" s="5"/>
      <c r="X885" s="5"/>
      <c r="Y885" s="5"/>
      <c r="Z885" s="5"/>
      <c r="AA885" s="5"/>
    </row>
    <row r="886" spans="1:27" ht="12.75" customHeight="1">
      <c r="A886" s="5"/>
      <c r="B886" s="5"/>
      <c r="C886" s="5"/>
      <c r="D886" s="5"/>
      <c r="E886" s="5"/>
      <c r="F886" s="5"/>
      <c r="G886" s="5"/>
      <c r="H886" s="306"/>
      <c r="I886" s="306"/>
      <c r="J886" s="5"/>
      <c r="K886" s="5"/>
      <c r="L886" s="5"/>
      <c r="M886" s="5"/>
      <c r="N886" s="5"/>
      <c r="O886" s="5"/>
      <c r="P886" s="57"/>
      <c r="Q886" s="5"/>
      <c r="R886" s="5"/>
      <c r="S886" s="5"/>
      <c r="T886" s="5"/>
      <c r="U886" s="5"/>
      <c r="V886" s="5"/>
      <c r="W886" s="5"/>
      <c r="X886" s="5"/>
      <c r="Y886" s="5"/>
      <c r="Z886" s="5"/>
      <c r="AA886" s="5"/>
    </row>
    <row r="887" spans="1:27" ht="12.75" customHeight="1">
      <c r="A887" s="5"/>
      <c r="B887" s="5"/>
      <c r="C887" s="5"/>
      <c r="D887" s="5"/>
      <c r="E887" s="5"/>
      <c r="F887" s="5"/>
      <c r="G887" s="5"/>
      <c r="H887" s="306"/>
      <c r="I887" s="306"/>
      <c r="J887" s="5"/>
      <c r="K887" s="5"/>
      <c r="L887" s="5"/>
      <c r="M887" s="5"/>
      <c r="N887" s="5"/>
      <c r="O887" s="5"/>
      <c r="P887" s="57"/>
      <c r="Q887" s="5"/>
      <c r="R887" s="5"/>
      <c r="S887" s="5"/>
      <c r="T887" s="5"/>
      <c r="U887" s="5"/>
      <c r="V887" s="5"/>
      <c r="W887" s="5"/>
      <c r="X887" s="5"/>
      <c r="Y887" s="5"/>
      <c r="Z887" s="5"/>
      <c r="AA887" s="5"/>
    </row>
    <row r="888" spans="1:27" ht="12.75" customHeight="1">
      <c r="A888" s="5"/>
      <c r="B888" s="5"/>
      <c r="C888" s="5"/>
      <c r="D888" s="5"/>
      <c r="E888" s="5"/>
      <c r="F888" s="5"/>
      <c r="G888" s="5"/>
      <c r="H888" s="306"/>
      <c r="I888" s="306"/>
      <c r="J888" s="5"/>
      <c r="K888" s="5"/>
      <c r="L888" s="5"/>
      <c r="M888" s="5"/>
      <c r="N888" s="5"/>
      <c r="O888" s="5"/>
      <c r="P888" s="57"/>
      <c r="Q888" s="5"/>
      <c r="R888" s="5"/>
      <c r="S888" s="5"/>
      <c r="T888" s="5"/>
      <c r="U888" s="5"/>
      <c r="V888" s="5"/>
      <c r="W888" s="5"/>
      <c r="X888" s="5"/>
      <c r="Y888" s="5"/>
      <c r="Z888" s="5"/>
      <c r="AA888" s="5"/>
    </row>
    <row r="889" spans="1:27" ht="12.75" customHeight="1">
      <c r="A889" s="5"/>
      <c r="B889" s="5"/>
      <c r="C889" s="5"/>
      <c r="D889" s="5"/>
      <c r="E889" s="5"/>
      <c r="F889" s="5"/>
      <c r="G889" s="5"/>
      <c r="H889" s="306"/>
      <c r="I889" s="306"/>
      <c r="J889" s="5"/>
      <c r="K889" s="5"/>
      <c r="L889" s="5"/>
      <c r="M889" s="5"/>
      <c r="N889" s="5"/>
      <c r="O889" s="5"/>
      <c r="P889" s="57"/>
      <c r="Q889" s="5"/>
      <c r="R889" s="5"/>
      <c r="S889" s="5"/>
      <c r="T889" s="5"/>
      <c r="U889" s="5"/>
      <c r="V889" s="5"/>
      <c r="W889" s="5"/>
      <c r="X889" s="5"/>
      <c r="Y889" s="5"/>
      <c r="Z889" s="5"/>
      <c r="AA889" s="5"/>
    </row>
    <row r="890" spans="1:27" ht="12.75" customHeight="1">
      <c r="A890" s="5"/>
      <c r="B890" s="5"/>
      <c r="C890" s="5"/>
      <c r="D890" s="5"/>
      <c r="E890" s="5"/>
      <c r="F890" s="5"/>
      <c r="G890" s="5"/>
      <c r="H890" s="306"/>
      <c r="I890" s="306"/>
      <c r="J890" s="5"/>
      <c r="K890" s="5"/>
      <c r="L890" s="5"/>
      <c r="M890" s="5"/>
      <c r="N890" s="5"/>
      <c r="O890" s="5"/>
      <c r="P890" s="57"/>
      <c r="Q890" s="5"/>
      <c r="R890" s="5"/>
      <c r="S890" s="5"/>
      <c r="T890" s="5"/>
      <c r="U890" s="5"/>
      <c r="V890" s="5"/>
      <c r="W890" s="5"/>
      <c r="X890" s="5"/>
      <c r="Y890" s="5"/>
      <c r="Z890" s="5"/>
      <c r="AA890" s="5"/>
    </row>
    <row r="891" spans="1:27" ht="12.75" customHeight="1">
      <c r="A891" s="5"/>
      <c r="B891" s="5"/>
      <c r="C891" s="5"/>
      <c r="D891" s="5"/>
      <c r="E891" s="5"/>
      <c r="F891" s="5"/>
      <c r="G891" s="5"/>
      <c r="H891" s="306"/>
      <c r="I891" s="306"/>
      <c r="J891" s="5"/>
      <c r="K891" s="5"/>
      <c r="L891" s="5"/>
      <c r="M891" s="5"/>
      <c r="N891" s="5"/>
      <c r="O891" s="5"/>
      <c r="P891" s="57"/>
      <c r="Q891" s="5"/>
      <c r="R891" s="5"/>
      <c r="S891" s="5"/>
      <c r="T891" s="5"/>
      <c r="U891" s="5"/>
      <c r="V891" s="5"/>
      <c r="W891" s="5"/>
      <c r="X891" s="5"/>
      <c r="Y891" s="5"/>
      <c r="Z891" s="5"/>
      <c r="AA891" s="5"/>
    </row>
    <row r="892" spans="1:27" ht="12.75" customHeight="1">
      <c r="A892" s="5"/>
      <c r="B892" s="5"/>
      <c r="C892" s="5"/>
      <c r="D892" s="5"/>
      <c r="E892" s="5"/>
      <c r="F892" s="5"/>
      <c r="G892" s="5"/>
      <c r="H892" s="306"/>
      <c r="I892" s="306"/>
      <c r="J892" s="5"/>
      <c r="K892" s="5"/>
      <c r="L892" s="5"/>
      <c r="M892" s="5"/>
      <c r="N892" s="5"/>
      <c r="O892" s="5"/>
      <c r="P892" s="57"/>
      <c r="Q892" s="5"/>
      <c r="R892" s="5"/>
      <c r="S892" s="5"/>
      <c r="T892" s="5"/>
      <c r="U892" s="5"/>
      <c r="V892" s="5"/>
      <c r="W892" s="5"/>
      <c r="X892" s="5"/>
      <c r="Y892" s="5"/>
      <c r="Z892" s="5"/>
      <c r="AA892" s="5"/>
    </row>
    <row r="893" spans="1:27" ht="12.75" customHeight="1">
      <c r="A893" s="5"/>
      <c r="B893" s="5"/>
      <c r="C893" s="5"/>
      <c r="D893" s="5"/>
      <c r="E893" s="5"/>
      <c r="F893" s="5"/>
      <c r="G893" s="5"/>
      <c r="H893" s="306"/>
      <c r="I893" s="306"/>
      <c r="J893" s="5"/>
      <c r="K893" s="5"/>
      <c r="L893" s="5"/>
      <c r="M893" s="5"/>
      <c r="N893" s="5"/>
      <c r="O893" s="5"/>
      <c r="P893" s="57"/>
      <c r="Q893" s="5"/>
      <c r="R893" s="5"/>
      <c r="S893" s="5"/>
      <c r="T893" s="5"/>
      <c r="U893" s="5"/>
      <c r="V893" s="5"/>
      <c r="W893" s="5"/>
      <c r="X893" s="5"/>
      <c r="Y893" s="5"/>
      <c r="Z893" s="5"/>
      <c r="AA893" s="5"/>
    </row>
    <row r="894" spans="1:27" ht="12.75" customHeight="1">
      <c r="A894" s="5"/>
      <c r="B894" s="5"/>
      <c r="C894" s="5"/>
      <c r="D894" s="5"/>
      <c r="E894" s="5"/>
      <c r="F894" s="5"/>
      <c r="G894" s="5"/>
      <c r="H894" s="306"/>
      <c r="I894" s="306"/>
      <c r="J894" s="5"/>
      <c r="K894" s="5"/>
      <c r="L894" s="5"/>
      <c r="M894" s="5"/>
      <c r="N894" s="5"/>
      <c r="O894" s="5"/>
      <c r="P894" s="57"/>
      <c r="Q894" s="5"/>
      <c r="R894" s="5"/>
      <c r="S894" s="5"/>
      <c r="T894" s="5"/>
      <c r="U894" s="5"/>
      <c r="V894" s="5"/>
      <c r="W894" s="5"/>
      <c r="X894" s="5"/>
      <c r="Y894" s="5"/>
      <c r="Z894" s="5"/>
      <c r="AA894" s="5"/>
    </row>
    <row r="895" spans="1:27" ht="12.75" customHeight="1">
      <c r="A895" s="5"/>
      <c r="B895" s="5"/>
      <c r="C895" s="5"/>
      <c r="D895" s="5"/>
      <c r="E895" s="5"/>
      <c r="F895" s="5"/>
      <c r="G895" s="5"/>
      <c r="H895" s="306"/>
      <c r="I895" s="306"/>
      <c r="J895" s="5"/>
      <c r="K895" s="5"/>
      <c r="L895" s="5"/>
      <c r="M895" s="5"/>
      <c r="N895" s="5"/>
      <c r="O895" s="5"/>
      <c r="P895" s="57"/>
      <c r="Q895" s="5"/>
      <c r="R895" s="5"/>
      <c r="S895" s="5"/>
      <c r="T895" s="5"/>
      <c r="U895" s="5"/>
      <c r="V895" s="5"/>
      <c r="W895" s="5"/>
      <c r="X895" s="5"/>
      <c r="Y895" s="5"/>
      <c r="Z895" s="5"/>
      <c r="AA895" s="5"/>
    </row>
    <row r="896" spans="1:27" ht="12.75" customHeight="1">
      <c r="A896" s="5"/>
      <c r="B896" s="5"/>
      <c r="C896" s="5"/>
      <c r="D896" s="5"/>
      <c r="E896" s="5"/>
      <c r="F896" s="5"/>
      <c r="G896" s="5"/>
      <c r="H896" s="306"/>
      <c r="I896" s="306"/>
      <c r="J896" s="5"/>
      <c r="K896" s="5"/>
      <c r="L896" s="5"/>
      <c r="M896" s="5"/>
      <c r="N896" s="5"/>
      <c r="O896" s="5"/>
      <c r="P896" s="57"/>
      <c r="Q896" s="5"/>
      <c r="R896" s="5"/>
      <c r="S896" s="5"/>
      <c r="T896" s="5"/>
      <c r="U896" s="5"/>
      <c r="V896" s="5"/>
      <c r="W896" s="5"/>
      <c r="X896" s="5"/>
      <c r="Y896" s="5"/>
      <c r="Z896" s="5"/>
      <c r="AA896" s="5"/>
    </row>
    <row r="897" spans="1:27" ht="12.75" customHeight="1">
      <c r="A897" s="5"/>
      <c r="B897" s="5"/>
      <c r="C897" s="5"/>
      <c r="D897" s="5"/>
      <c r="E897" s="5"/>
      <c r="F897" s="5"/>
      <c r="G897" s="5"/>
      <c r="H897" s="306"/>
      <c r="I897" s="306"/>
      <c r="J897" s="5"/>
      <c r="K897" s="5"/>
      <c r="L897" s="5"/>
      <c r="M897" s="5"/>
      <c r="N897" s="5"/>
      <c r="O897" s="5"/>
      <c r="P897" s="57"/>
      <c r="Q897" s="5"/>
      <c r="R897" s="5"/>
      <c r="S897" s="5"/>
      <c r="T897" s="5"/>
      <c r="U897" s="5"/>
      <c r="V897" s="5"/>
      <c r="W897" s="5"/>
      <c r="X897" s="5"/>
      <c r="Y897" s="5"/>
      <c r="Z897" s="5"/>
      <c r="AA897" s="5"/>
    </row>
    <row r="898" spans="1:27" ht="12.75" customHeight="1">
      <c r="A898" s="5"/>
      <c r="B898" s="5"/>
      <c r="C898" s="5"/>
      <c r="D898" s="5"/>
      <c r="E898" s="5"/>
      <c r="F898" s="5"/>
      <c r="G898" s="5"/>
      <c r="H898" s="306"/>
      <c r="I898" s="306"/>
      <c r="J898" s="5"/>
      <c r="K898" s="5"/>
      <c r="L898" s="5"/>
      <c r="M898" s="5"/>
      <c r="N898" s="5"/>
      <c r="O898" s="5"/>
      <c r="P898" s="57"/>
      <c r="Q898" s="5"/>
      <c r="R898" s="5"/>
      <c r="S898" s="5"/>
      <c r="T898" s="5"/>
      <c r="U898" s="5"/>
      <c r="V898" s="5"/>
      <c r="W898" s="5"/>
      <c r="X898" s="5"/>
      <c r="Y898" s="5"/>
      <c r="Z898" s="5"/>
      <c r="AA898" s="5"/>
    </row>
    <row r="899" spans="1:27" ht="12.75" customHeight="1">
      <c r="A899" s="5"/>
      <c r="B899" s="5"/>
      <c r="C899" s="5"/>
      <c r="D899" s="5"/>
      <c r="E899" s="5"/>
      <c r="F899" s="5"/>
      <c r="G899" s="5"/>
      <c r="H899" s="306"/>
      <c r="I899" s="306"/>
      <c r="J899" s="5"/>
      <c r="K899" s="5"/>
      <c r="L899" s="5"/>
      <c r="M899" s="5"/>
      <c r="N899" s="5"/>
      <c r="O899" s="5"/>
      <c r="P899" s="57"/>
      <c r="Q899" s="5"/>
      <c r="R899" s="5"/>
      <c r="S899" s="5"/>
      <c r="T899" s="5"/>
      <c r="U899" s="5"/>
      <c r="V899" s="5"/>
      <c r="W899" s="5"/>
      <c r="X899" s="5"/>
      <c r="Y899" s="5"/>
      <c r="Z899" s="5"/>
      <c r="AA899" s="5"/>
    </row>
    <row r="900" spans="1:27" ht="12.75" customHeight="1">
      <c r="A900" s="5"/>
      <c r="B900" s="5"/>
      <c r="C900" s="5"/>
      <c r="D900" s="5"/>
      <c r="E900" s="5"/>
      <c r="F900" s="5"/>
      <c r="G900" s="5"/>
      <c r="H900" s="306"/>
      <c r="I900" s="306"/>
      <c r="J900" s="5"/>
      <c r="K900" s="5"/>
      <c r="L900" s="5"/>
      <c r="M900" s="5"/>
      <c r="N900" s="5"/>
      <c r="O900" s="5"/>
      <c r="P900" s="57"/>
      <c r="Q900" s="5"/>
      <c r="R900" s="5"/>
      <c r="S900" s="5"/>
      <c r="T900" s="5"/>
      <c r="U900" s="5"/>
      <c r="V900" s="5"/>
      <c r="W900" s="5"/>
      <c r="X900" s="5"/>
      <c r="Y900" s="5"/>
      <c r="Z900" s="5"/>
      <c r="AA900" s="5"/>
    </row>
    <row r="901" spans="1:27" ht="12.75" customHeight="1">
      <c r="A901" s="5"/>
      <c r="B901" s="5"/>
      <c r="C901" s="5"/>
      <c r="D901" s="5"/>
      <c r="E901" s="5"/>
      <c r="F901" s="5"/>
      <c r="G901" s="5"/>
      <c r="H901" s="306"/>
      <c r="I901" s="306"/>
      <c r="J901" s="5"/>
      <c r="K901" s="5"/>
      <c r="L901" s="5"/>
      <c r="M901" s="5"/>
      <c r="N901" s="5"/>
      <c r="O901" s="5"/>
      <c r="P901" s="57"/>
      <c r="Q901" s="5"/>
      <c r="R901" s="5"/>
      <c r="S901" s="5"/>
      <c r="T901" s="5"/>
      <c r="U901" s="5"/>
      <c r="V901" s="5"/>
      <c r="W901" s="5"/>
      <c r="X901" s="5"/>
      <c r="Y901" s="5"/>
      <c r="Z901" s="5"/>
      <c r="AA901" s="5"/>
    </row>
    <row r="902" spans="1:27" ht="12.75" customHeight="1">
      <c r="A902" s="5"/>
      <c r="B902" s="5"/>
      <c r="C902" s="5"/>
      <c r="D902" s="5"/>
      <c r="E902" s="5"/>
      <c r="F902" s="5"/>
      <c r="G902" s="5"/>
      <c r="H902" s="306"/>
      <c r="I902" s="306"/>
      <c r="J902" s="5"/>
      <c r="K902" s="5"/>
      <c r="L902" s="5"/>
      <c r="M902" s="5"/>
      <c r="N902" s="5"/>
      <c r="O902" s="5"/>
      <c r="P902" s="57"/>
      <c r="Q902" s="5"/>
      <c r="R902" s="5"/>
      <c r="S902" s="5"/>
      <c r="T902" s="5"/>
      <c r="U902" s="5"/>
      <c r="V902" s="5"/>
      <c r="W902" s="5"/>
      <c r="X902" s="5"/>
      <c r="Y902" s="5"/>
      <c r="Z902" s="5"/>
      <c r="AA902" s="5"/>
    </row>
    <row r="903" spans="1:27" ht="12.75" customHeight="1">
      <c r="A903" s="5"/>
      <c r="B903" s="5"/>
      <c r="C903" s="5"/>
      <c r="D903" s="5"/>
      <c r="E903" s="5"/>
      <c r="F903" s="5"/>
      <c r="G903" s="5"/>
      <c r="H903" s="306"/>
      <c r="I903" s="306"/>
      <c r="J903" s="5"/>
      <c r="K903" s="5"/>
      <c r="L903" s="5"/>
      <c r="M903" s="5"/>
      <c r="N903" s="5"/>
      <c r="O903" s="5"/>
      <c r="P903" s="57"/>
      <c r="Q903" s="5"/>
      <c r="R903" s="5"/>
      <c r="S903" s="5"/>
      <c r="T903" s="5"/>
      <c r="U903" s="5"/>
      <c r="V903" s="5"/>
      <c r="W903" s="5"/>
      <c r="X903" s="5"/>
      <c r="Y903" s="5"/>
      <c r="Z903" s="5"/>
      <c r="AA903" s="5"/>
    </row>
    <row r="904" spans="1:27" ht="12.75" customHeight="1">
      <c r="A904" s="5"/>
      <c r="B904" s="5"/>
      <c r="C904" s="5"/>
      <c r="D904" s="5"/>
      <c r="E904" s="5"/>
      <c r="F904" s="5"/>
      <c r="G904" s="5"/>
      <c r="H904" s="306"/>
      <c r="I904" s="306"/>
      <c r="J904" s="5"/>
      <c r="K904" s="5"/>
      <c r="L904" s="5"/>
      <c r="M904" s="5"/>
      <c r="N904" s="5"/>
      <c r="O904" s="5"/>
      <c r="P904" s="57"/>
      <c r="Q904" s="5"/>
      <c r="R904" s="5"/>
      <c r="S904" s="5"/>
      <c r="T904" s="5"/>
      <c r="U904" s="5"/>
      <c r="V904" s="5"/>
      <c r="W904" s="5"/>
      <c r="X904" s="5"/>
      <c r="Y904" s="5"/>
      <c r="Z904" s="5"/>
      <c r="AA904" s="5"/>
    </row>
    <row r="905" spans="1:27" ht="12.75" customHeight="1">
      <c r="A905" s="5"/>
      <c r="B905" s="5"/>
      <c r="C905" s="5"/>
      <c r="D905" s="5"/>
      <c r="E905" s="5"/>
      <c r="F905" s="5"/>
      <c r="G905" s="5"/>
      <c r="H905" s="306"/>
      <c r="I905" s="306"/>
      <c r="J905" s="5"/>
      <c r="K905" s="5"/>
      <c r="L905" s="5"/>
      <c r="M905" s="5"/>
      <c r="N905" s="5"/>
      <c r="O905" s="5"/>
      <c r="P905" s="57"/>
      <c r="Q905" s="5"/>
      <c r="R905" s="5"/>
      <c r="S905" s="5"/>
      <c r="T905" s="5"/>
      <c r="U905" s="5"/>
      <c r="V905" s="5"/>
      <c r="W905" s="5"/>
      <c r="X905" s="5"/>
      <c r="Y905" s="5"/>
      <c r="Z905" s="5"/>
      <c r="AA905" s="5"/>
    </row>
    <row r="906" spans="1:27" ht="12.75" customHeight="1">
      <c r="A906" s="5"/>
      <c r="B906" s="5"/>
      <c r="C906" s="5"/>
      <c r="D906" s="5"/>
      <c r="E906" s="5"/>
      <c r="F906" s="5"/>
      <c r="G906" s="5"/>
      <c r="H906" s="306"/>
      <c r="I906" s="306"/>
      <c r="J906" s="5"/>
      <c r="K906" s="5"/>
      <c r="L906" s="5"/>
      <c r="M906" s="5"/>
      <c r="N906" s="5"/>
      <c r="O906" s="5"/>
      <c r="P906" s="57"/>
      <c r="Q906" s="5"/>
      <c r="R906" s="5"/>
      <c r="S906" s="5"/>
      <c r="T906" s="5"/>
      <c r="U906" s="5"/>
      <c r="V906" s="5"/>
      <c r="W906" s="5"/>
      <c r="X906" s="5"/>
      <c r="Y906" s="5"/>
      <c r="Z906" s="5"/>
      <c r="AA906" s="5"/>
    </row>
    <row r="907" spans="1:27" ht="12.75" customHeight="1">
      <c r="A907" s="5"/>
      <c r="B907" s="5"/>
      <c r="C907" s="5"/>
      <c r="D907" s="5"/>
      <c r="E907" s="5"/>
      <c r="F907" s="5"/>
      <c r="G907" s="5"/>
      <c r="H907" s="306"/>
      <c r="I907" s="306"/>
      <c r="J907" s="5"/>
      <c r="K907" s="5"/>
      <c r="L907" s="5"/>
      <c r="M907" s="5"/>
      <c r="N907" s="5"/>
      <c r="O907" s="5"/>
      <c r="P907" s="57"/>
      <c r="Q907" s="5"/>
      <c r="R907" s="5"/>
      <c r="S907" s="5"/>
      <c r="T907" s="5"/>
      <c r="U907" s="5"/>
      <c r="V907" s="5"/>
      <c r="W907" s="5"/>
      <c r="X907" s="5"/>
      <c r="Y907" s="5"/>
      <c r="Z907" s="5"/>
      <c r="AA907" s="5"/>
    </row>
    <row r="908" spans="1:27" ht="12.75" customHeight="1">
      <c r="A908" s="5"/>
      <c r="B908" s="5"/>
      <c r="C908" s="5"/>
      <c r="D908" s="5"/>
      <c r="E908" s="5"/>
      <c r="F908" s="5"/>
      <c r="G908" s="5"/>
      <c r="H908" s="306"/>
      <c r="I908" s="306"/>
      <c r="J908" s="5"/>
      <c r="K908" s="5"/>
      <c r="L908" s="5"/>
      <c r="M908" s="5"/>
      <c r="N908" s="5"/>
      <c r="O908" s="5"/>
      <c r="P908" s="57"/>
      <c r="Q908" s="5"/>
      <c r="R908" s="5"/>
      <c r="S908" s="5"/>
      <c r="T908" s="5"/>
      <c r="U908" s="5"/>
      <c r="V908" s="5"/>
      <c r="W908" s="5"/>
      <c r="X908" s="5"/>
      <c r="Y908" s="5"/>
      <c r="Z908" s="5"/>
      <c r="AA908" s="5"/>
    </row>
    <row r="909" spans="1:27" ht="12.75" customHeight="1">
      <c r="A909" s="5"/>
      <c r="B909" s="5"/>
      <c r="C909" s="5"/>
      <c r="D909" s="5"/>
      <c r="E909" s="5"/>
      <c r="F909" s="5"/>
      <c r="G909" s="5"/>
      <c r="H909" s="306"/>
      <c r="I909" s="306"/>
      <c r="J909" s="5"/>
      <c r="K909" s="5"/>
      <c r="L909" s="5"/>
      <c r="M909" s="5"/>
      <c r="N909" s="5"/>
      <c r="O909" s="5"/>
      <c r="P909" s="57"/>
      <c r="Q909" s="5"/>
      <c r="R909" s="5"/>
      <c r="S909" s="5"/>
      <c r="T909" s="5"/>
      <c r="U909" s="5"/>
      <c r="V909" s="5"/>
      <c r="W909" s="5"/>
      <c r="X909" s="5"/>
      <c r="Y909" s="5"/>
      <c r="Z909" s="5"/>
      <c r="AA909" s="5"/>
    </row>
    <row r="910" spans="1:27" ht="12.75" customHeight="1">
      <c r="A910" s="5"/>
      <c r="B910" s="5"/>
      <c r="C910" s="5"/>
      <c r="D910" s="5"/>
      <c r="E910" s="5"/>
      <c r="F910" s="5"/>
      <c r="G910" s="5"/>
      <c r="H910" s="306"/>
      <c r="I910" s="306"/>
      <c r="J910" s="5"/>
      <c r="K910" s="5"/>
      <c r="L910" s="5"/>
      <c r="M910" s="5"/>
      <c r="N910" s="5"/>
      <c r="O910" s="5"/>
      <c r="P910" s="57"/>
      <c r="Q910" s="5"/>
      <c r="R910" s="5"/>
      <c r="S910" s="5"/>
      <c r="T910" s="5"/>
      <c r="U910" s="5"/>
      <c r="V910" s="5"/>
      <c r="W910" s="5"/>
      <c r="X910" s="5"/>
      <c r="Y910" s="5"/>
      <c r="Z910" s="5"/>
      <c r="AA910" s="5"/>
    </row>
    <row r="911" spans="1:27" ht="12.75" customHeight="1">
      <c r="A911" s="5"/>
      <c r="B911" s="5"/>
      <c r="C911" s="5"/>
      <c r="D911" s="5"/>
      <c r="E911" s="5"/>
      <c r="F911" s="5"/>
      <c r="G911" s="5"/>
      <c r="H911" s="306"/>
      <c r="I911" s="306"/>
      <c r="J911" s="5"/>
      <c r="K911" s="5"/>
      <c r="L911" s="5"/>
      <c r="M911" s="5"/>
      <c r="N911" s="5"/>
      <c r="O911" s="5"/>
      <c r="P911" s="57"/>
      <c r="Q911" s="5"/>
      <c r="R911" s="5"/>
      <c r="S911" s="5"/>
      <c r="T911" s="5"/>
      <c r="U911" s="5"/>
      <c r="V911" s="5"/>
      <c r="W911" s="5"/>
      <c r="X911" s="5"/>
      <c r="Y911" s="5"/>
      <c r="Z911" s="5"/>
      <c r="AA911" s="5"/>
    </row>
    <row r="912" spans="1:27" ht="12.75" customHeight="1">
      <c r="A912" s="5"/>
      <c r="B912" s="5"/>
      <c r="C912" s="5"/>
      <c r="D912" s="5"/>
      <c r="E912" s="5"/>
      <c r="F912" s="5"/>
      <c r="G912" s="5"/>
      <c r="H912" s="306"/>
      <c r="I912" s="306"/>
      <c r="J912" s="5"/>
      <c r="K912" s="5"/>
      <c r="L912" s="5"/>
      <c r="M912" s="5"/>
      <c r="N912" s="5"/>
      <c r="O912" s="5"/>
      <c r="P912" s="57"/>
      <c r="Q912" s="5"/>
      <c r="R912" s="5"/>
      <c r="S912" s="5"/>
      <c r="T912" s="5"/>
      <c r="U912" s="5"/>
      <c r="V912" s="5"/>
      <c r="W912" s="5"/>
      <c r="X912" s="5"/>
      <c r="Y912" s="5"/>
      <c r="Z912" s="5"/>
      <c r="AA912" s="5"/>
    </row>
    <row r="913" spans="1:27" ht="12.75" customHeight="1">
      <c r="A913" s="5"/>
      <c r="B913" s="5"/>
      <c r="C913" s="5"/>
      <c r="D913" s="5"/>
      <c r="E913" s="5"/>
      <c r="F913" s="5"/>
      <c r="G913" s="5"/>
      <c r="H913" s="306"/>
      <c r="I913" s="306"/>
      <c r="J913" s="5"/>
      <c r="K913" s="5"/>
      <c r="L913" s="5"/>
      <c r="M913" s="5"/>
      <c r="N913" s="5"/>
      <c r="O913" s="5"/>
      <c r="P913" s="57"/>
      <c r="Q913" s="5"/>
      <c r="R913" s="5"/>
      <c r="S913" s="5"/>
      <c r="T913" s="5"/>
      <c r="U913" s="5"/>
      <c r="V913" s="5"/>
      <c r="W913" s="5"/>
      <c r="X913" s="5"/>
      <c r="Y913" s="5"/>
      <c r="Z913" s="5"/>
      <c r="AA913" s="5"/>
    </row>
    <row r="914" spans="1:27" ht="12.75" customHeight="1">
      <c r="A914" s="5"/>
      <c r="B914" s="5"/>
      <c r="C914" s="5"/>
      <c r="D914" s="5"/>
      <c r="E914" s="5"/>
      <c r="F914" s="5"/>
      <c r="G914" s="5"/>
      <c r="H914" s="306"/>
      <c r="I914" s="306"/>
      <c r="J914" s="5"/>
      <c r="K914" s="5"/>
      <c r="L914" s="5"/>
      <c r="M914" s="5"/>
      <c r="N914" s="5"/>
      <c r="O914" s="5"/>
      <c r="P914" s="57"/>
      <c r="Q914" s="5"/>
      <c r="R914" s="5"/>
      <c r="S914" s="5"/>
      <c r="T914" s="5"/>
      <c r="U914" s="5"/>
      <c r="V914" s="5"/>
      <c r="W914" s="5"/>
      <c r="X914" s="5"/>
      <c r="Y914" s="5"/>
      <c r="Z914" s="5"/>
      <c r="AA914" s="5"/>
    </row>
    <row r="915" spans="1:27" ht="12.75" customHeight="1">
      <c r="A915" s="5"/>
      <c r="B915" s="5"/>
      <c r="C915" s="5"/>
      <c r="D915" s="5"/>
      <c r="E915" s="5"/>
      <c r="F915" s="5"/>
      <c r="G915" s="5"/>
      <c r="H915" s="306"/>
      <c r="I915" s="306"/>
      <c r="J915" s="5"/>
      <c r="K915" s="5"/>
      <c r="L915" s="5"/>
      <c r="M915" s="5"/>
      <c r="N915" s="5"/>
      <c r="O915" s="5"/>
      <c r="P915" s="57"/>
      <c r="Q915" s="5"/>
      <c r="R915" s="5"/>
      <c r="S915" s="5"/>
      <c r="T915" s="5"/>
      <c r="U915" s="5"/>
      <c r="V915" s="5"/>
      <c r="W915" s="5"/>
      <c r="X915" s="5"/>
      <c r="Y915" s="5"/>
      <c r="Z915" s="5"/>
      <c r="AA915" s="5"/>
    </row>
    <row r="916" spans="1:27" ht="12.75" customHeight="1">
      <c r="A916" s="5"/>
      <c r="B916" s="5"/>
      <c r="C916" s="5"/>
      <c r="D916" s="5"/>
      <c r="E916" s="5"/>
      <c r="F916" s="5"/>
      <c r="G916" s="5"/>
      <c r="H916" s="306"/>
      <c r="I916" s="306"/>
      <c r="J916" s="5"/>
      <c r="K916" s="5"/>
      <c r="L916" s="5"/>
      <c r="M916" s="5"/>
      <c r="N916" s="5"/>
      <c r="O916" s="5"/>
      <c r="P916" s="57"/>
      <c r="Q916" s="5"/>
      <c r="R916" s="5"/>
      <c r="S916" s="5"/>
      <c r="T916" s="5"/>
      <c r="U916" s="5"/>
      <c r="V916" s="5"/>
      <c r="W916" s="5"/>
      <c r="X916" s="5"/>
      <c r="Y916" s="5"/>
      <c r="Z916" s="5"/>
      <c r="AA916" s="5"/>
    </row>
    <row r="917" spans="1:27" ht="12.75" customHeight="1">
      <c r="A917" s="5"/>
      <c r="B917" s="5"/>
      <c r="C917" s="5"/>
      <c r="D917" s="5"/>
      <c r="E917" s="5"/>
      <c r="F917" s="5"/>
      <c r="G917" s="5"/>
      <c r="H917" s="306"/>
      <c r="I917" s="306"/>
      <c r="J917" s="5"/>
      <c r="K917" s="5"/>
      <c r="L917" s="5"/>
      <c r="M917" s="5"/>
      <c r="N917" s="5"/>
      <c r="O917" s="5"/>
      <c r="P917" s="57"/>
      <c r="Q917" s="5"/>
      <c r="R917" s="5"/>
      <c r="S917" s="5"/>
      <c r="T917" s="5"/>
      <c r="U917" s="5"/>
      <c r="V917" s="5"/>
      <c r="W917" s="5"/>
      <c r="X917" s="5"/>
      <c r="Y917" s="5"/>
      <c r="Z917" s="5"/>
      <c r="AA917" s="5"/>
    </row>
    <row r="918" spans="1:27" ht="12.75" customHeight="1">
      <c r="A918" s="5"/>
      <c r="B918" s="5"/>
      <c r="C918" s="5"/>
      <c r="D918" s="5"/>
      <c r="E918" s="5"/>
      <c r="F918" s="5"/>
      <c r="G918" s="5"/>
      <c r="H918" s="306"/>
      <c r="I918" s="306"/>
      <c r="J918" s="5"/>
      <c r="K918" s="5"/>
      <c r="L918" s="5"/>
      <c r="M918" s="5"/>
      <c r="N918" s="5"/>
      <c r="O918" s="5"/>
      <c r="P918" s="57"/>
      <c r="Q918" s="5"/>
      <c r="R918" s="5"/>
      <c r="S918" s="5"/>
      <c r="T918" s="5"/>
      <c r="U918" s="5"/>
      <c r="V918" s="5"/>
      <c r="W918" s="5"/>
      <c r="X918" s="5"/>
      <c r="Y918" s="5"/>
      <c r="Z918" s="5"/>
      <c r="AA918" s="5"/>
    </row>
    <row r="919" spans="1:27" ht="12.75" customHeight="1">
      <c r="A919" s="5"/>
      <c r="B919" s="5"/>
      <c r="C919" s="5"/>
      <c r="D919" s="5"/>
      <c r="E919" s="5"/>
      <c r="F919" s="5"/>
      <c r="G919" s="5"/>
      <c r="H919" s="306"/>
      <c r="I919" s="306"/>
      <c r="J919" s="5"/>
      <c r="K919" s="5"/>
      <c r="L919" s="5"/>
      <c r="M919" s="5"/>
      <c r="N919" s="5"/>
      <c r="O919" s="5"/>
      <c r="P919" s="57"/>
      <c r="Q919" s="5"/>
      <c r="R919" s="5"/>
      <c r="S919" s="5"/>
      <c r="T919" s="5"/>
      <c r="U919" s="5"/>
      <c r="V919" s="5"/>
      <c r="W919" s="5"/>
      <c r="X919" s="5"/>
      <c r="Y919" s="5"/>
      <c r="Z919" s="5"/>
      <c r="AA919" s="5"/>
    </row>
    <row r="920" spans="1:27" ht="12.75" customHeight="1">
      <c r="A920" s="5"/>
      <c r="B920" s="5"/>
      <c r="C920" s="5"/>
      <c r="D920" s="5"/>
      <c r="E920" s="5"/>
      <c r="F920" s="5"/>
      <c r="G920" s="5"/>
      <c r="H920" s="306"/>
      <c r="I920" s="306"/>
      <c r="J920" s="5"/>
      <c r="K920" s="5"/>
      <c r="L920" s="5"/>
      <c r="M920" s="5"/>
      <c r="N920" s="5"/>
      <c r="O920" s="5"/>
      <c r="P920" s="57"/>
      <c r="Q920" s="5"/>
      <c r="R920" s="5"/>
      <c r="S920" s="5"/>
      <c r="T920" s="5"/>
      <c r="U920" s="5"/>
      <c r="V920" s="5"/>
      <c r="W920" s="5"/>
      <c r="X920" s="5"/>
      <c r="Y920" s="5"/>
      <c r="Z920" s="5"/>
      <c r="AA920" s="5"/>
    </row>
    <row r="921" spans="1:27" ht="12.75" customHeight="1">
      <c r="A921" s="5"/>
      <c r="B921" s="5"/>
      <c r="C921" s="5"/>
      <c r="D921" s="5"/>
      <c r="E921" s="5"/>
      <c r="F921" s="5"/>
      <c r="G921" s="5"/>
      <c r="H921" s="306"/>
      <c r="I921" s="306"/>
      <c r="J921" s="5"/>
      <c r="K921" s="5"/>
      <c r="L921" s="5"/>
      <c r="M921" s="5"/>
      <c r="N921" s="5"/>
      <c r="O921" s="5"/>
      <c r="P921" s="57"/>
      <c r="Q921" s="5"/>
      <c r="R921" s="5"/>
      <c r="S921" s="5"/>
      <c r="T921" s="5"/>
      <c r="U921" s="5"/>
      <c r="V921" s="5"/>
      <c r="W921" s="5"/>
      <c r="X921" s="5"/>
      <c r="Y921" s="5"/>
      <c r="Z921" s="5"/>
      <c r="AA921" s="5"/>
    </row>
    <row r="922" spans="1:27" ht="12.75" customHeight="1">
      <c r="A922" s="5"/>
      <c r="B922" s="5"/>
      <c r="C922" s="5"/>
      <c r="D922" s="5"/>
      <c r="E922" s="5"/>
      <c r="F922" s="5"/>
      <c r="G922" s="5"/>
      <c r="H922" s="306"/>
      <c r="I922" s="306"/>
      <c r="J922" s="5"/>
      <c r="K922" s="5"/>
      <c r="L922" s="5"/>
      <c r="M922" s="5"/>
      <c r="N922" s="5"/>
      <c r="O922" s="5"/>
      <c r="P922" s="57"/>
      <c r="Q922" s="5"/>
      <c r="R922" s="5"/>
      <c r="S922" s="5"/>
      <c r="T922" s="5"/>
      <c r="U922" s="5"/>
      <c r="V922" s="5"/>
      <c r="W922" s="5"/>
      <c r="X922" s="5"/>
      <c r="Y922" s="5"/>
      <c r="Z922" s="5"/>
      <c r="AA922" s="5"/>
    </row>
    <row r="923" spans="1:27" ht="12.75" customHeight="1">
      <c r="A923" s="5"/>
      <c r="B923" s="5"/>
      <c r="C923" s="5"/>
      <c r="D923" s="5"/>
      <c r="E923" s="5"/>
      <c r="F923" s="5"/>
      <c r="G923" s="5"/>
      <c r="H923" s="306"/>
      <c r="I923" s="306"/>
      <c r="J923" s="5"/>
      <c r="K923" s="5"/>
      <c r="L923" s="5"/>
      <c r="M923" s="5"/>
      <c r="N923" s="5"/>
      <c r="O923" s="5"/>
      <c r="P923" s="57"/>
      <c r="Q923" s="5"/>
      <c r="R923" s="5"/>
      <c r="S923" s="5"/>
      <c r="T923" s="5"/>
      <c r="U923" s="5"/>
      <c r="V923" s="5"/>
      <c r="W923" s="5"/>
      <c r="X923" s="5"/>
      <c r="Y923" s="5"/>
      <c r="Z923" s="5"/>
      <c r="AA923" s="5"/>
    </row>
    <row r="924" spans="1:27" ht="12.75" customHeight="1">
      <c r="A924" s="5"/>
      <c r="B924" s="5"/>
      <c r="C924" s="5"/>
      <c r="D924" s="5"/>
      <c r="E924" s="5"/>
      <c r="F924" s="5"/>
      <c r="G924" s="5"/>
      <c r="H924" s="306"/>
      <c r="I924" s="306"/>
      <c r="J924" s="5"/>
      <c r="K924" s="5"/>
      <c r="L924" s="5"/>
      <c r="M924" s="5"/>
      <c r="N924" s="5"/>
      <c r="O924" s="5"/>
      <c r="P924" s="57"/>
      <c r="Q924" s="5"/>
      <c r="R924" s="5"/>
      <c r="S924" s="5"/>
      <c r="T924" s="5"/>
      <c r="U924" s="5"/>
      <c r="V924" s="5"/>
      <c r="W924" s="5"/>
      <c r="X924" s="5"/>
      <c r="Y924" s="5"/>
      <c r="Z924" s="5"/>
      <c r="AA924" s="5"/>
    </row>
    <row r="925" spans="1:27" ht="12.75" customHeight="1">
      <c r="A925" s="5"/>
      <c r="B925" s="5"/>
      <c r="C925" s="5"/>
      <c r="D925" s="5"/>
      <c r="E925" s="5"/>
      <c r="F925" s="5"/>
      <c r="G925" s="5"/>
      <c r="H925" s="306"/>
      <c r="I925" s="306"/>
      <c r="J925" s="5"/>
      <c r="K925" s="5"/>
      <c r="L925" s="5"/>
      <c r="M925" s="5"/>
      <c r="N925" s="5"/>
      <c r="O925" s="5"/>
      <c r="P925" s="57"/>
      <c r="Q925" s="5"/>
      <c r="R925" s="5"/>
      <c r="S925" s="5"/>
      <c r="T925" s="5"/>
      <c r="U925" s="5"/>
      <c r="V925" s="5"/>
      <c r="W925" s="5"/>
      <c r="X925" s="5"/>
      <c r="Y925" s="5"/>
      <c r="Z925" s="5"/>
      <c r="AA925" s="5"/>
    </row>
    <row r="926" spans="1:27" ht="12.75" customHeight="1">
      <c r="A926" s="5"/>
      <c r="B926" s="5"/>
      <c r="C926" s="5"/>
      <c r="D926" s="5"/>
      <c r="E926" s="5"/>
      <c r="F926" s="5"/>
      <c r="G926" s="5"/>
      <c r="H926" s="306"/>
      <c r="I926" s="306"/>
      <c r="J926" s="5"/>
      <c r="K926" s="5"/>
      <c r="L926" s="5"/>
      <c r="M926" s="5"/>
      <c r="N926" s="5"/>
      <c r="O926" s="5"/>
      <c r="P926" s="57"/>
      <c r="Q926" s="5"/>
      <c r="R926" s="5"/>
      <c r="S926" s="5"/>
      <c r="T926" s="5"/>
      <c r="U926" s="5"/>
      <c r="V926" s="5"/>
      <c r="W926" s="5"/>
      <c r="X926" s="5"/>
      <c r="Y926" s="5"/>
      <c r="Z926" s="5"/>
      <c r="AA926" s="5"/>
    </row>
    <row r="927" spans="1:27" ht="12.75" customHeight="1">
      <c r="A927" s="5"/>
      <c r="B927" s="5"/>
      <c r="C927" s="5"/>
      <c r="D927" s="5"/>
      <c r="E927" s="5"/>
      <c r="F927" s="5"/>
      <c r="G927" s="5"/>
      <c r="H927" s="306"/>
      <c r="I927" s="306"/>
      <c r="J927" s="5"/>
      <c r="K927" s="5"/>
      <c r="L927" s="5"/>
      <c r="M927" s="5"/>
      <c r="N927" s="5"/>
      <c r="O927" s="5"/>
      <c r="P927" s="57"/>
      <c r="Q927" s="5"/>
      <c r="R927" s="5"/>
      <c r="S927" s="5"/>
      <c r="T927" s="5"/>
      <c r="U927" s="5"/>
      <c r="V927" s="5"/>
      <c r="W927" s="5"/>
      <c r="X927" s="5"/>
      <c r="Y927" s="5"/>
      <c r="Z927" s="5"/>
      <c r="AA927" s="5"/>
    </row>
    <row r="928" spans="1:27" ht="12.75" customHeight="1">
      <c r="A928" s="5"/>
      <c r="B928" s="5"/>
      <c r="C928" s="5"/>
      <c r="D928" s="5"/>
      <c r="E928" s="5"/>
      <c r="F928" s="5"/>
      <c r="G928" s="5"/>
      <c r="H928" s="306"/>
      <c r="I928" s="306"/>
      <c r="J928" s="5"/>
      <c r="K928" s="5"/>
      <c r="L928" s="5"/>
      <c r="M928" s="5"/>
      <c r="N928" s="5"/>
      <c r="O928" s="5"/>
      <c r="P928" s="57"/>
      <c r="Q928" s="5"/>
      <c r="R928" s="5"/>
      <c r="S928" s="5"/>
      <c r="T928" s="5"/>
      <c r="U928" s="5"/>
      <c r="V928" s="5"/>
      <c r="W928" s="5"/>
      <c r="X928" s="5"/>
      <c r="Y928" s="5"/>
      <c r="Z928" s="5"/>
      <c r="AA928" s="5"/>
    </row>
    <row r="929" spans="1:27" ht="12.75" customHeight="1">
      <c r="A929" s="5"/>
      <c r="B929" s="5"/>
      <c r="C929" s="5"/>
      <c r="D929" s="5"/>
      <c r="E929" s="5"/>
      <c r="F929" s="5"/>
      <c r="G929" s="5"/>
      <c r="H929" s="306"/>
      <c r="I929" s="306"/>
      <c r="J929" s="5"/>
      <c r="K929" s="5"/>
      <c r="L929" s="5"/>
      <c r="M929" s="5"/>
      <c r="N929" s="5"/>
      <c r="O929" s="5"/>
      <c r="P929" s="57"/>
      <c r="Q929" s="5"/>
      <c r="R929" s="5"/>
      <c r="S929" s="5"/>
      <c r="T929" s="5"/>
      <c r="U929" s="5"/>
      <c r="V929" s="5"/>
      <c r="W929" s="5"/>
      <c r="X929" s="5"/>
      <c r="Y929" s="5"/>
      <c r="Z929" s="5"/>
      <c r="AA929" s="5"/>
    </row>
    <row r="930" spans="1:27" ht="12.75" customHeight="1">
      <c r="A930" s="5"/>
      <c r="B930" s="5"/>
      <c r="C930" s="5"/>
      <c r="D930" s="5"/>
      <c r="E930" s="5"/>
      <c r="F930" s="5"/>
      <c r="G930" s="5"/>
      <c r="H930" s="306"/>
      <c r="I930" s="306"/>
      <c r="J930" s="5"/>
      <c r="K930" s="5"/>
      <c r="L930" s="5"/>
      <c r="M930" s="5"/>
      <c r="N930" s="5"/>
      <c r="O930" s="5"/>
      <c r="P930" s="57"/>
      <c r="Q930" s="5"/>
      <c r="R930" s="5"/>
      <c r="S930" s="5"/>
      <c r="T930" s="5"/>
      <c r="U930" s="5"/>
      <c r="V930" s="5"/>
      <c r="W930" s="5"/>
      <c r="X930" s="5"/>
      <c r="Y930" s="5"/>
      <c r="Z930" s="5"/>
      <c r="AA930" s="5"/>
    </row>
    <row r="931" spans="1:27" ht="12.75" customHeight="1">
      <c r="A931" s="5"/>
      <c r="B931" s="5"/>
      <c r="C931" s="5"/>
      <c r="D931" s="5"/>
      <c r="E931" s="5"/>
      <c r="F931" s="5"/>
      <c r="G931" s="5"/>
      <c r="H931" s="306"/>
      <c r="I931" s="306"/>
      <c r="J931" s="5"/>
      <c r="K931" s="5"/>
      <c r="L931" s="5"/>
      <c r="M931" s="5"/>
      <c r="N931" s="5"/>
      <c r="O931" s="5"/>
      <c r="P931" s="57"/>
      <c r="Q931" s="5"/>
      <c r="R931" s="5"/>
      <c r="S931" s="5"/>
      <c r="T931" s="5"/>
      <c r="U931" s="5"/>
      <c r="V931" s="5"/>
      <c r="W931" s="5"/>
      <c r="X931" s="5"/>
      <c r="Y931" s="5"/>
      <c r="Z931" s="5"/>
      <c r="AA931" s="5"/>
    </row>
    <row r="932" spans="1:27" ht="12.75" customHeight="1">
      <c r="A932" s="5"/>
      <c r="B932" s="5"/>
      <c r="C932" s="5"/>
      <c r="D932" s="5"/>
      <c r="E932" s="5"/>
      <c r="F932" s="5"/>
      <c r="G932" s="5"/>
      <c r="H932" s="306"/>
      <c r="I932" s="306"/>
      <c r="J932" s="5"/>
      <c r="K932" s="5"/>
      <c r="L932" s="5"/>
      <c r="M932" s="5"/>
      <c r="N932" s="5"/>
      <c r="O932" s="5"/>
      <c r="P932" s="57"/>
      <c r="Q932" s="5"/>
      <c r="R932" s="5"/>
      <c r="S932" s="5"/>
      <c r="T932" s="5"/>
      <c r="U932" s="5"/>
      <c r="V932" s="5"/>
      <c r="W932" s="5"/>
      <c r="X932" s="5"/>
      <c r="Y932" s="5"/>
      <c r="Z932" s="5"/>
      <c r="AA932" s="5"/>
    </row>
    <row r="933" spans="1:27" ht="12.75" customHeight="1">
      <c r="A933" s="5"/>
      <c r="B933" s="5"/>
      <c r="C933" s="5"/>
      <c r="D933" s="5"/>
      <c r="E933" s="5"/>
      <c r="F933" s="5"/>
      <c r="G933" s="5"/>
      <c r="H933" s="306"/>
      <c r="I933" s="306"/>
      <c r="J933" s="5"/>
      <c r="K933" s="5"/>
      <c r="L933" s="5"/>
      <c r="M933" s="5"/>
      <c r="N933" s="5"/>
      <c r="O933" s="5"/>
      <c r="P933" s="57"/>
      <c r="Q933" s="5"/>
      <c r="R933" s="5"/>
      <c r="S933" s="5"/>
      <c r="T933" s="5"/>
      <c r="U933" s="5"/>
      <c r="V933" s="5"/>
      <c r="W933" s="5"/>
      <c r="X933" s="5"/>
      <c r="Y933" s="5"/>
      <c r="Z933" s="5"/>
      <c r="AA933" s="5"/>
    </row>
    <row r="934" spans="1:27" ht="12.75" customHeight="1">
      <c r="A934" s="5"/>
      <c r="B934" s="5"/>
      <c r="C934" s="5"/>
      <c r="D934" s="5"/>
      <c r="E934" s="5"/>
      <c r="F934" s="5"/>
      <c r="G934" s="5"/>
      <c r="H934" s="306"/>
      <c r="I934" s="306"/>
      <c r="J934" s="5"/>
      <c r="K934" s="5"/>
      <c r="L934" s="5"/>
      <c r="M934" s="5"/>
      <c r="N934" s="5"/>
      <c r="O934" s="5"/>
      <c r="P934" s="57"/>
      <c r="Q934" s="5"/>
      <c r="R934" s="5"/>
      <c r="S934" s="5"/>
      <c r="T934" s="5"/>
      <c r="U934" s="5"/>
      <c r="V934" s="5"/>
      <c r="W934" s="5"/>
      <c r="X934" s="5"/>
      <c r="Y934" s="5"/>
      <c r="Z934" s="5"/>
      <c r="AA934" s="5"/>
    </row>
    <row r="935" spans="1:27" ht="12.75" customHeight="1">
      <c r="A935" s="5"/>
      <c r="B935" s="5"/>
      <c r="C935" s="5"/>
      <c r="D935" s="5"/>
      <c r="E935" s="5"/>
      <c r="F935" s="5"/>
      <c r="G935" s="5"/>
      <c r="H935" s="306"/>
      <c r="I935" s="306"/>
      <c r="J935" s="5"/>
      <c r="K935" s="5"/>
      <c r="L935" s="5"/>
      <c r="M935" s="5"/>
      <c r="N935" s="5"/>
      <c r="O935" s="5"/>
      <c r="P935" s="57"/>
      <c r="Q935" s="5"/>
      <c r="R935" s="5"/>
      <c r="S935" s="5"/>
      <c r="T935" s="5"/>
      <c r="U935" s="5"/>
      <c r="V935" s="5"/>
      <c r="W935" s="5"/>
      <c r="X935" s="5"/>
      <c r="Y935" s="5"/>
      <c r="Z935" s="5"/>
      <c r="AA935" s="5"/>
    </row>
    <row r="936" spans="1:27" ht="12.75" customHeight="1">
      <c r="A936" s="5"/>
      <c r="B936" s="5"/>
      <c r="C936" s="5"/>
      <c r="D936" s="5"/>
      <c r="E936" s="5"/>
      <c r="F936" s="5"/>
      <c r="G936" s="5"/>
      <c r="H936" s="306"/>
      <c r="I936" s="306"/>
      <c r="J936" s="5"/>
      <c r="K936" s="5"/>
      <c r="L936" s="5"/>
      <c r="M936" s="5"/>
      <c r="N936" s="5"/>
      <c r="O936" s="5"/>
      <c r="P936" s="57"/>
      <c r="Q936" s="5"/>
      <c r="R936" s="5"/>
      <c r="S936" s="5"/>
      <c r="T936" s="5"/>
      <c r="U936" s="5"/>
      <c r="V936" s="5"/>
      <c r="W936" s="5"/>
      <c r="X936" s="5"/>
      <c r="Y936" s="5"/>
      <c r="Z936" s="5"/>
      <c r="AA936" s="5"/>
    </row>
    <row r="937" spans="1:27" ht="12.75" customHeight="1">
      <c r="A937" s="5"/>
      <c r="B937" s="5"/>
      <c r="C937" s="5"/>
      <c r="D937" s="5"/>
      <c r="E937" s="5"/>
      <c r="F937" s="5"/>
      <c r="G937" s="5"/>
      <c r="H937" s="306"/>
      <c r="I937" s="306"/>
      <c r="J937" s="5"/>
      <c r="K937" s="5"/>
      <c r="L937" s="5"/>
      <c r="M937" s="5"/>
      <c r="N937" s="5"/>
      <c r="O937" s="5"/>
      <c r="P937" s="57"/>
      <c r="Q937" s="5"/>
      <c r="R937" s="5"/>
      <c r="S937" s="5"/>
      <c r="T937" s="5"/>
      <c r="U937" s="5"/>
      <c r="V937" s="5"/>
      <c r="W937" s="5"/>
      <c r="X937" s="5"/>
      <c r="Y937" s="5"/>
      <c r="Z937" s="5"/>
      <c r="AA937" s="5"/>
    </row>
    <row r="938" spans="1:27" ht="12.75" customHeight="1">
      <c r="A938" s="5"/>
      <c r="B938" s="5"/>
      <c r="C938" s="5"/>
      <c r="D938" s="5"/>
      <c r="E938" s="5"/>
      <c r="F938" s="5"/>
      <c r="G938" s="5"/>
      <c r="H938" s="306"/>
      <c r="I938" s="306"/>
      <c r="J938" s="5"/>
      <c r="K938" s="5"/>
      <c r="L938" s="5"/>
      <c r="M938" s="5"/>
      <c r="N938" s="5"/>
      <c r="O938" s="5"/>
      <c r="P938" s="57"/>
      <c r="Q938" s="5"/>
      <c r="R938" s="5"/>
      <c r="S938" s="5"/>
      <c r="T938" s="5"/>
      <c r="U938" s="5"/>
      <c r="V938" s="5"/>
      <c r="W938" s="5"/>
      <c r="X938" s="5"/>
      <c r="Y938" s="5"/>
      <c r="Z938" s="5"/>
      <c r="AA938" s="5"/>
    </row>
    <row r="939" spans="1:27" ht="12.75" customHeight="1">
      <c r="A939" s="5"/>
      <c r="B939" s="5"/>
      <c r="C939" s="5"/>
      <c r="D939" s="5"/>
      <c r="E939" s="5"/>
      <c r="F939" s="5"/>
      <c r="G939" s="5"/>
      <c r="H939" s="306"/>
      <c r="I939" s="306"/>
      <c r="J939" s="5"/>
      <c r="K939" s="5"/>
      <c r="L939" s="5"/>
      <c r="M939" s="5"/>
      <c r="N939" s="5"/>
      <c r="O939" s="5"/>
      <c r="P939" s="57"/>
      <c r="Q939" s="5"/>
      <c r="R939" s="5"/>
      <c r="S939" s="5"/>
      <c r="T939" s="5"/>
      <c r="U939" s="5"/>
      <c r="V939" s="5"/>
      <c r="W939" s="5"/>
      <c r="X939" s="5"/>
      <c r="Y939" s="5"/>
      <c r="Z939" s="5"/>
      <c r="AA939" s="5"/>
    </row>
    <row r="940" spans="1:27" ht="12.75" customHeight="1">
      <c r="A940" s="5"/>
      <c r="B940" s="5"/>
      <c r="C940" s="5"/>
      <c r="D940" s="5"/>
      <c r="E940" s="5"/>
      <c r="F940" s="5"/>
      <c r="G940" s="5"/>
      <c r="H940" s="306"/>
      <c r="I940" s="306"/>
      <c r="J940" s="5"/>
      <c r="K940" s="5"/>
      <c r="L940" s="5"/>
      <c r="M940" s="5"/>
      <c r="N940" s="5"/>
      <c r="O940" s="5"/>
      <c r="P940" s="57"/>
      <c r="Q940" s="5"/>
      <c r="R940" s="5"/>
      <c r="S940" s="5"/>
      <c r="T940" s="5"/>
      <c r="U940" s="5"/>
      <c r="V940" s="5"/>
      <c r="W940" s="5"/>
      <c r="X940" s="5"/>
      <c r="Y940" s="5"/>
      <c r="Z940" s="5"/>
      <c r="AA940" s="5"/>
    </row>
    <row r="941" spans="1:27" ht="12.75" customHeight="1">
      <c r="A941" s="5"/>
      <c r="B941" s="5"/>
      <c r="C941" s="5"/>
      <c r="D941" s="5"/>
      <c r="E941" s="5"/>
      <c r="F941" s="5"/>
      <c r="G941" s="5"/>
      <c r="H941" s="306"/>
      <c r="I941" s="306"/>
      <c r="J941" s="5"/>
      <c r="K941" s="5"/>
      <c r="L941" s="5"/>
      <c r="M941" s="5"/>
      <c r="N941" s="5"/>
      <c r="O941" s="5"/>
      <c r="P941" s="57"/>
      <c r="Q941" s="5"/>
      <c r="R941" s="5"/>
      <c r="S941" s="5"/>
      <c r="T941" s="5"/>
      <c r="U941" s="5"/>
      <c r="V941" s="5"/>
      <c r="W941" s="5"/>
      <c r="X941" s="5"/>
      <c r="Y941" s="5"/>
      <c r="Z941" s="5"/>
      <c r="AA941" s="5"/>
    </row>
    <row r="942" spans="1:27" ht="12.75" customHeight="1">
      <c r="A942" s="5"/>
      <c r="B942" s="5"/>
      <c r="C942" s="5"/>
      <c r="D942" s="5"/>
      <c r="E942" s="5"/>
      <c r="F942" s="5"/>
      <c r="G942" s="5"/>
      <c r="H942" s="306"/>
      <c r="I942" s="306"/>
      <c r="J942" s="5"/>
      <c r="K942" s="5"/>
      <c r="L942" s="5"/>
      <c r="M942" s="5"/>
      <c r="N942" s="5"/>
      <c r="O942" s="5"/>
      <c r="P942" s="57"/>
      <c r="Q942" s="5"/>
      <c r="R942" s="5"/>
      <c r="S942" s="5"/>
      <c r="T942" s="5"/>
      <c r="U942" s="5"/>
      <c r="V942" s="5"/>
      <c r="W942" s="5"/>
      <c r="X942" s="5"/>
      <c r="Y942" s="5"/>
      <c r="Z942" s="5"/>
      <c r="AA942" s="5"/>
    </row>
    <row r="943" spans="1:27" ht="12.75" customHeight="1">
      <c r="A943" s="5"/>
      <c r="B943" s="5"/>
      <c r="C943" s="5"/>
      <c r="D943" s="5"/>
      <c r="E943" s="5"/>
      <c r="F943" s="5"/>
      <c r="G943" s="5"/>
      <c r="H943" s="306"/>
      <c r="I943" s="306"/>
      <c r="J943" s="5"/>
      <c r="K943" s="5"/>
      <c r="L943" s="5"/>
      <c r="M943" s="5"/>
      <c r="N943" s="5"/>
      <c r="O943" s="5"/>
      <c r="P943" s="57"/>
      <c r="Q943" s="5"/>
      <c r="R943" s="5"/>
      <c r="S943" s="5"/>
      <c r="T943" s="5"/>
      <c r="U943" s="5"/>
      <c r="V943" s="5"/>
      <c r="W943" s="5"/>
      <c r="X943" s="5"/>
      <c r="Y943" s="5"/>
      <c r="Z943" s="5"/>
      <c r="AA943" s="5"/>
    </row>
    <row r="944" spans="1:27" ht="12.75" customHeight="1">
      <c r="A944" s="5"/>
      <c r="B944" s="5"/>
      <c r="C944" s="5"/>
      <c r="D944" s="5"/>
      <c r="E944" s="5"/>
      <c r="F944" s="5"/>
      <c r="G944" s="5"/>
      <c r="H944" s="306"/>
      <c r="I944" s="306"/>
      <c r="J944" s="5"/>
      <c r="K944" s="5"/>
      <c r="L944" s="5"/>
      <c r="M944" s="5"/>
      <c r="N944" s="5"/>
      <c r="O944" s="5"/>
      <c r="P944" s="57"/>
      <c r="Q944" s="5"/>
      <c r="R944" s="5"/>
      <c r="S944" s="5"/>
      <c r="T944" s="5"/>
      <c r="U944" s="5"/>
      <c r="V944" s="5"/>
      <c r="W944" s="5"/>
      <c r="X944" s="5"/>
      <c r="Y944" s="5"/>
      <c r="Z944" s="5"/>
      <c r="AA944" s="5"/>
    </row>
    <row r="945" spans="1:27" ht="12.75" customHeight="1">
      <c r="A945" s="5"/>
      <c r="B945" s="5"/>
      <c r="C945" s="5"/>
      <c r="D945" s="5"/>
      <c r="E945" s="5"/>
      <c r="F945" s="5"/>
      <c r="G945" s="5"/>
      <c r="H945" s="306"/>
      <c r="I945" s="306"/>
      <c r="J945" s="5"/>
      <c r="K945" s="5"/>
      <c r="L945" s="5"/>
      <c r="M945" s="5"/>
      <c r="N945" s="5"/>
      <c r="O945" s="5"/>
      <c r="P945" s="57"/>
      <c r="Q945" s="5"/>
      <c r="R945" s="5"/>
      <c r="S945" s="5"/>
      <c r="T945" s="5"/>
      <c r="U945" s="5"/>
      <c r="V945" s="5"/>
      <c r="W945" s="5"/>
      <c r="X945" s="5"/>
      <c r="Y945" s="5"/>
      <c r="Z945" s="5"/>
      <c r="AA945" s="5"/>
    </row>
    <row r="946" spans="1:27" ht="12.75" customHeight="1">
      <c r="A946" s="5"/>
      <c r="B946" s="5"/>
      <c r="C946" s="5"/>
      <c r="D946" s="5"/>
      <c r="E946" s="5"/>
      <c r="F946" s="5"/>
      <c r="G946" s="5"/>
      <c r="H946" s="306"/>
      <c r="I946" s="306"/>
      <c r="J946" s="5"/>
      <c r="K946" s="5"/>
      <c r="L946" s="5"/>
      <c r="M946" s="5"/>
      <c r="N946" s="5"/>
      <c r="O946" s="5"/>
      <c r="P946" s="57"/>
      <c r="Q946" s="5"/>
      <c r="R946" s="5"/>
      <c r="S946" s="5"/>
      <c r="T946" s="5"/>
      <c r="U946" s="5"/>
      <c r="V946" s="5"/>
      <c r="W946" s="5"/>
      <c r="X946" s="5"/>
      <c r="Y946" s="5"/>
      <c r="Z946" s="5"/>
      <c r="AA946" s="5"/>
    </row>
    <row r="947" spans="1:27" ht="12.75" customHeight="1">
      <c r="A947" s="5"/>
      <c r="B947" s="5"/>
      <c r="C947" s="5"/>
      <c r="D947" s="5"/>
      <c r="E947" s="5"/>
      <c r="F947" s="5"/>
      <c r="G947" s="5"/>
      <c r="H947" s="306"/>
      <c r="I947" s="306"/>
      <c r="J947" s="5"/>
      <c r="K947" s="5"/>
      <c r="L947" s="5"/>
      <c r="M947" s="5"/>
      <c r="N947" s="5"/>
      <c r="O947" s="5"/>
      <c r="P947" s="57"/>
      <c r="Q947" s="5"/>
      <c r="R947" s="5"/>
      <c r="S947" s="5"/>
      <c r="T947" s="5"/>
      <c r="U947" s="5"/>
      <c r="V947" s="5"/>
      <c r="W947" s="5"/>
      <c r="X947" s="5"/>
      <c r="Y947" s="5"/>
      <c r="Z947" s="5"/>
      <c r="AA947" s="5"/>
    </row>
    <row r="948" spans="1:27" ht="12.75" customHeight="1">
      <c r="A948" s="5"/>
      <c r="B948" s="5"/>
      <c r="C948" s="5"/>
      <c r="D948" s="5"/>
      <c r="E948" s="5"/>
      <c r="F948" s="5"/>
      <c r="G948" s="5"/>
      <c r="H948" s="306"/>
      <c r="I948" s="306"/>
      <c r="J948" s="5"/>
      <c r="K948" s="5"/>
      <c r="L948" s="5"/>
      <c r="M948" s="5"/>
      <c r="N948" s="5"/>
      <c r="O948" s="5"/>
      <c r="P948" s="57"/>
      <c r="Q948" s="5"/>
      <c r="R948" s="5"/>
      <c r="S948" s="5"/>
      <c r="T948" s="5"/>
      <c r="U948" s="5"/>
      <c r="V948" s="5"/>
      <c r="W948" s="5"/>
      <c r="X948" s="5"/>
      <c r="Y948" s="5"/>
      <c r="Z948" s="5"/>
      <c r="AA948" s="5"/>
    </row>
    <row r="949" spans="1:27" ht="12.75" customHeight="1">
      <c r="A949" s="5"/>
      <c r="B949" s="5"/>
      <c r="C949" s="5"/>
      <c r="D949" s="5"/>
      <c r="E949" s="5"/>
      <c r="F949" s="5"/>
      <c r="G949" s="5"/>
      <c r="H949" s="306"/>
      <c r="I949" s="306"/>
      <c r="J949" s="5"/>
      <c r="K949" s="5"/>
      <c r="L949" s="5"/>
      <c r="M949" s="5"/>
      <c r="N949" s="5"/>
      <c r="O949" s="5"/>
      <c r="P949" s="57"/>
      <c r="Q949" s="5"/>
      <c r="R949" s="5"/>
      <c r="S949" s="5"/>
      <c r="T949" s="5"/>
      <c r="U949" s="5"/>
      <c r="V949" s="5"/>
      <c r="W949" s="5"/>
      <c r="X949" s="5"/>
      <c r="Y949" s="5"/>
      <c r="Z949" s="5"/>
      <c r="AA949" s="5"/>
    </row>
    <row r="950" spans="1:27" ht="12.75" customHeight="1">
      <c r="A950" s="5"/>
      <c r="B950" s="5"/>
      <c r="C950" s="5"/>
      <c r="D950" s="5"/>
      <c r="E950" s="5"/>
      <c r="F950" s="5"/>
      <c r="G950" s="5"/>
      <c r="H950" s="306"/>
      <c r="I950" s="306"/>
      <c r="J950" s="5"/>
      <c r="K950" s="5"/>
      <c r="L950" s="5"/>
      <c r="M950" s="5"/>
      <c r="N950" s="5"/>
      <c r="O950" s="5"/>
      <c r="P950" s="57"/>
      <c r="Q950" s="5"/>
      <c r="R950" s="5"/>
      <c r="S950" s="5"/>
      <c r="T950" s="5"/>
      <c r="U950" s="5"/>
      <c r="V950" s="5"/>
      <c r="W950" s="5"/>
      <c r="X950" s="5"/>
      <c r="Y950" s="5"/>
      <c r="Z950" s="5"/>
      <c r="AA950" s="5"/>
    </row>
    <row r="951" spans="1:27" ht="12.75" customHeight="1">
      <c r="A951" s="5"/>
      <c r="B951" s="5"/>
      <c r="C951" s="5"/>
      <c r="D951" s="5"/>
      <c r="E951" s="5"/>
      <c r="F951" s="5"/>
      <c r="G951" s="5"/>
      <c r="H951" s="306"/>
      <c r="I951" s="306"/>
      <c r="J951" s="5"/>
      <c r="K951" s="5"/>
      <c r="L951" s="5"/>
      <c r="M951" s="5"/>
      <c r="N951" s="5"/>
      <c r="O951" s="5"/>
      <c r="P951" s="57"/>
      <c r="Q951" s="5"/>
      <c r="R951" s="5"/>
      <c r="S951" s="5"/>
      <c r="T951" s="5"/>
      <c r="U951" s="5"/>
      <c r="V951" s="5"/>
      <c r="W951" s="5"/>
      <c r="X951" s="5"/>
      <c r="Y951" s="5"/>
      <c r="Z951" s="5"/>
      <c r="AA951" s="5"/>
    </row>
    <row r="952" spans="1:27" ht="12.75" customHeight="1">
      <c r="A952" s="5"/>
      <c r="B952" s="5"/>
      <c r="C952" s="5"/>
      <c r="D952" s="5"/>
      <c r="E952" s="5"/>
      <c r="F952" s="5"/>
      <c r="G952" s="5"/>
      <c r="H952" s="306"/>
      <c r="I952" s="306"/>
      <c r="J952" s="5"/>
      <c r="K952" s="5"/>
      <c r="L952" s="5"/>
      <c r="M952" s="5"/>
      <c r="N952" s="5"/>
      <c r="O952" s="5"/>
      <c r="P952" s="57"/>
      <c r="Q952" s="5"/>
      <c r="R952" s="5"/>
      <c r="S952" s="5"/>
      <c r="T952" s="5"/>
      <c r="U952" s="5"/>
      <c r="V952" s="5"/>
      <c r="W952" s="5"/>
      <c r="X952" s="5"/>
      <c r="Y952" s="5"/>
      <c r="Z952" s="5"/>
      <c r="AA952" s="5"/>
    </row>
    <row r="953" spans="1:27" ht="12.75" customHeight="1">
      <c r="A953" s="5"/>
      <c r="B953" s="5"/>
      <c r="C953" s="5"/>
      <c r="D953" s="5"/>
      <c r="E953" s="5"/>
      <c r="F953" s="5"/>
      <c r="G953" s="5"/>
      <c r="H953" s="306"/>
      <c r="I953" s="306"/>
      <c r="J953" s="5"/>
      <c r="K953" s="5"/>
      <c r="L953" s="5"/>
      <c r="M953" s="5"/>
      <c r="N953" s="5"/>
      <c r="O953" s="5"/>
      <c r="P953" s="57"/>
      <c r="Q953" s="5"/>
      <c r="R953" s="5"/>
      <c r="S953" s="5"/>
      <c r="T953" s="5"/>
      <c r="U953" s="5"/>
      <c r="V953" s="5"/>
      <c r="W953" s="5"/>
      <c r="X953" s="5"/>
      <c r="Y953" s="5"/>
      <c r="Z953" s="5"/>
      <c r="AA953" s="5"/>
    </row>
    <row r="954" spans="1:27" ht="12.75" customHeight="1">
      <c r="A954" s="5"/>
      <c r="B954" s="5"/>
      <c r="C954" s="5"/>
      <c r="D954" s="5"/>
      <c r="E954" s="5"/>
      <c r="F954" s="5"/>
      <c r="G954" s="5"/>
      <c r="H954" s="306"/>
      <c r="I954" s="306"/>
      <c r="J954" s="5"/>
      <c r="K954" s="5"/>
      <c r="L954" s="5"/>
      <c r="M954" s="5"/>
      <c r="N954" s="5"/>
      <c r="O954" s="5"/>
      <c r="P954" s="57"/>
      <c r="Q954" s="5"/>
      <c r="R954" s="5"/>
      <c r="S954" s="5"/>
      <c r="T954" s="5"/>
      <c r="U954" s="5"/>
      <c r="V954" s="5"/>
      <c r="W954" s="5"/>
      <c r="X954" s="5"/>
      <c r="Y954" s="5"/>
      <c r="Z954" s="5"/>
      <c r="AA954" s="5"/>
    </row>
    <row r="955" spans="1:27" ht="12.75" customHeight="1">
      <c r="A955" s="5"/>
      <c r="B955" s="5"/>
      <c r="C955" s="5"/>
      <c r="D955" s="5"/>
      <c r="E955" s="5"/>
      <c r="F955" s="5"/>
      <c r="G955" s="5"/>
      <c r="H955" s="306"/>
      <c r="I955" s="306"/>
      <c r="J955" s="5"/>
      <c r="K955" s="5"/>
      <c r="L955" s="5"/>
      <c r="M955" s="5"/>
      <c r="N955" s="5"/>
      <c r="O955" s="5"/>
      <c r="P955" s="57"/>
      <c r="Q955" s="5"/>
      <c r="R955" s="5"/>
      <c r="S955" s="5"/>
      <c r="T955" s="5"/>
      <c r="U955" s="5"/>
      <c r="V955" s="5"/>
      <c r="W955" s="5"/>
      <c r="X955" s="5"/>
      <c r="Y955" s="5"/>
      <c r="Z955" s="5"/>
      <c r="AA955" s="5"/>
    </row>
    <row r="956" spans="1:27" ht="12.75" customHeight="1">
      <c r="A956" s="5"/>
      <c r="B956" s="5"/>
      <c r="C956" s="5"/>
      <c r="D956" s="5"/>
      <c r="E956" s="5"/>
      <c r="F956" s="5"/>
      <c r="G956" s="5"/>
      <c r="H956" s="306"/>
      <c r="I956" s="306"/>
      <c r="J956" s="5"/>
      <c r="K956" s="5"/>
      <c r="L956" s="5"/>
      <c r="M956" s="5"/>
      <c r="N956" s="5"/>
      <c r="O956" s="5"/>
      <c r="P956" s="57"/>
      <c r="Q956" s="5"/>
      <c r="R956" s="5"/>
      <c r="S956" s="5"/>
      <c r="T956" s="5"/>
      <c r="U956" s="5"/>
      <c r="V956" s="5"/>
      <c r="W956" s="5"/>
      <c r="X956" s="5"/>
      <c r="Y956" s="5"/>
      <c r="Z956" s="5"/>
      <c r="AA956" s="5"/>
    </row>
    <row r="957" spans="1:27" ht="12.75" customHeight="1">
      <c r="A957" s="5"/>
      <c r="B957" s="5"/>
      <c r="C957" s="5"/>
      <c r="D957" s="5"/>
      <c r="E957" s="5"/>
      <c r="F957" s="5"/>
      <c r="G957" s="5"/>
      <c r="H957" s="306"/>
      <c r="I957" s="306"/>
      <c r="J957" s="5"/>
      <c r="K957" s="5"/>
      <c r="L957" s="5"/>
      <c r="M957" s="5"/>
      <c r="N957" s="5"/>
      <c r="O957" s="5"/>
      <c r="P957" s="57"/>
      <c r="Q957" s="5"/>
      <c r="R957" s="5"/>
      <c r="S957" s="5"/>
      <c r="T957" s="5"/>
      <c r="U957" s="5"/>
      <c r="V957" s="5"/>
      <c r="W957" s="5"/>
      <c r="X957" s="5"/>
      <c r="Y957" s="5"/>
      <c r="Z957" s="5"/>
      <c r="AA957" s="5"/>
    </row>
    <row r="958" spans="1:27" ht="12.75" customHeight="1">
      <c r="A958" s="5"/>
      <c r="B958" s="5"/>
      <c r="C958" s="5"/>
      <c r="D958" s="5"/>
      <c r="E958" s="5"/>
      <c r="F958" s="5"/>
      <c r="G958" s="5"/>
      <c r="H958" s="306"/>
      <c r="I958" s="306"/>
      <c r="J958" s="5"/>
      <c r="K958" s="5"/>
      <c r="L958" s="5"/>
      <c r="M958" s="5"/>
      <c r="N958" s="5"/>
      <c r="O958" s="5"/>
      <c r="P958" s="57"/>
      <c r="Q958" s="5"/>
      <c r="R958" s="5"/>
      <c r="S958" s="5"/>
      <c r="T958" s="5"/>
      <c r="U958" s="5"/>
      <c r="V958" s="5"/>
      <c r="W958" s="5"/>
      <c r="X958" s="5"/>
      <c r="Y958" s="5"/>
      <c r="Z958" s="5"/>
      <c r="AA958" s="5"/>
    </row>
    <row r="959" spans="1:27" ht="12.75" customHeight="1">
      <c r="A959" s="5"/>
      <c r="B959" s="5"/>
      <c r="C959" s="5"/>
      <c r="D959" s="5"/>
      <c r="E959" s="5"/>
      <c r="F959" s="5"/>
      <c r="G959" s="5"/>
      <c r="H959" s="306"/>
      <c r="I959" s="306"/>
      <c r="J959" s="5"/>
      <c r="K959" s="5"/>
      <c r="L959" s="5"/>
      <c r="M959" s="5"/>
      <c r="N959" s="5"/>
      <c r="O959" s="5"/>
      <c r="P959" s="57"/>
      <c r="Q959" s="5"/>
      <c r="R959" s="5"/>
      <c r="S959" s="5"/>
      <c r="T959" s="5"/>
      <c r="U959" s="5"/>
      <c r="V959" s="5"/>
      <c r="W959" s="5"/>
      <c r="X959" s="5"/>
      <c r="Y959" s="5"/>
      <c r="Z959" s="5"/>
      <c r="AA959" s="5"/>
    </row>
    <row r="960" spans="1:27" ht="12.75" customHeight="1">
      <c r="A960" s="5"/>
      <c r="B960" s="5"/>
      <c r="C960" s="5"/>
      <c r="D960" s="5"/>
      <c r="E960" s="5"/>
      <c r="F960" s="5"/>
      <c r="G960" s="5"/>
      <c r="H960" s="306"/>
      <c r="I960" s="306"/>
      <c r="J960" s="5"/>
      <c r="K960" s="5"/>
      <c r="L960" s="5"/>
      <c r="M960" s="5"/>
      <c r="N960" s="5"/>
      <c r="O960" s="5"/>
      <c r="P960" s="57"/>
      <c r="Q960" s="5"/>
      <c r="R960" s="5"/>
      <c r="S960" s="5"/>
      <c r="T960" s="5"/>
      <c r="U960" s="5"/>
      <c r="V960" s="5"/>
      <c r="W960" s="5"/>
      <c r="X960" s="5"/>
      <c r="Y960" s="5"/>
      <c r="Z960" s="5"/>
      <c r="AA960" s="5"/>
    </row>
    <row r="961" spans="1:27" ht="12.75" customHeight="1">
      <c r="A961" s="5"/>
      <c r="B961" s="5"/>
      <c r="C961" s="5"/>
      <c r="D961" s="5"/>
      <c r="E961" s="5"/>
      <c r="F961" s="5"/>
      <c r="G961" s="5"/>
      <c r="H961" s="306"/>
      <c r="I961" s="306"/>
      <c r="J961" s="5"/>
      <c r="K961" s="5"/>
      <c r="L961" s="5"/>
      <c r="M961" s="5"/>
      <c r="N961" s="5"/>
      <c r="O961" s="5"/>
      <c r="P961" s="57"/>
      <c r="Q961" s="5"/>
      <c r="R961" s="5"/>
      <c r="S961" s="5"/>
      <c r="T961" s="5"/>
      <c r="U961" s="5"/>
      <c r="V961" s="5"/>
      <c r="W961" s="5"/>
      <c r="X961" s="5"/>
      <c r="Y961" s="5"/>
      <c r="Z961" s="5"/>
      <c r="AA961" s="5"/>
    </row>
    <row r="962" spans="1:27" ht="12.75" customHeight="1">
      <c r="A962" s="5"/>
      <c r="B962" s="5"/>
      <c r="C962" s="5"/>
      <c r="D962" s="5"/>
      <c r="E962" s="5"/>
      <c r="F962" s="5"/>
      <c r="G962" s="5"/>
      <c r="H962" s="306"/>
      <c r="I962" s="306"/>
      <c r="J962" s="5"/>
      <c r="K962" s="5"/>
      <c r="L962" s="5"/>
      <c r="M962" s="5"/>
      <c r="N962" s="5"/>
      <c r="O962" s="5"/>
      <c r="P962" s="57"/>
      <c r="Q962" s="5"/>
      <c r="R962" s="5"/>
      <c r="S962" s="5"/>
      <c r="T962" s="5"/>
      <c r="U962" s="5"/>
      <c r="V962" s="5"/>
      <c r="W962" s="5"/>
      <c r="X962" s="5"/>
      <c r="Y962" s="5"/>
      <c r="Z962" s="5"/>
      <c r="AA962" s="5"/>
    </row>
    <row r="963" spans="1:27" ht="12.75" customHeight="1">
      <c r="A963" s="5"/>
      <c r="B963" s="5"/>
      <c r="C963" s="5"/>
      <c r="D963" s="5"/>
      <c r="E963" s="5"/>
      <c r="F963" s="5"/>
      <c r="G963" s="5"/>
      <c r="H963" s="306"/>
      <c r="I963" s="306"/>
      <c r="J963" s="5"/>
      <c r="K963" s="5"/>
      <c r="L963" s="5"/>
      <c r="M963" s="5"/>
      <c r="N963" s="5"/>
      <c r="O963" s="5"/>
      <c r="P963" s="57"/>
      <c r="Q963" s="5"/>
      <c r="R963" s="5"/>
      <c r="S963" s="5"/>
      <c r="T963" s="5"/>
      <c r="U963" s="5"/>
      <c r="V963" s="5"/>
      <c r="W963" s="5"/>
      <c r="X963" s="5"/>
      <c r="Y963" s="5"/>
      <c r="Z963" s="5"/>
      <c r="AA963" s="5"/>
    </row>
    <row r="964" spans="1:27" ht="12.75" customHeight="1">
      <c r="A964" s="5"/>
      <c r="B964" s="5"/>
      <c r="C964" s="5"/>
      <c r="D964" s="5"/>
      <c r="E964" s="5"/>
      <c r="F964" s="5"/>
      <c r="G964" s="5"/>
      <c r="H964" s="306"/>
      <c r="I964" s="306"/>
      <c r="J964" s="5"/>
      <c r="K964" s="5"/>
      <c r="L964" s="5"/>
      <c r="M964" s="5"/>
      <c r="N964" s="5"/>
      <c r="O964" s="5"/>
      <c r="P964" s="57"/>
      <c r="Q964" s="5"/>
      <c r="R964" s="5"/>
      <c r="S964" s="5"/>
      <c r="T964" s="5"/>
      <c r="U964" s="5"/>
      <c r="V964" s="5"/>
      <c r="W964" s="5"/>
      <c r="X964" s="5"/>
      <c r="Y964" s="5"/>
      <c r="Z964" s="5"/>
      <c r="AA964" s="5"/>
    </row>
    <row r="965" spans="1:27" ht="12.75" customHeight="1">
      <c r="A965" s="5"/>
      <c r="B965" s="5"/>
      <c r="C965" s="5"/>
      <c r="D965" s="5"/>
      <c r="E965" s="5"/>
      <c r="F965" s="5"/>
      <c r="G965" s="5"/>
      <c r="H965" s="306"/>
      <c r="I965" s="306"/>
      <c r="J965" s="5"/>
      <c r="K965" s="5"/>
      <c r="L965" s="5"/>
      <c r="M965" s="5"/>
      <c r="N965" s="5"/>
      <c r="O965" s="5"/>
      <c r="P965" s="57"/>
      <c r="Q965" s="5"/>
      <c r="R965" s="5"/>
      <c r="S965" s="5"/>
      <c r="T965" s="5"/>
      <c r="U965" s="5"/>
      <c r="V965" s="5"/>
      <c r="W965" s="5"/>
      <c r="X965" s="5"/>
      <c r="Y965" s="5"/>
      <c r="Z965" s="5"/>
      <c r="AA965" s="5"/>
    </row>
    <row r="966" spans="1:27" ht="12.75" customHeight="1">
      <c r="A966" s="5"/>
      <c r="B966" s="5"/>
      <c r="C966" s="5"/>
      <c r="D966" s="5"/>
      <c r="E966" s="5"/>
      <c r="F966" s="5"/>
      <c r="G966" s="5"/>
      <c r="H966" s="306"/>
      <c r="I966" s="306"/>
      <c r="J966" s="5"/>
      <c r="K966" s="5"/>
      <c r="L966" s="5"/>
      <c r="M966" s="5"/>
      <c r="N966" s="5"/>
      <c r="O966" s="5"/>
      <c r="P966" s="57"/>
      <c r="Q966" s="5"/>
      <c r="R966" s="5"/>
      <c r="S966" s="5"/>
      <c r="T966" s="5"/>
      <c r="U966" s="5"/>
      <c r="V966" s="5"/>
      <c r="W966" s="5"/>
      <c r="X966" s="5"/>
      <c r="Y966" s="5"/>
      <c r="Z966" s="5"/>
      <c r="AA966" s="5"/>
    </row>
    <row r="967" spans="1:27" ht="12.75" customHeight="1">
      <c r="A967" s="5"/>
      <c r="B967" s="5"/>
      <c r="C967" s="5"/>
      <c r="D967" s="5"/>
      <c r="E967" s="5"/>
      <c r="F967" s="5"/>
      <c r="G967" s="5"/>
      <c r="H967" s="306"/>
      <c r="I967" s="306"/>
      <c r="J967" s="5"/>
      <c r="K967" s="5"/>
      <c r="L967" s="5"/>
      <c r="M967" s="5"/>
      <c r="N967" s="5"/>
      <c r="O967" s="5"/>
      <c r="P967" s="57"/>
      <c r="Q967" s="5"/>
      <c r="R967" s="5"/>
      <c r="S967" s="5"/>
      <c r="T967" s="5"/>
      <c r="U967" s="5"/>
      <c r="V967" s="5"/>
      <c r="W967" s="5"/>
      <c r="X967" s="5"/>
      <c r="Y967" s="5"/>
      <c r="Z967" s="5"/>
      <c r="AA967" s="5"/>
    </row>
    <row r="968" spans="1:27" ht="12.75" customHeight="1">
      <c r="A968" s="5"/>
      <c r="B968" s="5"/>
      <c r="C968" s="5"/>
      <c r="D968" s="5"/>
      <c r="E968" s="5"/>
      <c r="F968" s="5"/>
      <c r="G968" s="5"/>
      <c r="H968" s="306"/>
      <c r="I968" s="306"/>
      <c r="J968" s="5"/>
      <c r="K968" s="5"/>
      <c r="L968" s="5"/>
      <c r="M968" s="5"/>
      <c r="N968" s="5"/>
      <c r="O968" s="5"/>
      <c r="P968" s="57"/>
      <c r="Q968" s="5"/>
      <c r="R968" s="5"/>
      <c r="S968" s="5"/>
      <c r="T968" s="5"/>
      <c r="U968" s="5"/>
      <c r="V968" s="5"/>
      <c r="W968" s="5"/>
      <c r="X968" s="5"/>
      <c r="Y968" s="5"/>
      <c r="Z968" s="5"/>
      <c r="AA968" s="5"/>
    </row>
    <row r="969" spans="1:27" ht="12.75" customHeight="1">
      <c r="A969" s="5"/>
      <c r="B969" s="5"/>
      <c r="C969" s="5"/>
      <c r="D969" s="5"/>
      <c r="E969" s="5"/>
      <c r="F969" s="5"/>
      <c r="G969" s="5"/>
      <c r="H969" s="306"/>
      <c r="I969" s="306"/>
      <c r="J969" s="5"/>
      <c r="K969" s="5"/>
      <c r="L969" s="5"/>
      <c r="M969" s="5"/>
      <c r="N969" s="5"/>
      <c r="O969" s="5"/>
      <c r="P969" s="57"/>
      <c r="Q969" s="5"/>
      <c r="R969" s="5"/>
      <c r="S969" s="5"/>
      <c r="T969" s="5"/>
      <c r="U969" s="5"/>
      <c r="V969" s="5"/>
      <c r="W969" s="5"/>
      <c r="X969" s="5"/>
      <c r="Y969" s="5"/>
      <c r="Z969" s="5"/>
      <c r="AA969" s="5"/>
    </row>
    <row r="970" spans="1:27" ht="12.75" customHeight="1">
      <c r="A970" s="5"/>
      <c r="B970" s="5"/>
      <c r="C970" s="5"/>
      <c r="D970" s="5"/>
      <c r="E970" s="5"/>
      <c r="F970" s="5"/>
      <c r="G970" s="5"/>
      <c r="H970" s="306"/>
      <c r="I970" s="306"/>
      <c r="J970" s="5"/>
      <c r="K970" s="5"/>
      <c r="L970" s="5"/>
      <c r="M970" s="5"/>
      <c r="N970" s="5"/>
      <c r="O970" s="5"/>
      <c r="P970" s="57"/>
      <c r="Q970" s="5"/>
      <c r="R970" s="5"/>
      <c r="S970" s="5"/>
      <c r="T970" s="5"/>
      <c r="U970" s="5"/>
      <c r="V970" s="5"/>
      <c r="W970" s="5"/>
      <c r="X970" s="5"/>
      <c r="Y970" s="5"/>
      <c r="Z970" s="5"/>
      <c r="AA970" s="5"/>
    </row>
    <row r="971" spans="1:27" ht="12.75" customHeight="1">
      <c r="A971" s="5"/>
      <c r="B971" s="5"/>
      <c r="C971" s="5"/>
      <c r="D971" s="5"/>
      <c r="E971" s="5"/>
      <c r="F971" s="5"/>
      <c r="G971" s="5"/>
      <c r="H971" s="306"/>
      <c r="I971" s="306"/>
      <c r="J971" s="5"/>
      <c r="K971" s="5"/>
      <c r="L971" s="5"/>
      <c r="M971" s="5"/>
      <c r="N971" s="5"/>
      <c r="O971" s="5"/>
      <c r="P971" s="57"/>
      <c r="Q971" s="5"/>
      <c r="R971" s="5"/>
      <c r="S971" s="5"/>
      <c r="T971" s="5"/>
      <c r="U971" s="5"/>
      <c r="V971" s="5"/>
      <c r="W971" s="5"/>
      <c r="X971" s="5"/>
      <c r="Y971" s="5"/>
      <c r="Z971" s="5"/>
      <c r="AA971" s="5"/>
    </row>
    <row r="972" spans="1:27" ht="12.75" customHeight="1">
      <c r="A972" s="5"/>
      <c r="B972" s="5"/>
      <c r="C972" s="5"/>
      <c r="D972" s="5"/>
      <c r="E972" s="5"/>
      <c r="F972" s="5"/>
      <c r="G972" s="5"/>
      <c r="H972" s="306"/>
      <c r="I972" s="306"/>
      <c r="J972" s="5"/>
      <c r="K972" s="5"/>
      <c r="L972" s="5"/>
      <c r="M972" s="5"/>
      <c r="N972" s="5"/>
      <c r="O972" s="5"/>
      <c r="P972" s="57"/>
      <c r="Q972" s="5"/>
      <c r="R972" s="5"/>
      <c r="S972" s="5"/>
      <c r="T972" s="5"/>
      <c r="U972" s="5"/>
      <c r="V972" s="5"/>
      <c r="W972" s="5"/>
      <c r="X972" s="5"/>
      <c r="Y972" s="5"/>
      <c r="Z972" s="5"/>
      <c r="AA972" s="5"/>
    </row>
    <row r="973" spans="1:27" ht="12.75" customHeight="1">
      <c r="A973" s="5"/>
      <c r="B973" s="5"/>
      <c r="C973" s="5"/>
      <c r="D973" s="5"/>
      <c r="E973" s="5"/>
      <c r="F973" s="5"/>
      <c r="G973" s="5"/>
      <c r="H973" s="306"/>
      <c r="I973" s="306"/>
      <c r="J973" s="5"/>
      <c r="K973" s="5"/>
      <c r="L973" s="5"/>
      <c r="M973" s="5"/>
      <c r="N973" s="5"/>
      <c r="O973" s="5"/>
      <c r="P973" s="57"/>
      <c r="Q973" s="5"/>
      <c r="R973" s="5"/>
      <c r="S973" s="5"/>
      <c r="T973" s="5"/>
      <c r="U973" s="5"/>
      <c r="V973" s="5"/>
      <c r="W973" s="5"/>
      <c r="X973" s="5"/>
      <c r="Y973" s="5"/>
      <c r="Z973" s="5"/>
      <c r="AA973" s="5"/>
    </row>
    <row r="974" spans="1:27" ht="12.75" customHeight="1">
      <c r="A974" s="5"/>
      <c r="B974" s="5"/>
      <c r="C974" s="5"/>
      <c r="D974" s="5"/>
      <c r="E974" s="5"/>
      <c r="F974" s="5"/>
      <c r="G974" s="5"/>
      <c r="H974" s="306"/>
      <c r="I974" s="306"/>
      <c r="J974" s="5"/>
      <c r="K974" s="5"/>
      <c r="L974" s="5"/>
      <c r="M974" s="5"/>
      <c r="N974" s="5"/>
      <c r="O974" s="5"/>
      <c r="P974" s="57"/>
      <c r="Q974" s="5"/>
      <c r="R974" s="5"/>
      <c r="S974" s="5"/>
      <c r="T974" s="5"/>
      <c r="U974" s="5"/>
      <c r="V974" s="5"/>
      <c r="W974" s="5"/>
      <c r="X974" s="5"/>
      <c r="Y974" s="5"/>
      <c r="Z974" s="5"/>
      <c r="AA974" s="5"/>
    </row>
    <row r="975" spans="1:27" ht="12.75" customHeight="1">
      <c r="A975" s="5"/>
      <c r="B975" s="5"/>
      <c r="C975" s="5"/>
      <c r="D975" s="5"/>
      <c r="E975" s="5"/>
      <c r="F975" s="5"/>
      <c r="G975" s="5"/>
      <c r="H975" s="306"/>
      <c r="I975" s="306"/>
      <c r="J975" s="5"/>
      <c r="K975" s="5"/>
      <c r="L975" s="5"/>
      <c r="M975" s="5"/>
      <c r="N975" s="5"/>
      <c r="O975" s="5"/>
      <c r="P975" s="57"/>
      <c r="Q975" s="5"/>
      <c r="R975" s="5"/>
      <c r="S975" s="5"/>
      <c r="T975" s="5"/>
      <c r="U975" s="5"/>
      <c r="V975" s="5"/>
      <c r="W975" s="5"/>
      <c r="X975" s="5"/>
      <c r="Y975" s="5"/>
      <c r="Z975" s="5"/>
      <c r="AA975" s="5"/>
    </row>
    <row r="976" spans="1:27" ht="12.75" customHeight="1">
      <c r="A976" s="5"/>
      <c r="B976" s="5"/>
      <c r="C976" s="5"/>
      <c r="D976" s="5"/>
      <c r="E976" s="5"/>
      <c r="F976" s="5"/>
      <c r="G976" s="5"/>
      <c r="H976" s="306"/>
      <c r="I976" s="306"/>
      <c r="J976" s="5"/>
      <c r="K976" s="5"/>
      <c r="L976" s="5"/>
      <c r="M976" s="5"/>
      <c r="N976" s="5"/>
      <c r="O976" s="5"/>
      <c r="P976" s="57"/>
      <c r="Q976" s="5"/>
      <c r="R976" s="5"/>
      <c r="S976" s="5"/>
      <c r="T976" s="5"/>
      <c r="U976" s="5"/>
      <c r="V976" s="5"/>
      <c r="W976" s="5"/>
      <c r="X976" s="5"/>
      <c r="Y976" s="5"/>
      <c r="Z976" s="5"/>
      <c r="AA976" s="5"/>
    </row>
    <row r="977" spans="1:27" ht="12.75" customHeight="1">
      <c r="A977" s="5"/>
      <c r="B977" s="5"/>
      <c r="C977" s="5"/>
      <c r="D977" s="5"/>
      <c r="E977" s="5"/>
      <c r="F977" s="5"/>
      <c r="G977" s="5"/>
      <c r="H977" s="306"/>
      <c r="I977" s="306"/>
      <c r="J977" s="5"/>
      <c r="K977" s="5"/>
      <c r="L977" s="5"/>
      <c r="M977" s="5"/>
      <c r="N977" s="5"/>
      <c r="O977" s="5"/>
      <c r="P977" s="57"/>
      <c r="Q977" s="5"/>
      <c r="R977" s="5"/>
      <c r="S977" s="5"/>
      <c r="T977" s="5"/>
      <c r="U977" s="5"/>
      <c r="V977" s="5"/>
      <c r="W977" s="5"/>
      <c r="X977" s="5"/>
      <c r="Y977" s="5"/>
      <c r="Z977" s="5"/>
      <c r="AA977" s="5"/>
    </row>
    <row r="978" spans="1:27" ht="12.75" customHeight="1">
      <c r="A978" s="5"/>
      <c r="B978" s="5"/>
      <c r="C978" s="5"/>
      <c r="D978" s="5"/>
      <c r="E978" s="5"/>
      <c r="F978" s="5"/>
      <c r="G978" s="5"/>
      <c r="H978" s="306"/>
      <c r="I978" s="306"/>
      <c r="J978" s="5"/>
      <c r="K978" s="5"/>
      <c r="L978" s="5"/>
      <c r="M978" s="5"/>
      <c r="N978" s="5"/>
      <c r="O978" s="5"/>
      <c r="P978" s="57"/>
      <c r="Q978" s="5"/>
      <c r="R978" s="5"/>
      <c r="S978" s="5"/>
      <c r="T978" s="5"/>
      <c r="U978" s="5"/>
      <c r="V978" s="5"/>
      <c r="W978" s="5"/>
      <c r="X978" s="5"/>
      <c r="Y978" s="5"/>
      <c r="Z978" s="5"/>
      <c r="AA978" s="5"/>
    </row>
    <row r="979" spans="1:27" ht="12.75" customHeight="1">
      <c r="A979" s="5"/>
      <c r="B979" s="5"/>
      <c r="C979" s="5"/>
      <c r="D979" s="5"/>
      <c r="E979" s="5"/>
      <c r="F979" s="5"/>
      <c r="G979" s="5"/>
      <c r="H979" s="306"/>
      <c r="I979" s="306"/>
      <c r="J979" s="5"/>
      <c r="K979" s="5"/>
      <c r="L979" s="5"/>
      <c r="M979" s="5"/>
      <c r="N979" s="5"/>
      <c r="O979" s="5"/>
      <c r="P979" s="57"/>
      <c r="Q979" s="5"/>
      <c r="R979" s="5"/>
      <c r="S979" s="5"/>
      <c r="T979" s="5"/>
      <c r="U979" s="5"/>
      <c r="V979" s="5"/>
      <c r="W979" s="5"/>
      <c r="X979" s="5"/>
      <c r="Y979" s="5"/>
      <c r="Z979" s="5"/>
      <c r="AA979" s="5"/>
    </row>
    <row r="980" spans="1:27" ht="12.75" customHeight="1">
      <c r="A980" s="5"/>
      <c r="B980" s="5"/>
      <c r="C980" s="5"/>
      <c r="D980" s="5"/>
      <c r="E980" s="5"/>
      <c r="F980" s="5"/>
      <c r="G980" s="5"/>
      <c r="H980" s="306"/>
      <c r="I980" s="306"/>
      <c r="J980" s="5"/>
      <c r="K980" s="5"/>
      <c r="L980" s="5"/>
      <c r="M980" s="5"/>
      <c r="N980" s="5"/>
      <c r="O980" s="5"/>
      <c r="P980" s="57"/>
      <c r="Q980" s="5"/>
      <c r="R980" s="5"/>
      <c r="S980" s="5"/>
      <c r="T980" s="5"/>
      <c r="U980" s="5"/>
      <c r="V980" s="5"/>
      <c r="W980" s="5"/>
      <c r="X980" s="5"/>
      <c r="Y980" s="5"/>
      <c r="Z980" s="5"/>
      <c r="AA980" s="5"/>
    </row>
    <row r="981" spans="1:27" ht="12.75" customHeight="1">
      <c r="A981" s="5"/>
      <c r="B981" s="5"/>
      <c r="C981" s="5"/>
      <c r="D981" s="5"/>
      <c r="E981" s="5"/>
      <c r="F981" s="5"/>
      <c r="G981" s="5"/>
      <c r="H981" s="306"/>
      <c r="I981" s="306"/>
      <c r="J981" s="5"/>
      <c r="K981" s="5"/>
      <c r="L981" s="5"/>
      <c r="M981" s="5"/>
      <c r="N981" s="5"/>
      <c r="O981" s="5"/>
      <c r="P981" s="57"/>
      <c r="Q981" s="5"/>
      <c r="R981" s="5"/>
      <c r="S981" s="5"/>
      <c r="T981" s="5"/>
      <c r="U981" s="5"/>
      <c r="V981" s="5"/>
      <c r="W981" s="5"/>
      <c r="X981" s="5"/>
      <c r="Y981" s="5"/>
      <c r="Z981" s="5"/>
      <c r="AA981" s="5"/>
    </row>
    <row r="982" spans="1:27" ht="12.75" customHeight="1">
      <c r="A982" s="5"/>
      <c r="B982" s="5"/>
      <c r="C982" s="5"/>
      <c r="D982" s="5"/>
      <c r="E982" s="5"/>
      <c r="F982" s="5"/>
      <c r="G982" s="5"/>
      <c r="H982" s="306"/>
      <c r="I982" s="306"/>
      <c r="J982" s="5"/>
      <c r="K982" s="5"/>
      <c r="L982" s="5"/>
      <c r="M982" s="5"/>
      <c r="N982" s="5"/>
      <c r="O982" s="5"/>
      <c r="P982" s="57"/>
      <c r="Q982" s="5"/>
      <c r="R982" s="5"/>
      <c r="S982" s="5"/>
      <c r="T982" s="5"/>
      <c r="U982" s="5"/>
      <c r="V982" s="5"/>
      <c r="W982" s="5"/>
      <c r="X982" s="5"/>
      <c r="Y982" s="5"/>
      <c r="Z982" s="5"/>
      <c r="AA982" s="5"/>
    </row>
    <row r="983" spans="1:27" ht="12.75" customHeight="1">
      <c r="A983" s="5"/>
      <c r="B983" s="5"/>
      <c r="C983" s="5"/>
      <c r="D983" s="5"/>
      <c r="E983" s="5"/>
      <c r="F983" s="5"/>
      <c r="G983" s="5"/>
      <c r="H983" s="306"/>
      <c r="I983" s="306"/>
      <c r="J983" s="5"/>
      <c r="K983" s="5"/>
      <c r="L983" s="5"/>
      <c r="M983" s="5"/>
      <c r="N983" s="5"/>
      <c r="O983" s="5"/>
      <c r="P983" s="57"/>
      <c r="Q983" s="5"/>
      <c r="R983" s="5"/>
      <c r="S983" s="5"/>
      <c r="T983" s="5"/>
      <c r="U983" s="5"/>
      <c r="V983" s="5"/>
      <c r="W983" s="5"/>
      <c r="X983" s="5"/>
      <c r="Y983" s="5"/>
      <c r="Z983" s="5"/>
      <c r="AA983" s="5"/>
    </row>
    <row r="984" spans="1:27" ht="12.75" customHeight="1">
      <c r="A984" s="5"/>
      <c r="B984" s="5"/>
      <c r="C984" s="5"/>
      <c r="D984" s="5"/>
      <c r="E984" s="5"/>
      <c r="F984" s="5"/>
      <c r="G984" s="5"/>
      <c r="H984" s="306"/>
      <c r="I984" s="306"/>
      <c r="J984" s="5"/>
      <c r="K984" s="5"/>
      <c r="L984" s="5"/>
      <c r="M984" s="5"/>
      <c r="N984" s="5"/>
      <c r="O984" s="5"/>
      <c r="P984" s="57"/>
      <c r="Q984" s="5"/>
      <c r="R984" s="5"/>
      <c r="S984" s="5"/>
      <c r="T984" s="5"/>
      <c r="U984" s="5"/>
      <c r="V984" s="5"/>
      <c r="W984" s="5"/>
      <c r="X984" s="5"/>
      <c r="Y984" s="5"/>
      <c r="Z984" s="5"/>
      <c r="AA984" s="5"/>
    </row>
    <row r="985" spans="1:27" ht="12.75" customHeight="1">
      <c r="A985" s="5"/>
      <c r="B985" s="5"/>
      <c r="C985" s="5"/>
      <c r="D985" s="5"/>
      <c r="E985" s="5"/>
      <c r="F985" s="5"/>
      <c r="G985" s="5"/>
      <c r="H985" s="306"/>
      <c r="I985" s="306"/>
      <c r="J985" s="5"/>
      <c r="K985" s="5"/>
      <c r="L985" s="5"/>
      <c r="M985" s="5"/>
      <c r="N985" s="5"/>
      <c r="O985" s="5"/>
      <c r="P985" s="57"/>
      <c r="Q985" s="5"/>
      <c r="R985" s="5"/>
      <c r="S985" s="5"/>
      <c r="T985" s="5"/>
      <c r="U985" s="5"/>
      <c r="V985" s="5"/>
      <c r="W985" s="5"/>
      <c r="X985" s="5"/>
      <c r="Y985" s="5"/>
      <c r="Z985" s="5"/>
      <c r="AA985" s="5"/>
    </row>
    <row r="986" spans="1:27" ht="12.75" customHeight="1">
      <c r="A986" s="5"/>
      <c r="B986" s="5"/>
      <c r="C986" s="5"/>
      <c r="D986" s="5"/>
      <c r="E986" s="5"/>
      <c r="F986" s="5"/>
      <c r="G986" s="5"/>
      <c r="H986" s="306"/>
      <c r="I986" s="306"/>
      <c r="J986" s="5"/>
      <c r="K986" s="5"/>
      <c r="L986" s="5"/>
      <c r="M986" s="5"/>
      <c r="N986" s="5"/>
      <c r="O986" s="5"/>
      <c r="P986" s="57"/>
      <c r="Q986" s="5"/>
      <c r="R986" s="5"/>
      <c r="S986" s="5"/>
      <c r="T986" s="5"/>
      <c r="U986" s="5"/>
      <c r="V986" s="5"/>
      <c r="W986" s="5"/>
      <c r="X986" s="5"/>
      <c r="Y986" s="5"/>
      <c r="Z986" s="5"/>
      <c r="AA986" s="5"/>
    </row>
    <row r="987" spans="1:27" ht="12.75" customHeight="1">
      <c r="A987" s="5"/>
      <c r="B987" s="5"/>
      <c r="C987" s="5"/>
      <c r="D987" s="5"/>
      <c r="E987" s="5"/>
      <c r="F987" s="5"/>
      <c r="G987" s="5"/>
      <c r="H987" s="306"/>
      <c r="I987" s="306"/>
      <c r="J987" s="5"/>
      <c r="K987" s="5"/>
      <c r="L987" s="5"/>
      <c r="M987" s="5"/>
      <c r="N987" s="5"/>
      <c r="O987" s="5"/>
      <c r="P987" s="57"/>
      <c r="Q987" s="5"/>
      <c r="R987" s="5"/>
      <c r="S987" s="5"/>
      <c r="T987" s="5"/>
      <c r="U987" s="5"/>
      <c r="V987" s="5"/>
      <c r="W987" s="5"/>
      <c r="X987" s="5"/>
      <c r="Y987" s="5"/>
      <c r="Z987" s="5"/>
      <c r="AA987" s="5"/>
    </row>
    <row r="988" spans="1:27" ht="12.75" customHeight="1">
      <c r="A988" s="5"/>
      <c r="B988" s="5"/>
      <c r="C988" s="5"/>
      <c r="D988" s="5"/>
      <c r="E988" s="5"/>
      <c r="F988" s="5"/>
      <c r="G988" s="5"/>
      <c r="H988" s="306"/>
      <c r="I988" s="306"/>
      <c r="J988" s="5"/>
      <c r="K988" s="5"/>
      <c r="L988" s="5"/>
      <c r="M988" s="5"/>
      <c r="N988" s="5"/>
      <c r="O988" s="5"/>
      <c r="P988" s="57"/>
      <c r="Q988" s="5"/>
      <c r="R988" s="5"/>
      <c r="S988" s="5"/>
      <c r="T988" s="5"/>
      <c r="U988" s="5"/>
      <c r="V988" s="5"/>
      <c r="W988" s="5"/>
      <c r="X988" s="5"/>
      <c r="Y988" s="5"/>
      <c r="Z988" s="5"/>
      <c r="AA988" s="5"/>
    </row>
    <row r="989" spans="1:27" ht="12.75" customHeight="1">
      <c r="A989" s="5"/>
      <c r="B989" s="5"/>
      <c r="C989" s="5"/>
      <c r="D989" s="5"/>
      <c r="E989" s="5"/>
      <c r="F989" s="5"/>
      <c r="G989" s="5"/>
      <c r="H989" s="306"/>
      <c r="I989" s="306"/>
      <c r="J989" s="5"/>
      <c r="K989" s="5"/>
      <c r="L989" s="5"/>
      <c r="M989" s="5"/>
      <c r="N989" s="5"/>
      <c r="O989" s="5"/>
      <c r="P989" s="57"/>
      <c r="Q989" s="5"/>
      <c r="R989" s="5"/>
      <c r="S989" s="5"/>
      <c r="T989" s="5"/>
      <c r="U989" s="5"/>
      <c r="V989" s="5"/>
      <c r="W989" s="5"/>
      <c r="X989" s="5"/>
      <c r="Y989" s="5"/>
      <c r="Z989" s="5"/>
      <c r="AA989" s="5"/>
    </row>
    <row r="990" spans="1:27" ht="12.75" customHeight="1">
      <c r="A990" s="5"/>
      <c r="B990" s="5"/>
      <c r="C990" s="5"/>
      <c r="D990" s="5"/>
      <c r="E990" s="5"/>
      <c r="F990" s="5"/>
      <c r="G990" s="5"/>
      <c r="H990" s="306"/>
      <c r="I990" s="306"/>
      <c r="J990" s="5"/>
      <c r="K990" s="5"/>
      <c r="L990" s="5"/>
      <c r="M990" s="5"/>
      <c r="N990" s="5"/>
      <c r="O990" s="5"/>
      <c r="P990" s="57"/>
      <c r="Q990" s="5"/>
      <c r="R990" s="5"/>
      <c r="S990" s="5"/>
      <c r="T990" s="5"/>
      <c r="U990" s="5"/>
      <c r="V990" s="5"/>
      <c r="W990" s="5"/>
      <c r="X990" s="5"/>
      <c r="Y990" s="5"/>
      <c r="Z990" s="5"/>
      <c r="AA990" s="5"/>
    </row>
    <row r="991" spans="1:27" ht="12.75" customHeight="1">
      <c r="A991" s="5"/>
      <c r="B991" s="5"/>
      <c r="C991" s="5"/>
      <c r="D991" s="5"/>
      <c r="E991" s="5"/>
      <c r="F991" s="5"/>
      <c r="G991" s="5"/>
      <c r="H991" s="306"/>
      <c r="I991" s="306"/>
      <c r="J991" s="5"/>
      <c r="K991" s="5"/>
      <c r="L991" s="5"/>
      <c r="M991" s="5"/>
      <c r="N991" s="5"/>
      <c r="O991" s="5"/>
      <c r="P991" s="57"/>
      <c r="Q991" s="5"/>
      <c r="R991" s="5"/>
      <c r="S991" s="5"/>
      <c r="T991" s="5"/>
      <c r="U991" s="5"/>
      <c r="V991" s="5"/>
      <c r="W991" s="5"/>
      <c r="X991" s="5"/>
      <c r="Y991" s="5"/>
      <c r="Z991" s="5"/>
      <c r="AA991" s="5"/>
    </row>
    <row r="992" spans="1:27" ht="12.75" customHeight="1">
      <c r="A992" s="5"/>
      <c r="B992" s="5"/>
      <c r="C992" s="5"/>
      <c r="D992" s="5"/>
      <c r="E992" s="5"/>
      <c r="F992" s="5"/>
      <c r="G992" s="5"/>
      <c r="H992" s="306"/>
      <c r="I992" s="306"/>
      <c r="J992" s="5"/>
      <c r="K992" s="5"/>
      <c r="L992" s="5"/>
      <c r="M992" s="5"/>
      <c r="N992" s="5"/>
      <c r="O992" s="5"/>
      <c r="P992" s="57"/>
      <c r="Q992" s="5"/>
      <c r="R992" s="5"/>
      <c r="S992" s="5"/>
      <c r="T992" s="5"/>
      <c r="U992" s="5"/>
      <c r="V992" s="5"/>
      <c r="W992" s="5"/>
      <c r="X992" s="5"/>
      <c r="Y992" s="5"/>
      <c r="Z992" s="5"/>
      <c r="AA992" s="5"/>
    </row>
    <row r="993" spans="1:27" ht="12.75" customHeight="1">
      <c r="A993" s="5"/>
      <c r="B993" s="5"/>
      <c r="C993" s="5"/>
      <c r="D993" s="5"/>
      <c r="E993" s="5"/>
      <c r="F993" s="5"/>
      <c r="G993" s="5"/>
      <c r="H993" s="306"/>
      <c r="I993" s="306"/>
      <c r="J993" s="5"/>
      <c r="K993" s="5"/>
      <c r="L993" s="5"/>
      <c r="M993" s="5"/>
      <c r="N993" s="5"/>
      <c r="O993" s="5"/>
      <c r="P993" s="57"/>
      <c r="Q993" s="5"/>
      <c r="R993" s="5"/>
      <c r="S993" s="5"/>
      <c r="T993" s="5"/>
      <c r="U993" s="5"/>
      <c r="V993" s="5"/>
      <c r="W993" s="5"/>
      <c r="X993" s="5"/>
      <c r="Y993" s="5"/>
      <c r="Z993" s="5"/>
      <c r="AA993" s="5"/>
    </row>
    <row r="994" spans="1:27" ht="12.75" customHeight="1">
      <c r="A994" s="5"/>
      <c r="B994" s="5"/>
      <c r="C994" s="5"/>
      <c r="D994" s="5"/>
      <c r="E994" s="5"/>
      <c r="F994" s="5"/>
      <c r="G994" s="5"/>
      <c r="H994" s="306"/>
      <c r="I994" s="306"/>
      <c r="J994" s="5"/>
      <c r="K994" s="5"/>
      <c r="L994" s="5"/>
      <c r="M994" s="5"/>
      <c r="N994" s="5"/>
      <c r="O994" s="5"/>
      <c r="P994" s="57"/>
      <c r="Q994" s="5"/>
      <c r="R994" s="5"/>
      <c r="S994" s="5"/>
      <c r="T994" s="5"/>
      <c r="U994" s="5"/>
      <c r="V994" s="5"/>
      <c r="W994" s="5"/>
      <c r="X994" s="5"/>
      <c r="Y994" s="5"/>
      <c r="Z994" s="5"/>
      <c r="AA994" s="5"/>
    </row>
    <row r="995" spans="1:27" ht="12.75" customHeight="1">
      <c r="A995" s="5"/>
      <c r="B995" s="5"/>
      <c r="C995" s="5"/>
      <c r="D995" s="5"/>
      <c r="E995" s="5"/>
      <c r="F995" s="5"/>
      <c r="G995" s="5"/>
      <c r="H995" s="306"/>
      <c r="I995" s="306"/>
      <c r="J995" s="5"/>
      <c r="K995" s="5"/>
      <c r="L995" s="5"/>
      <c r="M995" s="5"/>
      <c r="N995" s="5"/>
      <c r="O995" s="5"/>
      <c r="P995" s="57"/>
      <c r="Q995" s="5"/>
      <c r="R995" s="5"/>
      <c r="S995" s="5"/>
      <c r="T995" s="5"/>
      <c r="U995" s="5"/>
      <c r="V995" s="5"/>
      <c r="W995" s="5"/>
      <c r="X995" s="5"/>
      <c r="Y995" s="5"/>
      <c r="Z995" s="5"/>
      <c r="AA995" s="5"/>
    </row>
    <row r="996" spans="1:27" ht="12.75" customHeight="1">
      <c r="A996" s="5"/>
      <c r="B996" s="5"/>
      <c r="C996" s="5"/>
      <c r="D996" s="5"/>
      <c r="E996" s="5"/>
      <c r="F996" s="5"/>
      <c r="G996" s="5"/>
      <c r="H996" s="306"/>
      <c r="I996" s="306"/>
      <c r="J996" s="5"/>
      <c r="K996" s="5"/>
      <c r="L996" s="5"/>
      <c r="M996" s="5"/>
      <c r="N996" s="5"/>
      <c r="O996" s="5"/>
      <c r="P996" s="57"/>
      <c r="Q996" s="5"/>
      <c r="R996" s="5"/>
      <c r="S996" s="5"/>
      <c r="T996" s="5"/>
      <c r="U996" s="5"/>
      <c r="V996" s="5"/>
      <c r="W996" s="5"/>
      <c r="X996" s="5"/>
      <c r="Y996" s="5"/>
      <c r="Z996" s="5"/>
      <c r="AA996" s="5"/>
    </row>
    <row r="997" spans="1:27" ht="12.75" customHeight="1">
      <c r="A997" s="5"/>
      <c r="B997" s="5"/>
      <c r="C997" s="5"/>
      <c r="D997" s="5"/>
      <c r="E997" s="5"/>
      <c r="F997" s="5"/>
      <c r="G997" s="5"/>
      <c r="H997" s="306"/>
      <c r="I997" s="306"/>
      <c r="J997" s="5"/>
      <c r="K997" s="5"/>
      <c r="L997" s="5"/>
      <c r="M997" s="5"/>
      <c r="N997" s="5"/>
      <c r="O997" s="5"/>
      <c r="P997" s="57"/>
      <c r="Q997" s="5"/>
      <c r="R997" s="5"/>
      <c r="S997" s="5"/>
      <c r="T997" s="5"/>
      <c r="U997" s="5"/>
      <c r="V997" s="5"/>
      <c r="W997" s="5"/>
      <c r="X997" s="5"/>
      <c r="Y997" s="5"/>
      <c r="Z997" s="5"/>
      <c r="AA997" s="5"/>
    </row>
    <row r="998" spans="1:27" ht="12.75" customHeight="1">
      <c r="O998" s="5"/>
      <c r="P998" s="57"/>
      <c r="Q998" s="5"/>
      <c r="R998" s="5"/>
      <c r="S998" s="5"/>
      <c r="T998" s="5"/>
      <c r="U998" s="5"/>
      <c r="V998" s="5"/>
      <c r="W998" s="5"/>
      <c r="X998" s="5"/>
      <c r="Y998" s="5"/>
      <c r="Z998" s="5"/>
      <c r="AA998" s="5"/>
    </row>
  </sheetData>
  <mergeCells count="8">
    <mergeCell ref="M61:N61"/>
    <mergeCell ref="B1:O1"/>
    <mergeCell ref="B2:O2"/>
    <mergeCell ref="B3:O3"/>
    <mergeCell ref="D5:L5"/>
    <mergeCell ref="M5:N5"/>
    <mergeCell ref="D6:G6"/>
    <mergeCell ref="I6:L6"/>
  </mergeCells>
  <conditionalFormatting sqref="I63">
    <cfRule type="cellIs" dxfId="305" priority="11" stopIfTrue="1" operator="greaterThan">
      <formula>$M$71</formula>
    </cfRule>
    <cfRule type="cellIs" dxfId="304" priority="7" stopIfTrue="1" operator="greaterThan">
      <formula>$N$76</formula>
    </cfRule>
    <cfRule type="cellIs" dxfId="303" priority="8" stopIfTrue="1" operator="lessThanOrEqual">
      <formula>$N$76</formula>
    </cfRule>
    <cfRule type="cellIs" dxfId="302" priority="9" stopIfTrue="1" operator="greaterThan">
      <formula>$M$69</formula>
    </cfRule>
    <cfRule type="cellIs" dxfId="301" priority="10" stopIfTrue="1" operator="lessThanOrEqual">
      <formula>$M$69</formula>
    </cfRule>
    <cfRule type="cellIs" dxfId="300" priority="12" stopIfTrue="1" operator="lessThanOrEqual">
      <formula>$M$71</formula>
    </cfRule>
  </conditionalFormatting>
  <conditionalFormatting sqref="I64:J65">
    <cfRule type="cellIs" dxfId="299" priority="2" stopIfTrue="1" operator="lessThanOrEqual">
      <formula>$N$76</formula>
    </cfRule>
    <cfRule type="cellIs" dxfId="298" priority="3" stopIfTrue="1" operator="greaterThan">
      <formula>$M$69</formula>
    </cfRule>
    <cfRule type="cellIs" dxfId="297" priority="4" stopIfTrue="1" operator="lessThanOrEqual">
      <formula>$M$69</formula>
    </cfRule>
    <cfRule type="cellIs" dxfId="296" priority="5" stopIfTrue="1" operator="greaterThan">
      <formula>$M$71</formula>
    </cfRule>
    <cfRule type="cellIs" dxfId="295" priority="1" stopIfTrue="1" operator="greaterThan">
      <formula>$N$76</formula>
    </cfRule>
    <cfRule type="cellIs" dxfId="294" priority="6" stopIfTrue="1" operator="lessThanOrEqual">
      <formula>$M$71</formula>
    </cfRule>
  </conditionalFormatting>
  <conditionalFormatting sqref="J61:J63 J66">
    <cfRule type="cellIs" dxfId="293" priority="73" stopIfTrue="1" operator="greaterThan">
      <formula>$M$69</formula>
    </cfRule>
    <cfRule type="cellIs" dxfId="292" priority="71" stopIfTrue="1" operator="greaterThan">
      <formula>$N$76</formula>
    </cfRule>
    <cfRule type="cellIs" dxfId="291" priority="72" stopIfTrue="1" operator="lessThanOrEqual">
      <formula>$N$76</formula>
    </cfRule>
    <cfRule type="cellIs" dxfId="290" priority="74" stopIfTrue="1" operator="lessThanOrEqual">
      <formula>$M$69</formula>
    </cfRule>
    <cfRule type="cellIs" dxfId="289" priority="75" stopIfTrue="1" operator="greaterThan">
      <formula>$M$71</formula>
    </cfRule>
    <cfRule type="cellIs" dxfId="288" priority="76" stopIfTrue="1" operator="lessThanOrEqual">
      <formula>$M$71</formula>
    </cfRule>
  </conditionalFormatting>
  <conditionalFormatting sqref="M9:M57">
    <cfRule type="cellIs" dxfId="287" priority="27" stopIfTrue="1" operator="greaterThanOrEqual">
      <formula>0</formula>
    </cfRule>
    <cfRule type="cellIs" dxfId="286" priority="28" stopIfTrue="1" operator="lessThan">
      <formula>0</formula>
    </cfRule>
  </conditionalFormatting>
  <conditionalFormatting sqref="M51:N51">
    <cfRule type="cellIs" dxfId="285" priority="45" stopIfTrue="1" operator="greaterThan">
      <formula>#REF!</formula>
    </cfRule>
    <cfRule type="cellIs" dxfId="284" priority="46" stopIfTrue="1" operator="lessThanOrEqual">
      <formula>#REF!</formula>
    </cfRule>
  </conditionalFormatting>
  <conditionalFormatting sqref="N9">
    <cfRule type="cellIs" dxfId="283" priority="43" stopIfTrue="1" operator="greaterThan">
      <formula>$M$68</formula>
    </cfRule>
    <cfRule type="cellIs" dxfId="282" priority="44" stopIfTrue="1" operator="lessThanOrEqual">
      <formula>$M$68</formula>
    </cfRule>
  </conditionalFormatting>
  <conditionalFormatting sqref="N9:N11 N13:N17 N19:N47 N51:N56">
    <cfRule type="cellIs" dxfId="281" priority="30" stopIfTrue="1" operator="lessThanOrEqual">
      <formula>$M$68</formula>
    </cfRule>
  </conditionalFormatting>
  <conditionalFormatting sqref="N9:N11 N13:N56">
    <cfRule type="cellIs" dxfId="280" priority="29" stopIfTrue="1" operator="greaterThan">
      <formula>$M$68</formula>
    </cfRule>
  </conditionalFormatting>
  <conditionalFormatting sqref="N9:N47 N51:N52 O51:O53 O57">
    <cfRule type="cellIs" dxfId="279" priority="51" stopIfTrue="1" operator="greaterThan">
      <formula>#REF!</formula>
    </cfRule>
    <cfRule type="cellIs" dxfId="278" priority="52" stopIfTrue="1" operator="lessThanOrEqual">
      <formula>#REF!</formula>
    </cfRule>
  </conditionalFormatting>
  <conditionalFormatting sqref="N9:N50 M13:M14 M30:M50 M52:N65">
    <cfRule type="cellIs" dxfId="277" priority="50" stopIfTrue="1" operator="lessThanOrEqual">
      <formula>#REF!</formula>
    </cfRule>
  </conditionalFormatting>
  <conditionalFormatting sqref="N9:N50 M52:N65 M13:M14 M30:M50">
    <cfRule type="cellIs" dxfId="276" priority="49" stopIfTrue="1" operator="greaterThan">
      <formula>#REF!</formula>
    </cfRule>
  </conditionalFormatting>
  <conditionalFormatting sqref="N12">
    <cfRule type="cellIs" dxfId="275" priority="60" stopIfTrue="1" operator="lessThanOrEqual">
      <formula>$M$68</formula>
    </cfRule>
    <cfRule type="cellIs" dxfId="274" priority="59" stopIfTrue="1" operator="greaterThan">
      <formula>$M$68</formula>
    </cfRule>
  </conditionalFormatting>
  <conditionalFormatting sqref="N13:N14 N31:N33 N36 N43:N47 N51">
    <cfRule type="cellIs" dxfId="273" priority="159" stopIfTrue="1" operator="greaterThan">
      <formula>$M$78</formula>
    </cfRule>
    <cfRule type="cellIs" dxfId="272" priority="164" stopIfTrue="1" operator="lessThanOrEqual">
      <formula>$M$78</formula>
    </cfRule>
  </conditionalFormatting>
  <conditionalFormatting sqref="N18">
    <cfRule type="cellIs" dxfId="271" priority="69" stopIfTrue="1" operator="greaterThan">
      <formula>$M$68</formula>
    </cfRule>
    <cfRule type="cellIs" dxfId="270" priority="70" stopIfTrue="1" operator="lessThanOrEqual">
      <formula>$M$68</formula>
    </cfRule>
  </conditionalFormatting>
  <conditionalFormatting sqref="N56">
    <cfRule type="cellIs" dxfId="269" priority="57" stopIfTrue="1" operator="greaterThan">
      <formula>#REF!</formula>
    </cfRule>
    <cfRule type="cellIs" dxfId="268" priority="58" stopIfTrue="1" operator="lessThanOrEqual">
      <formula>#REF!</formula>
    </cfRule>
  </conditionalFormatting>
  <conditionalFormatting sqref="O9:O57">
    <cfRule type="cellIs" dxfId="267" priority="31" stopIfTrue="1" operator="greaterThan">
      <formula>#REF!</formula>
    </cfRule>
    <cfRule type="cellIs" dxfId="266" priority="32" stopIfTrue="1" operator="lessThanOrEqual">
      <formula>#REF!</formula>
    </cfRule>
  </conditionalFormatting>
  <conditionalFormatting sqref="O57">
    <cfRule type="cellIs" dxfId="265" priority="53" stopIfTrue="1" operator="greaterThan">
      <formula>#REF!</formula>
    </cfRule>
    <cfRule type="cellIs" dxfId="264" priority="54" stopIfTrue="1" operator="lessThanOrEqual">
      <formula>#REF!</formula>
    </cfRule>
  </conditionalFormatting>
  <conditionalFormatting sqref="P78">
    <cfRule type="cellIs" dxfId="263" priority="55" stopIfTrue="1" operator="greaterThan">
      <formula>#REF!</formula>
    </cfRule>
    <cfRule type="cellIs" dxfId="262" priority="56" stopIfTrue="1" operator="lessThanOrEqual">
      <formula>#REF!</formula>
    </cfRule>
  </conditionalFormatting>
  <hyperlinks>
    <hyperlink ref="B79" r:id="rId1" xr:uid="{00000000-0004-0000-0F00-000000000000}"/>
    <hyperlink ref="B81" r:id="rId2" xr:uid="{00000000-0004-0000-0F00-000001000000}"/>
  </hyperlinks>
  <pageMargins left="0.7" right="0.7" top="0.75" bottom="0.75" header="0.3" footer="0.3"/>
  <pageSetup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A1008"/>
  <sheetViews>
    <sheetView workbookViewId="0">
      <selection activeCell="N11" sqref="N11"/>
    </sheetView>
  </sheetViews>
  <sheetFormatPr defaultColWidth="14.28515625" defaultRowHeight="15" customHeight="1"/>
  <cols>
    <col min="1" max="1" width="3.28515625" customWidth="1"/>
    <col min="2" max="2" width="33.28515625" customWidth="1"/>
    <col min="3" max="3" width="6.7109375" customWidth="1"/>
    <col min="4" max="4" width="8" customWidth="1"/>
    <col min="5" max="5" width="10.28515625" customWidth="1"/>
    <col min="6" max="6" width="13.28515625" customWidth="1"/>
    <col min="7" max="7" width="12.28515625" customWidth="1"/>
    <col min="8" max="8" width="11" bestFit="1" customWidth="1"/>
    <col min="9" max="9" width="11.28515625" customWidth="1"/>
    <col min="10" max="10" width="10" bestFit="1" customWidth="1"/>
    <col min="11" max="12" width="12.28515625" customWidth="1"/>
    <col min="13" max="13" width="9.7109375" customWidth="1"/>
    <col min="14" max="14" width="9.28515625" customWidth="1"/>
    <col min="15" max="15" width="13" customWidth="1"/>
    <col min="16" max="16" width="11.28515625" customWidth="1"/>
    <col min="17" max="18" width="12.28515625" customWidth="1"/>
    <col min="19" max="19" width="10.7109375" customWidth="1"/>
    <col min="20" max="20" width="14.28515625" customWidth="1"/>
    <col min="21" max="27" width="9.28515625" customWidth="1"/>
  </cols>
  <sheetData>
    <row r="1" spans="1:27" ht="20.25" customHeight="1">
      <c r="A1" s="309"/>
      <c r="B1" s="1984" t="s">
        <v>0</v>
      </c>
      <c r="C1" s="1985"/>
      <c r="D1" s="1985"/>
      <c r="E1" s="1985"/>
      <c r="F1" s="1985"/>
      <c r="G1" s="1985"/>
      <c r="H1" s="1985"/>
      <c r="I1" s="1985"/>
      <c r="J1" s="1985"/>
      <c r="K1" s="1985"/>
      <c r="L1" s="1985"/>
      <c r="M1" s="1985"/>
      <c r="N1" s="1985"/>
      <c r="O1" s="1985"/>
      <c r="P1" s="1162"/>
      <c r="Q1" s="989"/>
      <c r="R1" s="990"/>
      <c r="S1" s="990"/>
      <c r="T1" s="990"/>
      <c r="U1" s="1021"/>
      <c r="V1" s="5"/>
      <c r="W1" s="5"/>
      <c r="X1" s="5"/>
      <c r="Y1" s="5"/>
      <c r="Z1" s="5"/>
      <c r="AA1" s="5"/>
    </row>
    <row r="2" spans="1:27" ht="14.25" customHeight="1">
      <c r="A2" s="309"/>
      <c r="B2" s="1986" t="s">
        <v>619</v>
      </c>
      <c r="C2" s="1985"/>
      <c r="D2" s="1985"/>
      <c r="E2" s="1985"/>
      <c r="F2" s="1985"/>
      <c r="G2" s="1985"/>
      <c r="H2" s="1985"/>
      <c r="I2" s="1985"/>
      <c r="J2" s="1985"/>
      <c r="K2" s="1985"/>
      <c r="L2" s="1985"/>
      <c r="M2" s="1985"/>
      <c r="N2" s="1985"/>
      <c r="O2" s="1985"/>
      <c r="P2" s="325"/>
      <c r="Q2" s="991"/>
      <c r="R2" s="345"/>
      <c r="S2" s="345"/>
      <c r="T2" s="345"/>
      <c r="U2" s="1022"/>
      <c r="V2" s="5"/>
      <c r="W2" s="5"/>
      <c r="X2" s="5"/>
      <c r="Y2" s="5"/>
      <c r="Z2" s="5"/>
      <c r="AA2" s="5"/>
    </row>
    <row r="3" spans="1:27" ht="12.75" customHeight="1">
      <c r="A3" s="309"/>
      <c r="B3" s="2001"/>
      <c r="C3" s="1985"/>
      <c r="D3" s="1985"/>
      <c r="E3" s="1985"/>
      <c r="F3" s="1985"/>
      <c r="G3" s="1985"/>
      <c r="H3" s="1985"/>
      <c r="I3" s="1985"/>
      <c r="J3" s="1985"/>
      <c r="K3" s="1985"/>
      <c r="L3" s="1985"/>
      <c r="M3" s="1985"/>
      <c r="N3" s="1985"/>
      <c r="O3" s="1985"/>
      <c r="P3" s="325"/>
      <c r="Q3" s="991"/>
      <c r="R3" s="992"/>
      <c r="S3" s="992"/>
      <c r="T3" s="992"/>
      <c r="U3" s="1022"/>
      <c r="V3" s="5"/>
      <c r="W3" s="5"/>
      <c r="X3" s="5"/>
      <c r="Y3" s="5"/>
      <c r="Z3" s="5"/>
      <c r="AA3" s="5"/>
    </row>
    <row r="4" spans="1:27" ht="12.75" customHeight="1">
      <c r="A4" s="309"/>
      <c r="B4" s="894"/>
      <c r="C4" s="894"/>
      <c r="D4" s="894"/>
      <c r="E4" s="894"/>
      <c r="F4" s="894"/>
      <c r="G4" s="894"/>
      <c r="H4" s="894"/>
      <c r="I4" s="894"/>
      <c r="J4" s="1275"/>
      <c r="K4" s="894"/>
      <c r="L4" s="894"/>
      <c r="M4" s="894"/>
      <c r="N4" s="894"/>
      <c r="O4" s="894"/>
      <c r="P4" s="1163"/>
      <c r="Q4" s="994"/>
      <c r="R4" s="933"/>
      <c r="S4" s="933"/>
      <c r="T4" s="933"/>
      <c r="U4" s="609"/>
      <c r="V4" s="5"/>
      <c r="W4" s="5"/>
      <c r="X4" s="5"/>
      <c r="Y4" s="5"/>
      <c r="Z4" s="5"/>
      <c r="AA4" s="5"/>
    </row>
    <row r="5" spans="1:27" ht="12.75" customHeight="1" thickBot="1">
      <c r="A5" s="897"/>
      <c r="B5" s="897"/>
      <c r="C5" s="1175"/>
      <c r="D5" s="1988" t="s">
        <v>3</v>
      </c>
      <c r="E5" s="1989"/>
      <c r="F5" s="1989"/>
      <c r="G5" s="1989"/>
      <c r="H5" s="1989"/>
      <c r="I5" s="1989"/>
      <c r="J5" s="1989"/>
      <c r="K5" s="1989"/>
      <c r="L5" s="1989"/>
      <c r="M5" s="2024"/>
      <c r="N5" s="2025"/>
      <c r="O5" s="110"/>
      <c r="P5" s="1164"/>
      <c r="Q5" s="995"/>
      <c r="R5" s="309"/>
      <c r="S5" s="309"/>
      <c r="T5" s="309"/>
      <c r="U5" s="328"/>
      <c r="V5" s="5"/>
      <c r="W5" s="5"/>
      <c r="X5" s="5"/>
      <c r="Y5" s="5"/>
      <c r="Z5" s="5"/>
      <c r="AA5" s="5"/>
    </row>
    <row r="6" spans="1:27" ht="12.75" customHeight="1">
      <c r="A6" s="1053"/>
      <c r="B6" s="900"/>
      <c r="C6" s="901"/>
      <c r="D6" s="2008">
        <v>43465</v>
      </c>
      <c r="E6" s="1981"/>
      <c r="F6" s="1981"/>
      <c r="G6" s="1981"/>
      <c r="H6" s="1276"/>
      <c r="I6" s="2003">
        <v>43830</v>
      </c>
      <c r="J6" s="1981"/>
      <c r="K6" s="1981"/>
      <c r="L6" s="1981"/>
      <c r="M6" s="111" t="s">
        <v>5</v>
      </c>
      <c r="N6" s="855" t="s">
        <v>6</v>
      </c>
      <c r="O6" s="112"/>
      <c r="P6" s="1116"/>
      <c r="Q6" s="1055"/>
      <c r="R6" s="1116"/>
      <c r="S6" s="1055"/>
      <c r="T6" s="327"/>
      <c r="U6" s="5"/>
      <c r="V6" s="5"/>
      <c r="W6" s="5"/>
      <c r="X6" s="5"/>
      <c r="Y6" s="5"/>
      <c r="Z6" s="5"/>
    </row>
    <row r="7" spans="1:27" ht="12.75" customHeight="1" thickBot="1">
      <c r="A7" s="42"/>
      <c r="B7" s="905" t="s">
        <v>7</v>
      </c>
      <c r="C7" s="1176" t="s">
        <v>8</v>
      </c>
      <c r="D7" s="893" t="s">
        <v>9</v>
      </c>
      <c r="E7" s="113" t="s">
        <v>10</v>
      </c>
      <c r="F7" s="113" t="s">
        <v>11</v>
      </c>
      <c r="G7" s="113" t="s">
        <v>12</v>
      </c>
      <c r="H7" s="113"/>
      <c r="I7" s="113" t="s">
        <v>9</v>
      </c>
      <c r="J7" s="113" t="s">
        <v>10</v>
      </c>
      <c r="K7" s="114" t="s">
        <v>11</v>
      </c>
      <c r="L7" s="115" t="s">
        <v>12</v>
      </c>
      <c r="M7" s="893" t="s">
        <v>15</v>
      </c>
      <c r="N7" s="115" t="s">
        <v>15</v>
      </c>
      <c r="O7" s="116"/>
      <c r="P7" s="544"/>
      <c r="Q7" s="1116"/>
      <c r="R7" s="1116"/>
      <c r="S7" s="323"/>
      <c r="T7" s="327"/>
      <c r="U7" s="5"/>
      <c r="V7" s="5"/>
      <c r="W7" s="5"/>
      <c r="X7" s="5"/>
      <c r="Y7" s="5"/>
      <c r="Z7" s="5"/>
    </row>
    <row r="8" spans="1:27" ht="12.75" customHeight="1">
      <c r="A8" s="1177"/>
      <c r="B8" s="900" t="s">
        <v>360</v>
      </c>
      <c r="C8" s="1178"/>
      <c r="D8" s="1277"/>
      <c r="E8" s="71"/>
      <c r="F8" s="71"/>
      <c r="G8" s="71"/>
      <c r="H8" s="116"/>
      <c r="I8" s="544"/>
      <c r="J8" s="544"/>
      <c r="K8" s="1179"/>
      <c r="L8" s="855"/>
      <c r="M8" s="62"/>
      <c r="N8" s="1180"/>
      <c r="O8" s="117"/>
      <c r="P8" s="892"/>
      <c r="Q8" s="323"/>
      <c r="R8" s="323"/>
      <c r="S8" s="323"/>
      <c r="T8" s="327"/>
      <c r="U8" s="5"/>
      <c r="V8" s="5"/>
      <c r="W8" s="5"/>
      <c r="X8" s="5"/>
      <c r="Y8" s="5"/>
      <c r="Z8" s="5"/>
    </row>
    <row r="9" spans="1:27" ht="12.75" customHeight="1">
      <c r="A9" s="322">
        <v>1</v>
      </c>
      <c r="B9" s="374" t="s">
        <v>230</v>
      </c>
      <c r="C9" s="375" t="s">
        <v>231</v>
      </c>
      <c r="D9" s="351">
        <v>25</v>
      </c>
      <c r="E9" s="350">
        <v>190.54</v>
      </c>
      <c r="F9" s="352">
        <f>E9*D9</f>
        <v>4763.5</v>
      </c>
      <c r="G9" s="357">
        <f>F9/$F$82</f>
        <v>2.7531434008276831E-2</v>
      </c>
      <c r="H9" s="351"/>
      <c r="I9" s="351">
        <v>25</v>
      </c>
      <c r="J9" s="350">
        <v>176.42</v>
      </c>
      <c r="K9" s="352">
        <f>J9*I9</f>
        <v>4410.5</v>
      </c>
      <c r="L9" s="353">
        <f t="shared" ref="L9:L42" si="0">K9/$K$82</f>
        <v>1.9519799219358504E-2</v>
      </c>
      <c r="M9" s="495">
        <f>(J9-E9)/E9</f>
        <v>-7.4105174766453272E-2</v>
      </c>
      <c r="N9" s="329">
        <f>(K9-Transactions!E1395)/Transactions!E1395</f>
        <v>1.2641054204033864</v>
      </c>
      <c r="O9" s="414"/>
      <c r="P9" s="357"/>
      <c r="Q9" s="327"/>
      <c r="R9" s="327"/>
      <c r="S9" s="323"/>
      <c r="T9" s="327"/>
      <c r="U9" s="5"/>
      <c r="V9" s="5"/>
      <c r="W9" s="5"/>
      <c r="X9" s="5"/>
      <c r="Y9" s="5"/>
      <c r="Z9" s="5"/>
    </row>
    <row r="10" spans="1:27" ht="12.75" customHeight="1">
      <c r="A10" s="322">
        <v>2</v>
      </c>
      <c r="B10" s="374" t="s">
        <v>395</v>
      </c>
      <c r="C10" s="375" t="s">
        <v>396</v>
      </c>
      <c r="D10" s="351">
        <v>40</v>
      </c>
      <c r="E10" s="350">
        <v>141.01</v>
      </c>
      <c r="F10" s="352">
        <f t="shared" ref="F10:F41" si="1">D10*E10</f>
        <v>5640.4</v>
      </c>
      <c r="G10" s="357">
        <f>F10/$F$82</f>
        <v>3.2599622206420618E-2</v>
      </c>
      <c r="H10" s="351"/>
      <c r="I10" s="351">
        <v>40</v>
      </c>
      <c r="J10" s="350">
        <v>210.57</v>
      </c>
      <c r="K10" s="352">
        <f t="shared" ref="K10:K41" si="2">I10*J10</f>
        <v>8422.7999999999993</v>
      </c>
      <c r="L10" s="353">
        <f t="shared" si="0"/>
        <v>3.7277262184517129E-2</v>
      </c>
      <c r="M10" s="495">
        <f t="shared" ref="M10:M17" si="3">(J10-E10)/E10</f>
        <v>0.49329834763491953</v>
      </c>
      <c r="N10" s="329">
        <f>(K10-Transactions!E937)/Transactions!E937</f>
        <v>1.6473389258897218</v>
      </c>
      <c r="O10" s="415"/>
      <c r="P10" s="357"/>
      <c r="Q10" s="327"/>
      <c r="R10" s="327"/>
      <c r="S10" s="323"/>
      <c r="T10" s="327"/>
      <c r="U10" s="5"/>
      <c r="V10" s="5"/>
      <c r="W10" s="5"/>
      <c r="X10" s="5"/>
      <c r="Y10" s="5"/>
      <c r="Z10" s="5"/>
    </row>
    <row r="11" spans="1:27" ht="12.75" customHeight="1">
      <c r="A11" s="322">
        <v>3</v>
      </c>
      <c r="B11" s="374" t="s">
        <v>539</v>
      </c>
      <c r="C11" s="375" t="s">
        <v>540</v>
      </c>
      <c r="D11" s="351">
        <v>8</v>
      </c>
      <c r="E11" s="350">
        <v>1501.97</v>
      </c>
      <c r="F11" s="352">
        <f t="shared" si="1"/>
        <v>12015.76</v>
      </c>
      <c r="G11" s="357">
        <f>F11/$F$82</f>
        <v>6.9447066967417329E-2</v>
      </c>
      <c r="H11" s="351"/>
      <c r="I11" s="351">
        <v>8</v>
      </c>
      <c r="J11" s="350">
        <v>1847.84</v>
      </c>
      <c r="K11" s="352">
        <f t="shared" si="2"/>
        <v>14782.72</v>
      </c>
      <c r="L11" s="353">
        <f t="shared" si="0"/>
        <v>6.5424719717944751E-2</v>
      </c>
      <c r="M11" s="495">
        <f t="shared" si="3"/>
        <v>0.23027756879298514</v>
      </c>
      <c r="N11" s="329">
        <f>(K11-Transactions!G710)/Transactions!G710</f>
        <v>2.0569779536905495</v>
      </c>
      <c r="O11" s="415"/>
      <c r="P11" s="357"/>
      <c r="Q11" s="327"/>
      <c r="R11" s="327"/>
      <c r="S11" s="323"/>
      <c r="T11" s="327"/>
      <c r="U11" s="5"/>
      <c r="V11" s="5"/>
      <c r="W11" s="5"/>
      <c r="X11" s="5"/>
      <c r="Y11" s="5"/>
      <c r="Z11" s="5"/>
    </row>
    <row r="12" spans="1:27" ht="12.75" customHeight="1">
      <c r="A12" s="322">
        <v>4</v>
      </c>
      <c r="B12" s="374" t="s">
        <v>398</v>
      </c>
      <c r="C12" s="375" t="s">
        <v>399</v>
      </c>
      <c r="D12" s="351">
        <v>20</v>
      </c>
      <c r="E12" s="350">
        <v>158.19</v>
      </c>
      <c r="F12" s="352">
        <f t="shared" si="1"/>
        <v>3163.8</v>
      </c>
      <c r="G12" s="357">
        <f>F12/$F$82</f>
        <v>1.8285703981397342E-2</v>
      </c>
      <c r="H12" s="351"/>
      <c r="I12" s="351">
        <v>20</v>
      </c>
      <c r="J12" s="350">
        <v>229.82</v>
      </c>
      <c r="K12" s="352">
        <f t="shared" si="2"/>
        <v>4596.3999999999996</v>
      </c>
      <c r="L12" s="353">
        <f t="shared" si="0"/>
        <v>2.0342547360131372E-2</v>
      </c>
      <c r="M12" s="495">
        <f t="shared" si="3"/>
        <v>0.45280991213098171</v>
      </c>
      <c r="N12" s="329">
        <f>(K12-Transactions!E884)/Transactions!E884</f>
        <v>1.2524637240825047</v>
      </c>
      <c r="O12" s="415"/>
      <c r="P12" s="357"/>
      <c r="Q12" s="1278"/>
      <c r="R12" s="327"/>
      <c r="S12" s="323"/>
      <c r="T12" s="327"/>
      <c r="U12" s="5"/>
      <c r="V12" s="5"/>
      <c r="W12" s="5"/>
      <c r="X12" s="5"/>
      <c r="Y12" s="5"/>
      <c r="Z12" s="5"/>
    </row>
    <row r="13" spans="1:27" ht="12.75" customHeight="1">
      <c r="A13" s="322">
        <v>5</v>
      </c>
      <c r="B13" s="374" t="s">
        <v>401</v>
      </c>
      <c r="C13" s="375" t="s">
        <v>402</v>
      </c>
      <c r="D13" s="351">
        <v>21</v>
      </c>
      <c r="E13" s="350">
        <v>194.67</v>
      </c>
      <c r="F13" s="352">
        <f t="shared" si="1"/>
        <v>4088.0699999999997</v>
      </c>
      <c r="G13" s="357">
        <f>F13/$F$82</f>
        <v>2.3627674908411098E-2</v>
      </c>
      <c r="H13" s="351"/>
      <c r="I13" s="351">
        <v>21</v>
      </c>
      <c r="J13" s="350">
        <v>241.07</v>
      </c>
      <c r="K13" s="352">
        <f t="shared" si="2"/>
        <v>5062.47</v>
      </c>
      <c r="L13" s="353">
        <f t="shared" si="0"/>
        <v>2.2405259710696259E-2</v>
      </c>
      <c r="M13" s="495">
        <f t="shared" si="3"/>
        <v>0.23835208301227723</v>
      </c>
      <c r="N13" s="329">
        <f>(K13-Transactions!G793)/Transactions!G793</f>
        <v>0.4915720157334158</v>
      </c>
      <c r="O13" s="415"/>
      <c r="P13" s="357"/>
      <c r="Q13" s="327"/>
      <c r="R13" s="327"/>
      <c r="S13" s="323"/>
      <c r="T13" s="327"/>
      <c r="U13" s="5"/>
      <c r="V13" s="5"/>
      <c r="W13" s="5"/>
      <c r="X13" s="5"/>
      <c r="Y13" s="5"/>
      <c r="Z13" s="5"/>
    </row>
    <row r="14" spans="1:27" ht="12.75" customHeight="1">
      <c r="A14" s="322">
        <v>6</v>
      </c>
      <c r="B14" s="374" t="s">
        <v>620</v>
      </c>
      <c r="C14" s="375" t="s">
        <v>177</v>
      </c>
      <c r="D14" s="351"/>
      <c r="E14" s="350"/>
      <c r="F14" s="352"/>
      <c r="G14" s="357"/>
      <c r="H14" s="351"/>
      <c r="I14" s="351">
        <v>50</v>
      </c>
      <c r="J14" s="350">
        <v>82.04</v>
      </c>
      <c r="K14" s="352">
        <f t="shared" si="2"/>
        <v>4102</v>
      </c>
      <c r="L14" s="353">
        <f t="shared" si="0"/>
        <v>1.8154453326790294E-2</v>
      </c>
      <c r="M14" s="495"/>
      <c r="N14" s="329">
        <f>(K14-Transactions!E446)/Transactions!E446</f>
        <v>4.8569847354099284E-2</v>
      </c>
      <c r="O14" s="415"/>
      <c r="P14" s="357"/>
      <c r="Q14" s="327"/>
      <c r="R14" s="327"/>
      <c r="S14" s="323"/>
      <c r="T14" s="327"/>
      <c r="U14" s="5"/>
      <c r="V14" s="5"/>
      <c r="W14" s="5"/>
      <c r="X14" s="5"/>
      <c r="Y14" s="5"/>
      <c r="Z14" s="5"/>
    </row>
    <row r="15" spans="1:27" ht="12.75" customHeight="1">
      <c r="A15" s="322">
        <v>7</v>
      </c>
      <c r="B15" s="374" t="s">
        <v>206</v>
      </c>
      <c r="C15" s="375" t="s">
        <v>207</v>
      </c>
      <c r="D15" s="351">
        <v>42</v>
      </c>
      <c r="E15" s="350">
        <v>157.74</v>
      </c>
      <c r="F15" s="352">
        <f t="shared" si="1"/>
        <v>6625.08</v>
      </c>
      <c r="G15" s="357">
        <f>F15/$F$82</f>
        <v>3.8290742693304222E-2</v>
      </c>
      <c r="H15" s="351"/>
      <c r="I15" s="351">
        <v>42</v>
      </c>
      <c r="J15" s="350">
        <v>293.64999999999998</v>
      </c>
      <c r="K15" s="352">
        <f t="shared" si="2"/>
        <v>12333.3</v>
      </c>
      <c r="L15" s="353">
        <f t="shared" si="0"/>
        <v>5.4584183133910946E-2</v>
      </c>
      <c r="M15" s="495">
        <f t="shared" si="3"/>
        <v>0.86160770888804339</v>
      </c>
      <c r="N15" s="329">
        <f>(K15-Transactions!G1024)/Transactions!G1024</f>
        <v>10.613276836158191</v>
      </c>
      <c r="O15" s="415"/>
      <c r="P15" s="357"/>
      <c r="Q15" s="327"/>
      <c r="R15" s="327"/>
      <c r="S15" s="309"/>
      <c r="T15" s="328"/>
      <c r="U15" s="5"/>
      <c r="V15" s="5"/>
      <c r="W15" s="5"/>
      <c r="X15" s="5"/>
      <c r="Y15" s="5"/>
      <c r="Z15" s="5"/>
    </row>
    <row r="16" spans="1:27" ht="12.75" customHeight="1">
      <c r="A16" s="322">
        <v>8</v>
      </c>
      <c r="B16" s="374" t="s">
        <v>541</v>
      </c>
      <c r="C16" s="375" t="s">
        <v>448</v>
      </c>
      <c r="D16" s="351">
        <v>78</v>
      </c>
      <c r="E16" s="350">
        <v>28.54</v>
      </c>
      <c r="F16" s="352">
        <f t="shared" si="1"/>
        <v>2226.12</v>
      </c>
      <c r="G16" s="357">
        <f>F16/$F$82</f>
        <v>1.2866227747350733E-2</v>
      </c>
      <c r="H16" s="351"/>
      <c r="I16" s="351">
        <v>100</v>
      </c>
      <c r="J16" s="350">
        <v>39.08</v>
      </c>
      <c r="K16" s="352">
        <f t="shared" si="2"/>
        <v>3908</v>
      </c>
      <c r="L16" s="353">
        <f t="shared" si="0"/>
        <v>1.7295856558043995E-2</v>
      </c>
      <c r="M16" s="495">
        <f t="shared" si="3"/>
        <v>0.36930623686054659</v>
      </c>
      <c r="N16" s="356">
        <f>(K16-Transactions!E542-Transactions!E393)/(Transactions!E542+Transactions!E393)</f>
        <v>0.14493305598687498</v>
      </c>
      <c r="O16" s="415"/>
      <c r="P16" s="357"/>
      <c r="Q16" s="358"/>
      <c r="R16" s="358"/>
      <c r="S16" s="359"/>
      <c r="T16" s="360"/>
      <c r="U16" s="5"/>
      <c r="V16" s="5"/>
      <c r="W16" s="5"/>
      <c r="X16" s="5"/>
      <c r="Y16" s="5"/>
      <c r="Z16" s="5"/>
    </row>
    <row r="17" spans="1:26" ht="12.75" customHeight="1">
      <c r="A17" s="322">
        <v>9</v>
      </c>
      <c r="B17" s="374" t="s">
        <v>22</v>
      </c>
      <c r="C17" s="375" t="s">
        <v>23</v>
      </c>
      <c r="D17" s="351">
        <v>148</v>
      </c>
      <c r="E17" s="350">
        <v>24.64</v>
      </c>
      <c r="F17" s="352">
        <f t="shared" si="1"/>
        <v>3646.7200000000003</v>
      </c>
      <c r="G17" s="357">
        <f>F17/$F$82</f>
        <v>2.1076819780972665E-2</v>
      </c>
      <c r="H17" s="351"/>
      <c r="I17" s="351">
        <v>148</v>
      </c>
      <c r="J17" s="350">
        <v>35.22</v>
      </c>
      <c r="K17" s="352">
        <f t="shared" si="2"/>
        <v>5212.5599999999995</v>
      </c>
      <c r="L17" s="353">
        <f t="shared" si="0"/>
        <v>2.3069521509774257E-2</v>
      </c>
      <c r="M17" s="495">
        <f t="shared" si="3"/>
        <v>0.42938311688311681</v>
      </c>
      <c r="N17" s="356">
        <f>(K17-Transactions!E695)/Transactions!E695</f>
        <v>0.72499081670135901</v>
      </c>
      <c r="O17" s="415"/>
      <c r="P17" s="357"/>
      <c r="Q17" s="327"/>
      <c r="R17" s="327"/>
      <c r="S17" s="309"/>
      <c r="T17" s="328"/>
      <c r="U17" s="5"/>
      <c r="V17" s="5"/>
      <c r="W17" s="5"/>
      <c r="X17" s="5"/>
      <c r="Y17" s="5"/>
      <c r="Z17" s="5"/>
    </row>
    <row r="18" spans="1:26" ht="12.75" customHeight="1">
      <c r="A18" s="322">
        <v>10</v>
      </c>
      <c r="B18" s="374" t="s">
        <v>621</v>
      </c>
      <c r="C18" s="375" t="s">
        <v>622</v>
      </c>
      <c r="D18" s="351"/>
      <c r="E18" s="350"/>
      <c r="F18" s="352"/>
      <c r="G18" s="357"/>
      <c r="H18" s="351"/>
      <c r="I18" s="351">
        <v>16</v>
      </c>
      <c r="J18" s="350">
        <v>64.19</v>
      </c>
      <c r="K18" s="352">
        <f t="shared" si="2"/>
        <v>1027.04</v>
      </c>
      <c r="L18" s="353">
        <f t="shared" si="0"/>
        <v>4.5454289967690638E-3</v>
      </c>
      <c r="M18" s="495"/>
      <c r="N18" s="356">
        <f>(K18-Transactions!E405)/(Transactions!E405)</f>
        <v>0.14830053667262968</v>
      </c>
      <c r="O18" s="415"/>
      <c r="P18" s="357"/>
      <c r="Q18" s="327"/>
      <c r="R18" s="327"/>
      <c r="S18" s="309"/>
      <c r="T18" s="328"/>
      <c r="U18" s="5"/>
      <c r="V18" s="5"/>
      <c r="W18" s="5"/>
      <c r="X18" s="5"/>
      <c r="Y18" s="5"/>
      <c r="Z18" s="5"/>
    </row>
    <row r="19" spans="1:26" ht="12.75" customHeight="1">
      <c r="A19" s="322">
        <v>11</v>
      </c>
      <c r="B19" s="374" t="s">
        <v>451</v>
      </c>
      <c r="C19" s="375" t="s">
        <v>452</v>
      </c>
      <c r="D19" s="351"/>
      <c r="E19" s="350"/>
      <c r="F19" s="352"/>
      <c r="G19" s="357"/>
      <c r="H19" s="351"/>
      <c r="I19" s="351">
        <v>50</v>
      </c>
      <c r="J19" s="350">
        <v>102.91</v>
      </c>
      <c r="K19" s="352">
        <f t="shared" si="2"/>
        <v>5145.5</v>
      </c>
      <c r="L19" s="353">
        <f t="shared" si="0"/>
        <v>2.2772730276206594E-2</v>
      </c>
      <c r="M19" s="495"/>
      <c r="N19" s="356">
        <f>(K19-Transactions!E458)/Transactions!E458</f>
        <v>9.2379351047478395E-2</v>
      </c>
      <c r="O19" s="415"/>
      <c r="P19" s="357"/>
      <c r="Q19" s="327"/>
      <c r="R19" s="327"/>
      <c r="S19" s="309"/>
      <c r="T19" s="328"/>
      <c r="U19" s="5"/>
      <c r="V19" s="5"/>
      <c r="W19" s="5"/>
      <c r="X19" s="5"/>
      <c r="Y19" s="5"/>
      <c r="Z19" s="5"/>
    </row>
    <row r="20" spans="1:26" ht="12.75" customHeight="1">
      <c r="A20" s="322">
        <v>12</v>
      </c>
      <c r="B20" s="374" t="s">
        <v>404</v>
      </c>
      <c r="C20" s="375" t="s">
        <v>405</v>
      </c>
      <c r="D20" s="351">
        <v>50</v>
      </c>
      <c r="E20" s="350">
        <v>52.44</v>
      </c>
      <c r="F20" s="352">
        <f t="shared" si="1"/>
        <v>2622</v>
      </c>
      <c r="G20" s="357">
        <f>F20/$F$82</f>
        <v>1.5154281509331763E-2</v>
      </c>
      <c r="H20" s="351"/>
      <c r="I20" s="351">
        <v>50</v>
      </c>
      <c r="J20" s="350">
        <v>73.39</v>
      </c>
      <c r="K20" s="352">
        <f t="shared" si="2"/>
        <v>3669.5</v>
      </c>
      <c r="L20" s="353">
        <f t="shared" si="0"/>
        <v>1.6240313623270837E-2</v>
      </c>
      <c r="M20" s="495">
        <f t="shared" ref="M20:M26" si="4">(J20-E20)/E20</f>
        <v>0.39950419527078573</v>
      </c>
      <c r="N20" s="329">
        <f>(K20-Transactions!E921)/Transactions!E921</f>
        <v>0.26055904995173484</v>
      </c>
      <c r="O20" s="415"/>
      <c r="P20" s="357"/>
      <c r="Q20" s="327"/>
      <c r="R20" s="327"/>
      <c r="S20" s="309"/>
      <c r="T20" s="328"/>
      <c r="U20" s="5"/>
      <c r="V20" s="5"/>
      <c r="W20" s="5"/>
      <c r="X20" s="5"/>
      <c r="Y20" s="5"/>
      <c r="Z20" s="5"/>
    </row>
    <row r="21" spans="1:26" ht="12.75" customHeight="1">
      <c r="A21" s="322">
        <v>13</v>
      </c>
      <c r="B21" s="374" t="s">
        <v>623</v>
      </c>
      <c r="C21" s="375" t="s">
        <v>624</v>
      </c>
      <c r="D21" s="351"/>
      <c r="E21" s="350"/>
      <c r="F21" s="352"/>
      <c r="G21" s="357"/>
      <c r="H21" s="351"/>
      <c r="I21" s="351">
        <v>40</v>
      </c>
      <c r="J21" s="350">
        <v>61.07</v>
      </c>
      <c r="K21" s="352">
        <f t="shared" si="2"/>
        <v>2442.8000000000002</v>
      </c>
      <c r="L21" s="353">
        <f t="shared" si="0"/>
        <v>1.0811238075739476E-2</v>
      </c>
      <c r="M21" s="495"/>
      <c r="N21" s="329">
        <f>(K21-Transactions!E466)/Transactions!E466</f>
        <v>-4.5632130020315569E-2</v>
      </c>
      <c r="O21" s="415"/>
      <c r="P21" s="357"/>
      <c r="Q21" s="327"/>
      <c r="R21" s="327"/>
      <c r="S21" s="309"/>
      <c r="T21" s="328"/>
      <c r="U21" s="5"/>
      <c r="V21" s="5"/>
      <c r="W21" s="5"/>
      <c r="X21" s="5"/>
      <c r="Y21" s="5"/>
      <c r="Z21" s="5"/>
    </row>
    <row r="22" spans="1:26" ht="12.75" customHeight="1">
      <c r="A22" s="322">
        <v>14</v>
      </c>
      <c r="B22" s="374" t="s">
        <v>281</v>
      </c>
      <c r="C22" s="375" t="s">
        <v>152</v>
      </c>
      <c r="D22" s="351">
        <v>120</v>
      </c>
      <c r="E22" s="350">
        <v>43.33</v>
      </c>
      <c r="F22" s="352">
        <f t="shared" si="1"/>
        <v>5199.5999999999995</v>
      </c>
      <c r="G22" s="357">
        <f>F22/$F$82</f>
        <v>3.0051945894706875E-2</v>
      </c>
      <c r="H22" s="351"/>
      <c r="I22" s="351">
        <v>120</v>
      </c>
      <c r="J22" s="350">
        <v>47.96</v>
      </c>
      <c r="K22" s="352">
        <f t="shared" si="2"/>
        <v>5755.2</v>
      </c>
      <c r="L22" s="353">
        <f t="shared" si="0"/>
        <v>2.5471114038601531E-2</v>
      </c>
      <c r="M22" s="495">
        <f t="shared" si="4"/>
        <v>0.10685437341333955</v>
      </c>
      <c r="N22" s="329">
        <f>(K22-Transactions!G1042)/Transactions!G1042</f>
        <v>1.5674518201284797</v>
      </c>
      <c r="O22" s="415"/>
      <c r="P22" s="357"/>
      <c r="Q22" s="327"/>
      <c r="R22" s="327"/>
      <c r="S22" s="309"/>
      <c r="T22" s="328"/>
      <c r="U22" s="5"/>
      <c r="V22" s="5"/>
      <c r="W22" s="5"/>
      <c r="X22" s="5"/>
      <c r="Y22" s="5"/>
      <c r="Z22" s="5"/>
    </row>
    <row r="23" spans="1:26" ht="12.75" customHeight="1">
      <c r="A23" s="322">
        <v>15</v>
      </c>
      <c r="B23" s="374" t="s">
        <v>153</v>
      </c>
      <c r="C23" s="375" t="s">
        <v>154</v>
      </c>
      <c r="D23" s="351">
        <v>70</v>
      </c>
      <c r="E23" s="350">
        <v>47.35</v>
      </c>
      <c r="F23" s="352">
        <f t="shared" si="1"/>
        <v>3314.5</v>
      </c>
      <c r="G23" s="357">
        <f>F23/$F$82</f>
        <v>1.9156699489961911E-2</v>
      </c>
      <c r="H23" s="351"/>
      <c r="I23" s="351">
        <v>70</v>
      </c>
      <c r="J23" s="350">
        <v>55.35</v>
      </c>
      <c r="K23" s="352">
        <f t="shared" si="2"/>
        <v>3874.5</v>
      </c>
      <c r="L23" s="353">
        <f t="shared" si="0"/>
        <v>1.7147593713956358E-2</v>
      </c>
      <c r="M23" s="495">
        <f t="shared" si="4"/>
        <v>0.16895459345300951</v>
      </c>
      <c r="N23" s="329">
        <f>(K23-Transactions!G1275)/Transactions!G1275</f>
        <v>1.5250912408759123</v>
      </c>
      <c r="O23" s="415"/>
      <c r="P23" s="357"/>
      <c r="Q23" s="327"/>
      <c r="R23" s="327"/>
      <c r="S23" s="309"/>
      <c r="T23" s="328"/>
      <c r="U23" s="5"/>
      <c r="V23" s="5"/>
      <c r="W23" s="5"/>
      <c r="X23" s="5"/>
      <c r="Y23" s="5"/>
      <c r="Z23" s="5"/>
    </row>
    <row r="24" spans="1:26" ht="12.75" customHeight="1">
      <c r="A24" s="322">
        <v>16</v>
      </c>
      <c r="B24" s="374" t="s">
        <v>606</v>
      </c>
      <c r="C24" s="375" t="s">
        <v>607</v>
      </c>
      <c r="D24" s="351">
        <v>30</v>
      </c>
      <c r="E24" s="350">
        <v>71.459999999999994</v>
      </c>
      <c r="F24" s="352">
        <f t="shared" si="1"/>
        <v>2143.7999999999997</v>
      </c>
      <c r="G24" s="357">
        <f>F24/$F$82</f>
        <v>1.2390445728339217E-2</v>
      </c>
      <c r="H24" s="351"/>
      <c r="I24" s="351">
        <v>30</v>
      </c>
      <c r="J24" s="350">
        <v>82.82</v>
      </c>
      <c r="K24" s="352">
        <f t="shared" si="2"/>
        <v>2484.6</v>
      </c>
      <c r="L24" s="353">
        <f t="shared" si="0"/>
        <v>1.0996234699108522E-2</v>
      </c>
      <c r="M24" s="495">
        <f t="shared" si="4"/>
        <v>0.15897005317660229</v>
      </c>
      <c r="N24" s="329">
        <f>(K24-Transactions!E562)/Transactions!E562</f>
        <v>0.24345952600800241</v>
      </c>
      <c r="O24" s="415"/>
      <c r="P24" s="357"/>
      <c r="Q24" s="327"/>
      <c r="R24" s="327"/>
      <c r="S24" s="309"/>
      <c r="T24" s="328"/>
      <c r="U24" s="5"/>
      <c r="V24" s="5"/>
      <c r="W24" s="5"/>
      <c r="X24" s="5"/>
      <c r="Y24" s="5"/>
      <c r="Z24" s="5"/>
    </row>
    <row r="25" spans="1:26" ht="12.75" customHeight="1">
      <c r="A25" s="322">
        <v>17</v>
      </c>
      <c r="B25" s="374" t="s">
        <v>543</v>
      </c>
      <c r="C25" s="375" t="s">
        <v>544</v>
      </c>
      <c r="D25" s="351">
        <v>17</v>
      </c>
      <c r="E25" s="350">
        <v>131.09</v>
      </c>
      <c r="F25" s="352">
        <f t="shared" si="1"/>
        <v>2228.5300000000002</v>
      </c>
      <c r="G25" s="357">
        <f>F25/$F$82</f>
        <v>1.2880156739889823E-2</v>
      </c>
      <c r="H25" s="351"/>
      <c r="I25" s="351">
        <v>17</v>
      </c>
      <c r="J25" s="350">
        <v>205.25</v>
      </c>
      <c r="K25" s="352">
        <f t="shared" si="2"/>
        <v>3489.25</v>
      </c>
      <c r="L25" s="353">
        <f t="shared" si="0"/>
        <v>1.5442571006948569E-2</v>
      </c>
      <c r="M25" s="495">
        <f t="shared" si="4"/>
        <v>0.56571820886413915</v>
      </c>
      <c r="N25" s="329">
        <f>(K25-Transactions!E635)/Transactions!E635</f>
        <v>0.38171155224507092</v>
      </c>
      <c r="O25" s="415"/>
      <c r="P25" s="357"/>
      <c r="Q25" s="327"/>
      <c r="R25" s="327"/>
      <c r="S25" s="309"/>
      <c r="T25" s="328"/>
      <c r="U25" s="5"/>
      <c r="V25" s="5"/>
      <c r="W25" s="5"/>
      <c r="X25" s="5"/>
      <c r="Y25" s="5"/>
      <c r="Z25" s="5"/>
    </row>
    <row r="26" spans="1:26" ht="12.75" customHeight="1">
      <c r="A26" s="322">
        <v>18</v>
      </c>
      <c r="B26" s="374" t="s">
        <v>545</v>
      </c>
      <c r="C26" s="375" t="s">
        <v>546</v>
      </c>
      <c r="D26" s="351">
        <v>57</v>
      </c>
      <c r="E26" s="350">
        <v>70.17</v>
      </c>
      <c r="F26" s="352">
        <f t="shared" si="1"/>
        <v>3999.69</v>
      </c>
      <c r="G26" s="357">
        <f>F26/$F$82</f>
        <v>2.3116868119778474E-2</v>
      </c>
      <c r="H26" s="351"/>
      <c r="I26" s="351">
        <v>57</v>
      </c>
      <c r="J26" s="350">
        <v>103.3</v>
      </c>
      <c r="K26" s="352">
        <f t="shared" si="2"/>
        <v>5888.0999999999995</v>
      </c>
      <c r="L26" s="353">
        <f t="shared" si="0"/>
        <v>2.6059297082758143E-2</v>
      </c>
      <c r="M26" s="495">
        <f t="shared" si="4"/>
        <v>0.47213909077953536</v>
      </c>
      <c r="N26" s="329">
        <f>(K26-Transactions!E654)/Transactions!E654</f>
        <v>0.47497125508202631</v>
      </c>
      <c r="O26" s="415"/>
      <c r="P26" s="357"/>
      <c r="Q26" s="327"/>
      <c r="R26" s="327"/>
      <c r="S26" s="309"/>
      <c r="T26" s="328"/>
      <c r="U26" s="5"/>
      <c r="V26" s="5"/>
      <c r="W26" s="5"/>
      <c r="X26" s="5"/>
      <c r="Y26" s="5"/>
      <c r="Z26" s="5"/>
    </row>
    <row r="27" spans="1:26" ht="12.75" customHeight="1">
      <c r="A27" s="322">
        <v>19</v>
      </c>
      <c r="B27" s="361" t="s">
        <v>625</v>
      </c>
      <c r="C27" s="362" t="s">
        <v>626</v>
      </c>
      <c r="D27" s="363"/>
      <c r="E27" s="350"/>
      <c r="F27" s="352"/>
      <c r="G27" s="357"/>
      <c r="H27" s="363"/>
      <c r="I27" s="363">
        <v>35</v>
      </c>
      <c r="J27" s="350">
        <v>34.47</v>
      </c>
      <c r="K27" s="352">
        <f t="shared" si="2"/>
        <v>1206.45</v>
      </c>
      <c r="L27" s="353">
        <f t="shared" si="0"/>
        <v>5.3394539775977936E-3</v>
      </c>
      <c r="M27" s="495"/>
      <c r="N27" s="329">
        <f>(K27-Transactions!E502)/Transactions!E502</f>
        <v>0.13692691890873104</v>
      </c>
      <c r="O27" s="415"/>
      <c r="P27" s="357"/>
      <c r="Q27" s="327"/>
      <c r="R27" s="327"/>
      <c r="S27" s="309"/>
      <c r="T27" s="328"/>
      <c r="U27" s="5"/>
      <c r="V27" s="5"/>
      <c r="W27" s="5"/>
      <c r="X27" s="5"/>
      <c r="Y27" s="5"/>
      <c r="Z27" s="5"/>
    </row>
    <row r="28" spans="1:26" ht="12.75" customHeight="1">
      <c r="A28" s="322">
        <v>20</v>
      </c>
      <c r="B28" s="361" t="s">
        <v>627</v>
      </c>
      <c r="C28" s="362" t="s">
        <v>628</v>
      </c>
      <c r="D28" s="363"/>
      <c r="E28" s="350"/>
      <c r="F28" s="352"/>
      <c r="G28" s="357"/>
      <c r="H28" s="363"/>
      <c r="I28" s="363">
        <v>20</v>
      </c>
      <c r="J28" s="350">
        <v>177</v>
      </c>
      <c r="K28" s="352">
        <f t="shared" si="2"/>
        <v>3540</v>
      </c>
      <c r="L28" s="353">
        <f t="shared" si="0"/>
        <v>1.5667178151349985E-2</v>
      </c>
      <c r="M28" s="495"/>
      <c r="N28" s="329">
        <f>(K28-Transactions!E426)/Transactions!E426</f>
        <v>-2.5549325922369932E-2</v>
      </c>
      <c r="O28" s="415"/>
      <c r="P28" s="357"/>
      <c r="Q28" s="327"/>
      <c r="R28" s="327"/>
      <c r="S28" s="309"/>
      <c r="T28" s="328"/>
      <c r="U28" s="5"/>
      <c r="V28" s="5"/>
      <c r="W28" s="5"/>
      <c r="X28" s="5"/>
      <c r="Y28" s="5"/>
      <c r="Z28" s="5"/>
    </row>
    <row r="29" spans="1:26" ht="12.75" customHeight="1">
      <c r="A29" s="322">
        <v>21</v>
      </c>
      <c r="B29" s="361" t="s">
        <v>547</v>
      </c>
      <c r="C29" s="362" t="s">
        <v>548</v>
      </c>
      <c r="D29" s="363">
        <v>15</v>
      </c>
      <c r="E29" s="350">
        <v>129.05000000000001</v>
      </c>
      <c r="F29" s="352">
        <f t="shared" si="1"/>
        <v>1935.7500000000002</v>
      </c>
      <c r="G29" s="357">
        <f>F29/$F$82</f>
        <v>1.1187986434663982E-2</v>
      </c>
      <c r="H29" s="363"/>
      <c r="I29" s="363">
        <v>15</v>
      </c>
      <c r="J29" s="350">
        <v>145.87</v>
      </c>
      <c r="K29" s="352">
        <f t="shared" si="2"/>
        <v>2188.0500000000002</v>
      </c>
      <c r="L29" s="353">
        <f t="shared" si="0"/>
        <v>9.6837765971924672E-3</v>
      </c>
      <c r="M29" s="495">
        <f t="shared" ref="M29:M41" si="5">(J29-E29)/E29</f>
        <v>0.13033707865168534</v>
      </c>
      <c r="N29" s="329">
        <f>(K29-Transactions!E626)/Transactions!E626</f>
        <v>3.2956605483798064E-2</v>
      </c>
      <c r="O29" s="415"/>
      <c r="P29" s="357"/>
      <c r="Q29" s="327"/>
      <c r="R29" s="327"/>
      <c r="S29" s="309"/>
      <c r="T29" s="328"/>
      <c r="U29" s="5"/>
      <c r="V29" s="5"/>
      <c r="W29" s="5"/>
      <c r="X29" s="5"/>
      <c r="Y29" s="5"/>
      <c r="Z29" s="5"/>
    </row>
    <row r="30" spans="1:26" ht="12.75" customHeight="1">
      <c r="A30" s="322">
        <v>22</v>
      </c>
      <c r="B30" s="39" t="s">
        <v>549</v>
      </c>
      <c r="C30" s="362" t="s">
        <v>550</v>
      </c>
      <c r="D30" s="363">
        <v>9</v>
      </c>
      <c r="E30" s="350">
        <v>261.83999999999997</v>
      </c>
      <c r="F30" s="352">
        <f t="shared" si="1"/>
        <v>2356.56</v>
      </c>
      <c r="G30" s="357">
        <f>F30/$F$82</f>
        <v>1.3620127243947696E-2</v>
      </c>
      <c r="H30" s="363"/>
      <c r="I30" s="363">
        <v>9</v>
      </c>
      <c r="J30" s="350">
        <v>389.38</v>
      </c>
      <c r="K30" s="352">
        <f t="shared" si="2"/>
        <v>3504.42</v>
      </c>
      <c r="L30" s="353">
        <f t="shared" si="0"/>
        <v>1.5509709733659297E-2</v>
      </c>
      <c r="M30" s="495">
        <f t="shared" si="5"/>
        <v>0.48709135349831972</v>
      </c>
      <c r="N30" s="329">
        <f>(K30-Transactions!E657)/Transactions!E657</f>
        <v>0.43323027090694943</v>
      </c>
      <c r="O30" s="415"/>
      <c r="P30" s="357"/>
      <c r="Q30" s="327"/>
      <c r="R30" s="327"/>
      <c r="S30" s="309"/>
      <c r="T30" s="328"/>
      <c r="U30" s="5"/>
      <c r="V30" s="5"/>
      <c r="W30" s="5"/>
      <c r="X30" s="5"/>
      <c r="Y30" s="5"/>
      <c r="Z30" s="5"/>
    </row>
    <row r="31" spans="1:26" ht="12.75" customHeight="1">
      <c r="A31" s="322">
        <v>23</v>
      </c>
      <c r="B31" s="126" t="s">
        <v>551</v>
      </c>
      <c r="C31" s="362" t="s">
        <v>552</v>
      </c>
      <c r="D31" s="363">
        <v>7</v>
      </c>
      <c r="E31" s="350">
        <v>171.87</v>
      </c>
      <c r="F31" s="352">
        <f t="shared" si="1"/>
        <v>1203.0900000000001</v>
      </c>
      <c r="G31" s="357">
        <f>F31/$F$82</f>
        <v>6.9534571094820568E-3</v>
      </c>
      <c r="H31" s="363"/>
      <c r="I31" s="363">
        <v>7</v>
      </c>
      <c r="J31" s="350">
        <v>279.64</v>
      </c>
      <c r="K31" s="352">
        <f t="shared" si="2"/>
        <v>1957.48</v>
      </c>
      <c r="L31" s="353">
        <f t="shared" si="0"/>
        <v>8.6633299117809502E-3</v>
      </c>
      <c r="M31" s="495">
        <f t="shared" si="5"/>
        <v>0.62704369581660546</v>
      </c>
      <c r="N31" s="329">
        <f>(K31-Transactions!E610)/Transactions!E610</f>
        <v>0.32000836182422654</v>
      </c>
      <c r="O31" s="415"/>
      <c r="P31" s="357"/>
      <c r="Q31" s="327"/>
      <c r="R31" s="327"/>
      <c r="S31" s="309"/>
      <c r="T31" s="328"/>
      <c r="U31" s="5"/>
      <c r="V31" s="5"/>
      <c r="W31" s="5"/>
      <c r="X31" s="5"/>
      <c r="Y31" s="5"/>
      <c r="Z31" s="5"/>
    </row>
    <row r="32" spans="1:26" ht="12.75" customHeight="1">
      <c r="A32" s="322">
        <v>24</v>
      </c>
      <c r="B32" s="374" t="s">
        <v>40</v>
      </c>
      <c r="C32" s="362" t="s">
        <v>41</v>
      </c>
      <c r="D32" s="363">
        <v>75</v>
      </c>
      <c r="E32" s="350">
        <v>101.57</v>
      </c>
      <c r="F32" s="352">
        <f t="shared" si="1"/>
        <v>7617.7499999999991</v>
      </c>
      <c r="G32" s="357">
        <f>F32/$F$82</f>
        <v>4.4028042703170109E-2</v>
      </c>
      <c r="H32" s="363"/>
      <c r="I32" s="363">
        <v>75</v>
      </c>
      <c r="J32" s="350">
        <v>157.69999999999999</v>
      </c>
      <c r="K32" s="352">
        <f t="shared" si="2"/>
        <v>11827.5</v>
      </c>
      <c r="L32" s="353">
        <f t="shared" si="0"/>
        <v>5.2345635476014674E-2</v>
      </c>
      <c r="M32" s="495">
        <f t="shared" si="5"/>
        <v>0.55262380624200058</v>
      </c>
      <c r="N32" s="329">
        <f>(K32-Transactions!G1663)/Transactions!G1663</f>
        <v>5.1940298507462686</v>
      </c>
      <c r="O32" s="415"/>
      <c r="P32" s="357"/>
      <c r="Q32" s="327"/>
      <c r="R32" s="327"/>
      <c r="S32" s="309"/>
      <c r="T32" s="328"/>
      <c r="U32" s="5"/>
      <c r="V32" s="5"/>
      <c r="W32" s="5"/>
      <c r="X32" s="5"/>
      <c r="Y32" s="5"/>
      <c r="Z32" s="5"/>
    </row>
    <row r="33" spans="1:26" ht="12.75" customHeight="1">
      <c r="A33" s="322">
        <v>25</v>
      </c>
      <c r="B33" s="361" t="s">
        <v>629</v>
      </c>
      <c r="C33" s="362" t="s">
        <v>194</v>
      </c>
      <c r="D33" s="363"/>
      <c r="E33" s="350"/>
      <c r="F33" s="352"/>
      <c r="G33" s="357"/>
      <c r="H33" s="363"/>
      <c r="I33" s="363">
        <v>25</v>
      </c>
      <c r="J33" s="350">
        <v>235.3</v>
      </c>
      <c r="K33" s="352">
        <f t="shared" si="2"/>
        <v>5882.5</v>
      </c>
      <c r="L33" s="353">
        <f t="shared" si="0"/>
        <v>2.6034512846134544E-2</v>
      </c>
      <c r="M33" s="495"/>
      <c r="N33" s="329">
        <f>(K33-Transactions!E410-Transactions!E494)/(Transactions!E494+Transactions!E410)</f>
        <v>0.23670268679308751</v>
      </c>
      <c r="O33" s="414"/>
      <c r="P33" s="357"/>
      <c r="Q33" s="327"/>
      <c r="R33" s="327"/>
      <c r="S33" s="309"/>
      <c r="T33" s="328"/>
      <c r="U33" s="5"/>
      <c r="V33" s="5"/>
      <c r="W33" s="5"/>
      <c r="X33" s="5"/>
      <c r="Y33" s="5"/>
      <c r="Z33" s="5"/>
    </row>
    <row r="34" spans="1:26" ht="12.75" customHeight="1">
      <c r="A34" s="322">
        <v>27</v>
      </c>
      <c r="B34" s="374" t="s">
        <v>256</v>
      </c>
      <c r="C34" s="362" t="s">
        <v>257</v>
      </c>
      <c r="D34" s="363">
        <v>60</v>
      </c>
      <c r="E34" s="350">
        <v>91.92</v>
      </c>
      <c r="F34" s="352">
        <f t="shared" si="1"/>
        <v>5515.2</v>
      </c>
      <c r="G34" s="357">
        <f>F34/$F$82</f>
        <v>3.1876008154182504E-2</v>
      </c>
      <c r="H34" s="363"/>
      <c r="I34" s="363">
        <v>60</v>
      </c>
      <c r="J34" s="350">
        <v>124.9</v>
      </c>
      <c r="K34" s="352">
        <f t="shared" si="2"/>
        <v>7494</v>
      </c>
      <c r="L34" s="353">
        <f t="shared" si="0"/>
        <v>3.3166619510230727E-2</v>
      </c>
      <c r="M34" s="495">
        <f t="shared" si="5"/>
        <v>0.35879025239338558</v>
      </c>
      <c r="N34" s="329">
        <f>(K34-Transactions!E709)/Transactions!E709</f>
        <v>1.4519122232437618</v>
      </c>
      <c r="O34" s="415"/>
      <c r="P34" s="357"/>
      <c r="Q34" s="327"/>
      <c r="R34" s="327"/>
      <c r="S34" s="309"/>
      <c r="T34" s="328"/>
      <c r="U34" s="5"/>
      <c r="V34" s="5"/>
      <c r="W34" s="5"/>
      <c r="X34" s="5"/>
      <c r="Y34" s="5"/>
      <c r="Z34" s="5"/>
    </row>
    <row r="35" spans="1:26" ht="12.75" customHeight="1">
      <c r="A35" s="322">
        <v>28</v>
      </c>
      <c r="B35" s="374" t="s">
        <v>365</v>
      </c>
      <c r="C35" s="362" t="s">
        <v>80</v>
      </c>
      <c r="D35" s="363">
        <v>60</v>
      </c>
      <c r="E35" s="350">
        <v>52.05</v>
      </c>
      <c r="F35" s="352">
        <f t="shared" si="1"/>
        <v>3123</v>
      </c>
      <c r="G35" s="357">
        <f>F35/$F$82</f>
        <v>1.8049893651275017E-2</v>
      </c>
      <c r="H35" s="363"/>
      <c r="I35" s="363">
        <v>60</v>
      </c>
      <c r="J35" s="350">
        <v>59.05</v>
      </c>
      <c r="K35" s="352">
        <f t="shared" si="2"/>
        <v>3543</v>
      </c>
      <c r="L35" s="353">
        <f t="shared" si="0"/>
        <v>1.5680455420969772E-2</v>
      </c>
      <c r="M35" s="495">
        <f t="shared" si="5"/>
        <v>0.13448607108549473</v>
      </c>
      <c r="N35" s="329">
        <f>(K35-Transactions!E953)/Transactions!E953</f>
        <v>0.78866221394278102</v>
      </c>
      <c r="O35" s="415"/>
      <c r="P35" s="357"/>
      <c r="Q35" s="327"/>
      <c r="R35" s="327"/>
      <c r="S35" s="309"/>
      <c r="T35" s="328"/>
      <c r="U35" s="5"/>
      <c r="V35" s="5"/>
      <c r="W35" s="5"/>
      <c r="X35" s="5"/>
      <c r="Y35" s="5"/>
      <c r="Z35" s="5"/>
    </row>
    <row r="36" spans="1:26" ht="12.75" customHeight="1">
      <c r="A36" s="322">
        <v>29</v>
      </c>
      <c r="B36" s="361" t="s">
        <v>630</v>
      </c>
      <c r="C36" s="362" t="s">
        <v>124</v>
      </c>
      <c r="D36" s="363"/>
      <c r="E36" s="350"/>
      <c r="F36" s="352"/>
      <c r="G36" s="357"/>
      <c r="H36" s="363"/>
      <c r="I36" s="363">
        <v>43</v>
      </c>
      <c r="J36" s="350">
        <v>61.06</v>
      </c>
      <c r="K36" s="352">
        <f t="shared" si="2"/>
        <v>2625.58</v>
      </c>
      <c r="L36" s="353">
        <f t="shared" si="0"/>
        <v>1.1620177856107765E-2</v>
      </c>
      <c r="M36" s="495"/>
      <c r="N36" s="329">
        <f>(K36-Transactions!E510)/Transactions!E510</f>
        <v>0.11920407001899029</v>
      </c>
      <c r="O36" s="416"/>
      <c r="P36" s="357"/>
      <c r="Q36" s="327"/>
      <c r="R36" s="327"/>
      <c r="S36" s="309"/>
      <c r="T36" s="328"/>
      <c r="U36" s="5"/>
      <c r="V36" s="5"/>
      <c r="W36" s="5"/>
      <c r="X36" s="5"/>
      <c r="Y36" s="5"/>
      <c r="Z36" s="5"/>
    </row>
    <row r="37" spans="1:26" ht="12.75" customHeight="1">
      <c r="A37" s="322">
        <v>30</v>
      </c>
      <c r="B37" s="361" t="s">
        <v>631</v>
      </c>
      <c r="C37" s="362" t="s">
        <v>611</v>
      </c>
      <c r="D37" s="363">
        <v>94</v>
      </c>
      <c r="E37" s="350">
        <v>35.700000000000003</v>
      </c>
      <c r="F37" s="352">
        <f t="shared" si="1"/>
        <v>3355.8</v>
      </c>
      <c r="G37" s="357">
        <f>F37/$F$82</f>
        <v>1.9395399652561224E-2</v>
      </c>
      <c r="H37" s="363"/>
      <c r="I37" s="363">
        <v>94</v>
      </c>
      <c r="J37" s="350">
        <v>53.31</v>
      </c>
      <c r="K37" s="352">
        <f t="shared" si="2"/>
        <v>5011.1400000000003</v>
      </c>
      <c r="L37" s="353">
        <f t="shared" si="0"/>
        <v>2.2178085627501683E-2</v>
      </c>
      <c r="M37" s="495">
        <f t="shared" si="5"/>
        <v>0.49327731092436972</v>
      </c>
      <c r="N37" s="329">
        <f>(K37-Transactions!E554)/Transactions!E554</f>
        <v>0.2449789817842131</v>
      </c>
      <c r="O37" s="416"/>
      <c r="P37" s="357"/>
      <c r="Q37" s="327"/>
      <c r="R37" s="327"/>
      <c r="S37" s="309"/>
      <c r="T37" s="328"/>
      <c r="U37" s="5"/>
      <c r="V37" s="5"/>
      <c r="W37" s="5"/>
      <c r="X37" s="5"/>
      <c r="Y37" s="5"/>
      <c r="Z37" s="5"/>
    </row>
    <row r="38" spans="1:26" ht="12.75" customHeight="1">
      <c r="A38" s="322">
        <v>31</v>
      </c>
      <c r="B38" s="361" t="s">
        <v>632</v>
      </c>
      <c r="C38" s="362" t="s">
        <v>633</v>
      </c>
      <c r="D38" s="363"/>
      <c r="E38" s="350"/>
      <c r="F38" s="352"/>
      <c r="G38" s="357"/>
      <c r="H38" s="363"/>
      <c r="I38" s="363">
        <v>20</v>
      </c>
      <c r="J38" s="350">
        <v>146.97999999999999</v>
      </c>
      <c r="K38" s="352">
        <f t="shared" si="2"/>
        <v>2939.6</v>
      </c>
      <c r="L38" s="353">
        <f t="shared" si="0"/>
        <v>1.3009953924776387E-2</v>
      </c>
      <c r="M38" s="495"/>
      <c r="N38" s="538">
        <f>(K38-Transactions!E418)/(Transactions!E418)</f>
        <v>3.8678074524445341E-3</v>
      </c>
      <c r="O38" s="416"/>
      <c r="P38" s="357"/>
      <c r="Q38" s="327"/>
      <c r="R38" s="327"/>
      <c r="S38" s="309"/>
      <c r="T38" s="328"/>
      <c r="U38" s="5"/>
      <c r="V38" s="5"/>
      <c r="W38" s="5"/>
      <c r="X38" s="5"/>
      <c r="Y38" s="5"/>
      <c r="Z38" s="5"/>
    </row>
    <row r="39" spans="1:26" ht="12.75" customHeight="1">
      <c r="A39" s="322">
        <v>32</v>
      </c>
      <c r="B39" s="361" t="s">
        <v>469</v>
      </c>
      <c r="C39" s="362" t="s">
        <v>470</v>
      </c>
      <c r="D39" s="363">
        <v>28</v>
      </c>
      <c r="E39" s="350">
        <v>109.65</v>
      </c>
      <c r="F39" s="352">
        <f t="shared" si="1"/>
        <v>3070.2000000000003</v>
      </c>
      <c r="G39" s="357">
        <f>F39/$F$82</f>
        <v>1.7744727341704951E-2</v>
      </c>
      <c r="H39" s="363"/>
      <c r="I39" s="363">
        <v>45</v>
      </c>
      <c r="J39" s="350">
        <v>144.63</v>
      </c>
      <c r="K39" s="352">
        <f t="shared" si="2"/>
        <v>6508.3499999999995</v>
      </c>
      <c r="L39" s="353">
        <f t="shared" si="0"/>
        <v>2.8804372576649338E-2</v>
      </c>
      <c r="M39" s="495">
        <f t="shared" si="5"/>
        <v>0.31901504787961688</v>
      </c>
      <c r="N39" s="1280">
        <f>(K39-Transactions!G651-Transactions!E401)/(Transactions!G651+Transactions!E401)</f>
        <v>0.1627487137694755</v>
      </c>
      <c r="O39" s="1342"/>
      <c r="P39" s="1343"/>
      <c r="Q39" s="328"/>
      <c r="R39" s="328"/>
      <c r="S39" s="309"/>
      <c r="T39" s="328"/>
      <c r="U39" s="5"/>
      <c r="V39" s="5"/>
      <c r="W39" s="5"/>
      <c r="X39" s="5"/>
      <c r="Y39" s="5"/>
      <c r="Z39" s="5"/>
    </row>
    <row r="40" spans="1:26" ht="12.75" customHeight="1">
      <c r="A40" s="322">
        <v>33</v>
      </c>
      <c r="B40" s="374" t="s">
        <v>422</v>
      </c>
      <c r="C40" s="362" t="s">
        <v>173</v>
      </c>
      <c r="D40" s="363">
        <v>40</v>
      </c>
      <c r="E40" s="350">
        <v>249.12</v>
      </c>
      <c r="F40" s="352">
        <f t="shared" si="1"/>
        <v>9964.7999999999993</v>
      </c>
      <c r="G40" s="357">
        <f>F40/$F$82</f>
        <v>5.7593205333405464E-2</v>
      </c>
      <c r="H40" s="363"/>
      <c r="I40" s="363">
        <v>40</v>
      </c>
      <c r="J40" s="350">
        <v>293.98</v>
      </c>
      <c r="K40" s="352">
        <f t="shared" si="2"/>
        <v>11759.2</v>
      </c>
      <c r="L40" s="353">
        <f t="shared" si="0"/>
        <v>5.2043356304337499E-2</v>
      </c>
      <c r="M40" s="495">
        <f t="shared" si="5"/>
        <v>0.18007385998715483</v>
      </c>
      <c r="N40" s="329">
        <f>(K40-Transactions!G669)/Transactions!G669</f>
        <v>4.0098841172460808</v>
      </c>
      <c r="O40" s="415"/>
      <c r="P40" s="357"/>
      <c r="Q40" s="327"/>
      <c r="R40" s="327"/>
      <c r="S40" s="309"/>
      <c r="T40" s="328"/>
      <c r="U40" s="5"/>
      <c r="V40" s="5"/>
      <c r="W40" s="5"/>
      <c r="X40" s="5"/>
      <c r="Y40" s="5"/>
      <c r="Z40" s="5"/>
    </row>
    <row r="41" spans="1:26" ht="12.75" customHeight="1">
      <c r="A41" s="322">
        <v>34</v>
      </c>
      <c r="B41" s="374" t="s">
        <v>467</v>
      </c>
      <c r="C41" s="362" t="s">
        <v>468</v>
      </c>
      <c r="D41" s="363">
        <v>40</v>
      </c>
      <c r="E41" s="350">
        <v>131.94</v>
      </c>
      <c r="F41" s="352">
        <f t="shared" si="1"/>
        <v>5277.6</v>
      </c>
      <c r="G41" s="357">
        <f>F41/$F$82</f>
        <v>3.0502759761117208E-2</v>
      </c>
      <c r="H41" s="363"/>
      <c r="I41" s="363">
        <v>40</v>
      </c>
      <c r="J41" s="350">
        <v>187.9</v>
      </c>
      <c r="K41" s="352">
        <f t="shared" si="2"/>
        <v>7516</v>
      </c>
      <c r="L41" s="353">
        <f t="shared" si="0"/>
        <v>3.3263986154109172E-2</v>
      </c>
      <c r="M41" s="495">
        <f t="shared" si="5"/>
        <v>0.4241321812945279</v>
      </c>
      <c r="N41" s="329">
        <f>(K41-Transactions!E853)/Transactions!E853</f>
        <v>1.8513006498507205</v>
      </c>
      <c r="O41" s="1344"/>
      <c r="P41" s="357"/>
      <c r="Q41" s="327"/>
      <c r="R41" s="327"/>
      <c r="S41" s="309"/>
      <c r="T41" s="328"/>
      <c r="U41" s="5"/>
      <c r="V41" s="5"/>
      <c r="W41" s="5"/>
      <c r="X41" s="5"/>
      <c r="Y41" s="5"/>
      <c r="Z41" s="5"/>
    </row>
    <row r="42" spans="1:26" ht="12.75" customHeight="1">
      <c r="A42" s="322"/>
      <c r="B42" s="1345" t="s">
        <v>375</v>
      </c>
      <c r="C42" s="362"/>
      <c r="D42" s="1283"/>
      <c r="E42" s="350"/>
      <c r="F42" s="120"/>
      <c r="G42" s="417">
        <f>F42/$F$82</f>
        <v>0</v>
      </c>
      <c r="H42" s="363"/>
      <c r="I42" s="363"/>
      <c r="J42" s="350"/>
      <c r="K42" s="581">
        <f>SUM(K9:K41)</f>
        <v>174110.51000000004</v>
      </c>
      <c r="L42" s="407">
        <f t="shared" si="0"/>
        <v>0.77057072830293882</v>
      </c>
      <c r="M42" s="495"/>
      <c r="N42" s="1284"/>
      <c r="O42" s="415"/>
      <c r="P42" s="535"/>
      <c r="Q42" s="327"/>
      <c r="R42" s="328"/>
      <c r="S42" s="309"/>
      <c r="T42" s="328"/>
      <c r="U42" s="5"/>
      <c r="V42" s="5"/>
      <c r="W42" s="5"/>
      <c r="X42" s="5"/>
      <c r="Y42" s="5"/>
      <c r="Z42" s="5"/>
    </row>
    <row r="43" spans="1:26" ht="12.75" customHeight="1">
      <c r="A43" s="322"/>
      <c r="B43" s="1346"/>
      <c r="C43" s="362"/>
      <c r="D43" s="1283"/>
      <c r="E43" s="74"/>
      <c r="F43" s="89"/>
      <c r="G43" s="357"/>
      <c r="H43" s="363"/>
      <c r="I43" s="363"/>
      <c r="J43" s="350"/>
      <c r="K43" s="352"/>
      <c r="L43" s="353"/>
      <c r="M43" s="495"/>
      <c r="N43" s="1284"/>
      <c r="O43" s="415"/>
      <c r="P43" s="535"/>
      <c r="Q43" s="327"/>
      <c r="R43" s="328"/>
      <c r="S43" s="309"/>
      <c r="T43" s="328"/>
      <c r="U43" s="5"/>
      <c r="V43" s="5"/>
      <c r="W43" s="5"/>
      <c r="X43" s="5"/>
      <c r="Y43" s="5"/>
      <c r="Z43" s="5"/>
    </row>
    <row r="44" spans="1:26" ht="12.75" customHeight="1">
      <c r="A44" s="322"/>
      <c r="B44" s="1345" t="s">
        <v>563</v>
      </c>
      <c r="C44" s="362"/>
      <c r="D44" s="1283"/>
      <c r="E44" s="74"/>
      <c r="F44" s="89"/>
      <c r="G44" s="357"/>
      <c r="H44" s="363"/>
      <c r="I44" s="363"/>
      <c r="J44" s="350"/>
      <c r="K44" s="352"/>
      <c r="L44" s="353"/>
      <c r="M44" s="495"/>
      <c r="N44" s="1284"/>
      <c r="O44" s="415"/>
      <c r="P44" s="535"/>
      <c r="Q44" s="327"/>
      <c r="R44" s="328"/>
      <c r="S44" s="309"/>
      <c r="T44" s="328"/>
      <c r="U44" s="5"/>
      <c r="V44" s="5"/>
      <c r="W44" s="5"/>
      <c r="X44" s="5"/>
      <c r="Y44" s="5"/>
      <c r="Z44" s="5"/>
    </row>
    <row r="45" spans="1:26" ht="12.75" customHeight="1">
      <c r="A45" s="322">
        <v>35</v>
      </c>
      <c r="B45" s="374" t="s">
        <v>367</v>
      </c>
      <c r="C45" s="362" t="s">
        <v>368</v>
      </c>
      <c r="D45" s="363">
        <v>254</v>
      </c>
      <c r="E45" s="350">
        <v>38.200000000000003</v>
      </c>
      <c r="F45" s="352">
        <f>D45*E45</f>
        <v>9702.8000000000011</v>
      </c>
      <c r="G45" s="357">
        <f>F45/$F$82</f>
        <v>5.6078933115463095E-2</v>
      </c>
      <c r="H45" s="363"/>
      <c r="I45" s="363">
        <v>254</v>
      </c>
      <c r="J45" s="350">
        <v>44.03</v>
      </c>
      <c r="K45" s="352">
        <f>I45*J45</f>
        <v>11183.62</v>
      </c>
      <c r="L45" s="353">
        <f>K45/$K$82</f>
        <v>4.949597935508495E-2</v>
      </c>
      <c r="M45" s="495">
        <f>(J45-E45)/E45</f>
        <v>0.15261780104712036</v>
      </c>
      <c r="N45" s="329">
        <f>(K45-Transactions!G682)/Transactions!G682</f>
        <v>0.28581940429954733</v>
      </c>
      <c r="O45" s="415"/>
      <c r="P45" s="357"/>
      <c r="Q45" s="327"/>
      <c r="R45" s="327"/>
      <c r="S45" s="309"/>
      <c r="T45" s="328"/>
      <c r="U45" s="5"/>
      <c r="V45" s="5"/>
      <c r="W45" s="5"/>
      <c r="X45" s="5"/>
      <c r="Y45" s="5"/>
      <c r="Z45" s="5"/>
    </row>
    <row r="46" spans="1:26" ht="12.75" customHeight="1">
      <c r="A46" s="322">
        <v>36</v>
      </c>
      <c r="B46" s="374" t="s">
        <v>371</v>
      </c>
      <c r="C46" s="362" t="s">
        <v>372</v>
      </c>
      <c r="D46" s="363">
        <v>81</v>
      </c>
      <c r="E46" s="350">
        <v>77.989999999999995</v>
      </c>
      <c r="F46" s="352">
        <f>D46*E46</f>
        <v>6317.19</v>
      </c>
      <c r="G46" s="357">
        <f>F46/$F$82</f>
        <v>3.6511241650623763E-2</v>
      </c>
      <c r="H46" s="363"/>
      <c r="I46" s="363">
        <v>81</v>
      </c>
      <c r="J46" s="350">
        <v>93.71</v>
      </c>
      <c r="K46" s="352">
        <f>I46*J46</f>
        <v>7590.5099999999993</v>
      </c>
      <c r="L46" s="353">
        <f>K46/$K$82</f>
        <v>3.3593749273899312E-2</v>
      </c>
      <c r="M46" s="495">
        <f>(J46-E46)/E46</f>
        <v>0.20156430311578408</v>
      </c>
      <c r="N46" s="329">
        <f>(K46-Transactions!E961)/Transactions!E961</f>
        <v>0.52382242939996748</v>
      </c>
      <c r="O46" s="415"/>
      <c r="P46" s="357"/>
      <c r="Q46" s="327"/>
      <c r="R46" s="327"/>
      <c r="S46" s="309"/>
      <c r="T46" s="328"/>
      <c r="U46" s="5"/>
      <c r="V46" s="5"/>
      <c r="W46" s="5"/>
      <c r="X46" s="5"/>
      <c r="Y46" s="5"/>
      <c r="Z46" s="5"/>
    </row>
    <row r="47" spans="1:26" ht="12.75" customHeight="1">
      <c r="A47" s="322"/>
      <c r="B47" s="1345" t="s">
        <v>375</v>
      </c>
      <c r="C47" s="362"/>
      <c r="D47" s="1283"/>
      <c r="E47" s="74"/>
      <c r="F47" s="120"/>
      <c r="G47" s="121"/>
      <c r="H47" s="130"/>
      <c r="I47" s="363"/>
      <c r="J47" s="350"/>
      <c r="K47" s="581">
        <f>SUM(K45:K46)</f>
        <v>18774.13</v>
      </c>
      <c r="L47" s="407">
        <f>K47/$K$82</f>
        <v>8.3089728628984255E-2</v>
      </c>
      <c r="M47" s="495"/>
      <c r="N47" s="1284"/>
      <c r="O47" s="1347"/>
      <c r="P47" s="357"/>
      <c r="Q47" s="327"/>
      <c r="R47" s="327"/>
      <c r="S47" s="309"/>
      <c r="T47" s="328"/>
      <c r="U47" s="5"/>
      <c r="V47" s="5"/>
      <c r="W47" s="5"/>
      <c r="X47" s="5"/>
      <c r="Y47" s="5"/>
      <c r="Z47" s="5"/>
    </row>
    <row r="48" spans="1:26" ht="12.75" customHeight="1">
      <c r="A48" s="322"/>
      <c r="B48" s="1346"/>
      <c r="C48" s="362"/>
      <c r="D48" s="1283"/>
      <c r="E48" s="74"/>
      <c r="F48" s="89"/>
      <c r="G48" s="121"/>
      <c r="H48" s="130"/>
      <c r="I48" s="363"/>
      <c r="J48" s="350"/>
      <c r="K48" s="352"/>
      <c r="L48" s="353"/>
      <c r="M48" s="495"/>
      <c r="N48" s="1284"/>
      <c r="O48" s="415"/>
      <c r="P48" s="535"/>
      <c r="Q48" s="327"/>
      <c r="R48" s="328"/>
      <c r="S48" s="309"/>
      <c r="T48" s="328"/>
      <c r="U48" s="5"/>
      <c r="V48" s="5"/>
      <c r="W48" s="5"/>
      <c r="X48" s="5"/>
      <c r="Y48" s="5"/>
      <c r="Z48" s="5"/>
    </row>
    <row r="49" spans="1:26" ht="12.75" customHeight="1">
      <c r="A49" s="322"/>
      <c r="B49" s="1345" t="s">
        <v>567</v>
      </c>
      <c r="C49" s="362"/>
      <c r="D49" s="1283"/>
      <c r="E49" s="74"/>
      <c r="F49" s="89"/>
      <c r="G49" s="121"/>
      <c r="H49" s="130"/>
      <c r="I49" s="363"/>
      <c r="J49" s="350"/>
      <c r="K49" s="352"/>
      <c r="L49" s="353"/>
      <c r="M49" s="495"/>
      <c r="N49" s="1284"/>
      <c r="O49" s="415"/>
      <c r="P49" s="535"/>
      <c r="Q49" s="327"/>
      <c r="R49" s="328"/>
      <c r="S49" s="309"/>
      <c r="T49" s="328"/>
      <c r="U49" s="5"/>
      <c r="V49" s="5"/>
      <c r="W49" s="5"/>
      <c r="X49" s="5"/>
      <c r="Y49" s="5"/>
      <c r="Z49" s="5"/>
    </row>
    <row r="50" spans="1:26" ht="12.75" customHeight="1">
      <c r="A50" s="532">
        <v>37</v>
      </c>
      <c r="B50" s="533" t="s">
        <v>634</v>
      </c>
      <c r="C50" s="362" t="s">
        <v>358</v>
      </c>
      <c r="D50" s="130"/>
      <c r="E50" s="350"/>
      <c r="F50" s="89"/>
      <c r="G50" s="121"/>
      <c r="H50" s="130"/>
      <c r="I50" s="363">
        <v>80</v>
      </c>
      <c r="J50" s="350">
        <v>112.37</v>
      </c>
      <c r="K50" s="352">
        <f>I50*J50</f>
        <v>8989.6</v>
      </c>
      <c r="L50" s="353">
        <f>K50/$K$82</f>
        <v>3.97857809913491E-2</v>
      </c>
      <c r="M50" s="495"/>
      <c r="N50" s="329">
        <f>(K50-Transactions!E482)/Transactions!E482</f>
        <v>-3.4524868458741783E-3</v>
      </c>
      <c r="O50" s="415"/>
      <c r="P50" s="535"/>
      <c r="Q50" s="327"/>
      <c r="R50" s="328"/>
      <c r="S50" s="309"/>
      <c r="T50" s="328"/>
      <c r="U50" s="5"/>
      <c r="V50" s="5"/>
      <c r="W50" s="5"/>
      <c r="X50" s="5"/>
      <c r="Y50" s="5"/>
      <c r="Z50" s="5"/>
    </row>
    <row r="51" spans="1:26" ht="12.75" customHeight="1">
      <c r="A51" s="532">
        <v>38</v>
      </c>
      <c r="B51" s="536" t="s">
        <v>635</v>
      </c>
      <c r="C51" s="362" t="s">
        <v>636</v>
      </c>
      <c r="D51" s="130"/>
      <c r="E51" s="350"/>
      <c r="F51" s="89"/>
      <c r="G51" s="121"/>
      <c r="H51" s="130"/>
      <c r="I51" s="363">
        <v>65</v>
      </c>
      <c r="J51" s="350">
        <v>83.86</v>
      </c>
      <c r="K51" s="352">
        <f>I51*J51</f>
        <v>5450.9</v>
      </c>
      <c r="L51" s="353">
        <f>K51/$K$82</f>
        <v>2.4124356323501024E-2</v>
      </c>
      <c r="M51" s="495"/>
      <c r="N51" s="329">
        <f>(K51-Transactions!E470)/Transactions!E470</f>
        <v>-2.6651887812322726E-3</v>
      </c>
      <c r="O51" s="415"/>
      <c r="P51" s="535"/>
      <c r="Q51" s="327"/>
      <c r="R51" s="328"/>
      <c r="S51" s="309"/>
      <c r="T51" s="328"/>
      <c r="U51" s="5"/>
      <c r="V51" s="5"/>
      <c r="W51" s="5"/>
      <c r="X51" s="5"/>
      <c r="Y51" s="5"/>
      <c r="Z51" s="5"/>
    </row>
    <row r="52" spans="1:26" ht="12.75" customHeight="1">
      <c r="A52" s="540">
        <v>39</v>
      </c>
      <c r="B52" s="539" t="s">
        <v>637</v>
      </c>
      <c r="C52" s="362" t="s">
        <v>638</v>
      </c>
      <c r="D52" s="130"/>
      <c r="E52" s="350"/>
      <c r="F52" s="89"/>
      <c r="G52" s="121"/>
      <c r="H52" s="130"/>
      <c r="I52" s="363">
        <v>200</v>
      </c>
      <c r="J52" s="350">
        <v>29.38</v>
      </c>
      <c r="K52" s="352">
        <f>I52*J52</f>
        <v>5876</v>
      </c>
      <c r="L52" s="353">
        <f>K52/$K$82</f>
        <v>2.6005745428625E-2</v>
      </c>
      <c r="M52" s="495"/>
      <c r="N52" s="538">
        <f>(K52-Transactions!E397)/Transactions!E397</f>
        <v>-5.6890290746274535E-3</v>
      </c>
      <c r="O52" s="415"/>
      <c r="P52" s="535"/>
      <c r="Q52" s="327"/>
      <c r="R52" s="328"/>
      <c r="S52" s="309"/>
      <c r="T52" s="328"/>
      <c r="U52" s="5"/>
      <c r="V52" s="5"/>
      <c r="W52" s="5"/>
      <c r="X52" s="5"/>
      <c r="Y52" s="5"/>
      <c r="Z52" s="5"/>
    </row>
    <row r="53" spans="1:26" ht="12.75" customHeight="1">
      <c r="A53" s="532">
        <v>40</v>
      </c>
      <c r="B53" s="536" t="s">
        <v>639</v>
      </c>
      <c r="C53" s="362" t="s">
        <v>622</v>
      </c>
      <c r="D53" s="130"/>
      <c r="E53" s="350"/>
      <c r="F53" s="89"/>
      <c r="G53" s="121"/>
      <c r="H53" s="130"/>
      <c r="I53" s="363">
        <v>16</v>
      </c>
      <c r="J53" s="350">
        <v>3.01</v>
      </c>
      <c r="K53" s="352">
        <f>I53*J53</f>
        <v>48.16</v>
      </c>
      <c r="L53" s="353">
        <f>K53/$K$82</f>
        <v>2.1314443496299863E-4</v>
      </c>
      <c r="M53" s="495"/>
      <c r="N53" s="538"/>
      <c r="O53" s="415"/>
      <c r="P53" s="535"/>
      <c r="Q53" s="327"/>
      <c r="R53" s="328"/>
      <c r="S53" s="309"/>
      <c r="T53" s="328"/>
      <c r="U53" s="5"/>
      <c r="V53" s="5"/>
      <c r="W53" s="5"/>
      <c r="X53" s="5"/>
      <c r="Y53" s="5"/>
      <c r="Z53" s="5"/>
    </row>
    <row r="54" spans="1:26" ht="12.75" customHeight="1">
      <c r="A54" s="322"/>
      <c r="B54" s="1345" t="s">
        <v>375</v>
      </c>
      <c r="C54" s="362"/>
      <c r="D54" s="1283"/>
      <c r="E54" s="74"/>
      <c r="F54" s="75"/>
      <c r="G54" s="131"/>
      <c r="H54" s="130"/>
      <c r="I54" s="363"/>
      <c r="J54" s="350"/>
      <c r="K54" s="581">
        <f>SUM(K50:K53)</f>
        <v>20364.66</v>
      </c>
      <c r="L54" s="407">
        <f>K54/$K$82</f>
        <v>9.0129027178438126E-2</v>
      </c>
      <c r="M54" s="495"/>
      <c r="N54" s="1284"/>
      <c r="O54" s="336"/>
      <c r="P54" s="326"/>
      <c r="Q54" s="327"/>
      <c r="R54" s="328"/>
      <c r="S54" s="309"/>
      <c r="T54" s="328"/>
      <c r="U54" s="5"/>
      <c r="V54" s="5"/>
      <c r="W54" s="5"/>
      <c r="X54" s="5"/>
      <c r="Y54" s="5"/>
      <c r="Z54" s="5"/>
    </row>
    <row r="55" spans="1:26" ht="12.75" customHeight="1">
      <c r="A55" s="322"/>
      <c r="B55" s="361"/>
      <c r="C55" s="361"/>
      <c r="D55" s="379"/>
      <c r="E55" s="380"/>
      <c r="F55" s="381"/>
      <c r="G55" s="382"/>
      <c r="H55" s="383"/>
      <c r="I55" s="383"/>
      <c r="J55" s="384"/>
      <c r="K55" s="385"/>
      <c r="L55" s="386"/>
      <c r="M55" s="895"/>
      <c r="N55" s="329"/>
      <c r="O55" s="327"/>
      <c r="P55" s="326"/>
      <c r="Q55" s="327"/>
      <c r="R55" s="328"/>
      <c r="S55" s="309"/>
      <c r="T55" s="328"/>
      <c r="U55" s="5"/>
      <c r="V55" s="5"/>
      <c r="W55" s="5"/>
      <c r="X55" s="5"/>
      <c r="Y55" s="5"/>
      <c r="Z55" s="5"/>
    </row>
    <row r="56" spans="1:26" ht="12.75" customHeight="1">
      <c r="A56" s="46"/>
      <c r="B56" s="418" t="s">
        <v>52</v>
      </c>
      <c r="C56" s="419"/>
      <c r="D56" s="379"/>
      <c r="E56" s="380"/>
      <c r="F56" s="381"/>
      <c r="G56" s="382"/>
      <c r="H56" s="383"/>
      <c r="I56" s="383"/>
      <c r="J56" s="384"/>
      <c r="K56" s="385"/>
      <c r="L56" s="386"/>
      <c r="M56" s="895"/>
      <c r="N56" s="332"/>
      <c r="O56" s="325"/>
      <c r="P56" s="326"/>
      <c r="Q56" s="327"/>
      <c r="R56" s="309"/>
      <c r="S56" s="309"/>
      <c r="T56" s="328"/>
      <c r="U56" s="5"/>
      <c r="V56" s="5"/>
      <c r="W56" s="5"/>
      <c r="X56" s="5"/>
      <c r="Y56" s="5"/>
      <c r="Z56" s="5"/>
    </row>
    <row r="57" spans="1:26" ht="12.75" customHeight="1">
      <c r="A57" s="311"/>
      <c r="B57" s="314" t="s">
        <v>570</v>
      </c>
      <c r="C57" s="315" t="s">
        <v>8</v>
      </c>
      <c r="D57" s="316" t="s">
        <v>9</v>
      </c>
      <c r="E57" s="317" t="s">
        <v>436</v>
      </c>
      <c r="F57" s="317" t="s">
        <v>437</v>
      </c>
      <c r="G57" s="317" t="s">
        <v>438</v>
      </c>
      <c r="H57" s="318" t="s">
        <v>439</v>
      </c>
      <c r="I57" s="319" t="s">
        <v>440</v>
      </c>
      <c r="J57" s="319" t="s">
        <v>15</v>
      </c>
      <c r="K57" s="321" t="s">
        <v>508</v>
      </c>
      <c r="L57" s="320"/>
      <c r="M57" s="132"/>
      <c r="N57" s="132"/>
      <c r="O57" s="1286"/>
      <c r="P57" s="326"/>
      <c r="Q57" s="327"/>
      <c r="R57" s="309"/>
      <c r="S57" s="309"/>
      <c r="T57" s="328"/>
      <c r="U57" s="5"/>
      <c r="V57" s="5"/>
      <c r="W57" s="5"/>
      <c r="X57" s="5"/>
      <c r="Y57" s="5"/>
      <c r="Z57" s="5"/>
    </row>
    <row r="58" spans="1:26" ht="12.75" customHeight="1">
      <c r="A58" s="322">
        <v>1</v>
      </c>
      <c r="B58" s="374" t="s">
        <v>640</v>
      </c>
      <c r="C58" s="362" t="s">
        <v>562</v>
      </c>
      <c r="D58" s="130">
        <v>32</v>
      </c>
      <c r="E58" s="74">
        <v>37.549999999999997</v>
      </c>
      <c r="F58" s="74">
        <v>38.44</v>
      </c>
      <c r="G58" s="366">
        <f>E58*D58</f>
        <v>1201.5999999999999</v>
      </c>
      <c r="H58" s="350">
        <f t="shared" ref="H58:H74" si="6">F58*D58</f>
        <v>1230.08</v>
      </c>
      <c r="I58" s="531">
        <f t="shared" ref="I58:I67" si="7">G58-H58</f>
        <v>-28.480000000000018</v>
      </c>
      <c r="J58" s="356">
        <f t="shared" ref="J58:J67" si="8">I58/H58</f>
        <v>-2.3152965660770047E-2</v>
      </c>
      <c r="K58" s="349">
        <v>43507</v>
      </c>
      <c r="L58" s="367"/>
      <c r="M58" s="2026"/>
      <c r="N58" s="2000"/>
      <c r="O58" s="1286"/>
      <c r="P58" s="326"/>
      <c r="Q58" s="327"/>
      <c r="R58" s="309"/>
      <c r="S58" s="309"/>
      <c r="T58" s="328"/>
      <c r="U58" s="5"/>
      <c r="V58" s="5"/>
      <c r="W58" s="5"/>
      <c r="X58" s="5"/>
      <c r="Y58" s="5"/>
      <c r="Z58" s="5"/>
    </row>
    <row r="59" spans="1:26" ht="12.75" customHeight="1">
      <c r="A59" s="322">
        <v>2</v>
      </c>
      <c r="B59" s="361" t="s">
        <v>608</v>
      </c>
      <c r="C59" s="362" t="s">
        <v>609</v>
      </c>
      <c r="D59" s="130">
        <v>30</v>
      </c>
      <c r="E59" s="74">
        <v>81.92</v>
      </c>
      <c r="F59" s="74">
        <v>83.44</v>
      </c>
      <c r="G59" s="366">
        <f t="shared" ref="G59:G73" si="9">D59*E59</f>
        <v>2457.6</v>
      </c>
      <c r="H59" s="350">
        <f t="shared" si="6"/>
        <v>2503.1999999999998</v>
      </c>
      <c r="I59" s="531">
        <f t="shared" si="7"/>
        <v>-45.599999999999909</v>
      </c>
      <c r="J59" s="356">
        <f t="shared" si="8"/>
        <v>-1.8216682646212814E-2</v>
      </c>
      <c r="K59" s="349">
        <v>43528</v>
      </c>
      <c r="L59" s="367"/>
      <c r="M59" s="324"/>
      <c r="N59" s="408"/>
      <c r="O59" s="325"/>
      <c r="P59" s="326"/>
      <c r="Q59" s="327"/>
      <c r="R59" s="309"/>
      <c r="S59" s="309"/>
      <c r="T59" s="328"/>
      <c r="U59" s="5"/>
      <c r="V59" s="5"/>
      <c r="W59" s="5"/>
      <c r="X59" s="5"/>
      <c r="Y59" s="5"/>
      <c r="Z59" s="5"/>
    </row>
    <row r="60" spans="1:26" ht="12.75" customHeight="1">
      <c r="A60" s="322">
        <v>3</v>
      </c>
      <c r="B60" s="374" t="s">
        <v>537</v>
      </c>
      <c r="C60" s="375" t="s">
        <v>538</v>
      </c>
      <c r="D60" s="351">
        <v>13</v>
      </c>
      <c r="E60" s="74">
        <v>185.739</v>
      </c>
      <c r="F60" s="74">
        <v>188.61</v>
      </c>
      <c r="G60" s="366">
        <f t="shared" si="9"/>
        <v>2414.607</v>
      </c>
      <c r="H60" s="350">
        <f t="shared" si="6"/>
        <v>2451.9300000000003</v>
      </c>
      <c r="I60" s="531">
        <f t="shared" si="7"/>
        <v>-37.32300000000032</v>
      </c>
      <c r="J60" s="356">
        <f t="shared" si="8"/>
        <v>-1.5221886432320791E-2</v>
      </c>
      <c r="K60" s="349">
        <v>43577</v>
      </c>
      <c r="L60" s="367"/>
      <c r="M60" s="324"/>
      <c r="N60" s="408"/>
      <c r="O60" s="325"/>
      <c r="P60" s="326"/>
      <c r="Q60" s="327"/>
      <c r="R60" s="309"/>
      <c r="S60" s="309"/>
      <c r="T60" s="328"/>
      <c r="U60" s="5"/>
      <c r="V60" s="5"/>
      <c r="W60" s="5"/>
      <c r="X60" s="5"/>
      <c r="Y60" s="5"/>
      <c r="Z60" s="5"/>
    </row>
    <row r="61" spans="1:26" ht="12.75" customHeight="1">
      <c r="A61" s="322">
        <v>4</v>
      </c>
      <c r="B61" s="361" t="s">
        <v>641</v>
      </c>
      <c r="C61" s="362" t="s">
        <v>559</v>
      </c>
      <c r="D61" s="130">
        <v>65</v>
      </c>
      <c r="E61" s="74">
        <v>15.15</v>
      </c>
      <c r="F61" s="350">
        <v>15.45</v>
      </c>
      <c r="G61" s="366">
        <f t="shared" si="9"/>
        <v>984.75</v>
      </c>
      <c r="H61" s="350">
        <f t="shared" si="6"/>
        <v>1004.25</v>
      </c>
      <c r="I61" s="531">
        <f t="shared" si="7"/>
        <v>-19.5</v>
      </c>
      <c r="J61" s="356">
        <f t="shared" si="8"/>
        <v>-1.9417475728155338E-2</v>
      </c>
      <c r="K61" s="349">
        <v>43584</v>
      </c>
      <c r="L61" s="368"/>
      <c r="M61" s="324"/>
      <c r="N61" s="408"/>
      <c r="O61" s="325"/>
      <c r="P61" s="326"/>
      <c r="Q61" s="327"/>
      <c r="R61" s="309"/>
      <c r="S61" s="309"/>
      <c r="T61" s="328"/>
      <c r="U61" s="5"/>
      <c r="V61" s="5"/>
      <c r="W61" s="5"/>
      <c r="X61" s="5"/>
      <c r="Y61" s="5"/>
      <c r="Z61" s="5"/>
    </row>
    <row r="62" spans="1:26" ht="12.75" customHeight="1">
      <c r="A62" s="322">
        <v>5</v>
      </c>
      <c r="B62" s="361" t="s">
        <v>603</v>
      </c>
      <c r="C62" s="362" t="s">
        <v>604</v>
      </c>
      <c r="D62" s="130">
        <v>9</v>
      </c>
      <c r="E62" s="74">
        <v>147.84</v>
      </c>
      <c r="F62" s="350">
        <v>180.52</v>
      </c>
      <c r="G62" s="366">
        <f t="shared" si="9"/>
        <v>1330.56</v>
      </c>
      <c r="H62" s="350">
        <f t="shared" si="6"/>
        <v>1624.68</v>
      </c>
      <c r="I62" s="531">
        <f t="shared" si="7"/>
        <v>-294.12000000000012</v>
      </c>
      <c r="J62" s="356">
        <f t="shared" si="8"/>
        <v>-0.18103257256813657</v>
      </c>
      <c r="K62" s="349">
        <v>43746</v>
      </c>
      <c r="L62" s="368"/>
      <c r="M62" s="324"/>
      <c r="N62" s="408"/>
      <c r="O62" s="325"/>
      <c r="P62" s="326"/>
      <c r="Q62" s="327"/>
      <c r="R62" s="309"/>
      <c r="S62" s="309"/>
      <c r="T62" s="328"/>
      <c r="U62" s="5"/>
      <c r="V62" s="5"/>
      <c r="W62" s="5"/>
      <c r="X62" s="5"/>
      <c r="Y62" s="5"/>
      <c r="Z62" s="5"/>
    </row>
    <row r="63" spans="1:26" ht="12.75" customHeight="1">
      <c r="A63" s="322">
        <v>6</v>
      </c>
      <c r="B63" s="107" t="s">
        <v>568</v>
      </c>
      <c r="C63" s="362" t="s">
        <v>569</v>
      </c>
      <c r="D63" s="130">
        <v>400</v>
      </c>
      <c r="E63" s="74">
        <v>23.301500000000001</v>
      </c>
      <c r="F63" s="350">
        <v>24.5898</v>
      </c>
      <c r="G63" s="366">
        <f t="shared" si="9"/>
        <v>9320.6</v>
      </c>
      <c r="H63" s="350">
        <f t="shared" si="6"/>
        <v>9835.92</v>
      </c>
      <c r="I63" s="531">
        <f t="shared" si="7"/>
        <v>-515.31999999999971</v>
      </c>
      <c r="J63" s="356">
        <f t="shared" si="8"/>
        <v>-5.2391642062969167E-2</v>
      </c>
      <c r="K63" s="349">
        <v>43755</v>
      </c>
      <c r="L63" s="368"/>
      <c r="M63" s="324"/>
      <c r="N63" s="408"/>
      <c r="O63" s="325"/>
      <c r="P63" s="326"/>
      <c r="Q63" s="327"/>
      <c r="R63" s="309"/>
      <c r="S63" s="309"/>
      <c r="T63" s="328"/>
      <c r="U63" s="5"/>
      <c r="V63" s="5"/>
      <c r="W63" s="5"/>
      <c r="X63" s="5"/>
      <c r="Y63" s="5"/>
      <c r="Z63" s="5"/>
    </row>
    <row r="64" spans="1:26" ht="12.75" customHeight="1">
      <c r="A64" s="322">
        <v>7</v>
      </c>
      <c r="B64" s="374" t="s">
        <v>426</v>
      </c>
      <c r="C64" s="362" t="s">
        <v>310</v>
      </c>
      <c r="D64" s="130">
        <v>54</v>
      </c>
      <c r="E64" s="74">
        <v>50.736600000000003</v>
      </c>
      <c r="F64" s="350">
        <v>51.01</v>
      </c>
      <c r="G64" s="366">
        <f t="shared" si="9"/>
        <v>2739.7764000000002</v>
      </c>
      <c r="H64" s="350">
        <f t="shared" si="6"/>
        <v>2754.54</v>
      </c>
      <c r="I64" s="531">
        <f t="shared" si="7"/>
        <v>-14.763599999999769</v>
      </c>
      <c r="J64" s="356">
        <f t="shared" si="8"/>
        <v>-5.359733385610581E-3</v>
      </c>
      <c r="K64" s="349">
        <v>43760</v>
      </c>
      <c r="L64" s="368"/>
      <c r="M64" s="324"/>
      <c r="N64" s="408"/>
      <c r="O64" s="325"/>
      <c r="P64" s="326"/>
      <c r="Q64" s="327"/>
      <c r="R64" s="309"/>
      <c r="S64" s="309"/>
      <c r="T64" s="328"/>
      <c r="U64" s="5"/>
      <c r="V64" s="5"/>
      <c r="W64" s="5"/>
      <c r="X64" s="5"/>
      <c r="Y64" s="5"/>
      <c r="Z64" s="5"/>
    </row>
    <row r="65" spans="1:26" ht="12.75" customHeight="1">
      <c r="A65" s="322">
        <v>8</v>
      </c>
      <c r="B65" s="374" t="s">
        <v>642</v>
      </c>
      <c r="C65" s="362" t="s">
        <v>643</v>
      </c>
      <c r="D65" s="130">
        <v>260</v>
      </c>
      <c r="E65" s="74">
        <v>12.795</v>
      </c>
      <c r="F65" s="350">
        <v>15.38</v>
      </c>
      <c r="G65" s="366">
        <f t="shared" si="9"/>
        <v>3326.7</v>
      </c>
      <c r="H65" s="350">
        <f t="shared" si="6"/>
        <v>3998.8</v>
      </c>
      <c r="I65" s="531">
        <f t="shared" si="7"/>
        <v>-672.10000000000036</v>
      </c>
      <c r="J65" s="356">
        <f t="shared" si="8"/>
        <v>-0.16807542262678812</v>
      </c>
      <c r="K65" s="349">
        <v>43760</v>
      </c>
      <c r="L65" s="368"/>
      <c r="M65" s="324"/>
      <c r="N65" s="408"/>
      <c r="O65" s="325"/>
      <c r="P65" s="326"/>
      <c r="Q65" s="327"/>
      <c r="R65" s="309"/>
      <c r="S65" s="309"/>
      <c r="T65" s="328"/>
      <c r="U65" s="5"/>
      <c r="V65" s="5"/>
      <c r="W65" s="5"/>
      <c r="X65" s="5"/>
      <c r="Y65" s="5"/>
      <c r="Z65" s="5"/>
    </row>
    <row r="66" spans="1:26" ht="12.75" customHeight="1">
      <c r="A66" s="322">
        <v>9</v>
      </c>
      <c r="B66" s="361" t="s">
        <v>410</v>
      </c>
      <c r="C66" s="362" t="s">
        <v>411</v>
      </c>
      <c r="D66" s="130">
        <v>40</v>
      </c>
      <c r="E66" s="74">
        <v>63.93</v>
      </c>
      <c r="F66" s="350">
        <v>75.39</v>
      </c>
      <c r="G66" s="366">
        <f t="shared" si="9"/>
        <v>2557.1999999999998</v>
      </c>
      <c r="H66" s="350">
        <f t="shared" si="6"/>
        <v>3015.6</v>
      </c>
      <c r="I66" s="531">
        <f t="shared" si="7"/>
        <v>-458.40000000000009</v>
      </c>
      <c r="J66" s="356">
        <f t="shared" si="8"/>
        <v>-0.15200955033824118</v>
      </c>
      <c r="K66" s="349">
        <v>43767</v>
      </c>
      <c r="L66" s="368"/>
      <c r="M66" s="324"/>
      <c r="N66" s="408"/>
      <c r="O66" s="325"/>
      <c r="P66" s="326"/>
      <c r="Q66" s="327"/>
      <c r="R66" s="309"/>
      <c r="S66" s="309"/>
      <c r="T66" s="328"/>
      <c r="U66" s="5"/>
      <c r="V66" s="5"/>
      <c r="W66" s="5"/>
      <c r="X66" s="5"/>
      <c r="Y66" s="5"/>
      <c r="Z66" s="5"/>
    </row>
    <row r="67" spans="1:26" ht="12.75" customHeight="1">
      <c r="A67" s="322">
        <v>10</v>
      </c>
      <c r="B67" s="361" t="s">
        <v>555</v>
      </c>
      <c r="C67" s="362" t="s">
        <v>556</v>
      </c>
      <c r="D67" s="130">
        <v>10</v>
      </c>
      <c r="E67" s="74">
        <v>294.91039999999998</v>
      </c>
      <c r="F67" s="350">
        <v>277.3</v>
      </c>
      <c r="G67" s="366">
        <f t="shared" si="9"/>
        <v>2949.1039999999998</v>
      </c>
      <c r="H67" s="350">
        <f t="shared" si="6"/>
        <v>2773</v>
      </c>
      <c r="I67" s="537">
        <f t="shared" si="7"/>
        <v>176.10399999999981</v>
      </c>
      <c r="J67" s="356">
        <f t="shared" si="8"/>
        <v>6.3506671474936827E-2</v>
      </c>
      <c r="K67" s="349">
        <v>43774</v>
      </c>
      <c r="L67" s="368"/>
      <c r="M67" s="324"/>
      <c r="N67" s="408"/>
      <c r="O67" s="325"/>
      <c r="P67" s="326"/>
      <c r="Q67" s="327"/>
      <c r="R67" s="309"/>
      <c r="S67" s="309"/>
      <c r="T67" s="328"/>
      <c r="U67" s="5"/>
      <c r="V67" s="5"/>
      <c r="W67" s="5"/>
      <c r="X67" s="5"/>
      <c r="Y67" s="5"/>
      <c r="Z67" s="5"/>
    </row>
    <row r="68" spans="1:26" ht="12.75" customHeight="1">
      <c r="A68" s="322">
        <v>11</v>
      </c>
      <c r="B68" s="374" t="s">
        <v>605</v>
      </c>
      <c r="C68" s="362" t="s">
        <v>58</v>
      </c>
      <c r="D68" s="130">
        <v>20</v>
      </c>
      <c r="E68" s="74">
        <v>160.00049999999999</v>
      </c>
      <c r="F68" s="350">
        <v>134.41999999999999</v>
      </c>
      <c r="G68" s="366">
        <f t="shared" si="9"/>
        <v>3200.0099999999998</v>
      </c>
      <c r="H68" s="350">
        <f t="shared" si="6"/>
        <v>2688.3999999999996</v>
      </c>
      <c r="I68" s="537">
        <f t="shared" ref="I68:I74" si="10">G68-H68</f>
        <v>511.61000000000013</v>
      </c>
      <c r="J68" s="356">
        <f t="shared" ref="J68:J74" si="11">I68/H68</f>
        <v>0.19030278232405901</v>
      </c>
      <c r="K68" s="349">
        <v>43776</v>
      </c>
      <c r="L68" s="368"/>
      <c r="M68" s="324"/>
      <c r="N68" s="408"/>
      <c r="O68" s="325"/>
      <c r="P68" s="326"/>
      <c r="Q68" s="327"/>
      <c r="R68" s="309"/>
      <c r="S68" s="309"/>
      <c r="T68" s="328"/>
      <c r="U68" s="5"/>
      <c r="V68" s="5"/>
      <c r="W68" s="5"/>
      <c r="X68" s="5"/>
      <c r="Y68" s="5"/>
      <c r="Z68" s="5"/>
    </row>
    <row r="69" spans="1:26" ht="12.75" customHeight="1">
      <c r="A69" s="322">
        <v>12</v>
      </c>
      <c r="B69" s="374" t="s">
        <v>535</v>
      </c>
      <c r="C69" s="362" t="s">
        <v>536</v>
      </c>
      <c r="D69" s="130">
        <v>30</v>
      </c>
      <c r="E69" s="74">
        <v>54.395400000000002</v>
      </c>
      <c r="F69" s="350">
        <v>36.119999999999997</v>
      </c>
      <c r="G69" s="366">
        <f t="shared" si="9"/>
        <v>1631.8620000000001</v>
      </c>
      <c r="H69" s="350">
        <f t="shared" si="6"/>
        <v>1083.5999999999999</v>
      </c>
      <c r="I69" s="537">
        <f t="shared" si="10"/>
        <v>548.26200000000017</v>
      </c>
      <c r="J69" s="356">
        <f t="shared" si="11"/>
        <v>0.50596345514950181</v>
      </c>
      <c r="K69" s="349">
        <v>43776</v>
      </c>
      <c r="L69" s="368"/>
      <c r="M69" s="324"/>
      <c r="N69" s="408"/>
      <c r="O69" s="325"/>
      <c r="P69" s="326"/>
      <c r="Q69" s="327"/>
      <c r="R69" s="309"/>
      <c r="S69" s="309"/>
      <c r="T69" s="328"/>
      <c r="U69" s="5"/>
      <c r="V69" s="5"/>
      <c r="W69" s="5"/>
      <c r="X69" s="5"/>
      <c r="Y69" s="5"/>
      <c r="Z69" s="5"/>
    </row>
    <row r="70" spans="1:26" ht="12.75" customHeight="1">
      <c r="A70" s="322">
        <v>13</v>
      </c>
      <c r="B70" s="361" t="s">
        <v>601</v>
      </c>
      <c r="C70" s="362" t="s">
        <v>602</v>
      </c>
      <c r="D70" s="130">
        <v>10</v>
      </c>
      <c r="E70" s="74">
        <v>485.76</v>
      </c>
      <c r="F70" s="350">
        <v>540.92039999999997</v>
      </c>
      <c r="G70" s="366">
        <f t="shared" si="9"/>
        <v>4857.6000000000004</v>
      </c>
      <c r="H70" s="350">
        <f t="shared" si="6"/>
        <v>5409.2039999999997</v>
      </c>
      <c r="I70" s="531">
        <f t="shared" si="10"/>
        <v>-551.60399999999936</v>
      </c>
      <c r="J70" s="356">
        <f t="shared" si="11"/>
        <v>-0.10197507803366251</v>
      </c>
      <c r="K70" s="349">
        <v>43780</v>
      </c>
      <c r="L70" s="368"/>
      <c r="M70" s="324"/>
      <c r="N70" s="408"/>
      <c r="O70" s="325"/>
      <c r="P70" s="326"/>
      <c r="Q70" s="327"/>
      <c r="R70" s="309"/>
      <c r="S70" s="309"/>
      <c r="T70" s="328"/>
      <c r="U70" s="5"/>
      <c r="V70" s="5"/>
      <c r="W70" s="5"/>
      <c r="X70" s="5"/>
      <c r="Y70" s="5"/>
      <c r="Z70" s="5"/>
    </row>
    <row r="71" spans="1:26" ht="12.75" customHeight="1">
      <c r="A71" s="322">
        <v>14</v>
      </c>
      <c r="B71" s="361" t="s">
        <v>599</v>
      </c>
      <c r="C71" s="362" t="s">
        <v>600</v>
      </c>
      <c r="D71" s="130">
        <v>15</v>
      </c>
      <c r="E71" s="74">
        <v>168.2389</v>
      </c>
      <c r="F71" s="350">
        <v>142.27449999999999</v>
      </c>
      <c r="G71" s="366">
        <f t="shared" si="9"/>
        <v>2523.5835000000002</v>
      </c>
      <c r="H71" s="350">
        <f t="shared" si="6"/>
        <v>2134.1174999999998</v>
      </c>
      <c r="I71" s="537">
        <f t="shared" si="10"/>
        <v>389.46600000000035</v>
      </c>
      <c r="J71" s="356">
        <f t="shared" si="11"/>
        <v>0.18249510629100804</v>
      </c>
      <c r="K71" s="349">
        <v>43781</v>
      </c>
      <c r="L71" s="368"/>
      <c r="M71" s="324"/>
      <c r="N71" s="408"/>
      <c r="O71" s="325"/>
      <c r="P71" s="326"/>
      <c r="Q71" s="327"/>
      <c r="R71" s="309"/>
      <c r="S71" s="309"/>
      <c r="T71" s="328"/>
      <c r="U71" s="5"/>
      <c r="V71" s="5"/>
      <c r="W71" s="5"/>
      <c r="X71" s="5"/>
      <c r="Y71" s="5"/>
      <c r="Z71" s="5"/>
    </row>
    <row r="72" spans="1:26" ht="12.75" customHeight="1">
      <c r="A72" s="322">
        <v>15</v>
      </c>
      <c r="B72" s="361" t="s">
        <v>553</v>
      </c>
      <c r="C72" s="362" t="s">
        <v>554</v>
      </c>
      <c r="D72" s="130">
        <v>18</v>
      </c>
      <c r="E72" s="74">
        <v>119.2804</v>
      </c>
      <c r="F72" s="350">
        <v>139.93</v>
      </c>
      <c r="G72" s="366">
        <f t="shared" si="9"/>
        <v>2147.0472</v>
      </c>
      <c r="H72" s="350">
        <f t="shared" si="6"/>
        <v>2518.7400000000002</v>
      </c>
      <c r="I72" s="531">
        <f t="shared" si="10"/>
        <v>-371.69280000000026</v>
      </c>
      <c r="J72" s="356">
        <f t="shared" si="11"/>
        <v>-0.14757092832130358</v>
      </c>
      <c r="K72" s="349">
        <v>43781</v>
      </c>
      <c r="L72" s="368"/>
      <c r="M72" s="324"/>
      <c r="N72" s="408"/>
      <c r="O72" s="325"/>
      <c r="P72" s="326"/>
      <c r="Q72" s="327"/>
      <c r="R72" s="309"/>
      <c r="S72" s="309"/>
      <c r="T72" s="328"/>
      <c r="U72" s="5"/>
      <c r="V72" s="5"/>
      <c r="W72" s="5"/>
      <c r="X72" s="5"/>
      <c r="Y72" s="5"/>
      <c r="Z72" s="5"/>
    </row>
    <row r="73" spans="1:26" ht="12.75" customHeight="1">
      <c r="A73" s="322">
        <v>16</v>
      </c>
      <c r="B73" s="361" t="s">
        <v>341</v>
      </c>
      <c r="C73" s="362" t="s">
        <v>342</v>
      </c>
      <c r="D73" s="130">
        <v>10</v>
      </c>
      <c r="E73" s="74">
        <v>237.755</v>
      </c>
      <c r="F73" s="350">
        <v>81.87</v>
      </c>
      <c r="G73" s="366">
        <f t="shared" si="9"/>
        <v>2377.5500000000002</v>
      </c>
      <c r="H73" s="350">
        <f t="shared" si="6"/>
        <v>818.7</v>
      </c>
      <c r="I73" s="537">
        <f t="shared" si="10"/>
        <v>1558.8500000000001</v>
      </c>
      <c r="J73" s="356">
        <f t="shared" si="11"/>
        <v>1.9040552094784415</v>
      </c>
      <c r="K73" s="349">
        <v>43783</v>
      </c>
      <c r="L73" s="368"/>
      <c r="M73" s="324"/>
      <c r="N73" s="408"/>
      <c r="O73" s="325"/>
      <c r="P73" s="326"/>
      <c r="Q73" s="327"/>
      <c r="R73" s="309"/>
      <c r="S73" s="309"/>
      <c r="T73" s="328"/>
      <c r="U73" s="5"/>
      <c r="V73" s="5"/>
      <c r="W73" s="5"/>
      <c r="X73" s="5"/>
      <c r="Y73" s="5"/>
      <c r="Z73" s="5"/>
    </row>
    <row r="74" spans="1:26" ht="12.75" customHeight="1">
      <c r="A74" s="322">
        <v>17</v>
      </c>
      <c r="B74" s="361" t="s">
        <v>560</v>
      </c>
      <c r="C74" s="362" t="s">
        <v>561</v>
      </c>
      <c r="D74" s="130">
        <v>37</v>
      </c>
      <c r="E74" s="74">
        <v>131.9101</v>
      </c>
      <c r="F74" s="350">
        <v>80.78</v>
      </c>
      <c r="G74" s="366">
        <f>D74*E74</f>
        <v>4880.6737000000003</v>
      </c>
      <c r="H74" s="350">
        <f t="shared" si="6"/>
        <v>2988.86</v>
      </c>
      <c r="I74" s="537">
        <f t="shared" si="10"/>
        <v>1891.8137000000002</v>
      </c>
      <c r="J74" s="356">
        <f t="shared" si="11"/>
        <v>0.63295493934142122</v>
      </c>
      <c r="K74" s="349">
        <v>43788</v>
      </c>
      <c r="L74" s="368"/>
      <c r="M74" s="324"/>
      <c r="N74" s="408"/>
      <c r="O74" s="325"/>
      <c r="P74" s="326"/>
      <c r="Q74" s="327"/>
      <c r="R74" s="309"/>
      <c r="S74" s="309"/>
      <c r="T74" s="328"/>
      <c r="U74" s="5"/>
      <c r="V74" s="5"/>
      <c r="W74" s="5"/>
      <c r="X74" s="5"/>
      <c r="Y74" s="5"/>
      <c r="Z74" s="5"/>
    </row>
    <row r="75" spans="1:26" ht="12.75" customHeight="1">
      <c r="A75" s="322">
        <v>18</v>
      </c>
      <c r="B75" s="361" t="s">
        <v>644</v>
      </c>
      <c r="C75" s="362" t="s">
        <v>645</v>
      </c>
      <c r="D75" s="130">
        <v>16</v>
      </c>
      <c r="E75" s="74">
        <v>50</v>
      </c>
      <c r="F75" s="350">
        <f>Transactions!C526</f>
        <v>87.54</v>
      </c>
      <c r="G75" s="366">
        <v>762</v>
      </c>
      <c r="H75" s="350">
        <f>F75*D75</f>
        <v>1400.64</v>
      </c>
      <c r="I75" s="531">
        <f>G75-H75</f>
        <v>-638.6400000000001</v>
      </c>
      <c r="J75" s="356">
        <f>I75/H75</f>
        <v>-0.45596298834818372</v>
      </c>
      <c r="K75" s="349">
        <v>43790</v>
      </c>
      <c r="L75" s="368"/>
      <c r="M75" s="324"/>
      <c r="N75" s="408"/>
      <c r="O75" s="325"/>
      <c r="P75" s="326"/>
      <c r="Q75" s="327"/>
      <c r="R75" s="309"/>
      <c r="S75" s="309"/>
      <c r="T75" s="328"/>
      <c r="U75" s="5"/>
      <c r="V75" s="5"/>
      <c r="W75" s="5"/>
      <c r="X75" s="5"/>
      <c r="Y75" s="5"/>
      <c r="Z75" s="5"/>
    </row>
    <row r="76" spans="1:26" ht="12.75" customHeight="1">
      <c r="A76" s="46"/>
      <c r="B76" s="918"/>
      <c r="C76" s="18"/>
      <c r="D76" s="1292"/>
      <c r="E76" s="139"/>
      <c r="F76" s="140"/>
      <c r="G76" s="141"/>
      <c r="H76" s="141"/>
      <c r="I76" s="1230"/>
      <c r="J76" s="356"/>
      <c r="K76" s="399"/>
      <c r="L76" s="134"/>
      <c r="M76" s="1293"/>
      <c r="N76" s="138"/>
      <c r="O76" s="325"/>
      <c r="P76" s="326"/>
      <c r="Q76" s="327"/>
      <c r="R76" s="309"/>
      <c r="S76" s="309"/>
      <c r="T76" s="328"/>
      <c r="U76" s="5"/>
      <c r="V76" s="5"/>
      <c r="W76" s="5"/>
      <c r="X76" s="5"/>
      <c r="Y76" s="5"/>
      <c r="Z76" s="5"/>
    </row>
    <row r="77" spans="1:26" ht="12.75" customHeight="1">
      <c r="A77" s="344"/>
      <c r="B77" s="345" t="s">
        <v>63</v>
      </c>
      <c r="C77" s="345"/>
      <c r="D77" s="346"/>
      <c r="E77" s="782"/>
      <c r="F77" s="403">
        <f>'2018'!K67</f>
        <v>161278.76999999999</v>
      </c>
      <c r="G77" s="783">
        <f>F77/$F$82</f>
        <v>0.93213725478976739</v>
      </c>
      <c r="H77" s="405"/>
      <c r="I77" s="1319"/>
      <c r="J77" s="1265"/>
      <c r="K77" s="1320">
        <f>K42+K47+K54</f>
        <v>213249.30000000005</v>
      </c>
      <c r="L77" s="1321">
        <f>K77/$K$82</f>
        <v>0.94378948411036123</v>
      </c>
      <c r="M77" s="587"/>
      <c r="N77" s="572"/>
      <c r="O77" s="325"/>
      <c r="P77" s="326"/>
      <c r="Q77" s="327"/>
      <c r="R77" s="309"/>
      <c r="S77" s="309"/>
      <c r="T77" s="328"/>
      <c r="U77" s="5"/>
      <c r="V77" s="5"/>
      <c r="W77" s="5"/>
      <c r="X77" s="5"/>
      <c r="Y77" s="5"/>
      <c r="Z77" s="5"/>
    </row>
    <row r="78" spans="1:26" ht="12.75" customHeight="1">
      <c r="A78" s="344"/>
      <c r="B78" s="345"/>
      <c r="C78" s="345"/>
      <c r="D78" s="346"/>
      <c r="E78" s="347"/>
      <c r="F78" s="5"/>
      <c r="G78" s="783"/>
      <c r="H78" s="405"/>
      <c r="I78" s="405"/>
      <c r="J78" s="406"/>
      <c r="K78" s="581"/>
      <c r="L78" s="410"/>
      <c r="M78" s="587"/>
      <c r="N78" s="589"/>
      <c r="O78" s="1323"/>
      <c r="P78" s="326"/>
      <c r="Q78" s="327"/>
      <c r="R78" s="309"/>
      <c r="S78" s="309"/>
      <c r="T78" s="328"/>
      <c r="U78" s="5"/>
      <c r="V78" s="5"/>
      <c r="W78" s="5"/>
      <c r="X78" s="5"/>
      <c r="Y78" s="5"/>
      <c r="Z78" s="5"/>
    </row>
    <row r="79" spans="1:26" ht="12.75" customHeight="1">
      <c r="A79" s="344"/>
      <c r="B79" s="1324" t="s">
        <v>616</v>
      </c>
      <c r="C79" s="345"/>
      <c r="D79" s="346"/>
      <c r="E79" s="347"/>
      <c r="F79" s="75">
        <f>'2018'!K69</f>
        <v>11741.64</v>
      </c>
      <c r="G79" s="783">
        <f>F79/$F$82</f>
        <v>6.7862745210232722E-2</v>
      </c>
      <c r="H79" s="405"/>
      <c r="I79" s="405"/>
      <c r="J79" s="406"/>
      <c r="K79" s="75">
        <v>12700.77</v>
      </c>
      <c r="L79" s="407">
        <f>K79/$K$82</f>
        <v>5.6210515889638796E-2</v>
      </c>
      <c r="M79" s="359"/>
      <c r="N79" s="574"/>
      <c r="O79" s="348"/>
      <c r="P79" s="326"/>
      <c r="Q79" s="327"/>
      <c r="R79" s="328"/>
      <c r="S79" s="309"/>
      <c r="T79" s="328"/>
      <c r="U79" s="5"/>
      <c r="V79" s="5"/>
      <c r="W79" s="5"/>
      <c r="X79" s="5"/>
      <c r="Y79" s="5"/>
      <c r="Z79" s="5"/>
    </row>
    <row r="80" spans="1:26" ht="12.75" customHeight="1">
      <c r="A80" s="344"/>
      <c r="B80" s="345"/>
      <c r="C80" s="345"/>
      <c r="D80" s="346"/>
      <c r="E80" s="347"/>
      <c r="F80" s="403"/>
      <c r="G80" s="404"/>
      <c r="H80" s="405"/>
      <c r="I80" s="405"/>
      <c r="J80" s="406"/>
      <c r="K80" s="75"/>
      <c r="L80" s="407"/>
      <c r="M80" s="359"/>
      <c r="N80" s="574"/>
      <c r="O80" s="348"/>
      <c r="P80" s="326"/>
      <c r="Q80" s="327"/>
      <c r="R80" s="328"/>
      <c r="S80" s="309"/>
      <c r="T80" s="328"/>
      <c r="U80" s="5"/>
      <c r="V80" s="5"/>
      <c r="W80" s="5"/>
      <c r="X80" s="5"/>
      <c r="Y80" s="5"/>
      <c r="Z80" s="5"/>
    </row>
    <row r="81" spans="1:27" ht="12.75" customHeight="1" thickBot="1">
      <c r="A81" s="49"/>
      <c r="B81" s="924"/>
      <c r="C81" s="924"/>
      <c r="D81" s="34"/>
      <c r="E81" s="1099"/>
      <c r="F81" s="1326"/>
      <c r="G81" s="1327"/>
      <c r="H81" s="1328"/>
      <c r="I81" s="1328"/>
      <c r="J81" s="94"/>
      <c r="K81" s="96"/>
      <c r="L81" s="410"/>
      <c r="M81" s="588"/>
      <c r="N81" s="575"/>
      <c r="P81" s="326"/>
      <c r="Q81" s="327"/>
      <c r="R81" s="309"/>
      <c r="S81" s="309"/>
      <c r="T81" s="328"/>
      <c r="U81" s="5"/>
      <c r="V81" s="5"/>
      <c r="W81" s="5"/>
      <c r="X81" s="5"/>
      <c r="Y81" s="5"/>
      <c r="Z81" s="5"/>
    </row>
    <row r="82" spans="1:27" ht="12.75" customHeight="1" thickTop="1">
      <c r="A82" s="309"/>
      <c r="B82" s="345" t="s">
        <v>66</v>
      </c>
      <c r="C82" s="345"/>
      <c r="D82" s="1105"/>
      <c r="E82" s="1106"/>
      <c r="F82" s="412">
        <f>SUM(F77:F79)</f>
        <v>173020.40999999997</v>
      </c>
      <c r="G82" s="1331">
        <f>SUM(G77:G81)</f>
        <v>1</v>
      </c>
      <c r="H82" s="1332"/>
      <c r="I82" s="1332"/>
      <c r="J82" s="1333"/>
      <c r="K82" s="1270">
        <f>K77+K79</f>
        <v>225950.07000000004</v>
      </c>
      <c r="L82" s="413">
        <f>SUM(L77:L81)</f>
        <v>1</v>
      </c>
      <c r="M82" s="147">
        <f>(K82-F82)/F82</f>
        <v>0.30591570092800074</v>
      </c>
      <c r="N82" s="882"/>
      <c r="O82" s="327"/>
      <c r="P82" s="331"/>
      <c r="Q82" s="327"/>
      <c r="R82" s="309"/>
      <c r="S82" s="309"/>
      <c r="T82" s="328"/>
      <c r="U82" s="5"/>
      <c r="V82" s="5"/>
      <c r="W82" s="5"/>
      <c r="X82" s="5"/>
      <c r="Y82" s="5"/>
      <c r="Z82" s="5"/>
    </row>
    <row r="83" spans="1:27" ht="12.75" customHeight="1">
      <c r="A83" s="309"/>
      <c r="B83" s="309"/>
      <c r="C83" s="985"/>
      <c r="D83" s="1024"/>
      <c r="E83" s="1024"/>
      <c r="F83" s="1024"/>
      <c r="G83" s="1024"/>
      <c r="H83" s="546"/>
      <c r="I83" s="546"/>
      <c r="J83" s="940"/>
      <c r="K83" s="940"/>
      <c r="L83" s="1147"/>
      <c r="M83" s="949"/>
      <c r="N83" s="882"/>
      <c r="O83" s="325"/>
      <c r="P83" s="327"/>
      <c r="Q83" s="309"/>
      <c r="R83" s="309"/>
      <c r="S83" s="309"/>
      <c r="T83" s="328"/>
      <c r="U83" s="5"/>
      <c r="V83" s="5"/>
      <c r="W83" s="5"/>
      <c r="X83" s="5"/>
      <c r="Y83" s="5"/>
      <c r="Z83" s="5"/>
    </row>
    <row r="84" spans="1:27" ht="12.75" customHeight="1">
      <c r="A84" s="309"/>
      <c r="B84" s="309" t="s">
        <v>617</v>
      </c>
      <c r="C84" s="985"/>
      <c r="D84" s="1024"/>
      <c r="E84" s="1024"/>
      <c r="F84" s="1024"/>
      <c r="G84" s="1024"/>
      <c r="H84" s="546"/>
      <c r="I84" s="546"/>
      <c r="J84" s="940"/>
      <c r="K84" s="940"/>
      <c r="L84" s="1147"/>
      <c r="M84" s="949"/>
      <c r="N84" s="882"/>
      <c r="O84" s="323"/>
      <c r="P84" s="325"/>
      <c r="Q84" s="326"/>
      <c r="R84" s="309"/>
      <c r="S84" s="309"/>
      <c r="T84" s="309"/>
      <c r="U84" s="328"/>
      <c r="V84" s="5"/>
      <c r="W84" s="5"/>
      <c r="X84" s="5"/>
      <c r="Y84" s="5"/>
      <c r="Z84" s="5"/>
      <c r="AA84" s="5"/>
    </row>
    <row r="85" spans="1:27" ht="12.75" customHeight="1">
      <c r="A85" s="309"/>
      <c r="B85" s="872"/>
      <c r="C85" s="873"/>
      <c r="D85" s="874"/>
      <c r="E85" s="875"/>
      <c r="F85" s="876"/>
      <c r="G85" s="877"/>
      <c r="H85" s="878"/>
      <c r="I85" s="878" t="s">
        <v>564</v>
      </c>
      <c r="J85" s="879"/>
      <c r="K85" s="879"/>
      <c r="L85" s="880"/>
      <c r="M85" s="881"/>
      <c r="N85" s="882"/>
      <c r="O85" s="323"/>
      <c r="P85" s="325"/>
      <c r="Q85" s="326"/>
      <c r="R85" s="309"/>
      <c r="S85" s="309"/>
      <c r="T85" s="309"/>
      <c r="U85" s="328"/>
      <c r="V85" s="5"/>
      <c r="W85" s="5"/>
      <c r="X85" s="5"/>
      <c r="Y85" s="5"/>
      <c r="Z85" s="5"/>
      <c r="AA85" s="5"/>
    </row>
    <row r="86" spans="1:27" ht="12.75" customHeight="1">
      <c r="A86" s="309"/>
      <c r="B86" s="345" t="s">
        <v>390</v>
      </c>
      <c r="C86" s="309"/>
      <c r="D86" s="323"/>
      <c r="E86" s="323"/>
      <c r="F86" s="1114"/>
      <c r="G86" s="323"/>
      <c r="H86" s="546"/>
      <c r="I86" s="546"/>
      <c r="J86" s="309"/>
      <c r="K86" s="309"/>
      <c r="L86" s="324"/>
      <c r="M86" s="309"/>
      <c r="N86" s="5"/>
      <c r="O86" s="1042"/>
      <c r="P86" s="325"/>
      <c r="Q86" s="326"/>
      <c r="R86" s="309"/>
      <c r="S86" s="309"/>
      <c r="T86" s="309"/>
      <c r="U86" s="328"/>
      <c r="V86" s="5"/>
      <c r="W86" s="5"/>
      <c r="X86" s="5"/>
      <c r="Y86" s="5"/>
      <c r="Z86" s="5"/>
      <c r="AA86" s="5"/>
    </row>
    <row r="87" spans="1:27" ht="12.75" customHeight="1">
      <c r="A87" s="309"/>
      <c r="B87" s="309" t="s">
        <v>272</v>
      </c>
      <c r="C87" s="309"/>
      <c r="D87" s="323"/>
      <c r="E87" s="323"/>
      <c r="F87" s="1335">
        <v>2506.85</v>
      </c>
      <c r="G87" s="361"/>
      <c r="H87" s="500"/>
      <c r="I87" s="500"/>
      <c r="J87" s="359"/>
      <c r="K87" s="564">
        <v>3230.78</v>
      </c>
      <c r="L87" s="1336"/>
      <c r="M87" s="1334">
        <f>(K87-F87)/F87</f>
        <v>0.28878074077028953</v>
      </c>
      <c r="O87" s="5"/>
      <c r="P87" s="5"/>
      <c r="Q87" s="326"/>
      <c r="R87" s="309"/>
      <c r="S87" s="309"/>
      <c r="T87" s="309"/>
      <c r="U87" s="328"/>
      <c r="V87" s="5"/>
      <c r="W87" s="5"/>
      <c r="X87" s="5"/>
      <c r="Y87" s="5"/>
      <c r="Z87" s="5"/>
      <c r="AA87" s="5"/>
    </row>
    <row r="88" spans="1:27" ht="12.75" customHeight="1">
      <c r="A88" s="309"/>
      <c r="B88" s="309" t="s">
        <v>273</v>
      </c>
      <c r="C88" s="309"/>
      <c r="D88" s="309"/>
      <c r="E88" s="309"/>
      <c r="F88" s="1337"/>
      <c r="G88" s="359"/>
      <c r="H88" s="500"/>
      <c r="I88" s="500"/>
      <c r="J88" s="359"/>
      <c r="K88" s="359"/>
      <c r="L88" s="395"/>
      <c r="M88" s="570">
        <v>2.6100000000000002E-2</v>
      </c>
      <c r="O88" s="1042"/>
      <c r="P88" s="330"/>
      <c r="Q88" s="326"/>
      <c r="R88" s="309"/>
      <c r="S88" s="309"/>
      <c r="T88" s="309"/>
      <c r="U88" s="328"/>
      <c r="V88" s="5"/>
      <c r="W88" s="5"/>
      <c r="X88" s="5"/>
      <c r="Y88" s="5"/>
      <c r="Z88" s="5"/>
      <c r="AA88" s="5"/>
    </row>
    <row r="89" spans="1:27" ht="12.75" customHeight="1">
      <c r="A89" s="309"/>
      <c r="B89" s="1235" t="s">
        <v>228</v>
      </c>
      <c r="C89" s="309"/>
      <c r="D89" s="309"/>
      <c r="E89" s="309"/>
      <c r="F89" s="1337"/>
      <c r="G89" s="359"/>
      <c r="H89" s="500"/>
      <c r="I89" s="500"/>
      <c r="J89" s="359"/>
      <c r="K89" s="359"/>
      <c r="L89" s="431"/>
      <c r="M89" s="1334">
        <f>M87+M88</f>
        <v>0.31488074077028955</v>
      </c>
      <c r="O89" s="1042"/>
      <c r="P89" s="325"/>
      <c r="Q89" s="326"/>
      <c r="R89" s="309"/>
      <c r="S89" s="309"/>
      <c r="T89" s="309"/>
      <c r="U89" s="328"/>
      <c r="V89" s="5"/>
      <c r="W89" s="5"/>
      <c r="X89" s="5"/>
      <c r="Y89" s="5"/>
      <c r="Z89" s="5"/>
      <c r="AA89" s="5"/>
    </row>
    <row r="90" spans="1:27" ht="12.75" customHeight="1">
      <c r="A90" s="309"/>
      <c r="B90" s="1304"/>
      <c r="C90" s="309"/>
      <c r="D90" s="309"/>
      <c r="E90" s="309"/>
      <c r="F90" s="359"/>
      <c r="G90" s="359"/>
      <c r="H90" s="500"/>
      <c r="I90" s="500"/>
      <c r="J90" s="359"/>
      <c r="K90" s="359"/>
      <c r="L90" s="431"/>
      <c r="M90" s="1348"/>
      <c r="O90" s="1042"/>
      <c r="P90" s="325"/>
      <c r="Q90" s="326"/>
      <c r="R90" s="309"/>
      <c r="S90" s="309"/>
      <c r="T90" s="309"/>
      <c r="U90" s="328"/>
      <c r="V90" s="5"/>
      <c r="W90" s="5"/>
      <c r="X90" s="5"/>
      <c r="Y90" s="5"/>
      <c r="Z90" s="5"/>
      <c r="AA90" s="5"/>
    </row>
    <row r="91" spans="1:27" ht="14.25" customHeight="1">
      <c r="A91" s="309"/>
      <c r="B91" s="1235" t="s">
        <v>391</v>
      </c>
      <c r="C91" s="309"/>
      <c r="D91" s="309"/>
      <c r="E91" s="309"/>
      <c r="F91" s="359"/>
      <c r="G91" s="5"/>
      <c r="H91" s="306"/>
      <c r="I91" s="500"/>
      <c r="J91" s="359"/>
      <c r="K91" s="359"/>
      <c r="L91" s="431"/>
      <c r="M91" s="1349">
        <v>8.72E-2</v>
      </c>
      <c r="O91" s="323"/>
      <c r="P91" s="57"/>
      <c r="Q91" s="326"/>
      <c r="R91" s="309"/>
      <c r="S91" s="309"/>
      <c r="T91" s="309"/>
      <c r="U91" s="328"/>
      <c r="V91" s="5"/>
      <c r="W91" s="5"/>
      <c r="X91" s="5"/>
      <c r="Y91" s="5"/>
      <c r="Z91" s="5"/>
      <c r="AA91" s="5"/>
    </row>
    <row r="92" spans="1:27" ht="14.25" customHeight="1">
      <c r="A92" s="309"/>
      <c r="O92" s="323"/>
      <c r="P92" s="325"/>
      <c r="Q92" s="326"/>
      <c r="R92" s="309"/>
      <c r="S92" s="309"/>
      <c r="T92" s="309"/>
      <c r="U92" s="328"/>
      <c r="V92" s="5"/>
      <c r="W92" s="5"/>
      <c r="X92" s="5"/>
      <c r="Y92" s="5"/>
      <c r="Z92" s="5"/>
      <c r="AA92" s="5"/>
    </row>
    <row r="93" spans="1:27" ht="14.25" customHeight="1">
      <c r="A93" s="309"/>
      <c r="B93" s="309" t="s">
        <v>595</v>
      </c>
      <c r="C93" s="309"/>
      <c r="D93" s="309"/>
      <c r="E93" s="309"/>
      <c r="F93" s="309"/>
      <c r="G93" s="309"/>
      <c r="H93" s="546"/>
      <c r="I93" s="546"/>
      <c r="J93" s="309"/>
      <c r="L93" s="1020"/>
      <c r="M93" s="882">
        <f>0.8*M89+0.2*M91</f>
        <v>0.26934459261623167</v>
      </c>
      <c r="P93" s="325"/>
      <c r="Q93" s="326"/>
      <c r="R93" s="309"/>
      <c r="S93" s="309"/>
      <c r="T93" s="309"/>
      <c r="U93" s="328"/>
      <c r="V93" s="5"/>
      <c r="W93" s="5"/>
      <c r="X93" s="5"/>
      <c r="Y93" s="5"/>
      <c r="Z93" s="5"/>
      <c r="AA93" s="5"/>
    </row>
    <row r="94" spans="1:27" ht="12.75" customHeight="1">
      <c r="A94" s="5"/>
      <c r="B94" s="309"/>
      <c r="C94" s="5"/>
      <c r="D94" s="5"/>
      <c r="E94" s="5"/>
      <c r="F94" s="5"/>
      <c r="G94" s="5"/>
      <c r="H94" s="68"/>
      <c r="I94" s="68"/>
      <c r="J94" s="5"/>
      <c r="K94" s="309"/>
      <c r="L94" s="5" t="s">
        <v>618</v>
      </c>
      <c r="M94" s="61">
        <f>M82-M93</f>
        <v>3.6571108311769074E-2</v>
      </c>
      <c r="O94" s="325"/>
      <c r="P94" s="57"/>
      <c r="Q94" s="5"/>
      <c r="R94" s="5"/>
      <c r="S94" s="5"/>
      <c r="T94" s="5"/>
      <c r="U94" s="5"/>
      <c r="V94" s="5"/>
      <c r="W94" s="5"/>
      <c r="X94" s="5"/>
      <c r="Y94" s="5"/>
      <c r="Z94" s="5"/>
      <c r="AA94" s="5"/>
    </row>
    <row r="95" spans="1:27" ht="12.75" customHeight="1">
      <c r="A95" s="5"/>
      <c r="B95" s="5"/>
      <c r="C95" s="5"/>
      <c r="D95" s="5"/>
      <c r="E95" s="5"/>
      <c r="F95" s="5"/>
      <c r="G95" s="5"/>
      <c r="H95" s="306"/>
      <c r="I95" s="306"/>
      <c r="J95" s="5"/>
      <c r="K95" s="5"/>
      <c r="L95" s="5"/>
      <c r="M95" s="5"/>
      <c r="N95" s="5"/>
      <c r="O95" s="5"/>
      <c r="P95" s="57"/>
      <c r="Q95" s="5"/>
      <c r="R95" s="5"/>
      <c r="S95" s="5"/>
      <c r="T95" s="5"/>
      <c r="U95" s="5"/>
      <c r="V95" s="5"/>
      <c r="W95" s="5"/>
      <c r="X95" s="5"/>
      <c r="Y95" s="5"/>
      <c r="Z95" s="5"/>
      <c r="AA95" s="5"/>
    </row>
    <row r="96" spans="1:27" ht="12.75" customHeight="1">
      <c r="A96" s="5"/>
      <c r="B96" s="5"/>
      <c r="C96" s="5"/>
      <c r="D96" s="5"/>
      <c r="E96" s="5"/>
      <c r="F96" s="5"/>
      <c r="G96" s="5"/>
      <c r="H96" s="306"/>
      <c r="I96" s="306"/>
      <c r="J96" s="5"/>
      <c r="K96" s="5"/>
      <c r="L96" s="5"/>
      <c r="M96" s="5"/>
      <c r="N96" s="5"/>
      <c r="O96" s="5"/>
      <c r="P96" s="57"/>
      <c r="Q96" s="5"/>
      <c r="R96" s="5"/>
      <c r="S96" s="5"/>
      <c r="T96" s="5"/>
      <c r="U96" s="5"/>
      <c r="V96" s="5"/>
      <c r="W96" s="5"/>
      <c r="X96" s="5"/>
      <c r="Y96" s="5"/>
      <c r="Z96" s="5"/>
      <c r="AA96" s="5"/>
    </row>
    <row r="97" spans="1:27" ht="12.75" customHeight="1">
      <c r="A97" s="5"/>
      <c r="B97" s="5"/>
      <c r="C97" s="5"/>
      <c r="D97" s="5"/>
      <c r="E97" s="5"/>
      <c r="F97" s="5"/>
      <c r="G97" s="5"/>
      <c r="H97" s="306"/>
      <c r="I97" s="306"/>
      <c r="J97" s="5"/>
      <c r="K97" s="5"/>
      <c r="L97" s="5"/>
      <c r="M97" s="5"/>
      <c r="N97" s="5"/>
      <c r="O97" s="5"/>
      <c r="P97" s="57"/>
      <c r="Q97" s="5"/>
      <c r="R97" s="5"/>
      <c r="S97" s="5"/>
      <c r="T97" s="5"/>
      <c r="U97" s="5"/>
      <c r="V97" s="5"/>
      <c r="W97" s="5"/>
      <c r="X97" s="5"/>
      <c r="Y97" s="5"/>
      <c r="Z97" s="5"/>
      <c r="AA97" s="5"/>
    </row>
    <row r="98" spans="1:27" ht="12.75" customHeight="1">
      <c r="A98" s="5"/>
      <c r="B98" s="5"/>
      <c r="C98" s="5"/>
      <c r="D98" s="5"/>
      <c r="E98" s="5"/>
      <c r="F98" s="5"/>
      <c r="G98" s="5"/>
      <c r="H98" s="306"/>
      <c r="I98" s="306"/>
      <c r="J98" s="5"/>
      <c r="K98" s="5"/>
      <c r="L98" s="5"/>
      <c r="M98" s="5"/>
      <c r="N98" s="5"/>
      <c r="O98" s="5"/>
      <c r="P98" s="57"/>
      <c r="Q98" s="5"/>
      <c r="R98" s="5"/>
      <c r="S98" s="5"/>
      <c r="T98" s="5"/>
      <c r="U98" s="5"/>
      <c r="V98" s="5"/>
      <c r="W98" s="5"/>
      <c r="X98" s="5"/>
      <c r="Y98" s="5"/>
      <c r="Z98" s="5"/>
      <c r="AA98" s="5"/>
    </row>
    <row r="99" spans="1:27" ht="12.75" customHeight="1">
      <c r="A99" s="5"/>
      <c r="B99" s="5"/>
      <c r="C99" s="5"/>
      <c r="D99" s="5"/>
      <c r="E99" s="5"/>
      <c r="F99" s="5"/>
      <c r="G99" s="5"/>
      <c r="H99" s="306"/>
      <c r="I99" s="306"/>
      <c r="J99" s="5"/>
      <c r="K99" s="5"/>
      <c r="L99" s="5"/>
      <c r="N99" s="882"/>
      <c r="O99" s="5"/>
      <c r="P99" s="57"/>
      <c r="Q99" s="5"/>
      <c r="R99" s="5"/>
      <c r="S99" s="5"/>
      <c r="T99" s="5"/>
      <c r="U99" s="5"/>
      <c r="V99" s="5"/>
      <c r="W99" s="5"/>
      <c r="X99" s="5"/>
      <c r="Y99" s="5"/>
      <c r="Z99" s="5"/>
      <c r="AA99" s="5"/>
    </row>
    <row r="100" spans="1:27" ht="12.75" customHeight="1">
      <c r="A100" s="5"/>
      <c r="B100" s="5"/>
      <c r="C100" s="5"/>
      <c r="D100" s="5"/>
      <c r="E100" s="5"/>
      <c r="F100" s="5"/>
      <c r="G100" s="5"/>
      <c r="H100" s="149"/>
      <c r="I100" s="1226"/>
      <c r="J100" s="5"/>
      <c r="K100" s="5"/>
      <c r="L100" s="5"/>
      <c r="M100" s="60"/>
      <c r="N100" s="882"/>
      <c r="O100" s="5"/>
      <c r="P100" s="57"/>
      <c r="Q100" s="5"/>
      <c r="R100" s="5"/>
      <c r="S100" s="5"/>
      <c r="T100" s="5"/>
      <c r="U100" s="5"/>
      <c r="V100" s="5"/>
      <c r="W100" s="5"/>
      <c r="X100" s="5"/>
      <c r="Y100" s="5"/>
      <c r="Z100" s="5"/>
      <c r="AA100" s="5"/>
    </row>
    <row r="101" spans="1:27" ht="12.75" customHeight="1">
      <c r="A101" s="5"/>
      <c r="B101" s="5"/>
      <c r="C101" s="5"/>
      <c r="D101" s="5"/>
      <c r="E101" s="5"/>
      <c r="F101" s="5"/>
      <c r="G101" s="5"/>
      <c r="H101" s="306"/>
      <c r="I101" s="306"/>
      <c r="J101" s="5"/>
      <c r="K101" s="5"/>
      <c r="L101" s="5"/>
      <c r="M101" s="5"/>
      <c r="N101" s="5"/>
      <c r="O101" s="5"/>
      <c r="P101" s="57"/>
      <c r="Q101" s="5"/>
      <c r="R101" s="5"/>
      <c r="S101" s="5"/>
      <c r="T101" s="5"/>
      <c r="U101" s="5"/>
      <c r="V101" s="5"/>
      <c r="W101" s="5"/>
      <c r="X101" s="5"/>
      <c r="Y101" s="5"/>
      <c r="Z101" s="5"/>
      <c r="AA101" s="5"/>
    </row>
    <row r="102" spans="1:27" ht="12.75" customHeight="1">
      <c r="A102" s="5"/>
      <c r="B102" s="5"/>
      <c r="C102" s="5"/>
      <c r="D102" s="5"/>
      <c r="E102" s="5"/>
      <c r="F102" s="5"/>
      <c r="G102" s="5"/>
      <c r="H102" s="306"/>
      <c r="I102" s="306"/>
      <c r="J102" s="5"/>
      <c r="K102" s="5"/>
      <c r="L102" s="5"/>
      <c r="M102" s="5"/>
      <c r="N102" s="5"/>
      <c r="O102" s="5"/>
      <c r="P102" s="57"/>
      <c r="Q102" s="5"/>
      <c r="R102" s="5"/>
      <c r="S102" s="5"/>
      <c r="T102" s="5"/>
      <c r="U102" s="5"/>
      <c r="V102" s="5"/>
      <c r="W102" s="5"/>
      <c r="X102" s="5"/>
      <c r="Y102" s="5"/>
      <c r="Z102" s="5"/>
      <c r="AA102" s="5"/>
    </row>
    <row r="103" spans="1:27" ht="12.75" customHeight="1">
      <c r="A103" s="5"/>
      <c r="B103" s="5"/>
      <c r="C103" s="5"/>
      <c r="D103" s="5"/>
      <c r="E103" s="5"/>
      <c r="F103" s="5"/>
      <c r="G103" s="5"/>
      <c r="H103" s="306"/>
      <c r="I103" s="306"/>
      <c r="J103" s="5"/>
      <c r="K103" s="5"/>
      <c r="L103" s="5"/>
      <c r="M103" s="5"/>
      <c r="N103" s="5"/>
      <c r="O103" s="5"/>
      <c r="P103" s="57"/>
      <c r="Q103" s="5"/>
      <c r="R103" s="5"/>
      <c r="S103" s="5"/>
      <c r="T103" s="5"/>
      <c r="U103" s="5"/>
      <c r="V103" s="5"/>
      <c r="W103" s="5"/>
      <c r="X103" s="5"/>
      <c r="Y103" s="5"/>
      <c r="Z103" s="5"/>
      <c r="AA103" s="5"/>
    </row>
    <row r="104" spans="1:27" ht="12.75" customHeight="1">
      <c r="A104" s="5"/>
      <c r="B104" s="5"/>
      <c r="C104" s="5"/>
      <c r="D104" s="5"/>
      <c r="E104" s="5"/>
      <c r="F104" s="5"/>
      <c r="G104" s="5"/>
      <c r="H104" s="306"/>
      <c r="I104" s="306"/>
      <c r="J104" s="5"/>
      <c r="K104" s="5"/>
      <c r="L104" s="5"/>
      <c r="M104" s="5"/>
      <c r="N104" s="5"/>
      <c r="O104" s="5"/>
      <c r="P104" s="57"/>
      <c r="Q104" s="5"/>
      <c r="R104" s="5"/>
      <c r="S104" s="5"/>
      <c r="T104" s="5"/>
      <c r="U104" s="5"/>
      <c r="V104" s="5"/>
      <c r="W104" s="5"/>
      <c r="X104" s="5"/>
      <c r="Y104" s="5"/>
      <c r="Z104" s="5"/>
      <c r="AA104" s="5"/>
    </row>
    <row r="105" spans="1:27" ht="12.75" customHeight="1">
      <c r="A105" s="5"/>
      <c r="B105" s="5"/>
      <c r="C105" s="5"/>
      <c r="D105" s="5"/>
      <c r="E105" s="5"/>
      <c r="F105" s="5"/>
      <c r="G105" s="5"/>
      <c r="H105" s="306"/>
      <c r="I105" s="306"/>
      <c r="J105" s="5"/>
      <c r="K105" s="5"/>
      <c r="L105" s="5"/>
      <c r="M105" s="5"/>
      <c r="N105" s="5"/>
      <c r="O105" s="5"/>
      <c r="P105" s="57"/>
      <c r="Q105" s="5"/>
      <c r="R105" s="5"/>
      <c r="S105" s="5"/>
      <c r="T105" s="5"/>
      <c r="U105" s="5"/>
      <c r="V105" s="5"/>
      <c r="W105" s="5"/>
      <c r="X105" s="5"/>
      <c r="Y105" s="5"/>
      <c r="Z105" s="5"/>
      <c r="AA105" s="5"/>
    </row>
    <row r="106" spans="1:27" ht="12.75" customHeight="1">
      <c r="A106" s="5"/>
      <c r="B106" s="5"/>
      <c r="C106" s="5"/>
      <c r="D106" s="5"/>
      <c r="E106" s="5"/>
      <c r="F106" s="5"/>
      <c r="G106" s="5"/>
      <c r="H106" s="306"/>
      <c r="I106" s="306"/>
      <c r="J106" s="5"/>
      <c r="K106" s="5"/>
      <c r="L106" s="5"/>
      <c r="M106" s="5"/>
      <c r="N106" s="5"/>
      <c r="O106" s="5"/>
      <c r="P106" s="57"/>
      <c r="Q106" s="5"/>
      <c r="R106" s="5"/>
      <c r="S106" s="5"/>
      <c r="T106" s="5"/>
      <c r="U106" s="5"/>
      <c r="V106" s="5"/>
      <c r="W106" s="5"/>
      <c r="X106" s="5"/>
      <c r="Y106" s="5"/>
      <c r="Z106" s="5"/>
      <c r="AA106" s="5"/>
    </row>
    <row r="107" spans="1:27" ht="12.75" customHeight="1">
      <c r="A107" s="5"/>
      <c r="B107" s="5"/>
      <c r="C107" s="5"/>
      <c r="D107" s="5"/>
      <c r="E107" s="5"/>
      <c r="F107" s="5"/>
      <c r="G107" s="5"/>
      <c r="H107" s="306"/>
      <c r="I107" s="306"/>
      <c r="J107" s="5"/>
      <c r="K107" s="5"/>
      <c r="L107" s="5"/>
      <c r="M107" s="5"/>
      <c r="N107" s="5"/>
      <c r="O107" s="5"/>
      <c r="P107" s="57"/>
      <c r="Q107" s="5"/>
      <c r="R107" s="5"/>
      <c r="S107" s="5"/>
      <c r="T107" s="5"/>
      <c r="U107" s="5"/>
      <c r="V107" s="5"/>
      <c r="W107" s="5"/>
      <c r="X107" s="5"/>
      <c r="Y107" s="5"/>
      <c r="Z107" s="5"/>
      <c r="AA107" s="5"/>
    </row>
    <row r="108" spans="1:27" ht="12.75" customHeight="1">
      <c r="A108" s="5"/>
      <c r="B108" s="5"/>
      <c r="C108" s="5"/>
      <c r="D108" s="5"/>
      <c r="E108" s="5"/>
      <c r="F108" s="5"/>
      <c r="G108" s="5"/>
      <c r="H108" s="306"/>
      <c r="I108" s="306"/>
      <c r="J108" s="5"/>
      <c r="K108" s="5"/>
      <c r="L108" s="5"/>
      <c r="M108" s="5"/>
      <c r="N108" s="5"/>
      <c r="O108" s="5"/>
      <c r="P108" s="57"/>
      <c r="Q108" s="5"/>
      <c r="R108" s="5"/>
      <c r="S108" s="5"/>
      <c r="T108" s="5"/>
      <c r="U108" s="5"/>
      <c r="V108" s="5"/>
      <c r="W108" s="5"/>
      <c r="X108" s="5"/>
      <c r="Y108" s="5"/>
      <c r="Z108" s="5"/>
      <c r="AA108" s="5"/>
    </row>
    <row r="109" spans="1:27" ht="12.75" customHeight="1">
      <c r="A109" s="5"/>
      <c r="B109" s="5"/>
      <c r="C109" s="5"/>
      <c r="D109" s="5"/>
      <c r="E109" s="5"/>
      <c r="F109" s="5"/>
      <c r="G109" s="5"/>
      <c r="H109" s="306"/>
      <c r="I109" s="306"/>
      <c r="J109" s="5"/>
      <c r="K109" s="5"/>
      <c r="L109" s="5"/>
      <c r="M109" s="5"/>
      <c r="N109" s="5"/>
      <c r="O109" s="5"/>
      <c r="P109" s="57"/>
      <c r="Q109" s="5"/>
      <c r="R109" s="5"/>
      <c r="S109" s="5"/>
      <c r="T109" s="5"/>
      <c r="U109" s="5"/>
      <c r="V109" s="5"/>
      <c r="W109" s="5"/>
      <c r="X109" s="5"/>
      <c r="Y109" s="5"/>
      <c r="Z109" s="5"/>
      <c r="AA109" s="5"/>
    </row>
    <row r="110" spans="1:27" ht="12.75" customHeight="1">
      <c r="A110" s="5"/>
      <c r="B110" s="5"/>
      <c r="C110" s="5"/>
      <c r="D110" s="5"/>
      <c r="E110" s="5"/>
      <c r="F110" s="5"/>
      <c r="G110" s="5"/>
      <c r="H110" s="306"/>
      <c r="I110" s="306"/>
      <c r="J110" s="5"/>
      <c r="K110" s="5"/>
      <c r="L110" s="5"/>
      <c r="M110" s="5"/>
      <c r="N110" s="5"/>
      <c r="O110" s="5"/>
      <c r="P110" s="57"/>
      <c r="Q110" s="5"/>
      <c r="R110" s="5"/>
      <c r="S110" s="5"/>
      <c r="T110" s="5"/>
      <c r="U110" s="5"/>
      <c r="V110" s="5"/>
      <c r="W110" s="5"/>
      <c r="X110" s="5"/>
      <c r="Y110" s="5"/>
      <c r="Z110" s="5"/>
      <c r="AA110" s="5"/>
    </row>
    <row r="111" spans="1:27" ht="12.75" customHeight="1">
      <c r="A111" s="5"/>
      <c r="B111" s="5"/>
      <c r="C111" s="5"/>
      <c r="D111" s="5"/>
      <c r="E111" s="5"/>
      <c r="F111" s="5"/>
      <c r="G111" s="5"/>
      <c r="H111" s="306"/>
      <c r="I111" s="306"/>
      <c r="J111" s="5"/>
      <c r="K111" s="5"/>
      <c r="L111" s="5"/>
      <c r="M111" s="5"/>
      <c r="N111" s="5"/>
      <c r="O111" s="5"/>
      <c r="P111" s="57"/>
      <c r="Q111" s="5"/>
      <c r="R111" s="5"/>
      <c r="S111" s="5"/>
      <c r="T111" s="5"/>
      <c r="U111" s="5"/>
      <c r="V111" s="5"/>
      <c r="W111" s="5"/>
      <c r="X111" s="5"/>
      <c r="Y111" s="5"/>
      <c r="Z111" s="5"/>
      <c r="AA111" s="5"/>
    </row>
    <row r="112" spans="1:27" ht="12.75" customHeight="1">
      <c r="A112" s="5"/>
      <c r="B112" s="5"/>
      <c r="C112" s="5"/>
      <c r="D112" s="5"/>
      <c r="E112" s="5"/>
      <c r="F112" s="5"/>
      <c r="G112" s="5"/>
      <c r="H112" s="306"/>
      <c r="I112" s="306"/>
      <c r="J112" s="5"/>
      <c r="K112" s="5"/>
      <c r="L112" s="5"/>
      <c r="M112" s="5"/>
      <c r="N112" s="5"/>
      <c r="O112" s="5"/>
      <c r="P112" s="57"/>
      <c r="Q112" s="5"/>
      <c r="R112" s="5"/>
      <c r="S112" s="5"/>
      <c r="T112" s="5"/>
      <c r="U112" s="5"/>
      <c r="V112" s="5"/>
      <c r="W112" s="5"/>
      <c r="X112" s="5"/>
      <c r="Y112" s="5"/>
      <c r="Z112" s="5"/>
      <c r="AA112" s="5"/>
    </row>
    <row r="113" spans="1:27" ht="12.75" customHeight="1">
      <c r="A113" s="5"/>
      <c r="B113" s="5"/>
      <c r="C113" s="5"/>
      <c r="D113" s="5"/>
      <c r="E113" s="5"/>
      <c r="F113" s="5"/>
      <c r="G113" s="5"/>
      <c r="H113" s="306"/>
      <c r="I113" s="306"/>
      <c r="J113" s="5"/>
      <c r="K113" s="5"/>
      <c r="L113" s="5"/>
      <c r="M113" s="5"/>
      <c r="N113" s="5"/>
      <c r="O113" s="5"/>
      <c r="P113" s="57"/>
      <c r="Q113" s="5"/>
      <c r="R113" s="5"/>
      <c r="S113" s="5"/>
      <c r="T113" s="5"/>
      <c r="U113" s="5"/>
      <c r="V113" s="5"/>
      <c r="W113" s="5"/>
      <c r="X113" s="5"/>
      <c r="Y113" s="5"/>
      <c r="Z113" s="5"/>
      <c r="AA113" s="5"/>
    </row>
    <row r="114" spans="1:27" ht="12.75" customHeight="1">
      <c r="A114" s="5"/>
      <c r="B114" s="5"/>
      <c r="C114" s="5"/>
      <c r="D114" s="5"/>
      <c r="E114" s="5"/>
      <c r="F114" s="5"/>
      <c r="G114" s="5"/>
      <c r="H114" s="306"/>
      <c r="I114" s="306"/>
      <c r="J114" s="5"/>
      <c r="K114" s="5"/>
      <c r="L114" s="5"/>
      <c r="M114" s="5"/>
      <c r="N114" s="5"/>
      <c r="O114" s="5"/>
      <c r="P114" s="57"/>
      <c r="Q114" s="5"/>
      <c r="R114" s="5"/>
      <c r="S114" s="5"/>
      <c r="T114" s="5"/>
      <c r="U114" s="5"/>
      <c r="V114" s="5"/>
      <c r="W114" s="5"/>
      <c r="X114" s="5"/>
      <c r="Y114" s="5"/>
      <c r="Z114" s="5"/>
      <c r="AA114" s="5"/>
    </row>
    <row r="115" spans="1:27" ht="12.75" customHeight="1">
      <c r="A115" s="5"/>
      <c r="B115" s="5"/>
      <c r="C115" s="5"/>
      <c r="D115" s="5"/>
      <c r="E115" s="5"/>
      <c r="F115" s="5"/>
      <c r="G115" s="5"/>
      <c r="H115" s="306"/>
      <c r="I115" s="306"/>
      <c r="J115" s="5"/>
      <c r="K115" s="5"/>
      <c r="L115" s="5"/>
      <c r="M115" s="5"/>
      <c r="N115" s="5"/>
      <c r="O115" s="5"/>
      <c r="P115" s="57"/>
      <c r="Q115" s="5"/>
      <c r="R115" s="5"/>
      <c r="S115" s="5"/>
      <c r="T115" s="5"/>
      <c r="U115" s="5"/>
      <c r="V115" s="5"/>
      <c r="W115" s="5"/>
      <c r="X115" s="5"/>
      <c r="Y115" s="5"/>
      <c r="Z115" s="5"/>
      <c r="AA115" s="5"/>
    </row>
    <row r="116" spans="1:27" ht="12.75" customHeight="1">
      <c r="A116" s="5"/>
      <c r="B116" s="5"/>
      <c r="C116" s="5"/>
      <c r="D116" s="5"/>
      <c r="E116" s="5"/>
      <c r="F116" s="5"/>
      <c r="G116" s="5"/>
      <c r="H116" s="306"/>
      <c r="I116" s="306"/>
      <c r="J116" s="5"/>
      <c r="K116" s="5"/>
      <c r="L116" s="5"/>
      <c r="M116" s="5"/>
      <c r="N116" s="5"/>
      <c r="O116" s="5"/>
      <c r="P116" s="57"/>
      <c r="Q116" s="5"/>
      <c r="R116" s="5"/>
      <c r="S116" s="5"/>
      <c r="T116" s="5"/>
      <c r="U116" s="5"/>
      <c r="V116" s="5"/>
      <c r="W116" s="5"/>
      <c r="X116" s="5"/>
      <c r="Y116" s="5"/>
      <c r="Z116" s="5"/>
      <c r="AA116" s="5"/>
    </row>
    <row r="117" spans="1:27" ht="12.75" customHeight="1">
      <c r="A117" s="5"/>
      <c r="B117" s="5"/>
      <c r="C117" s="5"/>
      <c r="D117" s="5"/>
      <c r="E117" s="5"/>
      <c r="F117" s="5"/>
      <c r="G117" s="5"/>
      <c r="H117" s="306"/>
      <c r="I117" s="306"/>
      <c r="J117" s="5"/>
      <c r="K117" s="5"/>
      <c r="L117" s="5"/>
      <c r="M117" s="5"/>
      <c r="N117" s="5"/>
      <c r="O117" s="5"/>
      <c r="P117" s="57"/>
      <c r="Q117" s="5"/>
      <c r="R117" s="5"/>
      <c r="S117" s="5"/>
      <c r="T117" s="5"/>
      <c r="U117" s="5"/>
      <c r="V117" s="5"/>
      <c r="W117" s="5"/>
      <c r="X117" s="5"/>
      <c r="Y117" s="5"/>
      <c r="Z117" s="5"/>
      <c r="AA117" s="5"/>
    </row>
    <row r="118" spans="1:27" ht="12.75" customHeight="1">
      <c r="A118" s="5"/>
      <c r="B118" s="5"/>
      <c r="C118" s="5"/>
      <c r="D118" s="5"/>
      <c r="E118" s="5"/>
      <c r="F118" s="5"/>
      <c r="G118" s="5"/>
      <c r="H118" s="306"/>
      <c r="I118" s="306"/>
      <c r="J118" s="5"/>
      <c r="K118" s="5"/>
      <c r="L118" s="5"/>
      <c r="M118" s="5"/>
      <c r="N118" s="5"/>
      <c r="O118" s="5"/>
      <c r="P118" s="57"/>
      <c r="Q118" s="5"/>
      <c r="R118" s="5"/>
      <c r="S118" s="5"/>
      <c r="T118" s="5"/>
      <c r="U118" s="5"/>
      <c r="V118" s="5"/>
      <c r="W118" s="5"/>
      <c r="X118" s="5"/>
      <c r="Y118" s="5"/>
      <c r="Z118" s="5"/>
      <c r="AA118" s="5"/>
    </row>
    <row r="119" spans="1:27" ht="12.75" customHeight="1">
      <c r="A119" s="5"/>
      <c r="B119" s="5"/>
      <c r="C119" s="5"/>
      <c r="D119" s="5"/>
      <c r="E119" s="5"/>
      <c r="F119" s="5"/>
      <c r="G119" s="5"/>
      <c r="H119" s="306"/>
      <c r="I119" s="306"/>
      <c r="J119" s="5"/>
      <c r="K119" s="5"/>
      <c r="L119" s="5"/>
      <c r="M119" s="5"/>
      <c r="N119" s="5"/>
      <c r="O119" s="5"/>
      <c r="P119" s="57"/>
      <c r="Q119" s="5"/>
      <c r="R119" s="5"/>
      <c r="S119" s="5"/>
      <c r="T119" s="5"/>
      <c r="U119" s="5"/>
      <c r="V119" s="5"/>
      <c r="W119" s="5"/>
      <c r="X119" s="5"/>
      <c r="Y119" s="5"/>
      <c r="Z119" s="5"/>
      <c r="AA119" s="5"/>
    </row>
    <row r="120" spans="1:27" ht="12.75" customHeight="1">
      <c r="A120" s="5"/>
      <c r="B120" s="5"/>
      <c r="C120" s="5"/>
      <c r="D120" s="5"/>
      <c r="E120" s="5"/>
      <c r="F120" s="5"/>
      <c r="G120" s="5"/>
      <c r="H120" s="306"/>
      <c r="I120" s="306"/>
      <c r="J120" s="5"/>
      <c r="K120" s="5"/>
      <c r="L120" s="5"/>
      <c r="M120" s="5"/>
      <c r="N120" s="5"/>
      <c r="O120" s="5"/>
      <c r="P120" s="57"/>
      <c r="Q120" s="5"/>
      <c r="R120" s="5"/>
      <c r="S120" s="5"/>
      <c r="T120" s="5"/>
      <c r="U120" s="5"/>
      <c r="V120" s="5"/>
      <c r="W120" s="5"/>
      <c r="X120" s="5"/>
      <c r="Y120" s="5"/>
      <c r="Z120" s="5"/>
      <c r="AA120" s="5"/>
    </row>
    <row r="121" spans="1:27" ht="12.75" customHeight="1">
      <c r="A121" s="5"/>
      <c r="B121" s="5"/>
      <c r="C121" s="5"/>
      <c r="D121" s="5"/>
      <c r="E121" s="5"/>
      <c r="F121" s="5"/>
      <c r="G121" s="5"/>
      <c r="H121" s="306"/>
      <c r="I121" s="306"/>
      <c r="J121" s="5"/>
      <c r="K121" s="5"/>
      <c r="L121" s="5"/>
      <c r="M121" s="5"/>
      <c r="N121" s="5"/>
      <c r="O121" s="5"/>
      <c r="P121" s="57"/>
      <c r="Q121" s="5"/>
      <c r="R121" s="5"/>
      <c r="S121" s="5"/>
      <c r="T121" s="5"/>
      <c r="U121" s="5"/>
      <c r="V121" s="5"/>
      <c r="W121" s="5"/>
      <c r="X121" s="5"/>
      <c r="Y121" s="5"/>
      <c r="Z121" s="5"/>
      <c r="AA121" s="5"/>
    </row>
    <row r="122" spans="1:27" ht="12.75" customHeight="1">
      <c r="A122" s="5"/>
      <c r="B122" s="5"/>
      <c r="C122" s="5"/>
      <c r="D122" s="5"/>
      <c r="E122" s="5"/>
      <c r="F122" s="5"/>
      <c r="G122" s="5"/>
      <c r="H122" s="306"/>
      <c r="I122" s="306"/>
      <c r="J122" s="5"/>
      <c r="K122" s="5"/>
      <c r="L122" s="5"/>
      <c r="M122" s="5"/>
      <c r="N122" s="5"/>
      <c r="O122" s="5"/>
      <c r="P122" s="57"/>
      <c r="Q122" s="5"/>
      <c r="R122" s="5"/>
      <c r="S122" s="5"/>
      <c r="T122" s="5"/>
      <c r="U122" s="5"/>
      <c r="V122" s="5"/>
      <c r="W122" s="5"/>
      <c r="X122" s="5"/>
      <c r="Y122" s="5"/>
      <c r="Z122" s="5"/>
      <c r="AA122" s="5"/>
    </row>
    <row r="123" spans="1:27" ht="12.75" customHeight="1">
      <c r="A123" s="5"/>
      <c r="B123" s="5"/>
      <c r="C123" s="5"/>
      <c r="D123" s="5"/>
      <c r="E123" s="5"/>
      <c r="F123" s="5"/>
      <c r="G123" s="5"/>
      <c r="H123" s="306"/>
      <c r="I123" s="306"/>
      <c r="J123" s="5"/>
      <c r="K123" s="5"/>
      <c r="L123" s="5"/>
      <c r="M123" s="5"/>
      <c r="N123" s="5"/>
      <c r="O123" s="5"/>
      <c r="P123" s="57"/>
      <c r="Q123" s="5"/>
      <c r="R123" s="5"/>
      <c r="S123" s="5"/>
      <c r="T123" s="5"/>
      <c r="U123" s="5"/>
      <c r="V123" s="5"/>
      <c r="W123" s="5"/>
      <c r="X123" s="5"/>
      <c r="Y123" s="5"/>
      <c r="Z123" s="5"/>
      <c r="AA123" s="5"/>
    </row>
    <row r="124" spans="1:27" ht="12.75" customHeight="1">
      <c r="A124" s="5"/>
      <c r="B124" s="5"/>
      <c r="C124" s="5"/>
      <c r="D124" s="5"/>
      <c r="E124" s="5"/>
      <c r="F124" s="5"/>
      <c r="G124" s="5"/>
      <c r="H124" s="306"/>
      <c r="I124" s="306"/>
      <c r="J124" s="5"/>
      <c r="K124" s="5"/>
      <c r="L124" s="5"/>
      <c r="M124" s="5"/>
      <c r="N124" s="5"/>
      <c r="O124" s="5"/>
      <c r="P124" s="57"/>
      <c r="Q124" s="5"/>
      <c r="R124" s="5"/>
      <c r="S124" s="5"/>
      <c r="T124" s="5"/>
      <c r="U124" s="5"/>
      <c r="V124" s="5"/>
      <c r="W124" s="5"/>
      <c r="X124" s="5"/>
      <c r="Y124" s="5"/>
      <c r="Z124" s="5"/>
      <c r="AA124" s="5"/>
    </row>
    <row r="125" spans="1:27" ht="12.75" customHeight="1">
      <c r="A125" s="5"/>
      <c r="B125" s="5"/>
      <c r="C125" s="5"/>
      <c r="D125" s="5"/>
      <c r="E125" s="5"/>
      <c r="F125" s="5"/>
      <c r="G125" s="5"/>
      <c r="H125" s="306"/>
      <c r="I125" s="306"/>
      <c r="J125" s="5"/>
      <c r="K125" s="5"/>
      <c r="L125" s="5"/>
      <c r="M125" s="5"/>
      <c r="N125" s="5"/>
      <c r="O125" s="5"/>
      <c r="P125" s="57"/>
      <c r="Q125" s="5"/>
      <c r="R125" s="5"/>
      <c r="S125" s="5"/>
      <c r="T125" s="5"/>
      <c r="U125" s="5"/>
      <c r="V125" s="5"/>
      <c r="W125" s="5"/>
      <c r="X125" s="5"/>
      <c r="Y125" s="5"/>
      <c r="Z125" s="5"/>
      <c r="AA125" s="5"/>
    </row>
    <row r="126" spans="1:27" ht="12.75" customHeight="1">
      <c r="A126" s="5"/>
      <c r="B126" s="5"/>
      <c r="C126" s="5"/>
      <c r="D126" s="5"/>
      <c r="E126" s="5"/>
      <c r="F126" s="5"/>
      <c r="G126" s="5"/>
      <c r="H126" s="306"/>
      <c r="I126" s="306"/>
      <c r="J126" s="5"/>
      <c r="K126" s="5"/>
      <c r="L126" s="5"/>
      <c r="M126" s="5"/>
      <c r="N126" s="5"/>
      <c r="O126" s="5"/>
      <c r="P126" s="57"/>
      <c r="Q126" s="5"/>
      <c r="R126" s="5"/>
      <c r="S126" s="5"/>
      <c r="T126" s="5"/>
      <c r="U126" s="5"/>
      <c r="V126" s="5"/>
      <c r="W126" s="5"/>
      <c r="X126" s="5"/>
      <c r="Y126" s="5"/>
      <c r="Z126" s="5"/>
      <c r="AA126" s="5"/>
    </row>
    <row r="127" spans="1:27" ht="12.75" customHeight="1">
      <c r="A127" s="5"/>
      <c r="B127" s="5"/>
      <c r="C127" s="5"/>
      <c r="D127" s="5"/>
      <c r="E127" s="5"/>
      <c r="F127" s="5"/>
      <c r="G127" s="5"/>
      <c r="H127" s="306"/>
      <c r="I127" s="306"/>
      <c r="J127" s="5"/>
      <c r="K127" s="5"/>
      <c r="L127" s="5"/>
      <c r="M127" s="5"/>
      <c r="N127" s="5"/>
      <c r="O127" s="5"/>
      <c r="P127" s="57"/>
      <c r="Q127" s="5"/>
      <c r="R127" s="5"/>
      <c r="S127" s="5"/>
      <c r="T127" s="5"/>
      <c r="U127" s="5"/>
      <c r="V127" s="5"/>
      <c r="W127" s="5"/>
      <c r="X127" s="5"/>
      <c r="Y127" s="5"/>
      <c r="Z127" s="5"/>
      <c r="AA127" s="5"/>
    </row>
    <row r="128" spans="1:27" ht="12.75" customHeight="1">
      <c r="A128" s="5"/>
      <c r="B128" s="5"/>
      <c r="C128" s="5"/>
      <c r="D128" s="5"/>
      <c r="E128" s="5"/>
      <c r="F128" s="5"/>
      <c r="G128" s="5"/>
      <c r="H128" s="306"/>
      <c r="I128" s="306"/>
      <c r="J128" s="5"/>
      <c r="K128" s="5"/>
      <c r="L128" s="5"/>
      <c r="M128" s="5"/>
      <c r="N128" s="5"/>
      <c r="O128" s="5"/>
      <c r="P128" s="57"/>
      <c r="Q128" s="5"/>
      <c r="R128" s="5"/>
      <c r="S128" s="5"/>
      <c r="T128" s="5"/>
      <c r="U128" s="5"/>
      <c r="V128" s="5"/>
      <c r="W128" s="5"/>
      <c r="X128" s="5"/>
      <c r="Y128" s="5"/>
      <c r="Z128" s="5"/>
      <c r="AA128" s="5"/>
    </row>
    <row r="129" spans="1:27" ht="12.75" customHeight="1">
      <c r="A129" s="5"/>
      <c r="B129" s="5"/>
      <c r="C129" s="5"/>
      <c r="D129" s="5"/>
      <c r="E129" s="5"/>
      <c r="F129" s="5"/>
      <c r="G129" s="5"/>
      <c r="H129" s="306"/>
      <c r="I129" s="306"/>
      <c r="J129" s="5"/>
      <c r="K129" s="5"/>
      <c r="L129" s="5"/>
      <c r="M129" s="5"/>
      <c r="N129" s="5"/>
      <c r="O129" s="5"/>
      <c r="P129" s="57"/>
      <c r="Q129" s="5"/>
      <c r="R129" s="5"/>
      <c r="S129" s="5"/>
      <c r="T129" s="5"/>
      <c r="U129" s="5"/>
      <c r="V129" s="5"/>
      <c r="W129" s="5"/>
      <c r="X129" s="5"/>
      <c r="Y129" s="5"/>
      <c r="Z129" s="5"/>
      <c r="AA129" s="5"/>
    </row>
    <row r="130" spans="1:27" ht="12.75" customHeight="1">
      <c r="A130" s="5"/>
      <c r="B130" s="5"/>
      <c r="C130" s="5"/>
      <c r="D130" s="5"/>
      <c r="E130" s="5"/>
      <c r="F130" s="5"/>
      <c r="G130" s="5"/>
      <c r="H130" s="306"/>
      <c r="I130" s="306"/>
      <c r="J130" s="5"/>
      <c r="K130" s="5"/>
      <c r="L130" s="5"/>
      <c r="M130" s="5"/>
      <c r="N130" s="5"/>
      <c r="O130" s="5"/>
      <c r="P130" s="57"/>
      <c r="Q130" s="5"/>
      <c r="R130" s="5"/>
      <c r="S130" s="5"/>
      <c r="T130" s="5"/>
      <c r="U130" s="5"/>
      <c r="V130" s="5"/>
      <c r="W130" s="5"/>
      <c r="X130" s="5"/>
      <c r="Y130" s="5"/>
      <c r="Z130" s="5"/>
      <c r="AA130" s="5"/>
    </row>
    <row r="131" spans="1:27" ht="12.75" customHeight="1">
      <c r="A131" s="5"/>
      <c r="B131" s="5"/>
      <c r="C131" s="5"/>
      <c r="D131" s="5"/>
      <c r="E131" s="5"/>
      <c r="F131" s="5"/>
      <c r="G131" s="5"/>
      <c r="H131" s="306"/>
      <c r="I131" s="306"/>
      <c r="J131" s="5"/>
      <c r="K131" s="5"/>
      <c r="L131" s="5"/>
      <c r="M131" s="5"/>
      <c r="N131" s="5"/>
      <c r="O131" s="5"/>
      <c r="P131" s="57"/>
      <c r="Q131" s="5"/>
      <c r="R131" s="5"/>
      <c r="S131" s="5"/>
      <c r="T131" s="5"/>
      <c r="U131" s="5"/>
      <c r="V131" s="5"/>
      <c r="W131" s="5"/>
      <c r="X131" s="5"/>
      <c r="Y131" s="5"/>
      <c r="Z131" s="5"/>
      <c r="AA131" s="5"/>
    </row>
    <row r="132" spans="1:27" ht="12.75" customHeight="1">
      <c r="A132" s="5"/>
      <c r="B132" s="5"/>
      <c r="C132" s="5"/>
      <c r="D132" s="5"/>
      <c r="E132" s="5"/>
      <c r="F132" s="5"/>
      <c r="G132" s="5"/>
      <c r="H132" s="306"/>
      <c r="I132" s="306"/>
      <c r="J132" s="5"/>
      <c r="K132" s="5"/>
      <c r="L132" s="5"/>
      <c r="M132" s="5"/>
      <c r="N132" s="5"/>
      <c r="O132" s="5"/>
      <c r="P132" s="57"/>
      <c r="Q132" s="5"/>
      <c r="R132" s="5"/>
      <c r="S132" s="5"/>
      <c r="T132" s="5"/>
      <c r="U132" s="5"/>
      <c r="V132" s="5"/>
      <c r="W132" s="5"/>
      <c r="X132" s="5"/>
      <c r="Y132" s="5"/>
      <c r="Z132" s="5"/>
      <c r="AA132" s="5"/>
    </row>
    <row r="133" spans="1:27" ht="12.75" customHeight="1">
      <c r="A133" s="5"/>
      <c r="B133" s="5"/>
      <c r="C133" s="5"/>
      <c r="D133" s="5"/>
      <c r="E133" s="5"/>
      <c r="F133" s="5"/>
      <c r="G133" s="5"/>
      <c r="H133" s="306"/>
      <c r="I133" s="306"/>
      <c r="J133" s="5"/>
      <c r="K133" s="5"/>
      <c r="L133" s="5"/>
      <c r="M133" s="5"/>
      <c r="N133" s="5"/>
      <c r="O133" s="5"/>
      <c r="P133" s="57"/>
      <c r="Q133" s="5"/>
      <c r="R133" s="5"/>
      <c r="S133" s="5"/>
      <c r="T133" s="5"/>
      <c r="U133" s="5"/>
      <c r="V133" s="5"/>
      <c r="W133" s="5"/>
      <c r="X133" s="5"/>
      <c r="Y133" s="5"/>
      <c r="Z133" s="5"/>
      <c r="AA133" s="5"/>
    </row>
    <row r="134" spans="1:27" ht="12.75" customHeight="1">
      <c r="A134" s="5"/>
      <c r="B134" s="5"/>
      <c r="C134" s="5"/>
      <c r="D134" s="5"/>
      <c r="E134" s="5"/>
      <c r="F134" s="5"/>
      <c r="G134" s="5"/>
      <c r="H134" s="306"/>
      <c r="I134" s="306"/>
      <c r="J134" s="5"/>
      <c r="K134" s="5"/>
      <c r="L134" s="5"/>
      <c r="M134" s="5"/>
      <c r="N134" s="5"/>
      <c r="O134" s="5"/>
      <c r="P134" s="57"/>
      <c r="Q134" s="5"/>
      <c r="R134" s="5"/>
      <c r="S134" s="5"/>
      <c r="T134" s="5"/>
      <c r="U134" s="5"/>
      <c r="V134" s="5"/>
      <c r="W134" s="5"/>
      <c r="X134" s="5"/>
      <c r="Y134" s="5"/>
      <c r="Z134" s="5"/>
      <c r="AA134" s="5"/>
    </row>
    <row r="135" spans="1:27" ht="12.75" customHeight="1">
      <c r="A135" s="5"/>
      <c r="B135" s="5"/>
      <c r="C135" s="5"/>
      <c r="D135" s="5"/>
      <c r="E135" s="5"/>
      <c r="F135" s="5"/>
      <c r="G135" s="5"/>
      <c r="H135" s="306"/>
      <c r="I135" s="306"/>
      <c r="J135" s="5"/>
      <c r="K135" s="5"/>
      <c r="L135" s="5"/>
      <c r="M135" s="5"/>
      <c r="N135" s="5"/>
      <c r="O135" s="5"/>
      <c r="P135" s="57"/>
      <c r="Q135" s="5"/>
      <c r="R135" s="5"/>
      <c r="S135" s="5"/>
      <c r="T135" s="5"/>
      <c r="U135" s="5"/>
      <c r="V135" s="5"/>
      <c r="W135" s="5"/>
      <c r="X135" s="5"/>
      <c r="Y135" s="5"/>
      <c r="Z135" s="5"/>
      <c r="AA135" s="5"/>
    </row>
    <row r="136" spans="1:27" ht="12.75" customHeight="1">
      <c r="A136" s="5"/>
      <c r="B136" s="5"/>
      <c r="C136" s="5"/>
      <c r="D136" s="5"/>
      <c r="E136" s="5"/>
      <c r="F136" s="5"/>
      <c r="G136" s="5"/>
      <c r="H136" s="306"/>
      <c r="I136" s="306"/>
      <c r="J136" s="5"/>
      <c r="K136" s="5"/>
      <c r="L136" s="5"/>
      <c r="M136" s="5"/>
      <c r="N136" s="5"/>
      <c r="O136" s="5"/>
      <c r="P136" s="57"/>
      <c r="Q136" s="5"/>
      <c r="R136" s="5"/>
      <c r="S136" s="5"/>
      <c r="T136" s="5"/>
      <c r="U136" s="5"/>
      <c r="V136" s="5"/>
      <c r="W136" s="5"/>
      <c r="X136" s="5"/>
      <c r="Y136" s="5"/>
      <c r="Z136" s="5"/>
      <c r="AA136" s="5"/>
    </row>
    <row r="137" spans="1:27" ht="12.75" customHeight="1">
      <c r="A137" s="5"/>
      <c r="B137" s="5"/>
      <c r="C137" s="5"/>
      <c r="D137" s="5"/>
      <c r="E137" s="5"/>
      <c r="F137" s="5"/>
      <c r="G137" s="5"/>
      <c r="H137" s="306"/>
      <c r="I137" s="306"/>
      <c r="J137" s="5"/>
      <c r="K137" s="5"/>
      <c r="L137" s="5"/>
      <c r="M137" s="5"/>
      <c r="N137" s="5"/>
      <c r="O137" s="5"/>
      <c r="P137" s="57"/>
      <c r="Q137" s="5"/>
      <c r="R137" s="5"/>
      <c r="S137" s="5"/>
      <c r="T137" s="5"/>
      <c r="U137" s="5"/>
      <c r="V137" s="5"/>
      <c r="W137" s="5"/>
      <c r="X137" s="5"/>
      <c r="Y137" s="5"/>
      <c r="Z137" s="5"/>
      <c r="AA137" s="5"/>
    </row>
    <row r="138" spans="1:27" ht="12.75" customHeight="1">
      <c r="A138" s="5"/>
      <c r="B138" s="5"/>
      <c r="C138" s="5"/>
      <c r="D138" s="5"/>
      <c r="E138" s="5"/>
      <c r="F138" s="5"/>
      <c r="G138" s="5"/>
      <c r="H138" s="306"/>
      <c r="I138" s="306"/>
      <c r="J138" s="5"/>
      <c r="K138" s="5"/>
      <c r="L138" s="5"/>
      <c r="M138" s="5"/>
      <c r="N138" s="5"/>
      <c r="O138" s="5"/>
      <c r="P138" s="57"/>
      <c r="Q138" s="5"/>
      <c r="R138" s="5"/>
      <c r="S138" s="5"/>
      <c r="T138" s="5"/>
      <c r="U138" s="5"/>
      <c r="V138" s="5"/>
      <c r="W138" s="5"/>
      <c r="X138" s="5"/>
      <c r="Y138" s="5"/>
      <c r="Z138" s="5"/>
      <c r="AA138" s="5"/>
    </row>
    <row r="139" spans="1:27" ht="12.75" customHeight="1">
      <c r="A139" s="5"/>
      <c r="B139" s="5"/>
      <c r="C139" s="5"/>
      <c r="D139" s="5"/>
      <c r="E139" s="5"/>
      <c r="F139" s="5"/>
      <c r="G139" s="5"/>
      <c r="H139" s="306"/>
      <c r="I139" s="306"/>
      <c r="J139" s="5"/>
      <c r="K139" s="5"/>
      <c r="L139" s="5"/>
      <c r="M139" s="5"/>
      <c r="N139" s="5"/>
      <c r="O139" s="5"/>
      <c r="P139" s="57"/>
      <c r="Q139" s="5"/>
      <c r="R139" s="5"/>
      <c r="S139" s="5"/>
      <c r="T139" s="5"/>
      <c r="U139" s="5"/>
      <c r="V139" s="5"/>
      <c r="W139" s="5"/>
      <c r="X139" s="5"/>
      <c r="Y139" s="5"/>
      <c r="Z139" s="5"/>
      <c r="AA139" s="5"/>
    </row>
    <row r="140" spans="1:27" ht="12.75" customHeight="1">
      <c r="A140" s="5"/>
      <c r="B140" s="5"/>
      <c r="C140" s="5"/>
      <c r="D140" s="5"/>
      <c r="E140" s="5"/>
      <c r="F140" s="5"/>
      <c r="G140" s="5"/>
      <c r="H140" s="306"/>
      <c r="I140" s="306"/>
      <c r="J140" s="5"/>
      <c r="K140" s="5"/>
      <c r="L140" s="5"/>
      <c r="M140" s="5"/>
      <c r="N140" s="5"/>
      <c r="O140" s="5"/>
      <c r="P140" s="57"/>
      <c r="Q140" s="5"/>
      <c r="R140" s="5"/>
      <c r="S140" s="5"/>
      <c r="T140" s="5"/>
      <c r="U140" s="5"/>
      <c r="V140" s="5"/>
      <c r="W140" s="5"/>
      <c r="X140" s="5"/>
      <c r="Y140" s="5"/>
      <c r="Z140" s="5"/>
      <c r="AA140" s="5"/>
    </row>
    <row r="141" spans="1:27" ht="12.75" customHeight="1">
      <c r="A141" s="5"/>
      <c r="B141" s="5"/>
      <c r="C141" s="5"/>
      <c r="D141" s="5"/>
      <c r="E141" s="5"/>
      <c r="F141" s="5"/>
      <c r="G141" s="5"/>
      <c r="H141" s="306"/>
      <c r="I141" s="306"/>
      <c r="J141" s="5"/>
      <c r="K141" s="5"/>
      <c r="L141" s="5"/>
      <c r="M141" s="5"/>
      <c r="N141" s="5"/>
      <c r="O141" s="5"/>
      <c r="P141" s="57"/>
      <c r="Q141" s="5"/>
      <c r="R141" s="5"/>
      <c r="S141" s="5"/>
      <c r="T141" s="5"/>
      <c r="U141" s="5"/>
      <c r="V141" s="5"/>
      <c r="W141" s="5"/>
      <c r="X141" s="5"/>
      <c r="Y141" s="5"/>
      <c r="Z141" s="5"/>
      <c r="AA141" s="5"/>
    </row>
    <row r="142" spans="1:27" ht="12.75" customHeight="1">
      <c r="A142" s="5"/>
      <c r="B142" s="5"/>
      <c r="C142" s="5"/>
      <c r="D142" s="5"/>
      <c r="E142" s="5"/>
      <c r="F142" s="5"/>
      <c r="G142" s="5"/>
      <c r="H142" s="306"/>
      <c r="I142" s="306"/>
      <c r="J142" s="5"/>
      <c r="K142" s="5"/>
      <c r="L142" s="5"/>
      <c r="M142" s="5"/>
      <c r="N142" s="5"/>
      <c r="O142" s="5"/>
      <c r="P142" s="57"/>
      <c r="Q142" s="5"/>
      <c r="R142" s="5"/>
      <c r="S142" s="5"/>
      <c r="T142" s="5"/>
      <c r="U142" s="5"/>
      <c r="V142" s="5"/>
      <c r="W142" s="5"/>
      <c r="X142" s="5"/>
      <c r="Y142" s="5"/>
      <c r="Z142" s="5"/>
      <c r="AA142" s="5"/>
    </row>
    <row r="143" spans="1:27" ht="12.75" customHeight="1">
      <c r="A143" s="5"/>
      <c r="B143" s="5"/>
      <c r="C143" s="5"/>
      <c r="D143" s="5"/>
      <c r="E143" s="5"/>
      <c r="F143" s="5"/>
      <c r="G143" s="5"/>
      <c r="H143" s="306"/>
      <c r="I143" s="306"/>
      <c r="J143" s="5"/>
      <c r="K143" s="5"/>
      <c r="L143" s="5"/>
      <c r="M143" s="5"/>
      <c r="N143" s="5"/>
      <c r="O143" s="5"/>
      <c r="P143" s="57"/>
      <c r="Q143" s="5"/>
      <c r="R143" s="5"/>
      <c r="S143" s="5"/>
      <c r="T143" s="5"/>
      <c r="U143" s="5"/>
      <c r="V143" s="5"/>
      <c r="W143" s="5"/>
      <c r="X143" s="5"/>
      <c r="Y143" s="5"/>
      <c r="Z143" s="5"/>
      <c r="AA143" s="5"/>
    </row>
    <row r="144" spans="1:27" ht="12.75" customHeight="1">
      <c r="A144" s="5"/>
      <c r="B144" s="5"/>
      <c r="C144" s="5"/>
      <c r="D144" s="5"/>
      <c r="E144" s="5"/>
      <c r="F144" s="5"/>
      <c r="G144" s="5"/>
      <c r="H144" s="306"/>
      <c r="I144" s="306"/>
      <c r="J144" s="5"/>
      <c r="K144" s="5"/>
      <c r="L144" s="5"/>
      <c r="M144" s="5"/>
      <c r="N144" s="5"/>
      <c r="O144" s="5"/>
      <c r="P144" s="57"/>
      <c r="Q144" s="5"/>
      <c r="R144" s="5"/>
      <c r="S144" s="5"/>
      <c r="T144" s="5"/>
      <c r="U144" s="5"/>
      <c r="V144" s="5"/>
      <c r="W144" s="5"/>
      <c r="X144" s="5"/>
      <c r="Y144" s="5"/>
      <c r="Z144" s="5"/>
      <c r="AA144" s="5"/>
    </row>
    <row r="145" spans="1:27" ht="12.75" customHeight="1">
      <c r="A145" s="5"/>
      <c r="B145" s="5"/>
      <c r="C145" s="5"/>
      <c r="D145" s="5"/>
      <c r="E145" s="5"/>
      <c r="F145" s="5"/>
      <c r="G145" s="5"/>
      <c r="H145" s="306"/>
      <c r="I145" s="306"/>
      <c r="J145" s="5"/>
      <c r="K145" s="5"/>
      <c r="L145" s="5"/>
      <c r="M145" s="5"/>
      <c r="N145" s="5"/>
      <c r="O145" s="5"/>
      <c r="P145" s="57"/>
      <c r="Q145" s="5"/>
      <c r="R145" s="5"/>
      <c r="S145" s="5"/>
      <c r="T145" s="5"/>
      <c r="U145" s="5"/>
      <c r="V145" s="5"/>
      <c r="W145" s="5"/>
      <c r="X145" s="5"/>
      <c r="Y145" s="5"/>
      <c r="Z145" s="5"/>
      <c r="AA145" s="5"/>
    </row>
    <row r="146" spans="1:27" ht="12.75" customHeight="1">
      <c r="A146" s="5"/>
      <c r="B146" s="5"/>
      <c r="C146" s="5"/>
      <c r="D146" s="5"/>
      <c r="E146" s="5"/>
      <c r="F146" s="5"/>
      <c r="G146" s="5"/>
      <c r="H146" s="306"/>
      <c r="I146" s="306"/>
      <c r="J146" s="5"/>
      <c r="K146" s="5"/>
      <c r="L146" s="5"/>
      <c r="M146" s="5"/>
      <c r="N146" s="5"/>
      <c r="O146" s="5"/>
      <c r="P146" s="57"/>
      <c r="Q146" s="5"/>
      <c r="R146" s="5"/>
      <c r="S146" s="5"/>
      <c r="T146" s="5"/>
      <c r="U146" s="5"/>
      <c r="V146" s="5"/>
      <c r="W146" s="5"/>
      <c r="X146" s="5"/>
      <c r="Y146" s="5"/>
      <c r="Z146" s="5"/>
      <c r="AA146" s="5"/>
    </row>
    <row r="147" spans="1:27" ht="12.75" customHeight="1">
      <c r="A147" s="5"/>
      <c r="B147" s="5"/>
      <c r="C147" s="5"/>
      <c r="D147" s="5"/>
      <c r="E147" s="5"/>
      <c r="F147" s="5"/>
      <c r="G147" s="5"/>
      <c r="H147" s="306"/>
      <c r="I147" s="306"/>
      <c r="J147" s="5"/>
      <c r="K147" s="5"/>
      <c r="L147" s="5"/>
      <c r="M147" s="5"/>
      <c r="N147" s="5"/>
      <c r="O147" s="5"/>
      <c r="P147" s="57"/>
      <c r="Q147" s="5"/>
      <c r="R147" s="5"/>
      <c r="S147" s="5"/>
      <c r="T147" s="5"/>
      <c r="U147" s="5"/>
      <c r="V147" s="5"/>
      <c r="W147" s="5"/>
      <c r="X147" s="5"/>
      <c r="Y147" s="5"/>
      <c r="Z147" s="5"/>
      <c r="AA147" s="5"/>
    </row>
    <row r="148" spans="1:27" ht="12.75" customHeight="1">
      <c r="A148" s="5"/>
      <c r="B148" s="5"/>
      <c r="C148" s="5"/>
      <c r="D148" s="5"/>
      <c r="E148" s="5"/>
      <c r="F148" s="5"/>
      <c r="G148" s="5"/>
      <c r="H148" s="306"/>
      <c r="I148" s="306"/>
      <c r="J148" s="5"/>
      <c r="K148" s="5"/>
      <c r="L148" s="5"/>
      <c r="M148" s="5"/>
      <c r="N148" s="5"/>
      <c r="O148" s="5"/>
      <c r="P148" s="57"/>
      <c r="Q148" s="5"/>
      <c r="R148" s="5"/>
      <c r="S148" s="5"/>
      <c r="T148" s="5"/>
      <c r="U148" s="5"/>
      <c r="V148" s="5"/>
      <c r="W148" s="5"/>
      <c r="X148" s="5"/>
      <c r="Y148" s="5"/>
      <c r="Z148" s="5"/>
      <c r="AA148" s="5"/>
    </row>
    <row r="149" spans="1:27" ht="12.75" customHeight="1">
      <c r="A149" s="5"/>
      <c r="B149" s="5"/>
      <c r="C149" s="5"/>
      <c r="D149" s="5"/>
      <c r="E149" s="5"/>
      <c r="F149" s="5"/>
      <c r="G149" s="5"/>
      <c r="H149" s="306"/>
      <c r="I149" s="306"/>
      <c r="J149" s="5"/>
      <c r="K149" s="5"/>
      <c r="L149" s="5"/>
      <c r="M149" s="5"/>
      <c r="N149" s="5"/>
      <c r="O149" s="5"/>
      <c r="P149" s="57"/>
      <c r="Q149" s="5"/>
      <c r="R149" s="5"/>
      <c r="S149" s="5"/>
      <c r="T149" s="5"/>
      <c r="U149" s="5"/>
      <c r="V149" s="5"/>
      <c r="W149" s="5"/>
      <c r="X149" s="5"/>
      <c r="Y149" s="5"/>
      <c r="Z149" s="5"/>
      <c r="AA149" s="5"/>
    </row>
    <row r="150" spans="1:27" ht="12.75" customHeight="1">
      <c r="A150" s="5"/>
      <c r="B150" s="5"/>
      <c r="C150" s="5"/>
      <c r="D150" s="5"/>
      <c r="E150" s="5"/>
      <c r="F150" s="5"/>
      <c r="G150" s="5"/>
      <c r="H150" s="306"/>
      <c r="I150" s="306"/>
      <c r="J150" s="5"/>
      <c r="K150" s="5"/>
      <c r="L150" s="5"/>
      <c r="M150" s="5"/>
      <c r="N150" s="5"/>
      <c r="O150" s="5"/>
      <c r="P150" s="57"/>
      <c r="Q150" s="5"/>
      <c r="R150" s="5"/>
      <c r="S150" s="5"/>
      <c r="T150" s="5"/>
      <c r="U150" s="5"/>
      <c r="V150" s="5"/>
      <c r="W150" s="5"/>
      <c r="X150" s="5"/>
      <c r="Y150" s="5"/>
      <c r="Z150" s="5"/>
      <c r="AA150" s="5"/>
    </row>
    <row r="151" spans="1:27" ht="12.75" customHeight="1">
      <c r="A151" s="5"/>
      <c r="B151" s="5"/>
      <c r="C151" s="5"/>
      <c r="D151" s="5"/>
      <c r="E151" s="5"/>
      <c r="F151" s="5"/>
      <c r="G151" s="5"/>
      <c r="H151" s="306"/>
      <c r="I151" s="306"/>
      <c r="J151" s="5"/>
      <c r="K151" s="5"/>
      <c r="L151" s="5"/>
      <c r="M151" s="5"/>
      <c r="N151" s="5"/>
      <c r="O151" s="5"/>
      <c r="P151" s="57"/>
      <c r="Q151" s="5"/>
      <c r="R151" s="5"/>
      <c r="S151" s="5"/>
      <c r="T151" s="5"/>
      <c r="U151" s="5"/>
      <c r="V151" s="5"/>
      <c r="W151" s="5"/>
      <c r="X151" s="5"/>
      <c r="Y151" s="5"/>
      <c r="Z151" s="5"/>
      <c r="AA151" s="5"/>
    </row>
    <row r="152" spans="1:27" ht="12.75" customHeight="1">
      <c r="A152" s="5"/>
      <c r="B152" s="5"/>
      <c r="C152" s="5"/>
      <c r="D152" s="5"/>
      <c r="E152" s="5"/>
      <c r="F152" s="5"/>
      <c r="G152" s="5"/>
      <c r="H152" s="306"/>
      <c r="I152" s="306"/>
      <c r="J152" s="5"/>
      <c r="K152" s="5"/>
      <c r="L152" s="5"/>
      <c r="M152" s="5"/>
      <c r="N152" s="5"/>
      <c r="O152" s="5"/>
      <c r="P152" s="57"/>
      <c r="Q152" s="5"/>
      <c r="R152" s="5"/>
      <c r="S152" s="5"/>
      <c r="T152" s="5"/>
      <c r="U152" s="5"/>
      <c r="V152" s="5"/>
      <c r="W152" s="5"/>
      <c r="X152" s="5"/>
      <c r="Y152" s="5"/>
      <c r="Z152" s="5"/>
      <c r="AA152" s="5"/>
    </row>
    <row r="153" spans="1:27" ht="12.75" customHeight="1">
      <c r="A153" s="5"/>
      <c r="B153" s="5"/>
      <c r="C153" s="5"/>
      <c r="D153" s="5"/>
      <c r="E153" s="5"/>
      <c r="F153" s="5"/>
      <c r="G153" s="5"/>
      <c r="H153" s="306"/>
      <c r="I153" s="306"/>
      <c r="J153" s="5"/>
      <c r="K153" s="5"/>
      <c r="L153" s="5"/>
      <c r="M153" s="5"/>
      <c r="N153" s="5"/>
      <c r="O153" s="5"/>
      <c r="P153" s="57"/>
      <c r="Q153" s="5"/>
      <c r="R153" s="5"/>
      <c r="S153" s="5"/>
      <c r="T153" s="5"/>
      <c r="U153" s="5"/>
      <c r="V153" s="5"/>
      <c r="W153" s="5"/>
      <c r="X153" s="5"/>
      <c r="Y153" s="5"/>
      <c r="Z153" s="5"/>
      <c r="AA153" s="5"/>
    </row>
    <row r="154" spans="1:27" ht="12.75" customHeight="1">
      <c r="A154" s="5"/>
      <c r="B154" s="5"/>
      <c r="C154" s="5"/>
      <c r="D154" s="5"/>
      <c r="E154" s="5"/>
      <c r="F154" s="5"/>
      <c r="G154" s="5"/>
      <c r="H154" s="306"/>
      <c r="I154" s="306"/>
      <c r="J154" s="5"/>
      <c r="K154" s="5"/>
      <c r="L154" s="5"/>
      <c r="M154" s="5"/>
      <c r="N154" s="5"/>
      <c r="O154" s="5"/>
      <c r="P154" s="57"/>
      <c r="Q154" s="5"/>
      <c r="R154" s="5"/>
      <c r="S154" s="5"/>
      <c r="T154" s="5"/>
      <c r="U154" s="5"/>
      <c r="V154" s="5"/>
      <c r="W154" s="5"/>
      <c r="X154" s="5"/>
      <c r="Y154" s="5"/>
      <c r="Z154" s="5"/>
      <c r="AA154" s="5"/>
    </row>
    <row r="155" spans="1:27" ht="12.75" customHeight="1">
      <c r="A155" s="5"/>
      <c r="B155" s="5"/>
      <c r="C155" s="5"/>
      <c r="D155" s="5"/>
      <c r="E155" s="5"/>
      <c r="F155" s="5"/>
      <c r="G155" s="5"/>
      <c r="H155" s="306"/>
      <c r="I155" s="306"/>
      <c r="J155" s="5"/>
      <c r="K155" s="5"/>
      <c r="L155" s="5"/>
      <c r="M155" s="5"/>
      <c r="N155" s="5"/>
      <c r="O155" s="5"/>
      <c r="P155" s="57"/>
      <c r="Q155" s="5"/>
      <c r="R155" s="5"/>
      <c r="S155" s="5"/>
      <c r="T155" s="5"/>
      <c r="U155" s="5"/>
      <c r="V155" s="5"/>
      <c r="W155" s="5"/>
      <c r="X155" s="5"/>
      <c r="Y155" s="5"/>
      <c r="Z155" s="5"/>
      <c r="AA155" s="5"/>
    </row>
    <row r="156" spans="1:27" ht="12.75" customHeight="1">
      <c r="A156" s="5"/>
      <c r="B156" s="5"/>
      <c r="C156" s="5"/>
      <c r="D156" s="5"/>
      <c r="E156" s="5"/>
      <c r="F156" s="5"/>
      <c r="G156" s="5"/>
      <c r="H156" s="306"/>
      <c r="I156" s="306"/>
      <c r="J156" s="5"/>
      <c r="K156" s="5"/>
      <c r="L156" s="5"/>
      <c r="M156" s="5"/>
      <c r="N156" s="5"/>
      <c r="O156" s="5"/>
      <c r="P156" s="57"/>
      <c r="Q156" s="5"/>
      <c r="R156" s="5"/>
      <c r="S156" s="5"/>
      <c r="T156" s="5"/>
      <c r="U156" s="5"/>
      <c r="V156" s="5"/>
      <c r="W156" s="5"/>
      <c r="X156" s="5"/>
      <c r="Y156" s="5"/>
      <c r="Z156" s="5"/>
      <c r="AA156" s="5"/>
    </row>
    <row r="157" spans="1:27" ht="12.75" customHeight="1">
      <c r="A157" s="5"/>
      <c r="B157" s="5"/>
      <c r="C157" s="5"/>
      <c r="D157" s="5"/>
      <c r="E157" s="5"/>
      <c r="F157" s="5"/>
      <c r="G157" s="5"/>
      <c r="H157" s="306"/>
      <c r="I157" s="306"/>
      <c r="J157" s="5"/>
      <c r="K157" s="5"/>
      <c r="L157" s="5"/>
      <c r="M157" s="5"/>
      <c r="N157" s="5"/>
      <c r="O157" s="5"/>
      <c r="P157" s="57"/>
      <c r="Q157" s="5"/>
      <c r="R157" s="5"/>
      <c r="S157" s="5"/>
      <c r="T157" s="5"/>
      <c r="U157" s="5"/>
      <c r="V157" s="5"/>
      <c r="W157" s="5"/>
      <c r="X157" s="5"/>
      <c r="Y157" s="5"/>
      <c r="Z157" s="5"/>
      <c r="AA157" s="5"/>
    </row>
    <row r="158" spans="1:27" ht="12.75" customHeight="1">
      <c r="A158" s="5"/>
      <c r="B158" s="5"/>
      <c r="C158" s="5"/>
      <c r="D158" s="5"/>
      <c r="E158" s="5"/>
      <c r="F158" s="5"/>
      <c r="G158" s="5"/>
      <c r="H158" s="306"/>
      <c r="I158" s="306"/>
      <c r="J158" s="5"/>
      <c r="K158" s="5"/>
      <c r="L158" s="5"/>
      <c r="M158" s="5"/>
      <c r="N158" s="5"/>
      <c r="O158" s="5"/>
      <c r="P158" s="57"/>
      <c r="Q158" s="5"/>
      <c r="R158" s="5"/>
      <c r="S158" s="5"/>
      <c r="T158" s="5"/>
      <c r="U158" s="5"/>
      <c r="V158" s="5"/>
      <c r="W158" s="5"/>
      <c r="X158" s="5"/>
      <c r="Y158" s="5"/>
      <c r="Z158" s="5"/>
      <c r="AA158" s="5"/>
    </row>
    <row r="159" spans="1:27" ht="12.75" customHeight="1">
      <c r="A159" s="5"/>
      <c r="B159" s="5"/>
      <c r="C159" s="5"/>
      <c r="D159" s="5"/>
      <c r="E159" s="5"/>
      <c r="F159" s="5"/>
      <c r="G159" s="5"/>
      <c r="H159" s="306"/>
      <c r="I159" s="306"/>
      <c r="J159" s="5"/>
      <c r="K159" s="5"/>
      <c r="L159" s="5"/>
      <c r="M159" s="5"/>
      <c r="N159" s="5"/>
      <c r="O159" s="5"/>
      <c r="P159" s="57"/>
      <c r="Q159" s="5"/>
      <c r="R159" s="5"/>
      <c r="S159" s="5"/>
      <c r="T159" s="5"/>
      <c r="U159" s="5"/>
      <c r="V159" s="5"/>
      <c r="W159" s="5"/>
      <c r="X159" s="5"/>
      <c r="Y159" s="5"/>
      <c r="Z159" s="5"/>
      <c r="AA159" s="5"/>
    </row>
    <row r="160" spans="1:27" ht="12.75" customHeight="1">
      <c r="A160" s="5"/>
      <c r="B160" s="5"/>
      <c r="C160" s="5"/>
      <c r="D160" s="5"/>
      <c r="E160" s="5"/>
      <c r="F160" s="5"/>
      <c r="G160" s="5"/>
      <c r="H160" s="306"/>
      <c r="I160" s="306"/>
      <c r="J160" s="5"/>
      <c r="K160" s="5"/>
      <c r="L160" s="5"/>
      <c r="M160" s="5"/>
      <c r="N160" s="5"/>
      <c r="O160" s="5"/>
      <c r="P160" s="57"/>
      <c r="Q160" s="5"/>
      <c r="R160" s="5"/>
      <c r="S160" s="5"/>
      <c r="T160" s="5"/>
      <c r="U160" s="5"/>
      <c r="V160" s="5"/>
      <c r="W160" s="5"/>
      <c r="X160" s="5"/>
      <c r="Y160" s="5"/>
      <c r="Z160" s="5"/>
      <c r="AA160" s="5"/>
    </row>
    <row r="161" spans="1:27" ht="12.75" customHeight="1">
      <c r="A161" s="5"/>
      <c r="B161" s="5"/>
      <c r="C161" s="5"/>
      <c r="D161" s="5"/>
      <c r="E161" s="5"/>
      <c r="F161" s="5"/>
      <c r="G161" s="5"/>
      <c r="H161" s="306"/>
      <c r="I161" s="306"/>
      <c r="J161" s="5"/>
      <c r="K161" s="5"/>
      <c r="L161" s="5"/>
      <c r="M161" s="5"/>
      <c r="N161" s="5"/>
      <c r="O161" s="5"/>
      <c r="P161" s="57"/>
      <c r="Q161" s="5"/>
      <c r="R161" s="5"/>
      <c r="S161" s="5"/>
      <c r="T161" s="5"/>
      <c r="U161" s="5"/>
      <c r="V161" s="5"/>
      <c r="W161" s="5"/>
      <c r="X161" s="5"/>
      <c r="Y161" s="5"/>
      <c r="Z161" s="5"/>
      <c r="AA161" s="5"/>
    </row>
    <row r="162" spans="1:27" ht="12.75" customHeight="1">
      <c r="A162" s="5"/>
      <c r="B162" s="5"/>
      <c r="C162" s="5"/>
      <c r="D162" s="5"/>
      <c r="E162" s="5"/>
      <c r="F162" s="5"/>
      <c r="G162" s="5"/>
      <c r="H162" s="306"/>
      <c r="I162" s="306"/>
      <c r="J162" s="5"/>
      <c r="K162" s="5"/>
      <c r="L162" s="5"/>
      <c r="M162" s="5"/>
      <c r="N162" s="5"/>
      <c r="O162" s="5"/>
      <c r="P162" s="57"/>
      <c r="Q162" s="5"/>
      <c r="R162" s="5"/>
      <c r="S162" s="5"/>
      <c r="T162" s="5"/>
      <c r="U162" s="5"/>
      <c r="V162" s="5"/>
      <c r="W162" s="5"/>
      <c r="X162" s="5"/>
      <c r="Y162" s="5"/>
      <c r="Z162" s="5"/>
      <c r="AA162" s="5"/>
    </row>
    <row r="163" spans="1:27" ht="12.75" customHeight="1">
      <c r="A163" s="5"/>
      <c r="B163" s="5"/>
      <c r="C163" s="5"/>
      <c r="D163" s="5"/>
      <c r="E163" s="5"/>
      <c r="F163" s="5"/>
      <c r="G163" s="5"/>
      <c r="H163" s="306"/>
      <c r="I163" s="306"/>
      <c r="J163" s="5"/>
      <c r="K163" s="5"/>
      <c r="L163" s="5"/>
      <c r="M163" s="5"/>
      <c r="N163" s="5"/>
      <c r="O163" s="5"/>
      <c r="P163" s="57"/>
      <c r="Q163" s="5"/>
      <c r="R163" s="5"/>
      <c r="S163" s="5"/>
      <c r="T163" s="5"/>
      <c r="U163" s="5"/>
      <c r="V163" s="5"/>
      <c r="W163" s="5"/>
      <c r="X163" s="5"/>
      <c r="Y163" s="5"/>
      <c r="Z163" s="5"/>
      <c r="AA163" s="5"/>
    </row>
    <row r="164" spans="1:27" ht="12.75" customHeight="1">
      <c r="A164" s="5"/>
      <c r="B164" s="5"/>
      <c r="C164" s="5"/>
      <c r="D164" s="5"/>
      <c r="E164" s="5"/>
      <c r="F164" s="5"/>
      <c r="G164" s="5"/>
      <c r="H164" s="306"/>
      <c r="I164" s="306"/>
      <c r="J164" s="5"/>
      <c r="K164" s="5"/>
      <c r="L164" s="5"/>
      <c r="M164" s="5"/>
      <c r="N164" s="5"/>
      <c r="O164" s="5"/>
      <c r="P164" s="57"/>
      <c r="Q164" s="5"/>
      <c r="R164" s="5"/>
      <c r="S164" s="5"/>
      <c r="T164" s="5"/>
      <c r="U164" s="5"/>
      <c r="V164" s="5"/>
      <c r="W164" s="5"/>
      <c r="X164" s="5"/>
      <c r="Y164" s="5"/>
      <c r="Z164" s="5"/>
      <c r="AA164" s="5"/>
    </row>
    <row r="165" spans="1:27" ht="12.75" customHeight="1">
      <c r="A165" s="5"/>
      <c r="B165" s="5"/>
      <c r="C165" s="5"/>
      <c r="D165" s="5"/>
      <c r="E165" s="5"/>
      <c r="F165" s="5"/>
      <c r="G165" s="5"/>
      <c r="H165" s="306"/>
      <c r="I165" s="306"/>
      <c r="J165" s="5"/>
      <c r="K165" s="5"/>
      <c r="L165" s="5"/>
      <c r="M165" s="5"/>
      <c r="N165" s="5"/>
      <c r="O165" s="5"/>
      <c r="P165" s="57"/>
      <c r="Q165" s="5"/>
      <c r="R165" s="5"/>
      <c r="S165" s="5"/>
      <c r="T165" s="5"/>
      <c r="U165" s="5"/>
      <c r="V165" s="5"/>
      <c r="W165" s="5"/>
      <c r="X165" s="5"/>
      <c r="Y165" s="5"/>
      <c r="Z165" s="5"/>
      <c r="AA165" s="5"/>
    </row>
    <row r="166" spans="1:27" ht="12.75" customHeight="1">
      <c r="A166" s="5"/>
      <c r="B166" s="5"/>
      <c r="C166" s="5"/>
      <c r="D166" s="5"/>
      <c r="E166" s="5"/>
      <c r="F166" s="5"/>
      <c r="G166" s="5"/>
      <c r="H166" s="306"/>
      <c r="I166" s="306"/>
      <c r="J166" s="5"/>
      <c r="K166" s="5"/>
      <c r="L166" s="5"/>
      <c r="M166" s="5"/>
      <c r="N166" s="5"/>
      <c r="O166" s="5"/>
      <c r="P166" s="57"/>
      <c r="Q166" s="5"/>
      <c r="R166" s="5"/>
      <c r="S166" s="5"/>
      <c r="T166" s="5"/>
      <c r="U166" s="5"/>
      <c r="V166" s="5"/>
      <c r="W166" s="5"/>
      <c r="X166" s="5"/>
      <c r="Y166" s="5"/>
      <c r="Z166" s="5"/>
      <c r="AA166" s="5"/>
    </row>
    <row r="167" spans="1:27" ht="12.75" customHeight="1">
      <c r="A167" s="5"/>
      <c r="B167" s="5"/>
      <c r="C167" s="5"/>
      <c r="D167" s="5"/>
      <c r="E167" s="5"/>
      <c r="F167" s="5"/>
      <c r="G167" s="5"/>
      <c r="H167" s="306"/>
      <c r="I167" s="306"/>
      <c r="J167" s="5"/>
      <c r="K167" s="5"/>
      <c r="L167" s="5"/>
      <c r="M167" s="5"/>
      <c r="N167" s="5"/>
      <c r="O167" s="5"/>
      <c r="P167" s="57"/>
      <c r="Q167" s="5"/>
      <c r="R167" s="5"/>
      <c r="S167" s="5"/>
      <c r="T167" s="5"/>
      <c r="U167" s="5"/>
      <c r="V167" s="5"/>
      <c r="W167" s="5"/>
      <c r="X167" s="5"/>
      <c r="Y167" s="5"/>
      <c r="Z167" s="5"/>
      <c r="AA167" s="5"/>
    </row>
    <row r="168" spans="1:27" ht="12.75" customHeight="1">
      <c r="A168" s="5"/>
      <c r="B168" s="5"/>
      <c r="C168" s="5"/>
      <c r="D168" s="5"/>
      <c r="E168" s="5"/>
      <c r="F168" s="5"/>
      <c r="G168" s="5"/>
      <c r="H168" s="306"/>
      <c r="I168" s="306"/>
      <c r="J168" s="5"/>
      <c r="K168" s="5"/>
      <c r="L168" s="5"/>
      <c r="M168" s="5"/>
      <c r="N168" s="5"/>
      <c r="O168" s="5"/>
      <c r="P168" s="57"/>
      <c r="Q168" s="5"/>
      <c r="R168" s="5"/>
      <c r="S168" s="5"/>
      <c r="T168" s="5"/>
      <c r="U168" s="5"/>
      <c r="V168" s="5"/>
      <c r="W168" s="5"/>
      <c r="X168" s="5"/>
      <c r="Y168" s="5"/>
      <c r="Z168" s="5"/>
      <c r="AA168" s="5"/>
    </row>
    <row r="169" spans="1:27" ht="12.75" customHeight="1">
      <c r="A169" s="5"/>
      <c r="B169" s="5"/>
      <c r="C169" s="5"/>
      <c r="D169" s="5"/>
      <c r="E169" s="5"/>
      <c r="F169" s="5"/>
      <c r="G169" s="5"/>
      <c r="H169" s="306"/>
      <c r="I169" s="306"/>
      <c r="J169" s="5"/>
      <c r="K169" s="5"/>
      <c r="L169" s="5"/>
      <c r="M169" s="5"/>
      <c r="N169" s="5"/>
      <c r="O169" s="5"/>
      <c r="P169" s="57"/>
      <c r="Q169" s="5"/>
      <c r="R169" s="5"/>
      <c r="S169" s="5"/>
      <c r="T169" s="5"/>
      <c r="U169" s="5"/>
      <c r="V169" s="5"/>
      <c r="W169" s="5"/>
      <c r="X169" s="5"/>
      <c r="Y169" s="5"/>
      <c r="Z169" s="5"/>
      <c r="AA169" s="5"/>
    </row>
    <row r="170" spans="1:27" ht="12.75" customHeight="1">
      <c r="A170" s="5"/>
      <c r="B170" s="5"/>
      <c r="C170" s="5"/>
      <c r="D170" s="5"/>
      <c r="E170" s="5"/>
      <c r="F170" s="5"/>
      <c r="G170" s="5"/>
      <c r="H170" s="306"/>
      <c r="I170" s="306"/>
      <c r="J170" s="5"/>
      <c r="K170" s="5"/>
      <c r="L170" s="5"/>
      <c r="M170" s="5"/>
      <c r="N170" s="5"/>
      <c r="O170" s="5"/>
      <c r="P170" s="57"/>
      <c r="Q170" s="5"/>
      <c r="R170" s="5"/>
      <c r="S170" s="5"/>
      <c r="T170" s="5"/>
      <c r="U170" s="5"/>
      <c r="V170" s="5"/>
      <c r="W170" s="5"/>
      <c r="X170" s="5"/>
      <c r="Y170" s="5"/>
      <c r="Z170" s="5"/>
      <c r="AA170" s="5"/>
    </row>
    <row r="171" spans="1:27" ht="12.75" customHeight="1">
      <c r="A171" s="5"/>
      <c r="B171" s="5"/>
      <c r="C171" s="5"/>
      <c r="D171" s="5"/>
      <c r="E171" s="5"/>
      <c r="F171" s="5"/>
      <c r="G171" s="5"/>
      <c r="H171" s="306"/>
      <c r="I171" s="306"/>
      <c r="J171" s="5"/>
      <c r="K171" s="5"/>
      <c r="L171" s="5"/>
      <c r="M171" s="5"/>
      <c r="N171" s="5"/>
      <c r="O171" s="5"/>
      <c r="P171" s="57"/>
      <c r="Q171" s="5"/>
      <c r="R171" s="5"/>
      <c r="S171" s="5"/>
      <c r="T171" s="5"/>
      <c r="U171" s="5"/>
      <c r="V171" s="5"/>
      <c r="W171" s="5"/>
      <c r="X171" s="5"/>
      <c r="Y171" s="5"/>
      <c r="Z171" s="5"/>
      <c r="AA171" s="5"/>
    </row>
    <row r="172" spans="1:27" ht="12.75" customHeight="1">
      <c r="A172" s="5"/>
      <c r="B172" s="5"/>
      <c r="C172" s="5"/>
      <c r="D172" s="5"/>
      <c r="E172" s="5"/>
      <c r="F172" s="5"/>
      <c r="G172" s="5"/>
      <c r="H172" s="306"/>
      <c r="I172" s="306"/>
      <c r="J172" s="5"/>
      <c r="K172" s="5"/>
      <c r="L172" s="5"/>
      <c r="M172" s="5"/>
      <c r="N172" s="5"/>
      <c r="O172" s="5"/>
      <c r="P172" s="57"/>
      <c r="Q172" s="5"/>
      <c r="R172" s="5"/>
      <c r="S172" s="5"/>
      <c r="T172" s="5"/>
      <c r="U172" s="5"/>
      <c r="V172" s="5"/>
      <c r="W172" s="5"/>
      <c r="X172" s="5"/>
      <c r="Y172" s="5"/>
      <c r="Z172" s="5"/>
      <c r="AA172" s="5"/>
    </row>
    <row r="173" spans="1:27" ht="12.75" customHeight="1">
      <c r="A173" s="5"/>
      <c r="B173" s="5"/>
      <c r="C173" s="5"/>
      <c r="D173" s="5"/>
      <c r="E173" s="5"/>
      <c r="F173" s="5"/>
      <c r="G173" s="5"/>
      <c r="H173" s="306"/>
      <c r="I173" s="306"/>
      <c r="J173" s="5"/>
      <c r="K173" s="5"/>
      <c r="L173" s="5"/>
      <c r="M173" s="5"/>
      <c r="N173" s="5"/>
      <c r="O173" s="5"/>
      <c r="P173" s="57"/>
      <c r="Q173" s="5"/>
      <c r="R173" s="5"/>
      <c r="S173" s="5"/>
      <c r="T173" s="5"/>
      <c r="U173" s="5"/>
      <c r="V173" s="5"/>
      <c r="W173" s="5"/>
      <c r="X173" s="5"/>
      <c r="Y173" s="5"/>
      <c r="Z173" s="5"/>
      <c r="AA173" s="5"/>
    </row>
    <row r="174" spans="1:27" ht="12.75" customHeight="1">
      <c r="A174" s="5"/>
      <c r="B174" s="5"/>
      <c r="C174" s="5"/>
      <c r="D174" s="5"/>
      <c r="E174" s="5"/>
      <c r="F174" s="5"/>
      <c r="G174" s="5"/>
      <c r="H174" s="306"/>
      <c r="I174" s="306"/>
      <c r="J174" s="5"/>
      <c r="K174" s="5"/>
      <c r="L174" s="5"/>
      <c r="M174" s="5"/>
      <c r="N174" s="5"/>
      <c r="O174" s="5"/>
      <c r="P174" s="57"/>
      <c r="Q174" s="5"/>
      <c r="R174" s="5"/>
      <c r="S174" s="5"/>
      <c r="T174" s="5"/>
      <c r="U174" s="5"/>
      <c r="V174" s="5"/>
      <c r="W174" s="5"/>
      <c r="X174" s="5"/>
      <c r="Y174" s="5"/>
      <c r="Z174" s="5"/>
      <c r="AA174" s="5"/>
    </row>
    <row r="175" spans="1:27" ht="12.75" customHeight="1">
      <c r="A175" s="5"/>
      <c r="B175" s="5"/>
      <c r="C175" s="5"/>
      <c r="D175" s="5"/>
      <c r="E175" s="5"/>
      <c r="F175" s="5"/>
      <c r="G175" s="5"/>
      <c r="H175" s="306"/>
      <c r="I175" s="306"/>
      <c r="J175" s="5"/>
      <c r="K175" s="5"/>
      <c r="L175" s="5"/>
      <c r="M175" s="5"/>
      <c r="N175" s="5"/>
      <c r="O175" s="5"/>
      <c r="P175" s="57"/>
      <c r="Q175" s="5"/>
      <c r="R175" s="5"/>
      <c r="S175" s="5"/>
      <c r="T175" s="5"/>
      <c r="U175" s="5"/>
      <c r="V175" s="5"/>
      <c r="W175" s="5"/>
      <c r="X175" s="5"/>
      <c r="Y175" s="5"/>
      <c r="Z175" s="5"/>
      <c r="AA175" s="5"/>
    </row>
    <row r="176" spans="1:27" ht="12.75" customHeight="1">
      <c r="A176" s="5"/>
      <c r="B176" s="5"/>
      <c r="C176" s="5"/>
      <c r="D176" s="5"/>
      <c r="E176" s="5"/>
      <c r="F176" s="5"/>
      <c r="G176" s="5"/>
      <c r="H176" s="306"/>
      <c r="I176" s="306"/>
      <c r="J176" s="5"/>
      <c r="K176" s="5"/>
      <c r="L176" s="5"/>
      <c r="M176" s="5"/>
      <c r="N176" s="5"/>
      <c r="O176" s="5"/>
      <c r="P176" s="57"/>
      <c r="Q176" s="5"/>
      <c r="R176" s="5"/>
      <c r="S176" s="5"/>
      <c r="T176" s="5"/>
      <c r="U176" s="5"/>
      <c r="V176" s="5"/>
      <c r="W176" s="5"/>
      <c r="X176" s="5"/>
      <c r="Y176" s="5"/>
      <c r="Z176" s="5"/>
      <c r="AA176" s="5"/>
    </row>
    <row r="177" spans="1:27" ht="12.75" customHeight="1">
      <c r="A177" s="5"/>
      <c r="B177" s="5"/>
      <c r="C177" s="5"/>
      <c r="D177" s="5"/>
      <c r="E177" s="5"/>
      <c r="F177" s="5"/>
      <c r="G177" s="5"/>
      <c r="H177" s="306"/>
      <c r="I177" s="306"/>
      <c r="J177" s="5"/>
      <c r="K177" s="5"/>
      <c r="L177" s="5"/>
      <c r="M177" s="5"/>
      <c r="N177" s="5"/>
      <c r="O177" s="5"/>
      <c r="P177" s="57"/>
      <c r="Q177" s="5"/>
      <c r="R177" s="5"/>
      <c r="S177" s="5"/>
      <c r="T177" s="5"/>
      <c r="U177" s="5"/>
      <c r="V177" s="5"/>
      <c r="W177" s="5"/>
      <c r="X177" s="5"/>
      <c r="Y177" s="5"/>
      <c r="Z177" s="5"/>
      <c r="AA177" s="5"/>
    </row>
    <row r="178" spans="1:27" ht="12.75" customHeight="1">
      <c r="A178" s="5"/>
      <c r="B178" s="5"/>
      <c r="C178" s="5"/>
      <c r="D178" s="5"/>
      <c r="E178" s="5"/>
      <c r="F178" s="5"/>
      <c r="G178" s="5"/>
      <c r="H178" s="306"/>
      <c r="I178" s="306"/>
      <c r="J178" s="5"/>
      <c r="K178" s="5"/>
      <c r="L178" s="5"/>
      <c r="M178" s="5"/>
      <c r="N178" s="5"/>
      <c r="O178" s="5"/>
      <c r="P178" s="57"/>
      <c r="Q178" s="5"/>
      <c r="R178" s="5"/>
      <c r="S178" s="5"/>
      <c r="T178" s="5"/>
      <c r="U178" s="5"/>
      <c r="V178" s="5"/>
      <c r="W178" s="5"/>
      <c r="X178" s="5"/>
      <c r="Y178" s="5"/>
      <c r="Z178" s="5"/>
      <c r="AA178" s="5"/>
    </row>
    <row r="179" spans="1:27" ht="12.75" customHeight="1">
      <c r="A179" s="5"/>
      <c r="B179" s="5"/>
      <c r="C179" s="5"/>
      <c r="D179" s="5"/>
      <c r="E179" s="5"/>
      <c r="F179" s="5"/>
      <c r="G179" s="5"/>
      <c r="H179" s="306"/>
      <c r="I179" s="306"/>
      <c r="J179" s="5"/>
      <c r="K179" s="5"/>
      <c r="L179" s="5"/>
      <c r="M179" s="5"/>
      <c r="N179" s="5"/>
      <c r="O179" s="5"/>
      <c r="P179" s="57"/>
      <c r="Q179" s="5"/>
      <c r="R179" s="5"/>
      <c r="S179" s="5"/>
      <c r="T179" s="5"/>
      <c r="U179" s="5"/>
      <c r="V179" s="5"/>
      <c r="W179" s="5"/>
      <c r="X179" s="5"/>
      <c r="Y179" s="5"/>
      <c r="Z179" s="5"/>
      <c r="AA179" s="5"/>
    </row>
    <row r="180" spans="1:27" ht="12.75" customHeight="1">
      <c r="A180" s="5"/>
      <c r="B180" s="5"/>
      <c r="C180" s="5"/>
      <c r="D180" s="5"/>
      <c r="E180" s="5"/>
      <c r="F180" s="5"/>
      <c r="G180" s="5"/>
      <c r="H180" s="306"/>
      <c r="I180" s="306"/>
      <c r="J180" s="5"/>
      <c r="K180" s="5"/>
      <c r="L180" s="5"/>
      <c r="M180" s="5"/>
      <c r="N180" s="5"/>
      <c r="O180" s="5"/>
      <c r="P180" s="57"/>
      <c r="Q180" s="5"/>
      <c r="R180" s="5"/>
      <c r="S180" s="5"/>
      <c r="T180" s="5"/>
      <c r="U180" s="5"/>
      <c r="V180" s="5"/>
      <c r="W180" s="5"/>
      <c r="X180" s="5"/>
      <c r="Y180" s="5"/>
      <c r="Z180" s="5"/>
      <c r="AA180" s="5"/>
    </row>
    <row r="181" spans="1:27" ht="12.75" customHeight="1">
      <c r="A181" s="5"/>
      <c r="B181" s="5"/>
      <c r="C181" s="5"/>
      <c r="D181" s="5"/>
      <c r="E181" s="5"/>
      <c r="F181" s="5"/>
      <c r="G181" s="5"/>
      <c r="H181" s="306"/>
      <c r="I181" s="306"/>
      <c r="J181" s="5"/>
      <c r="K181" s="5"/>
      <c r="L181" s="5"/>
      <c r="M181" s="5"/>
      <c r="N181" s="5"/>
      <c r="O181" s="5"/>
      <c r="P181" s="57"/>
      <c r="Q181" s="5"/>
      <c r="R181" s="5"/>
      <c r="S181" s="5"/>
      <c r="T181" s="5"/>
      <c r="U181" s="5"/>
      <c r="V181" s="5"/>
      <c r="W181" s="5"/>
      <c r="X181" s="5"/>
      <c r="Y181" s="5"/>
      <c r="Z181" s="5"/>
      <c r="AA181" s="5"/>
    </row>
    <row r="182" spans="1:27" ht="12.75" customHeight="1">
      <c r="A182" s="5"/>
      <c r="B182" s="5"/>
      <c r="C182" s="5"/>
      <c r="D182" s="5"/>
      <c r="E182" s="5"/>
      <c r="F182" s="5"/>
      <c r="G182" s="5"/>
      <c r="H182" s="306"/>
      <c r="I182" s="306"/>
      <c r="J182" s="5"/>
      <c r="K182" s="5"/>
      <c r="L182" s="5"/>
      <c r="M182" s="5"/>
      <c r="N182" s="5"/>
      <c r="O182" s="5"/>
      <c r="P182" s="57"/>
      <c r="Q182" s="5"/>
      <c r="R182" s="5"/>
      <c r="S182" s="5"/>
      <c r="T182" s="5"/>
      <c r="U182" s="5"/>
      <c r="V182" s="5"/>
      <c r="W182" s="5"/>
      <c r="X182" s="5"/>
      <c r="Y182" s="5"/>
      <c r="Z182" s="5"/>
      <c r="AA182" s="5"/>
    </row>
    <row r="183" spans="1:27" ht="12.75" customHeight="1">
      <c r="A183" s="5"/>
      <c r="B183" s="5"/>
      <c r="C183" s="5"/>
      <c r="D183" s="5"/>
      <c r="E183" s="5"/>
      <c r="F183" s="5"/>
      <c r="G183" s="5"/>
      <c r="H183" s="306"/>
      <c r="I183" s="306"/>
      <c r="J183" s="5"/>
      <c r="K183" s="5"/>
      <c r="L183" s="5"/>
      <c r="M183" s="5"/>
      <c r="N183" s="5"/>
      <c r="O183" s="5"/>
      <c r="P183" s="57"/>
      <c r="Q183" s="5"/>
      <c r="R183" s="5"/>
      <c r="S183" s="5"/>
      <c r="T183" s="5"/>
      <c r="U183" s="5"/>
      <c r="V183" s="5"/>
      <c r="W183" s="5"/>
      <c r="X183" s="5"/>
      <c r="Y183" s="5"/>
      <c r="Z183" s="5"/>
      <c r="AA183" s="5"/>
    </row>
    <row r="184" spans="1:27" ht="12.75" customHeight="1">
      <c r="A184" s="5"/>
      <c r="B184" s="5"/>
      <c r="C184" s="5"/>
      <c r="D184" s="5"/>
      <c r="E184" s="5"/>
      <c r="F184" s="5"/>
      <c r="G184" s="5"/>
      <c r="H184" s="306"/>
      <c r="I184" s="306"/>
      <c r="J184" s="5"/>
      <c r="K184" s="5"/>
      <c r="L184" s="5"/>
      <c r="M184" s="5"/>
      <c r="N184" s="5"/>
      <c r="O184" s="5"/>
      <c r="P184" s="57"/>
      <c r="Q184" s="5"/>
      <c r="R184" s="5"/>
      <c r="S184" s="5"/>
      <c r="T184" s="5"/>
      <c r="U184" s="5"/>
      <c r="V184" s="5"/>
      <c r="W184" s="5"/>
      <c r="X184" s="5"/>
      <c r="Y184" s="5"/>
      <c r="Z184" s="5"/>
      <c r="AA184" s="5"/>
    </row>
    <row r="185" spans="1:27" ht="12.75" customHeight="1">
      <c r="A185" s="5"/>
      <c r="B185" s="5"/>
      <c r="C185" s="5"/>
      <c r="D185" s="5"/>
      <c r="E185" s="5"/>
      <c r="F185" s="5"/>
      <c r="G185" s="5"/>
      <c r="H185" s="306"/>
      <c r="I185" s="306"/>
      <c r="J185" s="5"/>
      <c r="K185" s="5"/>
      <c r="L185" s="5"/>
      <c r="M185" s="5"/>
      <c r="N185" s="5"/>
      <c r="O185" s="5"/>
      <c r="P185" s="57"/>
      <c r="Q185" s="5"/>
      <c r="R185" s="5"/>
      <c r="S185" s="5"/>
      <c r="T185" s="5"/>
      <c r="U185" s="5"/>
      <c r="V185" s="5"/>
      <c r="W185" s="5"/>
      <c r="X185" s="5"/>
      <c r="Y185" s="5"/>
      <c r="Z185" s="5"/>
      <c r="AA185" s="5"/>
    </row>
    <row r="186" spans="1:27" ht="12.75" customHeight="1">
      <c r="A186" s="5"/>
      <c r="B186" s="5"/>
      <c r="C186" s="5"/>
      <c r="D186" s="5"/>
      <c r="E186" s="5"/>
      <c r="F186" s="5"/>
      <c r="G186" s="5"/>
      <c r="H186" s="306"/>
      <c r="I186" s="306"/>
      <c r="J186" s="5"/>
      <c r="K186" s="5"/>
      <c r="L186" s="5"/>
      <c r="M186" s="5"/>
      <c r="N186" s="5"/>
      <c r="O186" s="5"/>
      <c r="P186" s="57"/>
      <c r="Q186" s="5"/>
      <c r="R186" s="5"/>
      <c r="S186" s="5"/>
      <c r="T186" s="5"/>
      <c r="U186" s="5"/>
      <c r="V186" s="5"/>
      <c r="W186" s="5"/>
      <c r="X186" s="5"/>
      <c r="Y186" s="5"/>
      <c r="Z186" s="5"/>
      <c r="AA186" s="5"/>
    </row>
    <row r="187" spans="1:27" ht="12.75" customHeight="1">
      <c r="A187" s="5"/>
      <c r="B187" s="5"/>
      <c r="C187" s="5"/>
      <c r="D187" s="5"/>
      <c r="E187" s="5"/>
      <c r="F187" s="5"/>
      <c r="G187" s="5"/>
      <c r="H187" s="306"/>
      <c r="I187" s="306"/>
      <c r="J187" s="5"/>
      <c r="K187" s="5"/>
      <c r="L187" s="5"/>
      <c r="M187" s="5"/>
      <c r="N187" s="5"/>
      <c r="O187" s="5"/>
      <c r="P187" s="57"/>
      <c r="Q187" s="5"/>
      <c r="R187" s="5"/>
      <c r="S187" s="5"/>
      <c r="T187" s="5"/>
      <c r="U187" s="5"/>
      <c r="V187" s="5"/>
      <c r="W187" s="5"/>
      <c r="X187" s="5"/>
      <c r="Y187" s="5"/>
      <c r="Z187" s="5"/>
      <c r="AA187" s="5"/>
    </row>
    <row r="188" spans="1:27" ht="12.75" customHeight="1">
      <c r="A188" s="5"/>
      <c r="B188" s="5"/>
      <c r="C188" s="5"/>
      <c r="D188" s="5"/>
      <c r="E188" s="5"/>
      <c r="F188" s="5"/>
      <c r="G188" s="5"/>
      <c r="H188" s="306"/>
      <c r="I188" s="306"/>
      <c r="J188" s="5"/>
      <c r="K188" s="5"/>
      <c r="L188" s="5"/>
      <c r="M188" s="5"/>
      <c r="N188" s="5"/>
      <c r="O188" s="5"/>
      <c r="P188" s="57"/>
      <c r="Q188" s="5"/>
      <c r="R188" s="5"/>
      <c r="S188" s="5"/>
      <c r="T188" s="5"/>
      <c r="U188" s="5"/>
      <c r="V188" s="5"/>
      <c r="W188" s="5"/>
      <c r="X188" s="5"/>
      <c r="Y188" s="5"/>
      <c r="Z188" s="5"/>
      <c r="AA188" s="5"/>
    </row>
    <row r="189" spans="1:27" ht="12.75" customHeight="1">
      <c r="A189" s="5"/>
      <c r="B189" s="5"/>
      <c r="C189" s="5"/>
      <c r="D189" s="5"/>
      <c r="E189" s="5"/>
      <c r="F189" s="5"/>
      <c r="G189" s="5"/>
      <c r="H189" s="306"/>
      <c r="I189" s="306"/>
      <c r="J189" s="5"/>
      <c r="K189" s="5"/>
      <c r="L189" s="5"/>
      <c r="M189" s="5"/>
      <c r="N189" s="5"/>
      <c r="O189" s="5"/>
      <c r="P189" s="57"/>
      <c r="Q189" s="5"/>
      <c r="R189" s="5"/>
      <c r="S189" s="5"/>
      <c r="T189" s="5"/>
      <c r="U189" s="5"/>
      <c r="V189" s="5"/>
      <c r="W189" s="5"/>
      <c r="X189" s="5"/>
      <c r="Y189" s="5"/>
      <c r="Z189" s="5"/>
      <c r="AA189" s="5"/>
    </row>
    <row r="190" spans="1:27" ht="12.75" customHeight="1">
      <c r="A190" s="5"/>
      <c r="B190" s="5"/>
      <c r="C190" s="5"/>
      <c r="D190" s="5"/>
      <c r="E190" s="5"/>
      <c r="F190" s="5"/>
      <c r="G190" s="5"/>
      <c r="H190" s="306"/>
      <c r="I190" s="306"/>
      <c r="J190" s="5"/>
      <c r="K190" s="5"/>
      <c r="L190" s="5"/>
      <c r="M190" s="5"/>
      <c r="N190" s="5"/>
      <c r="O190" s="5"/>
      <c r="P190" s="57"/>
      <c r="Q190" s="5"/>
      <c r="R190" s="5"/>
      <c r="S190" s="5"/>
      <c r="T190" s="5"/>
      <c r="U190" s="5"/>
      <c r="V190" s="5"/>
      <c r="W190" s="5"/>
      <c r="X190" s="5"/>
      <c r="Y190" s="5"/>
      <c r="Z190" s="5"/>
      <c r="AA190" s="5"/>
    </row>
    <row r="191" spans="1:27" ht="12.75" customHeight="1">
      <c r="A191" s="5"/>
      <c r="B191" s="5"/>
      <c r="C191" s="5"/>
      <c r="D191" s="5"/>
      <c r="E191" s="5"/>
      <c r="F191" s="5"/>
      <c r="G191" s="5"/>
      <c r="H191" s="306"/>
      <c r="I191" s="306"/>
      <c r="J191" s="5"/>
      <c r="K191" s="5"/>
      <c r="L191" s="5"/>
      <c r="M191" s="5"/>
      <c r="N191" s="5"/>
      <c r="O191" s="5"/>
      <c r="P191" s="57"/>
      <c r="Q191" s="5"/>
      <c r="R191" s="5"/>
      <c r="S191" s="5"/>
      <c r="T191" s="5"/>
      <c r="U191" s="5"/>
      <c r="V191" s="5"/>
      <c r="W191" s="5"/>
      <c r="X191" s="5"/>
      <c r="Y191" s="5"/>
      <c r="Z191" s="5"/>
      <c r="AA191" s="5"/>
    </row>
    <row r="192" spans="1:27" ht="12.75" customHeight="1">
      <c r="A192" s="5"/>
      <c r="B192" s="5"/>
      <c r="C192" s="5"/>
      <c r="D192" s="5"/>
      <c r="E192" s="5"/>
      <c r="F192" s="5"/>
      <c r="G192" s="5"/>
      <c r="H192" s="306"/>
      <c r="I192" s="306"/>
      <c r="J192" s="5"/>
      <c r="K192" s="5"/>
      <c r="L192" s="5"/>
      <c r="M192" s="5"/>
      <c r="N192" s="5"/>
      <c r="O192" s="5"/>
      <c r="P192" s="57"/>
      <c r="Q192" s="5"/>
      <c r="R192" s="5"/>
      <c r="S192" s="5"/>
      <c r="T192" s="5"/>
      <c r="U192" s="5"/>
      <c r="V192" s="5"/>
      <c r="W192" s="5"/>
      <c r="X192" s="5"/>
      <c r="Y192" s="5"/>
      <c r="Z192" s="5"/>
      <c r="AA192" s="5"/>
    </row>
    <row r="193" spans="1:27" ht="12.75" customHeight="1">
      <c r="A193" s="5"/>
      <c r="B193" s="5"/>
      <c r="C193" s="5"/>
      <c r="D193" s="5"/>
      <c r="E193" s="5"/>
      <c r="F193" s="5"/>
      <c r="G193" s="5"/>
      <c r="H193" s="306"/>
      <c r="I193" s="306"/>
      <c r="J193" s="5"/>
      <c r="K193" s="5"/>
      <c r="L193" s="5"/>
      <c r="M193" s="5"/>
      <c r="N193" s="5"/>
      <c r="O193" s="5"/>
      <c r="P193" s="57"/>
      <c r="Q193" s="5"/>
      <c r="R193" s="5"/>
      <c r="S193" s="5"/>
      <c r="T193" s="5"/>
      <c r="U193" s="5"/>
      <c r="V193" s="5"/>
      <c r="W193" s="5"/>
      <c r="X193" s="5"/>
      <c r="Y193" s="5"/>
      <c r="Z193" s="5"/>
      <c r="AA193" s="5"/>
    </row>
    <row r="194" spans="1:27" ht="12.75" customHeight="1">
      <c r="A194" s="5"/>
      <c r="B194" s="5"/>
      <c r="C194" s="5"/>
      <c r="D194" s="5"/>
      <c r="E194" s="5"/>
      <c r="F194" s="5"/>
      <c r="G194" s="5"/>
      <c r="H194" s="306"/>
      <c r="I194" s="306"/>
      <c r="J194" s="5"/>
      <c r="K194" s="5"/>
      <c r="L194" s="5"/>
      <c r="M194" s="5"/>
      <c r="N194" s="5"/>
      <c r="O194" s="5"/>
      <c r="P194" s="57"/>
      <c r="Q194" s="5"/>
      <c r="R194" s="5"/>
      <c r="S194" s="5"/>
      <c r="T194" s="5"/>
      <c r="U194" s="5"/>
      <c r="V194" s="5"/>
      <c r="W194" s="5"/>
      <c r="X194" s="5"/>
      <c r="Y194" s="5"/>
      <c r="Z194" s="5"/>
      <c r="AA194" s="5"/>
    </row>
    <row r="195" spans="1:27" ht="12.75" customHeight="1">
      <c r="A195" s="5"/>
      <c r="B195" s="5"/>
      <c r="C195" s="5"/>
      <c r="D195" s="5"/>
      <c r="E195" s="5"/>
      <c r="F195" s="5"/>
      <c r="G195" s="5"/>
      <c r="H195" s="306"/>
      <c r="I195" s="306"/>
      <c r="J195" s="5"/>
      <c r="K195" s="5"/>
      <c r="L195" s="5"/>
      <c r="M195" s="5"/>
      <c r="N195" s="5"/>
      <c r="O195" s="5"/>
      <c r="P195" s="57"/>
      <c r="Q195" s="5"/>
      <c r="R195" s="5"/>
      <c r="S195" s="5"/>
      <c r="T195" s="5"/>
      <c r="U195" s="5"/>
      <c r="V195" s="5"/>
      <c r="W195" s="5"/>
      <c r="X195" s="5"/>
      <c r="Y195" s="5"/>
      <c r="Z195" s="5"/>
      <c r="AA195" s="5"/>
    </row>
    <row r="196" spans="1:27" ht="12.75" customHeight="1">
      <c r="A196" s="5"/>
      <c r="B196" s="5"/>
      <c r="C196" s="5"/>
      <c r="D196" s="5"/>
      <c r="E196" s="5"/>
      <c r="F196" s="5"/>
      <c r="G196" s="5"/>
      <c r="H196" s="306"/>
      <c r="I196" s="306"/>
      <c r="J196" s="5"/>
      <c r="K196" s="5"/>
      <c r="L196" s="5"/>
      <c r="M196" s="5"/>
      <c r="N196" s="5"/>
      <c r="O196" s="5"/>
      <c r="P196" s="57"/>
      <c r="Q196" s="5"/>
      <c r="R196" s="5"/>
      <c r="S196" s="5"/>
      <c r="T196" s="5"/>
      <c r="U196" s="5"/>
      <c r="V196" s="5"/>
      <c r="W196" s="5"/>
      <c r="X196" s="5"/>
      <c r="Y196" s="5"/>
      <c r="Z196" s="5"/>
      <c r="AA196" s="5"/>
    </row>
    <row r="197" spans="1:27" ht="12.75" customHeight="1">
      <c r="A197" s="5"/>
      <c r="B197" s="5"/>
      <c r="C197" s="5"/>
      <c r="D197" s="5"/>
      <c r="E197" s="5"/>
      <c r="F197" s="5"/>
      <c r="G197" s="5"/>
      <c r="H197" s="306"/>
      <c r="I197" s="306"/>
      <c r="J197" s="5"/>
      <c r="K197" s="5"/>
      <c r="L197" s="5"/>
      <c r="M197" s="5"/>
      <c r="N197" s="5"/>
      <c r="O197" s="5"/>
      <c r="P197" s="57"/>
      <c r="Q197" s="5"/>
      <c r="R197" s="5"/>
      <c r="S197" s="5"/>
      <c r="T197" s="5"/>
      <c r="U197" s="5"/>
      <c r="V197" s="5"/>
      <c r="W197" s="5"/>
      <c r="X197" s="5"/>
      <c r="Y197" s="5"/>
      <c r="Z197" s="5"/>
      <c r="AA197" s="5"/>
    </row>
    <row r="198" spans="1:27" ht="12.75" customHeight="1">
      <c r="A198" s="5"/>
      <c r="B198" s="5"/>
      <c r="C198" s="5"/>
      <c r="D198" s="5"/>
      <c r="E198" s="5"/>
      <c r="F198" s="5"/>
      <c r="G198" s="5"/>
      <c r="H198" s="306"/>
      <c r="I198" s="306"/>
      <c r="J198" s="5"/>
      <c r="K198" s="5"/>
      <c r="L198" s="5"/>
      <c r="M198" s="5"/>
      <c r="N198" s="5"/>
      <c r="O198" s="5"/>
      <c r="P198" s="57"/>
      <c r="Q198" s="5"/>
      <c r="R198" s="5"/>
      <c r="S198" s="5"/>
      <c r="T198" s="5"/>
      <c r="U198" s="5"/>
      <c r="V198" s="5"/>
      <c r="W198" s="5"/>
      <c r="X198" s="5"/>
      <c r="Y198" s="5"/>
      <c r="Z198" s="5"/>
      <c r="AA198" s="5"/>
    </row>
    <row r="199" spans="1:27" ht="12.75" customHeight="1">
      <c r="A199" s="5"/>
      <c r="B199" s="5"/>
      <c r="C199" s="5"/>
      <c r="D199" s="5"/>
      <c r="E199" s="5"/>
      <c r="F199" s="5"/>
      <c r="G199" s="5"/>
      <c r="H199" s="306"/>
      <c r="I199" s="306"/>
      <c r="J199" s="5"/>
      <c r="K199" s="5"/>
      <c r="L199" s="5"/>
      <c r="M199" s="5"/>
      <c r="N199" s="5"/>
      <c r="O199" s="5"/>
      <c r="P199" s="57"/>
      <c r="Q199" s="5"/>
      <c r="R199" s="5"/>
      <c r="S199" s="5"/>
      <c r="T199" s="5"/>
      <c r="U199" s="5"/>
      <c r="V199" s="5"/>
      <c r="W199" s="5"/>
      <c r="X199" s="5"/>
      <c r="Y199" s="5"/>
      <c r="Z199" s="5"/>
      <c r="AA199" s="5"/>
    </row>
    <row r="200" spans="1:27" ht="12.75" customHeight="1">
      <c r="A200" s="5"/>
      <c r="B200" s="5"/>
      <c r="C200" s="5"/>
      <c r="D200" s="5"/>
      <c r="E200" s="5"/>
      <c r="F200" s="5"/>
      <c r="G200" s="5"/>
      <c r="H200" s="306"/>
      <c r="I200" s="306"/>
      <c r="J200" s="5"/>
      <c r="K200" s="5"/>
      <c r="L200" s="5"/>
      <c r="M200" s="5"/>
      <c r="N200" s="5"/>
      <c r="O200" s="5"/>
      <c r="P200" s="57"/>
      <c r="Q200" s="5"/>
      <c r="R200" s="5"/>
      <c r="S200" s="5"/>
      <c r="T200" s="5"/>
      <c r="U200" s="5"/>
      <c r="V200" s="5"/>
      <c r="W200" s="5"/>
      <c r="X200" s="5"/>
      <c r="Y200" s="5"/>
      <c r="Z200" s="5"/>
      <c r="AA200" s="5"/>
    </row>
    <row r="201" spans="1:27" ht="12.75" customHeight="1">
      <c r="A201" s="5"/>
      <c r="B201" s="5"/>
      <c r="C201" s="5"/>
      <c r="D201" s="5"/>
      <c r="E201" s="5"/>
      <c r="F201" s="5"/>
      <c r="G201" s="5"/>
      <c r="H201" s="306"/>
      <c r="I201" s="306"/>
      <c r="J201" s="5"/>
      <c r="K201" s="5"/>
      <c r="L201" s="5"/>
      <c r="M201" s="5"/>
      <c r="N201" s="5"/>
      <c r="O201" s="5"/>
      <c r="P201" s="57"/>
      <c r="Q201" s="5"/>
      <c r="R201" s="5"/>
      <c r="S201" s="5"/>
      <c r="T201" s="5"/>
      <c r="U201" s="5"/>
      <c r="V201" s="5"/>
      <c r="W201" s="5"/>
      <c r="X201" s="5"/>
      <c r="Y201" s="5"/>
      <c r="Z201" s="5"/>
      <c r="AA201" s="5"/>
    </row>
    <row r="202" spans="1:27" ht="12.75" customHeight="1">
      <c r="A202" s="5"/>
      <c r="B202" s="5"/>
      <c r="C202" s="5"/>
      <c r="D202" s="5"/>
      <c r="E202" s="5"/>
      <c r="F202" s="5"/>
      <c r="G202" s="5"/>
      <c r="H202" s="306"/>
      <c r="I202" s="306"/>
      <c r="J202" s="5"/>
      <c r="K202" s="5"/>
      <c r="L202" s="5"/>
      <c r="M202" s="5"/>
      <c r="N202" s="5"/>
      <c r="O202" s="5"/>
      <c r="P202" s="57"/>
      <c r="Q202" s="5"/>
      <c r="R202" s="5"/>
      <c r="S202" s="5"/>
      <c r="T202" s="5"/>
      <c r="U202" s="5"/>
      <c r="V202" s="5"/>
      <c r="W202" s="5"/>
      <c r="X202" s="5"/>
      <c r="Y202" s="5"/>
      <c r="Z202" s="5"/>
      <c r="AA202" s="5"/>
    </row>
    <row r="203" spans="1:27" ht="12.75" customHeight="1">
      <c r="A203" s="5"/>
      <c r="B203" s="5"/>
      <c r="C203" s="5"/>
      <c r="D203" s="5"/>
      <c r="E203" s="5"/>
      <c r="F203" s="5"/>
      <c r="G203" s="5"/>
      <c r="H203" s="306"/>
      <c r="I203" s="306"/>
      <c r="J203" s="5"/>
      <c r="K203" s="5"/>
      <c r="L203" s="5"/>
      <c r="M203" s="5"/>
      <c r="N203" s="5"/>
      <c r="O203" s="5"/>
      <c r="P203" s="57"/>
      <c r="Q203" s="5"/>
      <c r="R203" s="5"/>
      <c r="S203" s="5"/>
      <c r="T203" s="5"/>
      <c r="U203" s="5"/>
      <c r="V203" s="5"/>
      <c r="W203" s="5"/>
      <c r="X203" s="5"/>
      <c r="Y203" s="5"/>
      <c r="Z203" s="5"/>
      <c r="AA203" s="5"/>
    </row>
    <row r="204" spans="1:27" ht="12.75" customHeight="1">
      <c r="A204" s="5"/>
      <c r="B204" s="5"/>
      <c r="C204" s="5"/>
      <c r="D204" s="5"/>
      <c r="E204" s="5"/>
      <c r="F204" s="5"/>
      <c r="G204" s="5"/>
      <c r="H204" s="306"/>
      <c r="I204" s="306"/>
      <c r="J204" s="5"/>
      <c r="K204" s="5"/>
      <c r="L204" s="5"/>
      <c r="M204" s="5"/>
      <c r="N204" s="5"/>
      <c r="O204" s="5"/>
      <c r="P204" s="57"/>
      <c r="Q204" s="5"/>
      <c r="R204" s="5"/>
      <c r="S204" s="5"/>
      <c r="T204" s="5"/>
      <c r="U204" s="5"/>
      <c r="V204" s="5"/>
      <c r="W204" s="5"/>
      <c r="X204" s="5"/>
      <c r="Y204" s="5"/>
      <c r="Z204" s="5"/>
      <c r="AA204" s="5"/>
    </row>
    <row r="205" spans="1:27" ht="12.75" customHeight="1">
      <c r="A205" s="5"/>
      <c r="B205" s="5"/>
      <c r="C205" s="5"/>
      <c r="D205" s="5"/>
      <c r="E205" s="5"/>
      <c r="F205" s="5"/>
      <c r="G205" s="5"/>
      <c r="H205" s="306"/>
      <c r="I205" s="306"/>
      <c r="J205" s="5"/>
      <c r="K205" s="5"/>
      <c r="L205" s="5"/>
      <c r="M205" s="5"/>
      <c r="N205" s="5"/>
      <c r="O205" s="5"/>
      <c r="P205" s="57"/>
      <c r="Q205" s="5"/>
      <c r="R205" s="5"/>
      <c r="S205" s="5"/>
      <c r="T205" s="5"/>
      <c r="U205" s="5"/>
      <c r="V205" s="5"/>
      <c r="W205" s="5"/>
      <c r="X205" s="5"/>
      <c r="Y205" s="5"/>
      <c r="Z205" s="5"/>
      <c r="AA205" s="5"/>
    </row>
    <row r="206" spans="1:27" ht="12.75" customHeight="1">
      <c r="A206" s="5"/>
      <c r="B206" s="5"/>
      <c r="C206" s="5"/>
      <c r="D206" s="5"/>
      <c r="E206" s="5"/>
      <c r="F206" s="5"/>
      <c r="G206" s="5"/>
      <c r="H206" s="306"/>
      <c r="I206" s="306"/>
      <c r="J206" s="5"/>
      <c r="K206" s="5"/>
      <c r="L206" s="5"/>
      <c r="M206" s="5"/>
      <c r="N206" s="5"/>
      <c r="O206" s="5"/>
      <c r="P206" s="57"/>
      <c r="Q206" s="5"/>
      <c r="R206" s="5"/>
      <c r="S206" s="5"/>
      <c r="T206" s="5"/>
      <c r="U206" s="5"/>
      <c r="V206" s="5"/>
      <c r="W206" s="5"/>
      <c r="X206" s="5"/>
      <c r="Y206" s="5"/>
      <c r="Z206" s="5"/>
      <c r="AA206" s="5"/>
    </row>
    <row r="207" spans="1:27" ht="12.75" customHeight="1">
      <c r="A207" s="5"/>
      <c r="B207" s="5"/>
      <c r="C207" s="5"/>
      <c r="D207" s="5"/>
      <c r="E207" s="5"/>
      <c r="F207" s="5"/>
      <c r="G207" s="5"/>
      <c r="H207" s="306"/>
      <c r="I207" s="306"/>
      <c r="J207" s="5"/>
      <c r="K207" s="5"/>
      <c r="L207" s="5"/>
      <c r="M207" s="5"/>
      <c r="N207" s="5"/>
      <c r="O207" s="5"/>
      <c r="P207" s="57"/>
      <c r="Q207" s="5"/>
      <c r="R207" s="5"/>
      <c r="S207" s="5"/>
      <c r="T207" s="5"/>
      <c r="U207" s="5"/>
      <c r="V207" s="5"/>
      <c r="W207" s="5"/>
      <c r="X207" s="5"/>
      <c r="Y207" s="5"/>
      <c r="Z207" s="5"/>
      <c r="AA207" s="5"/>
    </row>
    <row r="208" spans="1:27" ht="12.75" customHeight="1">
      <c r="A208" s="5"/>
      <c r="B208" s="5"/>
      <c r="C208" s="5"/>
      <c r="D208" s="5"/>
      <c r="E208" s="5"/>
      <c r="F208" s="5"/>
      <c r="G208" s="5"/>
      <c r="H208" s="306"/>
      <c r="I208" s="306"/>
      <c r="J208" s="5"/>
      <c r="K208" s="5"/>
      <c r="L208" s="5"/>
      <c r="M208" s="5"/>
      <c r="N208" s="5"/>
      <c r="O208" s="5"/>
      <c r="P208" s="57"/>
      <c r="Q208" s="5"/>
      <c r="R208" s="5"/>
      <c r="S208" s="5"/>
      <c r="T208" s="5"/>
      <c r="U208" s="5"/>
      <c r="V208" s="5"/>
      <c r="W208" s="5"/>
      <c r="X208" s="5"/>
      <c r="Y208" s="5"/>
      <c r="Z208" s="5"/>
      <c r="AA208" s="5"/>
    </row>
    <row r="209" spans="1:27" ht="12.75" customHeight="1">
      <c r="A209" s="5"/>
      <c r="B209" s="5"/>
      <c r="C209" s="5"/>
      <c r="D209" s="5"/>
      <c r="E209" s="5"/>
      <c r="F209" s="5"/>
      <c r="G209" s="5"/>
      <c r="H209" s="306"/>
      <c r="I209" s="306"/>
      <c r="J209" s="5"/>
      <c r="K209" s="5"/>
      <c r="L209" s="5"/>
      <c r="M209" s="5"/>
      <c r="N209" s="5"/>
      <c r="O209" s="5"/>
      <c r="P209" s="57"/>
      <c r="Q209" s="5"/>
      <c r="R209" s="5"/>
      <c r="S209" s="5"/>
      <c r="T209" s="5"/>
      <c r="U209" s="5"/>
      <c r="V209" s="5"/>
      <c r="W209" s="5"/>
      <c r="X209" s="5"/>
      <c r="Y209" s="5"/>
      <c r="Z209" s="5"/>
      <c r="AA209" s="5"/>
    </row>
    <row r="210" spans="1:27" ht="12.75" customHeight="1">
      <c r="A210" s="5"/>
      <c r="B210" s="5"/>
      <c r="C210" s="5"/>
      <c r="D210" s="5"/>
      <c r="E210" s="5"/>
      <c r="F210" s="5"/>
      <c r="G210" s="5"/>
      <c r="H210" s="306"/>
      <c r="I210" s="306"/>
      <c r="J210" s="5"/>
      <c r="K210" s="5"/>
      <c r="L210" s="5"/>
      <c r="M210" s="5"/>
      <c r="N210" s="5"/>
      <c r="O210" s="5"/>
      <c r="P210" s="57"/>
      <c r="Q210" s="5"/>
      <c r="R210" s="5"/>
      <c r="S210" s="5"/>
      <c r="T210" s="5"/>
      <c r="U210" s="5"/>
      <c r="V210" s="5"/>
      <c r="W210" s="5"/>
      <c r="X210" s="5"/>
      <c r="Y210" s="5"/>
      <c r="Z210" s="5"/>
      <c r="AA210" s="5"/>
    </row>
    <row r="211" spans="1:27" ht="12.75" customHeight="1">
      <c r="A211" s="5"/>
      <c r="B211" s="5"/>
      <c r="C211" s="5"/>
      <c r="D211" s="5"/>
      <c r="E211" s="5"/>
      <c r="F211" s="5"/>
      <c r="G211" s="5"/>
      <c r="H211" s="306"/>
      <c r="I211" s="306"/>
      <c r="J211" s="5"/>
      <c r="K211" s="5"/>
      <c r="L211" s="5"/>
      <c r="M211" s="5"/>
      <c r="N211" s="5"/>
      <c r="O211" s="5"/>
      <c r="P211" s="57"/>
      <c r="Q211" s="5"/>
      <c r="R211" s="5"/>
      <c r="S211" s="5"/>
      <c r="T211" s="5"/>
      <c r="U211" s="5"/>
      <c r="V211" s="5"/>
      <c r="W211" s="5"/>
      <c r="X211" s="5"/>
      <c r="Y211" s="5"/>
      <c r="Z211" s="5"/>
      <c r="AA211" s="5"/>
    </row>
    <row r="212" spans="1:27" ht="12.75" customHeight="1">
      <c r="A212" s="5"/>
      <c r="B212" s="5"/>
      <c r="C212" s="5"/>
      <c r="D212" s="5"/>
      <c r="E212" s="5"/>
      <c r="F212" s="5"/>
      <c r="G212" s="5"/>
      <c r="H212" s="306"/>
      <c r="I212" s="306"/>
      <c r="J212" s="5"/>
      <c r="K212" s="5"/>
      <c r="L212" s="5"/>
      <c r="M212" s="5"/>
      <c r="N212" s="5"/>
      <c r="O212" s="5"/>
      <c r="P212" s="57"/>
      <c r="Q212" s="5"/>
      <c r="R212" s="5"/>
      <c r="S212" s="5"/>
      <c r="T212" s="5"/>
      <c r="U212" s="5"/>
      <c r="V212" s="5"/>
      <c r="W212" s="5"/>
      <c r="X212" s="5"/>
      <c r="Y212" s="5"/>
      <c r="Z212" s="5"/>
      <c r="AA212" s="5"/>
    </row>
    <row r="213" spans="1:27" ht="12.75" customHeight="1">
      <c r="A213" s="5"/>
      <c r="B213" s="5"/>
      <c r="C213" s="5"/>
      <c r="D213" s="5"/>
      <c r="E213" s="5"/>
      <c r="F213" s="5"/>
      <c r="G213" s="5"/>
      <c r="H213" s="306"/>
      <c r="I213" s="306"/>
      <c r="J213" s="5"/>
      <c r="K213" s="5"/>
      <c r="L213" s="5"/>
      <c r="M213" s="5"/>
      <c r="N213" s="5"/>
      <c r="O213" s="5"/>
      <c r="P213" s="57"/>
      <c r="Q213" s="5"/>
      <c r="R213" s="5"/>
      <c r="S213" s="5"/>
      <c r="T213" s="5"/>
      <c r="U213" s="5"/>
      <c r="V213" s="5"/>
      <c r="W213" s="5"/>
      <c r="X213" s="5"/>
      <c r="Y213" s="5"/>
      <c r="Z213" s="5"/>
      <c r="AA213" s="5"/>
    </row>
    <row r="214" spans="1:27" ht="12.75" customHeight="1">
      <c r="A214" s="5"/>
      <c r="B214" s="5"/>
      <c r="C214" s="5"/>
      <c r="D214" s="5"/>
      <c r="E214" s="5"/>
      <c r="F214" s="5"/>
      <c r="G214" s="5"/>
      <c r="H214" s="306"/>
      <c r="I214" s="306"/>
      <c r="J214" s="5"/>
      <c r="K214" s="5"/>
      <c r="L214" s="5"/>
      <c r="M214" s="5"/>
      <c r="N214" s="5"/>
      <c r="O214" s="5"/>
      <c r="P214" s="57"/>
      <c r="Q214" s="5"/>
      <c r="R214" s="5"/>
      <c r="S214" s="5"/>
      <c r="T214" s="5"/>
      <c r="U214" s="5"/>
      <c r="V214" s="5"/>
      <c r="W214" s="5"/>
      <c r="X214" s="5"/>
      <c r="Y214" s="5"/>
      <c r="Z214" s="5"/>
      <c r="AA214" s="5"/>
    </row>
    <row r="215" spans="1:27" ht="12.75" customHeight="1">
      <c r="A215" s="5"/>
      <c r="B215" s="5"/>
      <c r="C215" s="5"/>
      <c r="D215" s="5"/>
      <c r="E215" s="5"/>
      <c r="F215" s="5"/>
      <c r="G215" s="5"/>
      <c r="H215" s="306"/>
      <c r="I215" s="306"/>
      <c r="J215" s="5"/>
      <c r="K215" s="5"/>
      <c r="L215" s="5"/>
      <c r="M215" s="5"/>
      <c r="N215" s="5"/>
      <c r="O215" s="5"/>
      <c r="P215" s="57"/>
      <c r="Q215" s="5"/>
      <c r="R215" s="5"/>
      <c r="S215" s="5"/>
      <c r="T215" s="5"/>
      <c r="U215" s="5"/>
      <c r="V215" s="5"/>
      <c r="W215" s="5"/>
      <c r="X215" s="5"/>
      <c r="Y215" s="5"/>
      <c r="Z215" s="5"/>
      <c r="AA215" s="5"/>
    </row>
    <row r="216" spans="1:27" ht="12.75" customHeight="1">
      <c r="A216" s="5"/>
      <c r="B216" s="5"/>
      <c r="C216" s="5"/>
      <c r="D216" s="5"/>
      <c r="E216" s="5"/>
      <c r="F216" s="5"/>
      <c r="G216" s="5"/>
      <c r="H216" s="306"/>
      <c r="I216" s="306"/>
      <c r="J216" s="5"/>
      <c r="K216" s="5"/>
      <c r="L216" s="5"/>
      <c r="M216" s="5"/>
      <c r="N216" s="5"/>
      <c r="O216" s="5"/>
      <c r="P216" s="57"/>
      <c r="Q216" s="5"/>
      <c r="R216" s="5"/>
      <c r="S216" s="5"/>
      <c r="T216" s="5"/>
      <c r="U216" s="5"/>
      <c r="V216" s="5"/>
      <c r="W216" s="5"/>
      <c r="X216" s="5"/>
      <c r="Y216" s="5"/>
      <c r="Z216" s="5"/>
      <c r="AA216" s="5"/>
    </row>
    <row r="217" spans="1:27" ht="12.75" customHeight="1">
      <c r="A217" s="5"/>
      <c r="B217" s="5"/>
      <c r="C217" s="5"/>
      <c r="D217" s="5"/>
      <c r="E217" s="5"/>
      <c r="F217" s="5"/>
      <c r="G217" s="5"/>
      <c r="H217" s="306"/>
      <c r="I217" s="306"/>
      <c r="J217" s="5"/>
      <c r="K217" s="5"/>
      <c r="L217" s="5"/>
      <c r="M217" s="5"/>
      <c r="N217" s="5"/>
      <c r="O217" s="5"/>
      <c r="P217" s="57"/>
      <c r="Q217" s="5"/>
      <c r="R217" s="5"/>
      <c r="S217" s="5"/>
      <c r="T217" s="5"/>
      <c r="U217" s="5"/>
      <c r="V217" s="5"/>
      <c r="W217" s="5"/>
      <c r="X217" s="5"/>
      <c r="Y217" s="5"/>
      <c r="Z217" s="5"/>
      <c r="AA217" s="5"/>
    </row>
    <row r="218" spans="1:27" ht="12.75" customHeight="1">
      <c r="A218" s="5"/>
      <c r="B218" s="5"/>
      <c r="C218" s="5"/>
      <c r="D218" s="5"/>
      <c r="E218" s="5"/>
      <c r="F218" s="5"/>
      <c r="G218" s="5"/>
      <c r="H218" s="306"/>
      <c r="I218" s="306"/>
      <c r="J218" s="5"/>
      <c r="K218" s="5"/>
      <c r="L218" s="5"/>
      <c r="M218" s="5"/>
      <c r="N218" s="5"/>
      <c r="O218" s="5"/>
      <c r="P218" s="57"/>
      <c r="Q218" s="5"/>
      <c r="R218" s="5"/>
      <c r="S218" s="5"/>
      <c r="T218" s="5"/>
      <c r="U218" s="5"/>
      <c r="V218" s="5"/>
      <c r="W218" s="5"/>
      <c r="X218" s="5"/>
      <c r="Y218" s="5"/>
      <c r="Z218" s="5"/>
      <c r="AA218" s="5"/>
    </row>
    <row r="219" spans="1:27" ht="12.75" customHeight="1">
      <c r="A219" s="5"/>
      <c r="B219" s="5"/>
      <c r="C219" s="5"/>
      <c r="D219" s="5"/>
      <c r="E219" s="5"/>
      <c r="F219" s="5"/>
      <c r="G219" s="5"/>
      <c r="H219" s="306"/>
      <c r="I219" s="306"/>
      <c r="J219" s="5"/>
      <c r="K219" s="5"/>
      <c r="L219" s="5"/>
      <c r="M219" s="5"/>
      <c r="N219" s="5"/>
      <c r="O219" s="5"/>
      <c r="P219" s="57"/>
      <c r="Q219" s="5"/>
      <c r="R219" s="5"/>
      <c r="S219" s="5"/>
      <c r="T219" s="5"/>
      <c r="U219" s="5"/>
      <c r="V219" s="5"/>
      <c r="W219" s="5"/>
      <c r="X219" s="5"/>
      <c r="Y219" s="5"/>
      <c r="Z219" s="5"/>
      <c r="AA219" s="5"/>
    </row>
    <row r="220" spans="1:27" ht="12.75" customHeight="1">
      <c r="A220" s="5"/>
      <c r="B220" s="5"/>
      <c r="C220" s="5"/>
      <c r="D220" s="5"/>
      <c r="E220" s="5"/>
      <c r="F220" s="5"/>
      <c r="G220" s="5"/>
      <c r="H220" s="306"/>
      <c r="I220" s="306"/>
      <c r="J220" s="5"/>
      <c r="K220" s="5"/>
      <c r="L220" s="5"/>
      <c r="M220" s="5"/>
      <c r="N220" s="5"/>
      <c r="O220" s="5"/>
      <c r="P220" s="57"/>
      <c r="Q220" s="5"/>
      <c r="R220" s="5"/>
      <c r="S220" s="5"/>
      <c r="T220" s="5"/>
      <c r="U220" s="5"/>
      <c r="V220" s="5"/>
      <c r="W220" s="5"/>
      <c r="X220" s="5"/>
      <c r="Y220" s="5"/>
      <c r="Z220" s="5"/>
      <c r="AA220" s="5"/>
    </row>
    <row r="221" spans="1:27" ht="12.75" customHeight="1">
      <c r="A221" s="5"/>
      <c r="B221" s="5"/>
      <c r="C221" s="5"/>
      <c r="D221" s="5"/>
      <c r="E221" s="5"/>
      <c r="F221" s="5"/>
      <c r="G221" s="5"/>
      <c r="H221" s="306"/>
      <c r="I221" s="306"/>
      <c r="J221" s="5"/>
      <c r="K221" s="5"/>
      <c r="L221" s="5"/>
      <c r="M221" s="5"/>
      <c r="N221" s="5"/>
      <c r="O221" s="5"/>
      <c r="P221" s="57"/>
      <c r="Q221" s="5"/>
      <c r="R221" s="5"/>
      <c r="S221" s="5"/>
      <c r="T221" s="5"/>
      <c r="U221" s="5"/>
      <c r="V221" s="5"/>
      <c r="W221" s="5"/>
      <c r="X221" s="5"/>
      <c r="Y221" s="5"/>
      <c r="Z221" s="5"/>
      <c r="AA221" s="5"/>
    </row>
    <row r="222" spans="1:27" ht="12.75" customHeight="1">
      <c r="A222" s="5"/>
      <c r="B222" s="5"/>
      <c r="C222" s="5"/>
      <c r="D222" s="5"/>
      <c r="E222" s="5"/>
      <c r="F222" s="5"/>
      <c r="G222" s="5"/>
      <c r="H222" s="306"/>
      <c r="I222" s="306"/>
      <c r="J222" s="5"/>
      <c r="K222" s="5"/>
      <c r="L222" s="5"/>
      <c r="M222" s="5"/>
      <c r="N222" s="5"/>
      <c r="O222" s="5"/>
      <c r="P222" s="57"/>
      <c r="Q222" s="5"/>
      <c r="R222" s="5"/>
      <c r="S222" s="5"/>
      <c r="T222" s="5"/>
      <c r="U222" s="5"/>
      <c r="V222" s="5"/>
      <c r="W222" s="5"/>
      <c r="X222" s="5"/>
      <c r="Y222" s="5"/>
      <c r="Z222" s="5"/>
      <c r="AA222" s="5"/>
    </row>
    <row r="223" spans="1:27" ht="12.75" customHeight="1">
      <c r="A223" s="5"/>
      <c r="B223" s="5"/>
      <c r="C223" s="5"/>
      <c r="D223" s="5"/>
      <c r="E223" s="5"/>
      <c r="F223" s="5"/>
      <c r="G223" s="5"/>
      <c r="H223" s="306"/>
      <c r="I223" s="306"/>
      <c r="J223" s="5"/>
      <c r="K223" s="5"/>
      <c r="L223" s="5"/>
      <c r="M223" s="5"/>
      <c r="N223" s="5"/>
      <c r="O223" s="5"/>
      <c r="P223" s="57"/>
      <c r="Q223" s="5"/>
      <c r="R223" s="5"/>
      <c r="S223" s="5"/>
      <c r="T223" s="5"/>
      <c r="U223" s="5"/>
      <c r="V223" s="5"/>
      <c r="W223" s="5"/>
      <c r="X223" s="5"/>
      <c r="Y223" s="5"/>
      <c r="Z223" s="5"/>
      <c r="AA223" s="5"/>
    </row>
    <row r="224" spans="1:27" ht="12.75" customHeight="1">
      <c r="A224" s="5"/>
      <c r="B224" s="5"/>
      <c r="C224" s="5"/>
      <c r="D224" s="5"/>
      <c r="E224" s="5"/>
      <c r="F224" s="5"/>
      <c r="G224" s="5"/>
      <c r="H224" s="306"/>
      <c r="I224" s="306"/>
      <c r="J224" s="5"/>
      <c r="K224" s="5"/>
      <c r="L224" s="5"/>
      <c r="M224" s="5"/>
      <c r="N224" s="5"/>
      <c r="O224" s="5"/>
      <c r="P224" s="57"/>
      <c r="Q224" s="5"/>
      <c r="R224" s="5"/>
      <c r="S224" s="5"/>
      <c r="T224" s="5"/>
      <c r="U224" s="5"/>
      <c r="V224" s="5"/>
      <c r="W224" s="5"/>
      <c r="X224" s="5"/>
      <c r="Y224" s="5"/>
      <c r="Z224" s="5"/>
      <c r="AA224" s="5"/>
    </row>
    <row r="225" spans="1:27" ht="12.75" customHeight="1">
      <c r="A225" s="5"/>
      <c r="B225" s="5"/>
      <c r="C225" s="5"/>
      <c r="D225" s="5"/>
      <c r="E225" s="5"/>
      <c r="F225" s="5"/>
      <c r="G225" s="5"/>
      <c r="H225" s="306"/>
      <c r="I225" s="306"/>
      <c r="J225" s="5"/>
      <c r="K225" s="5"/>
      <c r="L225" s="5"/>
      <c r="M225" s="5"/>
      <c r="N225" s="5"/>
      <c r="O225" s="5"/>
      <c r="P225" s="57"/>
      <c r="Q225" s="5"/>
      <c r="R225" s="5"/>
      <c r="S225" s="5"/>
      <c r="T225" s="5"/>
      <c r="U225" s="5"/>
      <c r="V225" s="5"/>
      <c r="W225" s="5"/>
      <c r="X225" s="5"/>
      <c r="Y225" s="5"/>
      <c r="Z225" s="5"/>
      <c r="AA225" s="5"/>
    </row>
    <row r="226" spans="1:27" ht="12.75" customHeight="1">
      <c r="A226" s="5"/>
      <c r="B226" s="5"/>
      <c r="C226" s="5"/>
      <c r="D226" s="5"/>
      <c r="E226" s="5"/>
      <c r="F226" s="5"/>
      <c r="G226" s="5"/>
      <c r="H226" s="306"/>
      <c r="I226" s="306"/>
      <c r="J226" s="5"/>
      <c r="K226" s="5"/>
      <c r="L226" s="5"/>
      <c r="M226" s="5"/>
      <c r="N226" s="5"/>
      <c r="O226" s="5"/>
      <c r="P226" s="57"/>
      <c r="Q226" s="5"/>
      <c r="R226" s="5"/>
      <c r="S226" s="5"/>
      <c r="T226" s="5"/>
      <c r="U226" s="5"/>
      <c r="V226" s="5"/>
      <c r="W226" s="5"/>
      <c r="X226" s="5"/>
      <c r="Y226" s="5"/>
      <c r="Z226" s="5"/>
      <c r="AA226" s="5"/>
    </row>
    <row r="227" spans="1:27" ht="12.75" customHeight="1">
      <c r="A227" s="5"/>
      <c r="B227" s="5"/>
      <c r="C227" s="5"/>
      <c r="D227" s="5"/>
      <c r="E227" s="5"/>
      <c r="F227" s="5"/>
      <c r="G227" s="5"/>
      <c r="H227" s="306"/>
      <c r="I227" s="306"/>
      <c r="J227" s="5"/>
      <c r="K227" s="5"/>
      <c r="L227" s="5"/>
      <c r="M227" s="5"/>
      <c r="N227" s="5"/>
      <c r="O227" s="5"/>
      <c r="P227" s="57"/>
      <c r="Q227" s="5"/>
      <c r="R227" s="5"/>
      <c r="S227" s="5"/>
      <c r="T227" s="5"/>
      <c r="U227" s="5"/>
      <c r="V227" s="5"/>
      <c r="W227" s="5"/>
      <c r="X227" s="5"/>
      <c r="Y227" s="5"/>
      <c r="Z227" s="5"/>
      <c r="AA227" s="5"/>
    </row>
    <row r="228" spans="1:27" ht="12.75" customHeight="1">
      <c r="A228" s="5"/>
      <c r="B228" s="5"/>
      <c r="C228" s="5"/>
      <c r="D228" s="5"/>
      <c r="E228" s="5"/>
      <c r="F228" s="5"/>
      <c r="G228" s="5"/>
      <c r="H228" s="306"/>
      <c r="I228" s="306"/>
      <c r="J228" s="5"/>
      <c r="K228" s="5"/>
      <c r="L228" s="5"/>
      <c r="M228" s="5"/>
      <c r="N228" s="5"/>
      <c r="O228" s="5"/>
      <c r="P228" s="57"/>
      <c r="Q228" s="5"/>
      <c r="R228" s="5"/>
      <c r="S228" s="5"/>
      <c r="T228" s="5"/>
      <c r="U228" s="5"/>
      <c r="V228" s="5"/>
      <c r="W228" s="5"/>
      <c r="X228" s="5"/>
      <c r="Y228" s="5"/>
      <c r="Z228" s="5"/>
      <c r="AA228" s="5"/>
    </row>
    <row r="229" spans="1:27" ht="12.75" customHeight="1">
      <c r="A229" s="5"/>
      <c r="B229" s="5"/>
      <c r="C229" s="5"/>
      <c r="D229" s="5"/>
      <c r="E229" s="5"/>
      <c r="F229" s="5"/>
      <c r="G229" s="5"/>
      <c r="H229" s="306"/>
      <c r="I229" s="306"/>
      <c r="J229" s="5"/>
      <c r="K229" s="5"/>
      <c r="L229" s="5"/>
      <c r="M229" s="5"/>
      <c r="N229" s="5"/>
      <c r="O229" s="5"/>
      <c r="P229" s="57"/>
      <c r="Q229" s="5"/>
      <c r="R229" s="5"/>
      <c r="S229" s="5"/>
      <c r="T229" s="5"/>
      <c r="U229" s="5"/>
      <c r="V229" s="5"/>
      <c r="W229" s="5"/>
      <c r="X229" s="5"/>
      <c r="Y229" s="5"/>
      <c r="Z229" s="5"/>
      <c r="AA229" s="5"/>
    </row>
    <row r="230" spans="1:27" ht="12.75" customHeight="1">
      <c r="A230" s="5"/>
      <c r="B230" s="5"/>
      <c r="C230" s="5"/>
      <c r="D230" s="5"/>
      <c r="E230" s="5"/>
      <c r="F230" s="5"/>
      <c r="G230" s="5"/>
      <c r="H230" s="306"/>
      <c r="I230" s="306"/>
      <c r="J230" s="5"/>
      <c r="K230" s="5"/>
      <c r="L230" s="5"/>
      <c r="M230" s="5"/>
      <c r="N230" s="5"/>
      <c r="O230" s="5"/>
      <c r="P230" s="57"/>
      <c r="Q230" s="5"/>
      <c r="R230" s="5"/>
      <c r="S230" s="5"/>
      <c r="T230" s="5"/>
      <c r="U230" s="5"/>
      <c r="V230" s="5"/>
      <c r="W230" s="5"/>
      <c r="X230" s="5"/>
      <c r="Y230" s="5"/>
      <c r="Z230" s="5"/>
      <c r="AA230" s="5"/>
    </row>
    <row r="231" spans="1:27" ht="12.75" customHeight="1">
      <c r="A231" s="5"/>
      <c r="B231" s="5"/>
      <c r="C231" s="5"/>
      <c r="D231" s="5"/>
      <c r="E231" s="5"/>
      <c r="F231" s="5"/>
      <c r="G231" s="5"/>
      <c r="H231" s="306"/>
      <c r="I231" s="306"/>
      <c r="J231" s="5"/>
      <c r="K231" s="5"/>
      <c r="L231" s="5"/>
      <c r="M231" s="5"/>
      <c r="N231" s="5"/>
      <c r="O231" s="5"/>
      <c r="P231" s="57"/>
      <c r="Q231" s="5"/>
      <c r="R231" s="5"/>
      <c r="S231" s="5"/>
      <c r="T231" s="5"/>
      <c r="U231" s="5"/>
      <c r="V231" s="5"/>
      <c r="W231" s="5"/>
      <c r="X231" s="5"/>
      <c r="Y231" s="5"/>
      <c r="Z231" s="5"/>
      <c r="AA231" s="5"/>
    </row>
    <row r="232" spans="1:27" ht="12.75" customHeight="1">
      <c r="A232" s="5"/>
      <c r="B232" s="5"/>
      <c r="C232" s="5"/>
      <c r="D232" s="5"/>
      <c r="E232" s="5"/>
      <c r="F232" s="5"/>
      <c r="G232" s="5"/>
      <c r="H232" s="306"/>
      <c r="I232" s="306"/>
      <c r="J232" s="5"/>
      <c r="K232" s="5"/>
      <c r="L232" s="5"/>
      <c r="M232" s="5"/>
      <c r="N232" s="5"/>
      <c r="O232" s="5"/>
      <c r="P232" s="57"/>
      <c r="Q232" s="5"/>
      <c r="R232" s="5"/>
      <c r="S232" s="5"/>
      <c r="T232" s="5"/>
      <c r="U232" s="5"/>
      <c r="V232" s="5"/>
      <c r="W232" s="5"/>
      <c r="X232" s="5"/>
      <c r="Y232" s="5"/>
      <c r="Z232" s="5"/>
      <c r="AA232" s="5"/>
    </row>
    <row r="233" spans="1:27" ht="12.75" customHeight="1">
      <c r="A233" s="5"/>
      <c r="B233" s="5"/>
      <c r="C233" s="5"/>
      <c r="D233" s="5"/>
      <c r="E233" s="5"/>
      <c r="F233" s="5"/>
      <c r="G233" s="5"/>
      <c r="H233" s="306"/>
      <c r="I233" s="306"/>
      <c r="J233" s="5"/>
      <c r="K233" s="5"/>
      <c r="L233" s="5"/>
      <c r="M233" s="5"/>
      <c r="N233" s="5"/>
      <c r="O233" s="5"/>
      <c r="P233" s="57"/>
      <c r="Q233" s="5"/>
      <c r="R233" s="5"/>
      <c r="S233" s="5"/>
      <c r="T233" s="5"/>
      <c r="U233" s="5"/>
      <c r="V233" s="5"/>
      <c r="W233" s="5"/>
      <c r="X233" s="5"/>
      <c r="Y233" s="5"/>
      <c r="Z233" s="5"/>
      <c r="AA233" s="5"/>
    </row>
    <row r="234" spans="1:27" ht="12.75" customHeight="1">
      <c r="A234" s="5"/>
      <c r="B234" s="5"/>
      <c r="C234" s="5"/>
      <c r="D234" s="5"/>
      <c r="E234" s="5"/>
      <c r="F234" s="5"/>
      <c r="G234" s="5"/>
      <c r="H234" s="306"/>
      <c r="I234" s="306"/>
      <c r="J234" s="5"/>
      <c r="K234" s="5"/>
      <c r="L234" s="5"/>
      <c r="M234" s="5"/>
      <c r="N234" s="5"/>
      <c r="O234" s="5"/>
      <c r="P234" s="57"/>
      <c r="Q234" s="5"/>
      <c r="R234" s="5"/>
      <c r="S234" s="5"/>
      <c r="T234" s="5"/>
      <c r="U234" s="5"/>
      <c r="V234" s="5"/>
      <c r="W234" s="5"/>
      <c r="X234" s="5"/>
      <c r="Y234" s="5"/>
      <c r="Z234" s="5"/>
      <c r="AA234" s="5"/>
    </row>
    <row r="235" spans="1:27" ht="12.75" customHeight="1">
      <c r="A235" s="5"/>
      <c r="B235" s="5"/>
      <c r="C235" s="5"/>
      <c r="D235" s="5"/>
      <c r="E235" s="5"/>
      <c r="F235" s="5"/>
      <c r="G235" s="5"/>
      <c r="H235" s="306"/>
      <c r="I235" s="306"/>
      <c r="J235" s="5"/>
      <c r="K235" s="5"/>
      <c r="L235" s="5"/>
      <c r="M235" s="5"/>
      <c r="N235" s="5"/>
      <c r="O235" s="5"/>
      <c r="P235" s="57"/>
      <c r="Q235" s="5"/>
      <c r="R235" s="5"/>
      <c r="S235" s="5"/>
      <c r="T235" s="5"/>
      <c r="U235" s="5"/>
      <c r="V235" s="5"/>
      <c r="W235" s="5"/>
      <c r="X235" s="5"/>
      <c r="Y235" s="5"/>
      <c r="Z235" s="5"/>
      <c r="AA235" s="5"/>
    </row>
    <row r="236" spans="1:27" ht="12.75" customHeight="1">
      <c r="A236" s="5"/>
      <c r="B236" s="5"/>
      <c r="C236" s="5"/>
      <c r="D236" s="5"/>
      <c r="E236" s="5"/>
      <c r="F236" s="5"/>
      <c r="G236" s="5"/>
      <c r="H236" s="306"/>
      <c r="I236" s="306"/>
      <c r="J236" s="5"/>
      <c r="K236" s="5"/>
      <c r="L236" s="5"/>
      <c r="M236" s="5"/>
      <c r="N236" s="5"/>
      <c r="O236" s="5"/>
      <c r="P236" s="57"/>
      <c r="Q236" s="5"/>
      <c r="R236" s="5"/>
      <c r="S236" s="5"/>
      <c r="T236" s="5"/>
      <c r="U236" s="5"/>
      <c r="V236" s="5"/>
      <c r="W236" s="5"/>
      <c r="X236" s="5"/>
      <c r="Y236" s="5"/>
      <c r="Z236" s="5"/>
      <c r="AA236" s="5"/>
    </row>
    <row r="237" spans="1:27" ht="12.75" customHeight="1">
      <c r="A237" s="5"/>
      <c r="B237" s="5"/>
      <c r="C237" s="5"/>
      <c r="D237" s="5"/>
      <c r="E237" s="5"/>
      <c r="F237" s="5"/>
      <c r="G237" s="5"/>
      <c r="H237" s="306"/>
      <c r="I237" s="306"/>
      <c r="J237" s="5"/>
      <c r="K237" s="5"/>
      <c r="L237" s="5"/>
      <c r="M237" s="5"/>
      <c r="N237" s="5"/>
      <c r="O237" s="5"/>
      <c r="P237" s="57"/>
      <c r="Q237" s="5"/>
      <c r="R237" s="5"/>
      <c r="S237" s="5"/>
      <c r="T237" s="5"/>
      <c r="U237" s="5"/>
      <c r="V237" s="5"/>
      <c r="W237" s="5"/>
      <c r="X237" s="5"/>
      <c r="Y237" s="5"/>
      <c r="Z237" s="5"/>
      <c r="AA237" s="5"/>
    </row>
    <row r="238" spans="1:27" ht="12.75" customHeight="1">
      <c r="A238" s="5"/>
      <c r="B238" s="5"/>
      <c r="C238" s="5"/>
      <c r="D238" s="5"/>
      <c r="E238" s="5"/>
      <c r="F238" s="5"/>
      <c r="G238" s="5"/>
      <c r="H238" s="306"/>
      <c r="I238" s="306"/>
      <c r="J238" s="5"/>
      <c r="K238" s="5"/>
      <c r="L238" s="5"/>
      <c r="M238" s="5"/>
      <c r="N238" s="5"/>
      <c r="O238" s="5"/>
      <c r="P238" s="57"/>
      <c r="Q238" s="5"/>
      <c r="R238" s="5"/>
      <c r="S238" s="5"/>
      <c r="T238" s="5"/>
      <c r="U238" s="5"/>
      <c r="V238" s="5"/>
      <c r="W238" s="5"/>
      <c r="X238" s="5"/>
      <c r="Y238" s="5"/>
      <c r="Z238" s="5"/>
      <c r="AA238" s="5"/>
    </row>
    <row r="239" spans="1:27" ht="12.75" customHeight="1">
      <c r="A239" s="5"/>
      <c r="B239" s="5"/>
      <c r="C239" s="5"/>
      <c r="D239" s="5"/>
      <c r="E239" s="5"/>
      <c r="F239" s="5"/>
      <c r="G239" s="5"/>
      <c r="H239" s="306"/>
      <c r="I239" s="306"/>
      <c r="J239" s="5"/>
      <c r="K239" s="5"/>
      <c r="L239" s="5"/>
      <c r="M239" s="5"/>
      <c r="N239" s="5"/>
      <c r="O239" s="5"/>
      <c r="P239" s="57"/>
      <c r="Q239" s="5"/>
      <c r="R239" s="5"/>
      <c r="S239" s="5"/>
      <c r="T239" s="5"/>
      <c r="U239" s="5"/>
      <c r="V239" s="5"/>
      <c r="W239" s="5"/>
      <c r="X239" s="5"/>
      <c r="Y239" s="5"/>
      <c r="Z239" s="5"/>
      <c r="AA239" s="5"/>
    </row>
    <row r="240" spans="1:27" ht="12.75" customHeight="1">
      <c r="A240" s="5"/>
      <c r="B240" s="5"/>
      <c r="C240" s="5"/>
      <c r="D240" s="5"/>
      <c r="E240" s="5"/>
      <c r="F240" s="5"/>
      <c r="G240" s="5"/>
      <c r="H240" s="306"/>
      <c r="I240" s="306"/>
      <c r="J240" s="5"/>
      <c r="K240" s="5"/>
      <c r="L240" s="5"/>
      <c r="M240" s="5"/>
      <c r="N240" s="5"/>
      <c r="O240" s="5"/>
      <c r="P240" s="57"/>
      <c r="Q240" s="5"/>
      <c r="R240" s="5"/>
      <c r="S240" s="5"/>
      <c r="T240" s="5"/>
      <c r="U240" s="5"/>
      <c r="V240" s="5"/>
      <c r="W240" s="5"/>
      <c r="X240" s="5"/>
      <c r="Y240" s="5"/>
      <c r="Z240" s="5"/>
      <c r="AA240" s="5"/>
    </row>
    <row r="241" spans="1:27" ht="12.75" customHeight="1">
      <c r="A241" s="5"/>
      <c r="B241" s="5"/>
      <c r="C241" s="5"/>
      <c r="D241" s="5"/>
      <c r="E241" s="5"/>
      <c r="F241" s="5"/>
      <c r="G241" s="5"/>
      <c r="H241" s="306"/>
      <c r="I241" s="306"/>
      <c r="J241" s="5"/>
      <c r="K241" s="5"/>
      <c r="L241" s="5"/>
      <c r="M241" s="5"/>
      <c r="N241" s="5"/>
      <c r="O241" s="5"/>
      <c r="P241" s="57"/>
      <c r="Q241" s="5"/>
      <c r="R241" s="5"/>
      <c r="S241" s="5"/>
      <c r="T241" s="5"/>
      <c r="U241" s="5"/>
      <c r="V241" s="5"/>
      <c r="W241" s="5"/>
      <c r="X241" s="5"/>
      <c r="Y241" s="5"/>
      <c r="Z241" s="5"/>
      <c r="AA241" s="5"/>
    </row>
    <row r="242" spans="1:27" ht="12.75" customHeight="1">
      <c r="A242" s="5"/>
      <c r="B242" s="5"/>
      <c r="C242" s="5"/>
      <c r="D242" s="5"/>
      <c r="E242" s="5"/>
      <c r="F242" s="5"/>
      <c r="G242" s="5"/>
      <c r="H242" s="306"/>
      <c r="I242" s="306"/>
      <c r="J242" s="5"/>
      <c r="K242" s="5"/>
      <c r="L242" s="5"/>
      <c r="M242" s="5"/>
      <c r="N242" s="5"/>
      <c r="O242" s="5"/>
      <c r="P242" s="57"/>
      <c r="Q242" s="5"/>
      <c r="R242" s="5"/>
      <c r="S242" s="5"/>
      <c r="T242" s="5"/>
      <c r="U242" s="5"/>
      <c r="V242" s="5"/>
      <c r="W242" s="5"/>
      <c r="X242" s="5"/>
      <c r="Y242" s="5"/>
      <c r="Z242" s="5"/>
      <c r="AA242" s="5"/>
    </row>
    <row r="243" spans="1:27" ht="12.75" customHeight="1">
      <c r="A243" s="5"/>
      <c r="B243" s="5"/>
      <c r="C243" s="5"/>
      <c r="D243" s="5"/>
      <c r="E243" s="5"/>
      <c r="F243" s="5"/>
      <c r="G243" s="5"/>
      <c r="H243" s="306"/>
      <c r="I243" s="306"/>
      <c r="J243" s="5"/>
      <c r="K243" s="5"/>
      <c r="L243" s="5"/>
      <c r="M243" s="5"/>
      <c r="N243" s="5"/>
      <c r="O243" s="5"/>
      <c r="P243" s="57"/>
      <c r="Q243" s="5"/>
      <c r="R243" s="5"/>
      <c r="S243" s="5"/>
      <c r="T243" s="5"/>
      <c r="U243" s="5"/>
      <c r="V243" s="5"/>
      <c r="W243" s="5"/>
      <c r="X243" s="5"/>
      <c r="Y243" s="5"/>
      <c r="Z243" s="5"/>
      <c r="AA243" s="5"/>
    </row>
    <row r="244" spans="1:27" ht="12.75" customHeight="1">
      <c r="A244" s="5"/>
      <c r="B244" s="5"/>
      <c r="C244" s="5"/>
      <c r="D244" s="5"/>
      <c r="E244" s="5"/>
      <c r="F244" s="5"/>
      <c r="G244" s="5"/>
      <c r="H244" s="306"/>
      <c r="I244" s="306"/>
      <c r="J244" s="5"/>
      <c r="K244" s="5"/>
      <c r="L244" s="5"/>
      <c r="M244" s="5"/>
      <c r="N244" s="5"/>
      <c r="O244" s="5"/>
      <c r="P244" s="57"/>
      <c r="Q244" s="5"/>
      <c r="R244" s="5"/>
      <c r="S244" s="5"/>
      <c r="T244" s="5"/>
      <c r="U244" s="5"/>
      <c r="V244" s="5"/>
      <c r="W244" s="5"/>
      <c r="X244" s="5"/>
      <c r="Y244" s="5"/>
      <c r="Z244" s="5"/>
      <c r="AA244" s="5"/>
    </row>
    <row r="245" spans="1:27" ht="12.75" customHeight="1">
      <c r="A245" s="5"/>
      <c r="B245" s="5"/>
      <c r="C245" s="5"/>
      <c r="D245" s="5"/>
      <c r="E245" s="5"/>
      <c r="F245" s="5"/>
      <c r="G245" s="5"/>
      <c r="H245" s="306"/>
      <c r="I245" s="306"/>
      <c r="J245" s="5"/>
      <c r="K245" s="5"/>
      <c r="L245" s="5"/>
      <c r="M245" s="5"/>
      <c r="N245" s="5"/>
      <c r="O245" s="5"/>
      <c r="P245" s="57"/>
      <c r="Q245" s="5"/>
      <c r="R245" s="5"/>
      <c r="S245" s="5"/>
      <c r="T245" s="5"/>
      <c r="U245" s="5"/>
      <c r="V245" s="5"/>
      <c r="W245" s="5"/>
      <c r="X245" s="5"/>
      <c r="Y245" s="5"/>
      <c r="Z245" s="5"/>
      <c r="AA245" s="5"/>
    </row>
    <row r="246" spans="1:27" ht="12.75" customHeight="1">
      <c r="A246" s="5"/>
      <c r="B246" s="5"/>
      <c r="C246" s="5"/>
      <c r="D246" s="5"/>
      <c r="E246" s="5"/>
      <c r="F246" s="5"/>
      <c r="G246" s="5"/>
      <c r="H246" s="306"/>
      <c r="I246" s="306"/>
      <c r="J246" s="5"/>
      <c r="K246" s="5"/>
      <c r="L246" s="5"/>
      <c r="M246" s="5"/>
      <c r="N246" s="5"/>
      <c r="O246" s="5"/>
      <c r="P246" s="57"/>
      <c r="Q246" s="5"/>
      <c r="R246" s="5"/>
      <c r="S246" s="5"/>
      <c r="T246" s="5"/>
      <c r="U246" s="5"/>
      <c r="V246" s="5"/>
      <c r="W246" s="5"/>
      <c r="X246" s="5"/>
      <c r="Y246" s="5"/>
      <c r="Z246" s="5"/>
      <c r="AA246" s="5"/>
    </row>
    <row r="247" spans="1:27" ht="12.75" customHeight="1">
      <c r="A247" s="5"/>
      <c r="B247" s="5"/>
      <c r="C247" s="5"/>
      <c r="D247" s="5"/>
      <c r="E247" s="5"/>
      <c r="F247" s="5"/>
      <c r="G247" s="5"/>
      <c r="H247" s="306"/>
      <c r="I247" s="306"/>
      <c r="J247" s="5"/>
      <c r="K247" s="5"/>
      <c r="L247" s="5"/>
      <c r="M247" s="5"/>
      <c r="N247" s="5"/>
      <c r="O247" s="5"/>
      <c r="P247" s="57"/>
      <c r="Q247" s="5"/>
      <c r="R247" s="5"/>
      <c r="S247" s="5"/>
      <c r="T247" s="5"/>
      <c r="U247" s="5"/>
      <c r="V247" s="5"/>
      <c r="W247" s="5"/>
      <c r="X247" s="5"/>
      <c r="Y247" s="5"/>
      <c r="Z247" s="5"/>
      <c r="AA247" s="5"/>
    </row>
    <row r="248" spans="1:27" ht="12.75" customHeight="1">
      <c r="A248" s="5"/>
      <c r="B248" s="5"/>
      <c r="C248" s="5"/>
      <c r="D248" s="5"/>
      <c r="E248" s="5"/>
      <c r="F248" s="5"/>
      <c r="G248" s="5"/>
      <c r="H248" s="306"/>
      <c r="I248" s="306"/>
      <c r="J248" s="5"/>
      <c r="K248" s="5"/>
      <c r="L248" s="5"/>
      <c r="M248" s="5"/>
      <c r="N248" s="5"/>
      <c r="O248" s="5"/>
      <c r="P248" s="57"/>
      <c r="Q248" s="5"/>
      <c r="R248" s="5"/>
      <c r="S248" s="5"/>
      <c r="T248" s="5"/>
      <c r="U248" s="5"/>
      <c r="V248" s="5"/>
      <c r="W248" s="5"/>
      <c r="X248" s="5"/>
      <c r="Y248" s="5"/>
      <c r="Z248" s="5"/>
      <c r="AA248" s="5"/>
    </row>
    <row r="249" spans="1:27" ht="12.75" customHeight="1">
      <c r="A249" s="5"/>
      <c r="B249" s="5"/>
      <c r="C249" s="5"/>
      <c r="D249" s="5"/>
      <c r="E249" s="5"/>
      <c r="F249" s="5"/>
      <c r="G249" s="5"/>
      <c r="H249" s="306"/>
      <c r="I249" s="306"/>
      <c r="J249" s="5"/>
      <c r="K249" s="5"/>
      <c r="L249" s="5"/>
      <c r="M249" s="5"/>
      <c r="N249" s="5"/>
      <c r="O249" s="5"/>
      <c r="P249" s="57"/>
      <c r="Q249" s="5"/>
      <c r="R249" s="5"/>
      <c r="S249" s="5"/>
      <c r="T249" s="5"/>
      <c r="U249" s="5"/>
      <c r="V249" s="5"/>
      <c r="W249" s="5"/>
      <c r="X249" s="5"/>
      <c r="Y249" s="5"/>
      <c r="Z249" s="5"/>
      <c r="AA249" s="5"/>
    </row>
    <row r="250" spans="1:27" ht="12.75" customHeight="1">
      <c r="A250" s="5"/>
      <c r="B250" s="5"/>
      <c r="C250" s="5"/>
      <c r="D250" s="5"/>
      <c r="E250" s="5"/>
      <c r="F250" s="5"/>
      <c r="G250" s="5"/>
      <c r="H250" s="306"/>
      <c r="I250" s="306"/>
      <c r="J250" s="5"/>
      <c r="K250" s="5"/>
      <c r="L250" s="5"/>
      <c r="M250" s="5"/>
      <c r="N250" s="5"/>
      <c r="O250" s="5"/>
      <c r="P250" s="57"/>
      <c r="Q250" s="5"/>
      <c r="R250" s="5"/>
      <c r="S250" s="5"/>
      <c r="T250" s="5"/>
      <c r="U250" s="5"/>
      <c r="V250" s="5"/>
      <c r="W250" s="5"/>
      <c r="X250" s="5"/>
      <c r="Y250" s="5"/>
      <c r="Z250" s="5"/>
      <c r="AA250" s="5"/>
    </row>
    <row r="251" spans="1:27" ht="12.75" customHeight="1">
      <c r="A251" s="5"/>
      <c r="B251" s="5"/>
      <c r="C251" s="5"/>
      <c r="D251" s="5"/>
      <c r="E251" s="5"/>
      <c r="F251" s="5"/>
      <c r="G251" s="5"/>
      <c r="H251" s="306"/>
      <c r="I251" s="306"/>
      <c r="J251" s="5"/>
      <c r="K251" s="5"/>
      <c r="L251" s="5"/>
      <c r="M251" s="5"/>
      <c r="N251" s="5"/>
      <c r="O251" s="5"/>
      <c r="P251" s="57"/>
      <c r="Q251" s="5"/>
      <c r="R251" s="5"/>
      <c r="S251" s="5"/>
      <c r="T251" s="5"/>
      <c r="U251" s="5"/>
      <c r="V251" s="5"/>
      <c r="W251" s="5"/>
      <c r="X251" s="5"/>
      <c r="Y251" s="5"/>
      <c r="Z251" s="5"/>
      <c r="AA251" s="5"/>
    </row>
    <row r="252" spans="1:27" ht="12.75" customHeight="1">
      <c r="A252" s="5"/>
      <c r="B252" s="5"/>
      <c r="C252" s="5"/>
      <c r="D252" s="5"/>
      <c r="E252" s="5"/>
      <c r="F252" s="5"/>
      <c r="G252" s="5"/>
      <c r="H252" s="306"/>
      <c r="I252" s="306"/>
      <c r="J252" s="5"/>
      <c r="K252" s="5"/>
      <c r="L252" s="5"/>
      <c r="M252" s="5"/>
      <c r="N252" s="5"/>
      <c r="O252" s="5"/>
      <c r="P252" s="57"/>
      <c r="Q252" s="5"/>
      <c r="R252" s="5"/>
      <c r="S252" s="5"/>
      <c r="T252" s="5"/>
      <c r="U252" s="5"/>
      <c r="V252" s="5"/>
      <c r="W252" s="5"/>
      <c r="X252" s="5"/>
      <c r="Y252" s="5"/>
      <c r="Z252" s="5"/>
      <c r="AA252" s="5"/>
    </row>
    <row r="253" spans="1:27" ht="12.75" customHeight="1">
      <c r="A253" s="5"/>
      <c r="B253" s="5"/>
      <c r="C253" s="5"/>
      <c r="D253" s="5"/>
      <c r="E253" s="5"/>
      <c r="F253" s="5"/>
      <c r="G253" s="5"/>
      <c r="H253" s="306"/>
      <c r="I253" s="306"/>
      <c r="J253" s="5"/>
      <c r="K253" s="5"/>
      <c r="L253" s="5"/>
      <c r="M253" s="5"/>
      <c r="N253" s="5"/>
      <c r="O253" s="5"/>
      <c r="P253" s="57"/>
      <c r="Q253" s="5"/>
      <c r="R253" s="5"/>
      <c r="S253" s="5"/>
      <c r="T253" s="5"/>
      <c r="U253" s="5"/>
      <c r="V253" s="5"/>
      <c r="W253" s="5"/>
      <c r="X253" s="5"/>
      <c r="Y253" s="5"/>
      <c r="Z253" s="5"/>
      <c r="AA253" s="5"/>
    </row>
    <row r="254" spans="1:27" ht="12.75" customHeight="1">
      <c r="A254" s="5"/>
      <c r="B254" s="5"/>
      <c r="C254" s="5"/>
      <c r="D254" s="5"/>
      <c r="E254" s="5"/>
      <c r="F254" s="5"/>
      <c r="G254" s="5"/>
      <c r="H254" s="306"/>
      <c r="I254" s="306"/>
      <c r="J254" s="5"/>
      <c r="K254" s="5"/>
      <c r="L254" s="5"/>
      <c r="M254" s="5"/>
      <c r="N254" s="5"/>
      <c r="O254" s="5"/>
      <c r="P254" s="57"/>
      <c r="Q254" s="5"/>
      <c r="R254" s="5"/>
      <c r="S254" s="5"/>
      <c r="T254" s="5"/>
      <c r="U254" s="5"/>
      <c r="V254" s="5"/>
      <c r="W254" s="5"/>
      <c r="X254" s="5"/>
      <c r="Y254" s="5"/>
      <c r="Z254" s="5"/>
      <c r="AA254" s="5"/>
    </row>
    <row r="255" spans="1:27" ht="12.75" customHeight="1">
      <c r="A255" s="5"/>
      <c r="B255" s="5"/>
      <c r="C255" s="5"/>
      <c r="D255" s="5"/>
      <c r="E255" s="5"/>
      <c r="F255" s="5"/>
      <c r="G255" s="5"/>
      <c r="H255" s="306"/>
      <c r="I255" s="306"/>
      <c r="J255" s="5"/>
      <c r="K255" s="5"/>
      <c r="L255" s="5"/>
      <c r="M255" s="5"/>
      <c r="N255" s="5"/>
      <c r="O255" s="5"/>
      <c r="P255" s="57"/>
      <c r="Q255" s="5"/>
      <c r="R255" s="5"/>
      <c r="S255" s="5"/>
      <c r="T255" s="5"/>
      <c r="U255" s="5"/>
      <c r="V255" s="5"/>
      <c r="W255" s="5"/>
      <c r="X255" s="5"/>
      <c r="Y255" s="5"/>
      <c r="Z255" s="5"/>
      <c r="AA255" s="5"/>
    </row>
    <row r="256" spans="1:27" ht="12.75" customHeight="1">
      <c r="A256" s="5"/>
      <c r="B256" s="5"/>
      <c r="C256" s="5"/>
      <c r="D256" s="5"/>
      <c r="E256" s="5"/>
      <c r="F256" s="5"/>
      <c r="G256" s="5"/>
      <c r="H256" s="306"/>
      <c r="I256" s="306"/>
      <c r="J256" s="5"/>
      <c r="K256" s="5"/>
      <c r="L256" s="5"/>
      <c r="M256" s="5"/>
      <c r="N256" s="5"/>
      <c r="O256" s="5"/>
      <c r="P256" s="57"/>
      <c r="Q256" s="5"/>
      <c r="R256" s="5"/>
      <c r="S256" s="5"/>
      <c r="T256" s="5"/>
      <c r="U256" s="5"/>
      <c r="V256" s="5"/>
      <c r="W256" s="5"/>
      <c r="X256" s="5"/>
      <c r="Y256" s="5"/>
      <c r="Z256" s="5"/>
      <c r="AA256" s="5"/>
    </row>
    <row r="257" spans="1:27" ht="12.75" customHeight="1">
      <c r="A257" s="5"/>
      <c r="B257" s="5"/>
      <c r="C257" s="5"/>
      <c r="D257" s="5"/>
      <c r="E257" s="5"/>
      <c r="F257" s="5"/>
      <c r="G257" s="5"/>
      <c r="H257" s="306"/>
      <c r="I257" s="306"/>
      <c r="J257" s="5"/>
      <c r="K257" s="5"/>
      <c r="L257" s="5"/>
      <c r="M257" s="5"/>
      <c r="N257" s="5"/>
      <c r="O257" s="5"/>
      <c r="P257" s="57"/>
      <c r="Q257" s="5"/>
      <c r="R257" s="5"/>
      <c r="S257" s="5"/>
      <c r="T257" s="5"/>
      <c r="U257" s="5"/>
      <c r="V257" s="5"/>
      <c r="W257" s="5"/>
      <c r="X257" s="5"/>
      <c r="Y257" s="5"/>
      <c r="Z257" s="5"/>
      <c r="AA257" s="5"/>
    </row>
    <row r="258" spans="1:27" ht="12.75" customHeight="1">
      <c r="A258" s="5"/>
      <c r="B258" s="5"/>
      <c r="C258" s="5"/>
      <c r="D258" s="5"/>
      <c r="E258" s="5"/>
      <c r="F258" s="5"/>
      <c r="G258" s="5"/>
      <c r="H258" s="306"/>
      <c r="I258" s="306"/>
      <c r="J258" s="5"/>
      <c r="K258" s="5"/>
      <c r="L258" s="5"/>
      <c r="M258" s="5"/>
      <c r="N258" s="5"/>
      <c r="O258" s="5"/>
      <c r="P258" s="57"/>
      <c r="Q258" s="5"/>
      <c r="R258" s="5"/>
      <c r="S258" s="5"/>
      <c r="T258" s="5"/>
      <c r="U258" s="5"/>
      <c r="V258" s="5"/>
      <c r="W258" s="5"/>
      <c r="X258" s="5"/>
      <c r="Y258" s="5"/>
      <c r="Z258" s="5"/>
      <c r="AA258" s="5"/>
    </row>
    <row r="259" spans="1:27" ht="12.75" customHeight="1">
      <c r="A259" s="5"/>
      <c r="B259" s="5"/>
      <c r="C259" s="5"/>
      <c r="D259" s="5"/>
      <c r="E259" s="5"/>
      <c r="F259" s="5"/>
      <c r="G259" s="5"/>
      <c r="H259" s="306"/>
      <c r="I259" s="306"/>
      <c r="J259" s="5"/>
      <c r="K259" s="5"/>
      <c r="L259" s="5"/>
      <c r="M259" s="5"/>
      <c r="N259" s="5"/>
      <c r="O259" s="5"/>
      <c r="P259" s="57"/>
      <c r="Q259" s="5"/>
      <c r="R259" s="5"/>
      <c r="S259" s="5"/>
      <c r="T259" s="5"/>
      <c r="U259" s="5"/>
      <c r="V259" s="5"/>
      <c r="W259" s="5"/>
      <c r="X259" s="5"/>
      <c r="Y259" s="5"/>
      <c r="Z259" s="5"/>
      <c r="AA259" s="5"/>
    </row>
    <row r="260" spans="1:27" ht="12.75" customHeight="1">
      <c r="A260" s="5"/>
      <c r="B260" s="5"/>
      <c r="C260" s="5"/>
      <c r="D260" s="5"/>
      <c r="E260" s="5"/>
      <c r="F260" s="5"/>
      <c r="G260" s="5"/>
      <c r="H260" s="306"/>
      <c r="I260" s="306"/>
      <c r="J260" s="5"/>
      <c r="K260" s="5"/>
      <c r="L260" s="5"/>
      <c r="M260" s="5"/>
      <c r="N260" s="5"/>
      <c r="O260" s="5"/>
      <c r="P260" s="57"/>
      <c r="Q260" s="5"/>
      <c r="R260" s="5"/>
      <c r="S260" s="5"/>
      <c r="T260" s="5"/>
      <c r="U260" s="5"/>
      <c r="V260" s="5"/>
      <c r="W260" s="5"/>
      <c r="X260" s="5"/>
      <c r="Y260" s="5"/>
      <c r="Z260" s="5"/>
      <c r="AA260" s="5"/>
    </row>
    <row r="261" spans="1:27" ht="12.75" customHeight="1">
      <c r="A261" s="5"/>
      <c r="B261" s="5"/>
      <c r="C261" s="5"/>
      <c r="D261" s="5"/>
      <c r="E261" s="5"/>
      <c r="F261" s="5"/>
      <c r="G261" s="5"/>
      <c r="H261" s="306"/>
      <c r="I261" s="306"/>
      <c r="J261" s="5"/>
      <c r="K261" s="5"/>
      <c r="L261" s="5"/>
      <c r="M261" s="5"/>
      <c r="N261" s="5"/>
      <c r="O261" s="5"/>
      <c r="P261" s="57"/>
      <c r="Q261" s="5"/>
      <c r="R261" s="5"/>
      <c r="S261" s="5"/>
      <c r="T261" s="5"/>
      <c r="U261" s="5"/>
      <c r="V261" s="5"/>
      <c r="W261" s="5"/>
      <c r="X261" s="5"/>
      <c r="Y261" s="5"/>
      <c r="Z261" s="5"/>
      <c r="AA261" s="5"/>
    </row>
    <row r="262" spans="1:27" ht="12.75" customHeight="1">
      <c r="A262" s="5"/>
      <c r="B262" s="5"/>
      <c r="C262" s="5"/>
      <c r="D262" s="5"/>
      <c r="E262" s="5"/>
      <c r="F262" s="5"/>
      <c r="G262" s="5"/>
      <c r="H262" s="306"/>
      <c r="I262" s="306"/>
      <c r="J262" s="5"/>
      <c r="K262" s="5"/>
      <c r="L262" s="5"/>
      <c r="M262" s="5"/>
      <c r="N262" s="5"/>
      <c r="O262" s="5"/>
      <c r="P262" s="57"/>
      <c r="Q262" s="5"/>
      <c r="R262" s="5"/>
      <c r="S262" s="5"/>
      <c r="T262" s="5"/>
      <c r="U262" s="5"/>
      <c r="V262" s="5"/>
      <c r="W262" s="5"/>
      <c r="X262" s="5"/>
      <c r="Y262" s="5"/>
      <c r="Z262" s="5"/>
      <c r="AA262" s="5"/>
    </row>
    <row r="263" spans="1:27" ht="12.75" customHeight="1">
      <c r="A263" s="5"/>
      <c r="B263" s="5"/>
      <c r="C263" s="5"/>
      <c r="D263" s="5"/>
      <c r="E263" s="5"/>
      <c r="F263" s="5"/>
      <c r="G263" s="5"/>
      <c r="H263" s="306"/>
      <c r="I263" s="306"/>
      <c r="J263" s="5"/>
      <c r="K263" s="5"/>
      <c r="L263" s="5"/>
      <c r="M263" s="5"/>
      <c r="N263" s="5"/>
      <c r="O263" s="5"/>
      <c r="P263" s="57"/>
      <c r="Q263" s="5"/>
      <c r="R263" s="5"/>
      <c r="S263" s="5"/>
      <c r="T263" s="5"/>
      <c r="U263" s="5"/>
      <c r="V263" s="5"/>
      <c r="W263" s="5"/>
      <c r="X263" s="5"/>
      <c r="Y263" s="5"/>
      <c r="Z263" s="5"/>
      <c r="AA263" s="5"/>
    </row>
    <row r="264" spans="1:27" ht="12.75" customHeight="1">
      <c r="A264" s="5"/>
      <c r="B264" s="5"/>
      <c r="C264" s="5"/>
      <c r="D264" s="5"/>
      <c r="E264" s="5"/>
      <c r="F264" s="5"/>
      <c r="G264" s="5"/>
      <c r="H264" s="306"/>
      <c r="I264" s="306"/>
      <c r="J264" s="5"/>
      <c r="K264" s="5"/>
      <c r="L264" s="5"/>
      <c r="M264" s="5"/>
      <c r="N264" s="5"/>
      <c r="O264" s="5"/>
      <c r="P264" s="57"/>
      <c r="Q264" s="5"/>
      <c r="R264" s="5"/>
      <c r="S264" s="5"/>
      <c r="T264" s="5"/>
      <c r="U264" s="5"/>
      <c r="V264" s="5"/>
      <c r="W264" s="5"/>
      <c r="X264" s="5"/>
      <c r="Y264" s="5"/>
      <c r="Z264" s="5"/>
      <c r="AA264" s="5"/>
    </row>
    <row r="265" spans="1:27" ht="12.75" customHeight="1">
      <c r="A265" s="5"/>
      <c r="B265" s="5"/>
      <c r="C265" s="5"/>
      <c r="D265" s="5"/>
      <c r="E265" s="5"/>
      <c r="F265" s="5"/>
      <c r="G265" s="5"/>
      <c r="H265" s="306"/>
      <c r="I265" s="306"/>
      <c r="J265" s="5"/>
      <c r="K265" s="5"/>
      <c r="L265" s="5"/>
      <c r="M265" s="5"/>
      <c r="N265" s="5"/>
      <c r="O265" s="5"/>
      <c r="P265" s="57"/>
      <c r="Q265" s="5"/>
      <c r="R265" s="5"/>
      <c r="S265" s="5"/>
      <c r="T265" s="5"/>
      <c r="U265" s="5"/>
      <c r="V265" s="5"/>
      <c r="W265" s="5"/>
      <c r="X265" s="5"/>
      <c r="Y265" s="5"/>
      <c r="Z265" s="5"/>
      <c r="AA265" s="5"/>
    </row>
    <row r="266" spans="1:27" ht="12.75" customHeight="1">
      <c r="A266" s="5"/>
      <c r="B266" s="5"/>
      <c r="C266" s="5"/>
      <c r="D266" s="5"/>
      <c r="E266" s="5"/>
      <c r="F266" s="5"/>
      <c r="G266" s="5"/>
      <c r="H266" s="306"/>
      <c r="I266" s="306"/>
      <c r="J266" s="5"/>
      <c r="K266" s="5"/>
      <c r="L266" s="5"/>
      <c r="M266" s="5"/>
      <c r="N266" s="5"/>
      <c r="O266" s="5"/>
      <c r="P266" s="57"/>
      <c r="Q266" s="5"/>
      <c r="R266" s="5"/>
      <c r="S266" s="5"/>
      <c r="T266" s="5"/>
      <c r="U266" s="5"/>
      <c r="V266" s="5"/>
      <c r="W266" s="5"/>
      <c r="X266" s="5"/>
      <c r="Y266" s="5"/>
      <c r="Z266" s="5"/>
      <c r="AA266" s="5"/>
    </row>
    <row r="267" spans="1:27" ht="12.75" customHeight="1">
      <c r="A267" s="5"/>
      <c r="B267" s="5"/>
      <c r="C267" s="5"/>
      <c r="D267" s="5"/>
      <c r="E267" s="5"/>
      <c r="F267" s="5"/>
      <c r="G267" s="5"/>
      <c r="H267" s="306"/>
      <c r="I267" s="306"/>
      <c r="J267" s="5"/>
      <c r="K267" s="5"/>
      <c r="L267" s="5"/>
      <c r="M267" s="5"/>
      <c r="N267" s="5"/>
      <c r="O267" s="5"/>
      <c r="P267" s="57"/>
      <c r="Q267" s="5"/>
      <c r="R267" s="5"/>
      <c r="S267" s="5"/>
      <c r="T267" s="5"/>
      <c r="U267" s="5"/>
      <c r="V267" s="5"/>
      <c r="W267" s="5"/>
      <c r="X267" s="5"/>
      <c r="Y267" s="5"/>
      <c r="Z267" s="5"/>
      <c r="AA267" s="5"/>
    </row>
    <row r="268" spans="1:27" ht="12.75" customHeight="1">
      <c r="A268" s="5"/>
      <c r="B268" s="5"/>
      <c r="C268" s="5"/>
      <c r="D268" s="5"/>
      <c r="E268" s="5"/>
      <c r="F268" s="5"/>
      <c r="G268" s="5"/>
      <c r="H268" s="306"/>
      <c r="I268" s="306"/>
      <c r="J268" s="5"/>
      <c r="K268" s="5"/>
      <c r="L268" s="5"/>
      <c r="M268" s="5"/>
      <c r="N268" s="5"/>
      <c r="O268" s="5"/>
      <c r="P268" s="57"/>
      <c r="Q268" s="5"/>
      <c r="R268" s="5"/>
      <c r="S268" s="5"/>
      <c r="T268" s="5"/>
      <c r="U268" s="5"/>
      <c r="V268" s="5"/>
      <c r="W268" s="5"/>
      <c r="X268" s="5"/>
      <c r="Y268" s="5"/>
      <c r="Z268" s="5"/>
      <c r="AA268" s="5"/>
    </row>
    <row r="269" spans="1:27" ht="12.75" customHeight="1">
      <c r="A269" s="5"/>
      <c r="B269" s="5"/>
      <c r="C269" s="5"/>
      <c r="D269" s="5"/>
      <c r="E269" s="5"/>
      <c r="F269" s="5"/>
      <c r="G269" s="5"/>
      <c r="H269" s="306"/>
      <c r="I269" s="306"/>
      <c r="J269" s="5"/>
      <c r="K269" s="5"/>
      <c r="L269" s="5"/>
      <c r="M269" s="5"/>
      <c r="N269" s="5"/>
      <c r="O269" s="5"/>
      <c r="P269" s="57"/>
      <c r="Q269" s="5"/>
      <c r="R269" s="5"/>
      <c r="S269" s="5"/>
      <c r="T269" s="5"/>
      <c r="U269" s="5"/>
      <c r="V269" s="5"/>
      <c r="W269" s="5"/>
      <c r="X269" s="5"/>
      <c r="Y269" s="5"/>
      <c r="Z269" s="5"/>
      <c r="AA269" s="5"/>
    </row>
    <row r="270" spans="1:27" ht="12.75" customHeight="1">
      <c r="A270" s="5"/>
      <c r="B270" s="5"/>
      <c r="C270" s="5"/>
      <c r="D270" s="5"/>
      <c r="E270" s="5"/>
      <c r="F270" s="5"/>
      <c r="G270" s="5"/>
      <c r="H270" s="306"/>
      <c r="I270" s="306"/>
      <c r="J270" s="5"/>
      <c r="K270" s="5"/>
      <c r="L270" s="5"/>
      <c r="M270" s="5"/>
      <c r="N270" s="5"/>
      <c r="O270" s="5"/>
      <c r="P270" s="57"/>
      <c r="Q270" s="5"/>
      <c r="R270" s="5"/>
      <c r="S270" s="5"/>
      <c r="T270" s="5"/>
      <c r="U270" s="5"/>
      <c r="V270" s="5"/>
      <c r="W270" s="5"/>
      <c r="X270" s="5"/>
      <c r="Y270" s="5"/>
      <c r="Z270" s="5"/>
      <c r="AA270" s="5"/>
    </row>
    <row r="271" spans="1:27" ht="12.75" customHeight="1">
      <c r="A271" s="5"/>
      <c r="B271" s="5"/>
      <c r="C271" s="5"/>
      <c r="D271" s="5"/>
      <c r="E271" s="5"/>
      <c r="F271" s="5"/>
      <c r="G271" s="5"/>
      <c r="H271" s="306"/>
      <c r="I271" s="306"/>
      <c r="J271" s="5"/>
      <c r="K271" s="5"/>
      <c r="L271" s="5"/>
      <c r="M271" s="5"/>
      <c r="N271" s="5"/>
      <c r="O271" s="5"/>
      <c r="P271" s="57"/>
      <c r="Q271" s="5"/>
      <c r="R271" s="5"/>
      <c r="S271" s="5"/>
      <c r="T271" s="5"/>
      <c r="U271" s="5"/>
      <c r="V271" s="5"/>
      <c r="W271" s="5"/>
      <c r="X271" s="5"/>
      <c r="Y271" s="5"/>
      <c r="Z271" s="5"/>
      <c r="AA271" s="5"/>
    </row>
    <row r="272" spans="1:27" ht="12.75" customHeight="1">
      <c r="A272" s="5"/>
      <c r="B272" s="5"/>
      <c r="C272" s="5"/>
      <c r="D272" s="5"/>
      <c r="E272" s="5"/>
      <c r="F272" s="5"/>
      <c r="G272" s="5"/>
      <c r="H272" s="306"/>
      <c r="I272" s="306"/>
      <c r="J272" s="5"/>
      <c r="K272" s="5"/>
      <c r="L272" s="5"/>
      <c r="M272" s="5"/>
      <c r="N272" s="5"/>
      <c r="O272" s="5"/>
      <c r="P272" s="57"/>
      <c r="Q272" s="5"/>
      <c r="R272" s="5"/>
      <c r="S272" s="5"/>
      <c r="T272" s="5"/>
      <c r="U272" s="5"/>
      <c r="V272" s="5"/>
      <c r="W272" s="5"/>
      <c r="X272" s="5"/>
      <c r="Y272" s="5"/>
      <c r="Z272" s="5"/>
      <c r="AA272" s="5"/>
    </row>
    <row r="273" spans="1:27" ht="12.75" customHeight="1">
      <c r="A273" s="5"/>
      <c r="B273" s="5"/>
      <c r="C273" s="5"/>
      <c r="D273" s="5"/>
      <c r="E273" s="5"/>
      <c r="F273" s="5"/>
      <c r="G273" s="5"/>
      <c r="H273" s="306"/>
      <c r="I273" s="306"/>
      <c r="J273" s="5"/>
      <c r="K273" s="5"/>
      <c r="L273" s="5"/>
      <c r="M273" s="5"/>
      <c r="N273" s="5"/>
      <c r="O273" s="5"/>
      <c r="P273" s="57"/>
      <c r="Q273" s="5"/>
      <c r="R273" s="5"/>
      <c r="S273" s="5"/>
      <c r="T273" s="5"/>
      <c r="U273" s="5"/>
      <c r="V273" s="5"/>
      <c r="W273" s="5"/>
      <c r="X273" s="5"/>
      <c r="Y273" s="5"/>
      <c r="Z273" s="5"/>
      <c r="AA273" s="5"/>
    </row>
    <row r="274" spans="1:27" ht="12.75" customHeight="1">
      <c r="A274" s="5"/>
      <c r="B274" s="5"/>
      <c r="C274" s="5"/>
      <c r="D274" s="5"/>
      <c r="E274" s="5"/>
      <c r="F274" s="5"/>
      <c r="G274" s="5"/>
      <c r="H274" s="306"/>
      <c r="I274" s="306"/>
      <c r="J274" s="5"/>
      <c r="K274" s="5"/>
      <c r="L274" s="5"/>
      <c r="M274" s="5"/>
      <c r="N274" s="5"/>
      <c r="O274" s="5"/>
      <c r="P274" s="57"/>
      <c r="Q274" s="5"/>
      <c r="R274" s="5"/>
      <c r="S274" s="5"/>
      <c r="T274" s="5"/>
      <c r="U274" s="5"/>
      <c r="V274" s="5"/>
      <c r="W274" s="5"/>
      <c r="X274" s="5"/>
      <c r="Y274" s="5"/>
      <c r="Z274" s="5"/>
      <c r="AA274" s="5"/>
    </row>
    <row r="275" spans="1:27" ht="12.75" customHeight="1">
      <c r="A275" s="5"/>
      <c r="B275" s="5"/>
      <c r="C275" s="5"/>
      <c r="D275" s="5"/>
      <c r="E275" s="5"/>
      <c r="F275" s="5"/>
      <c r="G275" s="5"/>
      <c r="H275" s="306"/>
      <c r="I275" s="306"/>
      <c r="J275" s="5"/>
      <c r="K275" s="5"/>
      <c r="L275" s="5"/>
      <c r="M275" s="5"/>
      <c r="N275" s="5"/>
      <c r="O275" s="5"/>
      <c r="P275" s="57"/>
      <c r="Q275" s="5"/>
      <c r="R275" s="5"/>
      <c r="S275" s="5"/>
      <c r="T275" s="5"/>
      <c r="U275" s="5"/>
      <c r="V275" s="5"/>
      <c r="W275" s="5"/>
      <c r="X275" s="5"/>
      <c r="Y275" s="5"/>
      <c r="Z275" s="5"/>
      <c r="AA275" s="5"/>
    </row>
    <row r="276" spans="1:27" ht="12.75" customHeight="1">
      <c r="A276" s="5"/>
      <c r="B276" s="5"/>
      <c r="C276" s="5"/>
      <c r="D276" s="5"/>
      <c r="E276" s="5"/>
      <c r="F276" s="5"/>
      <c r="G276" s="5"/>
      <c r="H276" s="306"/>
      <c r="I276" s="306"/>
      <c r="J276" s="5"/>
      <c r="K276" s="5"/>
      <c r="L276" s="5"/>
      <c r="M276" s="5"/>
      <c r="N276" s="5"/>
      <c r="O276" s="5"/>
      <c r="P276" s="57"/>
      <c r="Q276" s="5"/>
      <c r="R276" s="5"/>
      <c r="S276" s="5"/>
      <c r="T276" s="5"/>
      <c r="U276" s="5"/>
      <c r="V276" s="5"/>
      <c r="W276" s="5"/>
      <c r="X276" s="5"/>
      <c r="Y276" s="5"/>
      <c r="Z276" s="5"/>
      <c r="AA276" s="5"/>
    </row>
    <row r="277" spans="1:27" ht="12.75" customHeight="1">
      <c r="A277" s="5"/>
      <c r="B277" s="5"/>
      <c r="C277" s="5"/>
      <c r="D277" s="5"/>
      <c r="E277" s="5"/>
      <c r="F277" s="5"/>
      <c r="G277" s="5"/>
      <c r="H277" s="306"/>
      <c r="I277" s="306"/>
      <c r="J277" s="5"/>
      <c r="K277" s="5"/>
      <c r="L277" s="5"/>
      <c r="M277" s="5"/>
      <c r="N277" s="5"/>
      <c r="O277" s="5"/>
      <c r="P277" s="57"/>
      <c r="Q277" s="5"/>
      <c r="R277" s="5"/>
      <c r="S277" s="5"/>
      <c r="T277" s="5"/>
      <c r="U277" s="5"/>
      <c r="V277" s="5"/>
      <c r="W277" s="5"/>
      <c r="X277" s="5"/>
      <c r="Y277" s="5"/>
      <c r="Z277" s="5"/>
      <c r="AA277" s="5"/>
    </row>
    <row r="278" spans="1:27" ht="12.75" customHeight="1">
      <c r="A278" s="5"/>
      <c r="B278" s="5"/>
      <c r="C278" s="5"/>
      <c r="D278" s="5"/>
      <c r="E278" s="5"/>
      <c r="F278" s="5"/>
      <c r="G278" s="5"/>
      <c r="H278" s="306"/>
      <c r="I278" s="306"/>
      <c r="J278" s="5"/>
      <c r="K278" s="5"/>
      <c r="L278" s="5"/>
      <c r="M278" s="5"/>
      <c r="N278" s="5"/>
      <c r="O278" s="5"/>
      <c r="P278" s="57"/>
      <c r="Q278" s="5"/>
      <c r="R278" s="5"/>
      <c r="S278" s="5"/>
      <c r="T278" s="5"/>
      <c r="U278" s="5"/>
      <c r="V278" s="5"/>
      <c r="W278" s="5"/>
      <c r="X278" s="5"/>
      <c r="Y278" s="5"/>
      <c r="Z278" s="5"/>
      <c r="AA278" s="5"/>
    </row>
    <row r="279" spans="1:27" ht="12.75" customHeight="1">
      <c r="A279" s="5"/>
      <c r="B279" s="5"/>
      <c r="C279" s="5"/>
      <c r="D279" s="5"/>
      <c r="E279" s="5"/>
      <c r="F279" s="5"/>
      <c r="G279" s="5"/>
      <c r="H279" s="306"/>
      <c r="I279" s="306"/>
      <c r="J279" s="5"/>
      <c r="K279" s="5"/>
      <c r="L279" s="5"/>
      <c r="M279" s="5"/>
      <c r="N279" s="5"/>
      <c r="O279" s="5"/>
      <c r="P279" s="57"/>
      <c r="Q279" s="5"/>
      <c r="R279" s="5"/>
      <c r="S279" s="5"/>
      <c r="T279" s="5"/>
      <c r="U279" s="5"/>
      <c r="V279" s="5"/>
      <c r="W279" s="5"/>
      <c r="X279" s="5"/>
      <c r="Y279" s="5"/>
      <c r="Z279" s="5"/>
      <c r="AA279" s="5"/>
    </row>
    <row r="280" spans="1:27" ht="12.75" customHeight="1">
      <c r="A280" s="5"/>
      <c r="B280" s="5"/>
      <c r="C280" s="5"/>
      <c r="D280" s="5"/>
      <c r="E280" s="5"/>
      <c r="F280" s="5"/>
      <c r="G280" s="5"/>
      <c r="H280" s="306"/>
      <c r="I280" s="306"/>
      <c r="J280" s="5"/>
      <c r="K280" s="5"/>
      <c r="L280" s="5"/>
      <c r="M280" s="5"/>
      <c r="N280" s="5"/>
      <c r="O280" s="5"/>
      <c r="P280" s="57"/>
      <c r="Q280" s="5"/>
      <c r="R280" s="5"/>
      <c r="S280" s="5"/>
      <c r="T280" s="5"/>
      <c r="U280" s="5"/>
      <c r="V280" s="5"/>
      <c r="W280" s="5"/>
      <c r="X280" s="5"/>
      <c r="Y280" s="5"/>
      <c r="Z280" s="5"/>
      <c r="AA280" s="5"/>
    </row>
    <row r="281" spans="1:27" ht="12.75" customHeight="1">
      <c r="A281" s="5"/>
      <c r="B281" s="5"/>
      <c r="C281" s="5"/>
      <c r="D281" s="5"/>
      <c r="E281" s="5"/>
      <c r="F281" s="5"/>
      <c r="G281" s="5"/>
      <c r="H281" s="306"/>
      <c r="I281" s="306"/>
      <c r="J281" s="5"/>
      <c r="K281" s="5"/>
      <c r="L281" s="5"/>
      <c r="M281" s="5"/>
      <c r="N281" s="5"/>
      <c r="O281" s="5"/>
      <c r="P281" s="57"/>
      <c r="Q281" s="5"/>
      <c r="R281" s="5"/>
      <c r="S281" s="5"/>
      <c r="T281" s="5"/>
      <c r="U281" s="5"/>
      <c r="V281" s="5"/>
      <c r="W281" s="5"/>
      <c r="X281" s="5"/>
      <c r="Y281" s="5"/>
      <c r="Z281" s="5"/>
      <c r="AA281" s="5"/>
    </row>
    <row r="282" spans="1:27" ht="12.75" customHeight="1">
      <c r="A282" s="5"/>
      <c r="B282" s="5"/>
      <c r="C282" s="5"/>
      <c r="D282" s="5"/>
      <c r="E282" s="5"/>
      <c r="F282" s="5"/>
      <c r="G282" s="5"/>
      <c r="H282" s="306"/>
      <c r="I282" s="306"/>
      <c r="J282" s="5"/>
      <c r="K282" s="5"/>
      <c r="L282" s="5"/>
      <c r="M282" s="5"/>
      <c r="N282" s="5"/>
      <c r="O282" s="5"/>
      <c r="P282" s="57"/>
      <c r="Q282" s="5"/>
      <c r="R282" s="5"/>
      <c r="S282" s="5"/>
      <c r="T282" s="5"/>
      <c r="U282" s="5"/>
      <c r="V282" s="5"/>
      <c r="W282" s="5"/>
      <c r="X282" s="5"/>
      <c r="Y282" s="5"/>
      <c r="Z282" s="5"/>
      <c r="AA282" s="5"/>
    </row>
    <row r="283" spans="1:27" ht="12.75" customHeight="1">
      <c r="A283" s="5"/>
      <c r="B283" s="5"/>
      <c r="C283" s="5"/>
      <c r="D283" s="5"/>
      <c r="E283" s="5"/>
      <c r="F283" s="5"/>
      <c r="G283" s="5"/>
      <c r="H283" s="306"/>
      <c r="I283" s="306"/>
      <c r="J283" s="5"/>
      <c r="K283" s="5"/>
      <c r="L283" s="5"/>
      <c r="M283" s="5"/>
      <c r="N283" s="5"/>
      <c r="O283" s="5"/>
      <c r="P283" s="57"/>
      <c r="Q283" s="5"/>
      <c r="R283" s="5"/>
      <c r="S283" s="5"/>
      <c r="T283" s="5"/>
      <c r="U283" s="5"/>
      <c r="V283" s="5"/>
      <c r="W283" s="5"/>
      <c r="X283" s="5"/>
      <c r="Y283" s="5"/>
      <c r="Z283" s="5"/>
      <c r="AA283" s="5"/>
    </row>
    <row r="284" spans="1:27" ht="12.75" customHeight="1">
      <c r="A284" s="5"/>
      <c r="B284" s="5"/>
      <c r="C284" s="5"/>
      <c r="D284" s="5"/>
      <c r="E284" s="5"/>
      <c r="F284" s="5"/>
      <c r="G284" s="5"/>
      <c r="H284" s="306"/>
      <c r="I284" s="306"/>
      <c r="J284" s="5"/>
      <c r="K284" s="5"/>
      <c r="L284" s="5"/>
      <c r="M284" s="5"/>
      <c r="N284" s="5"/>
      <c r="O284" s="5"/>
      <c r="P284" s="57"/>
      <c r="Q284" s="5"/>
      <c r="R284" s="5"/>
      <c r="S284" s="5"/>
      <c r="T284" s="5"/>
      <c r="U284" s="5"/>
      <c r="V284" s="5"/>
      <c r="W284" s="5"/>
      <c r="X284" s="5"/>
      <c r="Y284" s="5"/>
      <c r="Z284" s="5"/>
      <c r="AA284" s="5"/>
    </row>
    <row r="285" spans="1:27" ht="12.75" customHeight="1">
      <c r="A285" s="5"/>
      <c r="B285" s="5"/>
      <c r="C285" s="5"/>
      <c r="D285" s="5"/>
      <c r="E285" s="5"/>
      <c r="F285" s="5"/>
      <c r="G285" s="5"/>
      <c r="H285" s="306"/>
      <c r="I285" s="306"/>
      <c r="J285" s="5"/>
      <c r="K285" s="5"/>
      <c r="L285" s="5"/>
      <c r="M285" s="5"/>
      <c r="N285" s="5"/>
      <c r="O285" s="5"/>
      <c r="P285" s="57"/>
      <c r="Q285" s="5"/>
      <c r="R285" s="5"/>
      <c r="S285" s="5"/>
      <c r="T285" s="5"/>
      <c r="U285" s="5"/>
      <c r="V285" s="5"/>
      <c r="W285" s="5"/>
      <c r="X285" s="5"/>
      <c r="Y285" s="5"/>
      <c r="Z285" s="5"/>
      <c r="AA285" s="5"/>
    </row>
    <row r="286" spans="1:27" ht="12.75" customHeight="1">
      <c r="A286" s="5"/>
      <c r="B286" s="5"/>
      <c r="C286" s="5"/>
      <c r="D286" s="5"/>
      <c r="E286" s="5"/>
      <c r="F286" s="5"/>
      <c r="G286" s="5"/>
      <c r="H286" s="306"/>
      <c r="I286" s="306"/>
      <c r="J286" s="5"/>
      <c r="K286" s="5"/>
      <c r="L286" s="5"/>
      <c r="M286" s="5"/>
      <c r="N286" s="5"/>
      <c r="O286" s="5"/>
      <c r="P286" s="57"/>
      <c r="Q286" s="5"/>
      <c r="R286" s="5"/>
      <c r="S286" s="5"/>
      <c r="T286" s="5"/>
      <c r="U286" s="5"/>
      <c r="V286" s="5"/>
      <c r="W286" s="5"/>
      <c r="X286" s="5"/>
      <c r="Y286" s="5"/>
      <c r="Z286" s="5"/>
      <c r="AA286" s="5"/>
    </row>
    <row r="287" spans="1:27" ht="12.75" customHeight="1">
      <c r="A287" s="5"/>
      <c r="B287" s="5"/>
      <c r="C287" s="5"/>
      <c r="D287" s="5"/>
      <c r="E287" s="5"/>
      <c r="F287" s="5"/>
      <c r="G287" s="5"/>
      <c r="H287" s="306"/>
      <c r="I287" s="306"/>
      <c r="J287" s="5"/>
      <c r="K287" s="5"/>
      <c r="L287" s="5"/>
      <c r="M287" s="5"/>
      <c r="N287" s="5"/>
      <c r="O287" s="5"/>
      <c r="P287" s="57"/>
      <c r="Q287" s="5"/>
      <c r="R287" s="5"/>
      <c r="S287" s="5"/>
      <c r="T287" s="5"/>
      <c r="U287" s="5"/>
      <c r="V287" s="5"/>
      <c r="W287" s="5"/>
      <c r="X287" s="5"/>
      <c r="Y287" s="5"/>
      <c r="Z287" s="5"/>
      <c r="AA287" s="5"/>
    </row>
    <row r="288" spans="1:27" ht="12.75" customHeight="1">
      <c r="A288" s="5"/>
      <c r="B288" s="5"/>
      <c r="C288" s="5"/>
      <c r="D288" s="5"/>
      <c r="E288" s="5"/>
      <c r="F288" s="5"/>
      <c r="G288" s="5"/>
      <c r="H288" s="306"/>
      <c r="I288" s="306"/>
      <c r="J288" s="5"/>
      <c r="K288" s="5"/>
      <c r="L288" s="5"/>
      <c r="M288" s="5"/>
      <c r="N288" s="5"/>
      <c r="O288" s="5"/>
      <c r="P288" s="57"/>
      <c r="Q288" s="5"/>
      <c r="R288" s="5"/>
      <c r="S288" s="5"/>
      <c r="T288" s="5"/>
      <c r="U288" s="5"/>
      <c r="V288" s="5"/>
      <c r="W288" s="5"/>
      <c r="X288" s="5"/>
      <c r="Y288" s="5"/>
      <c r="Z288" s="5"/>
      <c r="AA288" s="5"/>
    </row>
    <row r="289" spans="1:27" ht="12.75" customHeight="1">
      <c r="A289" s="5"/>
      <c r="B289" s="5"/>
      <c r="C289" s="5"/>
      <c r="D289" s="5"/>
      <c r="E289" s="5"/>
      <c r="F289" s="5"/>
      <c r="G289" s="5"/>
      <c r="H289" s="306"/>
      <c r="I289" s="306"/>
      <c r="J289" s="5"/>
      <c r="K289" s="5"/>
      <c r="L289" s="5"/>
      <c r="M289" s="5"/>
      <c r="N289" s="5"/>
      <c r="O289" s="5"/>
      <c r="P289" s="57"/>
      <c r="Q289" s="5"/>
      <c r="R289" s="5"/>
      <c r="S289" s="5"/>
      <c r="T289" s="5"/>
      <c r="U289" s="5"/>
      <c r="V289" s="5"/>
      <c r="W289" s="5"/>
      <c r="X289" s="5"/>
      <c r="Y289" s="5"/>
      <c r="Z289" s="5"/>
      <c r="AA289" s="5"/>
    </row>
    <row r="290" spans="1:27" ht="12.75" customHeight="1">
      <c r="A290" s="5"/>
      <c r="B290" s="5"/>
      <c r="C290" s="5"/>
      <c r="D290" s="5"/>
      <c r="E290" s="5"/>
      <c r="F290" s="5"/>
      <c r="G290" s="5"/>
      <c r="H290" s="306"/>
      <c r="I290" s="306"/>
      <c r="J290" s="5"/>
      <c r="K290" s="5"/>
      <c r="L290" s="5"/>
      <c r="M290" s="5"/>
      <c r="N290" s="5"/>
      <c r="O290" s="5"/>
      <c r="P290" s="57"/>
      <c r="Q290" s="5"/>
      <c r="R290" s="5"/>
      <c r="S290" s="5"/>
      <c r="T290" s="5"/>
      <c r="U290" s="5"/>
      <c r="V290" s="5"/>
      <c r="W290" s="5"/>
      <c r="X290" s="5"/>
      <c r="Y290" s="5"/>
      <c r="Z290" s="5"/>
      <c r="AA290" s="5"/>
    </row>
    <row r="291" spans="1:27" ht="12.75" customHeight="1">
      <c r="A291" s="5"/>
      <c r="B291" s="5"/>
      <c r="C291" s="5"/>
      <c r="D291" s="5"/>
      <c r="E291" s="5"/>
      <c r="F291" s="5"/>
      <c r="G291" s="5"/>
      <c r="H291" s="306"/>
      <c r="I291" s="306"/>
      <c r="J291" s="5"/>
      <c r="K291" s="5"/>
      <c r="L291" s="5"/>
      <c r="M291" s="5"/>
      <c r="N291" s="5"/>
      <c r="O291" s="5"/>
      <c r="P291" s="57"/>
      <c r="Q291" s="5"/>
      <c r="R291" s="5"/>
      <c r="S291" s="5"/>
      <c r="T291" s="5"/>
      <c r="U291" s="5"/>
      <c r="V291" s="5"/>
      <c r="W291" s="5"/>
      <c r="X291" s="5"/>
      <c r="Y291" s="5"/>
      <c r="Z291" s="5"/>
      <c r="AA291" s="5"/>
    </row>
    <row r="292" spans="1:27" ht="12.75" customHeight="1">
      <c r="A292" s="5"/>
      <c r="B292" s="5"/>
      <c r="C292" s="5"/>
      <c r="D292" s="5"/>
      <c r="E292" s="5"/>
      <c r="F292" s="5"/>
      <c r="G292" s="5"/>
      <c r="H292" s="306"/>
      <c r="I292" s="306"/>
      <c r="J292" s="5"/>
      <c r="K292" s="5"/>
      <c r="L292" s="5"/>
      <c r="M292" s="5"/>
      <c r="N292" s="5"/>
      <c r="O292" s="5"/>
      <c r="P292" s="57"/>
      <c r="Q292" s="5"/>
      <c r="R292" s="5"/>
      <c r="S292" s="5"/>
      <c r="T292" s="5"/>
      <c r="U292" s="5"/>
      <c r="V292" s="5"/>
      <c r="W292" s="5"/>
      <c r="X292" s="5"/>
      <c r="Y292" s="5"/>
      <c r="Z292" s="5"/>
      <c r="AA292" s="5"/>
    </row>
    <row r="293" spans="1:27" ht="12.75" customHeight="1">
      <c r="A293" s="5"/>
      <c r="B293" s="5"/>
      <c r="C293" s="5"/>
      <c r="D293" s="5"/>
      <c r="E293" s="5"/>
      <c r="F293" s="5"/>
      <c r="G293" s="5"/>
      <c r="H293" s="306"/>
      <c r="I293" s="306"/>
      <c r="J293" s="5"/>
      <c r="K293" s="5"/>
      <c r="L293" s="5"/>
      <c r="M293" s="5"/>
      <c r="N293" s="5"/>
      <c r="O293" s="5"/>
      <c r="P293" s="57"/>
      <c r="Q293" s="5"/>
      <c r="R293" s="5"/>
      <c r="S293" s="5"/>
      <c r="T293" s="5"/>
      <c r="U293" s="5"/>
      <c r="V293" s="5"/>
      <c r="W293" s="5"/>
      <c r="X293" s="5"/>
      <c r="Y293" s="5"/>
      <c r="Z293" s="5"/>
      <c r="AA293" s="5"/>
    </row>
    <row r="294" spans="1:27" ht="12.75" customHeight="1">
      <c r="A294" s="5"/>
      <c r="B294" s="5"/>
      <c r="C294" s="5"/>
      <c r="D294" s="5"/>
      <c r="E294" s="5"/>
      <c r="F294" s="5"/>
      <c r="G294" s="5"/>
      <c r="H294" s="306"/>
      <c r="I294" s="306"/>
      <c r="J294" s="5"/>
      <c r="K294" s="5"/>
      <c r="L294" s="5"/>
      <c r="M294" s="5"/>
      <c r="N294" s="5"/>
      <c r="O294" s="5"/>
      <c r="P294" s="57"/>
      <c r="Q294" s="5"/>
      <c r="R294" s="5"/>
      <c r="S294" s="5"/>
      <c r="T294" s="5"/>
      <c r="U294" s="5"/>
      <c r="V294" s="5"/>
      <c r="W294" s="5"/>
      <c r="X294" s="5"/>
      <c r="Y294" s="5"/>
      <c r="Z294" s="5"/>
      <c r="AA294" s="5"/>
    </row>
    <row r="295" spans="1:27" ht="12.75" customHeight="1">
      <c r="A295" s="5"/>
      <c r="B295" s="5"/>
      <c r="C295" s="5"/>
      <c r="D295" s="5"/>
      <c r="E295" s="5"/>
      <c r="F295" s="5"/>
      <c r="G295" s="5"/>
      <c r="H295" s="306"/>
      <c r="I295" s="306"/>
      <c r="J295" s="5"/>
      <c r="K295" s="5"/>
      <c r="L295" s="5"/>
      <c r="M295" s="5"/>
      <c r="N295" s="5"/>
      <c r="O295" s="5"/>
      <c r="P295" s="57"/>
      <c r="Q295" s="5"/>
      <c r="R295" s="5"/>
      <c r="S295" s="5"/>
      <c r="T295" s="5"/>
      <c r="U295" s="5"/>
      <c r="V295" s="5"/>
      <c r="W295" s="5"/>
      <c r="X295" s="5"/>
      <c r="Y295" s="5"/>
      <c r="Z295" s="5"/>
      <c r="AA295" s="5"/>
    </row>
    <row r="296" spans="1:27" ht="12.75" customHeight="1">
      <c r="A296" s="5"/>
      <c r="B296" s="5"/>
      <c r="C296" s="5"/>
      <c r="D296" s="5"/>
      <c r="E296" s="5"/>
      <c r="F296" s="5"/>
      <c r="G296" s="5"/>
      <c r="H296" s="306"/>
      <c r="I296" s="306"/>
      <c r="J296" s="5"/>
      <c r="K296" s="5"/>
      <c r="L296" s="5"/>
      <c r="M296" s="5"/>
      <c r="N296" s="5"/>
      <c r="O296" s="5"/>
      <c r="P296" s="57"/>
      <c r="Q296" s="5"/>
      <c r="R296" s="5"/>
      <c r="S296" s="5"/>
      <c r="T296" s="5"/>
      <c r="U296" s="5"/>
      <c r="V296" s="5"/>
      <c r="W296" s="5"/>
      <c r="X296" s="5"/>
      <c r="Y296" s="5"/>
      <c r="Z296" s="5"/>
      <c r="AA296" s="5"/>
    </row>
    <row r="297" spans="1:27" ht="12.75" customHeight="1">
      <c r="A297" s="5"/>
      <c r="B297" s="5"/>
      <c r="C297" s="5"/>
      <c r="D297" s="5"/>
      <c r="E297" s="5"/>
      <c r="F297" s="5"/>
      <c r="G297" s="5"/>
      <c r="H297" s="306"/>
      <c r="I297" s="306"/>
      <c r="J297" s="5"/>
      <c r="K297" s="5"/>
      <c r="L297" s="5"/>
      <c r="M297" s="5"/>
      <c r="N297" s="5"/>
      <c r="O297" s="5"/>
      <c r="P297" s="57"/>
      <c r="Q297" s="5"/>
      <c r="R297" s="5"/>
      <c r="S297" s="5"/>
      <c r="T297" s="5"/>
      <c r="U297" s="5"/>
      <c r="V297" s="5"/>
      <c r="W297" s="5"/>
      <c r="X297" s="5"/>
      <c r="Y297" s="5"/>
      <c r="Z297" s="5"/>
      <c r="AA297" s="5"/>
    </row>
    <row r="298" spans="1:27" ht="12.75" customHeight="1">
      <c r="A298" s="5"/>
      <c r="B298" s="5"/>
      <c r="C298" s="5"/>
      <c r="D298" s="5"/>
      <c r="E298" s="5"/>
      <c r="F298" s="5"/>
      <c r="G298" s="5"/>
      <c r="H298" s="306"/>
      <c r="I298" s="306"/>
      <c r="J298" s="5"/>
      <c r="K298" s="5"/>
      <c r="L298" s="5"/>
      <c r="M298" s="5"/>
      <c r="N298" s="5"/>
      <c r="O298" s="5"/>
      <c r="P298" s="57"/>
      <c r="Q298" s="5"/>
      <c r="R298" s="5"/>
      <c r="S298" s="5"/>
      <c r="T298" s="5"/>
      <c r="U298" s="5"/>
      <c r="V298" s="5"/>
      <c r="W298" s="5"/>
      <c r="X298" s="5"/>
      <c r="Y298" s="5"/>
      <c r="Z298" s="5"/>
      <c r="AA298" s="5"/>
    </row>
    <row r="299" spans="1:27" ht="12.75" customHeight="1">
      <c r="A299" s="5"/>
      <c r="B299" s="5"/>
      <c r="C299" s="5"/>
      <c r="D299" s="5"/>
      <c r="E299" s="5"/>
      <c r="F299" s="5"/>
      <c r="G299" s="5"/>
      <c r="H299" s="306"/>
      <c r="I299" s="306"/>
      <c r="J299" s="5"/>
      <c r="K299" s="5"/>
      <c r="L299" s="5"/>
      <c r="M299" s="5"/>
      <c r="N299" s="5"/>
      <c r="O299" s="5"/>
      <c r="P299" s="57"/>
      <c r="Q299" s="5"/>
      <c r="R299" s="5"/>
      <c r="S299" s="5"/>
      <c r="T299" s="5"/>
      <c r="U299" s="5"/>
      <c r="V299" s="5"/>
      <c r="W299" s="5"/>
      <c r="X299" s="5"/>
      <c r="Y299" s="5"/>
      <c r="Z299" s="5"/>
      <c r="AA299" s="5"/>
    </row>
    <row r="300" spans="1:27" ht="12.75" customHeight="1">
      <c r="A300" s="5"/>
      <c r="B300" s="5"/>
      <c r="C300" s="5"/>
      <c r="D300" s="5"/>
      <c r="E300" s="5"/>
      <c r="F300" s="5"/>
      <c r="G300" s="5"/>
      <c r="H300" s="306"/>
      <c r="I300" s="306"/>
      <c r="J300" s="5"/>
      <c r="K300" s="5"/>
      <c r="L300" s="5"/>
      <c r="M300" s="5"/>
      <c r="N300" s="5"/>
      <c r="O300" s="5"/>
      <c r="P300" s="57"/>
      <c r="Q300" s="5"/>
      <c r="R300" s="5"/>
      <c r="S300" s="5"/>
      <c r="T300" s="5"/>
      <c r="U300" s="5"/>
      <c r="V300" s="5"/>
      <c r="W300" s="5"/>
      <c r="X300" s="5"/>
      <c r="Y300" s="5"/>
      <c r="Z300" s="5"/>
      <c r="AA300" s="5"/>
    </row>
    <row r="301" spans="1:27" ht="12.75" customHeight="1">
      <c r="A301" s="5"/>
      <c r="B301" s="5"/>
      <c r="C301" s="5"/>
      <c r="D301" s="5"/>
      <c r="E301" s="5"/>
      <c r="F301" s="5"/>
      <c r="G301" s="5"/>
      <c r="H301" s="306"/>
      <c r="I301" s="306"/>
      <c r="J301" s="5"/>
      <c r="K301" s="5"/>
      <c r="L301" s="5"/>
      <c r="M301" s="5"/>
      <c r="N301" s="5"/>
      <c r="O301" s="5"/>
      <c r="P301" s="57"/>
      <c r="Q301" s="5"/>
      <c r="R301" s="5"/>
      <c r="S301" s="5"/>
      <c r="T301" s="5"/>
      <c r="U301" s="5"/>
      <c r="V301" s="5"/>
      <c r="W301" s="5"/>
      <c r="X301" s="5"/>
      <c r="Y301" s="5"/>
      <c r="Z301" s="5"/>
      <c r="AA301" s="5"/>
    </row>
    <row r="302" spans="1:27" ht="12.75" customHeight="1">
      <c r="A302" s="5"/>
      <c r="B302" s="5"/>
      <c r="C302" s="5"/>
      <c r="D302" s="5"/>
      <c r="E302" s="5"/>
      <c r="F302" s="5"/>
      <c r="G302" s="5"/>
      <c r="H302" s="306"/>
      <c r="I302" s="306"/>
      <c r="J302" s="5"/>
      <c r="K302" s="5"/>
      <c r="L302" s="5"/>
      <c r="M302" s="5"/>
      <c r="N302" s="5"/>
      <c r="O302" s="5"/>
      <c r="P302" s="57"/>
      <c r="Q302" s="5"/>
      <c r="R302" s="5"/>
      <c r="S302" s="5"/>
      <c r="T302" s="5"/>
      <c r="U302" s="5"/>
      <c r="V302" s="5"/>
      <c r="W302" s="5"/>
      <c r="X302" s="5"/>
      <c r="Y302" s="5"/>
      <c r="Z302" s="5"/>
      <c r="AA302" s="5"/>
    </row>
    <row r="303" spans="1:27" ht="12.75" customHeight="1">
      <c r="A303" s="5"/>
      <c r="B303" s="5"/>
      <c r="C303" s="5"/>
      <c r="D303" s="5"/>
      <c r="E303" s="5"/>
      <c r="F303" s="5"/>
      <c r="G303" s="5"/>
      <c r="H303" s="306"/>
      <c r="I303" s="306"/>
      <c r="J303" s="5"/>
      <c r="K303" s="5"/>
      <c r="L303" s="5"/>
      <c r="M303" s="5"/>
      <c r="N303" s="5"/>
      <c r="O303" s="5"/>
      <c r="P303" s="57"/>
      <c r="Q303" s="5"/>
      <c r="R303" s="5"/>
      <c r="S303" s="5"/>
      <c r="T303" s="5"/>
      <c r="U303" s="5"/>
      <c r="V303" s="5"/>
      <c r="W303" s="5"/>
      <c r="X303" s="5"/>
      <c r="Y303" s="5"/>
      <c r="Z303" s="5"/>
      <c r="AA303" s="5"/>
    </row>
    <row r="304" spans="1:27" ht="12.75" customHeight="1">
      <c r="A304" s="5"/>
      <c r="B304" s="5"/>
      <c r="C304" s="5"/>
      <c r="D304" s="5"/>
      <c r="E304" s="5"/>
      <c r="F304" s="5"/>
      <c r="G304" s="5"/>
      <c r="H304" s="306"/>
      <c r="I304" s="306"/>
      <c r="J304" s="5"/>
      <c r="K304" s="5"/>
      <c r="L304" s="5"/>
      <c r="M304" s="5"/>
      <c r="N304" s="5"/>
      <c r="O304" s="5"/>
      <c r="P304" s="57"/>
      <c r="Q304" s="5"/>
      <c r="R304" s="5"/>
      <c r="S304" s="5"/>
      <c r="T304" s="5"/>
      <c r="U304" s="5"/>
      <c r="V304" s="5"/>
      <c r="W304" s="5"/>
      <c r="X304" s="5"/>
      <c r="Y304" s="5"/>
      <c r="Z304" s="5"/>
      <c r="AA304" s="5"/>
    </row>
    <row r="305" spans="1:27" ht="12.75" customHeight="1">
      <c r="A305" s="5"/>
      <c r="B305" s="5"/>
      <c r="C305" s="5"/>
      <c r="D305" s="5"/>
      <c r="E305" s="5"/>
      <c r="F305" s="5"/>
      <c r="G305" s="5"/>
      <c r="H305" s="306"/>
      <c r="I305" s="306"/>
      <c r="J305" s="5"/>
      <c r="K305" s="5"/>
      <c r="L305" s="5"/>
      <c r="M305" s="5"/>
      <c r="N305" s="5"/>
      <c r="O305" s="5"/>
      <c r="P305" s="57"/>
      <c r="Q305" s="5"/>
      <c r="R305" s="5"/>
      <c r="S305" s="5"/>
      <c r="T305" s="5"/>
      <c r="U305" s="5"/>
      <c r="V305" s="5"/>
      <c r="W305" s="5"/>
      <c r="X305" s="5"/>
      <c r="Y305" s="5"/>
      <c r="Z305" s="5"/>
      <c r="AA305" s="5"/>
    </row>
    <row r="306" spans="1:27" ht="12.75" customHeight="1">
      <c r="A306" s="5"/>
      <c r="B306" s="5"/>
      <c r="C306" s="5"/>
      <c r="D306" s="5"/>
      <c r="E306" s="5"/>
      <c r="F306" s="5"/>
      <c r="G306" s="5"/>
      <c r="H306" s="306"/>
      <c r="I306" s="306"/>
      <c r="J306" s="5"/>
      <c r="K306" s="5"/>
      <c r="L306" s="5"/>
      <c r="M306" s="5"/>
      <c r="N306" s="5"/>
      <c r="O306" s="5"/>
      <c r="P306" s="57"/>
      <c r="Q306" s="5"/>
      <c r="R306" s="5"/>
      <c r="S306" s="5"/>
      <c r="T306" s="5"/>
      <c r="U306" s="5"/>
      <c r="V306" s="5"/>
      <c r="W306" s="5"/>
      <c r="X306" s="5"/>
      <c r="Y306" s="5"/>
      <c r="Z306" s="5"/>
      <c r="AA306" s="5"/>
    </row>
    <row r="307" spans="1:27" ht="12.75" customHeight="1">
      <c r="A307" s="5"/>
      <c r="B307" s="5"/>
      <c r="C307" s="5"/>
      <c r="D307" s="5"/>
      <c r="E307" s="5"/>
      <c r="F307" s="5"/>
      <c r="G307" s="5"/>
      <c r="H307" s="306"/>
      <c r="I307" s="306"/>
      <c r="J307" s="5"/>
      <c r="K307" s="5"/>
      <c r="L307" s="5"/>
      <c r="M307" s="5"/>
      <c r="N307" s="5"/>
      <c r="O307" s="5"/>
      <c r="P307" s="57"/>
      <c r="Q307" s="5"/>
      <c r="R307" s="5"/>
      <c r="S307" s="5"/>
      <c r="T307" s="5"/>
      <c r="U307" s="5"/>
      <c r="V307" s="5"/>
      <c r="W307" s="5"/>
      <c r="X307" s="5"/>
      <c r="Y307" s="5"/>
      <c r="Z307" s="5"/>
      <c r="AA307" s="5"/>
    </row>
    <row r="308" spans="1:27" ht="12.75" customHeight="1">
      <c r="A308" s="5"/>
      <c r="B308" s="5"/>
      <c r="C308" s="5"/>
      <c r="D308" s="5"/>
      <c r="E308" s="5"/>
      <c r="F308" s="5"/>
      <c r="G308" s="5"/>
      <c r="H308" s="306"/>
      <c r="I308" s="306"/>
      <c r="J308" s="5"/>
      <c r="K308" s="5"/>
      <c r="L308" s="5"/>
      <c r="M308" s="5"/>
      <c r="N308" s="5"/>
      <c r="O308" s="5"/>
      <c r="P308" s="57"/>
      <c r="Q308" s="5"/>
      <c r="R308" s="5"/>
      <c r="S308" s="5"/>
      <c r="T308" s="5"/>
      <c r="U308" s="5"/>
      <c r="V308" s="5"/>
      <c r="W308" s="5"/>
      <c r="X308" s="5"/>
      <c r="Y308" s="5"/>
      <c r="Z308" s="5"/>
      <c r="AA308" s="5"/>
    </row>
    <row r="309" spans="1:27" ht="12.75" customHeight="1">
      <c r="A309" s="5"/>
      <c r="B309" s="5"/>
      <c r="C309" s="5"/>
      <c r="D309" s="5"/>
      <c r="E309" s="5"/>
      <c r="F309" s="5"/>
      <c r="G309" s="5"/>
      <c r="H309" s="306"/>
      <c r="I309" s="306"/>
      <c r="J309" s="5"/>
      <c r="K309" s="5"/>
      <c r="L309" s="5"/>
      <c r="M309" s="5"/>
      <c r="N309" s="5"/>
      <c r="O309" s="5"/>
      <c r="P309" s="57"/>
      <c r="Q309" s="5"/>
      <c r="R309" s="5"/>
      <c r="S309" s="5"/>
      <c r="T309" s="5"/>
      <c r="U309" s="5"/>
      <c r="V309" s="5"/>
      <c r="W309" s="5"/>
      <c r="X309" s="5"/>
      <c r="Y309" s="5"/>
      <c r="Z309" s="5"/>
      <c r="AA309" s="5"/>
    </row>
    <row r="310" spans="1:27" ht="12.75" customHeight="1">
      <c r="A310" s="5"/>
      <c r="B310" s="5"/>
      <c r="C310" s="5"/>
      <c r="D310" s="5"/>
      <c r="E310" s="5"/>
      <c r="F310" s="5"/>
      <c r="G310" s="5"/>
      <c r="H310" s="306"/>
      <c r="I310" s="306"/>
      <c r="J310" s="5"/>
      <c r="K310" s="5"/>
      <c r="L310" s="5"/>
      <c r="M310" s="5"/>
      <c r="N310" s="5"/>
      <c r="O310" s="5"/>
      <c r="P310" s="57"/>
      <c r="Q310" s="5"/>
      <c r="R310" s="5"/>
      <c r="S310" s="5"/>
      <c r="T310" s="5"/>
      <c r="U310" s="5"/>
      <c r="V310" s="5"/>
      <c r="W310" s="5"/>
      <c r="X310" s="5"/>
      <c r="Y310" s="5"/>
      <c r="Z310" s="5"/>
      <c r="AA310" s="5"/>
    </row>
    <row r="311" spans="1:27" ht="12.75" customHeight="1">
      <c r="A311" s="5"/>
      <c r="B311" s="5"/>
      <c r="C311" s="5"/>
      <c r="D311" s="5"/>
      <c r="E311" s="5"/>
      <c r="F311" s="5"/>
      <c r="G311" s="5"/>
      <c r="H311" s="306"/>
      <c r="I311" s="306"/>
      <c r="J311" s="5"/>
      <c r="K311" s="5"/>
      <c r="L311" s="5"/>
      <c r="M311" s="5"/>
      <c r="N311" s="5"/>
      <c r="O311" s="5"/>
      <c r="P311" s="57"/>
      <c r="Q311" s="5"/>
      <c r="R311" s="5"/>
      <c r="S311" s="5"/>
      <c r="T311" s="5"/>
      <c r="U311" s="5"/>
      <c r="V311" s="5"/>
      <c r="W311" s="5"/>
      <c r="X311" s="5"/>
      <c r="Y311" s="5"/>
      <c r="Z311" s="5"/>
      <c r="AA311" s="5"/>
    </row>
    <row r="312" spans="1:27" ht="12.75" customHeight="1">
      <c r="A312" s="5"/>
      <c r="B312" s="5"/>
      <c r="C312" s="5"/>
      <c r="D312" s="5"/>
      <c r="E312" s="5"/>
      <c r="F312" s="5"/>
      <c r="G312" s="5"/>
      <c r="H312" s="306"/>
      <c r="I312" s="306"/>
      <c r="J312" s="5"/>
      <c r="K312" s="5"/>
      <c r="L312" s="5"/>
      <c r="M312" s="5"/>
      <c r="N312" s="5"/>
      <c r="O312" s="5"/>
      <c r="P312" s="57"/>
      <c r="Q312" s="5"/>
      <c r="R312" s="5"/>
      <c r="S312" s="5"/>
      <c r="T312" s="5"/>
      <c r="U312" s="5"/>
      <c r="V312" s="5"/>
      <c r="W312" s="5"/>
      <c r="X312" s="5"/>
      <c r="Y312" s="5"/>
      <c r="Z312" s="5"/>
      <c r="AA312" s="5"/>
    </row>
    <row r="313" spans="1:27" ht="12.75" customHeight="1">
      <c r="A313" s="5"/>
      <c r="B313" s="5"/>
      <c r="C313" s="5"/>
      <c r="D313" s="5"/>
      <c r="E313" s="5"/>
      <c r="F313" s="5"/>
      <c r="G313" s="5"/>
      <c r="H313" s="306"/>
      <c r="I313" s="306"/>
      <c r="J313" s="5"/>
      <c r="K313" s="5"/>
      <c r="L313" s="5"/>
      <c r="M313" s="5"/>
      <c r="N313" s="5"/>
      <c r="O313" s="5"/>
      <c r="P313" s="57"/>
      <c r="Q313" s="5"/>
      <c r="R313" s="5"/>
      <c r="S313" s="5"/>
      <c r="T313" s="5"/>
      <c r="U313" s="5"/>
      <c r="V313" s="5"/>
      <c r="W313" s="5"/>
      <c r="X313" s="5"/>
      <c r="Y313" s="5"/>
      <c r="Z313" s="5"/>
      <c r="AA313" s="5"/>
    </row>
    <row r="314" spans="1:27" ht="12.75" customHeight="1">
      <c r="A314" s="5"/>
      <c r="B314" s="5"/>
      <c r="C314" s="5"/>
      <c r="D314" s="5"/>
      <c r="E314" s="5"/>
      <c r="F314" s="5"/>
      <c r="G314" s="5"/>
      <c r="H314" s="306"/>
      <c r="I314" s="306"/>
      <c r="J314" s="5"/>
      <c r="K314" s="5"/>
      <c r="L314" s="5"/>
      <c r="M314" s="5"/>
      <c r="N314" s="5"/>
      <c r="O314" s="5"/>
      <c r="P314" s="57"/>
      <c r="Q314" s="5"/>
      <c r="R314" s="5"/>
      <c r="S314" s="5"/>
      <c r="T314" s="5"/>
      <c r="U314" s="5"/>
      <c r="V314" s="5"/>
      <c r="W314" s="5"/>
      <c r="X314" s="5"/>
      <c r="Y314" s="5"/>
      <c r="Z314" s="5"/>
      <c r="AA314" s="5"/>
    </row>
    <row r="315" spans="1:27" ht="12.75" customHeight="1">
      <c r="A315" s="5"/>
      <c r="B315" s="5"/>
      <c r="C315" s="5"/>
      <c r="D315" s="5"/>
      <c r="E315" s="5"/>
      <c r="F315" s="5"/>
      <c r="G315" s="5"/>
      <c r="H315" s="306"/>
      <c r="I315" s="306"/>
      <c r="J315" s="5"/>
      <c r="K315" s="5"/>
      <c r="L315" s="5"/>
      <c r="M315" s="5"/>
      <c r="N315" s="5"/>
      <c r="O315" s="5"/>
      <c r="P315" s="57"/>
      <c r="Q315" s="5"/>
      <c r="R315" s="5"/>
      <c r="S315" s="5"/>
      <c r="T315" s="5"/>
      <c r="U315" s="5"/>
      <c r="V315" s="5"/>
      <c r="W315" s="5"/>
      <c r="X315" s="5"/>
      <c r="Y315" s="5"/>
      <c r="Z315" s="5"/>
      <c r="AA315" s="5"/>
    </row>
    <row r="316" spans="1:27" ht="12.75" customHeight="1">
      <c r="A316" s="5"/>
      <c r="B316" s="5"/>
      <c r="C316" s="5"/>
      <c r="D316" s="5"/>
      <c r="E316" s="5"/>
      <c r="F316" s="5"/>
      <c r="G316" s="5"/>
      <c r="H316" s="306"/>
      <c r="I316" s="306"/>
      <c r="J316" s="5"/>
      <c r="K316" s="5"/>
      <c r="L316" s="5"/>
      <c r="M316" s="5"/>
      <c r="N316" s="5"/>
      <c r="O316" s="5"/>
      <c r="P316" s="57"/>
      <c r="Q316" s="5"/>
      <c r="R316" s="5"/>
      <c r="S316" s="5"/>
      <c r="T316" s="5"/>
      <c r="U316" s="5"/>
      <c r="V316" s="5"/>
      <c r="W316" s="5"/>
      <c r="X316" s="5"/>
      <c r="Y316" s="5"/>
      <c r="Z316" s="5"/>
      <c r="AA316" s="5"/>
    </row>
    <row r="317" spans="1:27" ht="12.75" customHeight="1">
      <c r="A317" s="5"/>
      <c r="B317" s="5"/>
      <c r="C317" s="5"/>
      <c r="D317" s="5"/>
      <c r="E317" s="5"/>
      <c r="F317" s="5"/>
      <c r="G317" s="5"/>
      <c r="H317" s="306"/>
      <c r="I317" s="306"/>
      <c r="J317" s="5"/>
      <c r="K317" s="5"/>
      <c r="L317" s="5"/>
      <c r="M317" s="5"/>
      <c r="N317" s="5"/>
      <c r="O317" s="5"/>
      <c r="P317" s="57"/>
      <c r="Q317" s="5"/>
      <c r="R317" s="5"/>
      <c r="S317" s="5"/>
      <c r="T317" s="5"/>
      <c r="U317" s="5"/>
      <c r="V317" s="5"/>
      <c r="W317" s="5"/>
      <c r="X317" s="5"/>
      <c r="Y317" s="5"/>
      <c r="Z317" s="5"/>
      <c r="AA317" s="5"/>
    </row>
    <row r="318" spans="1:27" ht="12.75" customHeight="1">
      <c r="A318" s="5"/>
      <c r="B318" s="5"/>
      <c r="C318" s="5"/>
      <c r="D318" s="5"/>
      <c r="E318" s="5"/>
      <c r="F318" s="5"/>
      <c r="G318" s="5"/>
      <c r="H318" s="306"/>
      <c r="I318" s="306"/>
      <c r="J318" s="5"/>
      <c r="K318" s="5"/>
      <c r="L318" s="5"/>
      <c r="M318" s="5"/>
      <c r="N318" s="5"/>
      <c r="O318" s="5"/>
      <c r="P318" s="57"/>
      <c r="Q318" s="5"/>
      <c r="R318" s="5"/>
      <c r="S318" s="5"/>
      <c r="T318" s="5"/>
      <c r="U318" s="5"/>
      <c r="V318" s="5"/>
      <c r="W318" s="5"/>
      <c r="X318" s="5"/>
      <c r="Y318" s="5"/>
      <c r="Z318" s="5"/>
      <c r="AA318" s="5"/>
    </row>
    <row r="319" spans="1:27" ht="12.75" customHeight="1">
      <c r="A319" s="5"/>
      <c r="B319" s="5"/>
      <c r="C319" s="5"/>
      <c r="D319" s="5"/>
      <c r="E319" s="5"/>
      <c r="F319" s="5"/>
      <c r="G319" s="5"/>
      <c r="H319" s="306"/>
      <c r="I319" s="306"/>
      <c r="J319" s="5"/>
      <c r="K319" s="5"/>
      <c r="L319" s="5"/>
      <c r="M319" s="5"/>
      <c r="N319" s="5"/>
      <c r="O319" s="5"/>
      <c r="P319" s="57"/>
      <c r="Q319" s="5"/>
      <c r="R319" s="5"/>
      <c r="S319" s="5"/>
      <c r="T319" s="5"/>
      <c r="U319" s="5"/>
      <c r="V319" s="5"/>
      <c r="W319" s="5"/>
      <c r="X319" s="5"/>
      <c r="Y319" s="5"/>
      <c r="Z319" s="5"/>
      <c r="AA319" s="5"/>
    </row>
    <row r="320" spans="1:27" ht="12.75" customHeight="1">
      <c r="A320" s="5"/>
      <c r="B320" s="5"/>
      <c r="C320" s="5"/>
      <c r="D320" s="5"/>
      <c r="E320" s="5"/>
      <c r="F320" s="5"/>
      <c r="G320" s="5"/>
      <c r="H320" s="306"/>
      <c r="I320" s="306"/>
      <c r="J320" s="5"/>
      <c r="K320" s="5"/>
      <c r="L320" s="5"/>
      <c r="M320" s="5"/>
      <c r="N320" s="5"/>
      <c r="O320" s="5"/>
      <c r="P320" s="57"/>
      <c r="Q320" s="5"/>
      <c r="R320" s="5"/>
      <c r="S320" s="5"/>
      <c r="T320" s="5"/>
      <c r="U320" s="5"/>
      <c r="V320" s="5"/>
      <c r="W320" s="5"/>
      <c r="X320" s="5"/>
      <c r="Y320" s="5"/>
      <c r="Z320" s="5"/>
      <c r="AA320" s="5"/>
    </row>
    <row r="321" spans="1:27" ht="12.75" customHeight="1">
      <c r="A321" s="5"/>
      <c r="B321" s="5"/>
      <c r="C321" s="5"/>
      <c r="D321" s="5"/>
      <c r="E321" s="5"/>
      <c r="F321" s="5"/>
      <c r="G321" s="5"/>
      <c r="H321" s="306"/>
      <c r="I321" s="306"/>
      <c r="J321" s="5"/>
      <c r="K321" s="5"/>
      <c r="L321" s="5"/>
      <c r="M321" s="5"/>
      <c r="N321" s="5"/>
      <c r="O321" s="5"/>
      <c r="P321" s="57"/>
      <c r="Q321" s="5"/>
      <c r="R321" s="5"/>
      <c r="S321" s="5"/>
      <c r="T321" s="5"/>
      <c r="U321" s="5"/>
      <c r="V321" s="5"/>
      <c r="W321" s="5"/>
      <c r="X321" s="5"/>
      <c r="Y321" s="5"/>
      <c r="Z321" s="5"/>
      <c r="AA321" s="5"/>
    </row>
    <row r="322" spans="1:27" ht="12.75" customHeight="1">
      <c r="A322" s="5"/>
      <c r="B322" s="5"/>
      <c r="C322" s="5"/>
      <c r="D322" s="5"/>
      <c r="E322" s="5"/>
      <c r="F322" s="5"/>
      <c r="G322" s="5"/>
      <c r="H322" s="306"/>
      <c r="I322" s="306"/>
      <c r="J322" s="5"/>
      <c r="K322" s="5"/>
      <c r="L322" s="5"/>
      <c r="M322" s="5"/>
      <c r="N322" s="5"/>
      <c r="O322" s="5"/>
      <c r="P322" s="57"/>
      <c r="Q322" s="5"/>
      <c r="R322" s="5"/>
      <c r="S322" s="5"/>
      <c r="T322" s="5"/>
      <c r="U322" s="5"/>
      <c r="V322" s="5"/>
      <c r="W322" s="5"/>
      <c r="X322" s="5"/>
      <c r="Y322" s="5"/>
      <c r="Z322" s="5"/>
      <c r="AA322" s="5"/>
    </row>
    <row r="323" spans="1:27" ht="12.75" customHeight="1">
      <c r="A323" s="5"/>
      <c r="B323" s="5"/>
      <c r="C323" s="5"/>
      <c r="D323" s="5"/>
      <c r="E323" s="5"/>
      <c r="F323" s="5"/>
      <c r="G323" s="5"/>
      <c r="H323" s="306"/>
      <c r="I323" s="306"/>
      <c r="J323" s="5"/>
      <c r="K323" s="5"/>
      <c r="L323" s="5"/>
      <c r="M323" s="5"/>
      <c r="N323" s="5"/>
      <c r="O323" s="5"/>
      <c r="P323" s="57"/>
      <c r="Q323" s="5"/>
      <c r="R323" s="5"/>
      <c r="S323" s="5"/>
      <c r="T323" s="5"/>
      <c r="U323" s="5"/>
      <c r="V323" s="5"/>
      <c r="W323" s="5"/>
      <c r="X323" s="5"/>
      <c r="Y323" s="5"/>
      <c r="Z323" s="5"/>
      <c r="AA323" s="5"/>
    </row>
    <row r="324" spans="1:27" ht="12.75" customHeight="1">
      <c r="A324" s="5"/>
      <c r="B324" s="5"/>
      <c r="C324" s="5"/>
      <c r="D324" s="5"/>
      <c r="E324" s="5"/>
      <c r="F324" s="5"/>
      <c r="G324" s="5"/>
      <c r="H324" s="306"/>
      <c r="I324" s="306"/>
      <c r="J324" s="5"/>
      <c r="K324" s="5"/>
      <c r="L324" s="5"/>
      <c r="M324" s="5"/>
      <c r="N324" s="5"/>
      <c r="O324" s="5"/>
      <c r="P324" s="57"/>
      <c r="Q324" s="5"/>
      <c r="R324" s="5"/>
      <c r="S324" s="5"/>
      <c r="T324" s="5"/>
      <c r="U324" s="5"/>
      <c r="V324" s="5"/>
      <c r="W324" s="5"/>
      <c r="X324" s="5"/>
      <c r="Y324" s="5"/>
      <c r="Z324" s="5"/>
      <c r="AA324" s="5"/>
    </row>
    <row r="325" spans="1:27" ht="12.75" customHeight="1">
      <c r="A325" s="5"/>
      <c r="B325" s="5"/>
      <c r="C325" s="5"/>
      <c r="D325" s="5"/>
      <c r="E325" s="5"/>
      <c r="F325" s="5"/>
      <c r="G325" s="5"/>
      <c r="H325" s="306"/>
      <c r="I325" s="306"/>
      <c r="J325" s="5"/>
      <c r="K325" s="5"/>
      <c r="L325" s="5"/>
      <c r="M325" s="5"/>
      <c r="N325" s="5"/>
      <c r="O325" s="5"/>
      <c r="P325" s="57"/>
      <c r="Q325" s="5"/>
      <c r="R325" s="5"/>
      <c r="S325" s="5"/>
      <c r="T325" s="5"/>
      <c r="U325" s="5"/>
      <c r="V325" s="5"/>
      <c r="W325" s="5"/>
      <c r="X325" s="5"/>
      <c r="Y325" s="5"/>
      <c r="Z325" s="5"/>
      <c r="AA325" s="5"/>
    </row>
    <row r="326" spans="1:27" ht="12.75" customHeight="1">
      <c r="A326" s="5"/>
      <c r="B326" s="5"/>
      <c r="C326" s="5"/>
      <c r="D326" s="5"/>
      <c r="E326" s="5"/>
      <c r="F326" s="5"/>
      <c r="G326" s="5"/>
      <c r="H326" s="306"/>
      <c r="I326" s="306"/>
      <c r="J326" s="5"/>
      <c r="K326" s="5"/>
      <c r="L326" s="5"/>
      <c r="M326" s="5"/>
      <c r="N326" s="5"/>
      <c r="O326" s="5"/>
      <c r="P326" s="57"/>
      <c r="Q326" s="5"/>
      <c r="R326" s="5"/>
      <c r="S326" s="5"/>
      <c r="T326" s="5"/>
      <c r="U326" s="5"/>
      <c r="V326" s="5"/>
      <c r="W326" s="5"/>
      <c r="X326" s="5"/>
      <c r="Y326" s="5"/>
      <c r="Z326" s="5"/>
      <c r="AA326" s="5"/>
    </row>
    <row r="327" spans="1:27" ht="12.75" customHeight="1">
      <c r="A327" s="5"/>
      <c r="B327" s="5"/>
      <c r="C327" s="5"/>
      <c r="D327" s="5"/>
      <c r="E327" s="5"/>
      <c r="F327" s="5"/>
      <c r="G327" s="5"/>
      <c r="H327" s="306"/>
      <c r="I327" s="306"/>
      <c r="J327" s="5"/>
      <c r="K327" s="5"/>
      <c r="L327" s="5"/>
      <c r="M327" s="5"/>
      <c r="N327" s="5"/>
      <c r="O327" s="5"/>
      <c r="P327" s="57"/>
      <c r="Q327" s="5"/>
      <c r="R327" s="5"/>
      <c r="S327" s="5"/>
      <c r="T327" s="5"/>
      <c r="U327" s="5"/>
      <c r="V327" s="5"/>
      <c r="W327" s="5"/>
      <c r="X327" s="5"/>
      <c r="Y327" s="5"/>
      <c r="Z327" s="5"/>
      <c r="AA327" s="5"/>
    </row>
    <row r="328" spans="1:27" ht="12.75" customHeight="1">
      <c r="A328" s="5"/>
      <c r="B328" s="5"/>
      <c r="C328" s="5"/>
      <c r="D328" s="5"/>
      <c r="E328" s="5"/>
      <c r="F328" s="5"/>
      <c r="G328" s="5"/>
      <c r="H328" s="306"/>
      <c r="I328" s="306"/>
      <c r="J328" s="5"/>
      <c r="K328" s="5"/>
      <c r="L328" s="5"/>
      <c r="M328" s="5"/>
      <c r="N328" s="5"/>
      <c r="O328" s="5"/>
      <c r="P328" s="57"/>
      <c r="Q328" s="5"/>
      <c r="R328" s="5"/>
      <c r="S328" s="5"/>
      <c r="T328" s="5"/>
      <c r="U328" s="5"/>
      <c r="V328" s="5"/>
      <c r="W328" s="5"/>
      <c r="X328" s="5"/>
      <c r="Y328" s="5"/>
      <c r="Z328" s="5"/>
      <c r="AA328" s="5"/>
    </row>
    <row r="329" spans="1:27" ht="12.75" customHeight="1">
      <c r="A329" s="5"/>
      <c r="B329" s="5"/>
      <c r="C329" s="5"/>
      <c r="D329" s="5"/>
      <c r="E329" s="5"/>
      <c r="F329" s="5"/>
      <c r="G329" s="5"/>
      <c r="H329" s="306"/>
      <c r="I329" s="306"/>
      <c r="J329" s="5"/>
      <c r="K329" s="5"/>
      <c r="L329" s="5"/>
      <c r="M329" s="5"/>
      <c r="N329" s="5"/>
      <c r="O329" s="5"/>
      <c r="P329" s="57"/>
      <c r="Q329" s="5"/>
      <c r="R329" s="5"/>
      <c r="S329" s="5"/>
      <c r="T329" s="5"/>
      <c r="U329" s="5"/>
      <c r="V329" s="5"/>
      <c r="W329" s="5"/>
      <c r="X329" s="5"/>
      <c r="Y329" s="5"/>
      <c r="Z329" s="5"/>
      <c r="AA329" s="5"/>
    </row>
    <row r="330" spans="1:27" ht="12.75" customHeight="1">
      <c r="A330" s="5"/>
      <c r="B330" s="5"/>
      <c r="C330" s="5"/>
      <c r="D330" s="5"/>
      <c r="E330" s="5"/>
      <c r="F330" s="5"/>
      <c r="G330" s="5"/>
      <c r="H330" s="306"/>
      <c r="I330" s="306"/>
      <c r="J330" s="5"/>
      <c r="K330" s="5"/>
      <c r="L330" s="5"/>
      <c r="M330" s="5"/>
      <c r="N330" s="5"/>
      <c r="O330" s="5"/>
      <c r="P330" s="57"/>
      <c r="Q330" s="5"/>
      <c r="R330" s="5"/>
      <c r="S330" s="5"/>
      <c r="T330" s="5"/>
      <c r="U330" s="5"/>
      <c r="V330" s="5"/>
      <c r="W330" s="5"/>
      <c r="X330" s="5"/>
      <c r="Y330" s="5"/>
      <c r="Z330" s="5"/>
      <c r="AA330" s="5"/>
    </row>
    <row r="331" spans="1:27" ht="12.75" customHeight="1">
      <c r="A331" s="5"/>
      <c r="B331" s="5"/>
      <c r="C331" s="5"/>
      <c r="D331" s="5"/>
      <c r="E331" s="5"/>
      <c r="F331" s="5"/>
      <c r="G331" s="5"/>
      <c r="H331" s="306"/>
      <c r="I331" s="306"/>
      <c r="J331" s="5"/>
      <c r="K331" s="5"/>
      <c r="L331" s="5"/>
      <c r="M331" s="5"/>
      <c r="N331" s="5"/>
      <c r="O331" s="5"/>
      <c r="P331" s="57"/>
      <c r="Q331" s="5"/>
      <c r="R331" s="5"/>
      <c r="S331" s="5"/>
      <c r="T331" s="5"/>
      <c r="U331" s="5"/>
      <c r="V331" s="5"/>
      <c r="W331" s="5"/>
      <c r="X331" s="5"/>
      <c r="Y331" s="5"/>
      <c r="Z331" s="5"/>
      <c r="AA331" s="5"/>
    </row>
    <row r="332" spans="1:27" ht="12.75" customHeight="1">
      <c r="A332" s="5"/>
      <c r="B332" s="5"/>
      <c r="C332" s="5"/>
      <c r="D332" s="5"/>
      <c r="E332" s="5"/>
      <c r="F332" s="5"/>
      <c r="G332" s="5"/>
      <c r="H332" s="306"/>
      <c r="I332" s="306"/>
      <c r="J332" s="5"/>
      <c r="K332" s="5"/>
      <c r="L332" s="5"/>
      <c r="M332" s="5"/>
      <c r="N332" s="5"/>
      <c r="O332" s="5"/>
      <c r="P332" s="57"/>
      <c r="Q332" s="5"/>
      <c r="R332" s="5"/>
      <c r="S332" s="5"/>
      <c r="T332" s="5"/>
      <c r="U332" s="5"/>
      <c r="V332" s="5"/>
      <c r="W332" s="5"/>
      <c r="X332" s="5"/>
      <c r="Y332" s="5"/>
      <c r="Z332" s="5"/>
      <c r="AA332" s="5"/>
    </row>
    <row r="333" spans="1:27" ht="12.75" customHeight="1">
      <c r="A333" s="5"/>
      <c r="B333" s="5"/>
      <c r="C333" s="5"/>
      <c r="D333" s="5"/>
      <c r="E333" s="5"/>
      <c r="F333" s="5"/>
      <c r="G333" s="5"/>
      <c r="H333" s="306"/>
      <c r="I333" s="306"/>
      <c r="J333" s="5"/>
      <c r="K333" s="5"/>
      <c r="L333" s="5"/>
      <c r="M333" s="5"/>
      <c r="N333" s="5"/>
      <c r="O333" s="5"/>
      <c r="P333" s="57"/>
      <c r="Q333" s="5"/>
      <c r="R333" s="5"/>
      <c r="S333" s="5"/>
      <c r="T333" s="5"/>
      <c r="U333" s="5"/>
      <c r="V333" s="5"/>
      <c r="W333" s="5"/>
      <c r="X333" s="5"/>
      <c r="Y333" s="5"/>
      <c r="Z333" s="5"/>
      <c r="AA333" s="5"/>
    </row>
    <row r="334" spans="1:27" ht="12.75" customHeight="1">
      <c r="A334" s="5"/>
      <c r="B334" s="5"/>
      <c r="C334" s="5"/>
      <c r="D334" s="5"/>
      <c r="E334" s="5"/>
      <c r="F334" s="5"/>
      <c r="G334" s="5"/>
      <c r="H334" s="306"/>
      <c r="I334" s="306"/>
      <c r="J334" s="5"/>
      <c r="K334" s="5"/>
      <c r="L334" s="5"/>
      <c r="M334" s="5"/>
      <c r="N334" s="5"/>
      <c r="O334" s="5"/>
      <c r="P334" s="57"/>
      <c r="Q334" s="5"/>
      <c r="R334" s="5"/>
      <c r="S334" s="5"/>
      <c r="T334" s="5"/>
      <c r="U334" s="5"/>
      <c r="V334" s="5"/>
      <c r="W334" s="5"/>
      <c r="X334" s="5"/>
      <c r="Y334" s="5"/>
      <c r="Z334" s="5"/>
      <c r="AA334" s="5"/>
    </row>
    <row r="335" spans="1:27" ht="12.75" customHeight="1">
      <c r="A335" s="5"/>
      <c r="B335" s="5"/>
      <c r="C335" s="5"/>
      <c r="D335" s="5"/>
      <c r="E335" s="5"/>
      <c r="F335" s="5"/>
      <c r="G335" s="5"/>
      <c r="H335" s="306"/>
      <c r="I335" s="306"/>
      <c r="J335" s="5"/>
      <c r="K335" s="5"/>
      <c r="L335" s="5"/>
      <c r="M335" s="5"/>
      <c r="N335" s="5"/>
      <c r="O335" s="5"/>
      <c r="P335" s="57"/>
      <c r="Q335" s="5"/>
      <c r="R335" s="5"/>
      <c r="S335" s="5"/>
      <c r="T335" s="5"/>
      <c r="U335" s="5"/>
      <c r="V335" s="5"/>
      <c r="W335" s="5"/>
      <c r="X335" s="5"/>
      <c r="Y335" s="5"/>
      <c r="Z335" s="5"/>
      <c r="AA335" s="5"/>
    </row>
    <row r="336" spans="1:27" ht="12.75" customHeight="1">
      <c r="A336" s="5"/>
      <c r="B336" s="5"/>
      <c r="C336" s="5"/>
      <c r="D336" s="5"/>
      <c r="E336" s="5"/>
      <c r="F336" s="5"/>
      <c r="G336" s="5"/>
      <c r="H336" s="306"/>
      <c r="I336" s="306"/>
      <c r="J336" s="5"/>
      <c r="K336" s="5"/>
      <c r="L336" s="5"/>
      <c r="M336" s="5"/>
      <c r="N336" s="5"/>
      <c r="O336" s="5"/>
      <c r="P336" s="57"/>
      <c r="Q336" s="5"/>
      <c r="R336" s="5"/>
      <c r="S336" s="5"/>
      <c r="T336" s="5"/>
      <c r="U336" s="5"/>
      <c r="V336" s="5"/>
      <c r="W336" s="5"/>
      <c r="X336" s="5"/>
      <c r="Y336" s="5"/>
      <c r="Z336" s="5"/>
      <c r="AA336" s="5"/>
    </row>
    <row r="337" spans="1:27" ht="12.75" customHeight="1">
      <c r="A337" s="5"/>
      <c r="B337" s="5"/>
      <c r="C337" s="5"/>
      <c r="D337" s="5"/>
      <c r="E337" s="5"/>
      <c r="F337" s="5"/>
      <c r="G337" s="5"/>
      <c r="H337" s="306"/>
      <c r="I337" s="306"/>
      <c r="J337" s="5"/>
      <c r="K337" s="5"/>
      <c r="L337" s="5"/>
      <c r="M337" s="5"/>
      <c r="N337" s="5"/>
      <c r="O337" s="5"/>
      <c r="P337" s="57"/>
      <c r="Q337" s="5"/>
      <c r="R337" s="5"/>
      <c r="S337" s="5"/>
      <c r="T337" s="5"/>
      <c r="U337" s="5"/>
      <c r="V337" s="5"/>
      <c r="W337" s="5"/>
      <c r="X337" s="5"/>
      <c r="Y337" s="5"/>
      <c r="Z337" s="5"/>
      <c r="AA337" s="5"/>
    </row>
    <row r="338" spans="1:27" ht="12.75" customHeight="1">
      <c r="A338" s="5"/>
      <c r="B338" s="5"/>
      <c r="C338" s="5"/>
      <c r="D338" s="5"/>
      <c r="E338" s="5"/>
      <c r="F338" s="5"/>
      <c r="G338" s="5"/>
      <c r="H338" s="306"/>
      <c r="I338" s="306"/>
      <c r="J338" s="5"/>
      <c r="K338" s="5"/>
      <c r="L338" s="5"/>
      <c r="M338" s="5"/>
      <c r="N338" s="5"/>
      <c r="O338" s="5"/>
      <c r="P338" s="57"/>
      <c r="Q338" s="5"/>
      <c r="R338" s="5"/>
      <c r="S338" s="5"/>
      <c r="T338" s="5"/>
      <c r="U338" s="5"/>
      <c r="V338" s="5"/>
      <c r="W338" s="5"/>
      <c r="X338" s="5"/>
      <c r="Y338" s="5"/>
      <c r="Z338" s="5"/>
      <c r="AA338" s="5"/>
    </row>
    <row r="339" spans="1:27" ht="12.75" customHeight="1">
      <c r="A339" s="5"/>
      <c r="B339" s="5"/>
      <c r="C339" s="5"/>
      <c r="D339" s="5"/>
      <c r="E339" s="5"/>
      <c r="F339" s="5"/>
      <c r="G339" s="5"/>
      <c r="H339" s="306"/>
      <c r="I339" s="306"/>
      <c r="J339" s="5"/>
      <c r="K339" s="5"/>
      <c r="L339" s="5"/>
      <c r="M339" s="5"/>
      <c r="N339" s="5"/>
      <c r="O339" s="5"/>
      <c r="P339" s="57"/>
      <c r="Q339" s="5"/>
      <c r="R339" s="5"/>
      <c r="S339" s="5"/>
      <c r="T339" s="5"/>
      <c r="U339" s="5"/>
      <c r="V339" s="5"/>
      <c r="W339" s="5"/>
      <c r="X339" s="5"/>
      <c r="Y339" s="5"/>
      <c r="Z339" s="5"/>
      <c r="AA339" s="5"/>
    </row>
    <row r="340" spans="1:27" ht="12.75" customHeight="1">
      <c r="A340" s="5"/>
      <c r="B340" s="5"/>
      <c r="C340" s="5"/>
      <c r="D340" s="5"/>
      <c r="E340" s="5"/>
      <c r="F340" s="5"/>
      <c r="G340" s="5"/>
      <c r="H340" s="306"/>
      <c r="I340" s="306"/>
      <c r="J340" s="5"/>
      <c r="K340" s="5"/>
      <c r="L340" s="5"/>
      <c r="M340" s="5"/>
      <c r="N340" s="5"/>
      <c r="O340" s="5"/>
      <c r="P340" s="57"/>
      <c r="Q340" s="5"/>
      <c r="R340" s="5"/>
      <c r="S340" s="5"/>
      <c r="T340" s="5"/>
      <c r="U340" s="5"/>
      <c r="V340" s="5"/>
      <c r="W340" s="5"/>
      <c r="X340" s="5"/>
      <c r="Y340" s="5"/>
      <c r="Z340" s="5"/>
      <c r="AA340" s="5"/>
    </row>
    <row r="341" spans="1:27" ht="12.75" customHeight="1">
      <c r="A341" s="5"/>
      <c r="B341" s="5"/>
      <c r="C341" s="5"/>
      <c r="D341" s="5"/>
      <c r="E341" s="5"/>
      <c r="F341" s="5"/>
      <c r="G341" s="5"/>
      <c r="H341" s="306"/>
      <c r="I341" s="306"/>
      <c r="J341" s="5"/>
      <c r="K341" s="5"/>
      <c r="L341" s="5"/>
      <c r="M341" s="5"/>
      <c r="N341" s="5"/>
      <c r="O341" s="5"/>
      <c r="P341" s="57"/>
      <c r="Q341" s="5"/>
      <c r="R341" s="5"/>
      <c r="S341" s="5"/>
      <c r="T341" s="5"/>
      <c r="U341" s="5"/>
      <c r="V341" s="5"/>
      <c r="W341" s="5"/>
      <c r="X341" s="5"/>
      <c r="Y341" s="5"/>
      <c r="Z341" s="5"/>
      <c r="AA341" s="5"/>
    </row>
    <row r="342" spans="1:27" ht="12.75" customHeight="1">
      <c r="A342" s="5"/>
      <c r="B342" s="5"/>
      <c r="C342" s="5"/>
      <c r="D342" s="5"/>
      <c r="E342" s="5"/>
      <c r="F342" s="5"/>
      <c r="G342" s="5"/>
      <c r="H342" s="306"/>
      <c r="I342" s="306"/>
      <c r="J342" s="5"/>
      <c r="K342" s="5"/>
      <c r="L342" s="5"/>
      <c r="M342" s="5"/>
      <c r="N342" s="5"/>
      <c r="O342" s="5"/>
      <c r="P342" s="57"/>
      <c r="Q342" s="5"/>
      <c r="R342" s="5"/>
      <c r="S342" s="5"/>
      <c r="T342" s="5"/>
      <c r="U342" s="5"/>
      <c r="V342" s="5"/>
      <c r="W342" s="5"/>
      <c r="X342" s="5"/>
      <c r="Y342" s="5"/>
      <c r="Z342" s="5"/>
      <c r="AA342" s="5"/>
    </row>
    <row r="343" spans="1:27" ht="12.75" customHeight="1">
      <c r="A343" s="5"/>
      <c r="B343" s="5"/>
      <c r="C343" s="5"/>
      <c r="D343" s="5"/>
      <c r="E343" s="5"/>
      <c r="F343" s="5"/>
      <c r="G343" s="5"/>
      <c r="H343" s="306"/>
      <c r="I343" s="306"/>
      <c r="J343" s="5"/>
      <c r="K343" s="5"/>
      <c r="L343" s="5"/>
      <c r="M343" s="5"/>
      <c r="N343" s="5"/>
      <c r="O343" s="5"/>
      <c r="P343" s="57"/>
      <c r="Q343" s="5"/>
      <c r="R343" s="5"/>
      <c r="S343" s="5"/>
      <c r="T343" s="5"/>
      <c r="U343" s="5"/>
      <c r="V343" s="5"/>
      <c r="W343" s="5"/>
      <c r="X343" s="5"/>
      <c r="Y343" s="5"/>
      <c r="Z343" s="5"/>
      <c r="AA343" s="5"/>
    </row>
    <row r="344" spans="1:27" ht="12.75" customHeight="1">
      <c r="A344" s="5"/>
      <c r="B344" s="5"/>
      <c r="C344" s="5"/>
      <c r="D344" s="5"/>
      <c r="E344" s="5"/>
      <c r="F344" s="5"/>
      <c r="G344" s="5"/>
      <c r="H344" s="306"/>
      <c r="I344" s="306"/>
      <c r="J344" s="5"/>
      <c r="K344" s="5"/>
      <c r="L344" s="5"/>
      <c r="M344" s="5"/>
      <c r="N344" s="5"/>
      <c r="O344" s="5"/>
      <c r="P344" s="57"/>
      <c r="Q344" s="5"/>
      <c r="R344" s="5"/>
      <c r="S344" s="5"/>
      <c r="T344" s="5"/>
      <c r="U344" s="5"/>
      <c r="V344" s="5"/>
      <c r="W344" s="5"/>
      <c r="X344" s="5"/>
      <c r="Y344" s="5"/>
      <c r="Z344" s="5"/>
      <c r="AA344" s="5"/>
    </row>
    <row r="345" spans="1:27" ht="12.75" customHeight="1">
      <c r="A345" s="5"/>
      <c r="B345" s="5"/>
      <c r="C345" s="5"/>
      <c r="D345" s="5"/>
      <c r="E345" s="5"/>
      <c r="F345" s="5"/>
      <c r="G345" s="5"/>
      <c r="H345" s="306"/>
      <c r="I345" s="306"/>
      <c r="J345" s="5"/>
      <c r="K345" s="5"/>
      <c r="L345" s="5"/>
      <c r="M345" s="5"/>
      <c r="N345" s="5"/>
      <c r="O345" s="5"/>
      <c r="P345" s="57"/>
      <c r="Q345" s="5"/>
      <c r="R345" s="5"/>
      <c r="S345" s="5"/>
      <c r="T345" s="5"/>
      <c r="U345" s="5"/>
      <c r="V345" s="5"/>
      <c r="W345" s="5"/>
      <c r="X345" s="5"/>
      <c r="Y345" s="5"/>
      <c r="Z345" s="5"/>
      <c r="AA345" s="5"/>
    </row>
    <row r="346" spans="1:27" ht="12.75" customHeight="1">
      <c r="A346" s="5"/>
      <c r="B346" s="5"/>
      <c r="C346" s="5"/>
      <c r="D346" s="5"/>
      <c r="E346" s="5"/>
      <c r="F346" s="5"/>
      <c r="G346" s="5"/>
      <c r="H346" s="306"/>
      <c r="I346" s="306"/>
      <c r="J346" s="5"/>
      <c r="K346" s="5"/>
      <c r="L346" s="5"/>
      <c r="M346" s="5"/>
      <c r="N346" s="5"/>
      <c r="O346" s="5"/>
      <c r="P346" s="57"/>
      <c r="Q346" s="5"/>
      <c r="R346" s="5"/>
      <c r="S346" s="5"/>
      <c r="T346" s="5"/>
      <c r="U346" s="5"/>
      <c r="V346" s="5"/>
      <c r="W346" s="5"/>
      <c r="X346" s="5"/>
      <c r="Y346" s="5"/>
      <c r="Z346" s="5"/>
      <c r="AA346" s="5"/>
    </row>
    <row r="347" spans="1:27" ht="12.75" customHeight="1">
      <c r="A347" s="5"/>
      <c r="B347" s="5"/>
      <c r="C347" s="5"/>
      <c r="D347" s="5"/>
      <c r="E347" s="5"/>
      <c r="F347" s="5"/>
      <c r="G347" s="5"/>
      <c r="H347" s="306"/>
      <c r="I347" s="306"/>
      <c r="J347" s="5"/>
      <c r="K347" s="5"/>
      <c r="L347" s="5"/>
      <c r="M347" s="5"/>
      <c r="N347" s="5"/>
      <c r="O347" s="5"/>
      <c r="P347" s="57"/>
      <c r="Q347" s="5"/>
      <c r="R347" s="5"/>
      <c r="S347" s="5"/>
      <c r="T347" s="5"/>
      <c r="U347" s="5"/>
      <c r="V347" s="5"/>
      <c r="W347" s="5"/>
      <c r="X347" s="5"/>
      <c r="Y347" s="5"/>
      <c r="Z347" s="5"/>
      <c r="AA347" s="5"/>
    </row>
    <row r="348" spans="1:27" ht="12.75" customHeight="1">
      <c r="A348" s="5"/>
      <c r="B348" s="5"/>
      <c r="C348" s="5"/>
      <c r="D348" s="5"/>
      <c r="E348" s="5"/>
      <c r="F348" s="5"/>
      <c r="G348" s="5"/>
      <c r="H348" s="306"/>
      <c r="I348" s="306"/>
      <c r="J348" s="5"/>
      <c r="K348" s="5"/>
      <c r="L348" s="5"/>
      <c r="M348" s="5"/>
      <c r="N348" s="5"/>
      <c r="O348" s="5"/>
      <c r="P348" s="57"/>
      <c r="Q348" s="5"/>
      <c r="R348" s="5"/>
      <c r="S348" s="5"/>
      <c r="T348" s="5"/>
      <c r="U348" s="5"/>
      <c r="V348" s="5"/>
      <c r="W348" s="5"/>
      <c r="X348" s="5"/>
      <c r="Y348" s="5"/>
      <c r="Z348" s="5"/>
      <c r="AA348" s="5"/>
    </row>
    <row r="349" spans="1:27" ht="12.75" customHeight="1">
      <c r="A349" s="5"/>
      <c r="B349" s="5"/>
      <c r="C349" s="5"/>
      <c r="D349" s="5"/>
      <c r="E349" s="5"/>
      <c r="F349" s="5"/>
      <c r="G349" s="5"/>
      <c r="H349" s="306"/>
      <c r="I349" s="306"/>
      <c r="J349" s="5"/>
      <c r="K349" s="5"/>
      <c r="L349" s="5"/>
      <c r="M349" s="5"/>
      <c r="N349" s="5"/>
      <c r="O349" s="5"/>
      <c r="P349" s="57"/>
      <c r="Q349" s="5"/>
      <c r="R349" s="5"/>
      <c r="S349" s="5"/>
      <c r="T349" s="5"/>
      <c r="U349" s="5"/>
      <c r="V349" s="5"/>
      <c r="W349" s="5"/>
      <c r="X349" s="5"/>
      <c r="Y349" s="5"/>
      <c r="Z349" s="5"/>
      <c r="AA349" s="5"/>
    </row>
    <row r="350" spans="1:27" ht="12.75" customHeight="1">
      <c r="A350" s="5"/>
      <c r="B350" s="5"/>
      <c r="C350" s="5"/>
      <c r="D350" s="5"/>
      <c r="E350" s="5"/>
      <c r="F350" s="5"/>
      <c r="G350" s="5"/>
      <c r="H350" s="306"/>
      <c r="I350" s="306"/>
      <c r="J350" s="5"/>
      <c r="K350" s="5"/>
      <c r="L350" s="5"/>
      <c r="M350" s="5"/>
      <c r="N350" s="5"/>
      <c r="O350" s="5"/>
      <c r="P350" s="57"/>
      <c r="Q350" s="5"/>
      <c r="R350" s="5"/>
      <c r="S350" s="5"/>
      <c r="T350" s="5"/>
      <c r="U350" s="5"/>
      <c r="V350" s="5"/>
      <c r="W350" s="5"/>
      <c r="X350" s="5"/>
      <c r="Y350" s="5"/>
      <c r="Z350" s="5"/>
      <c r="AA350" s="5"/>
    </row>
    <row r="351" spans="1:27" ht="12.75" customHeight="1">
      <c r="A351" s="5"/>
      <c r="B351" s="5"/>
      <c r="C351" s="5"/>
      <c r="D351" s="5"/>
      <c r="E351" s="5"/>
      <c r="F351" s="5"/>
      <c r="G351" s="5"/>
      <c r="H351" s="306"/>
      <c r="I351" s="306"/>
      <c r="J351" s="5"/>
      <c r="K351" s="5"/>
      <c r="L351" s="5"/>
      <c r="M351" s="5"/>
      <c r="N351" s="5"/>
      <c r="O351" s="5"/>
      <c r="P351" s="57"/>
      <c r="Q351" s="5"/>
      <c r="R351" s="5"/>
      <c r="S351" s="5"/>
      <c r="T351" s="5"/>
      <c r="U351" s="5"/>
      <c r="V351" s="5"/>
      <c r="W351" s="5"/>
      <c r="X351" s="5"/>
      <c r="Y351" s="5"/>
      <c r="Z351" s="5"/>
      <c r="AA351" s="5"/>
    </row>
    <row r="352" spans="1:27" ht="12.75" customHeight="1">
      <c r="A352" s="5"/>
      <c r="B352" s="5"/>
      <c r="C352" s="5"/>
      <c r="D352" s="5"/>
      <c r="E352" s="5"/>
      <c r="F352" s="5"/>
      <c r="G352" s="5"/>
      <c r="H352" s="306"/>
      <c r="I352" s="306"/>
      <c r="J352" s="5"/>
      <c r="K352" s="5"/>
      <c r="L352" s="5"/>
      <c r="M352" s="5"/>
      <c r="N352" s="5"/>
      <c r="O352" s="5"/>
      <c r="P352" s="57"/>
      <c r="Q352" s="5"/>
      <c r="R352" s="5"/>
      <c r="S352" s="5"/>
      <c r="T352" s="5"/>
      <c r="U352" s="5"/>
      <c r="V352" s="5"/>
      <c r="W352" s="5"/>
      <c r="X352" s="5"/>
      <c r="Y352" s="5"/>
      <c r="Z352" s="5"/>
      <c r="AA352" s="5"/>
    </row>
    <row r="353" spans="1:27" ht="12.75" customHeight="1">
      <c r="A353" s="5"/>
      <c r="B353" s="5"/>
      <c r="C353" s="5"/>
      <c r="D353" s="5"/>
      <c r="E353" s="5"/>
      <c r="F353" s="5"/>
      <c r="G353" s="5"/>
      <c r="H353" s="306"/>
      <c r="I353" s="306"/>
      <c r="J353" s="5"/>
      <c r="K353" s="5"/>
      <c r="L353" s="5"/>
      <c r="M353" s="5"/>
      <c r="N353" s="5"/>
      <c r="O353" s="5"/>
      <c r="P353" s="57"/>
      <c r="Q353" s="5"/>
      <c r="R353" s="5"/>
      <c r="S353" s="5"/>
      <c r="T353" s="5"/>
      <c r="U353" s="5"/>
      <c r="V353" s="5"/>
      <c r="W353" s="5"/>
      <c r="X353" s="5"/>
      <c r="Y353" s="5"/>
      <c r="Z353" s="5"/>
      <c r="AA353" s="5"/>
    </row>
    <row r="354" spans="1:27" ht="12.75" customHeight="1">
      <c r="A354" s="5"/>
      <c r="B354" s="5"/>
      <c r="C354" s="5"/>
      <c r="D354" s="5"/>
      <c r="E354" s="5"/>
      <c r="F354" s="5"/>
      <c r="G354" s="5"/>
      <c r="H354" s="306"/>
      <c r="I354" s="306"/>
      <c r="J354" s="5"/>
      <c r="K354" s="5"/>
      <c r="L354" s="5"/>
      <c r="M354" s="5"/>
      <c r="N354" s="5"/>
      <c r="O354" s="5"/>
      <c r="P354" s="57"/>
      <c r="Q354" s="5"/>
      <c r="R354" s="5"/>
      <c r="S354" s="5"/>
      <c r="T354" s="5"/>
      <c r="U354" s="5"/>
      <c r="V354" s="5"/>
      <c r="W354" s="5"/>
      <c r="X354" s="5"/>
      <c r="Y354" s="5"/>
      <c r="Z354" s="5"/>
      <c r="AA354" s="5"/>
    </row>
    <row r="355" spans="1:27" ht="12.75" customHeight="1">
      <c r="A355" s="5"/>
      <c r="B355" s="5"/>
      <c r="C355" s="5"/>
      <c r="D355" s="5"/>
      <c r="E355" s="5"/>
      <c r="F355" s="5"/>
      <c r="G355" s="5"/>
      <c r="H355" s="306"/>
      <c r="I355" s="306"/>
      <c r="J355" s="5"/>
      <c r="K355" s="5"/>
      <c r="L355" s="5"/>
      <c r="M355" s="5"/>
      <c r="N355" s="5"/>
      <c r="O355" s="5"/>
      <c r="P355" s="57"/>
      <c r="Q355" s="5"/>
      <c r="R355" s="5"/>
      <c r="S355" s="5"/>
      <c r="T355" s="5"/>
      <c r="U355" s="5"/>
      <c r="V355" s="5"/>
      <c r="W355" s="5"/>
      <c r="X355" s="5"/>
      <c r="Y355" s="5"/>
      <c r="Z355" s="5"/>
      <c r="AA355" s="5"/>
    </row>
    <row r="356" spans="1:27" ht="12.75" customHeight="1">
      <c r="A356" s="5"/>
      <c r="B356" s="5"/>
      <c r="C356" s="5"/>
      <c r="D356" s="5"/>
      <c r="E356" s="5"/>
      <c r="F356" s="5"/>
      <c r="G356" s="5"/>
      <c r="H356" s="306"/>
      <c r="I356" s="306"/>
      <c r="J356" s="5"/>
      <c r="K356" s="5"/>
      <c r="L356" s="5"/>
      <c r="M356" s="5"/>
      <c r="N356" s="5"/>
      <c r="O356" s="5"/>
      <c r="P356" s="57"/>
      <c r="Q356" s="5"/>
      <c r="R356" s="5"/>
      <c r="S356" s="5"/>
      <c r="T356" s="5"/>
      <c r="U356" s="5"/>
      <c r="V356" s="5"/>
      <c r="W356" s="5"/>
      <c r="X356" s="5"/>
      <c r="Y356" s="5"/>
      <c r="Z356" s="5"/>
      <c r="AA356" s="5"/>
    </row>
    <row r="357" spans="1:27" ht="12.75" customHeight="1">
      <c r="A357" s="5"/>
      <c r="B357" s="5"/>
      <c r="C357" s="5"/>
      <c r="D357" s="5"/>
      <c r="E357" s="5"/>
      <c r="F357" s="5"/>
      <c r="G357" s="5"/>
      <c r="H357" s="306"/>
      <c r="I357" s="306"/>
      <c r="J357" s="5"/>
      <c r="K357" s="5"/>
      <c r="L357" s="5"/>
      <c r="M357" s="5"/>
      <c r="N357" s="5"/>
      <c r="O357" s="5"/>
      <c r="P357" s="57"/>
      <c r="Q357" s="5"/>
      <c r="R357" s="5"/>
      <c r="S357" s="5"/>
      <c r="T357" s="5"/>
      <c r="U357" s="5"/>
      <c r="V357" s="5"/>
      <c r="W357" s="5"/>
      <c r="X357" s="5"/>
      <c r="Y357" s="5"/>
      <c r="Z357" s="5"/>
      <c r="AA357" s="5"/>
    </row>
    <row r="358" spans="1:27" ht="12.75" customHeight="1">
      <c r="A358" s="5"/>
      <c r="B358" s="5"/>
      <c r="C358" s="5"/>
      <c r="D358" s="5"/>
      <c r="E358" s="5"/>
      <c r="F358" s="5"/>
      <c r="G358" s="5"/>
      <c r="H358" s="306"/>
      <c r="I358" s="306"/>
      <c r="J358" s="5"/>
      <c r="K358" s="5"/>
      <c r="L358" s="5"/>
      <c r="M358" s="5"/>
      <c r="N358" s="5"/>
      <c r="O358" s="5"/>
      <c r="P358" s="57"/>
      <c r="Q358" s="5"/>
      <c r="R358" s="5"/>
      <c r="S358" s="5"/>
      <c r="T358" s="5"/>
      <c r="U358" s="5"/>
      <c r="V358" s="5"/>
      <c r="W358" s="5"/>
      <c r="X358" s="5"/>
      <c r="Y358" s="5"/>
      <c r="Z358" s="5"/>
      <c r="AA358" s="5"/>
    </row>
    <row r="359" spans="1:27" ht="12.75" customHeight="1">
      <c r="A359" s="5"/>
      <c r="B359" s="5"/>
      <c r="C359" s="5"/>
      <c r="D359" s="5"/>
      <c r="E359" s="5"/>
      <c r="F359" s="5"/>
      <c r="G359" s="5"/>
      <c r="H359" s="306"/>
      <c r="I359" s="306"/>
      <c r="J359" s="5"/>
      <c r="K359" s="5"/>
      <c r="L359" s="5"/>
      <c r="M359" s="5"/>
      <c r="N359" s="5"/>
      <c r="O359" s="5"/>
      <c r="P359" s="57"/>
      <c r="Q359" s="5"/>
      <c r="R359" s="5"/>
      <c r="S359" s="5"/>
      <c r="T359" s="5"/>
      <c r="U359" s="5"/>
      <c r="V359" s="5"/>
      <c r="W359" s="5"/>
      <c r="X359" s="5"/>
      <c r="Y359" s="5"/>
      <c r="Z359" s="5"/>
      <c r="AA359" s="5"/>
    </row>
    <row r="360" spans="1:27" ht="12.75" customHeight="1">
      <c r="A360" s="5"/>
      <c r="B360" s="5"/>
      <c r="C360" s="5"/>
      <c r="D360" s="5"/>
      <c r="E360" s="5"/>
      <c r="F360" s="5"/>
      <c r="G360" s="5"/>
      <c r="H360" s="306"/>
      <c r="I360" s="306"/>
      <c r="J360" s="5"/>
      <c r="K360" s="5"/>
      <c r="L360" s="5"/>
      <c r="M360" s="5"/>
      <c r="N360" s="5"/>
      <c r="O360" s="5"/>
      <c r="P360" s="57"/>
      <c r="Q360" s="5"/>
      <c r="R360" s="5"/>
      <c r="S360" s="5"/>
      <c r="T360" s="5"/>
      <c r="U360" s="5"/>
      <c r="V360" s="5"/>
      <c r="W360" s="5"/>
      <c r="X360" s="5"/>
      <c r="Y360" s="5"/>
      <c r="Z360" s="5"/>
      <c r="AA360" s="5"/>
    </row>
    <row r="361" spans="1:27" ht="12.75" customHeight="1">
      <c r="A361" s="5"/>
      <c r="B361" s="5"/>
      <c r="C361" s="5"/>
      <c r="D361" s="5"/>
      <c r="E361" s="5"/>
      <c r="F361" s="5"/>
      <c r="G361" s="5"/>
      <c r="H361" s="306"/>
      <c r="I361" s="306"/>
      <c r="J361" s="5"/>
      <c r="K361" s="5"/>
      <c r="L361" s="5"/>
      <c r="M361" s="5"/>
      <c r="N361" s="5"/>
      <c r="O361" s="5"/>
      <c r="P361" s="57"/>
      <c r="Q361" s="5"/>
      <c r="R361" s="5"/>
      <c r="S361" s="5"/>
      <c r="T361" s="5"/>
      <c r="U361" s="5"/>
      <c r="V361" s="5"/>
      <c r="W361" s="5"/>
      <c r="X361" s="5"/>
      <c r="Y361" s="5"/>
      <c r="Z361" s="5"/>
      <c r="AA361" s="5"/>
    </row>
    <row r="362" spans="1:27" ht="12.75" customHeight="1">
      <c r="A362" s="5"/>
      <c r="B362" s="5"/>
      <c r="C362" s="5"/>
      <c r="D362" s="5"/>
      <c r="E362" s="5"/>
      <c r="F362" s="5"/>
      <c r="G362" s="5"/>
      <c r="H362" s="306"/>
      <c r="I362" s="306"/>
      <c r="J362" s="5"/>
      <c r="K362" s="5"/>
      <c r="L362" s="5"/>
      <c r="M362" s="5"/>
      <c r="N362" s="5"/>
      <c r="O362" s="5"/>
      <c r="P362" s="57"/>
      <c r="Q362" s="5"/>
      <c r="R362" s="5"/>
      <c r="S362" s="5"/>
      <c r="T362" s="5"/>
      <c r="U362" s="5"/>
      <c r="V362" s="5"/>
      <c r="W362" s="5"/>
      <c r="X362" s="5"/>
      <c r="Y362" s="5"/>
      <c r="Z362" s="5"/>
      <c r="AA362" s="5"/>
    </row>
    <row r="363" spans="1:27" ht="12.75" customHeight="1">
      <c r="A363" s="5"/>
      <c r="B363" s="5"/>
      <c r="C363" s="5"/>
      <c r="D363" s="5"/>
      <c r="E363" s="5"/>
      <c r="F363" s="5"/>
      <c r="G363" s="5"/>
      <c r="H363" s="306"/>
      <c r="I363" s="306"/>
      <c r="J363" s="5"/>
      <c r="K363" s="5"/>
      <c r="L363" s="5"/>
      <c r="M363" s="5"/>
      <c r="N363" s="5"/>
      <c r="O363" s="5"/>
      <c r="P363" s="57"/>
      <c r="Q363" s="5"/>
      <c r="R363" s="5"/>
      <c r="S363" s="5"/>
      <c r="T363" s="5"/>
      <c r="U363" s="5"/>
      <c r="V363" s="5"/>
      <c r="W363" s="5"/>
      <c r="X363" s="5"/>
      <c r="Y363" s="5"/>
      <c r="Z363" s="5"/>
      <c r="AA363" s="5"/>
    </row>
    <row r="364" spans="1:27" ht="12.75" customHeight="1">
      <c r="A364" s="5"/>
      <c r="B364" s="5"/>
      <c r="C364" s="5"/>
      <c r="D364" s="5"/>
      <c r="E364" s="5"/>
      <c r="F364" s="5"/>
      <c r="G364" s="5"/>
      <c r="H364" s="306"/>
      <c r="I364" s="306"/>
      <c r="J364" s="5"/>
      <c r="K364" s="5"/>
      <c r="L364" s="5"/>
      <c r="M364" s="5"/>
      <c r="N364" s="5"/>
      <c r="O364" s="5"/>
      <c r="P364" s="57"/>
      <c r="Q364" s="5"/>
      <c r="R364" s="5"/>
      <c r="S364" s="5"/>
      <c r="T364" s="5"/>
      <c r="U364" s="5"/>
      <c r="V364" s="5"/>
      <c r="W364" s="5"/>
      <c r="X364" s="5"/>
      <c r="Y364" s="5"/>
      <c r="Z364" s="5"/>
      <c r="AA364" s="5"/>
    </row>
    <row r="365" spans="1:27" ht="12.75" customHeight="1">
      <c r="A365" s="5"/>
      <c r="B365" s="5"/>
      <c r="C365" s="5"/>
      <c r="D365" s="5"/>
      <c r="E365" s="5"/>
      <c r="F365" s="5"/>
      <c r="G365" s="5"/>
      <c r="H365" s="306"/>
      <c r="I365" s="306"/>
      <c r="J365" s="5"/>
      <c r="K365" s="5"/>
      <c r="L365" s="5"/>
      <c r="M365" s="5"/>
      <c r="N365" s="5"/>
      <c r="O365" s="5"/>
      <c r="P365" s="57"/>
      <c r="Q365" s="5"/>
      <c r="R365" s="5"/>
      <c r="S365" s="5"/>
      <c r="T365" s="5"/>
      <c r="U365" s="5"/>
      <c r="V365" s="5"/>
      <c r="W365" s="5"/>
      <c r="X365" s="5"/>
      <c r="Y365" s="5"/>
      <c r="Z365" s="5"/>
      <c r="AA365" s="5"/>
    </row>
    <row r="366" spans="1:27" ht="12.75" customHeight="1">
      <c r="A366" s="5"/>
      <c r="B366" s="5"/>
      <c r="C366" s="5"/>
      <c r="D366" s="5"/>
      <c r="E366" s="5"/>
      <c r="F366" s="5"/>
      <c r="G366" s="5"/>
      <c r="H366" s="306"/>
      <c r="I366" s="306"/>
      <c r="J366" s="5"/>
      <c r="K366" s="5"/>
      <c r="L366" s="5"/>
      <c r="M366" s="5"/>
      <c r="N366" s="5"/>
      <c r="O366" s="5"/>
      <c r="P366" s="57"/>
      <c r="Q366" s="5"/>
      <c r="R366" s="5"/>
      <c r="S366" s="5"/>
      <c r="T366" s="5"/>
      <c r="U366" s="5"/>
      <c r="V366" s="5"/>
      <c r="W366" s="5"/>
      <c r="X366" s="5"/>
      <c r="Y366" s="5"/>
      <c r="Z366" s="5"/>
      <c r="AA366" s="5"/>
    </row>
    <row r="367" spans="1:27" ht="12.75" customHeight="1">
      <c r="A367" s="5"/>
      <c r="B367" s="5"/>
      <c r="C367" s="5"/>
      <c r="D367" s="5"/>
      <c r="E367" s="5"/>
      <c r="F367" s="5"/>
      <c r="G367" s="5"/>
      <c r="H367" s="306"/>
      <c r="I367" s="306"/>
      <c r="J367" s="5"/>
      <c r="K367" s="5"/>
      <c r="L367" s="5"/>
      <c r="M367" s="5"/>
      <c r="N367" s="5"/>
      <c r="O367" s="5"/>
      <c r="P367" s="57"/>
      <c r="Q367" s="5"/>
      <c r="R367" s="5"/>
      <c r="S367" s="5"/>
      <c r="T367" s="5"/>
      <c r="U367" s="5"/>
      <c r="V367" s="5"/>
      <c r="W367" s="5"/>
      <c r="X367" s="5"/>
      <c r="Y367" s="5"/>
      <c r="Z367" s="5"/>
      <c r="AA367" s="5"/>
    </row>
    <row r="368" spans="1:27" ht="12.75" customHeight="1">
      <c r="A368" s="5"/>
      <c r="B368" s="5"/>
      <c r="C368" s="5"/>
      <c r="D368" s="5"/>
      <c r="E368" s="5"/>
      <c r="F368" s="5"/>
      <c r="G368" s="5"/>
      <c r="H368" s="306"/>
      <c r="I368" s="306"/>
      <c r="J368" s="5"/>
      <c r="K368" s="5"/>
      <c r="L368" s="5"/>
      <c r="M368" s="5"/>
      <c r="N368" s="5"/>
      <c r="O368" s="5"/>
      <c r="P368" s="57"/>
      <c r="Q368" s="5"/>
      <c r="R368" s="5"/>
      <c r="S368" s="5"/>
      <c r="T368" s="5"/>
      <c r="U368" s="5"/>
      <c r="V368" s="5"/>
      <c r="W368" s="5"/>
      <c r="X368" s="5"/>
      <c r="Y368" s="5"/>
      <c r="Z368" s="5"/>
      <c r="AA368" s="5"/>
    </row>
    <row r="369" spans="1:27" ht="12.75" customHeight="1">
      <c r="A369" s="5"/>
      <c r="B369" s="5"/>
      <c r="C369" s="5"/>
      <c r="D369" s="5"/>
      <c r="E369" s="5"/>
      <c r="F369" s="5"/>
      <c r="G369" s="5"/>
      <c r="H369" s="306"/>
      <c r="I369" s="306"/>
      <c r="J369" s="5"/>
      <c r="K369" s="5"/>
      <c r="L369" s="5"/>
      <c r="M369" s="5"/>
      <c r="N369" s="5"/>
      <c r="O369" s="5"/>
      <c r="P369" s="57"/>
      <c r="Q369" s="5"/>
      <c r="R369" s="5"/>
      <c r="S369" s="5"/>
      <c r="T369" s="5"/>
      <c r="U369" s="5"/>
      <c r="V369" s="5"/>
      <c r="W369" s="5"/>
      <c r="X369" s="5"/>
      <c r="Y369" s="5"/>
      <c r="Z369" s="5"/>
      <c r="AA369" s="5"/>
    </row>
    <row r="370" spans="1:27" ht="12.75" customHeight="1">
      <c r="A370" s="5"/>
      <c r="B370" s="5"/>
      <c r="C370" s="5"/>
      <c r="D370" s="5"/>
      <c r="E370" s="5"/>
      <c r="F370" s="5"/>
      <c r="G370" s="5"/>
      <c r="H370" s="306"/>
      <c r="I370" s="306"/>
      <c r="J370" s="5"/>
      <c r="K370" s="5"/>
      <c r="L370" s="5"/>
      <c r="M370" s="5"/>
      <c r="N370" s="5"/>
      <c r="O370" s="5"/>
      <c r="P370" s="57"/>
      <c r="Q370" s="5"/>
      <c r="R370" s="5"/>
      <c r="S370" s="5"/>
      <c r="T370" s="5"/>
      <c r="U370" s="5"/>
      <c r="V370" s="5"/>
      <c r="W370" s="5"/>
      <c r="X370" s="5"/>
      <c r="Y370" s="5"/>
      <c r="Z370" s="5"/>
      <c r="AA370" s="5"/>
    </row>
    <row r="371" spans="1:27" ht="12.75" customHeight="1">
      <c r="A371" s="5"/>
      <c r="B371" s="5"/>
      <c r="C371" s="5"/>
      <c r="D371" s="5"/>
      <c r="E371" s="5"/>
      <c r="F371" s="5"/>
      <c r="G371" s="5"/>
      <c r="H371" s="306"/>
      <c r="I371" s="306"/>
      <c r="J371" s="5"/>
      <c r="K371" s="5"/>
      <c r="L371" s="5"/>
      <c r="M371" s="5"/>
      <c r="N371" s="5"/>
      <c r="O371" s="5"/>
      <c r="P371" s="57"/>
      <c r="Q371" s="5"/>
      <c r="R371" s="5"/>
      <c r="S371" s="5"/>
      <c r="T371" s="5"/>
      <c r="U371" s="5"/>
      <c r="V371" s="5"/>
      <c r="W371" s="5"/>
      <c r="X371" s="5"/>
      <c r="Y371" s="5"/>
      <c r="Z371" s="5"/>
      <c r="AA371" s="5"/>
    </row>
    <row r="372" spans="1:27" ht="12.75" customHeight="1">
      <c r="A372" s="5"/>
      <c r="B372" s="5"/>
      <c r="C372" s="5"/>
      <c r="D372" s="5"/>
      <c r="E372" s="5"/>
      <c r="F372" s="5"/>
      <c r="G372" s="5"/>
      <c r="H372" s="306"/>
      <c r="I372" s="306"/>
      <c r="J372" s="5"/>
      <c r="K372" s="5"/>
      <c r="L372" s="5"/>
      <c r="M372" s="5"/>
      <c r="N372" s="5"/>
      <c r="O372" s="5"/>
      <c r="P372" s="57"/>
      <c r="Q372" s="5"/>
      <c r="R372" s="5"/>
      <c r="S372" s="5"/>
      <c r="T372" s="5"/>
      <c r="U372" s="5"/>
      <c r="V372" s="5"/>
      <c r="W372" s="5"/>
      <c r="X372" s="5"/>
      <c r="Y372" s="5"/>
      <c r="Z372" s="5"/>
      <c r="AA372" s="5"/>
    </row>
    <row r="373" spans="1:27" ht="12.75" customHeight="1">
      <c r="A373" s="5"/>
      <c r="B373" s="5"/>
      <c r="C373" s="5"/>
      <c r="D373" s="5"/>
      <c r="E373" s="5"/>
      <c r="F373" s="5"/>
      <c r="G373" s="5"/>
      <c r="H373" s="306"/>
      <c r="I373" s="306"/>
      <c r="J373" s="5"/>
      <c r="K373" s="5"/>
      <c r="L373" s="5"/>
      <c r="M373" s="5"/>
      <c r="N373" s="5"/>
      <c r="O373" s="5"/>
      <c r="P373" s="57"/>
      <c r="Q373" s="5"/>
      <c r="R373" s="5"/>
      <c r="S373" s="5"/>
      <c r="T373" s="5"/>
      <c r="U373" s="5"/>
      <c r="V373" s="5"/>
      <c r="W373" s="5"/>
      <c r="X373" s="5"/>
      <c r="Y373" s="5"/>
      <c r="Z373" s="5"/>
      <c r="AA373" s="5"/>
    </row>
    <row r="374" spans="1:27" ht="12.75" customHeight="1">
      <c r="A374" s="5"/>
      <c r="B374" s="5"/>
      <c r="C374" s="5"/>
      <c r="D374" s="5"/>
      <c r="E374" s="5"/>
      <c r="F374" s="5"/>
      <c r="G374" s="5"/>
      <c r="H374" s="306"/>
      <c r="I374" s="306"/>
      <c r="J374" s="5"/>
      <c r="K374" s="5"/>
      <c r="L374" s="5"/>
      <c r="M374" s="5"/>
      <c r="N374" s="5"/>
      <c r="O374" s="5"/>
      <c r="P374" s="57"/>
      <c r="Q374" s="5"/>
      <c r="R374" s="5"/>
      <c r="S374" s="5"/>
      <c r="T374" s="5"/>
      <c r="U374" s="5"/>
      <c r="V374" s="5"/>
      <c r="W374" s="5"/>
      <c r="X374" s="5"/>
      <c r="Y374" s="5"/>
      <c r="Z374" s="5"/>
      <c r="AA374" s="5"/>
    </row>
    <row r="375" spans="1:27" ht="12.75" customHeight="1">
      <c r="A375" s="5"/>
      <c r="B375" s="5"/>
      <c r="C375" s="5"/>
      <c r="D375" s="5"/>
      <c r="E375" s="5"/>
      <c r="F375" s="5"/>
      <c r="G375" s="5"/>
      <c r="H375" s="306"/>
      <c r="I375" s="306"/>
      <c r="J375" s="5"/>
      <c r="K375" s="5"/>
      <c r="L375" s="5"/>
      <c r="M375" s="5"/>
      <c r="N375" s="5"/>
      <c r="O375" s="5"/>
      <c r="P375" s="57"/>
      <c r="Q375" s="5"/>
      <c r="R375" s="5"/>
      <c r="S375" s="5"/>
      <c r="T375" s="5"/>
      <c r="U375" s="5"/>
      <c r="V375" s="5"/>
      <c r="W375" s="5"/>
      <c r="X375" s="5"/>
      <c r="Y375" s="5"/>
      <c r="Z375" s="5"/>
      <c r="AA375" s="5"/>
    </row>
    <row r="376" spans="1:27" ht="12.75" customHeight="1">
      <c r="A376" s="5"/>
      <c r="B376" s="5"/>
      <c r="C376" s="5"/>
      <c r="D376" s="5"/>
      <c r="E376" s="5"/>
      <c r="F376" s="5"/>
      <c r="G376" s="5"/>
      <c r="H376" s="306"/>
      <c r="I376" s="306"/>
      <c r="J376" s="5"/>
      <c r="K376" s="5"/>
      <c r="L376" s="5"/>
      <c r="M376" s="5"/>
      <c r="N376" s="5"/>
      <c r="O376" s="5"/>
      <c r="P376" s="57"/>
      <c r="Q376" s="5"/>
      <c r="R376" s="5"/>
      <c r="S376" s="5"/>
      <c r="T376" s="5"/>
      <c r="U376" s="5"/>
      <c r="V376" s="5"/>
      <c r="W376" s="5"/>
      <c r="X376" s="5"/>
      <c r="Y376" s="5"/>
      <c r="Z376" s="5"/>
      <c r="AA376" s="5"/>
    </row>
    <row r="377" spans="1:27" ht="12.75" customHeight="1">
      <c r="A377" s="5"/>
      <c r="B377" s="5"/>
      <c r="C377" s="5"/>
      <c r="D377" s="5"/>
      <c r="E377" s="5"/>
      <c r="F377" s="5"/>
      <c r="G377" s="5"/>
      <c r="H377" s="306"/>
      <c r="I377" s="306"/>
      <c r="J377" s="5"/>
      <c r="K377" s="5"/>
      <c r="L377" s="5"/>
      <c r="M377" s="5"/>
      <c r="N377" s="5"/>
      <c r="O377" s="5"/>
      <c r="P377" s="57"/>
      <c r="Q377" s="5"/>
      <c r="R377" s="5"/>
      <c r="S377" s="5"/>
      <c r="T377" s="5"/>
      <c r="U377" s="5"/>
      <c r="V377" s="5"/>
      <c r="W377" s="5"/>
      <c r="X377" s="5"/>
      <c r="Y377" s="5"/>
      <c r="Z377" s="5"/>
      <c r="AA377" s="5"/>
    </row>
    <row r="378" spans="1:27" ht="12.75" customHeight="1">
      <c r="A378" s="5"/>
      <c r="B378" s="5"/>
      <c r="C378" s="5"/>
      <c r="D378" s="5"/>
      <c r="E378" s="5"/>
      <c r="F378" s="5"/>
      <c r="G378" s="5"/>
      <c r="H378" s="306"/>
      <c r="I378" s="306"/>
      <c r="J378" s="5"/>
      <c r="K378" s="5"/>
      <c r="L378" s="5"/>
      <c r="M378" s="5"/>
      <c r="N378" s="5"/>
      <c r="O378" s="5"/>
      <c r="P378" s="57"/>
      <c r="Q378" s="5"/>
      <c r="R378" s="5"/>
      <c r="S378" s="5"/>
      <c r="T378" s="5"/>
      <c r="U378" s="5"/>
      <c r="V378" s="5"/>
      <c r="W378" s="5"/>
      <c r="X378" s="5"/>
      <c r="Y378" s="5"/>
      <c r="Z378" s="5"/>
      <c r="AA378" s="5"/>
    </row>
    <row r="379" spans="1:27" ht="12.75" customHeight="1">
      <c r="A379" s="5"/>
      <c r="B379" s="5"/>
      <c r="C379" s="5"/>
      <c r="D379" s="5"/>
      <c r="E379" s="5"/>
      <c r="F379" s="5"/>
      <c r="G379" s="5"/>
      <c r="H379" s="306"/>
      <c r="I379" s="306"/>
      <c r="J379" s="5"/>
      <c r="K379" s="5"/>
      <c r="L379" s="5"/>
      <c r="M379" s="5"/>
      <c r="N379" s="5"/>
      <c r="O379" s="5"/>
      <c r="P379" s="57"/>
      <c r="Q379" s="5"/>
      <c r="R379" s="5"/>
      <c r="S379" s="5"/>
      <c r="T379" s="5"/>
      <c r="U379" s="5"/>
      <c r="V379" s="5"/>
      <c r="W379" s="5"/>
      <c r="X379" s="5"/>
      <c r="Y379" s="5"/>
      <c r="Z379" s="5"/>
      <c r="AA379" s="5"/>
    </row>
    <row r="380" spans="1:27" ht="12.75" customHeight="1">
      <c r="A380" s="5"/>
      <c r="B380" s="5"/>
      <c r="C380" s="5"/>
      <c r="D380" s="5"/>
      <c r="E380" s="5"/>
      <c r="F380" s="5"/>
      <c r="G380" s="5"/>
      <c r="H380" s="306"/>
      <c r="I380" s="306"/>
      <c r="J380" s="5"/>
      <c r="K380" s="5"/>
      <c r="L380" s="5"/>
      <c r="M380" s="5"/>
      <c r="N380" s="5"/>
      <c r="O380" s="5"/>
      <c r="P380" s="57"/>
      <c r="Q380" s="5"/>
      <c r="R380" s="5"/>
      <c r="S380" s="5"/>
      <c r="T380" s="5"/>
      <c r="U380" s="5"/>
      <c r="V380" s="5"/>
      <c r="W380" s="5"/>
      <c r="X380" s="5"/>
      <c r="Y380" s="5"/>
      <c r="Z380" s="5"/>
      <c r="AA380" s="5"/>
    </row>
    <row r="381" spans="1:27" ht="12.75" customHeight="1">
      <c r="A381" s="5"/>
      <c r="B381" s="5"/>
      <c r="C381" s="5"/>
      <c r="D381" s="5"/>
      <c r="E381" s="5"/>
      <c r="F381" s="5"/>
      <c r="G381" s="5"/>
      <c r="H381" s="306"/>
      <c r="I381" s="306"/>
      <c r="J381" s="5"/>
      <c r="K381" s="5"/>
      <c r="L381" s="5"/>
      <c r="M381" s="5"/>
      <c r="N381" s="5"/>
      <c r="O381" s="5"/>
      <c r="P381" s="57"/>
      <c r="Q381" s="5"/>
      <c r="R381" s="5"/>
      <c r="S381" s="5"/>
      <c r="T381" s="5"/>
      <c r="U381" s="5"/>
      <c r="V381" s="5"/>
      <c r="W381" s="5"/>
      <c r="X381" s="5"/>
      <c r="Y381" s="5"/>
      <c r="Z381" s="5"/>
      <c r="AA381" s="5"/>
    </row>
    <row r="382" spans="1:27" ht="12.75" customHeight="1">
      <c r="A382" s="5"/>
      <c r="B382" s="5"/>
      <c r="C382" s="5"/>
      <c r="D382" s="5"/>
      <c r="E382" s="5"/>
      <c r="F382" s="5"/>
      <c r="G382" s="5"/>
      <c r="H382" s="306"/>
      <c r="I382" s="306"/>
      <c r="J382" s="5"/>
      <c r="K382" s="5"/>
      <c r="L382" s="5"/>
      <c r="M382" s="5"/>
      <c r="N382" s="5"/>
      <c r="O382" s="5"/>
      <c r="P382" s="57"/>
      <c r="Q382" s="5"/>
      <c r="R382" s="5"/>
      <c r="S382" s="5"/>
      <c r="T382" s="5"/>
      <c r="U382" s="5"/>
      <c r="V382" s="5"/>
      <c r="W382" s="5"/>
      <c r="X382" s="5"/>
      <c r="Y382" s="5"/>
      <c r="Z382" s="5"/>
      <c r="AA382" s="5"/>
    </row>
    <row r="383" spans="1:27" ht="12.75" customHeight="1">
      <c r="A383" s="5"/>
      <c r="B383" s="5"/>
      <c r="C383" s="5"/>
      <c r="D383" s="5"/>
      <c r="E383" s="5"/>
      <c r="F383" s="5"/>
      <c r="G383" s="5"/>
      <c r="H383" s="306"/>
      <c r="I383" s="306"/>
      <c r="J383" s="5"/>
      <c r="K383" s="5"/>
      <c r="L383" s="5"/>
      <c r="M383" s="5"/>
      <c r="N383" s="5"/>
      <c r="O383" s="5"/>
      <c r="P383" s="57"/>
      <c r="Q383" s="5"/>
      <c r="R383" s="5"/>
      <c r="S383" s="5"/>
      <c r="T383" s="5"/>
      <c r="U383" s="5"/>
      <c r="V383" s="5"/>
      <c r="W383" s="5"/>
      <c r="X383" s="5"/>
      <c r="Y383" s="5"/>
      <c r="Z383" s="5"/>
      <c r="AA383" s="5"/>
    </row>
    <row r="384" spans="1:27" ht="12.75" customHeight="1">
      <c r="A384" s="5"/>
      <c r="B384" s="5"/>
      <c r="C384" s="5"/>
      <c r="D384" s="5"/>
      <c r="E384" s="5"/>
      <c r="F384" s="5"/>
      <c r="G384" s="5"/>
      <c r="H384" s="306"/>
      <c r="I384" s="306"/>
      <c r="J384" s="5"/>
      <c r="K384" s="5"/>
      <c r="L384" s="5"/>
      <c r="M384" s="5"/>
      <c r="N384" s="5"/>
      <c r="O384" s="5"/>
      <c r="P384" s="57"/>
      <c r="Q384" s="5"/>
      <c r="R384" s="5"/>
      <c r="S384" s="5"/>
      <c r="T384" s="5"/>
      <c r="U384" s="5"/>
      <c r="V384" s="5"/>
      <c r="W384" s="5"/>
      <c r="X384" s="5"/>
      <c r="Y384" s="5"/>
      <c r="Z384" s="5"/>
      <c r="AA384" s="5"/>
    </row>
    <row r="385" spans="1:27" ht="12.75" customHeight="1">
      <c r="A385" s="5"/>
      <c r="B385" s="5"/>
      <c r="C385" s="5"/>
      <c r="D385" s="5"/>
      <c r="E385" s="5"/>
      <c r="F385" s="5"/>
      <c r="G385" s="5"/>
      <c r="H385" s="306"/>
      <c r="I385" s="306"/>
      <c r="J385" s="5"/>
      <c r="K385" s="5"/>
      <c r="L385" s="5"/>
      <c r="M385" s="5"/>
      <c r="N385" s="5"/>
      <c r="O385" s="5"/>
      <c r="P385" s="57"/>
      <c r="Q385" s="5"/>
      <c r="R385" s="5"/>
      <c r="S385" s="5"/>
      <c r="T385" s="5"/>
      <c r="U385" s="5"/>
      <c r="V385" s="5"/>
      <c r="W385" s="5"/>
      <c r="X385" s="5"/>
      <c r="Y385" s="5"/>
      <c r="Z385" s="5"/>
      <c r="AA385" s="5"/>
    </row>
    <row r="386" spans="1:27" ht="12.75" customHeight="1">
      <c r="A386" s="5"/>
      <c r="B386" s="5"/>
      <c r="C386" s="5"/>
      <c r="D386" s="5"/>
      <c r="E386" s="5"/>
      <c r="F386" s="5"/>
      <c r="G386" s="5"/>
      <c r="H386" s="306"/>
      <c r="I386" s="306"/>
      <c r="J386" s="5"/>
      <c r="K386" s="5"/>
      <c r="L386" s="5"/>
      <c r="M386" s="5"/>
      <c r="N386" s="5"/>
      <c r="O386" s="5"/>
      <c r="P386" s="57"/>
      <c r="Q386" s="5"/>
      <c r="R386" s="5"/>
      <c r="S386" s="5"/>
      <c r="T386" s="5"/>
      <c r="U386" s="5"/>
      <c r="V386" s="5"/>
      <c r="W386" s="5"/>
      <c r="X386" s="5"/>
      <c r="Y386" s="5"/>
      <c r="Z386" s="5"/>
      <c r="AA386" s="5"/>
    </row>
    <row r="387" spans="1:27" ht="12.75" customHeight="1">
      <c r="A387" s="5"/>
      <c r="B387" s="5"/>
      <c r="C387" s="5"/>
      <c r="D387" s="5"/>
      <c r="E387" s="5"/>
      <c r="F387" s="5"/>
      <c r="G387" s="5"/>
      <c r="H387" s="306"/>
      <c r="I387" s="306"/>
      <c r="J387" s="5"/>
      <c r="K387" s="5"/>
      <c r="L387" s="5"/>
      <c r="M387" s="5"/>
      <c r="N387" s="5"/>
      <c r="O387" s="5"/>
      <c r="P387" s="57"/>
      <c r="Q387" s="5"/>
      <c r="R387" s="5"/>
      <c r="S387" s="5"/>
      <c r="T387" s="5"/>
      <c r="U387" s="5"/>
      <c r="V387" s="5"/>
      <c r="W387" s="5"/>
      <c r="X387" s="5"/>
      <c r="Y387" s="5"/>
      <c r="Z387" s="5"/>
      <c r="AA387" s="5"/>
    </row>
    <row r="388" spans="1:27" ht="12.75" customHeight="1">
      <c r="A388" s="5"/>
      <c r="B388" s="5"/>
      <c r="C388" s="5"/>
      <c r="D388" s="5"/>
      <c r="E388" s="5"/>
      <c r="F388" s="5"/>
      <c r="G388" s="5"/>
      <c r="H388" s="306"/>
      <c r="I388" s="306"/>
      <c r="J388" s="5"/>
      <c r="K388" s="5"/>
      <c r="L388" s="5"/>
      <c r="M388" s="5"/>
      <c r="N388" s="5"/>
      <c r="O388" s="5"/>
      <c r="P388" s="57"/>
      <c r="Q388" s="5"/>
      <c r="R388" s="5"/>
      <c r="S388" s="5"/>
      <c r="T388" s="5"/>
      <c r="U388" s="5"/>
      <c r="V388" s="5"/>
      <c r="W388" s="5"/>
      <c r="X388" s="5"/>
      <c r="Y388" s="5"/>
      <c r="Z388" s="5"/>
      <c r="AA388" s="5"/>
    </row>
    <row r="389" spans="1:27" ht="12.75" customHeight="1">
      <c r="A389" s="5"/>
      <c r="B389" s="5"/>
      <c r="C389" s="5"/>
      <c r="D389" s="5"/>
      <c r="E389" s="5"/>
      <c r="F389" s="5"/>
      <c r="G389" s="5"/>
      <c r="H389" s="306"/>
      <c r="I389" s="306"/>
      <c r="J389" s="5"/>
      <c r="K389" s="5"/>
      <c r="L389" s="5"/>
      <c r="M389" s="5"/>
      <c r="N389" s="5"/>
      <c r="O389" s="5"/>
      <c r="P389" s="57"/>
      <c r="Q389" s="5"/>
      <c r="R389" s="5"/>
      <c r="S389" s="5"/>
      <c r="T389" s="5"/>
      <c r="U389" s="5"/>
      <c r="V389" s="5"/>
      <c r="W389" s="5"/>
      <c r="X389" s="5"/>
      <c r="Y389" s="5"/>
      <c r="Z389" s="5"/>
      <c r="AA389" s="5"/>
    </row>
    <row r="390" spans="1:27" ht="12.75" customHeight="1">
      <c r="A390" s="5"/>
      <c r="B390" s="5"/>
      <c r="C390" s="5"/>
      <c r="D390" s="5"/>
      <c r="E390" s="5"/>
      <c r="F390" s="5"/>
      <c r="G390" s="5"/>
      <c r="H390" s="306"/>
      <c r="I390" s="306"/>
      <c r="J390" s="5"/>
      <c r="K390" s="5"/>
      <c r="L390" s="5"/>
      <c r="M390" s="5"/>
      <c r="N390" s="5"/>
      <c r="O390" s="5"/>
      <c r="P390" s="57"/>
      <c r="Q390" s="5"/>
      <c r="R390" s="5"/>
      <c r="S390" s="5"/>
      <c r="T390" s="5"/>
      <c r="U390" s="5"/>
      <c r="V390" s="5"/>
      <c r="W390" s="5"/>
      <c r="X390" s="5"/>
      <c r="Y390" s="5"/>
      <c r="Z390" s="5"/>
      <c r="AA390" s="5"/>
    </row>
    <row r="391" spans="1:27" ht="12.75" customHeight="1">
      <c r="A391" s="5"/>
      <c r="B391" s="5"/>
      <c r="C391" s="5"/>
      <c r="D391" s="5"/>
      <c r="E391" s="5"/>
      <c r="F391" s="5"/>
      <c r="G391" s="5"/>
      <c r="H391" s="306"/>
      <c r="I391" s="306"/>
      <c r="J391" s="5"/>
      <c r="K391" s="5"/>
      <c r="L391" s="5"/>
      <c r="M391" s="5"/>
      <c r="N391" s="5"/>
      <c r="O391" s="5"/>
      <c r="P391" s="57"/>
      <c r="Q391" s="5"/>
      <c r="R391" s="5"/>
      <c r="S391" s="5"/>
      <c r="T391" s="5"/>
      <c r="U391" s="5"/>
      <c r="V391" s="5"/>
      <c r="W391" s="5"/>
      <c r="X391" s="5"/>
      <c r="Y391" s="5"/>
      <c r="Z391" s="5"/>
      <c r="AA391" s="5"/>
    </row>
    <row r="392" spans="1:27" ht="12.75" customHeight="1">
      <c r="A392" s="5"/>
      <c r="B392" s="5"/>
      <c r="C392" s="5"/>
      <c r="D392" s="5"/>
      <c r="E392" s="5"/>
      <c r="F392" s="5"/>
      <c r="G392" s="5"/>
      <c r="H392" s="306"/>
      <c r="I392" s="306"/>
      <c r="J392" s="5"/>
      <c r="K392" s="5"/>
      <c r="L392" s="5"/>
      <c r="M392" s="5"/>
      <c r="N392" s="5"/>
      <c r="O392" s="5"/>
      <c r="P392" s="57"/>
      <c r="Q392" s="5"/>
      <c r="R392" s="5"/>
      <c r="S392" s="5"/>
      <c r="T392" s="5"/>
      <c r="U392" s="5"/>
      <c r="V392" s="5"/>
      <c r="W392" s="5"/>
      <c r="X392" s="5"/>
      <c r="Y392" s="5"/>
      <c r="Z392" s="5"/>
      <c r="AA392" s="5"/>
    </row>
    <row r="393" spans="1:27" ht="12.75" customHeight="1">
      <c r="A393" s="5"/>
      <c r="B393" s="5"/>
      <c r="C393" s="5"/>
      <c r="D393" s="5"/>
      <c r="E393" s="5"/>
      <c r="F393" s="5"/>
      <c r="G393" s="5"/>
      <c r="H393" s="306"/>
      <c r="I393" s="306"/>
      <c r="J393" s="5"/>
      <c r="K393" s="5"/>
      <c r="L393" s="5"/>
      <c r="M393" s="5"/>
      <c r="N393" s="5"/>
      <c r="O393" s="5"/>
      <c r="P393" s="57"/>
      <c r="Q393" s="5"/>
      <c r="R393" s="5"/>
      <c r="S393" s="5"/>
      <c r="T393" s="5"/>
      <c r="U393" s="5"/>
      <c r="V393" s="5"/>
      <c r="W393" s="5"/>
      <c r="X393" s="5"/>
      <c r="Y393" s="5"/>
      <c r="Z393" s="5"/>
      <c r="AA393" s="5"/>
    </row>
    <row r="394" spans="1:27" ht="12.75" customHeight="1">
      <c r="A394" s="5"/>
      <c r="B394" s="5"/>
      <c r="C394" s="5"/>
      <c r="D394" s="5"/>
      <c r="E394" s="5"/>
      <c r="F394" s="5"/>
      <c r="G394" s="5"/>
      <c r="H394" s="306"/>
      <c r="I394" s="306"/>
      <c r="J394" s="5"/>
      <c r="K394" s="5"/>
      <c r="L394" s="5"/>
      <c r="M394" s="5"/>
      <c r="N394" s="5"/>
      <c r="O394" s="5"/>
      <c r="P394" s="57"/>
      <c r="Q394" s="5"/>
      <c r="R394" s="5"/>
      <c r="S394" s="5"/>
      <c r="T394" s="5"/>
      <c r="U394" s="5"/>
      <c r="V394" s="5"/>
      <c r="W394" s="5"/>
      <c r="X394" s="5"/>
      <c r="Y394" s="5"/>
      <c r="Z394" s="5"/>
      <c r="AA394" s="5"/>
    </row>
    <row r="395" spans="1:27" ht="12.75" customHeight="1">
      <c r="A395" s="5"/>
      <c r="B395" s="5"/>
      <c r="C395" s="5"/>
      <c r="D395" s="5"/>
      <c r="E395" s="5"/>
      <c r="F395" s="5"/>
      <c r="G395" s="5"/>
      <c r="H395" s="306"/>
      <c r="I395" s="306"/>
      <c r="J395" s="5"/>
      <c r="K395" s="5"/>
      <c r="L395" s="5"/>
      <c r="M395" s="5"/>
      <c r="N395" s="5"/>
      <c r="O395" s="5"/>
      <c r="P395" s="57"/>
      <c r="Q395" s="5"/>
      <c r="R395" s="5"/>
      <c r="S395" s="5"/>
      <c r="T395" s="5"/>
      <c r="U395" s="5"/>
      <c r="V395" s="5"/>
      <c r="W395" s="5"/>
      <c r="X395" s="5"/>
      <c r="Y395" s="5"/>
      <c r="Z395" s="5"/>
      <c r="AA395" s="5"/>
    </row>
    <row r="396" spans="1:27" ht="12.75" customHeight="1">
      <c r="A396" s="5"/>
      <c r="B396" s="5"/>
      <c r="C396" s="5"/>
      <c r="D396" s="5"/>
      <c r="E396" s="5"/>
      <c r="F396" s="5"/>
      <c r="G396" s="5"/>
      <c r="H396" s="306"/>
      <c r="I396" s="306"/>
      <c r="J396" s="5"/>
      <c r="K396" s="5"/>
      <c r="L396" s="5"/>
      <c r="M396" s="5"/>
      <c r="N396" s="5"/>
      <c r="O396" s="5"/>
      <c r="P396" s="57"/>
      <c r="Q396" s="5"/>
      <c r="R396" s="5"/>
      <c r="S396" s="5"/>
      <c r="T396" s="5"/>
      <c r="U396" s="5"/>
      <c r="V396" s="5"/>
      <c r="W396" s="5"/>
      <c r="X396" s="5"/>
      <c r="Y396" s="5"/>
      <c r="Z396" s="5"/>
      <c r="AA396" s="5"/>
    </row>
    <row r="397" spans="1:27" ht="12.75" customHeight="1">
      <c r="A397" s="5"/>
      <c r="B397" s="5"/>
      <c r="C397" s="5"/>
      <c r="D397" s="5"/>
      <c r="E397" s="5"/>
      <c r="F397" s="5"/>
      <c r="G397" s="5"/>
      <c r="H397" s="306"/>
      <c r="I397" s="306"/>
      <c r="J397" s="5"/>
      <c r="K397" s="5"/>
      <c r="L397" s="5"/>
      <c r="M397" s="5"/>
      <c r="N397" s="5"/>
      <c r="O397" s="5"/>
      <c r="P397" s="57"/>
      <c r="Q397" s="5"/>
      <c r="R397" s="5"/>
      <c r="S397" s="5"/>
      <c r="T397" s="5"/>
      <c r="U397" s="5"/>
      <c r="V397" s="5"/>
      <c r="W397" s="5"/>
      <c r="X397" s="5"/>
      <c r="Y397" s="5"/>
      <c r="Z397" s="5"/>
      <c r="AA397" s="5"/>
    </row>
    <row r="398" spans="1:27" ht="12.75" customHeight="1">
      <c r="A398" s="5"/>
      <c r="B398" s="5"/>
      <c r="C398" s="5"/>
      <c r="D398" s="5"/>
      <c r="E398" s="5"/>
      <c r="F398" s="5"/>
      <c r="G398" s="5"/>
      <c r="H398" s="306"/>
      <c r="I398" s="306"/>
      <c r="J398" s="5"/>
      <c r="K398" s="5"/>
      <c r="L398" s="5"/>
      <c r="M398" s="5"/>
      <c r="N398" s="5"/>
      <c r="O398" s="5"/>
      <c r="P398" s="57"/>
      <c r="Q398" s="5"/>
      <c r="R398" s="5"/>
      <c r="S398" s="5"/>
      <c r="T398" s="5"/>
      <c r="U398" s="5"/>
      <c r="V398" s="5"/>
      <c r="W398" s="5"/>
      <c r="X398" s="5"/>
      <c r="Y398" s="5"/>
      <c r="Z398" s="5"/>
      <c r="AA398" s="5"/>
    </row>
    <row r="399" spans="1:27" ht="12.75" customHeight="1">
      <c r="A399" s="5"/>
      <c r="B399" s="5"/>
      <c r="C399" s="5"/>
      <c r="D399" s="5"/>
      <c r="E399" s="5"/>
      <c r="F399" s="5"/>
      <c r="G399" s="5"/>
      <c r="H399" s="306"/>
      <c r="I399" s="306"/>
      <c r="J399" s="5"/>
      <c r="K399" s="5"/>
      <c r="L399" s="5"/>
      <c r="M399" s="5"/>
      <c r="N399" s="5"/>
      <c r="O399" s="5"/>
      <c r="P399" s="57"/>
      <c r="Q399" s="5"/>
      <c r="R399" s="5"/>
      <c r="S399" s="5"/>
      <c r="T399" s="5"/>
      <c r="U399" s="5"/>
      <c r="V399" s="5"/>
      <c r="W399" s="5"/>
      <c r="X399" s="5"/>
      <c r="Y399" s="5"/>
      <c r="Z399" s="5"/>
      <c r="AA399" s="5"/>
    </row>
    <row r="400" spans="1:27" ht="12.75" customHeight="1">
      <c r="A400" s="5"/>
      <c r="B400" s="5"/>
      <c r="C400" s="5"/>
      <c r="D400" s="5"/>
      <c r="E400" s="5"/>
      <c r="F400" s="5"/>
      <c r="G400" s="5"/>
      <c r="H400" s="306"/>
      <c r="I400" s="306"/>
      <c r="J400" s="5"/>
      <c r="K400" s="5"/>
      <c r="L400" s="5"/>
      <c r="M400" s="5"/>
      <c r="N400" s="5"/>
      <c r="O400" s="5"/>
      <c r="P400" s="57"/>
      <c r="Q400" s="5"/>
      <c r="R400" s="5"/>
      <c r="S400" s="5"/>
      <c r="T400" s="5"/>
      <c r="U400" s="5"/>
      <c r="V400" s="5"/>
      <c r="W400" s="5"/>
      <c r="X400" s="5"/>
      <c r="Y400" s="5"/>
      <c r="Z400" s="5"/>
      <c r="AA400" s="5"/>
    </row>
    <row r="401" spans="1:27" ht="12.75" customHeight="1">
      <c r="A401" s="5"/>
      <c r="B401" s="5"/>
      <c r="C401" s="5"/>
      <c r="D401" s="5"/>
      <c r="E401" s="5"/>
      <c r="F401" s="5"/>
      <c r="G401" s="5"/>
      <c r="H401" s="306"/>
      <c r="I401" s="306"/>
      <c r="J401" s="5"/>
      <c r="K401" s="5"/>
      <c r="L401" s="5"/>
      <c r="M401" s="5"/>
      <c r="N401" s="5"/>
      <c r="O401" s="5"/>
      <c r="P401" s="57"/>
      <c r="Q401" s="5"/>
      <c r="R401" s="5"/>
      <c r="S401" s="5"/>
      <c r="T401" s="5"/>
      <c r="U401" s="5"/>
      <c r="V401" s="5"/>
      <c r="W401" s="5"/>
      <c r="X401" s="5"/>
      <c r="Y401" s="5"/>
      <c r="Z401" s="5"/>
      <c r="AA401" s="5"/>
    </row>
    <row r="402" spans="1:27" ht="12.75" customHeight="1">
      <c r="A402" s="5"/>
      <c r="B402" s="5"/>
      <c r="C402" s="5"/>
      <c r="D402" s="5"/>
      <c r="E402" s="5"/>
      <c r="F402" s="5"/>
      <c r="G402" s="5"/>
      <c r="H402" s="306"/>
      <c r="I402" s="306"/>
      <c r="J402" s="5"/>
      <c r="K402" s="5"/>
      <c r="L402" s="5"/>
      <c r="M402" s="5"/>
      <c r="N402" s="5"/>
      <c r="O402" s="5"/>
      <c r="P402" s="57"/>
      <c r="Q402" s="5"/>
      <c r="R402" s="5"/>
      <c r="S402" s="5"/>
      <c r="T402" s="5"/>
      <c r="U402" s="5"/>
      <c r="V402" s="5"/>
      <c r="W402" s="5"/>
      <c r="X402" s="5"/>
      <c r="Y402" s="5"/>
      <c r="Z402" s="5"/>
      <c r="AA402" s="5"/>
    </row>
    <row r="403" spans="1:27" ht="12.75" customHeight="1">
      <c r="A403" s="5"/>
      <c r="B403" s="5"/>
      <c r="C403" s="5"/>
      <c r="D403" s="5"/>
      <c r="E403" s="5"/>
      <c r="F403" s="5"/>
      <c r="G403" s="5"/>
      <c r="H403" s="306"/>
      <c r="I403" s="306"/>
      <c r="J403" s="5"/>
      <c r="K403" s="5"/>
      <c r="L403" s="5"/>
      <c r="M403" s="5"/>
      <c r="N403" s="5"/>
      <c r="O403" s="5"/>
      <c r="P403" s="57"/>
      <c r="Q403" s="5"/>
      <c r="R403" s="5"/>
      <c r="S403" s="5"/>
      <c r="T403" s="5"/>
      <c r="U403" s="5"/>
      <c r="V403" s="5"/>
      <c r="W403" s="5"/>
      <c r="X403" s="5"/>
      <c r="Y403" s="5"/>
      <c r="Z403" s="5"/>
      <c r="AA403" s="5"/>
    </row>
    <row r="404" spans="1:27" ht="12.75" customHeight="1">
      <c r="A404" s="5"/>
      <c r="B404" s="5"/>
      <c r="C404" s="5"/>
      <c r="D404" s="5"/>
      <c r="E404" s="5"/>
      <c r="F404" s="5"/>
      <c r="G404" s="5"/>
      <c r="H404" s="306"/>
      <c r="I404" s="306"/>
      <c r="J404" s="5"/>
      <c r="K404" s="5"/>
      <c r="L404" s="5"/>
      <c r="M404" s="5"/>
      <c r="N404" s="5"/>
      <c r="O404" s="5"/>
      <c r="P404" s="57"/>
      <c r="Q404" s="5"/>
      <c r="R404" s="5"/>
      <c r="S404" s="5"/>
      <c r="T404" s="5"/>
      <c r="U404" s="5"/>
      <c r="V404" s="5"/>
      <c r="W404" s="5"/>
      <c r="X404" s="5"/>
      <c r="Y404" s="5"/>
      <c r="Z404" s="5"/>
      <c r="AA404" s="5"/>
    </row>
    <row r="405" spans="1:27" ht="12.75" customHeight="1">
      <c r="A405" s="5"/>
      <c r="B405" s="5"/>
      <c r="C405" s="5"/>
      <c r="D405" s="5"/>
      <c r="E405" s="5"/>
      <c r="F405" s="5"/>
      <c r="G405" s="5"/>
      <c r="H405" s="306"/>
      <c r="I405" s="306"/>
      <c r="J405" s="5"/>
      <c r="K405" s="5"/>
      <c r="L405" s="5"/>
      <c r="M405" s="5"/>
      <c r="N405" s="5"/>
      <c r="O405" s="5"/>
      <c r="P405" s="57"/>
      <c r="Q405" s="5"/>
      <c r="R405" s="5"/>
      <c r="S405" s="5"/>
      <c r="T405" s="5"/>
      <c r="U405" s="5"/>
      <c r="V405" s="5"/>
      <c r="W405" s="5"/>
      <c r="X405" s="5"/>
      <c r="Y405" s="5"/>
      <c r="Z405" s="5"/>
      <c r="AA405" s="5"/>
    </row>
    <row r="406" spans="1:27" ht="12.75" customHeight="1">
      <c r="A406" s="5"/>
      <c r="B406" s="5"/>
      <c r="C406" s="5"/>
      <c r="D406" s="5"/>
      <c r="E406" s="5"/>
      <c r="F406" s="5"/>
      <c r="G406" s="5"/>
      <c r="H406" s="306"/>
      <c r="I406" s="306"/>
      <c r="J406" s="5"/>
      <c r="K406" s="5"/>
      <c r="L406" s="5"/>
      <c r="M406" s="5"/>
      <c r="N406" s="5"/>
      <c r="O406" s="5"/>
      <c r="P406" s="57"/>
      <c r="Q406" s="5"/>
      <c r="R406" s="5"/>
      <c r="S406" s="5"/>
      <c r="T406" s="5"/>
      <c r="U406" s="5"/>
      <c r="V406" s="5"/>
      <c r="W406" s="5"/>
      <c r="X406" s="5"/>
      <c r="Y406" s="5"/>
      <c r="Z406" s="5"/>
      <c r="AA406" s="5"/>
    </row>
    <row r="407" spans="1:27" ht="12.75" customHeight="1">
      <c r="A407" s="5"/>
      <c r="B407" s="5"/>
      <c r="C407" s="5"/>
      <c r="D407" s="5"/>
      <c r="E407" s="5"/>
      <c r="F407" s="5"/>
      <c r="G407" s="5"/>
      <c r="H407" s="306"/>
      <c r="I407" s="306"/>
      <c r="J407" s="5"/>
      <c r="K407" s="5"/>
      <c r="L407" s="5"/>
      <c r="M407" s="5"/>
      <c r="N407" s="5"/>
      <c r="O407" s="5"/>
      <c r="P407" s="57"/>
      <c r="Q407" s="5"/>
      <c r="R407" s="5"/>
      <c r="S407" s="5"/>
      <c r="T407" s="5"/>
      <c r="U407" s="5"/>
      <c r="V407" s="5"/>
      <c r="W407" s="5"/>
      <c r="X407" s="5"/>
      <c r="Y407" s="5"/>
      <c r="Z407" s="5"/>
      <c r="AA407" s="5"/>
    </row>
    <row r="408" spans="1:27" ht="12.75" customHeight="1">
      <c r="A408" s="5"/>
      <c r="B408" s="5"/>
      <c r="C408" s="5"/>
      <c r="D408" s="5"/>
      <c r="E408" s="5"/>
      <c r="F408" s="5"/>
      <c r="G408" s="5"/>
      <c r="H408" s="306"/>
      <c r="I408" s="306"/>
      <c r="J408" s="5"/>
      <c r="K408" s="5"/>
      <c r="L408" s="5"/>
      <c r="M408" s="5"/>
      <c r="N408" s="5"/>
      <c r="O408" s="5"/>
      <c r="P408" s="57"/>
      <c r="Q408" s="5"/>
      <c r="R408" s="5"/>
      <c r="S408" s="5"/>
      <c r="T408" s="5"/>
      <c r="U408" s="5"/>
      <c r="V408" s="5"/>
      <c r="W408" s="5"/>
      <c r="X408" s="5"/>
      <c r="Y408" s="5"/>
      <c r="Z408" s="5"/>
      <c r="AA408" s="5"/>
    </row>
    <row r="409" spans="1:27" ht="12.75" customHeight="1">
      <c r="A409" s="5"/>
      <c r="B409" s="5"/>
      <c r="C409" s="5"/>
      <c r="D409" s="5"/>
      <c r="E409" s="5"/>
      <c r="F409" s="5"/>
      <c r="G409" s="5"/>
      <c r="H409" s="306"/>
      <c r="I409" s="306"/>
      <c r="J409" s="5"/>
      <c r="K409" s="5"/>
      <c r="L409" s="5"/>
      <c r="M409" s="5"/>
      <c r="N409" s="5"/>
      <c r="O409" s="5"/>
      <c r="P409" s="57"/>
      <c r="Q409" s="5"/>
      <c r="R409" s="5"/>
      <c r="S409" s="5"/>
      <c r="T409" s="5"/>
      <c r="U409" s="5"/>
      <c r="V409" s="5"/>
      <c r="W409" s="5"/>
      <c r="X409" s="5"/>
      <c r="Y409" s="5"/>
      <c r="Z409" s="5"/>
      <c r="AA409" s="5"/>
    </row>
    <row r="410" spans="1:27" ht="12.75" customHeight="1">
      <c r="A410" s="5"/>
      <c r="B410" s="5"/>
      <c r="C410" s="5"/>
      <c r="D410" s="5"/>
      <c r="E410" s="5"/>
      <c r="F410" s="5"/>
      <c r="G410" s="5"/>
      <c r="H410" s="306"/>
      <c r="I410" s="306"/>
      <c r="J410" s="5"/>
      <c r="K410" s="5"/>
      <c r="L410" s="5"/>
      <c r="M410" s="5"/>
      <c r="N410" s="5"/>
      <c r="O410" s="5"/>
      <c r="P410" s="57"/>
      <c r="Q410" s="5"/>
      <c r="R410" s="5"/>
      <c r="S410" s="5"/>
      <c r="T410" s="5"/>
      <c r="U410" s="5"/>
      <c r="V410" s="5"/>
      <c r="W410" s="5"/>
      <c r="X410" s="5"/>
      <c r="Y410" s="5"/>
      <c r="Z410" s="5"/>
      <c r="AA410" s="5"/>
    </row>
    <row r="411" spans="1:27" ht="12.75" customHeight="1">
      <c r="A411" s="5"/>
      <c r="B411" s="5"/>
      <c r="C411" s="5"/>
      <c r="D411" s="5"/>
      <c r="E411" s="5"/>
      <c r="F411" s="5"/>
      <c r="G411" s="5"/>
      <c r="H411" s="306"/>
      <c r="I411" s="306"/>
      <c r="J411" s="5"/>
      <c r="K411" s="5"/>
      <c r="L411" s="5"/>
      <c r="M411" s="5"/>
      <c r="N411" s="5"/>
      <c r="O411" s="5"/>
      <c r="P411" s="57"/>
      <c r="Q411" s="5"/>
      <c r="R411" s="5"/>
      <c r="S411" s="5"/>
      <c r="T411" s="5"/>
      <c r="U411" s="5"/>
      <c r="V411" s="5"/>
      <c r="W411" s="5"/>
      <c r="X411" s="5"/>
      <c r="Y411" s="5"/>
      <c r="Z411" s="5"/>
      <c r="AA411" s="5"/>
    </row>
    <row r="412" spans="1:27" ht="12.75" customHeight="1">
      <c r="A412" s="5"/>
      <c r="B412" s="5"/>
      <c r="C412" s="5"/>
      <c r="D412" s="5"/>
      <c r="E412" s="5"/>
      <c r="F412" s="5"/>
      <c r="G412" s="5"/>
      <c r="H412" s="306"/>
      <c r="I412" s="306"/>
      <c r="J412" s="5"/>
      <c r="K412" s="5"/>
      <c r="L412" s="5"/>
      <c r="M412" s="5"/>
      <c r="N412" s="5"/>
      <c r="O412" s="5"/>
      <c r="P412" s="57"/>
      <c r="Q412" s="5"/>
      <c r="R412" s="5"/>
      <c r="S412" s="5"/>
      <c r="T412" s="5"/>
      <c r="U412" s="5"/>
      <c r="V412" s="5"/>
      <c r="W412" s="5"/>
      <c r="X412" s="5"/>
      <c r="Y412" s="5"/>
      <c r="Z412" s="5"/>
      <c r="AA412" s="5"/>
    </row>
    <row r="413" spans="1:27" ht="12.75" customHeight="1">
      <c r="A413" s="5"/>
      <c r="B413" s="5"/>
      <c r="C413" s="5"/>
      <c r="D413" s="5"/>
      <c r="E413" s="5"/>
      <c r="F413" s="5"/>
      <c r="G413" s="5"/>
      <c r="H413" s="306"/>
      <c r="I413" s="306"/>
      <c r="J413" s="5"/>
      <c r="K413" s="5"/>
      <c r="L413" s="5"/>
      <c r="M413" s="5"/>
      <c r="N413" s="5"/>
      <c r="O413" s="5"/>
      <c r="P413" s="57"/>
      <c r="Q413" s="5"/>
      <c r="R413" s="5"/>
      <c r="S413" s="5"/>
      <c r="T413" s="5"/>
      <c r="U413" s="5"/>
      <c r="V413" s="5"/>
      <c r="W413" s="5"/>
      <c r="X413" s="5"/>
      <c r="Y413" s="5"/>
      <c r="Z413" s="5"/>
      <c r="AA413" s="5"/>
    </row>
    <row r="414" spans="1:27" ht="12.75" customHeight="1">
      <c r="A414" s="5"/>
      <c r="B414" s="5"/>
      <c r="C414" s="5"/>
      <c r="D414" s="5"/>
      <c r="E414" s="5"/>
      <c r="F414" s="5"/>
      <c r="G414" s="5"/>
      <c r="H414" s="306"/>
      <c r="I414" s="306"/>
      <c r="J414" s="5"/>
      <c r="K414" s="5"/>
      <c r="L414" s="5"/>
      <c r="M414" s="5"/>
      <c r="N414" s="5"/>
      <c r="O414" s="5"/>
      <c r="P414" s="57"/>
      <c r="Q414" s="5"/>
      <c r="R414" s="5"/>
      <c r="S414" s="5"/>
      <c r="T414" s="5"/>
      <c r="U414" s="5"/>
      <c r="V414" s="5"/>
      <c r="W414" s="5"/>
      <c r="X414" s="5"/>
      <c r="Y414" s="5"/>
      <c r="Z414" s="5"/>
      <c r="AA414" s="5"/>
    </row>
    <row r="415" spans="1:27" ht="12.75" customHeight="1">
      <c r="A415" s="5"/>
      <c r="B415" s="5"/>
      <c r="C415" s="5"/>
      <c r="D415" s="5"/>
      <c r="E415" s="5"/>
      <c r="F415" s="5"/>
      <c r="G415" s="5"/>
      <c r="H415" s="306"/>
      <c r="I415" s="306"/>
      <c r="J415" s="5"/>
      <c r="K415" s="5"/>
      <c r="L415" s="5"/>
      <c r="M415" s="5"/>
      <c r="N415" s="5"/>
      <c r="O415" s="5"/>
      <c r="P415" s="57"/>
      <c r="Q415" s="5"/>
      <c r="R415" s="5"/>
      <c r="S415" s="5"/>
      <c r="T415" s="5"/>
      <c r="U415" s="5"/>
      <c r="V415" s="5"/>
      <c r="W415" s="5"/>
      <c r="X415" s="5"/>
      <c r="Y415" s="5"/>
      <c r="Z415" s="5"/>
      <c r="AA415" s="5"/>
    </row>
    <row r="416" spans="1:27" ht="12.75" customHeight="1">
      <c r="A416" s="5"/>
      <c r="B416" s="5"/>
      <c r="C416" s="5"/>
      <c r="D416" s="5"/>
      <c r="E416" s="5"/>
      <c r="F416" s="5"/>
      <c r="G416" s="5"/>
      <c r="H416" s="306"/>
      <c r="I416" s="306"/>
      <c r="J416" s="5"/>
      <c r="K416" s="5"/>
      <c r="L416" s="5"/>
      <c r="M416" s="5"/>
      <c r="N416" s="5"/>
      <c r="O416" s="5"/>
      <c r="P416" s="57"/>
      <c r="Q416" s="5"/>
      <c r="R416" s="5"/>
      <c r="S416" s="5"/>
      <c r="T416" s="5"/>
      <c r="U416" s="5"/>
      <c r="V416" s="5"/>
      <c r="W416" s="5"/>
      <c r="X416" s="5"/>
      <c r="Y416" s="5"/>
      <c r="Z416" s="5"/>
      <c r="AA416" s="5"/>
    </row>
    <row r="417" spans="1:27" ht="12.75" customHeight="1">
      <c r="A417" s="5"/>
      <c r="B417" s="5"/>
      <c r="C417" s="5"/>
      <c r="D417" s="5"/>
      <c r="E417" s="5"/>
      <c r="F417" s="5"/>
      <c r="G417" s="5"/>
      <c r="H417" s="306"/>
      <c r="I417" s="306"/>
      <c r="J417" s="5"/>
      <c r="K417" s="5"/>
      <c r="L417" s="5"/>
      <c r="M417" s="5"/>
      <c r="N417" s="5"/>
      <c r="O417" s="5"/>
      <c r="P417" s="57"/>
      <c r="Q417" s="5"/>
      <c r="R417" s="5"/>
      <c r="S417" s="5"/>
      <c r="T417" s="5"/>
      <c r="U417" s="5"/>
      <c r="V417" s="5"/>
      <c r="W417" s="5"/>
      <c r="X417" s="5"/>
      <c r="Y417" s="5"/>
      <c r="Z417" s="5"/>
      <c r="AA417" s="5"/>
    </row>
    <row r="418" spans="1:27" ht="12.75" customHeight="1">
      <c r="A418" s="5"/>
      <c r="B418" s="5"/>
      <c r="C418" s="5"/>
      <c r="D418" s="5"/>
      <c r="E418" s="5"/>
      <c r="F418" s="5"/>
      <c r="G418" s="5"/>
      <c r="H418" s="306"/>
      <c r="I418" s="306"/>
      <c r="J418" s="5"/>
      <c r="K418" s="5"/>
      <c r="L418" s="5"/>
      <c r="M418" s="5"/>
      <c r="N418" s="5"/>
      <c r="O418" s="5"/>
      <c r="P418" s="57"/>
      <c r="Q418" s="5"/>
      <c r="R418" s="5"/>
      <c r="S418" s="5"/>
      <c r="T418" s="5"/>
      <c r="U418" s="5"/>
      <c r="V418" s="5"/>
      <c r="W418" s="5"/>
      <c r="X418" s="5"/>
      <c r="Y418" s="5"/>
      <c r="Z418" s="5"/>
      <c r="AA418" s="5"/>
    </row>
    <row r="419" spans="1:27" ht="12.75" customHeight="1">
      <c r="A419" s="5"/>
      <c r="B419" s="5"/>
      <c r="C419" s="5"/>
      <c r="D419" s="5"/>
      <c r="E419" s="5"/>
      <c r="F419" s="5"/>
      <c r="G419" s="5"/>
      <c r="H419" s="306"/>
      <c r="I419" s="306"/>
      <c r="J419" s="5"/>
      <c r="K419" s="5"/>
      <c r="L419" s="5"/>
      <c r="M419" s="5"/>
      <c r="N419" s="5"/>
      <c r="O419" s="5"/>
      <c r="P419" s="57"/>
      <c r="Q419" s="5"/>
      <c r="R419" s="5"/>
      <c r="S419" s="5"/>
      <c r="T419" s="5"/>
      <c r="U419" s="5"/>
      <c r="V419" s="5"/>
      <c r="W419" s="5"/>
      <c r="X419" s="5"/>
      <c r="Y419" s="5"/>
      <c r="Z419" s="5"/>
      <c r="AA419" s="5"/>
    </row>
    <row r="420" spans="1:27" ht="12.75" customHeight="1">
      <c r="A420" s="5"/>
      <c r="B420" s="5"/>
      <c r="C420" s="5"/>
      <c r="D420" s="5"/>
      <c r="E420" s="5"/>
      <c r="F420" s="5"/>
      <c r="G420" s="5"/>
      <c r="H420" s="306"/>
      <c r="I420" s="306"/>
      <c r="J420" s="5"/>
      <c r="K420" s="5"/>
      <c r="L420" s="5"/>
      <c r="M420" s="5"/>
      <c r="N420" s="5"/>
      <c r="O420" s="5"/>
      <c r="P420" s="57"/>
      <c r="Q420" s="5"/>
      <c r="R420" s="5"/>
      <c r="S420" s="5"/>
      <c r="T420" s="5"/>
      <c r="U420" s="5"/>
      <c r="V420" s="5"/>
      <c r="W420" s="5"/>
      <c r="X420" s="5"/>
      <c r="Y420" s="5"/>
      <c r="Z420" s="5"/>
      <c r="AA420" s="5"/>
    </row>
    <row r="421" spans="1:27" ht="12.75" customHeight="1">
      <c r="A421" s="5"/>
      <c r="B421" s="5"/>
      <c r="C421" s="5"/>
      <c r="D421" s="5"/>
      <c r="E421" s="5"/>
      <c r="F421" s="5"/>
      <c r="G421" s="5"/>
      <c r="H421" s="306"/>
      <c r="I421" s="306"/>
      <c r="J421" s="5"/>
      <c r="K421" s="5"/>
      <c r="L421" s="5"/>
      <c r="M421" s="5"/>
      <c r="N421" s="5"/>
      <c r="O421" s="5"/>
      <c r="P421" s="57"/>
      <c r="Q421" s="5"/>
      <c r="R421" s="5"/>
      <c r="S421" s="5"/>
      <c r="T421" s="5"/>
      <c r="U421" s="5"/>
      <c r="V421" s="5"/>
      <c r="W421" s="5"/>
      <c r="X421" s="5"/>
      <c r="Y421" s="5"/>
      <c r="Z421" s="5"/>
      <c r="AA421" s="5"/>
    </row>
    <row r="422" spans="1:27" ht="12.75" customHeight="1">
      <c r="A422" s="5"/>
      <c r="B422" s="5"/>
      <c r="C422" s="5"/>
      <c r="D422" s="5"/>
      <c r="E422" s="5"/>
      <c r="F422" s="5"/>
      <c r="G422" s="5"/>
      <c r="H422" s="306"/>
      <c r="I422" s="306"/>
      <c r="J422" s="5"/>
      <c r="K422" s="5"/>
      <c r="L422" s="5"/>
      <c r="M422" s="5"/>
      <c r="N422" s="5"/>
      <c r="O422" s="5"/>
      <c r="P422" s="57"/>
      <c r="Q422" s="5"/>
      <c r="R422" s="5"/>
      <c r="S422" s="5"/>
      <c r="T422" s="5"/>
      <c r="U422" s="5"/>
      <c r="V422" s="5"/>
      <c r="W422" s="5"/>
      <c r="X422" s="5"/>
      <c r="Y422" s="5"/>
      <c r="Z422" s="5"/>
      <c r="AA422" s="5"/>
    </row>
    <row r="423" spans="1:27" ht="12.75" customHeight="1">
      <c r="A423" s="5"/>
      <c r="B423" s="5"/>
      <c r="C423" s="5"/>
      <c r="D423" s="5"/>
      <c r="E423" s="5"/>
      <c r="F423" s="5"/>
      <c r="G423" s="5"/>
      <c r="H423" s="306"/>
      <c r="I423" s="306"/>
      <c r="J423" s="5"/>
      <c r="K423" s="5"/>
      <c r="L423" s="5"/>
      <c r="M423" s="5"/>
      <c r="N423" s="5"/>
      <c r="O423" s="5"/>
      <c r="P423" s="57"/>
      <c r="Q423" s="5"/>
      <c r="R423" s="5"/>
      <c r="S423" s="5"/>
      <c r="T423" s="5"/>
      <c r="U423" s="5"/>
      <c r="V423" s="5"/>
      <c r="W423" s="5"/>
      <c r="X423" s="5"/>
      <c r="Y423" s="5"/>
      <c r="Z423" s="5"/>
      <c r="AA423" s="5"/>
    </row>
    <row r="424" spans="1:27" ht="12.75" customHeight="1">
      <c r="A424" s="5"/>
      <c r="B424" s="5"/>
      <c r="C424" s="5"/>
      <c r="D424" s="5"/>
      <c r="E424" s="5"/>
      <c r="F424" s="5"/>
      <c r="G424" s="5"/>
      <c r="H424" s="306"/>
      <c r="I424" s="306"/>
      <c r="J424" s="5"/>
      <c r="K424" s="5"/>
      <c r="L424" s="5"/>
      <c r="M424" s="5"/>
      <c r="N424" s="5"/>
      <c r="O424" s="5"/>
      <c r="P424" s="57"/>
      <c r="Q424" s="5"/>
      <c r="R424" s="5"/>
      <c r="S424" s="5"/>
      <c r="T424" s="5"/>
      <c r="U424" s="5"/>
      <c r="V424" s="5"/>
      <c r="W424" s="5"/>
      <c r="X424" s="5"/>
      <c r="Y424" s="5"/>
      <c r="Z424" s="5"/>
      <c r="AA424" s="5"/>
    </row>
    <row r="425" spans="1:27" ht="12.75" customHeight="1">
      <c r="A425" s="5"/>
      <c r="B425" s="5"/>
      <c r="C425" s="5"/>
      <c r="D425" s="5"/>
      <c r="E425" s="5"/>
      <c r="F425" s="5"/>
      <c r="G425" s="5"/>
      <c r="H425" s="306"/>
      <c r="I425" s="306"/>
      <c r="J425" s="5"/>
      <c r="K425" s="5"/>
      <c r="L425" s="5"/>
      <c r="M425" s="5"/>
      <c r="N425" s="5"/>
      <c r="O425" s="5"/>
      <c r="P425" s="57"/>
      <c r="Q425" s="5"/>
      <c r="R425" s="5"/>
      <c r="S425" s="5"/>
      <c r="T425" s="5"/>
      <c r="U425" s="5"/>
      <c r="V425" s="5"/>
      <c r="W425" s="5"/>
      <c r="X425" s="5"/>
      <c r="Y425" s="5"/>
      <c r="Z425" s="5"/>
      <c r="AA425" s="5"/>
    </row>
    <row r="426" spans="1:27" ht="12.75" customHeight="1">
      <c r="A426" s="5"/>
      <c r="B426" s="5"/>
      <c r="C426" s="5"/>
      <c r="D426" s="5"/>
      <c r="E426" s="5"/>
      <c r="F426" s="5"/>
      <c r="G426" s="5"/>
      <c r="H426" s="306"/>
      <c r="I426" s="306"/>
      <c r="J426" s="5"/>
      <c r="K426" s="5"/>
      <c r="L426" s="5"/>
      <c r="M426" s="5"/>
      <c r="N426" s="5"/>
      <c r="O426" s="5"/>
      <c r="P426" s="57"/>
      <c r="Q426" s="5"/>
      <c r="R426" s="5"/>
      <c r="S426" s="5"/>
      <c r="T426" s="5"/>
      <c r="U426" s="5"/>
      <c r="V426" s="5"/>
      <c r="W426" s="5"/>
      <c r="X426" s="5"/>
      <c r="Y426" s="5"/>
      <c r="Z426" s="5"/>
      <c r="AA426" s="5"/>
    </row>
    <row r="427" spans="1:27" ht="12.75" customHeight="1">
      <c r="A427" s="5"/>
      <c r="B427" s="5"/>
      <c r="C427" s="5"/>
      <c r="D427" s="5"/>
      <c r="E427" s="5"/>
      <c r="F427" s="5"/>
      <c r="G427" s="5"/>
      <c r="H427" s="306"/>
      <c r="I427" s="306"/>
      <c r="J427" s="5"/>
      <c r="K427" s="5"/>
      <c r="L427" s="5"/>
      <c r="M427" s="5"/>
      <c r="N427" s="5"/>
      <c r="O427" s="5"/>
      <c r="P427" s="57"/>
      <c r="Q427" s="5"/>
      <c r="R427" s="5"/>
      <c r="S427" s="5"/>
      <c r="T427" s="5"/>
      <c r="U427" s="5"/>
      <c r="V427" s="5"/>
      <c r="W427" s="5"/>
      <c r="X427" s="5"/>
      <c r="Y427" s="5"/>
      <c r="Z427" s="5"/>
      <c r="AA427" s="5"/>
    </row>
    <row r="428" spans="1:27" ht="12.75" customHeight="1">
      <c r="A428" s="5"/>
      <c r="B428" s="5"/>
      <c r="C428" s="5"/>
      <c r="D428" s="5"/>
      <c r="E428" s="5"/>
      <c r="F428" s="5"/>
      <c r="G428" s="5"/>
      <c r="H428" s="306"/>
      <c r="I428" s="306"/>
      <c r="J428" s="5"/>
      <c r="K428" s="5"/>
      <c r="L428" s="5"/>
      <c r="M428" s="5"/>
      <c r="N428" s="5"/>
      <c r="O428" s="5"/>
      <c r="P428" s="57"/>
      <c r="Q428" s="5"/>
      <c r="R428" s="5"/>
      <c r="S428" s="5"/>
      <c r="T428" s="5"/>
      <c r="U428" s="5"/>
      <c r="V428" s="5"/>
      <c r="W428" s="5"/>
      <c r="X428" s="5"/>
      <c r="Y428" s="5"/>
      <c r="Z428" s="5"/>
      <c r="AA428" s="5"/>
    </row>
    <row r="429" spans="1:27" ht="12.75" customHeight="1">
      <c r="A429" s="5"/>
      <c r="B429" s="5"/>
      <c r="C429" s="5"/>
      <c r="D429" s="5"/>
      <c r="E429" s="5"/>
      <c r="F429" s="5"/>
      <c r="G429" s="5"/>
      <c r="H429" s="306"/>
      <c r="I429" s="306"/>
      <c r="J429" s="5"/>
      <c r="K429" s="5"/>
      <c r="L429" s="5"/>
      <c r="M429" s="5"/>
      <c r="N429" s="5"/>
      <c r="O429" s="5"/>
      <c r="P429" s="57"/>
      <c r="Q429" s="5"/>
      <c r="R429" s="5"/>
      <c r="S429" s="5"/>
      <c r="T429" s="5"/>
      <c r="U429" s="5"/>
      <c r="V429" s="5"/>
      <c r="W429" s="5"/>
      <c r="X429" s="5"/>
      <c r="Y429" s="5"/>
      <c r="Z429" s="5"/>
      <c r="AA429" s="5"/>
    </row>
    <row r="430" spans="1:27" ht="12.75" customHeight="1">
      <c r="A430" s="5"/>
      <c r="B430" s="5"/>
      <c r="C430" s="5"/>
      <c r="D430" s="5"/>
      <c r="E430" s="5"/>
      <c r="F430" s="5"/>
      <c r="G430" s="5"/>
      <c r="H430" s="306"/>
      <c r="I430" s="306"/>
      <c r="J430" s="5"/>
      <c r="K430" s="5"/>
      <c r="L430" s="5"/>
      <c r="M430" s="5"/>
      <c r="N430" s="5"/>
      <c r="O430" s="5"/>
      <c r="P430" s="57"/>
      <c r="Q430" s="5"/>
      <c r="R430" s="5"/>
      <c r="S430" s="5"/>
      <c r="T430" s="5"/>
      <c r="U430" s="5"/>
      <c r="V430" s="5"/>
      <c r="W430" s="5"/>
      <c r="X430" s="5"/>
      <c r="Y430" s="5"/>
      <c r="Z430" s="5"/>
      <c r="AA430" s="5"/>
    </row>
    <row r="431" spans="1:27" ht="12.75" customHeight="1">
      <c r="A431" s="5"/>
      <c r="B431" s="5"/>
      <c r="C431" s="5"/>
      <c r="D431" s="5"/>
      <c r="E431" s="5"/>
      <c r="F431" s="5"/>
      <c r="G431" s="5"/>
      <c r="H431" s="306"/>
      <c r="I431" s="306"/>
      <c r="J431" s="5"/>
      <c r="K431" s="5"/>
      <c r="L431" s="5"/>
      <c r="M431" s="5"/>
      <c r="N431" s="5"/>
      <c r="O431" s="5"/>
      <c r="P431" s="57"/>
      <c r="Q431" s="5"/>
      <c r="R431" s="5"/>
      <c r="S431" s="5"/>
      <c r="T431" s="5"/>
      <c r="U431" s="5"/>
      <c r="V431" s="5"/>
      <c r="W431" s="5"/>
      <c r="X431" s="5"/>
      <c r="Y431" s="5"/>
      <c r="Z431" s="5"/>
      <c r="AA431" s="5"/>
    </row>
    <row r="432" spans="1:27" ht="12.75" customHeight="1">
      <c r="A432" s="5"/>
      <c r="B432" s="5"/>
      <c r="C432" s="5"/>
      <c r="D432" s="5"/>
      <c r="E432" s="5"/>
      <c r="F432" s="5"/>
      <c r="G432" s="5"/>
      <c r="H432" s="306"/>
      <c r="I432" s="306"/>
      <c r="J432" s="5"/>
      <c r="K432" s="5"/>
      <c r="L432" s="5"/>
      <c r="M432" s="5"/>
      <c r="N432" s="5"/>
      <c r="O432" s="5"/>
      <c r="P432" s="57"/>
      <c r="Q432" s="5"/>
      <c r="R432" s="5"/>
      <c r="S432" s="5"/>
      <c r="T432" s="5"/>
      <c r="U432" s="5"/>
      <c r="V432" s="5"/>
      <c r="W432" s="5"/>
      <c r="X432" s="5"/>
      <c r="Y432" s="5"/>
      <c r="Z432" s="5"/>
      <c r="AA432" s="5"/>
    </row>
    <row r="433" spans="1:27" ht="12.75" customHeight="1">
      <c r="A433" s="5"/>
      <c r="B433" s="5"/>
      <c r="C433" s="5"/>
      <c r="D433" s="5"/>
      <c r="E433" s="5"/>
      <c r="F433" s="5"/>
      <c r="G433" s="5"/>
      <c r="H433" s="306"/>
      <c r="I433" s="306"/>
      <c r="J433" s="5"/>
      <c r="K433" s="5"/>
      <c r="L433" s="5"/>
      <c r="M433" s="5"/>
      <c r="N433" s="5"/>
      <c r="O433" s="5"/>
      <c r="P433" s="57"/>
      <c r="Q433" s="5"/>
      <c r="R433" s="5"/>
      <c r="S433" s="5"/>
      <c r="T433" s="5"/>
      <c r="U433" s="5"/>
      <c r="V433" s="5"/>
      <c r="W433" s="5"/>
      <c r="X433" s="5"/>
      <c r="Y433" s="5"/>
      <c r="Z433" s="5"/>
      <c r="AA433" s="5"/>
    </row>
    <row r="434" spans="1:27" ht="12.75" customHeight="1">
      <c r="A434" s="5"/>
      <c r="B434" s="5"/>
      <c r="C434" s="5"/>
      <c r="D434" s="5"/>
      <c r="E434" s="5"/>
      <c r="F434" s="5"/>
      <c r="G434" s="5"/>
      <c r="H434" s="306"/>
      <c r="I434" s="306"/>
      <c r="J434" s="5"/>
      <c r="K434" s="5"/>
      <c r="L434" s="5"/>
      <c r="M434" s="5"/>
      <c r="N434" s="5"/>
      <c r="O434" s="5"/>
      <c r="P434" s="57"/>
      <c r="Q434" s="5"/>
      <c r="R434" s="5"/>
      <c r="S434" s="5"/>
      <c r="T434" s="5"/>
      <c r="U434" s="5"/>
      <c r="V434" s="5"/>
      <c r="W434" s="5"/>
      <c r="X434" s="5"/>
      <c r="Y434" s="5"/>
      <c r="Z434" s="5"/>
      <c r="AA434" s="5"/>
    </row>
    <row r="435" spans="1:27" ht="12.75" customHeight="1">
      <c r="A435" s="5"/>
      <c r="B435" s="5"/>
      <c r="C435" s="5"/>
      <c r="D435" s="5"/>
      <c r="E435" s="5"/>
      <c r="F435" s="5"/>
      <c r="G435" s="5"/>
      <c r="H435" s="306"/>
      <c r="I435" s="306"/>
      <c r="J435" s="5"/>
      <c r="K435" s="5"/>
      <c r="L435" s="5"/>
      <c r="M435" s="5"/>
      <c r="N435" s="5"/>
      <c r="O435" s="5"/>
      <c r="P435" s="57"/>
      <c r="Q435" s="5"/>
      <c r="R435" s="5"/>
      <c r="S435" s="5"/>
      <c r="T435" s="5"/>
      <c r="U435" s="5"/>
      <c r="V435" s="5"/>
      <c r="W435" s="5"/>
      <c r="X435" s="5"/>
      <c r="Y435" s="5"/>
      <c r="Z435" s="5"/>
      <c r="AA435" s="5"/>
    </row>
    <row r="436" spans="1:27" ht="12.75" customHeight="1">
      <c r="A436" s="5"/>
      <c r="B436" s="5"/>
      <c r="C436" s="5"/>
      <c r="D436" s="5"/>
      <c r="E436" s="5"/>
      <c r="F436" s="5"/>
      <c r="G436" s="5"/>
      <c r="H436" s="306"/>
      <c r="I436" s="306"/>
      <c r="J436" s="5"/>
      <c r="K436" s="5"/>
      <c r="L436" s="5"/>
      <c r="M436" s="5"/>
      <c r="N436" s="5"/>
      <c r="O436" s="5"/>
      <c r="P436" s="57"/>
      <c r="Q436" s="5"/>
      <c r="R436" s="5"/>
      <c r="S436" s="5"/>
      <c r="T436" s="5"/>
      <c r="U436" s="5"/>
      <c r="V436" s="5"/>
      <c r="W436" s="5"/>
      <c r="X436" s="5"/>
      <c r="Y436" s="5"/>
      <c r="Z436" s="5"/>
      <c r="AA436" s="5"/>
    </row>
    <row r="437" spans="1:27" ht="12.75" customHeight="1">
      <c r="A437" s="5"/>
      <c r="B437" s="5"/>
      <c r="C437" s="5"/>
      <c r="D437" s="5"/>
      <c r="E437" s="5"/>
      <c r="F437" s="5"/>
      <c r="G437" s="5"/>
      <c r="H437" s="306"/>
      <c r="I437" s="306"/>
      <c r="J437" s="5"/>
      <c r="K437" s="5"/>
      <c r="L437" s="5"/>
      <c r="M437" s="5"/>
      <c r="N437" s="5"/>
      <c r="O437" s="5"/>
      <c r="P437" s="57"/>
      <c r="Q437" s="5"/>
      <c r="R437" s="5"/>
      <c r="S437" s="5"/>
      <c r="T437" s="5"/>
      <c r="U437" s="5"/>
      <c r="V437" s="5"/>
      <c r="W437" s="5"/>
      <c r="X437" s="5"/>
      <c r="Y437" s="5"/>
      <c r="Z437" s="5"/>
      <c r="AA437" s="5"/>
    </row>
    <row r="438" spans="1:27" ht="12.75" customHeight="1">
      <c r="A438" s="5"/>
      <c r="B438" s="5"/>
      <c r="C438" s="5"/>
      <c r="D438" s="5"/>
      <c r="E438" s="5"/>
      <c r="F438" s="5"/>
      <c r="G438" s="5"/>
      <c r="H438" s="306"/>
      <c r="I438" s="306"/>
      <c r="J438" s="5"/>
      <c r="K438" s="5"/>
      <c r="L438" s="5"/>
      <c r="M438" s="5"/>
      <c r="N438" s="5"/>
      <c r="O438" s="5"/>
      <c r="P438" s="57"/>
      <c r="Q438" s="5"/>
      <c r="R438" s="5"/>
      <c r="S438" s="5"/>
      <c r="T438" s="5"/>
      <c r="U438" s="5"/>
      <c r="V438" s="5"/>
      <c r="W438" s="5"/>
      <c r="X438" s="5"/>
      <c r="Y438" s="5"/>
      <c r="Z438" s="5"/>
      <c r="AA438" s="5"/>
    </row>
    <row r="439" spans="1:27" ht="12.75" customHeight="1">
      <c r="A439" s="5"/>
      <c r="B439" s="5"/>
      <c r="C439" s="5"/>
      <c r="D439" s="5"/>
      <c r="E439" s="5"/>
      <c r="F439" s="5"/>
      <c r="G439" s="5"/>
      <c r="H439" s="306"/>
      <c r="I439" s="306"/>
      <c r="J439" s="5"/>
      <c r="K439" s="5"/>
      <c r="L439" s="5"/>
      <c r="M439" s="5"/>
      <c r="N439" s="5"/>
      <c r="O439" s="5"/>
      <c r="P439" s="57"/>
      <c r="Q439" s="5"/>
      <c r="R439" s="5"/>
      <c r="S439" s="5"/>
      <c r="T439" s="5"/>
      <c r="U439" s="5"/>
      <c r="V439" s="5"/>
      <c r="W439" s="5"/>
      <c r="X439" s="5"/>
      <c r="Y439" s="5"/>
      <c r="Z439" s="5"/>
      <c r="AA439" s="5"/>
    </row>
    <row r="440" spans="1:27" ht="12.75" customHeight="1">
      <c r="A440" s="5"/>
      <c r="B440" s="5"/>
      <c r="C440" s="5"/>
      <c r="D440" s="5"/>
      <c r="E440" s="5"/>
      <c r="F440" s="5"/>
      <c r="G440" s="5"/>
      <c r="H440" s="306"/>
      <c r="I440" s="306"/>
      <c r="J440" s="5"/>
      <c r="K440" s="5"/>
      <c r="L440" s="5"/>
      <c r="M440" s="5"/>
      <c r="N440" s="5"/>
      <c r="O440" s="5"/>
      <c r="P440" s="57"/>
      <c r="Q440" s="5"/>
      <c r="R440" s="5"/>
      <c r="S440" s="5"/>
      <c r="T440" s="5"/>
      <c r="U440" s="5"/>
      <c r="V440" s="5"/>
      <c r="W440" s="5"/>
      <c r="X440" s="5"/>
      <c r="Y440" s="5"/>
      <c r="Z440" s="5"/>
      <c r="AA440" s="5"/>
    </row>
    <row r="441" spans="1:27" ht="12.75" customHeight="1">
      <c r="A441" s="5"/>
      <c r="B441" s="5"/>
      <c r="C441" s="5"/>
      <c r="D441" s="5"/>
      <c r="E441" s="5"/>
      <c r="F441" s="5"/>
      <c r="G441" s="5"/>
      <c r="H441" s="306"/>
      <c r="I441" s="306"/>
      <c r="J441" s="5"/>
      <c r="K441" s="5"/>
      <c r="L441" s="5"/>
      <c r="M441" s="5"/>
      <c r="N441" s="5"/>
      <c r="O441" s="5"/>
      <c r="P441" s="57"/>
      <c r="Q441" s="5"/>
      <c r="R441" s="5"/>
      <c r="S441" s="5"/>
      <c r="T441" s="5"/>
      <c r="U441" s="5"/>
      <c r="V441" s="5"/>
      <c r="W441" s="5"/>
      <c r="X441" s="5"/>
      <c r="Y441" s="5"/>
      <c r="Z441" s="5"/>
      <c r="AA441" s="5"/>
    </row>
    <row r="442" spans="1:27" ht="12.75" customHeight="1">
      <c r="A442" s="5"/>
      <c r="B442" s="5"/>
      <c r="C442" s="5"/>
      <c r="D442" s="5"/>
      <c r="E442" s="5"/>
      <c r="F442" s="5"/>
      <c r="G442" s="5"/>
      <c r="H442" s="306"/>
      <c r="I442" s="306"/>
      <c r="J442" s="5"/>
      <c r="K442" s="5"/>
      <c r="L442" s="5"/>
      <c r="M442" s="5"/>
      <c r="N442" s="5"/>
      <c r="O442" s="5"/>
      <c r="P442" s="57"/>
      <c r="Q442" s="5"/>
      <c r="R442" s="5"/>
      <c r="S442" s="5"/>
      <c r="T442" s="5"/>
      <c r="U442" s="5"/>
      <c r="V442" s="5"/>
      <c r="W442" s="5"/>
      <c r="X442" s="5"/>
      <c r="Y442" s="5"/>
      <c r="Z442" s="5"/>
      <c r="AA442" s="5"/>
    </row>
    <row r="443" spans="1:27" ht="12.75" customHeight="1">
      <c r="A443" s="5"/>
      <c r="B443" s="5"/>
      <c r="C443" s="5"/>
      <c r="D443" s="5"/>
      <c r="E443" s="5"/>
      <c r="F443" s="5"/>
      <c r="G443" s="5"/>
      <c r="H443" s="306"/>
      <c r="I443" s="306"/>
      <c r="J443" s="5"/>
      <c r="K443" s="5"/>
      <c r="L443" s="5"/>
      <c r="M443" s="5"/>
      <c r="N443" s="5"/>
      <c r="O443" s="5"/>
      <c r="P443" s="57"/>
      <c r="Q443" s="5"/>
      <c r="R443" s="5"/>
      <c r="S443" s="5"/>
      <c r="T443" s="5"/>
      <c r="U443" s="5"/>
      <c r="V443" s="5"/>
      <c r="W443" s="5"/>
      <c r="X443" s="5"/>
      <c r="Y443" s="5"/>
      <c r="Z443" s="5"/>
      <c r="AA443" s="5"/>
    </row>
    <row r="444" spans="1:27" ht="12.75" customHeight="1">
      <c r="A444" s="5"/>
      <c r="B444" s="5"/>
      <c r="C444" s="5"/>
      <c r="D444" s="5"/>
      <c r="E444" s="5"/>
      <c r="F444" s="5"/>
      <c r="G444" s="5"/>
      <c r="H444" s="306"/>
      <c r="I444" s="306"/>
      <c r="J444" s="5"/>
      <c r="K444" s="5"/>
      <c r="L444" s="5"/>
      <c r="M444" s="5"/>
      <c r="N444" s="5"/>
      <c r="O444" s="5"/>
      <c r="P444" s="57"/>
      <c r="Q444" s="5"/>
      <c r="R444" s="5"/>
      <c r="S444" s="5"/>
      <c r="T444" s="5"/>
      <c r="U444" s="5"/>
      <c r="V444" s="5"/>
      <c r="W444" s="5"/>
      <c r="X444" s="5"/>
      <c r="Y444" s="5"/>
      <c r="Z444" s="5"/>
      <c r="AA444" s="5"/>
    </row>
    <row r="445" spans="1:27" ht="12.75" customHeight="1">
      <c r="A445" s="5"/>
      <c r="B445" s="5"/>
      <c r="C445" s="5"/>
      <c r="D445" s="5"/>
      <c r="E445" s="5"/>
      <c r="F445" s="5"/>
      <c r="G445" s="5"/>
      <c r="H445" s="306"/>
      <c r="I445" s="306"/>
      <c r="J445" s="5"/>
      <c r="K445" s="5"/>
      <c r="L445" s="5"/>
      <c r="M445" s="5"/>
      <c r="N445" s="5"/>
      <c r="O445" s="5"/>
      <c r="P445" s="57"/>
      <c r="Q445" s="5"/>
      <c r="R445" s="5"/>
      <c r="S445" s="5"/>
      <c r="T445" s="5"/>
      <c r="U445" s="5"/>
      <c r="V445" s="5"/>
      <c r="W445" s="5"/>
      <c r="X445" s="5"/>
      <c r="Y445" s="5"/>
      <c r="Z445" s="5"/>
      <c r="AA445" s="5"/>
    </row>
    <row r="446" spans="1:27" ht="12.75" customHeight="1">
      <c r="A446" s="5"/>
      <c r="B446" s="5"/>
      <c r="C446" s="5"/>
      <c r="D446" s="5"/>
      <c r="E446" s="5"/>
      <c r="F446" s="5"/>
      <c r="G446" s="5"/>
      <c r="H446" s="306"/>
      <c r="I446" s="306"/>
      <c r="J446" s="5"/>
      <c r="K446" s="5"/>
      <c r="L446" s="5"/>
      <c r="M446" s="5"/>
      <c r="N446" s="5"/>
      <c r="O446" s="5"/>
      <c r="P446" s="57"/>
      <c r="Q446" s="5"/>
      <c r="R446" s="5"/>
      <c r="S446" s="5"/>
      <c r="T446" s="5"/>
      <c r="U446" s="5"/>
      <c r="V446" s="5"/>
      <c r="W446" s="5"/>
      <c r="X446" s="5"/>
      <c r="Y446" s="5"/>
      <c r="Z446" s="5"/>
      <c r="AA446" s="5"/>
    </row>
    <row r="447" spans="1:27" ht="12.75" customHeight="1">
      <c r="A447" s="5"/>
      <c r="B447" s="5"/>
      <c r="C447" s="5"/>
      <c r="D447" s="5"/>
      <c r="E447" s="5"/>
      <c r="F447" s="5"/>
      <c r="G447" s="5"/>
      <c r="H447" s="306"/>
      <c r="I447" s="306"/>
      <c r="J447" s="5"/>
      <c r="K447" s="5"/>
      <c r="L447" s="5"/>
      <c r="M447" s="5"/>
      <c r="N447" s="5"/>
      <c r="O447" s="5"/>
      <c r="P447" s="57"/>
      <c r="Q447" s="5"/>
      <c r="R447" s="5"/>
      <c r="S447" s="5"/>
      <c r="T447" s="5"/>
      <c r="U447" s="5"/>
      <c r="V447" s="5"/>
      <c r="W447" s="5"/>
      <c r="X447" s="5"/>
      <c r="Y447" s="5"/>
      <c r="Z447" s="5"/>
      <c r="AA447" s="5"/>
    </row>
    <row r="448" spans="1:27" ht="12.75" customHeight="1">
      <c r="A448" s="5"/>
      <c r="B448" s="5"/>
      <c r="C448" s="5"/>
      <c r="D448" s="5"/>
      <c r="E448" s="5"/>
      <c r="F448" s="5"/>
      <c r="G448" s="5"/>
      <c r="H448" s="306"/>
      <c r="I448" s="306"/>
      <c r="J448" s="5"/>
      <c r="K448" s="5"/>
      <c r="L448" s="5"/>
      <c r="M448" s="5"/>
      <c r="N448" s="5"/>
      <c r="O448" s="5"/>
      <c r="P448" s="57"/>
      <c r="Q448" s="5"/>
      <c r="R448" s="5"/>
      <c r="S448" s="5"/>
      <c r="T448" s="5"/>
      <c r="U448" s="5"/>
      <c r="V448" s="5"/>
      <c r="W448" s="5"/>
      <c r="X448" s="5"/>
      <c r="Y448" s="5"/>
      <c r="Z448" s="5"/>
      <c r="AA448" s="5"/>
    </row>
    <row r="449" spans="1:27" ht="12.75" customHeight="1">
      <c r="A449" s="5"/>
      <c r="B449" s="5"/>
      <c r="C449" s="5"/>
      <c r="D449" s="5"/>
      <c r="E449" s="5"/>
      <c r="F449" s="5"/>
      <c r="G449" s="5"/>
      <c r="H449" s="306"/>
      <c r="I449" s="306"/>
      <c r="J449" s="5"/>
      <c r="K449" s="5"/>
      <c r="L449" s="5"/>
      <c r="M449" s="5"/>
      <c r="N449" s="5"/>
      <c r="O449" s="5"/>
      <c r="P449" s="57"/>
      <c r="Q449" s="5"/>
      <c r="R449" s="5"/>
      <c r="S449" s="5"/>
      <c r="T449" s="5"/>
      <c r="U449" s="5"/>
      <c r="V449" s="5"/>
      <c r="W449" s="5"/>
      <c r="X449" s="5"/>
      <c r="Y449" s="5"/>
      <c r="Z449" s="5"/>
      <c r="AA449" s="5"/>
    </row>
    <row r="450" spans="1:27" ht="12.75" customHeight="1">
      <c r="A450" s="5"/>
      <c r="B450" s="5"/>
      <c r="C450" s="5"/>
      <c r="D450" s="5"/>
      <c r="E450" s="5"/>
      <c r="F450" s="5"/>
      <c r="G450" s="5"/>
      <c r="H450" s="306"/>
      <c r="I450" s="306"/>
      <c r="J450" s="5"/>
      <c r="K450" s="5"/>
      <c r="L450" s="5"/>
      <c r="M450" s="5"/>
      <c r="N450" s="5"/>
      <c r="O450" s="5"/>
      <c r="P450" s="57"/>
      <c r="Q450" s="5"/>
      <c r="R450" s="5"/>
      <c r="S450" s="5"/>
      <c r="T450" s="5"/>
      <c r="U450" s="5"/>
      <c r="V450" s="5"/>
      <c r="W450" s="5"/>
      <c r="X450" s="5"/>
      <c r="Y450" s="5"/>
      <c r="Z450" s="5"/>
      <c r="AA450" s="5"/>
    </row>
    <row r="451" spans="1:27" ht="12.75" customHeight="1">
      <c r="A451" s="5"/>
      <c r="B451" s="5"/>
      <c r="C451" s="5"/>
      <c r="D451" s="5"/>
      <c r="E451" s="5"/>
      <c r="F451" s="5"/>
      <c r="G451" s="5"/>
      <c r="H451" s="306"/>
      <c r="I451" s="306"/>
      <c r="J451" s="5"/>
      <c r="K451" s="5"/>
      <c r="L451" s="5"/>
      <c r="M451" s="5"/>
      <c r="N451" s="5"/>
      <c r="O451" s="5"/>
      <c r="P451" s="57"/>
      <c r="Q451" s="5"/>
      <c r="R451" s="5"/>
      <c r="S451" s="5"/>
      <c r="T451" s="5"/>
      <c r="U451" s="5"/>
      <c r="V451" s="5"/>
      <c r="W451" s="5"/>
      <c r="X451" s="5"/>
      <c r="Y451" s="5"/>
      <c r="Z451" s="5"/>
      <c r="AA451" s="5"/>
    </row>
    <row r="452" spans="1:27" ht="12.75" customHeight="1">
      <c r="A452" s="5"/>
      <c r="B452" s="5"/>
      <c r="C452" s="5"/>
      <c r="D452" s="5"/>
      <c r="E452" s="5"/>
      <c r="F452" s="5"/>
      <c r="G452" s="5"/>
      <c r="H452" s="306"/>
      <c r="I452" s="306"/>
      <c r="J452" s="5"/>
      <c r="K452" s="5"/>
      <c r="L452" s="5"/>
      <c r="M452" s="5"/>
      <c r="N452" s="5"/>
      <c r="O452" s="5"/>
      <c r="P452" s="57"/>
      <c r="Q452" s="5"/>
      <c r="R452" s="5"/>
      <c r="S452" s="5"/>
      <c r="T452" s="5"/>
      <c r="U452" s="5"/>
      <c r="V452" s="5"/>
      <c r="W452" s="5"/>
      <c r="X452" s="5"/>
      <c r="Y452" s="5"/>
      <c r="Z452" s="5"/>
      <c r="AA452" s="5"/>
    </row>
    <row r="453" spans="1:27" ht="12.75" customHeight="1">
      <c r="A453" s="5"/>
      <c r="B453" s="5"/>
      <c r="C453" s="5"/>
      <c r="D453" s="5"/>
      <c r="E453" s="5"/>
      <c r="F453" s="5"/>
      <c r="G453" s="5"/>
      <c r="H453" s="306"/>
      <c r="I453" s="306"/>
      <c r="J453" s="5"/>
      <c r="K453" s="5"/>
      <c r="L453" s="5"/>
      <c r="M453" s="5"/>
      <c r="N453" s="5"/>
      <c r="O453" s="5"/>
      <c r="P453" s="57"/>
      <c r="Q453" s="5"/>
      <c r="R453" s="5"/>
      <c r="S453" s="5"/>
      <c r="T453" s="5"/>
      <c r="U453" s="5"/>
      <c r="V453" s="5"/>
      <c r="W453" s="5"/>
      <c r="X453" s="5"/>
      <c r="Y453" s="5"/>
      <c r="Z453" s="5"/>
      <c r="AA453" s="5"/>
    </row>
    <row r="454" spans="1:27" ht="12.75" customHeight="1">
      <c r="A454" s="5"/>
      <c r="B454" s="5"/>
      <c r="C454" s="5"/>
      <c r="D454" s="5"/>
      <c r="E454" s="5"/>
      <c r="F454" s="5"/>
      <c r="G454" s="5"/>
      <c r="H454" s="306"/>
      <c r="I454" s="306"/>
      <c r="J454" s="5"/>
      <c r="K454" s="5"/>
      <c r="L454" s="5"/>
      <c r="M454" s="5"/>
      <c r="N454" s="5"/>
      <c r="O454" s="5"/>
      <c r="P454" s="57"/>
      <c r="Q454" s="5"/>
      <c r="R454" s="5"/>
      <c r="S454" s="5"/>
      <c r="T454" s="5"/>
      <c r="U454" s="5"/>
      <c r="V454" s="5"/>
      <c r="W454" s="5"/>
      <c r="X454" s="5"/>
      <c r="Y454" s="5"/>
      <c r="Z454" s="5"/>
      <c r="AA454" s="5"/>
    </row>
    <row r="455" spans="1:27" ht="12.75" customHeight="1">
      <c r="A455" s="5"/>
      <c r="B455" s="5"/>
      <c r="C455" s="5"/>
      <c r="D455" s="5"/>
      <c r="E455" s="5"/>
      <c r="F455" s="5"/>
      <c r="G455" s="5"/>
      <c r="H455" s="306"/>
      <c r="I455" s="306"/>
      <c r="J455" s="5"/>
      <c r="K455" s="5"/>
      <c r="L455" s="5"/>
      <c r="M455" s="5"/>
      <c r="N455" s="5"/>
      <c r="O455" s="5"/>
      <c r="P455" s="57"/>
      <c r="Q455" s="5"/>
      <c r="R455" s="5"/>
      <c r="S455" s="5"/>
      <c r="T455" s="5"/>
      <c r="U455" s="5"/>
      <c r="V455" s="5"/>
      <c r="W455" s="5"/>
      <c r="X455" s="5"/>
      <c r="Y455" s="5"/>
      <c r="Z455" s="5"/>
      <c r="AA455" s="5"/>
    </row>
    <row r="456" spans="1:27" ht="12.75" customHeight="1">
      <c r="A456" s="5"/>
      <c r="B456" s="5"/>
      <c r="C456" s="5"/>
      <c r="D456" s="5"/>
      <c r="E456" s="5"/>
      <c r="F456" s="5"/>
      <c r="G456" s="5"/>
      <c r="H456" s="306"/>
      <c r="I456" s="306"/>
      <c r="J456" s="5"/>
      <c r="K456" s="5"/>
      <c r="L456" s="5"/>
      <c r="M456" s="5"/>
      <c r="N456" s="5"/>
      <c r="O456" s="5"/>
      <c r="P456" s="57"/>
      <c r="Q456" s="5"/>
      <c r="R456" s="5"/>
      <c r="S456" s="5"/>
      <c r="T456" s="5"/>
      <c r="U456" s="5"/>
      <c r="V456" s="5"/>
      <c r="W456" s="5"/>
      <c r="X456" s="5"/>
      <c r="Y456" s="5"/>
      <c r="Z456" s="5"/>
      <c r="AA456" s="5"/>
    </row>
    <row r="457" spans="1:27" ht="12.75" customHeight="1">
      <c r="A457" s="5"/>
      <c r="B457" s="5"/>
      <c r="C457" s="5"/>
      <c r="D457" s="5"/>
      <c r="E457" s="5"/>
      <c r="F457" s="5"/>
      <c r="G457" s="5"/>
      <c r="H457" s="306"/>
      <c r="I457" s="306"/>
      <c r="J457" s="5"/>
      <c r="K457" s="5"/>
      <c r="L457" s="5"/>
      <c r="M457" s="5"/>
      <c r="N457" s="5"/>
      <c r="O457" s="5"/>
      <c r="P457" s="57"/>
      <c r="Q457" s="5"/>
      <c r="R457" s="5"/>
      <c r="S457" s="5"/>
      <c r="T457" s="5"/>
      <c r="U457" s="5"/>
      <c r="V457" s="5"/>
      <c r="W457" s="5"/>
      <c r="X457" s="5"/>
      <c r="Y457" s="5"/>
      <c r="Z457" s="5"/>
      <c r="AA457" s="5"/>
    </row>
    <row r="458" spans="1:27" ht="12.75" customHeight="1">
      <c r="A458" s="5"/>
      <c r="B458" s="5"/>
      <c r="C458" s="5"/>
      <c r="D458" s="5"/>
      <c r="E458" s="5"/>
      <c r="F458" s="5"/>
      <c r="G458" s="5"/>
      <c r="H458" s="306"/>
      <c r="I458" s="306"/>
      <c r="J458" s="5"/>
      <c r="K458" s="5"/>
      <c r="L458" s="5"/>
      <c r="M458" s="5"/>
      <c r="N458" s="5"/>
      <c r="O458" s="5"/>
      <c r="P458" s="57"/>
      <c r="Q458" s="5"/>
      <c r="R458" s="5"/>
      <c r="S458" s="5"/>
      <c r="T458" s="5"/>
      <c r="U458" s="5"/>
      <c r="V458" s="5"/>
      <c r="W458" s="5"/>
      <c r="X458" s="5"/>
      <c r="Y458" s="5"/>
      <c r="Z458" s="5"/>
      <c r="AA458" s="5"/>
    </row>
    <row r="459" spans="1:27" ht="12.75" customHeight="1">
      <c r="A459" s="5"/>
      <c r="B459" s="5"/>
      <c r="C459" s="5"/>
      <c r="D459" s="5"/>
      <c r="E459" s="5"/>
      <c r="F459" s="5"/>
      <c r="G459" s="5"/>
      <c r="H459" s="306"/>
      <c r="I459" s="306"/>
      <c r="J459" s="5"/>
      <c r="K459" s="5"/>
      <c r="L459" s="5"/>
      <c r="M459" s="5"/>
      <c r="N459" s="5"/>
      <c r="O459" s="5"/>
      <c r="P459" s="57"/>
      <c r="Q459" s="5"/>
      <c r="R459" s="5"/>
      <c r="S459" s="5"/>
      <c r="T459" s="5"/>
      <c r="U459" s="5"/>
      <c r="V459" s="5"/>
      <c r="W459" s="5"/>
      <c r="X459" s="5"/>
      <c r="Y459" s="5"/>
      <c r="Z459" s="5"/>
      <c r="AA459" s="5"/>
    </row>
    <row r="460" spans="1:27" ht="12.75" customHeight="1">
      <c r="A460" s="5"/>
      <c r="B460" s="5"/>
      <c r="C460" s="5"/>
      <c r="D460" s="5"/>
      <c r="E460" s="5"/>
      <c r="F460" s="5"/>
      <c r="G460" s="5"/>
      <c r="H460" s="306"/>
      <c r="I460" s="306"/>
      <c r="J460" s="5"/>
      <c r="K460" s="5"/>
      <c r="L460" s="5"/>
      <c r="M460" s="5"/>
      <c r="N460" s="5"/>
      <c r="O460" s="5"/>
      <c r="P460" s="57"/>
      <c r="Q460" s="5"/>
      <c r="R460" s="5"/>
      <c r="S460" s="5"/>
      <c r="T460" s="5"/>
      <c r="U460" s="5"/>
      <c r="V460" s="5"/>
      <c r="W460" s="5"/>
      <c r="X460" s="5"/>
      <c r="Y460" s="5"/>
      <c r="Z460" s="5"/>
      <c r="AA460" s="5"/>
    </row>
    <row r="461" spans="1:27" ht="12.75" customHeight="1">
      <c r="A461" s="5"/>
      <c r="B461" s="5"/>
      <c r="C461" s="5"/>
      <c r="D461" s="5"/>
      <c r="E461" s="5"/>
      <c r="F461" s="5"/>
      <c r="G461" s="5"/>
      <c r="H461" s="306"/>
      <c r="I461" s="306"/>
      <c r="J461" s="5"/>
      <c r="K461" s="5"/>
      <c r="L461" s="5"/>
      <c r="M461" s="5"/>
      <c r="N461" s="5"/>
      <c r="O461" s="5"/>
      <c r="P461" s="57"/>
      <c r="Q461" s="5"/>
      <c r="R461" s="5"/>
      <c r="S461" s="5"/>
      <c r="T461" s="5"/>
      <c r="U461" s="5"/>
      <c r="V461" s="5"/>
      <c r="W461" s="5"/>
      <c r="X461" s="5"/>
      <c r="Y461" s="5"/>
      <c r="Z461" s="5"/>
      <c r="AA461" s="5"/>
    </row>
    <row r="462" spans="1:27" ht="12.75" customHeight="1">
      <c r="A462" s="5"/>
      <c r="B462" s="5"/>
      <c r="C462" s="5"/>
      <c r="D462" s="5"/>
      <c r="E462" s="5"/>
      <c r="F462" s="5"/>
      <c r="G462" s="5"/>
      <c r="H462" s="306"/>
      <c r="I462" s="306"/>
      <c r="J462" s="5"/>
      <c r="K462" s="5"/>
      <c r="L462" s="5"/>
      <c r="M462" s="5"/>
      <c r="N462" s="5"/>
      <c r="O462" s="5"/>
      <c r="P462" s="57"/>
      <c r="Q462" s="5"/>
      <c r="R462" s="5"/>
      <c r="S462" s="5"/>
      <c r="T462" s="5"/>
      <c r="U462" s="5"/>
      <c r="V462" s="5"/>
      <c r="W462" s="5"/>
      <c r="X462" s="5"/>
      <c r="Y462" s="5"/>
      <c r="Z462" s="5"/>
      <c r="AA462" s="5"/>
    </row>
    <row r="463" spans="1:27" ht="12.75" customHeight="1">
      <c r="A463" s="5"/>
      <c r="B463" s="5"/>
      <c r="C463" s="5"/>
      <c r="D463" s="5"/>
      <c r="E463" s="5"/>
      <c r="F463" s="5"/>
      <c r="G463" s="5"/>
      <c r="H463" s="306"/>
      <c r="I463" s="306"/>
      <c r="J463" s="5"/>
      <c r="K463" s="5"/>
      <c r="L463" s="5"/>
      <c r="M463" s="5"/>
      <c r="N463" s="5"/>
      <c r="O463" s="5"/>
      <c r="P463" s="57"/>
      <c r="Q463" s="5"/>
      <c r="R463" s="5"/>
      <c r="S463" s="5"/>
      <c r="T463" s="5"/>
      <c r="U463" s="5"/>
      <c r="V463" s="5"/>
      <c r="W463" s="5"/>
      <c r="X463" s="5"/>
      <c r="Y463" s="5"/>
      <c r="Z463" s="5"/>
      <c r="AA463" s="5"/>
    </row>
    <row r="464" spans="1:27" ht="12.75" customHeight="1">
      <c r="A464" s="5"/>
      <c r="B464" s="5"/>
      <c r="C464" s="5"/>
      <c r="D464" s="5"/>
      <c r="E464" s="5"/>
      <c r="F464" s="5"/>
      <c r="G464" s="5"/>
      <c r="H464" s="306"/>
      <c r="I464" s="306"/>
      <c r="J464" s="5"/>
      <c r="K464" s="5"/>
      <c r="L464" s="5"/>
      <c r="M464" s="5"/>
      <c r="N464" s="5"/>
      <c r="O464" s="5"/>
      <c r="P464" s="57"/>
      <c r="Q464" s="5"/>
      <c r="R464" s="5"/>
      <c r="S464" s="5"/>
      <c r="T464" s="5"/>
      <c r="U464" s="5"/>
      <c r="V464" s="5"/>
      <c r="W464" s="5"/>
      <c r="X464" s="5"/>
      <c r="Y464" s="5"/>
      <c r="Z464" s="5"/>
      <c r="AA464" s="5"/>
    </row>
    <row r="465" spans="1:27" ht="12.75" customHeight="1">
      <c r="A465" s="5"/>
      <c r="B465" s="5"/>
      <c r="C465" s="5"/>
      <c r="D465" s="5"/>
      <c r="E465" s="5"/>
      <c r="F465" s="5"/>
      <c r="G465" s="5"/>
      <c r="H465" s="306"/>
      <c r="I465" s="306"/>
      <c r="J465" s="5"/>
      <c r="K465" s="5"/>
      <c r="L465" s="5"/>
      <c r="M465" s="5"/>
      <c r="N465" s="5"/>
      <c r="O465" s="5"/>
      <c r="P465" s="57"/>
      <c r="Q465" s="5"/>
      <c r="R465" s="5"/>
      <c r="S465" s="5"/>
      <c r="T465" s="5"/>
      <c r="U465" s="5"/>
      <c r="V465" s="5"/>
      <c r="W465" s="5"/>
      <c r="X465" s="5"/>
      <c r="Y465" s="5"/>
      <c r="Z465" s="5"/>
      <c r="AA465" s="5"/>
    </row>
    <row r="466" spans="1:27" ht="12.75" customHeight="1">
      <c r="A466" s="5"/>
      <c r="B466" s="5"/>
      <c r="C466" s="5"/>
      <c r="D466" s="5"/>
      <c r="E466" s="5"/>
      <c r="F466" s="5"/>
      <c r="G466" s="5"/>
      <c r="H466" s="306"/>
      <c r="I466" s="306"/>
      <c r="J466" s="5"/>
      <c r="K466" s="5"/>
      <c r="L466" s="5"/>
      <c r="M466" s="5"/>
      <c r="N466" s="5"/>
      <c r="O466" s="5"/>
      <c r="P466" s="57"/>
      <c r="Q466" s="5"/>
      <c r="R466" s="5"/>
      <c r="S466" s="5"/>
      <c r="T466" s="5"/>
      <c r="U466" s="5"/>
      <c r="V466" s="5"/>
      <c r="W466" s="5"/>
      <c r="X466" s="5"/>
      <c r="Y466" s="5"/>
      <c r="Z466" s="5"/>
      <c r="AA466" s="5"/>
    </row>
    <row r="467" spans="1:27" ht="12.75" customHeight="1">
      <c r="A467" s="5"/>
      <c r="B467" s="5"/>
      <c r="C467" s="5"/>
      <c r="D467" s="5"/>
      <c r="E467" s="5"/>
      <c r="F467" s="5"/>
      <c r="G467" s="5"/>
      <c r="H467" s="306"/>
      <c r="I467" s="306"/>
      <c r="J467" s="5"/>
      <c r="K467" s="5"/>
      <c r="L467" s="5"/>
      <c r="M467" s="5"/>
      <c r="N467" s="5"/>
      <c r="O467" s="5"/>
      <c r="P467" s="57"/>
      <c r="Q467" s="5"/>
      <c r="R467" s="5"/>
      <c r="S467" s="5"/>
      <c r="T467" s="5"/>
      <c r="U467" s="5"/>
      <c r="V467" s="5"/>
      <c r="W467" s="5"/>
      <c r="X467" s="5"/>
      <c r="Y467" s="5"/>
      <c r="Z467" s="5"/>
      <c r="AA467" s="5"/>
    </row>
    <row r="468" spans="1:27" ht="12.75" customHeight="1">
      <c r="A468" s="5"/>
      <c r="B468" s="5"/>
      <c r="C468" s="5"/>
      <c r="D468" s="5"/>
      <c r="E468" s="5"/>
      <c r="F468" s="5"/>
      <c r="G468" s="5"/>
      <c r="H468" s="306"/>
      <c r="I468" s="306"/>
      <c r="J468" s="5"/>
      <c r="K468" s="5"/>
      <c r="L468" s="5"/>
      <c r="M468" s="5"/>
      <c r="N468" s="5"/>
      <c r="O468" s="5"/>
      <c r="P468" s="57"/>
      <c r="Q468" s="5"/>
      <c r="R468" s="5"/>
      <c r="S468" s="5"/>
      <c r="T468" s="5"/>
      <c r="U468" s="5"/>
      <c r="V468" s="5"/>
      <c r="W468" s="5"/>
      <c r="X468" s="5"/>
      <c r="Y468" s="5"/>
      <c r="Z468" s="5"/>
      <c r="AA468" s="5"/>
    </row>
    <row r="469" spans="1:27" ht="12.75" customHeight="1">
      <c r="A469" s="5"/>
      <c r="B469" s="5"/>
      <c r="C469" s="5"/>
      <c r="D469" s="5"/>
      <c r="E469" s="5"/>
      <c r="F469" s="5"/>
      <c r="G469" s="5"/>
      <c r="H469" s="306"/>
      <c r="I469" s="306"/>
      <c r="J469" s="5"/>
      <c r="K469" s="5"/>
      <c r="L469" s="5"/>
      <c r="M469" s="5"/>
      <c r="N469" s="5"/>
      <c r="O469" s="5"/>
      <c r="P469" s="57"/>
      <c r="Q469" s="5"/>
      <c r="R469" s="5"/>
      <c r="S469" s="5"/>
      <c r="T469" s="5"/>
      <c r="U469" s="5"/>
      <c r="V469" s="5"/>
      <c r="W469" s="5"/>
      <c r="X469" s="5"/>
      <c r="Y469" s="5"/>
      <c r="Z469" s="5"/>
      <c r="AA469" s="5"/>
    </row>
    <row r="470" spans="1:27" ht="12.75" customHeight="1">
      <c r="A470" s="5"/>
      <c r="B470" s="5"/>
      <c r="C470" s="5"/>
      <c r="D470" s="5"/>
      <c r="E470" s="5"/>
      <c r="F470" s="5"/>
      <c r="G470" s="5"/>
      <c r="H470" s="306"/>
      <c r="I470" s="306"/>
      <c r="J470" s="5"/>
      <c r="K470" s="5"/>
      <c r="L470" s="5"/>
      <c r="M470" s="5"/>
      <c r="N470" s="5"/>
      <c r="O470" s="5"/>
      <c r="P470" s="57"/>
      <c r="Q470" s="5"/>
      <c r="R470" s="5"/>
      <c r="S470" s="5"/>
      <c r="T470" s="5"/>
      <c r="U470" s="5"/>
      <c r="V470" s="5"/>
      <c r="W470" s="5"/>
      <c r="X470" s="5"/>
      <c r="Y470" s="5"/>
      <c r="Z470" s="5"/>
      <c r="AA470" s="5"/>
    </row>
    <row r="471" spans="1:27" ht="12.75" customHeight="1">
      <c r="A471" s="5"/>
      <c r="B471" s="5"/>
      <c r="C471" s="5"/>
      <c r="D471" s="5"/>
      <c r="E471" s="5"/>
      <c r="F471" s="5"/>
      <c r="G471" s="5"/>
      <c r="H471" s="306"/>
      <c r="I471" s="306"/>
      <c r="J471" s="5"/>
      <c r="K471" s="5"/>
      <c r="L471" s="5"/>
      <c r="M471" s="5"/>
      <c r="N471" s="5"/>
      <c r="O471" s="5"/>
      <c r="P471" s="57"/>
      <c r="Q471" s="5"/>
      <c r="R471" s="5"/>
      <c r="S471" s="5"/>
      <c r="T471" s="5"/>
      <c r="U471" s="5"/>
      <c r="V471" s="5"/>
      <c r="W471" s="5"/>
      <c r="X471" s="5"/>
      <c r="Y471" s="5"/>
      <c r="Z471" s="5"/>
      <c r="AA471" s="5"/>
    </row>
    <row r="472" spans="1:27" ht="12.75" customHeight="1">
      <c r="A472" s="5"/>
      <c r="B472" s="5"/>
      <c r="C472" s="5"/>
      <c r="D472" s="5"/>
      <c r="E472" s="5"/>
      <c r="F472" s="5"/>
      <c r="G472" s="5"/>
      <c r="H472" s="306"/>
      <c r="I472" s="306"/>
      <c r="J472" s="5"/>
      <c r="K472" s="5"/>
      <c r="L472" s="5"/>
      <c r="M472" s="5"/>
      <c r="N472" s="5"/>
      <c r="O472" s="5"/>
      <c r="P472" s="57"/>
      <c r="Q472" s="5"/>
      <c r="R472" s="5"/>
      <c r="S472" s="5"/>
      <c r="T472" s="5"/>
      <c r="U472" s="5"/>
      <c r="V472" s="5"/>
      <c r="W472" s="5"/>
      <c r="X472" s="5"/>
      <c r="Y472" s="5"/>
      <c r="Z472" s="5"/>
      <c r="AA472" s="5"/>
    </row>
    <row r="473" spans="1:27" ht="12.75" customHeight="1">
      <c r="A473" s="5"/>
      <c r="B473" s="5"/>
      <c r="C473" s="5"/>
      <c r="D473" s="5"/>
      <c r="E473" s="5"/>
      <c r="F473" s="5"/>
      <c r="G473" s="5"/>
      <c r="H473" s="306"/>
      <c r="I473" s="306"/>
      <c r="J473" s="5"/>
      <c r="K473" s="5"/>
      <c r="L473" s="5"/>
      <c r="M473" s="5"/>
      <c r="N473" s="5"/>
      <c r="O473" s="5"/>
      <c r="P473" s="57"/>
      <c r="Q473" s="5"/>
      <c r="R473" s="5"/>
      <c r="S473" s="5"/>
      <c r="T473" s="5"/>
      <c r="U473" s="5"/>
      <c r="V473" s="5"/>
      <c r="W473" s="5"/>
      <c r="X473" s="5"/>
      <c r="Y473" s="5"/>
      <c r="Z473" s="5"/>
      <c r="AA473" s="5"/>
    </row>
    <row r="474" spans="1:27" ht="12.75" customHeight="1">
      <c r="A474" s="5"/>
      <c r="B474" s="5"/>
      <c r="C474" s="5"/>
      <c r="D474" s="5"/>
      <c r="E474" s="5"/>
      <c r="F474" s="5"/>
      <c r="G474" s="5"/>
      <c r="H474" s="306"/>
      <c r="I474" s="306"/>
      <c r="J474" s="5"/>
      <c r="K474" s="5"/>
      <c r="L474" s="5"/>
      <c r="M474" s="5"/>
      <c r="N474" s="5"/>
      <c r="O474" s="5"/>
      <c r="P474" s="57"/>
      <c r="Q474" s="5"/>
      <c r="R474" s="5"/>
      <c r="S474" s="5"/>
      <c r="T474" s="5"/>
      <c r="U474" s="5"/>
      <c r="V474" s="5"/>
      <c r="W474" s="5"/>
      <c r="X474" s="5"/>
      <c r="Y474" s="5"/>
      <c r="Z474" s="5"/>
      <c r="AA474" s="5"/>
    </row>
    <row r="475" spans="1:27" ht="12.75" customHeight="1">
      <c r="A475" s="5"/>
      <c r="B475" s="5"/>
      <c r="C475" s="5"/>
      <c r="D475" s="5"/>
      <c r="E475" s="5"/>
      <c r="F475" s="5"/>
      <c r="G475" s="5"/>
      <c r="H475" s="306"/>
      <c r="I475" s="306"/>
      <c r="J475" s="5"/>
      <c r="K475" s="5"/>
      <c r="L475" s="5"/>
      <c r="M475" s="5"/>
      <c r="N475" s="5"/>
      <c r="O475" s="5"/>
      <c r="P475" s="57"/>
      <c r="Q475" s="5"/>
      <c r="R475" s="5"/>
      <c r="S475" s="5"/>
      <c r="T475" s="5"/>
      <c r="U475" s="5"/>
      <c r="V475" s="5"/>
      <c r="W475" s="5"/>
      <c r="X475" s="5"/>
      <c r="Y475" s="5"/>
      <c r="Z475" s="5"/>
      <c r="AA475" s="5"/>
    </row>
    <row r="476" spans="1:27" ht="12.75" customHeight="1">
      <c r="A476" s="5"/>
      <c r="B476" s="5"/>
      <c r="C476" s="5"/>
      <c r="D476" s="5"/>
      <c r="E476" s="5"/>
      <c r="F476" s="5"/>
      <c r="G476" s="5"/>
      <c r="H476" s="306"/>
      <c r="I476" s="306"/>
      <c r="J476" s="5"/>
      <c r="K476" s="5"/>
      <c r="L476" s="5"/>
      <c r="M476" s="5"/>
      <c r="N476" s="5"/>
      <c r="O476" s="5"/>
      <c r="P476" s="57"/>
      <c r="Q476" s="5"/>
      <c r="R476" s="5"/>
      <c r="S476" s="5"/>
      <c r="T476" s="5"/>
      <c r="U476" s="5"/>
      <c r="V476" s="5"/>
      <c r="W476" s="5"/>
      <c r="X476" s="5"/>
      <c r="Y476" s="5"/>
      <c r="Z476" s="5"/>
      <c r="AA476" s="5"/>
    </row>
    <row r="477" spans="1:27" ht="12.75" customHeight="1">
      <c r="A477" s="5"/>
      <c r="B477" s="5"/>
      <c r="C477" s="5"/>
      <c r="D477" s="5"/>
      <c r="E477" s="5"/>
      <c r="F477" s="5"/>
      <c r="G477" s="5"/>
      <c r="H477" s="306"/>
      <c r="I477" s="306"/>
      <c r="J477" s="5"/>
      <c r="K477" s="5"/>
      <c r="L477" s="5"/>
      <c r="M477" s="5"/>
      <c r="N477" s="5"/>
      <c r="O477" s="5"/>
      <c r="P477" s="57"/>
      <c r="Q477" s="5"/>
      <c r="R477" s="5"/>
      <c r="S477" s="5"/>
      <c r="T477" s="5"/>
      <c r="U477" s="5"/>
      <c r="V477" s="5"/>
      <c r="W477" s="5"/>
      <c r="X477" s="5"/>
      <c r="Y477" s="5"/>
      <c r="Z477" s="5"/>
      <c r="AA477" s="5"/>
    </row>
    <row r="478" spans="1:27" ht="12.75" customHeight="1">
      <c r="A478" s="5"/>
      <c r="B478" s="5"/>
      <c r="C478" s="5"/>
      <c r="D478" s="5"/>
      <c r="E478" s="5"/>
      <c r="F478" s="5"/>
      <c r="G478" s="5"/>
      <c r="H478" s="306"/>
      <c r="I478" s="306"/>
      <c r="J478" s="5"/>
      <c r="K478" s="5"/>
      <c r="L478" s="5"/>
      <c r="M478" s="5"/>
      <c r="N478" s="5"/>
      <c r="O478" s="5"/>
      <c r="P478" s="57"/>
      <c r="Q478" s="5"/>
      <c r="R478" s="5"/>
      <c r="S478" s="5"/>
      <c r="T478" s="5"/>
      <c r="U478" s="5"/>
      <c r="V478" s="5"/>
      <c r="W478" s="5"/>
      <c r="X478" s="5"/>
      <c r="Y478" s="5"/>
      <c r="Z478" s="5"/>
      <c r="AA478" s="5"/>
    </row>
    <row r="479" spans="1:27" ht="12.75" customHeight="1">
      <c r="A479" s="5"/>
      <c r="B479" s="5"/>
      <c r="C479" s="5"/>
      <c r="D479" s="5"/>
      <c r="E479" s="5"/>
      <c r="F479" s="5"/>
      <c r="G479" s="5"/>
      <c r="H479" s="306"/>
      <c r="I479" s="306"/>
      <c r="J479" s="5"/>
      <c r="K479" s="5"/>
      <c r="L479" s="5"/>
      <c r="M479" s="5"/>
      <c r="N479" s="5"/>
      <c r="O479" s="5"/>
      <c r="P479" s="57"/>
      <c r="Q479" s="5"/>
      <c r="R479" s="5"/>
      <c r="S479" s="5"/>
      <c r="T479" s="5"/>
      <c r="U479" s="5"/>
      <c r="V479" s="5"/>
      <c r="W479" s="5"/>
      <c r="X479" s="5"/>
      <c r="Y479" s="5"/>
      <c r="Z479" s="5"/>
      <c r="AA479" s="5"/>
    </row>
    <row r="480" spans="1:27" ht="12.75" customHeight="1">
      <c r="A480" s="5"/>
      <c r="B480" s="5"/>
      <c r="C480" s="5"/>
      <c r="D480" s="5"/>
      <c r="E480" s="5"/>
      <c r="F480" s="5"/>
      <c r="G480" s="5"/>
      <c r="H480" s="306"/>
      <c r="I480" s="306"/>
      <c r="J480" s="5"/>
      <c r="K480" s="5"/>
      <c r="L480" s="5"/>
      <c r="M480" s="5"/>
      <c r="N480" s="5"/>
      <c r="O480" s="5"/>
      <c r="P480" s="57"/>
      <c r="Q480" s="5"/>
      <c r="R480" s="5"/>
      <c r="S480" s="5"/>
      <c r="T480" s="5"/>
      <c r="U480" s="5"/>
      <c r="V480" s="5"/>
      <c r="W480" s="5"/>
      <c r="X480" s="5"/>
      <c r="Y480" s="5"/>
      <c r="Z480" s="5"/>
      <c r="AA480" s="5"/>
    </row>
    <row r="481" spans="1:27" ht="12.75" customHeight="1">
      <c r="A481" s="5"/>
      <c r="B481" s="5"/>
      <c r="C481" s="5"/>
      <c r="D481" s="5"/>
      <c r="E481" s="5"/>
      <c r="F481" s="5"/>
      <c r="G481" s="5"/>
      <c r="H481" s="306"/>
      <c r="I481" s="306"/>
      <c r="J481" s="5"/>
      <c r="K481" s="5"/>
      <c r="L481" s="5"/>
      <c r="M481" s="5"/>
      <c r="N481" s="5"/>
      <c r="O481" s="5"/>
      <c r="P481" s="57"/>
      <c r="Q481" s="5"/>
      <c r="R481" s="5"/>
      <c r="S481" s="5"/>
      <c r="T481" s="5"/>
      <c r="U481" s="5"/>
      <c r="V481" s="5"/>
      <c r="W481" s="5"/>
      <c r="X481" s="5"/>
      <c r="Y481" s="5"/>
      <c r="Z481" s="5"/>
      <c r="AA481" s="5"/>
    </row>
    <row r="482" spans="1:27" ht="12.75" customHeight="1">
      <c r="A482" s="5"/>
      <c r="B482" s="5"/>
      <c r="C482" s="5"/>
      <c r="D482" s="5"/>
      <c r="E482" s="5"/>
      <c r="F482" s="5"/>
      <c r="G482" s="5"/>
      <c r="H482" s="306"/>
      <c r="I482" s="306"/>
      <c r="J482" s="5"/>
      <c r="K482" s="5"/>
      <c r="L482" s="5"/>
      <c r="M482" s="5"/>
      <c r="N482" s="5"/>
      <c r="O482" s="5"/>
      <c r="P482" s="57"/>
      <c r="Q482" s="5"/>
      <c r="R482" s="5"/>
      <c r="S482" s="5"/>
      <c r="T482" s="5"/>
      <c r="U482" s="5"/>
      <c r="V482" s="5"/>
      <c r="W482" s="5"/>
      <c r="X482" s="5"/>
      <c r="Y482" s="5"/>
      <c r="Z482" s="5"/>
      <c r="AA482" s="5"/>
    </row>
    <row r="483" spans="1:27" ht="12.75" customHeight="1">
      <c r="A483" s="5"/>
      <c r="B483" s="5"/>
      <c r="C483" s="5"/>
      <c r="D483" s="5"/>
      <c r="E483" s="5"/>
      <c r="F483" s="5"/>
      <c r="G483" s="5"/>
      <c r="H483" s="306"/>
      <c r="I483" s="306"/>
      <c r="J483" s="5"/>
      <c r="K483" s="5"/>
      <c r="L483" s="5"/>
      <c r="M483" s="5"/>
      <c r="N483" s="5"/>
      <c r="O483" s="5"/>
      <c r="P483" s="57"/>
      <c r="Q483" s="5"/>
      <c r="R483" s="5"/>
      <c r="S483" s="5"/>
      <c r="T483" s="5"/>
      <c r="U483" s="5"/>
      <c r="V483" s="5"/>
      <c r="W483" s="5"/>
      <c r="X483" s="5"/>
      <c r="Y483" s="5"/>
      <c r="Z483" s="5"/>
      <c r="AA483" s="5"/>
    </row>
    <row r="484" spans="1:27" ht="12.75" customHeight="1">
      <c r="A484" s="5"/>
      <c r="B484" s="5"/>
      <c r="C484" s="5"/>
      <c r="D484" s="5"/>
      <c r="E484" s="5"/>
      <c r="F484" s="5"/>
      <c r="G484" s="5"/>
      <c r="H484" s="306"/>
      <c r="I484" s="306"/>
      <c r="J484" s="5"/>
      <c r="K484" s="5"/>
      <c r="L484" s="5"/>
      <c r="M484" s="5"/>
      <c r="N484" s="5"/>
      <c r="O484" s="5"/>
      <c r="P484" s="57"/>
      <c r="Q484" s="5"/>
      <c r="R484" s="5"/>
      <c r="S484" s="5"/>
      <c r="T484" s="5"/>
      <c r="U484" s="5"/>
      <c r="V484" s="5"/>
      <c r="W484" s="5"/>
      <c r="X484" s="5"/>
      <c r="Y484" s="5"/>
      <c r="Z484" s="5"/>
      <c r="AA484" s="5"/>
    </row>
    <row r="485" spans="1:27" ht="12.75" customHeight="1">
      <c r="A485" s="5"/>
      <c r="B485" s="5"/>
      <c r="C485" s="5"/>
      <c r="D485" s="5"/>
      <c r="E485" s="5"/>
      <c r="F485" s="5"/>
      <c r="G485" s="5"/>
      <c r="H485" s="306"/>
      <c r="I485" s="306"/>
      <c r="J485" s="5"/>
      <c r="K485" s="5"/>
      <c r="L485" s="5"/>
      <c r="M485" s="5"/>
      <c r="N485" s="5"/>
      <c r="O485" s="5"/>
      <c r="P485" s="57"/>
      <c r="Q485" s="5"/>
      <c r="R485" s="5"/>
      <c r="S485" s="5"/>
      <c r="T485" s="5"/>
      <c r="U485" s="5"/>
      <c r="V485" s="5"/>
      <c r="W485" s="5"/>
      <c r="X485" s="5"/>
      <c r="Y485" s="5"/>
      <c r="Z485" s="5"/>
      <c r="AA485" s="5"/>
    </row>
    <row r="486" spans="1:27" ht="12.75" customHeight="1">
      <c r="A486" s="5"/>
      <c r="B486" s="5"/>
      <c r="C486" s="5"/>
      <c r="D486" s="5"/>
      <c r="E486" s="5"/>
      <c r="F486" s="5"/>
      <c r="G486" s="5"/>
      <c r="H486" s="306"/>
      <c r="I486" s="306"/>
      <c r="J486" s="5"/>
      <c r="K486" s="5"/>
      <c r="L486" s="5"/>
      <c r="M486" s="5"/>
      <c r="N486" s="5"/>
      <c r="O486" s="5"/>
      <c r="P486" s="57"/>
      <c r="Q486" s="5"/>
      <c r="R486" s="5"/>
      <c r="S486" s="5"/>
      <c r="T486" s="5"/>
      <c r="U486" s="5"/>
      <c r="V486" s="5"/>
      <c r="W486" s="5"/>
      <c r="X486" s="5"/>
      <c r="Y486" s="5"/>
      <c r="Z486" s="5"/>
      <c r="AA486" s="5"/>
    </row>
    <row r="487" spans="1:27" ht="12.75" customHeight="1">
      <c r="A487" s="5"/>
      <c r="B487" s="5"/>
      <c r="C487" s="5"/>
      <c r="D487" s="5"/>
      <c r="E487" s="5"/>
      <c r="F487" s="5"/>
      <c r="G487" s="5"/>
      <c r="H487" s="306"/>
      <c r="I487" s="306"/>
      <c r="J487" s="5"/>
      <c r="K487" s="5"/>
      <c r="L487" s="5"/>
      <c r="M487" s="5"/>
      <c r="N487" s="5"/>
      <c r="O487" s="5"/>
      <c r="P487" s="57"/>
      <c r="Q487" s="5"/>
      <c r="R487" s="5"/>
      <c r="S487" s="5"/>
      <c r="T487" s="5"/>
      <c r="U487" s="5"/>
      <c r="V487" s="5"/>
      <c r="W487" s="5"/>
      <c r="X487" s="5"/>
      <c r="Y487" s="5"/>
      <c r="Z487" s="5"/>
      <c r="AA487" s="5"/>
    </row>
    <row r="488" spans="1:27" ht="12.75" customHeight="1">
      <c r="A488" s="5"/>
      <c r="B488" s="5"/>
      <c r="C488" s="5"/>
      <c r="D488" s="5"/>
      <c r="E488" s="5"/>
      <c r="F488" s="5"/>
      <c r="G488" s="5"/>
      <c r="H488" s="306"/>
      <c r="I488" s="306"/>
      <c r="J488" s="5"/>
      <c r="K488" s="5"/>
      <c r="L488" s="5"/>
      <c r="M488" s="5"/>
      <c r="N488" s="5"/>
      <c r="O488" s="5"/>
      <c r="P488" s="57"/>
      <c r="Q488" s="5"/>
      <c r="R488" s="5"/>
      <c r="S488" s="5"/>
      <c r="T488" s="5"/>
      <c r="U488" s="5"/>
      <c r="V488" s="5"/>
      <c r="W488" s="5"/>
      <c r="X488" s="5"/>
      <c r="Y488" s="5"/>
      <c r="Z488" s="5"/>
      <c r="AA488" s="5"/>
    </row>
    <row r="489" spans="1:27" ht="12.75" customHeight="1">
      <c r="A489" s="5"/>
      <c r="B489" s="5"/>
      <c r="C489" s="5"/>
      <c r="D489" s="5"/>
      <c r="E489" s="5"/>
      <c r="F489" s="5"/>
      <c r="G489" s="5"/>
      <c r="H489" s="306"/>
      <c r="I489" s="306"/>
      <c r="J489" s="5"/>
      <c r="K489" s="5"/>
      <c r="L489" s="5"/>
      <c r="M489" s="5"/>
      <c r="N489" s="5"/>
      <c r="O489" s="5"/>
      <c r="P489" s="57"/>
      <c r="Q489" s="5"/>
      <c r="R489" s="5"/>
      <c r="S489" s="5"/>
      <c r="T489" s="5"/>
      <c r="U489" s="5"/>
      <c r="V489" s="5"/>
      <c r="W489" s="5"/>
      <c r="X489" s="5"/>
      <c r="Y489" s="5"/>
      <c r="Z489" s="5"/>
      <c r="AA489" s="5"/>
    </row>
    <row r="490" spans="1:27" ht="12.75" customHeight="1">
      <c r="A490" s="5"/>
      <c r="B490" s="5"/>
      <c r="C490" s="5"/>
      <c r="D490" s="5"/>
      <c r="E490" s="5"/>
      <c r="F490" s="5"/>
      <c r="G490" s="5"/>
      <c r="H490" s="306"/>
      <c r="I490" s="306"/>
      <c r="J490" s="5"/>
      <c r="K490" s="5"/>
      <c r="L490" s="5"/>
      <c r="M490" s="5"/>
      <c r="N490" s="5"/>
      <c r="O490" s="5"/>
      <c r="P490" s="57"/>
      <c r="Q490" s="5"/>
      <c r="R490" s="5"/>
      <c r="S490" s="5"/>
      <c r="T490" s="5"/>
      <c r="U490" s="5"/>
      <c r="V490" s="5"/>
      <c r="W490" s="5"/>
      <c r="X490" s="5"/>
      <c r="Y490" s="5"/>
      <c r="Z490" s="5"/>
      <c r="AA490" s="5"/>
    </row>
    <row r="491" spans="1:27" ht="12.75" customHeight="1">
      <c r="A491" s="5"/>
      <c r="B491" s="5"/>
      <c r="C491" s="5"/>
      <c r="D491" s="5"/>
      <c r="E491" s="5"/>
      <c r="F491" s="5"/>
      <c r="G491" s="5"/>
      <c r="H491" s="306"/>
      <c r="I491" s="306"/>
      <c r="J491" s="5"/>
      <c r="K491" s="5"/>
      <c r="L491" s="5"/>
      <c r="M491" s="5"/>
      <c r="N491" s="5"/>
      <c r="O491" s="5"/>
      <c r="P491" s="57"/>
      <c r="Q491" s="5"/>
      <c r="R491" s="5"/>
      <c r="S491" s="5"/>
      <c r="T491" s="5"/>
      <c r="U491" s="5"/>
      <c r="V491" s="5"/>
      <c r="W491" s="5"/>
      <c r="X491" s="5"/>
      <c r="Y491" s="5"/>
      <c r="Z491" s="5"/>
      <c r="AA491" s="5"/>
    </row>
    <row r="492" spans="1:27" ht="12.75" customHeight="1">
      <c r="A492" s="5"/>
      <c r="B492" s="5"/>
      <c r="C492" s="5"/>
      <c r="D492" s="5"/>
      <c r="E492" s="5"/>
      <c r="F492" s="5"/>
      <c r="G492" s="5"/>
      <c r="H492" s="306"/>
      <c r="I492" s="306"/>
      <c r="J492" s="5"/>
      <c r="K492" s="5"/>
      <c r="L492" s="5"/>
      <c r="M492" s="5"/>
      <c r="N492" s="5"/>
      <c r="O492" s="5"/>
      <c r="P492" s="57"/>
      <c r="Q492" s="5"/>
      <c r="R492" s="5"/>
      <c r="S492" s="5"/>
      <c r="T492" s="5"/>
      <c r="U492" s="5"/>
      <c r="V492" s="5"/>
      <c r="W492" s="5"/>
      <c r="X492" s="5"/>
      <c r="Y492" s="5"/>
      <c r="Z492" s="5"/>
      <c r="AA492" s="5"/>
    </row>
    <row r="493" spans="1:27" ht="12.75" customHeight="1">
      <c r="A493" s="5"/>
      <c r="B493" s="5"/>
      <c r="C493" s="5"/>
      <c r="D493" s="5"/>
      <c r="E493" s="5"/>
      <c r="F493" s="5"/>
      <c r="G493" s="5"/>
      <c r="H493" s="306"/>
      <c r="I493" s="306"/>
      <c r="J493" s="5"/>
      <c r="K493" s="5"/>
      <c r="L493" s="5"/>
      <c r="M493" s="5"/>
      <c r="N493" s="5"/>
      <c r="O493" s="5"/>
      <c r="P493" s="57"/>
      <c r="Q493" s="5"/>
      <c r="R493" s="5"/>
      <c r="S493" s="5"/>
      <c r="T493" s="5"/>
      <c r="U493" s="5"/>
      <c r="V493" s="5"/>
      <c r="W493" s="5"/>
      <c r="X493" s="5"/>
      <c r="Y493" s="5"/>
      <c r="Z493" s="5"/>
      <c r="AA493" s="5"/>
    </row>
    <row r="494" spans="1:27" ht="12.75" customHeight="1">
      <c r="A494" s="5"/>
      <c r="B494" s="5"/>
      <c r="C494" s="5"/>
      <c r="D494" s="5"/>
      <c r="E494" s="5"/>
      <c r="F494" s="5"/>
      <c r="G494" s="5"/>
      <c r="H494" s="306"/>
      <c r="I494" s="306"/>
      <c r="J494" s="5"/>
      <c r="K494" s="5"/>
      <c r="L494" s="5"/>
      <c r="M494" s="5"/>
      <c r="N494" s="5"/>
      <c r="O494" s="5"/>
      <c r="P494" s="57"/>
      <c r="Q494" s="5"/>
      <c r="R494" s="5"/>
      <c r="S494" s="5"/>
      <c r="T494" s="5"/>
      <c r="U494" s="5"/>
      <c r="V494" s="5"/>
      <c r="W494" s="5"/>
      <c r="X494" s="5"/>
      <c r="Y494" s="5"/>
      <c r="Z494" s="5"/>
      <c r="AA494" s="5"/>
    </row>
    <row r="495" spans="1:27" ht="12.75" customHeight="1">
      <c r="A495" s="5"/>
      <c r="B495" s="5"/>
      <c r="C495" s="5"/>
      <c r="D495" s="5"/>
      <c r="E495" s="5"/>
      <c r="F495" s="5"/>
      <c r="G495" s="5"/>
      <c r="H495" s="306"/>
      <c r="I495" s="306"/>
      <c r="J495" s="5"/>
      <c r="K495" s="5"/>
      <c r="L495" s="5"/>
      <c r="M495" s="5"/>
      <c r="N495" s="5"/>
      <c r="O495" s="5"/>
      <c r="P495" s="57"/>
      <c r="Q495" s="5"/>
      <c r="R495" s="5"/>
      <c r="S495" s="5"/>
      <c r="T495" s="5"/>
      <c r="U495" s="5"/>
      <c r="V495" s="5"/>
      <c r="W495" s="5"/>
      <c r="X495" s="5"/>
      <c r="Y495" s="5"/>
      <c r="Z495" s="5"/>
      <c r="AA495" s="5"/>
    </row>
    <row r="496" spans="1:27" ht="12.75" customHeight="1">
      <c r="A496" s="5"/>
      <c r="B496" s="5"/>
      <c r="C496" s="5"/>
      <c r="D496" s="5"/>
      <c r="E496" s="5"/>
      <c r="F496" s="5"/>
      <c r="G496" s="5"/>
      <c r="H496" s="306"/>
      <c r="I496" s="306"/>
      <c r="J496" s="5"/>
      <c r="K496" s="5"/>
      <c r="L496" s="5"/>
      <c r="M496" s="5"/>
      <c r="N496" s="5"/>
      <c r="O496" s="5"/>
      <c r="P496" s="57"/>
      <c r="Q496" s="5"/>
      <c r="R496" s="5"/>
      <c r="S496" s="5"/>
      <c r="T496" s="5"/>
      <c r="U496" s="5"/>
      <c r="V496" s="5"/>
      <c r="W496" s="5"/>
      <c r="X496" s="5"/>
      <c r="Y496" s="5"/>
      <c r="Z496" s="5"/>
      <c r="AA496" s="5"/>
    </row>
    <row r="497" spans="1:27" ht="12.75" customHeight="1">
      <c r="A497" s="5"/>
      <c r="B497" s="5"/>
      <c r="C497" s="5"/>
      <c r="D497" s="5"/>
      <c r="E497" s="5"/>
      <c r="F497" s="5"/>
      <c r="G497" s="5"/>
      <c r="H497" s="306"/>
      <c r="I497" s="306"/>
      <c r="J497" s="5"/>
      <c r="K497" s="5"/>
      <c r="L497" s="5"/>
      <c r="M497" s="5"/>
      <c r="N497" s="5"/>
      <c r="O497" s="5"/>
      <c r="P497" s="57"/>
      <c r="Q497" s="5"/>
      <c r="R497" s="5"/>
      <c r="S497" s="5"/>
      <c r="T497" s="5"/>
      <c r="U497" s="5"/>
      <c r="V497" s="5"/>
      <c r="W497" s="5"/>
      <c r="X497" s="5"/>
      <c r="Y497" s="5"/>
      <c r="Z497" s="5"/>
      <c r="AA497" s="5"/>
    </row>
    <row r="498" spans="1:27" ht="12.75" customHeight="1">
      <c r="A498" s="5"/>
      <c r="B498" s="5"/>
      <c r="C498" s="5"/>
      <c r="D498" s="5"/>
      <c r="E498" s="5"/>
      <c r="F498" s="5"/>
      <c r="G498" s="5"/>
      <c r="H498" s="306"/>
      <c r="I498" s="306"/>
      <c r="J498" s="5"/>
      <c r="K498" s="5"/>
      <c r="L498" s="5"/>
      <c r="M498" s="5"/>
      <c r="N498" s="5"/>
      <c r="O498" s="5"/>
      <c r="P498" s="57"/>
      <c r="Q498" s="5"/>
      <c r="R498" s="5"/>
      <c r="S498" s="5"/>
      <c r="T498" s="5"/>
      <c r="U498" s="5"/>
      <c r="V498" s="5"/>
      <c r="W498" s="5"/>
      <c r="X498" s="5"/>
      <c r="Y498" s="5"/>
      <c r="Z498" s="5"/>
      <c r="AA498" s="5"/>
    </row>
    <row r="499" spans="1:27" ht="12.75" customHeight="1">
      <c r="A499" s="5"/>
      <c r="B499" s="5"/>
      <c r="C499" s="5"/>
      <c r="D499" s="5"/>
      <c r="E499" s="5"/>
      <c r="F499" s="5"/>
      <c r="G499" s="5"/>
      <c r="H499" s="306"/>
      <c r="I499" s="306"/>
      <c r="J499" s="5"/>
      <c r="K499" s="5"/>
      <c r="L499" s="5"/>
      <c r="M499" s="5"/>
      <c r="N499" s="5"/>
      <c r="O499" s="5"/>
      <c r="P499" s="57"/>
      <c r="Q499" s="5"/>
      <c r="R499" s="5"/>
      <c r="S499" s="5"/>
      <c r="T499" s="5"/>
      <c r="U499" s="5"/>
      <c r="V499" s="5"/>
      <c r="W499" s="5"/>
      <c r="X499" s="5"/>
      <c r="Y499" s="5"/>
      <c r="Z499" s="5"/>
      <c r="AA499" s="5"/>
    </row>
    <row r="500" spans="1:27" ht="12.75" customHeight="1">
      <c r="A500" s="5"/>
      <c r="B500" s="5"/>
      <c r="C500" s="5"/>
      <c r="D500" s="5"/>
      <c r="E500" s="5"/>
      <c r="F500" s="5"/>
      <c r="G500" s="5"/>
      <c r="H500" s="306"/>
      <c r="I500" s="306"/>
      <c r="J500" s="5"/>
      <c r="K500" s="5"/>
      <c r="L500" s="5"/>
      <c r="M500" s="5"/>
      <c r="N500" s="5"/>
      <c r="O500" s="5"/>
      <c r="P500" s="57"/>
      <c r="Q500" s="5"/>
      <c r="R500" s="5"/>
      <c r="S500" s="5"/>
      <c r="T500" s="5"/>
      <c r="U500" s="5"/>
      <c r="V500" s="5"/>
      <c r="W500" s="5"/>
      <c r="X500" s="5"/>
      <c r="Y500" s="5"/>
      <c r="Z500" s="5"/>
      <c r="AA500" s="5"/>
    </row>
    <row r="501" spans="1:27" ht="12.75" customHeight="1">
      <c r="A501" s="5"/>
      <c r="B501" s="5"/>
      <c r="C501" s="5"/>
      <c r="D501" s="5"/>
      <c r="E501" s="5"/>
      <c r="F501" s="5"/>
      <c r="G501" s="5"/>
      <c r="H501" s="306"/>
      <c r="I501" s="306"/>
      <c r="J501" s="5"/>
      <c r="K501" s="5"/>
      <c r="L501" s="5"/>
      <c r="M501" s="5"/>
      <c r="N501" s="5"/>
      <c r="O501" s="5"/>
      <c r="P501" s="57"/>
      <c r="Q501" s="5"/>
      <c r="R501" s="5"/>
      <c r="S501" s="5"/>
      <c r="T501" s="5"/>
      <c r="U501" s="5"/>
      <c r="V501" s="5"/>
      <c r="W501" s="5"/>
      <c r="X501" s="5"/>
      <c r="Y501" s="5"/>
      <c r="Z501" s="5"/>
      <c r="AA501" s="5"/>
    </row>
    <row r="502" spans="1:27" ht="12.75" customHeight="1">
      <c r="A502" s="5"/>
      <c r="B502" s="5"/>
      <c r="C502" s="5"/>
      <c r="D502" s="5"/>
      <c r="E502" s="5"/>
      <c r="F502" s="5"/>
      <c r="G502" s="5"/>
      <c r="H502" s="306"/>
      <c r="I502" s="306"/>
      <c r="J502" s="5"/>
      <c r="K502" s="5"/>
      <c r="L502" s="5"/>
      <c r="M502" s="5"/>
      <c r="N502" s="5"/>
      <c r="O502" s="5"/>
      <c r="P502" s="57"/>
      <c r="Q502" s="5"/>
      <c r="R502" s="5"/>
      <c r="S502" s="5"/>
      <c r="T502" s="5"/>
      <c r="U502" s="5"/>
      <c r="V502" s="5"/>
      <c r="W502" s="5"/>
      <c r="X502" s="5"/>
      <c r="Y502" s="5"/>
      <c r="Z502" s="5"/>
      <c r="AA502" s="5"/>
    </row>
    <row r="503" spans="1:27" ht="12.75" customHeight="1">
      <c r="A503" s="5"/>
      <c r="B503" s="5"/>
      <c r="C503" s="5"/>
      <c r="D503" s="5"/>
      <c r="E503" s="5"/>
      <c r="F503" s="5"/>
      <c r="G503" s="5"/>
      <c r="H503" s="306"/>
      <c r="I503" s="306"/>
      <c r="J503" s="5"/>
      <c r="K503" s="5"/>
      <c r="L503" s="5"/>
      <c r="M503" s="5"/>
      <c r="N503" s="5"/>
      <c r="O503" s="5"/>
      <c r="P503" s="57"/>
      <c r="Q503" s="5"/>
      <c r="R503" s="5"/>
      <c r="S503" s="5"/>
      <c r="T503" s="5"/>
      <c r="U503" s="5"/>
      <c r="V503" s="5"/>
      <c r="W503" s="5"/>
      <c r="X503" s="5"/>
      <c r="Y503" s="5"/>
      <c r="Z503" s="5"/>
      <c r="AA503" s="5"/>
    </row>
    <row r="504" spans="1:27" ht="12.75" customHeight="1">
      <c r="A504" s="5"/>
      <c r="B504" s="5"/>
      <c r="C504" s="5"/>
      <c r="D504" s="5"/>
      <c r="E504" s="5"/>
      <c r="F504" s="5"/>
      <c r="G504" s="5"/>
      <c r="H504" s="306"/>
      <c r="I504" s="306"/>
      <c r="J504" s="5"/>
      <c r="K504" s="5"/>
      <c r="L504" s="5"/>
      <c r="M504" s="5"/>
      <c r="N504" s="5"/>
      <c r="O504" s="5"/>
      <c r="P504" s="57"/>
      <c r="Q504" s="5"/>
      <c r="R504" s="5"/>
      <c r="S504" s="5"/>
      <c r="T504" s="5"/>
      <c r="U504" s="5"/>
      <c r="V504" s="5"/>
      <c r="W504" s="5"/>
      <c r="X504" s="5"/>
      <c r="Y504" s="5"/>
      <c r="Z504" s="5"/>
      <c r="AA504" s="5"/>
    </row>
    <row r="505" spans="1:27" ht="12.75" customHeight="1">
      <c r="A505" s="5"/>
      <c r="B505" s="5"/>
      <c r="C505" s="5"/>
      <c r="D505" s="5"/>
      <c r="E505" s="5"/>
      <c r="F505" s="5"/>
      <c r="G505" s="5"/>
      <c r="H505" s="306"/>
      <c r="I505" s="306"/>
      <c r="J505" s="5"/>
      <c r="K505" s="5"/>
      <c r="L505" s="5"/>
      <c r="M505" s="5"/>
      <c r="N505" s="5"/>
      <c r="O505" s="5"/>
      <c r="P505" s="57"/>
      <c r="Q505" s="5"/>
      <c r="R505" s="5"/>
      <c r="S505" s="5"/>
      <c r="T505" s="5"/>
      <c r="U505" s="5"/>
      <c r="V505" s="5"/>
      <c r="W505" s="5"/>
      <c r="X505" s="5"/>
      <c r="Y505" s="5"/>
      <c r="Z505" s="5"/>
      <c r="AA505" s="5"/>
    </row>
    <row r="506" spans="1:27" ht="12.75" customHeight="1">
      <c r="A506" s="5"/>
      <c r="B506" s="5"/>
      <c r="C506" s="5"/>
      <c r="D506" s="5"/>
      <c r="E506" s="5"/>
      <c r="F506" s="5"/>
      <c r="G506" s="5"/>
      <c r="H506" s="306"/>
      <c r="I506" s="306"/>
      <c r="J506" s="5"/>
      <c r="K506" s="5"/>
      <c r="L506" s="5"/>
      <c r="M506" s="5"/>
      <c r="N506" s="5"/>
      <c r="O506" s="5"/>
      <c r="P506" s="57"/>
      <c r="Q506" s="5"/>
      <c r="R506" s="5"/>
      <c r="S506" s="5"/>
      <c r="T506" s="5"/>
      <c r="U506" s="5"/>
      <c r="V506" s="5"/>
      <c r="W506" s="5"/>
      <c r="X506" s="5"/>
      <c r="Y506" s="5"/>
      <c r="Z506" s="5"/>
      <c r="AA506" s="5"/>
    </row>
    <row r="507" spans="1:27" ht="12.75" customHeight="1">
      <c r="A507" s="5"/>
      <c r="B507" s="5"/>
      <c r="C507" s="5"/>
      <c r="D507" s="5"/>
      <c r="E507" s="5"/>
      <c r="F507" s="5"/>
      <c r="G507" s="5"/>
      <c r="H507" s="306"/>
      <c r="I507" s="306"/>
      <c r="J507" s="5"/>
      <c r="K507" s="5"/>
      <c r="L507" s="5"/>
      <c r="M507" s="5"/>
      <c r="N507" s="5"/>
      <c r="O507" s="5"/>
      <c r="P507" s="57"/>
      <c r="Q507" s="5"/>
      <c r="R507" s="5"/>
      <c r="S507" s="5"/>
      <c r="T507" s="5"/>
      <c r="U507" s="5"/>
      <c r="V507" s="5"/>
      <c r="W507" s="5"/>
      <c r="X507" s="5"/>
      <c r="Y507" s="5"/>
      <c r="Z507" s="5"/>
      <c r="AA507" s="5"/>
    </row>
    <row r="508" spans="1:27" ht="12.75" customHeight="1">
      <c r="A508" s="5"/>
      <c r="B508" s="5"/>
      <c r="C508" s="5"/>
      <c r="D508" s="5"/>
      <c r="E508" s="5"/>
      <c r="F508" s="5"/>
      <c r="G508" s="5"/>
      <c r="H508" s="306"/>
      <c r="I508" s="306"/>
      <c r="J508" s="5"/>
      <c r="K508" s="5"/>
      <c r="L508" s="5"/>
      <c r="M508" s="5"/>
      <c r="N508" s="5"/>
      <c r="O508" s="5"/>
      <c r="P508" s="57"/>
      <c r="Q508" s="5"/>
      <c r="R508" s="5"/>
      <c r="S508" s="5"/>
      <c r="T508" s="5"/>
      <c r="U508" s="5"/>
      <c r="V508" s="5"/>
      <c r="W508" s="5"/>
      <c r="X508" s="5"/>
      <c r="Y508" s="5"/>
      <c r="Z508" s="5"/>
      <c r="AA508" s="5"/>
    </row>
    <row r="509" spans="1:27" ht="12.75" customHeight="1">
      <c r="A509" s="5"/>
      <c r="B509" s="5"/>
      <c r="C509" s="5"/>
      <c r="D509" s="5"/>
      <c r="E509" s="5"/>
      <c r="F509" s="5"/>
      <c r="G509" s="5"/>
      <c r="H509" s="306"/>
      <c r="I509" s="306"/>
      <c r="J509" s="5"/>
      <c r="K509" s="5"/>
      <c r="L509" s="5"/>
      <c r="M509" s="5"/>
      <c r="N509" s="5"/>
      <c r="O509" s="5"/>
      <c r="P509" s="57"/>
      <c r="Q509" s="5"/>
      <c r="R509" s="5"/>
      <c r="S509" s="5"/>
      <c r="T509" s="5"/>
      <c r="U509" s="5"/>
      <c r="V509" s="5"/>
      <c r="W509" s="5"/>
      <c r="X509" s="5"/>
      <c r="Y509" s="5"/>
      <c r="Z509" s="5"/>
      <c r="AA509" s="5"/>
    </row>
    <row r="510" spans="1:27" ht="12.75" customHeight="1">
      <c r="A510" s="5"/>
      <c r="B510" s="5"/>
      <c r="C510" s="5"/>
      <c r="D510" s="5"/>
      <c r="E510" s="5"/>
      <c r="F510" s="5"/>
      <c r="G510" s="5"/>
      <c r="H510" s="306"/>
      <c r="I510" s="306"/>
      <c r="J510" s="5"/>
      <c r="K510" s="5"/>
      <c r="L510" s="5"/>
      <c r="M510" s="5"/>
      <c r="N510" s="5"/>
      <c r="O510" s="5"/>
      <c r="P510" s="57"/>
      <c r="Q510" s="5"/>
      <c r="R510" s="5"/>
      <c r="S510" s="5"/>
      <c r="T510" s="5"/>
      <c r="U510" s="5"/>
      <c r="V510" s="5"/>
      <c r="W510" s="5"/>
      <c r="X510" s="5"/>
      <c r="Y510" s="5"/>
      <c r="Z510" s="5"/>
      <c r="AA510" s="5"/>
    </row>
    <row r="511" spans="1:27" ht="12.75" customHeight="1">
      <c r="A511" s="5"/>
      <c r="B511" s="5"/>
      <c r="C511" s="5"/>
      <c r="D511" s="5"/>
      <c r="E511" s="5"/>
      <c r="F511" s="5"/>
      <c r="G511" s="5"/>
      <c r="H511" s="306"/>
      <c r="I511" s="306"/>
      <c r="J511" s="5"/>
      <c r="K511" s="5"/>
      <c r="L511" s="5"/>
      <c r="M511" s="5"/>
      <c r="N511" s="5"/>
      <c r="O511" s="5"/>
      <c r="P511" s="57"/>
      <c r="Q511" s="5"/>
      <c r="R511" s="5"/>
      <c r="S511" s="5"/>
      <c r="T511" s="5"/>
      <c r="U511" s="5"/>
      <c r="V511" s="5"/>
      <c r="W511" s="5"/>
      <c r="X511" s="5"/>
      <c r="Y511" s="5"/>
      <c r="Z511" s="5"/>
      <c r="AA511" s="5"/>
    </row>
    <row r="512" spans="1:27" ht="12.75" customHeight="1">
      <c r="A512" s="5"/>
      <c r="B512" s="5"/>
      <c r="C512" s="5"/>
      <c r="D512" s="5"/>
      <c r="E512" s="5"/>
      <c r="F512" s="5"/>
      <c r="G512" s="5"/>
      <c r="H512" s="306"/>
      <c r="I512" s="306"/>
      <c r="J512" s="5"/>
      <c r="K512" s="5"/>
      <c r="L512" s="5"/>
      <c r="M512" s="5"/>
      <c r="N512" s="5"/>
      <c r="O512" s="5"/>
      <c r="P512" s="57"/>
      <c r="Q512" s="5"/>
      <c r="R512" s="5"/>
      <c r="S512" s="5"/>
      <c r="T512" s="5"/>
      <c r="U512" s="5"/>
      <c r="V512" s="5"/>
      <c r="W512" s="5"/>
      <c r="X512" s="5"/>
      <c r="Y512" s="5"/>
      <c r="Z512" s="5"/>
      <c r="AA512" s="5"/>
    </row>
    <row r="513" spans="1:27" ht="12.75" customHeight="1">
      <c r="A513" s="5"/>
      <c r="B513" s="5"/>
      <c r="C513" s="5"/>
      <c r="D513" s="5"/>
      <c r="E513" s="5"/>
      <c r="F513" s="5"/>
      <c r="G513" s="5"/>
      <c r="H513" s="306"/>
      <c r="I513" s="306"/>
      <c r="J513" s="5"/>
      <c r="K513" s="5"/>
      <c r="L513" s="5"/>
      <c r="M513" s="5"/>
      <c r="N513" s="5"/>
      <c r="O513" s="5"/>
      <c r="P513" s="57"/>
      <c r="Q513" s="5"/>
      <c r="R513" s="5"/>
      <c r="S513" s="5"/>
      <c r="T513" s="5"/>
      <c r="U513" s="5"/>
      <c r="V513" s="5"/>
      <c r="W513" s="5"/>
      <c r="X513" s="5"/>
      <c r="Y513" s="5"/>
      <c r="Z513" s="5"/>
      <c r="AA513" s="5"/>
    </row>
    <row r="514" spans="1:27" ht="12.75" customHeight="1">
      <c r="A514" s="5"/>
      <c r="B514" s="5"/>
      <c r="C514" s="5"/>
      <c r="D514" s="5"/>
      <c r="E514" s="5"/>
      <c r="F514" s="5"/>
      <c r="G514" s="5"/>
      <c r="H514" s="306"/>
      <c r="I514" s="306"/>
      <c r="J514" s="5"/>
      <c r="K514" s="5"/>
      <c r="L514" s="5"/>
      <c r="M514" s="5"/>
      <c r="N514" s="5"/>
      <c r="O514" s="5"/>
      <c r="P514" s="57"/>
      <c r="Q514" s="5"/>
      <c r="R514" s="5"/>
      <c r="S514" s="5"/>
      <c r="T514" s="5"/>
      <c r="U514" s="5"/>
      <c r="V514" s="5"/>
      <c r="W514" s="5"/>
      <c r="X514" s="5"/>
      <c r="Y514" s="5"/>
      <c r="Z514" s="5"/>
      <c r="AA514" s="5"/>
    </row>
    <row r="515" spans="1:27" ht="12.75" customHeight="1">
      <c r="A515" s="5"/>
      <c r="B515" s="5"/>
      <c r="C515" s="5"/>
      <c r="D515" s="5"/>
      <c r="E515" s="5"/>
      <c r="F515" s="5"/>
      <c r="G515" s="5"/>
      <c r="H515" s="306"/>
      <c r="I515" s="306"/>
      <c r="J515" s="5"/>
      <c r="K515" s="5"/>
      <c r="L515" s="5"/>
      <c r="M515" s="5"/>
      <c r="N515" s="5"/>
      <c r="O515" s="5"/>
      <c r="P515" s="57"/>
      <c r="Q515" s="5"/>
      <c r="R515" s="5"/>
      <c r="S515" s="5"/>
      <c r="T515" s="5"/>
      <c r="U515" s="5"/>
      <c r="V515" s="5"/>
      <c r="W515" s="5"/>
      <c r="X515" s="5"/>
      <c r="Y515" s="5"/>
      <c r="Z515" s="5"/>
      <c r="AA515" s="5"/>
    </row>
    <row r="516" spans="1:27" ht="12.75" customHeight="1">
      <c r="A516" s="5"/>
      <c r="B516" s="5"/>
      <c r="C516" s="5"/>
      <c r="D516" s="5"/>
      <c r="E516" s="5"/>
      <c r="F516" s="5"/>
      <c r="G516" s="5"/>
      <c r="H516" s="306"/>
      <c r="I516" s="306"/>
      <c r="J516" s="5"/>
      <c r="K516" s="5"/>
      <c r="L516" s="5"/>
      <c r="M516" s="5"/>
      <c r="N516" s="5"/>
      <c r="O516" s="5"/>
      <c r="P516" s="57"/>
      <c r="Q516" s="5"/>
      <c r="R516" s="5"/>
      <c r="S516" s="5"/>
      <c r="T516" s="5"/>
      <c r="U516" s="5"/>
      <c r="V516" s="5"/>
      <c r="W516" s="5"/>
      <c r="X516" s="5"/>
      <c r="Y516" s="5"/>
      <c r="Z516" s="5"/>
      <c r="AA516" s="5"/>
    </row>
    <row r="517" spans="1:27" ht="12.75" customHeight="1">
      <c r="A517" s="5"/>
      <c r="B517" s="5"/>
      <c r="C517" s="5"/>
      <c r="D517" s="5"/>
      <c r="E517" s="5"/>
      <c r="F517" s="5"/>
      <c r="G517" s="5"/>
      <c r="H517" s="306"/>
      <c r="I517" s="306"/>
      <c r="J517" s="5"/>
      <c r="K517" s="5"/>
      <c r="L517" s="5"/>
      <c r="M517" s="5"/>
      <c r="N517" s="5"/>
      <c r="O517" s="5"/>
      <c r="P517" s="57"/>
      <c r="Q517" s="5"/>
      <c r="R517" s="5"/>
      <c r="S517" s="5"/>
      <c r="T517" s="5"/>
      <c r="U517" s="5"/>
      <c r="V517" s="5"/>
      <c r="W517" s="5"/>
      <c r="X517" s="5"/>
      <c r="Y517" s="5"/>
      <c r="Z517" s="5"/>
      <c r="AA517" s="5"/>
    </row>
    <row r="518" spans="1:27" ht="12.75" customHeight="1">
      <c r="A518" s="5"/>
      <c r="B518" s="5"/>
      <c r="C518" s="5"/>
      <c r="D518" s="5"/>
      <c r="E518" s="5"/>
      <c r="F518" s="5"/>
      <c r="G518" s="5"/>
      <c r="H518" s="306"/>
      <c r="I518" s="306"/>
      <c r="J518" s="5"/>
      <c r="K518" s="5"/>
      <c r="L518" s="5"/>
      <c r="M518" s="5"/>
      <c r="N518" s="5"/>
      <c r="O518" s="5"/>
      <c r="P518" s="57"/>
      <c r="Q518" s="5"/>
      <c r="R518" s="5"/>
      <c r="S518" s="5"/>
      <c r="T518" s="5"/>
      <c r="U518" s="5"/>
      <c r="V518" s="5"/>
      <c r="W518" s="5"/>
      <c r="X518" s="5"/>
      <c r="Y518" s="5"/>
      <c r="Z518" s="5"/>
      <c r="AA518" s="5"/>
    </row>
    <row r="519" spans="1:27" ht="12.75" customHeight="1">
      <c r="A519" s="5"/>
      <c r="B519" s="5"/>
      <c r="C519" s="5"/>
      <c r="D519" s="5"/>
      <c r="E519" s="5"/>
      <c r="F519" s="5"/>
      <c r="G519" s="5"/>
      <c r="H519" s="306"/>
      <c r="I519" s="306"/>
      <c r="J519" s="5"/>
      <c r="K519" s="5"/>
      <c r="L519" s="5"/>
      <c r="M519" s="5"/>
      <c r="N519" s="5"/>
      <c r="O519" s="5"/>
      <c r="P519" s="57"/>
      <c r="Q519" s="5"/>
      <c r="R519" s="5"/>
      <c r="S519" s="5"/>
      <c r="T519" s="5"/>
      <c r="U519" s="5"/>
      <c r="V519" s="5"/>
      <c r="W519" s="5"/>
      <c r="X519" s="5"/>
      <c r="Y519" s="5"/>
      <c r="Z519" s="5"/>
      <c r="AA519" s="5"/>
    </row>
    <row r="520" spans="1:27" ht="12.75" customHeight="1">
      <c r="A520" s="5"/>
      <c r="B520" s="5"/>
      <c r="C520" s="5"/>
      <c r="D520" s="5"/>
      <c r="E520" s="5"/>
      <c r="F520" s="5"/>
      <c r="G520" s="5"/>
      <c r="H520" s="306"/>
      <c r="I520" s="306"/>
      <c r="J520" s="5"/>
      <c r="K520" s="5"/>
      <c r="L520" s="5"/>
      <c r="M520" s="5"/>
      <c r="N520" s="5"/>
      <c r="O520" s="5"/>
      <c r="P520" s="57"/>
      <c r="Q520" s="5"/>
      <c r="R520" s="5"/>
      <c r="S520" s="5"/>
      <c r="T520" s="5"/>
      <c r="U520" s="5"/>
      <c r="V520" s="5"/>
      <c r="W520" s="5"/>
      <c r="X520" s="5"/>
      <c r="Y520" s="5"/>
      <c r="Z520" s="5"/>
      <c r="AA520" s="5"/>
    </row>
    <row r="521" spans="1:27" ht="12.75" customHeight="1">
      <c r="A521" s="5"/>
      <c r="B521" s="5"/>
      <c r="C521" s="5"/>
      <c r="D521" s="5"/>
      <c r="E521" s="5"/>
      <c r="F521" s="5"/>
      <c r="G521" s="5"/>
      <c r="H521" s="306"/>
      <c r="I521" s="306"/>
      <c r="J521" s="5"/>
      <c r="K521" s="5"/>
      <c r="L521" s="5"/>
      <c r="M521" s="5"/>
      <c r="N521" s="5"/>
      <c r="O521" s="5"/>
      <c r="P521" s="57"/>
      <c r="Q521" s="5"/>
      <c r="R521" s="5"/>
      <c r="S521" s="5"/>
      <c r="T521" s="5"/>
      <c r="U521" s="5"/>
      <c r="V521" s="5"/>
      <c r="W521" s="5"/>
      <c r="X521" s="5"/>
      <c r="Y521" s="5"/>
      <c r="Z521" s="5"/>
      <c r="AA521" s="5"/>
    </row>
    <row r="522" spans="1:27" ht="12.75" customHeight="1">
      <c r="A522" s="5"/>
      <c r="B522" s="5"/>
      <c r="C522" s="5"/>
      <c r="D522" s="5"/>
      <c r="E522" s="5"/>
      <c r="F522" s="5"/>
      <c r="G522" s="5"/>
      <c r="H522" s="306"/>
      <c r="I522" s="306"/>
      <c r="J522" s="5"/>
      <c r="K522" s="5"/>
      <c r="L522" s="5"/>
      <c r="M522" s="5"/>
      <c r="N522" s="5"/>
      <c r="O522" s="5"/>
      <c r="P522" s="57"/>
      <c r="Q522" s="5"/>
      <c r="R522" s="5"/>
      <c r="S522" s="5"/>
      <c r="T522" s="5"/>
      <c r="U522" s="5"/>
      <c r="V522" s="5"/>
      <c r="W522" s="5"/>
      <c r="X522" s="5"/>
      <c r="Y522" s="5"/>
      <c r="Z522" s="5"/>
      <c r="AA522" s="5"/>
    </row>
    <row r="523" spans="1:27" ht="12.75" customHeight="1">
      <c r="A523" s="5"/>
      <c r="B523" s="5"/>
      <c r="C523" s="5"/>
      <c r="D523" s="5"/>
      <c r="E523" s="5"/>
      <c r="F523" s="5"/>
      <c r="G523" s="5"/>
      <c r="H523" s="306"/>
      <c r="I523" s="306"/>
      <c r="J523" s="5"/>
      <c r="K523" s="5"/>
      <c r="L523" s="5"/>
      <c r="M523" s="5"/>
      <c r="N523" s="5"/>
      <c r="O523" s="5"/>
      <c r="P523" s="57"/>
      <c r="Q523" s="5"/>
      <c r="R523" s="5"/>
      <c r="S523" s="5"/>
      <c r="T523" s="5"/>
      <c r="U523" s="5"/>
      <c r="V523" s="5"/>
      <c r="W523" s="5"/>
      <c r="X523" s="5"/>
      <c r="Y523" s="5"/>
      <c r="Z523" s="5"/>
      <c r="AA523" s="5"/>
    </row>
    <row r="524" spans="1:27" ht="12.75" customHeight="1">
      <c r="A524" s="5"/>
      <c r="B524" s="5"/>
      <c r="C524" s="5"/>
      <c r="D524" s="5"/>
      <c r="E524" s="5"/>
      <c r="F524" s="5"/>
      <c r="G524" s="5"/>
      <c r="H524" s="306"/>
      <c r="I524" s="306"/>
      <c r="J524" s="5"/>
      <c r="K524" s="5"/>
      <c r="L524" s="5"/>
      <c r="M524" s="5"/>
      <c r="N524" s="5"/>
      <c r="O524" s="5"/>
      <c r="P524" s="57"/>
      <c r="Q524" s="5"/>
      <c r="R524" s="5"/>
      <c r="S524" s="5"/>
      <c r="T524" s="5"/>
      <c r="U524" s="5"/>
      <c r="V524" s="5"/>
      <c r="W524" s="5"/>
      <c r="X524" s="5"/>
      <c r="Y524" s="5"/>
      <c r="Z524" s="5"/>
      <c r="AA524" s="5"/>
    </row>
    <row r="525" spans="1:27" ht="12.75" customHeight="1">
      <c r="A525" s="5"/>
      <c r="B525" s="5"/>
      <c r="C525" s="5"/>
      <c r="D525" s="5"/>
      <c r="E525" s="5"/>
      <c r="F525" s="5"/>
      <c r="G525" s="5"/>
      <c r="H525" s="306"/>
      <c r="I525" s="306"/>
      <c r="J525" s="5"/>
      <c r="K525" s="5"/>
      <c r="L525" s="5"/>
      <c r="M525" s="5"/>
      <c r="N525" s="5"/>
      <c r="O525" s="5"/>
      <c r="P525" s="57"/>
      <c r="Q525" s="5"/>
      <c r="R525" s="5"/>
      <c r="S525" s="5"/>
      <c r="T525" s="5"/>
      <c r="U525" s="5"/>
      <c r="V525" s="5"/>
      <c r="W525" s="5"/>
      <c r="X525" s="5"/>
      <c r="Y525" s="5"/>
      <c r="Z525" s="5"/>
      <c r="AA525" s="5"/>
    </row>
    <row r="526" spans="1:27" ht="12.75" customHeight="1">
      <c r="A526" s="5"/>
      <c r="B526" s="5"/>
      <c r="C526" s="5"/>
      <c r="D526" s="5"/>
      <c r="E526" s="5"/>
      <c r="F526" s="5"/>
      <c r="G526" s="5"/>
      <c r="H526" s="306"/>
      <c r="I526" s="306"/>
      <c r="J526" s="5"/>
      <c r="K526" s="5"/>
      <c r="L526" s="5"/>
      <c r="M526" s="5"/>
      <c r="N526" s="5"/>
      <c r="O526" s="5"/>
      <c r="P526" s="57"/>
      <c r="Q526" s="5"/>
      <c r="R526" s="5"/>
      <c r="S526" s="5"/>
      <c r="T526" s="5"/>
      <c r="U526" s="5"/>
      <c r="V526" s="5"/>
      <c r="W526" s="5"/>
      <c r="X526" s="5"/>
      <c r="Y526" s="5"/>
      <c r="Z526" s="5"/>
      <c r="AA526" s="5"/>
    </row>
    <row r="527" spans="1:27" ht="12.75" customHeight="1">
      <c r="A527" s="5"/>
      <c r="B527" s="5"/>
      <c r="C527" s="5"/>
      <c r="D527" s="5"/>
      <c r="E527" s="5"/>
      <c r="F527" s="5"/>
      <c r="G527" s="5"/>
      <c r="H527" s="306"/>
      <c r="I527" s="306"/>
      <c r="J527" s="5"/>
      <c r="K527" s="5"/>
      <c r="L527" s="5"/>
      <c r="M527" s="5"/>
      <c r="N527" s="5"/>
      <c r="O527" s="5"/>
      <c r="P527" s="57"/>
      <c r="Q527" s="5"/>
      <c r="R527" s="5"/>
      <c r="S527" s="5"/>
      <c r="T527" s="5"/>
      <c r="U527" s="5"/>
      <c r="V527" s="5"/>
      <c r="W527" s="5"/>
      <c r="X527" s="5"/>
      <c r="Y527" s="5"/>
      <c r="Z527" s="5"/>
      <c r="AA527" s="5"/>
    </row>
    <row r="528" spans="1:27" ht="12.75" customHeight="1">
      <c r="A528" s="5"/>
      <c r="B528" s="5"/>
      <c r="C528" s="5"/>
      <c r="D528" s="5"/>
      <c r="E528" s="5"/>
      <c r="F528" s="5"/>
      <c r="G528" s="5"/>
      <c r="H528" s="306"/>
      <c r="I528" s="306"/>
      <c r="J528" s="5"/>
      <c r="K528" s="5"/>
      <c r="L528" s="5"/>
      <c r="M528" s="5"/>
      <c r="N528" s="5"/>
      <c r="O528" s="5"/>
      <c r="P528" s="57"/>
      <c r="Q528" s="5"/>
      <c r="R528" s="5"/>
      <c r="S528" s="5"/>
      <c r="T528" s="5"/>
      <c r="U528" s="5"/>
      <c r="V528" s="5"/>
      <c r="W528" s="5"/>
      <c r="X528" s="5"/>
      <c r="Y528" s="5"/>
      <c r="Z528" s="5"/>
      <c r="AA528" s="5"/>
    </row>
    <row r="529" spans="1:27" ht="12.75" customHeight="1">
      <c r="A529" s="5"/>
      <c r="B529" s="5"/>
      <c r="C529" s="5"/>
      <c r="D529" s="5"/>
      <c r="E529" s="5"/>
      <c r="F529" s="5"/>
      <c r="G529" s="5"/>
      <c r="H529" s="306"/>
      <c r="I529" s="306"/>
      <c r="J529" s="5"/>
      <c r="K529" s="5"/>
      <c r="L529" s="5"/>
      <c r="M529" s="5"/>
      <c r="N529" s="5"/>
      <c r="O529" s="5"/>
      <c r="P529" s="57"/>
      <c r="Q529" s="5"/>
      <c r="R529" s="5"/>
      <c r="S529" s="5"/>
      <c r="T529" s="5"/>
      <c r="U529" s="5"/>
      <c r="V529" s="5"/>
      <c r="W529" s="5"/>
      <c r="X529" s="5"/>
      <c r="Y529" s="5"/>
      <c r="Z529" s="5"/>
      <c r="AA529" s="5"/>
    </row>
    <row r="530" spans="1:27" ht="12.75" customHeight="1">
      <c r="A530" s="5"/>
      <c r="B530" s="5"/>
      <c r="C530" s="5"/>
      <c r="D530" s="5"/>
      <c r="E530" s="5"/>
      <c r="F530" s="5"/>
      <c r="G530" s="5"/>
      <c r="H530" s="306"/>
      <c r="I530" s="306"/>
      <c r="J530" s="5"/>
      <c r="K530" s="5"/>
      <c r="L530" s="5"/>
      <c r="M530" s="5"/>
      <c r="N530" s="5"/>
      <c r="O530" s="5"/>
      <c r="P530" s="57"/>
      <c r="Q530" s="5"/>
      <c r="R530" s="5"/>
      <c r="S530" s="5"/>
      <c r="T530" s="5"/>
      <c r="U530" s="5"/>
      <c r="V530" s="5"/>
      <c r="W530" s="5"/>
      <c r="X530" s="5"/>
      <c r="Y530" s="5"/>
      <c r="Z530" s="5"/>
      <c r="AA530" s="5"/>
    </row>
    <row r="531" spans="1:27" ht="12.75" customHeight="1">
      <c r="A531" s="5"/>
      <c r="B531" s="5"/>
      <c r="C531" s="5"/>
      <c r="D531" s="5"/>
      <c r="E531" s="5"/>
      <c r="F531" s="5"/>
      <c r="G531" s="5"/>
      <c r="H531" s="306"/>
      <c r="I531" s="306"/>
      <c r="J531" s="5"/>
      <c r="K531" s="5"/>
      <c r="L531" s="5"/>
      <c r="M531" s="5"/>
      <c r="N531" s="5"/>
      <c r="O531" s="5"/>
      <c r="P531" s="57"/>
      <c r="Q531" s="5"/>
      <c r="R531" s="5"/>
      <c r="S531" s="5"/>
      <c r="T531" s="5"/>
      <c r="U531" s="5"/>
      <c r="V531" s="5"/>
      <c r="W531" s="5"/>
      <c r="X531" s="5"/>
      <c r="Y531" s="5"/>
      <c r="Z531" s="5"/>
      <c r="AA531" s="5"/>
    </row>
    <row r="532" spans="1:27" ht="12.75" customHeight="1">
      <c r="A532" s="5"/>
      <c r="B532" s="5"/>
      <c r="C532" s="5"/>
      <c r="D532" s="5"/>
      <c r="E532" s="5"/>
      <c r="F532" s="5"/>
      <c r="G532" s="5"/>
      <c r="H532" s="306"/>
      <c r="I532" s="306"/>
      <c r="J532" s="5"/>
      <c r="K532" s="5"/>
      <c r="L532" s="5"/>
      <c r="M532" s="5"/>
      <c r="N532" s="5"/>
      <c r="O532" s="5"/>
      <c r="P532" s="57"/>
      <c r="Q532" s="5"/>
      <c r="R532" s="5"/>
      <c r="S532" s="5"/>
      <c r="T532" s="5"/>
      <c r="U532" s="5"/>
      <c r="V532" s="5"/>
      <c r="W532" s="5"/>
      <c r="X532" s="5"/>
      <c r="Y532" s="5"/>
      <c r="Z532" s="5"/>
      <c r="AA532" s="5"/>
    </row>
    <row r="533" spans="1:27" ht="12.75" customHeight="1">
      <c r="A533" s="5"/>
      <c r="B533" s="5"/>
      <c r="C533" s="5"/>
      <c r="D533" s="5"/>
      <c r="E533" s="5"/>
      <c r="F533" s="5"/>
      <c r="G533" s="5"/>
      <c r="H533" s="306"/>
      <c r="I533" s="306"/>
      <c r="J533" s="5"/>
      <c r="K533" s="5"/>
      <c r="L533" s="5"/>
      <c r="M533" s="5"/>
      <c r="N533" s="5"/>
      <c r="O533" s="5"/>
      <c r="P533" s="57"/>
      <c r="Q533" s="5"/>
      <c r="R533" s="5"/>
      <c r="S533" s="5"/>
      <c r="T533" s="5"/>
      <c r="U533" s="5"/>
      <c r="V533" s="5"/>
      <c r="W533" s="5"/>
      <c r="X533" s="5"/>
      <c r="Y533" s="5"/>
      <c r="Z533" s="5"/>
      <c r="AA533" s="5"/>
    </row>
    <row r="534" spans="1:27" ht="12.75" customHeight="1">
      <c r="A534" s="5"/>
      <c r="B534" s="5"/>
      <c r="C534" s="5"/>
      <c r="D534" s="5"/>
      <c r="E534" s="5"/>
      <c r="F534" s="5"/>
      <c r="G534" s="5"/>
      <c r="H534" s="306"/>
      <c r="I534" s="306"/>
      <c r="J534" s="5"/>
      <c r="K534" s="5"/>
      <c r="L534" s="5"/>
      <c r="M534" s="5"/>
      <c r="N534" s="5"/>
      <c r="O534" s="5"/>
      <c r="P534" s="57"/>
      <c r="Q534" s="5"/>
      <c r="R534" s="5"/>
      <c r="S534" s="5"/>
      <c r="T534" s="5"/>
      <c r="U534" s="5"/>
      <c r="V534" s="5"/>
      <c r="W534" s="5"/>
      <c r="X534" s="5"/>
      <c r="Y534" s="5"/>
      <c r="Z534" s="5"/>
      <c r="AA534" s="5"/>
    </row>
    <row r="535" spans="1:27" ht="12.75" customHeight="1">
      <c r="A535" s="5"/>
      <c r="B535" s="5"/>
      <c r="C535" s="5"/>
      <c r="D535" s="5"/>
      <c r="E535" s="5"/>
      <c r="F535" s="5"/>
      <c r="G535" s="5"/>
      <c r="H535" s="306"/>
      <c r="I535" s="306"/>
      <c r="J535" s="5"/>
      <c r="K535" s="5"/>
      <c r="L535" s="5"/>
      <c r="M535" s="5"/>
      <c r="N535" s="5"/>
      <c r="O535" s="5"/>
      <c r="P535" s="57"/>
      <c r="Q535" s="5"/>
      <c r="R535" s="5"/>
      <c r="S535" s="5"/>
      <c r="T535" s="5"/>
      <c r="U535" s="5"/>
      <c r="V535" s="5"/>
      <c r="W535" s="5"/>
      <c r="X535" s="5"/>
      <c r="Y535" s="5"/>
      <c r="Z535" s="5"/>
      <c r="AA535" s="5"/>
    </row>
    <row r="536" spans="1:27" ht="12.75" customHeight="1">
      <c r="A536" s="5"/>
      <c r="B536" s="5"/>
      <c r="C536" s="5"/>
      <c r="D536" s="5"/>
      <c r="E536" s="5"/>
      <c r="F536" s="5"/>
      <c r="G536" s="5"/>
      <c r="H536" s="306"/>
      <c r="I536" s="306"/>
      <c r="J536" s="5"/>
      <c r="K536" s="5"/>
      <c r="L536" s="5"/>
      <c r="M536" s="5"/>
      <c r="N536" s="5"/>
      <c r="O536" s="5"/>
      <c r="P536" s="57"/>
      <c r="Q536" s="5"/>
      <c r="R536" s="5"/>
      <c r="S536" s="5"/>
      <c r="T536" s="5"/>
      <c r="U536" s="5"/>
      <c r="V536" s="5"/>
      <c r="W536" s="5"/>
      <c r="X536" s="5"/>
      <c r="Y536" s="5"/>
      <c r="Z536" s="5"/>
      <c r="AA536" s="5"/>
    </row>
    <row r="537" spans="1:27" ht="12.75" customHeight="1">
      <c r="A537" s="5"/>
      <c r="B537" s="5"/>
      <c r="C537" s="5"/>
      <c r="D537" s="5"/>
      <c r="E537" s="5"/>
      <c r="F537" s="5"/>
      <c r="G537" s="5"/>
      <c r="H537" s="306"/>
      <c r="I537" s="306"/>
      <c r="J537" s="5"/>
      <c r="K537" s="5"/>
      <c r="L537" s="5"/>
      <c r="M537" s="5"/>
      <c r="N537" s="5"/>
      <c r="O537" s="5"/>
      <c r="P537" s="57"/>
      <c r="Q537" s="5"/>
      <c r="R537" s="5"/>
      <c r="S537" s="5"/>
      <c r="T537" s="5"/>
      <c r="U537" s="5"/>
      <c r="V537" s="5"/>
      <c r="W537" s="5"/>
      <c r="X537" s="5"/>
      <c r="Y537" s="5"/>
      <c r="Z537" s="5"/>
      <c r="AA537" s="5"/>
    </row>
    <row r="538" spans="1:27" ht="12.75" customHeight="1">
      <c r="A538" s="5"/>
      <c r="B538" s="5"/>
      <c r="C538" s="5"/>
      <c r="D538" s="5"/>
      <c r="E538" s="5"/>
      <c r="F538" s="5"/>
      <c r="G538" s="5"/>
      <c r="H538" s="306"/>
      <c r="I538" s="306"/>
      <c r="J538" s="5"/>
      <c r="K538" s="5"/>
      <c r="L538" s="5"/>
      <c r="M538" s="5"/>
      <c r="N538" s="5"/>
      <c r="O538" s="5"/>
      <c r="P538" s="57"/>
      <c r="Q538" s="5"/>
      <c r="R538" s="5"/>
      <c r="S538" s="5"/>
      <c r="T538" s="5"/>
      <c r="U538" s="5"/>
      <c r="V538" s="5"/>
      <c r="W538" s="5"/>
      <c r="X538" s="5"/>
      <c r="Y538" s="5"/>
      <c r="Z538" s="5"/>
      <c r="AA538" s="5"/>
    </row>
    <row r="539" spans="1:27" ht="12.75" customHeight="1">
      <c r="A539" s="5"/>
      <c r="B539" s="5"/>
      <c r="C539" s="5"/>
      <c r="D539" s="5"/>
      <c r="E539" s="5"/>
      <c r="F539" s="5"/>
      <c r="G539" s="5"/>
      <c r="H539" s="306"/>
      <c r="I539" s="306"/>
      <c r="J539" s="5"/>
      <c r="K539" s="5"/>
      <c r="L539" s="5"/>
      <c r="M539" s="5"/>
      <c r="N539" s="5"/>
      <c r="O539" s="5"/>
      <c r="P539" s="57"/>
      <c r="Q539" s="5"/>
      <c r="R539" s="5"/>
      <c r="S539" s="5"/>
      <c r="T539" s="5"/>
      <c r="U539" s="5"/>
      <c r="V539" s="5"/>
      <c r="W539" s="5"/>
      <c r="X539" s="5"/>
      <c r="Y539" s="5"/>
      <c r="Z539" s="5"/>
      <c r="AA539" s="5"/>
    </row>
    <row r="540" spans="1:27" ht="12.75" customHeight="1">
      <c r="A540" s="5"/>
      <c r="B540" s="5"/>
      <c r="C540" s="5"/>
      <c r="D540" s="5"/>
      <c r="E540" s="5"/>
      <c r="F540" s="5"/>
      <c r="G540" s="5"/>
      <c r="H540" s="306"/>
      <c r="I540" s="306"/>
      <c r="J540" s="5"/>
      <c r="K540" s="5"/>
      <c r="L540" s="5"/>
      <c r="M540" s="5"/>
      <c r="N540" s="5"/>
      <c r="O540" s="5"/>
      <c r="P540" s="57"/>
      <c r="Q540" s="5"/>
      <c r="R540" s="5"/>
      <c r="S540" s="5"/>
      <c r="T540" s="5"/>
      <c r="U540" s="5"/>
      <c r="V540" s="5"/>
      <c r="W540" s="5"/>
      <c r="X540" s="5"/>
      <c r="Y540" s="5"/>
      <c r="Z540" s="5"/>
      <c r="AA540" s="5"/>
    </row>
    <row r="541" spans="1:27" ht="12.75" customHeight="1">
      <c r="A541" s="5"/>
      <c r="B541" s="5"/>
      <c r="C541" s="5"/>
      <c r="D541" s="5"/>
      <c r="E541" s="5"/>
      <c r="F541" s="5"/>
      <c r="G541" s="5"/>
      <c r="H541" s="306"/>
      <c r="I541" s="306"/>
      <c r="J541" s="5"/>
      <c r="K541" s="5"/>
      <c r="L541" s="5"/>
      <c r="M541" s="5"/>
      <c r="N541" s="5"/>
      <c r="O541" s="5"/>
      <c r="P541" s="57"/>
      <c r="Q541" s="5"/>
      <c r="R541" s="5"/>
      <c r="S541" s="5"/>
      <c r="T541" s="5"/>
      <c r="U541" s="5"/>
      <c r="V541" s="5"/>
      <c r="W541" s="5"/>
      <c r="X541" s="5"/>
      <c r="Y541" s="5"/>
      <c r="Z541" s="5"/>
      <c r="AA541" s="5"/>
    </row>
    <row r="542" spans="1:27" ht="12.75" customHeight="1">
      <c r="A542" s="5"/>
      <c r="B542" s="5"/>
      <c r="C542" s="5"/>
      <c r="D542" s="5"/>
      <c r="E542" s="5"/>
      <c r="F542" s="5"/>
      <c r="G542" s="5"/>
      <c r="H542" s="306"/>
      <c r="I542" s="306"/>
      <c r="J542" s="5"/>
      <c r="K542" s="5"/>
      <c r="L542" s="5"/>
      <c r="M542" s="5"/>
      <c r="N542" s="5"/>
      <c r="O542" s="5"/>
      <c r="P542" s="57"/>
      <c r="Q542" s="5"/>
      <c r="R542" s="5"/>
      <c r="S542" s="5"/>
      <c r="T542" s="5"/>
      <c r="U542" s="5"/>
      <c r="V542" s="5"/>
      <c r="W542" s="5"/>
      <c r="X542" s="5"/>
      <c r="Y542" s="5"/>
      <c r="Z542" s="5"/>
      <c r="AA542" s="5"/>
    </row>
    <row r="543" spans="1:27" ht="12.75" customHeight="1">
      <c r="A543" s="5"/>
      <c r="B543" s="5"/>
      <c r="C543" s="5"/>
      <c r="D543" s="5"/>
      <c r="E543" s="5"/>
      <c r="F543" s="5"/>
      <c r="G543" s="5"/>
      <c r="H543" s="306"/>
      <c r="I543" s="306"/>
      <c r="J543" s="5"/>
      <c r="K543" s="5"/>
      <c r="L543" s="5"/>
      <c r="M543" s="5"/>
      <c r="N543" s="5"/>
      <c r="O543" s="5"/>
      <c r="P543" s="57"/>
      <c r="Q543" s="5"/>
      <c r="R543" s="5"/>
      <c r="S543" s="5"/>
      <c r="T543" s="5"/>
      <c r="U543" s="5"/>
      <c r="V543" s="5"/>
      <c r="W543" s="5"/>
      <c r="X543" s="5"/>
      <c r="Y543" s="5"/>
      <c r="Z543" s="5"/>
      <c r="AA543" s="5"/>
    </row>
    <row r="544" spans="1:27" ht="12.75" customHeight="1">
      <c r="A544" s="5"/>
      <c r="B544" s="5"/>
      <c r="C544" s="5"/>
      <c r="D544" s="5"/>
      <c r="E544" s="5"/>
      <c r="F544" s="5"/>
      <c r="G544" s="5"/>
      <c r="H544" s="306"/>
      <c r="I544" s="306"/>
      <c r="J544" s="5"/>
      <c r="K544" s="5"/>
      <c r="L544" s="5"/>
      <c r="M544" s="5"/>
      <c r="N544" s="5"/>
      <c r="O544" s="5"/>
      <c r="P544" s="57"/>
      <c r="Q544" s="5"/>
      <c r="R544" s="5"/>
      <c r="S544" s="5"/>
      <c r="T544" s="5"/>
      <c r="U544" s="5"/>
      <c r="V544" s="5"/>
      <c r="W544" s="5"/>
      <c r="X544" s="5"/>
      <c r="Y544" s="5"/>
      <c r="Z544" s="5"/>
      <c r="AA544" s="5"/>
    </row>
    <row r="545" spans="1:27" ht="12.75" customHeight="1">
      <c r="A545" s="5"/>
      <c r="B545" s="5"/>
      <c r="C545" s="5"/>
      <c r="D545" s="5"/>
      <c r="E545" s="5"/>
      <c r="F545" s="5"/>
      <c r="G545" s="5"/>
      <c r="H545" s="306"/>
      <c r="I545" s="306"/>
      <c r="J545" s="5"/>
      <c r="K545" s="5"/>
      <c r="L545" s="5"/>
      <c r="M545" s="5"/>
      <c r="N545" s="5"/>
      <c r="O545" s="5"/>
      <c r="P545" s="57"/>
      <c r="Q545" s="5"/>
      <c r="R545" s="5"/>
      <c r="S545" s="5"/>
      <c r="T545" s="5"/>
      <c r="U545" s="5"/>
      <c r="V545" s="5"/>
      <c r="W545" s="5"/>
      <c r="X545" s="5"/>
      <c r="Y545" s="5"/>
      <c r="Z545" s="5"/>
      <c r="AA545" s="5"/>
    </row>
    <row r="546" spans="1:27" ht="12.75" customHeight="1">
      <c r="A546" s="5"/>
      <c r="B546" s="5"/>
      <c r="C546" s="5"/>
      <c r="D546" s="5"/>
      <c r="E546" s="5"/>
      <c r="F546" s="5"/>
      <c r="G546" s="5"/>
      <c r="H546" s="306"/>
      <c r="I546" s="306"/>
      <c r="J546" s="5"/>
      <c r="K546" s="5"/>
      <c r="L546" s="5"/>
      <c r="M546" s="5"/>
      <c r="N546" s="5"/>
      <c r="O546" s="5"/>
      <c r="P546" s="57"/>
      <c r="Q546" s="5"/>
      <c r="R546" s="5"/>
      <c r="S546" s="5"/>
      <c r="T546" s="5"/>
      <c r="U546" s="5"/>
      <c r="V546" s="5"/>
      <c r="W546" s="5"/>
      <c r="X546" s="5"/>
      <c r="Y546" s="5"/>
      <c r="Z546" s="5"/>
      <c r="AA546" s="5"/>
    </row>
    <row r="547" spans="1:27" ht="12.75" customHeight="1">
      <c r="A547" s="5"/>
      <c r="B547" s="5"/>
      <c r="C547" s="5"/>
      <c r="D547" s="5"/>
      <c r="E547" s="5"/>
      <c r="F547" s="5"/>
      <c r="G547" s="5"/>
      <c r="H547" s="306"/>
      <c r="I547" s="306"/>
      <c r="J547" s="5"/>
      <c r="K547" s="5"/>
      <c r="L547" s="5"/>
      <c r="M547" s="5"/>
      <c r="N547" s="5"/>
      <c r="O547" s="5"/>
      <c r="P547" s="57"/>
      <c r="Q547" s="5"/>
      <c r="R547" s="5"/>
      <c r="S547" s="5"/>
      <c r="T547" s="5"/>
      <c r="U547" s="5"/>
      <c r="V547" s="5"/>
      <c r="W547" s="5"/>
      <c r="X547" s="5"/>
      <c r="Y547" s="5"/>
      <c r="Z547" s="5"/>
      <c r="AA547" s="5"/>
    </row>
    <row r="548" spans="1:27" ht="12.75" customHeight="1">
      <c r="A548" s="5"/>
      <c r="B548" s="5"/>
      <c r="C548" s="5"/>
      <c r="D548" s="5"/>
      <c r="E548" s="5"/>
      <c r="F548" s="5"/>
      <c r="G548" s="5"/>
      <c r="H548" s="306"/>
      <c r="I548" s="306"/>
      <c r="J548" s="5"/>
      <c r="K548" s="5"/>
      <c r="L548" s="5"/>
      <c r="M548" s="5"/>
      <c r="N548" s="5"/>
      <c r="O548" s="5"/>
      <c r="P548" s="57"/>
      <c r="Q548" s="5"/>
      <c r="R548" s="5"/>
      <c r="S548" s="5"/>
      <c r="T548" s="5"/>
      <c r="U548" s="5"/>
      <c r="V548" s="5"/>
      <c r="W548" s="5"/>
      <c r="X548" s="5"/>
      <c r="Y548" s="5"/>
      <c r="Z548" s="5"/>
      <c r="AA548" s="5"/>
    </row>
    <row r="549" spans="1:27" ht="12.75" customHeight="1">
      <c r="A549" s="5"/>
      <c r="B549" s="5"/>
      <c r="C549" s="5"/>
      <c r="D549" s="5"/>
      <c r="E549" s="5"/>
      <c r="F549" s="5"/>
      <c r="G549" s="5"/>
      <c r="H549" s="306"/>
      <c r="I549" s="306"/>
      <c r="J549" s="5"/>
      <c r="K549" s="5"/>
      <c r="L549" s="5"/>
      <c r="M549" s="5"/>
      <c r="N549" s="5"/>
      <c r="O549" s="5"/>
      <c r="P549" s="57"/>
      <c r="Q549" s="5"/>
      <c r="R549" s="5"/>
      <c r="S549" s="5"/>
      <c r="T549" s="5"/>
      <c r="U549" s="5"/>
      <c r="V549" s="5"/>
      <c r="W549" s="5"/>
      <c r="X549" s="5"/>
      <c r="Y549" s="5"/>
      <c r="Z549" s="5"/>
      <c r="AA549" s="5"/>
    </row>
    <row r="550" spans="1:27" ht="12.75" customHeight="1">
      <c r="A550" s="5"/>
      <c r="B550" s="5"/>
      <c r="C550" s="5"/>
      <c r="D550" s="5"/>
      <c r="E550" s="5"/>
      <c r="F550" s="5"/>
      <c r="G550" s="5"/>
      <c r="H550" s="306"/>
      <c r="I550" s="306"/>
      <c r="J550" s="5"/>
      <c r="K550" s="5"/>
      <c r="L550" s="5"/>
      <c r="M550" s="5"/>
      <c r="N550" s="5"/>
      <c r="O550" s="5"/>
      <c r="P550" s="57"/>
      <c r="Q550" s="5"/>
      <c r="R550" s="5"/>
      <c r="S550" s="5"/>
      <c r="T550" s="5"/>
      <c r="U550" s="5"/>
      <c r="V550" s="5"/>
      <c r="W550" s="5"/>
      <c r="X550" s="5"/>
      <c r="Y550" s="5"/>
      <c r="Z550" s="5"/>
      <c r="AA550" s="5"/>
    </row>
    <row r="551" spans="1:27" ht="12.75" customHeight="1">
      <c r="A551" s="5"/>
      <c r="B551" s="5"/>
      <c r="C551" s="5"/>
      <c r="D551" s="5"/>
      <c r="E551" s="5"/>
      <c r="F551" s="5"/>
      <c r="G551" s="5"/>
      <c r="H551" s="306"/>
      <c r="I551" s="306"/>
      <c r="J551" s="5"/>
      <c r="K551" s="5"/>
      <c r="L551" s="5"/>
      <c r="M551" s="5"/>
      <c r="N551" s="5"/>
      <c r="O551" s="5"/>
      <c r="P551" s="57"/>
      <c r="Q551" s="5"/>
      <c r="R551" s="5"/>
      <c r="S551" s="5"/>
      <c r="T551" s="5"/>
      <c r="U551" s="5"/>
      <c r="V551" s="5"/>
      <c r="W551" s="5"/>
      <c r="X551" s="5"/>
      <c r="Y551" s="5"/>
      <c r="Z551" s="5"/>
      <c r="AA551" s="5"/>
    </row>
    <row r="552" spans="1:27" ht="12.75" customHeight="1">
      <c r="A552" s="5"/>
      <c r="B552" s="5"/>
      <c r="C552" s="5"/>
      <c r="D552" s="5"/>
      <c r="E552" s="5"/>
      <c r="F552" s="5"/>
      <c r="G552" s="5"/>
      <c r="H552" s="306"/>
      <c r="I552" s="306"/>
      <c r="J552" s="5"/>
      <c r="K552" s="5"/>
      <c r="L552" s="5"/>
      <c r="M552" s="5"/>
      <c r="N552" s="5"/>
      <c r="O552" s="5"/>
      <c r="P552" s="57"/>
      <c r="Q552" s="5"/>
      <c r="R552" s="5"/>
      <c r="S552" s="5"/>
      <c r="T552" s="5"/>
      <c r="U552" s="5"/>
      <c r="V552" s="5"/>
      <c r="W552" s="5"/>
      <c r="X552" s="5"/>
      <c r="Y552" s="5"/>
      <c r="Z552" s="5"/>
      <c r="AA552" s="5"/>
    </row>
    <row r="553" spans="1:27" ht="12.75" customHeight="1">
      <c r="A553" s="5"/>
      <c r="B553" s="5"/>
      <c r="C553" s="5"/>
      <c r="D553" s="5"/>
      <c r="E553" s="5"/>
      <c r="F553" s="5"/>
      <c r="G553" s="5"/>
      <c r="H553" s="306"/>
      <c r="I553" s="306"/>
      <c r="J553" s="5"/>
      <c r="K553" s="5"/>
      <c r="L553" s="5"/>
      <c r="M553" s="5"/>
      <c r="N553" s="5"/>
      <c r="O553" s="5"/>
      <c r="P553" s="57"/>
      <c r="Q553" s="5"/>
      <c r="R553" s="5"/>
      <c r="S553" s="5"/>
      <c r="T553" s="5"/>
      <c r="U553" s="5"/>
      <c r="V553" s="5"/>
      <c r="W553" s="5"/>
      <c r="X553" s="5"/>
      <c r="Y553" s="5"/>
      <c r="Z553" s="5"/>
      <c r="AA553" s="5"/>
    </row>
    <row r="554" spans="1:27" ht="12.75" customHeight="1">
      <c r="A554" s="5"/>
      <c r="B554" s="5"/>
      <c r="C554" s="5"/>
      <c r="D554" s="5"/>
      <c r="E554" s="5"/>
      <c r="F554" s="5"/>
      <c r="G554" s="5"/>
      <c r="H554" s="306"/>
      <c r="I554" s="306"/>
      <c r="J554" s="5"/>
      <c r="K554" s="5"/>
      <c r="L554" s="5"/>
      <c r="M554" s="5"/>
      <c r="N554" s="5"/>
      <c r="O554" s="5"/>
      <c r="P554" s="57"/>
      <c r="Q554" s="5"/>
      <c r="R554" s="5"/>
      <c r="S554" s="5"/>
      <c r="T554" s="5"/>
      <c r="U554" s="5"/>
      <c r="V554" s="5"/>
      <c r="W554" s="5"/>
      <c r="X554" s="5"/>
      <c r="Y554" s="5"/>
      <c r="Z554" s="5"/>
      <c r="AA554" s="5"/>
    </row>
    <row r="555" spans="1:27" ht="12.75" customHeight="1">
      <c r="A555" s="5"/>
      <c r="B555" s="5"/>
      <c r="C555" s="5"/>
      <c r="D555" s="5"/>
      <c r="E555" s="5"/>
      <c r="F555" s="5"/>
      <c r="G555" s="5"/>
      <c r="H555" s="306"/>
      <c r="I555" s="306"/>
      <c r="J555" s="5"/>
      <c r="K555" s="5"/>
      <c r="L555" s="5"/>
      <c r="M555" s="5"/>
      <c r="N555" s="5"/>
      <c r="O555" s="5"/>
      <c r="P555" s="57"/>
      <c r="Q555" s="5"/>
      <c r="R555" s="5"/>
      <c r="S555" s="5"/>
      <c r="T555" s="5"/>
      <c r="U555" s="5"/>
      <c r="V555" s="5"/>
      <c r="W555" s="5"/>
      <c r="X555" s="5"/>
      <c r="Y555" s="5"/>
      <c r="Z555" s="5"/>
      <c r="AA555" s="5"/>
    </row>
    <row r="556" spans="1:27" ht="12.75" customHeight="1">
      <c r="A556" s="5"/>
      <c r="B556" s="5"/>
      <c r="C556" s="5"/>
      <c r="D556" s="5"/>
      <c r="E556" s="5"/>
      <c r="F556" s="5"/>
      <c r="G556" s="5"/>
      <c r="H556" s="306"/>
      <c r="I556" s="306"/>
      <c r="J556" s="5"/>
      <c r="K556" s="5"/>
      <c r="L556" s="5"/>
      <c r="M556" s="5"/>
      <c r="N556" s="5"/>
      <c r="O556" s="5"/>
      <c r="P556" s="57"/>
      <c r="Q556" s="5"/>
      <c r="R556" s="5"/>
      <c r="S556" s="5"/>
      <c r="T556" s="5"/>
      <c r="U556" s="5"/>
      <c r="V556" s="5"/>
      <c r="W556" s="5"/>
      <c r="X556" s="5"/>
      <c r="Y556" s="5"/>
      <c r="Z556" s="5"/>
      <c r="AA556" s="5"/>
    </row>
    <row r="557" spans="1:27" ht="12.75" customHeight="1">
      <c r="A557" s="5"/>
      <c r="B557" s="5"/>
      <c r="C557" s="5"/>
      <c r="D557" s="5"/>
      <c r="E557" s="5"/>
      <c r="F557" s="5"/>
      <c r="G557" s="5"/>
      <c r="H557" s="306"/>
      <c r="I557" s="306"/>
      <c r="J557" s="5"/>
      <c r="K557" s="5"/>
      <c r="L557" s="5"/>
      <c r="M557" s="5"/>
      <c r="N557" s="5"/>
      <c r="O557" s="5"/>
      <c r="P557" s="57"/>
      <c r="Q557" s="5"/>
      <c r="R557" s="5"/>
      <c r="S557" s="5"/>
      <c r="T557" s="5"/>
      <c r="U557" s="5"/>
      <c r="V557" s="5"/>
      <c r="W557" s="5"/>
      <c r="X557" s="5"/>
      <c r="Y557" s="5"/>
      <c r="Z557" s="5"/>
      <c r="AA557" s="5"/>
    </row>
    <row r="558" spans="1:27" ht="12.75" customHeight="1">
      <c r="A558" s="5"/>
      <c r="B558" s="5"/>
      <c r="C558" s="5"/>
      <c r="D558" s="5"/>
      <c r="E558" s="5"/>
      <c r="F558" s="5"/>
      <c r="G558" s="5"/>
      <c r="H558" s="306"/>
      <c r="I558" s="306"/>
      <c r="J558" s="5"/>
      <c r="K558" s="5"/>
      <c r="L558" s="5"/>
      <c r="M558" s="5"/>
      <c r="N558" s="5"/>
      <c r="O558" s="5"/>
      <c r="P558" s="57"/>
      <c r="Q558" s="5"/>
      <c r="R558" s="5"/>
      <c r="S558" s="5"/>
      <c r="T558" s="5"/>
      <c r="U558" s="5"/>
      <c r="V558" s="5"/>
      <c r="W558" s="5"/>
      <c r="X558" s="5"/>
      <c r="Y558" s="5"/>
      <c r="Z558" s="5"/>
      <c r="AA558" s="5"/>
    </row>
    <row r="559" spans="1:27" ht="12.75" customHeight="1">
      <c r="A559" s="5"/>
      <c r="B559" s="5"/>
      <c r="C559" s="5"/>
      <c r="D559" s="5"/>
      <c r="E559" s="5"/>
      <c r="F559" s="5"/>
      <c r="G559" s="5"/>
      <c r="H559" s="306"/>
      <c r="I559" s="306"/>
      <c r="J559" s="5"/>
      <c r="K559" s="5"/>
      <c r="L559" s="5"/>
      <c r="M559" s="5"/>
      <c r="N559" s="5"/>
      <c r="O559" s="5"/>
      <c r="P559" s="57"/>
      <c r="Q559" s="5"/>
      <c r="R559" s="5"/>
      <c r="S559" s="5"/>
      <c r="T559" s="5"/>
      <c r="U559" s="5"/>
      <c r="V559" s="5"/>
      <c r="W559" s="5"/>
      <c r="X559" s="5"/>
      <c r="Y559" s="5"/>
      <c r="Z559" s="5"/>
      <c r="AA559" s="5"/>
    </row>
    <row r="560" spans="1:27" ht="12.75" customHeight="1">
      <c r="A560" s="5"/>
      <c r="B560" s="5"/>
      <c r="C560" s="5"/>
      <c r="D560" s="5"/>
      <c r="E560" s="5"/>
      <c r="F560" s="5"/>
      <c r="G560" s="5"/>
      <c r="H560" s="306"/>
      <c r="I560" s="306"/>
      <c r="J560" s="5"/>
      <c r="K560" s="5"/>
      <c r="L560" s="5"/>
      <c r="M560" s="5"/>
      <c r="N560" s="5"/>
      <c r="O560" s="5"/>
      <c r="P560" s="57"/>
      <c r="Q560" s="5"/>
      <c r="R560" s="5"/>
      <c r="S560" s="5"/>
      <c r="T560" s="5"/>
      <c r="U560" s="5"/>
      <c r="V560" s="5"/>
      <c r="W560" s="5"/>
      <c r="X560" s="5"/>
      <c r="Y560" s="5"/>
      <c r="Z560" s="5"/>
      <c r="AA560" s="5"/>
    </row>
    <row r="561" spans="1:27" ht="12.75" customHeight="1">
      <c r="A561" s="5"/>
      <c r="B561" s="5"/>
      <c r="C561" s="5"/>
      <c r="D561" s="5"/>
      <c r="E561" s="5"/>
      <c r="F561" s="5"/>
      <c r="G561" s="5"/>
      <c r="H561" s="306"/>
      <c r="I561" s="306"/>
      <c r="J561" s="5"/>
      <c r="K561" s="5"/>
      <c r="L561" s="5"/>
      <c r="M561" s="5"/>
      <c r="N561" s="5"/>
      <c r="O561" s="5"/>
      <c r="P561" s="57"/>
      <c r="Q561" s="5"/>
      <c r="R561" s="5"/>
      <c r="S561" s="5"/>
      <c r="T561" s="5"/>
      <c r="U561" s="5"/>
      <c r="V561" s="5"/>
      <c r="W561" s="5"/>
      <c r="X561" s="5"/>
      <c r="Y561" s="5"/>
      <c r="Z561" s="5"/>
      <c r="AA561" s="5"/>
    </row>
    <row r="562" spans="1:27" ht="12.75" customHeight="1">
      <c r="A562" s="5"/>
      <c r="B562" s="5"/>
      <c r="C562" s="5"/>
      <c r="D562" s="5"/>
      <c r="E562" s="5"/>
      <c r="F562" s="5"/>
      <c r="G562" s="5"/>
      <c r="H562" s="306"/>
      <c r="I562" s="306"/>
      <c r="J562" s="5"/>
      <c r="K562" s="5"/>
      <c r="L562" s="5"/>
      <c r="M562" s="5"/>
      <c r="N562" s="5"/>
      <c r="O562" s="5"/>
      <c r="P562" s="57"/>
      <c r="Q562" s="5"/>
      <c r="R562" s="5"/>
      <c r="S562" s="5"/>
      <c r="T562" s="5"/>
      <c r="U562" s="5"/>
      <c r="V562" s="5"/>
      <c r="W562" s="5"/>
      <c r="X562" s="5"/>
      <c r="Y562" s="5"/>
      <c r="Z562" s="5"/>
      <c r="AA562" s="5"/>
    </row>
    <row r="563" spans="1:27" ht="12.75" customHeight="1">
      <c r="A563" s="5"/>
      <c r="B563" s="5"/>
      <c r="C563" s="5"/>
      <c r="D563" s="5"/>
      <c r="E563" s="5"/>
      <c r="F563" s="5"/>
      <c r="G563" s="5"/>
      <c r="H563" s="306"/>
      <c r="I563" s="306"/>
      <c r="J563" s="5"/>
      <c r="K563" s="5"/>
      <c r="L563" s="5"/>
      <c r="M563" s="5"/>
      <c r="N563" s="5"/>
      <c r="O563" s="5"/>
      <c r="P563" s="57"/>
      <c r="Q563" s="5"/>
      <c r="R563" s="5"/>
      <c r="S563" s="5"/>
      <c r="T563" s="5"/>
      <c r="U563" s="5"/>
      <c r="V563" s="5"/>
      <c r="W563" s="5"/>
      <c r="X563" s="5"/>
      <c r="Y563" s="5"/>
      <c r="Z563" s="5"/>
      <c r="AA563" s="5"/>
    </row>
    <row r="564" spans="1:27" ht="12.75" customHeight="1">
      <c r="A564" s="5"/>
      <c r="B564" s="5"/>
      <c r="C564" s="5"/>
      <c r="D564" s="5"/>
      <c r="E564" s="5"/>
      <c r="F564" s="5"/>
      <c r="G564" s="5"/>
      <c r="H564" s="306"/>
      <c r="I564" s="306"/>
      <c r="J564" s="5"/>
      <c r="K564" s="5"/>
      <c r="L564" s="5"/>
      <c r="M564" s="5"/>
      <c r="N564" s="5"/>
      <c r="O564" s="5"/>
      <c r="P564" s="57"/>
      <c r="Q564" s="5"/>
      <c r="R564" s="5"/>
      <c r="S564" s="5"/>
      <c r="T564" s="5"/>
      <c r="U564" s="5"/>
      <c r="V564" s="5"/>
      <c r="W564" s="5"/>
      <c r="X564" s="5"/>
      <c r="Y564" s="5"/>
      <c r="Z564" s="5"/>
      <c r="AA564" s="5"/>
    </row>
    <row r="565" spans="1:27" ht="12.75" customHeight="1">
      <c r="A565" s="5"/>
      <c r="B565" s="5"/>
      <c r="C565" s="5"/>
      <c r="D565" s="5"/>
      <c r="E565" s="5"/>
      <c r="F565" s="5"/>
      <c r="G565" s="5"/>
      <c r="H565" s="306"/>
      <c r="I565" s="306"/>
      <c r="J565" s="5"/>
      <c r="K565" s="5"/>
      <c r="L565" s="5"/>
      <c r="M565" s="5"/>
      <c r="N565" s="5"/>
      <c r="O565" s="5"/>
      <c r="P565" s="57"/>
      <c r="Q565" s="5"/>
      <c r="R565" s="5"/>
      <c r="S565" s="5"/>
      <c r="T565" s="5"/>
      <c r="U565" s="5"/>
      <c r="V565" s="5"/>
      <c r="W565" s="5"/>
      <c r="X565" s="5"/>
      <c r="Y565" s="5"/>
      <c r="Z565" s="5"/>
      <c r="AA565" s="5"/>
    </row>
    <row r="566" spans="1:27" ht="12.75" customHeight="1">
      <c r="A566" s="5"/>
      <c r="B566" s="5"/>
      <c r="C566" s="5"/>
      <c r="D566" s="5"/>
      <c r="E566" s="5"/>
      <c r="F566" s="5"/>
      <c r="G566" s="5"/>
      <c r="H566" s="306"/>
      <c r="I566" s="306"/>
      <c r="J566" s="5"/>
      <c r="K566" s="5"/>
      <c r="L566" s="5"/>
      <c r="M566" s="5"/>
      <c r="N566" s="5"/>
      <c r="O566" s="5"/>
      <c r="P566" s="57"/>
      <c r="Q566" s="5"/>
      <c r="R566" s="5"/>
      <c r="S566" s="5"/>
      <c r="T566" s="5"/>
      <c r="U566" s="5"/>
      <c r="V566" s="5"/>
      <c r="W566" s="5"/>
      <c r="X566" s="5"/>
      <c r="Y566" s="5"/>
      <c r="Z566" s="5"/>
      <c r="AA566" s="5"/>
    </row>
    <row r="567" spans="1:27" ht="12.75" customHeight="1">
      <c r="A567" s="5"/>
      <c r="B567" s="5"/>
      <c r="C567" s="5"/>
      <c r="D567" s="5"/>
      <c r="E567" s="5"/>
      <c r="F567" s="5"/>
      <c r="G567" s="5"/>
      <c r="H567" s="306"/>
      <c r="I567" s="306"/>
      <c r="J567" s="5"/>
      <c r="K567" s="5"/>
      <c r="L567" s="5"/>
      <c r="M567" s="5"/>
      <c r="N567" s="5"/>
      <c r="O567" s="5"/>
      <c r="P567" s="57"/>
      <c r="Q567" s="5"/>
      <c r="R567" s="5"/>
      <c r="S567" s="5"/>
      <c r="T567" s="5"/>
      <c r="U567" s="5"/>
      <c r="V567" s="5"/>
      <c r="W567" s="5"/>
      <c r="X567" s="5"/>
      <c r="Y567" s="5"/>
      <c r="Z567" s="5"/>
      <c r="AA567" s="5"/>
    </row>
    <row r="568" spans="1:27" ht="12.75" customHeight="1">
      <c r="A568" s="5"/>
      <c r="B568" s="5"/>
      <c r="C568" s="5"/>
      <c r="D568" s="5"/>
      <c r="E568" s="5"/>
      <c r="F568" s="5"/>
      <c r="G568" s="5"/>
      <c r="H568" s="306"/>
      <c r="I568" s="306"/>
      <c r="J568" s="5"/>
      <c r="K568" s="5"/>
      <c r="L568" s="5"/>
      <c r="M568" s="5"/>
      <c r="N568" s="5"/>
      <c r="O568" s="5"/>
      <c r="P568" s="57"/>
      <c r="Q568" s="5"/>
      <c r="R568" s="5"/>
      <c r="S568" s="5"/>
      <c r="T568" s="5"/>
      <c r="U568" s="5"/>
      <c r="V568" s="5"/>
      <c r="W568" s="5"/>
      <c r="X568" s="5"/>
      <c r="Y568" s="5"/>
      <c r="Z568" s="5"/>
      <c r="AA568" s="5"/>
    </row>
    <row r="569" spans="1:27" ht="12.75" customHeight="1">
      <c r="A569" s="5"/>
      <c r="B569" s="5"/>
      <c r="C569" s="5"/>
      <c r="D569" s="5"/>
      <c r="E569" s="5"/>
      <c r="F569" s="5"/>
      <c r="G569" s="5"/>
      <c r="H569" s="306"/>
      <c r="I569" s="306"/>
      <c r="J569" s="5"/>
      <c r="K569" s="5"/>
      <c r="L569" s="5"/>
      <c r="M569" s="5"/>
      <c r="N569" s="5"/>
      <c r="O569" s="5"/>
      <c r="P569" s="57"/>
      <c r="Q569" s="5"/>
      <c r="R569" s="5"/>
      <c r="S569" s="5"/>
      <c r="T569" s="5"/>
      <c r="U569" s="5"/>
      <c r="V569" s="5"/>
      <c r="W569" s="5"/>
      <c r="X569" s="5"/>
      <c r="Y569" s="5"/>
      <c r="Z569" s="5"/>
      <c r="AA569" s="5"/>
    </row>
    <row r="570" spans="1:27" ht="12.75" customHeight="1">
      <c r="A570" s="5"/>
      <c r="B570" s="5"/>
      <c r="C570" s="5"/>
      <c r="D570" s="5"/>
      <c r="E570" s="5"/>
      <c r="F570" s="5"/>
      <c r="G570" s="5"/>
      <c r="H570" s="306"/>
      <c r="I570" s="306"/>
      <c r="J570" s="5"/>
      <c r="K570" s="5"/>
      <c r="L570" s="5"/>
      <c r="M570" s="5"/>
      <c r="N570" s="5"/>
      <c r="O570" s="5"/>
      <c r="P570" s="57"/>
      <c r="Q570" s="5"/>
      <c r="R570" s="5"/>
      <c r="S570" s="5"/>
      <c r="T570" s="5"/>
      <c r="U570" s="5"/>
      <c r="V570" s="5"/>
      <c r="W570" s="5"/>
      <c r="X570" s="5"/>
      <c r="Y570" s="5"/>
      <c r="Z570" s="5"/>
      <c r="AA570" s="5"/>
    </row>
    <row r="571" spans="1:27" ht="12.75" customHeight="1">
      <c r="A571" s="5"/>
      <c r="B571" s="5"/>
      <c r="C571" s="5"/>
      <c r="D571" s="5"/>
      <c r="E571" s="5"/>
      <c r="F571" s="5"/>
      <c r="G571" s="5"/>
      <c r="H571" s="306"/>
      <c r="I571" s="306"/>
      <c r="J571" s="5"/>
      <c r="K571" s="5"/>
      <c r="L571" s="5"/>
      <c r="M571" s="5"/>
      <c r="N571" s="5"/>
      <c r="O571" s="5"/>
      <c r="P571" s="57"/>
      <c r="Q571" s="5"/>
      <c r="R571" s="5"/>
      <c r="S571" s="5"/>
      <c r="T571" s="5"/>
      <c r="U571" s="5"/>
      <c r="V571" s="5"/>
      <c r="W571" s="5"/>
      <c r="X571" s="5"/>
      <c r="Y571" s="5"/>
      <c r="Z571" s="5"/>
      <c r="AA571" s="5"/>
    </row>
    <row r="572" spans="1:27" ht="12.75" customHeight="1">
      <c r="A572" s="5"/>
      <c r="B572" s="5"/>
      <c r="C572" s="5"/>
      <c r="D572" s="5"/>
      <c r="E572" s="5"/>
      <c r="F572" s="5"/>
      <c r="G572" s="5"/>
      <c r="H572" s="306"/>
      <c r="I572" s="306"/>
      <c r="J572" s="5"/>
      <c r="K572" s="5"/>
      <c r="L572" s="5"/>
      <c r="M572" s="5"/>
      <c r="N572" s="5"/>
      <c r="O572" s="5"/>
      <c r="P572" s="57"/>
      <c r="Q572" s="5"/>
      <c r="R572" s="5"/>
      <c r="S572" s="5"/>
      <c r="T572" s="5"/>
      <c r="U572" s="5"/>
      <c r="V572" s="5"/>
      <c r="W572" s="5"/>
      <c r="X572" s="5"/>
      <c r="Y572" s="5"/>
      <c r="Z572" s="5"/>
      <c r="AA572" s="5"/>
    </row>
    <row r="573" spans="1:27" ht="12.75" customHeight="1">
      <c r="A573" s="5"/>
      <c r="B573" s="5"/>
      <c r="C573" s="5"/>
      <c r="D573" s="5"/>
      <c r="E573" s="5"/>
      <c r="F573" s="5"/>
      <c r="G573" s="5"/>
      <c r="H573" s="306"/>
      <c r="I573" s="306"/>
      <c r="J573" s="5"/>
      <c r="K573" s="5"/>
      <c r="L573" s="5"/>
      <c r="M573" s="5"/>
      <c r="N573" s="5"/>
      <c r="O573" s="5"/>
      <c r="P573" s="57"/>
      <c r="Q573" s="5"/>
      <c r="R573" s="5"/>
      <c r="S573" s="5"/>
      <c r="T573" s="5"/>
      <c r="U573" s="5"/>
      <c r="V573" s="5"/>
      <c r="W573" s="5"/>
      <c r="X573" s="5"/>
      <c r="Y573" s="5"/>
      <c r="Z573" s="5"/>
      <c r="AA573" s="5"/>
    </row>
    <row r="574" spans="1:27" ht="12.75" customHeight="1">
      <c r="A574" s="5"/>
      <c r="B574" s="5"/>
      <c r="C574" s="5"/>
      <c r="D574" s="5"/>
      <c r="E574" s="5"/>
      <c r="F574" s="5"/>
      <c r="G574" s="5"/>
      <c r="H574" s="306"/>
      <c r="I574" s="306"/>
      <c r="J574" s="5"/>
      <c r="K574" s="5"/>
      <c r="L574" s="5"/>
      <c r="M574" s="5"/>
      <c r="N574" s="5"/>
      <c r="O574" s="5"/>
      <c r="P574" s="57"/>
      <c r="Q574" s="5"/>
      <c r="R574" s="5"/>
      <c r="S574" s="5"/>
      <c r="T574" s="5"/>
      <c r="U574" s="5"/>
      <c r="V574" s="5"/>
      <c r="W574" s="5"/>
      <c r="X574" s="5"/>
      <c r="Y574" s="5"/>
      <c r="Z574" s="5"/>
      <c r="AA574" s="5"/>
    </row>
    <row r="575" spans="1:27" ht="12.75" customHeight="1">
      <c r="A575" s="5"/>
      <c r="B575" s="5"/>
      <c r="C575" s="5"/>
      <c r="D575" s="5"/>
      <c r="E575" s="5"/>
      <c r="F575" s="5"/>
      <c r="G575" s="5"/>
      <c r="H575" s="306"/>
      <c r="I575" s="306"/>
      <c r="J575" s="5"/>
      <c r="K575" s="5"/>
      <c r="L575" s="5"/>
      <c r="M575" s="5"/>
      <c r="N575" s="5"/>
      <c r="O575" s="5"/>
      <c r="P575" s="57"/>
      <c r="Q575" s="5"/>
      <c r="R575" s="5"/>
      <c r="S575" s="5"/>
      <c r="T575" s="5"/>
      <c r="U575" s="5"/>
      <c r="V575" s="5"/>
      <c r="W575" s="5"/>
      <c r="X575" s="5"/>
      <c r="Y575" s="5"/>
      <c r="Z575" s="5"/>
      <c r="AA575" s="5"/>
    </row>
    <row r="576" spans="1:27" ht="12.75" customHeight="1">
      <c r="A576" s="5"/>
      <c r="B576" s="5"/>
      <c r="C576" s="5"/>
      <c r="D576" s="5"/>
      <c r="E576" s="5"/>
      <c r="F576" s="5"/>
      <c r="G576" s="5"/>
      <c r="H576" s="306"/>
      <c r="I576" s="306"/>
      <c r="J576" s="5"/>
      <c r="K576" s="5"/>
      <c r="L576" s="5"/>
      <c r="M576" s="5"/>
      <c r="N576" s="5"/>
      <c r="O576" s="5"/>
      <c r="P576" s="57"/>
      <c r="Q576" s="5"/>
      <c r="R576" s="5"/>
      <c r="S576" s="5"/>
      <c r="T576" s="5"/>
      <c r="U576" s="5"/>
      <c r="V576" s="5"/>
      <c r="W576" s="5"/>
      <c r="X576" s="5"/>
      <c r="Y576" s="5"/>
      <c r="Z576" s="5"/>
      <c r="AA576" s="5"/>
    </row>
    <row r="577" spans="1:27" ht="12.75" customHeight="1">
      <c r="A577" s="5"/>
      <c r="B577" s="5"/>
      <c r="C577" s="5"/>
      <c r="D577" s="5"/>
      <c r="E577" s="5"/>
      <c r="F577" s="5"/>
      <c r="G577" s="5"/>
      <c r="H577" s="306"/>
      <c r="I577" s="306"/>
      <c r="J577" s="5"/>
      <c r="K577" s="5"/>
      <c r="L577" s="5"/>
      <c r="M577" s="5"/>
      <c r="N577" s="5"/>
      <c r="O577" s="5"/>
      <c r="P577" s="57"/>
      <c r="Q577" s="5"/>
      <c r="R577" s="5"/>
      <c r="S577" s="5"/>
      <c r="T577" s="5"/>
      <c r="U577" s="5"/>
      <c r="V577" s="5"/>
      <c r="W577" s="5"/>
      <c r="X577" s="5"/>
      <c r="Y577" s="5"/>
      <c r="Z577" s="5"/>
      <c r="AA577" s="5"/>
    </row>
    <row r="578" spans="1:27" ht="12.75" customHeight="1">
      <c r="A578" s="5"/>
      <c r="B578" s="5"/>
      <c r="C578" s="5"/>
      <c r="D578" s="5"/>
      <c r="E578" s="5"/>
      <c r="F578" s="5"/>
      <c r="G578" s="5"/>
      <c r="H578" s="306"/>
      <c r="I578" s="306"/>
      <c r="J578" s="5"/>
      <c r="K578" s="5"/>
      <c r="L578" s="5"/>
      <c r="M578" s="5"/>
      <c r="N578" s="5"/>
      <c r="O578" s="5"/>
      <c r="P578" s="57"/>
      <c r="Q578" s="5"/>
      <c r="R578" s="5"/>
      <c r="S578" s="5"/>
      <c r="T578" s="5"/>
      <c r="U578" s="5"/>
      <c r="V578" s="5"/>
      <c r="W578" s="5"/>
      <c r="X578" s="5"/>
      <c r="Y578" s="5"/>
      <c r="Z578" s="5"/>
      <c r="AA578" s="5"/>
    </row>
    <row r="579" spans="1:27" ht="12.75" customHeight="1">
      <c r="A579" s="5"/>
      <c r="B579" s="5"/>
      <c r="C579" s="5"/>
      <c r="D579" s="5"/>
      <c r="E579" s="5"/>
      <c r="F579" s="5"/>
      <c r="G579" s="5"/>
      <c r="H579" s="306"/>
      <c r="I579" s="306"/>
      <c r="J579" s="5"/>
      <c r="K579" s="5"/>
      <c r="L579" s="5"/>
      <c r="M579" s="5"/>
      <c r="N579" s="5"/>
      <c r="O579" s="5"/>
      <c r="P579" s="57"/>
      <c r="Q579" s="5"/>
      <c r="R579" s="5"/>
      <c r="S579" s="5"/>
      <c r="T579" s="5"/>
      <c r="U579" s="5"/>
      <c r="V579" s="5"/>
      <c r="W579" s="5"/>
      <c r="X579" s="5"/>
      <c r="Y579" s="5"/>
      <c r="Z579" s="5"/>
      <c r="AA579" s="5"/>
    </row>
    <row r="580" spans="1:27" ht="12.75" customHeight="1">
      <c r="A580" s="5"/>
      <c r="B580" s="5"/>
      <c r="C580" s="5"/>
      <c r="D580" s="5"/>
      <c r="E580" s="5"/>
      <c r="F580" s="5"/>
      <c r="G580" s="5"/>
      <c r="H580" s="306"/>
      <c r="I580" s="306"/>
      <c r="J580" s="5"/>
      <c r="K580" s="5"/>
      <c r="L580" s="5"/>
      <c r="M580" s="5"/>
      <c r="N580" s="5"/>
      <c r="O580" s="5"/>
      <c r="P580" s="57"/>
      <c r="Q580" s="5"/>
      <c r="R580" s="5"/>
      <c r="S580" s="5"/>
      <c r="T580" s="5"/>
      <c r="U580" s="5"/>
      <c r="V580" s="5"/>
      <c r="W580" s="5"/>
      <c r="X580" s="5"/>
      <c r="Y580" s="5"/>
      <c r="Z580" s="5"/>
      <c r="AA580" s="5"/>
    </row>
    <row r="581" spans="1:27" ht="12.75" customHeight="1">
      <c r="A581" s="5"/>
      <c r="B581" s="5"/>
      <c r="C581" s="5"/>
      <c r="D581" s="5"/>
      <c r="E581" s="5"/>
      <c r="F581" s="5"/>
      <c r="G581" s="5"/>
      <c r="H581" s="306"/>
      <c r="I581" s="306"/>
      <c r="J581" s="5"/>
      <c r="K581" s="5"/>
      <c r="L581" s="5"/>
      <c r="M581" s="5"/>
      <c r="N581" s="5"/>
      <c r="O581" s="5"/>
      <c r="P581" s="57"/>
      <c r="Q581" s="5"/>
      <c r="R581" s="5"/>
      <c r="S581" s="5"/>
      <c r="T581" s="5"/>
      <c r="U581" s="5"/>
      <c r="V581" s="5"/>
      <c r="W581" s="5"/>
      <c r="X581" s="5"/>
      <c r="Y581" s="5"/>
      <c r="Z581" s="5"/>
      <c r="AA581" s="5"/>
    </row>
    <row r="582" spans="1:27" ht="12.75" customHeight="1">
      <c r="A582" s="5"/>
      <c r="B582" s="5"/>
      <c r="C582" s="5"/>
      <c r="D582" s="5"/>
      <c r="E582" s="5"/>
      <c r="F582" s="5"/>
      <c r="G582" s="5"/>
      <c r="H582" s="306"/>
      <c r="I582" s="306"/>
      <c r="J582" s="5"/>
      <c r="K582" s="5"/>
      <c r="L582" s="5"/>
      <c r="M582" s="5"/>
      <c r="N582" s="5"/>
      <c r="O582" s="5"/>
      <c r="P582" s="57"/>
      <c r="Q582" s="5"/>
      <c r="R582" s="5"/>
      <c r="S582" s="5"/>
      <c r="T582" s="5"/>
      <c r="U582" s="5"/>
      <c r="V582" s="5"/>
      <c r="W582" s="5"/>
      <c r="X582" s="5"/>
      <c r="Y582" s="5"/>
      <c r="Z582" s="5"/>
      <c r="AA582" s="5"/>
    </row>
    <row r="583" spans="1:27" ht="12.75" customHeight="1">
      <c r="A583" s="5"/>
      <c r="B583" s="5"/>
      <c r="C583" s="5"/>
      <c r="D583" s="5"/>
      <c r="E583" s="5"/>
      <c r="F583" s="5"/>
      <c r="G583" s="5"/>
      <c r="H583" s="306"/>
      <c r="I583" s="306"/>
      <c r="J583" s="5"/>
      <c r="K583" s="5"/>
      <c r="L583" s="5"/>
      <c r="M583" s="5"/>
      <c r="N583" s="5"/>
      <c r="O583" s="5"/>
      <c r="P583" s="57"/>
      <c r="Q583" s="5"/>
      <c r="R583" s="5"/>
      <c r="S583" s="5"/>
      <c r="T583" s="5"/>
      <c r="U583" s="5"/>
      <c r="V583" s="5"/>
      <c r="W583" s="5"/>
      <c r="X583" s="5"/>
      <c r="Y583" s="5"/>
      <c r="Z583" s="5"/>
      <c r="AA583" s="5"/>
    </row>
    <row r="584" spans="1:27" ht="12.75" customHeight="1">
      <c r="A584" s="5"/>
      <c r="B584" s="5"/>
      <c r="C584" s="5"/>
      <c r="D584" s="5"/>
      <c r="E584" s="5"/>
      <c r="F584" s="5"/>
      <c r="G584" s="5"/>
      <c r="H584" s="306"/>
      <c r="I584" s="306"/>
      <c r="J584" s="5"/>
      <c r="K584" s="5"/>
      <c r="L584" s="5"/>
      <c r="M584" s="5"/>
      <c r="N584" s="5"/>
      <c r="O584" s="5"/>
      <c r="P584" s="57"/>
      <c r="Q584" s="5"/>
      <c r="R584" s="5"/>
      <c r="S584" s="5"/>
      <c r="T584" s="5"/>
      <c r="U584" s="5"/>
      <c r="V584" s="5"/>
      <c r="W584" s="5"/>
      <c r="X584" s="5"/>
      <c r="Y584" s="5"/>
      <c r="Z584" s="5"/>
      <c r="AA584" s="5"/>
    </row>
    <row r="585" spans="1:27" ht="12.75" customHeight="1">
      <c r="A585" s="5"/>
      <c r="B585" s="5"/>
      <c r="C585" s="5"/>
      <c r="D585" s="5"/>
      <c r="E585" s="5"/>
      <c r="F585" s="5"/>
      <c r="G585" s="5"/>
      <c r="H585" s="306"/>
      <c r="I585" s="306"/>
      <c r="J585" s="5"/>
      <c r="K585" s="5"/>
      <c r="L585" s="5"/>
      <c r="M585" s="5"/>
      <c r="N585" s="5"/>
      <c r="O585" s="5"/>
      <c r="P585" s="57"/>
      <c r="Q585" s="5"/>
      <c r="R585" s="5"/>
      <c r="S585" s="5"/>
      <c r="T585" s="5"/>
      <c r="U585" s="5"/>
      <c r="V585" s="5"/>
      <c r="W585" s="5"/>
      <c r="X585" s="5"/>
      <c r="Y585" s="5"/>
      <c r="Z585" s="5"/>
      <c r="AA585" s="5"/>
    </row>
    <row r="586" spans="1:27" ht="12.75" customHeight="1">
      <c r="A586" s="5"/>
      <c r="B586" s="5"/>
      <c r="C586" s="5"/>
      <c r="D586" s="5"/>
      <c r="E586" s="5"/>
      <c r="F586" s="5"/>
      <c r="G586" s="5"/>
      <c r="H586" s="306"/>
      <c r="I586" s="306"/>
      <c r="J586" s="5"/>
      <c r="K586" s="5"/>
      <c r="L586" s="5"/>
      <c r="M586" s="5"/>
      <c r="N586" s="5"/>
      <c r="O586" s="5"/>
      <c r="P586" s="57"/>
      <c r="Q586" s="5"/>
      <c r="R586" s="5"/>
      <c r="S586" s="5"/>
      <c r="T586" s="5"/>
      <c r="U586" s="5"/>
      <c r="V586" s="5"/>
      <c r="W586" s="5"/>
      <c r="X586" s="5"/>
      <c r="Y586" s="5"/>
      <c r="Z586" s="5"/>
      <c r="AA586" s="5"/>
    </row>
    <row r="587" spans="1:27" ht="12.75" customHeight="1">
      <c r="A587" s="5"/>
      <c r="B587" s="5"/>
      <c r="C587" s="5"/>
      <c r="D587" s="5"/>
      <c r="E587" s="5"/>
      <c r="F587" s="5"/>
      <c r="G587" s="5"/>
      <c r="H587" s="306"/>
      <c r="I587" s="306"/>
      <c r="J587" s="5"/>
      <c r="K587" s="5"/>
      <c r="L587" s="5"/>
      <c r="M587" s="5"/>
      <c r="N587" s="5"/>
      <c r="O587" s="5"/>
      <c r="P587" s="57"/>
      <c r="Q587" s="5"/>
      <c r="R587" s="5"/>
      <c r="S587" s="5"/>
      <c r="T587" s="5"/>
      <c r="U587" s="5"/>
      <c r="V587" s="5"/>
      <c r="W587" s="5"/>
      <c r="X587" s="5"/>
      <c r="Y587" s="5"/>
      <c r="Z587" s="5"/>
      <c r="AA587" s="5"/>
    </row>
    <row r="588" spans="1:27" ht="12.75" customHeight="1">
      <c r="A588" s="5"/>
      <c r="B588" s="5"/>
      <c r="C588" s="5"/>
      <c r="D588" s="5"/>
      <c r="E588" s="5"/>
      <c r="F588" s="5"/>
      <c r="G588" s="5"/>
      <c r="H588" s="306"/>
      <c r="I588" s="306"/>
      <c r="J588" s="5"/>
      <c r="K588" s="5"/>
      <c r="L588" s="5"/>
      <c r="M588" s="5"/>
      <c r="N588" s="5"/>
      <c r="O588" s="5"/>
      <c r="P588" s="57"/>
      <c r="Q588" s="5"/>
      <c r="R588" s="5"/>
      <c r="S588" s="5"/>
      <c r="T588" s="5"/>
      <c r="U588" s="5"/>
      <c r="V588" s="5"/>
      <c r="W588" s="5"/>
      <c r="X588" s="5"/>
      <c r="Y588" s="5"/>
      <c r="Z588" s="5"/>
      <c r="AA588" s="5"/>
    </row>
    <row r="589" spans="1:27" ht="12.75" customHeight="1">
      <c r="A589" s="5"/>
      <c r="B589" s="5"/>
      <c r="C589" s="5"/>
      <c r="D589" s="5"/>
      <c r="E589" s="5"/>
      <c r="F589" s="5"/>
      <c r="G589" s="5"/>
      <c r="H589" s="306"/>
      <c r="I589" s="306"/>
      <c r="J589" s="5"/>
      <c r="K589" s="5"/>
      <c r="L589" s="5"/>
      <c r="M589" s="5"/>
      <c r="N589" s="5"/>
      <c r="O589" s="5"/>
      <c r="P589" s="57"/>
      <c r="Q589" s="5"/>
      <c r="R589" s="5"/>
      <c r="S589" s="5"/>
      <c r="T589" s="5"/>
      <c r="U589" s="5"/>
      <c r="V589" s="5"/>
      <c r="W589" s="5"/>
      <c r="X589" s="5"/>
      <c r="Y589" s="5"/>
      <c r="Z589" s="5"/>
      <c r="AA589" s="5"/>
    </row>
    <row r="590" spans="1:27" ht="12.75" customHeight="1">
      <c r="A590" s="5"/>
      <c r="B590" s="5"/>
      <c r="C590" s="5"/>
      <c r="D590" s="5"/>
      <c r="E590" s="5"/>
      <c r="F590" s="5"/>
      <c r="G590" s="5"/>
      <c r="H590" s="306"/>
      <c r="I590" s="306"/>
      <c r="J590" s="5"/>
      <c r="K590" s="5"/>
      <c r="L590" s="5"/>
      <c r="M590" s="5"/>
      <c r="N590" s="5"/>
      <c r="O590" s="5"/>
      <c r="P590" s="57"/>
      <c r="Q590" s="5"/>
      <c r="R590" s="5"/>
      <c r="S590" s="5"/>
      <c r="T590" s="5"/>
      <c r="U590" s="5"/>
      <c r="V590" s="5"/>
      <c r="W590" s="5"/>
      <c r="X590" s="5"/>
      <c r="Y590" s="5"/>
      <c r="Z590" s="5"/>
      <c r="AA590" s="5"/>
    </row>
    <row r="591" spans="1:27" ht="12.75" customHeight="1">
      <c r="A591" s="5"/>
      <c r="B591" s="5"/>
      <c r="C591" s="5"/>
      <c r="D591" s="5"/>
      <c r="E591" s="5"/>
      <c r="F591" s="5"/>
      <c r="G591" s="5"/>
      <c r="H591" s="306"/>
      <c r="I591" s="306"/>
      <c r="J591" s="5"/>
      <c r="K591" s="5"/>
      <c r="L591" s="5"/>
      <c r="M591" s="5"/>
      <c r="N591" s="5"/>
      <c r="O591" s="5"/>
      <c r="P591" s="57"/>
      <c r="Q591" s="5"/>
      <c r="R591" s="5"/>
      <c r="S591" s="5"/>
      <c r="T591" s="5"/>
      <c r="U591" s="5"/>
      <c r="V591" s="5"/>
      <c r="W591" s="5"/>
      <c r="X591" s="5"/>
      <c r="Y591" s="5"/>
      <c r="Z591" s="5"/>
      <c r="AA591" s="5"/>
    </row>
    <row r="592" spans="1:27" ht="12.75" customHeight="1">
      <c r="A592" s="5"/>
      <c r="B592" s="5"/>
      <c r="C592" s="5"/>
      <c r="D592" s="5"/>
      <c r="E592" s="5"/>
      <c r="F592" s="5"/>
      <c r="G592" s="5"/>
      <c r="H592" s="306"/>
      <c r="I592" s="306"/>
      <c r="J592" s="5"/>
      <c r="K592" s="5"/>
      <c r="L592" s="5"/>
      <c r="M592" s="5"/>
      <c r="N592" s="5"/>
      <c r="O592" s="5"/>
      <c r="P592" s="57"/>
      <c r="Q592" s="5"/>
      <c r="R592" s="5"/>
      <c r="S592" s="5"/>
      <c r="T592" s="5"/>
      <c r="U592" s="5"/>
      <c r="V592" s="5"/>
      <c r="W592" s="5"/>
      <c r="X592" s="5"/>
      <c r="Y592" s="5"/>
      <c r="Z592" s="5"/>
      <c r="AA592" s="5"/>
    </row>
    <row r="593" spans="1:27" ht="12.75" customHeight="1">
      <c r="A593" s="5"/>
      <c r="B593" s="5"/>
      <c r="C593" s="5"/>
      <c r="D593" s="5"/>
      <c r="E593" s="5"/>
      <c r="F593" s="5"/>
      <c r="G593" s="5"/>
      <c r="H593" s="306"/>
      <c r="I593" s="306"/>
      <c r="J593" s="5"/>
      <c r="K593" s="5"/>
      <c r="L593" s="5"/>
      <c r="M593" s="5"/>
      <c r="N593" s="5"/>
      <c r="O593" s="5"/>
      <c r="P593" s="57"/>
      <c r="Q593" s="5"/>
      <c r="R593" s="5"/>
      <c r="S593" s="5"/>
      <c r="T593" s="5"/>
      <c r="U593" s="5"/>
      <c r="V593" s="5"/>
      <c r="W593" s="5"/>
      <c r="X593" s="5"/>
      <c r="Y593" s="5"/>
      <c r="Z593" s="5"/>
      <c r="AA593" s="5"/>
    </row>
    <row r="594" spans="1:27" ht="12.75" customHeight="1">
      <c r="A594" s="5"/>
      <c r="B594" s="5"/>
      <c r="C594" s="5"/>
      <c r="D594" s="5"/>
      <c r="E594" s="5"/>
      <c r="F594" s="5"/>
      <c r="G594" s="5"/>
      <c r="H594" s="306"/>
      <c r="I594" s="306"/>
      <c r="J594" s="5"/>
      <c r="K594" s="5"/>
      <c r="L594" s="5"/>
      <c r="M594" s="5"/>
      <c r="N594" s="5"/>
      <c r="O594" s="5"/>
      <c r="P594" s="57"/>
      <c r="Q594" s="5"/>
      <c r="R594" s="5"/>
      <c r="S594" s="5"/>
      <c r="T594" s="5"/>
      <c r="U594" s="5"/>
      <c r="V594" s="5"/>
      <c r="W594" s="5"/>
      <c r="X594" s="5"/>
      <c r="Y594" s="5"/>
      <c r="Z594" s="5"/>
      <c r="AA594" s="5"/>
    </row>
    <row r="595" spans="1:27" ht="12.75" customHeight="1">
      <c r="A595" s="5"/>
      <c r="B595" s="5"/>
      <c r="C595" s="5"/>
      <c r="D595" s="5"/>
      <c r="E595" s="5"/>
      <c r="F595" s="5"/>
      <c r="G595" s="5"/>
      <c r="H595" s="306"/>
      <c r="I595" s="306"/>
      <c r="J595" s="5"/>
      <c r="K595" s="5"/>
      <c r="L595" s="5"/>
      <c r="M595" s="5"/>
      <c r="N595" s="5"/>
      <c r="O595" s="5"/>
      <c r="P595" s="57"/>
      <c r="Q595" s="5"/>
      <c r="R595" s="5"/>
      <c r="S595" s="5"/>
      <c r="T595" s="5"/>
      <c r="U595" s="5"/>
      <c r="V595" s="5"/>
      <c r="W595" s="5"/>
      <c r="X595" s="5"/>
      <c r="Y595" s="5"/>
      <c r="Z595" s="5"/>
      <c r="AA595" s="5"/>
    </row>
    <row r="596" spans="1:27" ht="12.75" customHeight="1">
      <c r="A596" s="5"/>
      <c r="B596" s="5"/>
      <c r="C596" s="5"/>
      <c r="D596" s="5"/>
      <c r="E596" s="5"/>
      <c r="F596" s="5"/>
      <c r="G596" s="5"/>
      <c r="H596" s="306"/>
      <c r="I596" s="306"/>
      <c r="J596" s="5"/>
      <c r="K596" s="5"/>
      <c r="L596" s="5"/>
      <c r="M596" s="5"/>
      <c r="N596" s="5"/>
      <c r="O596" s="5"/>
      <c r="P596" s="57"/>
      <c r="Q596" s="5"/>
      <c r="R596" s="5"/>
      <c r="S596" s="5"/>
      <c r="T596" s="5"/>
      <c r="U596" s="5"/>
      <c r="V596" s="5"/>
      <c r="W596" s="5"/>
      <c r="X596" s="5"/>
      <c r="Y596" s="5"/>
      <c r="Z596" s="5"/>
      <c r="AA596" s="5"/>
    </row>
    <row r="597" spans="1:27" ht="12.75" customHeight="1">
      <c r="A597" s="5"/>
      <c r="B597" s="5"/>
      <c r="C597" s="5"/>
      <c r="D597" s="5"/>
      <c r="E597" s="5"/>
      <c r="F597" s="5"/>
      <c r="G597" s="5"/>
      <c r="H597" s="306"/>
      <c r="I597" s="306"/>
      <c r="J597" s="5"/>
      <c r="K597" s="5"/>
      <c r="L597" s="5"/>
      <c r="M597" s="5"/>
      <c r="N597" s="5"/>
      <c r="O597" s="5"/>
      <c r="P597" s="57"/>
      <c r="Q597" s="5"/>
      <c r="R597" s="5"/>
      <c r="S597" s="5"/>
      <c r="T597" s="5"/>
      <c r="U597" s="5"/>
      <c r="V597" s="5"/>
      <c r="W597" s="5"/>
      <c r="X597" s="5"/>
      <c r="Y597" s="5"/>
      <c r="Z597" s="5"/>
      <c r="AA597" s="5"/>
    </row>
    <row r="598" spans="1:27" ht="12.75" customHeight="1">
      <c r="A598" s="5"/>
      <c r="B598" s="5"/>
      <c r="C598" s="5"/>
      <c r="D598" s="5"/>
      <c r="E598" s="5"/>
      <c r="F598" s="5"/>
      <c r="G598" s="5"/>
      <c r="H598" s="306"/>
      <c r="I598" s="306"/>
      <c r="J598" s="5"/>
      <c r="K598" s="5"/>
      <c r="L598" s="5"/>
      <c r="M598" s="5"/>
      <c r="N598" s="5"/>
      <c r="O598" s="5"/>
      <c r="P598" s="57"/>
      <c r="Q598" s="5"/>
      <c r="R598" s="5"/>
      <c r="S598" s="5"/>
      <c r="T598" s="5"/>
      <c r="U598" s="5"/>
      <c r="V598" s="5"/>
      <c r="W598" s="5"/>
      <c r="X598" s="5"/>
      <c r="Y598" s="5"/>
      <c r="Z598" s="5"/>
      <c r="AA598" s="5"/>
    </row>
    <row r="599" spans="1:27" ht="12.75" customHeight="1">
      <c r="A599" s="5"/>
      <c r="B599" s="5"/>
      <c r="C599" s="5"/>
      <c r="D599" s="5"/>
      <c r="E599" s="5"/>
      <c r="F599" s="5"/>
      <c r="G599" s="5"/>
      <c r="H599" s="306"/>
      <c r="I599" s="306"/>
      <c r="J599" s="5"/>
      <c r="K599" s="5"/>
      <c r="L599" s="5"/>
      <c r="M599" s="5"/>
      <c r="N599" s="5"/>
      <c r="O599" s="5"/>
      <c r="P599" s="57"/>
      <c r="Q599" s="5"/>
      <c r="R599" s="5"/>
      <c r="S599" s="5"/>
      <c r="T599" s="5"/>
      <c r="U599" s="5"/>
      <c r="V599" s="5"/>
      <c r="W599" s="5"/>
      <c r="X599" s="5"/>
      <c r="Y599" s="5"/>
      <c r="Z599" s="5"/>
      <c r="AA599" s="5"/>
    </row>
    <row r="600" spans="1:27" ht="12.75" customHeight="1">
      <c r="A600" s="5"/>
      <c r="B600" s="5"/>
      <c r="C600" s="5"/>
      <c r="D600" s="5"/>
      <c r="E600" s="5"/>
      <c r="F600" s="5"/>
      <c r="G600" s="5"/>
      <c r="H600" s="306"/>
      <c r="I600" s="306"/>
      <c r="J600" s="5"/>
      <c r="K600" s="5"/>
      <c r="L600" s="5"/>
      <c r="M600" s="5"/>
      <c r="N600" s="5"/>
      <c r="O600" s="5"/>
      <c r="P600" s="57"/>
      <c r="Q600" s="5"/>
      <c r="R600" s="5"/>
      <c r="S600" s="5"/>
      <c r="T600" s="5"/>
      <c r="U600" s="5"/>
      <c r="V600" s="5"/>
      <c r="W600" s="5"/>
      <c r="X600" s="5"/>
      <c r="Y600" s="5"/>
      <c r="Z600" s="5"/>
      <c r="AA600" s="5"/>
    </row>
    <row r="601" spans="1:27" ht="12.75" customHeight="1">
      <c r="A601" s="5"/>
      <c r="B601" s="5"/>
      <c r="C601" s="5"/>
      <c r="D601" s="5"/>
      <c r="E601" s="5"/>
      <c r="F601" s="5"/>
      <c r="G601" s="5"/>
      <c r="H601" s="306"/>
      <c r="I601" s="306"/>
      <c r="J601" s="5"/>
      <c r="K601" s="5"/>
      <c r="L601" s="5"/>
      <c r="M601" s="5"/>
      <c r="N601" s="5"/>
      <c r="O601" s="5"/>
      <c r="P601" s="57"/>
      <c r="Q601" s="5"/>
      <c r="R601" s="5"/>
      <c r="S601" s="5"/>
      <c r="T601" s="5"/>
      <c r="U601" s="5"/>
      <c r="V601" s="5"/>
      <c r="W601" s="5"/>
      <c r="X601" s="5"/>
      <c r="Y601" s="5"/>
      <c r="Z601" s="5"/>
      <c r="AA601" s="5"/>
    </row>
    <row r="602" spans="1:27" ht="12.75" customHeight="1">
      <c r="A602" s="5"/>
      <c r="B602" s="5"/>
      <c r="C602" s="5"/>
      <c r="D602" s="5"/>
      <c r="E602" s="5"/>
      <c r="F602" s="5"/>
      <c r="G602" s="5"/>
      <c r="H602" s="306"/>
      <c r="I602" s="306"/>
      <c r="J602" s="5"/>
      <c r="K602" s="5"/>
      <c r="L602" s="5"/>
      <c r="M602" s="5"/>
      <c r="N602" s="5"/>
      <c r="O602" s="5"/>
      <c r="P602" s="57"/>
      <c r="Q602" s="5"/>
      <c r="R602" s="5"/>
      <c r="S602" s="5"/>
      <c r="T602" s="5"/>
      <c r="U602" s="5"/>
      <c r="V602" s="5"/>
      <c r="W602" s="5"/>
      <c r="X602" s="5"/>
      <c r="Y602" s="5"/>
      <c r="Z602" s="5"/>
      <c r="AA602" s="5"/>
    </row>
    <row r="603" spans="1:27" ht="12.75" customHeight="1">
      <c r="A603" s="5"/>
      <c r="B603" s="5"/>
      <c r="C603" s="5"/>
      <c r="D603" s="5"/>
      <c r="E603" s="5"/>
      <c r="F603" s="5"/>
      <c r="G603" s="5"/>
      <c r="H603" s="306"/>
      <c r="I603" s="306"/>
      <c r="J603" s="5"/>
      <c r="K603" s="5"/>
      <c r="L603" s="5"/>
      <c r="M603" s="5"/>
      <c r="N603" s="5"/>
      <c r="O603" s="5"/>
      <c r="P603" s="57"/>
      <c r="Q603" s="5"/>
      <c r="R603" s="5"/>
      <c r="S603" s="5"/>
      <c r="T603" s="5"/>
      <c r="U603" s="5"/>
      <c r="V603" s="5"/>
      <c r="W603" s="5"/>
      <c r="X603" s="5"/>
      <c r="Y603" s="5"/>
      <c r="Z603" s="5"/>
      <c r="AA603" s="5"/>
    </row>
    <row r="604" spans="1:27" ht="12.75" customHeight="1">
      <c r="A604" s="5"/>
      <c r="B604" s="5"/>
      <c r="C604" s="5"/>
      <c r="D604" s="5"/>
      <c r="E604" s="5"/>
      <c r="F604" s="5"/>
      <c r="G604" s="5"/>
      <c r="H604" s="306"/>
      <c r="I604" s="306"/>
      <c r="J604" s="5"/>
      <c r="K604" s="5"/>
      <c r="L604" s="5"/>
      <c r="M604" s="5"/>
      <c r="N604" s="5"/>
      <c r="O604" s="5"/>
      <c r="P604" s="57"/>
      <c r="Q604" s="5"/>
      <c r="R604" s="5"/>
      <c r="S604" s="5"/>
      <c r="T604" s="5"/>
      <c r="U604" s="5"/>
      <c r="V604" s="5"/>
      <c r="W604" s="5"/>
      <c r="X604" s="5"/>
      <c r="Y604" s="5"/>
      <c r="Z604" s="5"/>
      <c r="AA604" s="5"/>
    </row>
    <row r="605" spans="1:27" ht="12.75" customHeight="1">
      <c r="A605" s="5"/>
      <c r="B605" s="5"/>
      <c r="C605" s="5"/>
      <c r="D605" s="5"/>
      <c r="E605" s="5"/>
      <c r="F605" s="5"/>
      <c r="G605" s="5"/>
      <c r="H605" s="306"/>
      <c r="I605" s="306"/>
      <c r="J605" s="5"/>
      <c r="K605" s="5"/>
      <c r="L605" s="5"/>
      <c r="M605" s="5"/>
      <c r="N605" s="5"/>
      <c r="O605" s="5"/>
      <c r="P605" s="57"/>
      <c r="Q605" s="5"/>
      <c r="R605" s="5"/>
      <c r="S605" s="5"/>
      <c r="T605" s="5"/>
      <c r="U605" s="5"/>
      <c r="V605" s="5"/>
      <c r="W605" s="5"/>
      <c r="X605" s="5"/>
      <c r="Y605" s="5"/>
      <c r="Z605" s="5"/>
      <c r="AA605" s="5"/>
    </row>
    <row r="606" spans="1:27" ht="12.75" customHeight="1">
      <c r="A606" s="5"/>
      <c r="B606" s="5"/>
      <c r="C606" s="5"/>
      <c r="D606" s="5"/>
      <c r="E606" s="5"/>
      <c r="F606" s="5"/>
      <c r="G606" s="5"/>
      <c r="H606" s="306"/>
      <c r="I606" s="306"/>
      <c r="J606" s="5"/>
      <c r="K606" s="5"/>
      <c r="L606" s="5"/>
      <c r="M606" s="5"/>
      <c r="N606" s="5"/>
      <c r="O606" s="5"/>
      <c r="P606" s="57"/>
      <c r="Q606" s="5"/>
      <c r="R606" s="5"/>
      <c r="S606" s="5"/>
      <c r="T606" s="5"/>
      <c r="U606" s="5"/>
      <c r="V606" s="5"/>
      <c r="W606" s="5"/>
      <c r="X606" s="5"/>
      <c r="Y606" s="5"/>
      <c r="Z606" s="5"/>
      <c r="AA606" s="5"/>
    </row>
    <row r="607" spans="1:27" ht="12.75" customHeight="1">
      <c r="A607" s="5"/>
      <c r="B607" s="5"/>
      <c r="C607" s="5"/>
      <c r="D607" s="5"/>
      <c r="E607" s="5"/>
      <c r="F607" s="5"/>
      <c r="G607" s="5"/>
      <c r="H607" s="306"/>
      <c r="I607" s="306"/>
      <c r="J607" s="5"/>
      <c r="K607" s="5"/>
      <c r="L607" s="5"/>
      <c r="M607" s="5"/>
      <c r="N607" s="5"/>
      <c r="O607" s="5"/>
      <c r="P607" s="57"/>
      <c r="Q607" s="5"/>
      <c r="R607" s="5"/>
      <c r="S607" s="5"/>
      <c r="T607" s="5"/>
      <c r="U607" s="5"/>
      <c r="V607" s="5"/>
      <c r="W607" s="5"/>
      <c r="X607" s="5"/>
      <c r="Y607" s="5"/>
      <c r="Z607" s="5"/>
      <c r="AA607" s="5"/>
    </row>
    <row r="608" spans="1:27" ht="12.75" customHeight="1">
      <c r="A608" s="5"/>
      <c r="B608" s="5"/>
      <c r="C608" s="5"/>
      <c r="D608" s="5"/>
      <c r="E608" s="5"/>
      <c r="F608" s="5"/>
      <c r="G608" s="5"/>
      <c r="H608" s="306"/>
      <c r="I608" s="306"/>
      <c r="J608" s="5"/>
      <c r="K608" s="5"/>
      <c r="L608" s="5"/>
      <c r="M608" s="5"/>
      <c r="N608" s="5"/>
      <c r="O608" s="5"/>
      <c r="P608" s="57"/>
      <c r="Q608" s="5"/>
      <c r="R608" s="5"/>
      <c r="S608" s="5"/>
      <c r="T608" s="5"/>
      <c r="U608" s="5"/>
      <c r="V608" s="5"/>
      <c r="W608" s="5"/>
      <c r="X608" s="5"/>
      <c r="Y608" s="5"/>
      <c r="Z608" s="5"/>
      <c r="AA608" s="5"/>
    </row>
    <row r="609" spans="1:27" ht="12.75" customHeight="1">
      <c r="A609" s="5"/>
      <c r="B609" s="5"/>
      <c r="C609" s="5"/>
      <c r="D609" s="5"/>
      <c r="E609" s="5"/>
      <c r="F609" s="5"/>
      <c r="G609" s="5"/>
      <c r="H609" s="306"/>
      <c r="I609" s="306"/>
      <c r="J609" s="5"/>
      <c r="K609" s="5"/>
      <c r="L609" s="5"/>
      <c r="M609" s="5"/>
      <c r="N609" s="5"/>
      <c r="O609" s="5"/>
      <c r="P609" s="57"/>
      <c r="Q609" s="5"/>
      <c r="R609" s="5"/>
      <c r="S609" s="5"/>
      <c r="T609" s="5"/>
      <c r="U609" s="5"/>
      <c r="V609" s="5"/>
      <c r="W609" s="5"/>
      <c r="X609" s="5"/>
      <c r="Y609" s="5"/>
      <c r="Z609" s="5"/>
      <c r="AA609" s="5"/>
    </row>
    <row r="610" spans="1:27" ht="12.75" customHeight="1">
      <c r="A610" s="5"/>
      <c r="B610" s="5"/>
      <c r="C610" s="5"/>
      <c r="D610" s="5"/>
      <c r="E610" s="5"/>
      <c r="F610" s="5"/>
      <c r="G610" s="5"/>
      <c r="H610" s="306"/>
      <c r="I610" s="306"/>
      <c r="J610" s="5"/>
      <c r="K610" s="5"/>
      <c r="L610" s="5"/>
      <c r="M610" s="5"/>
      <c r="N610" s="5"/>
      <c r="O610" s="5"/>
      <c r="P610" s="57"/>
      <c r="Q610" s="5"/>
      <c r="R610" s="5"/>
      <c r="S610" s="5"/>
      <c r="T610" s="5"/>
      <c r="U610" s="5"/>
      <c r="V610" s="5"/>
      <c r="W610" s="5"/>
      <c r="X610" s="5"/>
      <c r="Y610" s="5"/>
      <c r="Z610" s="5"/>
      <c r="AA610" s="5"/>
    </row>
    <row r="611" spans="1:27" ht="12.75" customHeight="1">
      <c r="A611" s="5"/>
      <c r="B611" s="5"/>
      <c r="C611" s="5"/>
      <c r="D611" s="5"/>
      <c r="E611" s="5"/>
      <c r="F611" s="5"/>
      <c r="G611" s="5"/>
      <c r="H611" s="306"/>
      <c r="I611" s="306"/>
      <c r="J611" s="5"/>
      <c r="K611" s="5"/>
      <c r="L611" s="5"/>
      <c r="M611" s="5"/>
      <c r="N611" s="5"/>
      <c r="O611" s="5"/>
      <c r="P611" s="57"/>
      <c r="Q611" s="5"/>
      <c r="R611" s="5"/>
      <c r="S611" s="5"/>
      <c r="T611" s="5"/>
      <c r="U611" s="5"/>
      <c r="V611" s="5"/>
      <c r="W611" s="5"/>
      <c r="X611" s="5"/>
      <c r="Y611" s="5"/>
      <c r="Z611" s="5"/>
      <c r="AA611" s="5"/>
    </row>
    <row r="612" spans="1:27" ht="12.75" customHeight="1">
      <c r="A612" s="5"/>
      <c r="B612" s="5"/>
      <c r="C612" s="5"/>
      <c r="D612" s="5"/>
      <c r="E612" s="5"/>
      <c r="F612" s="5"/>
      <c r="G612" s="5"/>
      <c r="H612" s="306"/>
      <c r="I612" s="306"/>
      <c r="J612" s="5"/>
      <c r="K612" s="5"/>
      <c r="L612" s="5"/>
      <c r="M612" s="5"/>
      <c r="N612" s="5"/>
      <c r="O612" s="5"/>
      <c r="P612" s="57"/>
      <c r="Q612" s="5"/>
      <c r="R612" s="5"/>
      <c r="S612" s="5"/>
      <c r="T612" s="5"/>
      <c r="U612" s="5"/>
      <c r="V612" s="5"/>
      <c r="W612" s="5"/>
      <c r="X612" s="5"/>
      <c r="Y612" s="5"/>
      <c r="Z612" s="5"/>
      <c r="AA612" s="5"/>
    </row>
    <row r="613" spans="1:27" ht="12.75" customHeight="1">
      <c r="A613" s="5"/>
      <c r="B613" s="5"/>
      <c r="C613" s="5"/>
      <c r="D613" s="5"/>
      <c r="E613" s="5"/>
      <c r="F613" s="5"/>
      <c r="G613" s="5"/>
      <c r="H613" s="306"/>
      <c r="I613" s="306"/>
      <c r="J613" s="5"/>
      <c r="K613" s="5"/>
      <c r="L613" s="5"/>
      <c r="M613" s="5"/>
      <c r="N613" s="5"/>
      <c r="O613" s="5"/>
      <c r="P613" s="57"/>
      <c r="Q613" s="5"/>
      <c r="R613" s="5"/>
      <c r="S613" s="5"/>
      <c r="T613" s="5"/>
      <c r="U613" s="5"/>
      <c r="V613" s="5"/>
      <c r="W613" s="5"/>
      <c r="X613" s="5"/>
      <c r="Y613" s="5"/>
      <c r="Z613" s="5"/>
      <c r="AA613" s="5"/>
    </row>
    <row r="614" spans="1:27" ht="12.75" customHeight="1">
      <c r="A614" s="5"/>
      <c r="B614" s="5"/>
      <c r="C614" s="5"/>
      <c r="D614" s="5"/>
      <c r="E614" s="5"/>
      <c r="F614" s="5"/>
      <c r="G614" s="5"/>
      <c r="H614" s="306"/>
      <c r="I614" s="306"/>
      <c r="J614" s="5"/>
      <c r="K614" s="5"/>
      <c r="L614" s="5"/>
      <c r="M614" s="5"/>
      <c r="N614" s="5"/>
      <c r="O614" s="5"/>
      <c r="P614" s="57"/>
      <c r="Q614" s="5"/>
      <c r="R614" s="5"/>
      <c r="S614" s="5"/>
      <c r="T614" s="5"/>
      <c r="U614" s="5"/>
      <c r="V614" s="5"/>
      <c r="W614" s="5"/>
      <c r="X614" s="5"/>
      <c r="Y614" s="5"/>
      <c r="Z614" s="5"/>
      <c r="AA614" s="5"/>
    </row>
    <row r="615" spans="1:27" ht="12.75" customHeight="1">
      <c r="A615" s="5"/>
      <c r="B615" s="5"/>
      <c r="C615" s="5"/>
      <c r="D615" s="5"/>
      <c r="E615" s="5"/>
      <c r="F615" s="5"/>
      <c r="G615" s="5"/>
      <c r="H615" s="306"/>
      <c r="I615" s="306"/>
      <c r="J615" s="5"/>
      <c r="K615" s="5"/>
      <c r="L615" s="5"/>
      <c r="M615" s="5"/>
      <c r="N615" s="5"/>
      <c r="O615" s="5"/>
      <c r="P615" s="57"/>
      <c r="Q615" s="5"/>
      <c r="R615" s="5"/>
      <c r="S615" s="5"/>
      <c r="T615" s="5"/>
      <c r="U615" s="5"/>
      <c r="V615" s="5"/>
      <c r="W615" s="5"/>
      <c r="X615" s="5"/>
      <c r="Y615" s="5"/>
      <c r="Z615" s="5"/>
      <c r="AA615" s="5"/>
    </row>
    <row r="616" spans="1:27" ht="12.75" customHeight="1">
      <c r="A616" s="5"/>
      <c r="B616" s="5"/>
      <c r="C616" s="5"/>
      <c r="D616" s="5"/>
      <c r="E616" s="5"/>
      <c r="F616" s="5"/>
      <c r="G616" s="5"/>
      <c r="H616" s="306"/>
      <c r="I616" s="306"/>
      <c r="J616" s="5"/>
      <c r="K616" s="5"/>
      <c r="L616" s="5"/>
      <c r="M616" s="5"/>
      <c r="N616" s="5"/>
      <c r="O616" s="5"/>
      <c r="P616" s="57"/>
      <c r="Q616" s="5"/>
      <c r="R616" s="5"/>
      <c r="S616" s="5"/>
      <c r="T616" s="5"/>
      <c r="U616" s="5"/>
      <c r="V616" s="5"/>
      <c r="W616" s="5"/>
      <c r="X616" s="5"/>
      <c r="Y616" s="5"/>
      <c r="Z616" s="5"/>
      <c r="AA616" s="5"/>
    </row>
    <row r="617" spans="1:27" ht="12.75" customHeight="1">
      <c r="A617" s="5"/>
      <c r="B617" s="5"/>
      <c r="C617" s="5"/>
      <c r="D617" s="5"/>
      <c r="E617" s="5"/>
      <c r="F617" s="5"/>
      <c r="G617" s="5"/>
      <c r="H617" s="306"/>
      <c r="I617" s="306"/>
      <c r="J617" s="5"/>
      <c r="K617" s="5"/>
      <c r="L617" s="5"/>
      <c r="M617" s="5"/>
      <c r="N617" s="5"/>
      <c r="O617" s="5"/>
      <c r="P617" s="57"/>
      <c r="Q617" s="5"/>
      <c r="R617" s="5"/>
      <c r="S617" s="5"/>
      <c r="T617" s="5"/>
      <c r="U617" s="5"/>
      <c r="V617" s="5"/>
      <c r="W617" s="5"/>
      <c r="X617" s="5"/>
      <c r="Y617" s="5"/>
      <c r="Z617" s="5"/>
      <c r="AA617" s="5"/>
    </row>
    <row r="618" spans="1:27" ht="12.75" customHeight="1">
      <c r="A618" s="5"/>
      <c r="B618" s="5"/>
      <c r="C618" s="5"/>
      <c r="D618" s="5"/>
      <c r="E618" s="5"/>
      <c r="F618" s="5"/>
      <c r="G618" s="5"/>
      <c r="H618" s="306"/>
      <c r="I618" s="306"/>
      <c r="J618" s="5"/>
      <c r="K618" s="5"/>
      <c r="L618" s="5"/>
      <c r="M618" s="5"/>
      <c r="N618" s="5"/>
      <c r="O618" s="5"/>
      <c r="P618" s="57"/>
      <c r="Q618" s="5"/>
      <c r="R618" s="5"/>
      <c r="S618" s="5"/>
      <c r="T618" s="5"/>
      <c r="U618" s="5"/>
      <c r="V618" s="5"/>
      <c r="W618" s="5"/>
      <c r="X618" s="5"/>
      <c r="Y618" s="5"/>
      <c r="Z618" s="5"/>
      <c r="AA618" s="5"/>
    </row>
    <row r="619" spans="1:27" ht="12.75" customHeight="1">
      <c r="A619" s="5"/>
      <c r="B619" s="5"/>
      <c r="C619" s="5"/>
      <c r="D619" s="5"/>
      <c r="E619" s="5"/>
      <c r="F619" s="5"/>
      <c r="G619" s="5"/>
      <c r="H619" s="306"/>
      <c r="I619" s="306"/>
      <c r="J619" s="5"/>
      <c r="K619" s="5"/>
      <c r="L619" s="5"/>
      <c r="M619" s="5"/>
      <c r="N619" s="5"/>
      <c r="O619" s="5"/>
      <c r="P619" s="57"/>
      <c r="Q619" s="5"/>
      <c r="R619" s="5"/>
      <c r="S619" s="5"/>
      <c r="T619" s="5"/>
      <c r="U619" s="5"/>
      <c r="V619" s="5"/>
      <c r="W619" s="5"/>
      <c r="X619" s="5"/>
      <c r="Y619" s="5"/>
      <c r="Z619" s="5"/>
      <c r="AA619" s="5"/>
    </row>
    <row r="620" spans="1:27" ht="12.75" customHeight="1">
      <c r="A620" s="5"/>
      <c r="B620" s="5"/>
      <c r="C620" s="5"/>
      <c r="D620" s="5"/>
      <c r="E620" s="5"/>
      <c r="F620" s="5"/>
      <c r="G620" s="5"/>
      <c r="H620" s="306"/>
      <c r="I620" s="306"/>
      <c r="J620" s="5"/>
      <c r="K620" s="5"/>
      <c r="L620" s="5"/>
      <c r="M620" s="5"/>
      <c r="N620" s="5"/>
      <c r="O620" s="5"/>
      <c r="P620" s="57"/>
      <c r="Q620" s="5"/>
      <c r="R620" s="5"/>
      <c r="S620" s="5"/>
      <c r="T620" s="5"/>
      <c r="U620" s="5"/>
      <c r="V620" s="5"/>
      <c r="W620" s="5"/>
      <c r="X620" s="5"/>
      <c r="Y620" s="5"/>
      <c r="Z620" s="5"/>
      <c r="AA620" s="5"/>
    </row>
    <row r="621" spans="1:27" ht="12.75" customHeight="1">
      <c r="A621" s="5"/>
      <c r="B621" s="5"/>
      <c r="C621" s="5"/>
      <c r="D621" s="5"/>
      <c r="E621" s="5"/>
      <c r="F621" s="5"/>
      <c r="G621" s="5"/>
      <c r="H621" s="306"/>
      <c r="I621" s="306"/>
      <c r="J621" s="5"/>
      <c r="K621" s="5"/>
      <c r="L621" s="5"/>
      <c r="M621" s="5"/>
      <c r="N621" s="5"/>
      <c r="O621" s="5"/>
      <c r="P621" s="57"/>
      <c r="Q621" s="5"/>
      <c r="R621" s="5"/>
      <c r="S621" s="5"/>
      <c r="T621" s="5"/>
      <c r="U621" s="5"/>
      <c r="V621" s="5"/>
      <c r="W621" s="5"/>
      <c r="X621" s="5"/>
      <c r="Y621" s="5"/>
      <c r="Z621" s="5"/>
      <c r="AA621" s="5"/>
    </row>
    <row r="622" spans="1:27" ht="12.75" customHeight="1">
      <c r="A622" s="5"/>
      <c r="B622" s="5"/>
      <c r="C622" s="5"/>
      <c r="D622" s="5"/>
      <c r="E622" s="5"/>
      <c r="F622" s="5"/>
      <c r="G622" s="5"/>
      <c r="H622" s="306"/>
      <c r="I622" s="306"/>
      <c r="J622" s="5"/>
      <c r="K622" s="5"/>
      <c r="L622" s="5"/>
      <c r="M622" s="5"/>
      <c r="N622" s="5"/>
      <c r="O622" s="5"/>
      <c r="P622" s="57"/>
      <c r="Q622" s="5"/>
      <c r="R622" s="5"/>
      <c r="S622" s="5"/>
      <c r="T622" s="5"/>
      <c r="U622" s="5"/>
      <c r="V622" s="5"/>
      <c r="W622" s="5"/>
      <c r="X622" s="5"/>
      <c r="Y622" s="5"/>
      <c r="Z622" s="5"/>
      <c r="AA622" s="5"/>
    </row>
    <row r="623" spans="1:27" ht="12.75" customHeight="1">
      <c r="A623" s="5"/>
      <c r="B623" s="5"/>
      <c r="C623" s="5"/>
      <c r="D623" s="5"/>
      <c r="E623" s="5"/>
      <c r="F623" s="5"/>
      <c r="G623" s="5"/>
      <c r="H623" s="306"/>
      <c r="I623" s="306"/>
      <c r="J623" s="5"/>
      <c r="K623" s="5"/>
      <c r="L623" s="5"/>
      <c r="M623" s="5"/>
      <c r="N623" s="5"/>
      <c r="O623" s="5"/>
      <c r="P623" s="57"/>
      <c r="Q623" s="5"/>
      <c r="R623" s="5"/>
      <c r="S623" s="5"/>
      <c r="T623" s="5"/>
      <c r="U623" s="5"/>
      <c r="V623" s="5"/>
      <c r="W623" s="5"/>
      <c r="X623" s="5"/>
      <c r="Y623" s="5"/>
      <c r="Z623" s="5"/>
      <c r="AA623" s="5"/>
    </row>
    <row r="624" spans="1:27" ht="12.75" customHeight="1">
      <c r="A624" s="5"/>
      <c r="B624" s="5"/>
      <c r="C624" s="5"/>
      <c r="D624" s="5"/>
      <c r="E624" s="5"/>
      <c r="F624" s="5"/>
      <c r="G624" s="5"/>
      <c r="H624" s="306"/>
      <c r="I624" s="306"/>
      <c r="J624" s="5"/>
      <c r="K624" s="5"/>
      <c r="L624" s="5"/>
      <c r="M624" s="5"/>
      <c r="N624" s="5"/>
      <c r="O624" s="5"/>
      <c r="P624" s="57"/>
      <c r="Q624" s="5"/>
      <c r="R624" s="5"/>
      <c r="S624" s="5"/>
      <c r="T624" s="5"/>
      <c r="U624" s="5"/>
      <c r="V624" s="5"/>
      <c r="W624" s="5"/>
      <c r="X624" s="5"/>
      <c r="Y624" s="5"/>
      <c r="Z624" s="5"/>
      <c r="AA624" s="5"/>
    </row>
    <row r="625" spans="1:27" ht="12.75" customHeight="1">
      <c r="A625" s="5"/>
      <c r="B625" s="5"/>
      <c r="C625" s="5"/>
      <c r="D625" s="5"/>
      <c r="E625" s="5"/>
      <c r="F625" s="5"/>
      <c r="G625" s="5"/>
      <c r="H625" s="306"/>
      <c r="I625" s="306"/>
      <c r="J625" s="5"/>
      <c r="K625" s="5"/>
      <c r="L625" s="5"/>
      <c r="M625" s="5"/>
      <c r="N625" s="5"/>
      <c r="O625" s="5"/>
      <c r="P625" s="57"/>
      <c r="Q625" s="5"/>
      <c r="R625" s="5"/>
      <c r="S625" s="5"/>
      <c r="T625" s="5"/>
      <c r="U625" s="5"/>
      <c r="V625" s="5"/>
      <c r="W625" s="5"/>
      <c r="X625" s="5"/>
      <c r="Y625" s="5"/>
      <c r="Z625" s="5"/>
      <c r="AA625" s="5"/>
    </row>
    <row r="626" spans="1:27" ht="12.75" customHeight="1">
      <c r="A626" s="5"/>
      <c r="B626" s="5"/>
      <c r="C626" s="5"/>
      <c r="D626" s="5"/>
      <c r="E626" s="5"/>
      <c r="F626" s="5"/>
      <c r="G626" s="5"/>
      <c r="H626" s="306"/>
      <c r="I626" s="306"/>
      <c r="J626" s="5"/>
      <c r="K626" s="5"/>
      <c r="L626" s="5"/>
      <c r="M626" s="5"/>
      <c r="N626" s="5"/>
      <c r="O626" s="5"/>
      <c r="P626" s="57"/>
      <c r="Q626" s="5"/>
      <c r="R626" s="5"/>
      <c r="S626" s="5"/>
      <c r="T626" s="5"/>
      <c r="U626" s="5"/>
      <c r="V626" s="5"/>
      <c r="W626" s="5"/>
      <c r="X626" s="5"/>
      <c r="Y626" s="5"/>
      <c r="Z626" s="5"/>
      <c r="AA626" s="5"/>
    </row>
    <row r="627" spans="1:27" ht="12.75" customHeight="1">
      <c r="A627" s="5"/>
      <c r="B627" s="5"/>
      <c r="C627" s="5"/>
      <c r="D627" s="5"/>
      <c r="E627" s="5"/>
      <c r="F627" s="5"/>
      <c r="G627" s="5"/>
      <c r="H627" s="306"/>
      <c r="I627" s="306"/>
      <c r="J627" s="5"/>
      <c r="K627" s="5"/>
      <c r="L627" s="5"/>
      <c r="M627" s="5"/>
      <c r="N627" s="5"/>
      <c r="O627" s="5"/>
      <c r="P627" s="57"/>
      <c r="Q627" s="5"/>
      <c r="R627" s="5"/>
      <c r="S627" s="5"/>
      <c r="T627" s="5"/>
      <c r="U627" s="5"/>
      <c r="V627" s="5"/>
      <c r="W627" s="5"/>
      <c r="X627" s="5"/>
      <c r="Y627" s="5"/>
      <c r="Z627" s="5"/>
      <c r="AA627" s="5"/>
    </row>
    <row r="628" spans="1:27" ht="12.75" customHeight="1">
      <c r="A628" s="5"/>
      <c r="B628" s="5"/>
      <c r="C628" s="5"/>
      <c r="D628" s="5"/>
      <c r="E628" s="5"/>
      <c r="F628" s="5"/>
      <c r="G628" s="5"/>
      <c r="H628" s="306"/>
      <c r="I628" s="306"/>
      <c r="J628" s="5"/>
      <c r="K628" s="5"/>
      <c r="L628" s="5"/>
      <c r="M628" s="5"/>
      <c r="N628" s="5"/>
      <c r="O628" s="5"/>
      <c r="P628" s="57"/>
      <c r="Q628" s="5"/>
      <c r="R628" s="5"/>
      <c r="S628" s="5"/>
      <c r="T628" s="5"/>
      <c r="U628" s="5"/>
      <c r="V628" s="5"/>
      <c r="W628" s="5"/>
      <c r="X628" s="5"/>
      <c r="Y628" s="5"/>
      <c r="Z628" s="5"/>
      <c r="AA628" s="5"/>
    </row>
    <row r="629" spans="1:27" ht="12.75" customHeight="1">
      <c r="A629" s="5"/>
      <c r="B629" s="5"/>
      <c r="C629" s="5"/>
      <c r="D629" s="5"/>
      <c r="E629" s="5"/>
      <c r="F629" s="5"/>
      <c r="G629" s="5"/>
      <c r="H629" s="306"/>
      <c r="I629" s="306"/>
      <c r="J629" s="5"/>
      <c r="K629" s="5"/>
      <c r="L629" s="5"/>
      <c r="M629" s="5"/>
      <c r="N629" s="5"/>
      <c r="O629" s="5"/>
      <c r="P629" s="57"/>
      <c r="Q629" s="5"/>
      <c r="R629" s="5"/>
      <c r="S629" s="5"/>
      <c r="T629" s="5"/>
      <c r="U629" s="5"/>
      <c r="V629" s="5"/>
      <c r="W629" s="5"/>
      <c r="X629" s="5"/>
      <c r="Y629" s="5"/>
      <c r="Z629" s="5"/>
      <c r="AA629" s="5"/>
    </row>
    <row r="630" spans="1:27" ht="12.75" customHeight="1">
      <c r="A630" s="5"/>
      <c r="B630" s="5"/>
      <c r="C630" s="5"/>
      <c r="D630" s="5"/>
      <c r="E630" s="5"/>
      <c r="F630" s="5"/>
      <c r="G630" s="5"/>
      <c r="H630" s="306"/>
      <c r="I630" s="306"/>
      <c r="J630" s="5"/>
      <c r="K630" s="5"/>
      <c r="L630" s="5"/>
      <c r="M630" s="5"/>
      <c r="N630" s="5"/>
      <c r="O630" s="5"/>
      <c r="P630" s="57"/>
      <c r="Q630" s="5"/>
      <c r="R630" s="5"/>
      <c r="S630" s="5"/>
      <c r="T630" s="5"/>
      <c r="U630" s="5"/>
      <c r="V630" s="5"/>
      <c r="W630" s="5"/>
      <c r="X630" s="5"/>
      <c r="Y630" s="5"/>
      <c r="Z630" s="5"/>
      <c r="AA630" s="5"/>
    </row>
    <row r="631" spans="1:27" ht="12.75" customHeight="1">
      <c r="A631" s="5"/>
      <c r="B631" s="5"/>
      <c r="C631" s="5"/>
      <c r="D631" s="5"/>
      <c r="E631" s="5"/>
      <c r="F631" s="5"/>
      <c r="G631" s="5"/>
      <c r="H631" s="306"/>
      <c r="I631" s="306"/>
      <c r="J631" s="5"/>
      <c r="K631" s="5"/>
      <c r="L631" s="5"/>
      <c r="M631" s="5"/>
      <c r="N631" s="5"/>
      <c r="O631" s="5"/>
      <c r="P631" s="57"/>
      <c r="Q631" s="5"/>
      <c r="R631" s="5"/>
      <c r="S631" s="5"/>
      <c r="T631" s="5"/>
      <c r="U631" s="5"/>
      <c r="V631" s="5"/>
      <c r="W631" s="5"/>
      <c r="X631" s="5"/>
      <c r="Y631" s="5"/>
      <c r="Z631" s="5"/>
      <c r="AA631" s="5"/>
    </row>
    <row r="632" spans="1:27" ht="12.75" customHeight="1">
      <c r="A632" s="5"/>
      <c r="B632" s="5"/>
      <c r="C632" s="5"/>
      <c r="D632" s="5"/>
      <c r="E632" s="5"/>
      <c r="F632" s="5"/>
      <c r="G632" s="5"/>
      <c r="H632" s="306"/>
      <c r="I632" s="306"/>
      <c r="J632" s="5"/>
      <c r="K632" s="5"/>
      <c r="L632" s="5"/>
      <c r="M632" s="5"/>
      <c r="N632" s="5"/>
      <c r="O632" s="5"/>
      <c r="P632" s="57"/>
      <c r="Q632" s="5"/>
      <c r="R632" s="5"/>
      <c r="S632" s="5"/>
      <c r="T632" s="5"/>
      <c r="U632" s="5"/>
      <c r="V632" s="5"/>
      <c r="W632" s="5"/>
      <c r="X632" s="5"/>
      <c r="Y632" s="5"/>
      <c r="Z632" s="5"/>
      <c r="AA632" s="5"/>
    </row>
    <row r="633" spans="1:27" ht="12.75" customHeight="1">
      <c r="A633" s="5"/>
      <c r="B633" s="5"/>
      <c r="C633" s="5"/>
      <c r="D633" s="5"/>
      <c r="E633" s="5"/>
      <c r="F633" s="5"/>
      <c r="G633" s="5"/>
      <c r="H633" s="306"/>
      <c r="I633" s="306"/>
      <c r="J633" s="5"/>
      <c r="K633" s="5"/>
      <c r="L633" s="5"/>
      <c r="M633" s="5"/>
      <c r="N633" s="5"/>
      <c r="O633" s="5"/>
      <c r="P633" s="57"/>
      <c r="Q633" s="5"/>
      <c r="R633" s="5"/>
      <c r="S633" s="5"/>
      <c r="T633" s="5"/>
      <c r="U633" s="5"/>
      <c r="V633" s="5"/>
      <c r="W633" s="5"/>
      <c r="X633" s="5"/>
      <c r="Y633" s="5"/>
      <c r="Z633" s="5"/>
      <c r="AA633" s="5"/>
    </row>
    <row r="634" spans="1:27" ht="12.75" customHeight="1">
      <c r="A634" s="5"/>
      <c r="B634" s="5"/>
      <c r="C634" s="5"/>
      <c r="D634" s="5"/>
      <c r="E634" s="5"/>
      <c r="F634" s="5"/>
      <c r="G634" s="5"/>
      <c r="H634" s="306"/>
      <c r="I634" s="306"/>
      <c r="J634" s="5"/>
      <c r="K634" s="5"/>
      <c r="L634" s="5"/>
      <c r="M634" s="5"/>
      <c r="N634" s="5"/>
      <c r="O634" s="5"/>
      <c r="P634" s="57"/>
      <c r="Q634" s="5"/>
      <c r="R634" s="5"/>
      <c r="S634" s="5"/>
      <c r="T634" s="5"/>
      <c r="U634" s="5"/>
      <c r="V634" s="5"/>
      <c r="W634" s="5"/>
      <c r="X634" s="5"/>
      <c r="Y634" s="5"/>
      <c r="Z634" s="5"/>
      <c r="AA634" s="5"/>
    </row>
    <row r="635" spans="1:27" ht="12.75" customHeight="1">
      <c r="A635" s="5"/>
      <c r="B635" s="5"/>
      <c r="C635" s="5"/>
      <c r="D635" s="5"/>
      <c r="E635" s="5"/>
      <c r="F635" s="5"/>
      <c r="G635" s="5"/>
      <c r="H635" s="306"/>
      <c r="I635" s="306"/>
      <c r="J635" s="5"/>
      <c r="K635" s="5"/>
      <c r="L635" s="5"/>
      <c r="M635" s="5"/>
      <c r="N635" s="5"/>
      <c r="O635" s="5"/>
      <c r="P635" s="57"/>
      <c r="Q635" s="5"/>
      <c r="R635" s="5"/>
      <c r="S635" s="5"/>
      <c r="T635" s="5"/>
      <c r="U635" s="5"/>
      <c r="V635" s="5"/>
      <c r="W635" s="5"/>
      <c r="X635" s="5"/>
      <c r="Y635" s="5"/>
      <c r="Z635" s="5"/>
      <c r="AA635" s="5"/>
    </row>
    <row r="636" spans="1:27" ht="12.75" customHeight="1">
      <c r="A636" s="5"/>
      <c r="B636" s="5"/>
      <c r="C636" s="5"/>
      <c r="D636" s="5"/>
      <c r="E636" s="5"/>
      <c r="F636" s="5"/>
      <c r="G636" s="5"/>
      <c r="H636" s="306"/>
      <c r="I636" s="306"/>
      <c r="J636" s="5"/>
      <c r="K636" s="5"/>
      <c r="L636" s="5"/>
      <c r="M636" s="5"/>
      <c r="N636" s="5"/>
      <c r="O636" s="5"/>
      <c r="P636" s="57"/>
      <c r="Q636" s="5"/>
      <c r="R636" s="5"/>
      <c r="S636" s="5"/>
      <c r="T636" s="5"/>
      <c r="U636" s="5"/>
      <c r="V636" s="5"/>
      <c r="W636" s="5"/>
      <c r="X636" s="5"/>
      <c r="Y636" s="5"/>
      <c r="Z636" s="5"/>
      <c r="AA636" s="5"/>
    </row>
    <row r="637" spans="1:27" ht="12.75" customHeight="1">
      <c r="A637" s="5"/>
      <c r="B637" s="5"/>
      <c r="C637" s="5"/>
      <c r="D637" s="5"/>
      <c r="E637" s="5"/>
      <c r="F637" s="5"/>
      <c r="G637" s="5"/>
      <c r="H637" s="306"/>
      <c r="I637" s="306"/>
      <c r="J637" s="5"/>
      <c r="K637" s="5"/>
      <c r="L637" s="5"/>
      <c r="M637" s="5"/>
      <c r="N637" s="5"/>
      <c r="O637" s="5"/>
      <c r="P637" s="57"/>
      <c r="Q637" s="5"/>
      <c r="R637" s="5"/>
      <c r="S637" s="5"/>
      <c r="T637" s="5"/>
      <c r="U637" s="5"/>
      <c r="V637" s="5"/>
      <c r="W637" s="5"/>
      <c r="X637" s="5"/>
      <c r="Y637" s="5"/>
      <c r="Z637" s="5"/>
      <c r="AA637" s="5"/>
    </row>
    <row r="638" spans="1:27" ht="12.75" customHeight="1">
      <c r="A638" s="5"/>
      <c r="B638" s="5"/>
      <c r="C638" s="5"/>
      <c r="D638" s="5"/>
      <c r="E638" s="5"/>
      <c r="F638" s="5"/>
      <c r="G638" s="5"/>
      <c r="H638" s="306"/>
      <c r="I638" s="306"/>
      <c r="J638" s="5"/>
      <c r="K638" s="5"/>
      <c r="L638" s="5"/>
      <c r="M638" s="5"/>
      <c r="N638" s="5"/>
      <c r="O638" s="5"/>
      <c r="P638" s="57"/>
      <c r="Q638" s="5"/>
      <c r="R638" s="5"/>
      <c r="S638" s="5"/>
      <c r="T638" s="5"/>
      <c r="U638" s="5"/>
      <c r="V638" s="5"/>
      <c r="W638" s="5"/>
      <c r="X638" s="5"/>
      <c r="Y638" s="5"/>
      <c r="Z638" s="5"/>
      <c r="AA638" s="5"/>
    </row>
    <row r="639" spans="1:27" ht="12.75" customHeight="1">
      <c r="A639" s="5"/>
      <c r="B639" s="5"/>
      <c r="C639" s="5"/>
      <c r="D639" s="5"/>
      <c r="E639" s="5"/>
      <c r="F639" s="5"/>
      <c r="G639" s="5"/>
      <c r="H639" s="306"/>
      <c r="I639" s="306"/>
      <c r="J639" s="5"/>
      <c r="K639" s="5"/>
      <c r="L639" s="5"/>
      <c r="M639" s="5"/>
      <c r="N639" s="5"/>
      <c r="O639" s="5"/>
      <c r="P639" s="57"/>
      <c r="Q639" s="5"/>
      <c r="R639" s="5"/>
      <c r="S639" s="5"/>
      <c r="T639" s="5"/>
      <c r="U639" s="5"/>
      <c r="V639" s="5"/>
      <c r="W639" s="5"/>
      <c r="X639" s="5"/>
      <c r="Y639" s="5"/>
      <c r="Z639" s="5"/>
      <c r="AA639" s="5"/>
    </row>
    <row r="640" spans="1:27" ht="12.75" customHeight="1">
      <c r="A640" s="5"/>
      <c r="B640" s="5"/>
      <c r="C640" s="5"/>
      <c r="D640" s="5"/>
      <c r="E640" s="5"/>
      <c r="F640" s="5"/>
      <c r="G640" s="5"/>
      <c r="H640" s="306"/>
      <c r="I640" s="306"/>
      <c r="J640" s="5"/>
      <c r="K640" s="5"/>
      <c r="L640" s="5"/>
      <c r="M640" s="5"/>
      <c r="N640" s="5"/>
      <c r="O640" s="5"/>
      <c r="P640" s="57"/>
      <c r="Q640" s="5"/>
      <c r="R640" s="5"/>
      <c r="S640" s="5"/>
      <c r="T640" s="5"/>
      <c r="U640" s="5"/>
      <c r="V640" s="5"/>
      <c r="W640" s="5"/>
      <c r="X640" s="5"/>
      <c r="Y640" s="5"/>
      <c r="Z640" s="5"/>
      <c r="AA640" s="5"/>
    </row>
    <row r="641" spans="1:27" ht="12.75" customHeight="1">
      <c r="A641" s="5"/>
      <c r="B641" s="5"/>
      <c r="C641" s="5"/>
      <c r="D641" s="5"/>
      <c r="E641" s="5"/>
      <c r="F641" s="5"/>
      <c r="G641" s="5"/>
      <c r="H641" s="306"/>
      <c r="I641" s="306"/>
      <c r="J641" s="5"/>
      <c r="K641" s="5"/>
      <c r="L641" s="5"/>
      <c r="M641" s="5"/>
      <c r="N641" s="5"/>
      <c r="O641" s="5"/>
      <c r="P641" s="57"/>
      <c r="Q641" s="5"/>
      <c r="R641" s="5"/>
      <c r="S641" s="5"/>
      <c r="T641" s="5"/>
      <c r="U641" s="5"/>
      <c r="V641" s="5"/>
      <c r="W641" s="5"/>
      <c r="X641" s="5"/>
      <c r="Y641" s="5"/>
      <c r="Z641" s="5"/>
      <c r="AA641" s="5"/>
    </row>
    <row r="642" spans="1:27" ht="12.75" customHeight="1">
      <c r="A642" s="5"/>
      <c r="B642" s="5"/>
      <c r="C642" s="5"/>
      <c r="D642" s="5"/>
      <c r="E642" s="5"/>
      <c r="F642" s="5"/>
      <c r="G642" s="5"/>
      <c r="H642" s="306"/>
      <c r="I642" s="306"/>
      <c r="J642" s="5"/>
      <c r="K642" s="5"/>
      <c r="L642" s="5"/>
      <c r="M642" s="5"/>
      <c r="N642" s="5"/>
      <c r="O642" s="5"/>
      <c r="P642" s="57"/>
      <c r="Q642" s="5"/>
      <c r="R642" s="5"/>
      <c r="S642" s="5"/>
      <c r="T642" s="5"/>
      <c r="U642" s="5"/>
      <c r="V642" s="5"/>
      <c r="W642" s="5"/>
      <c r="X642" s="5"/>
      <c r="Y642" s="5"/>
      <c r="Z642" s="5"/>
      <c r="AA642" s="5"/>
    </row>
    <row r="643" spans="1:27" ht="12.75" customHeight="1">
      <c r="A643" s="5"/>
      <c r="B643" s="5"/>
      <c r="C643" s="5"/>
      <c r="D643" s="5"/>
      <c r="E643" s="5"/>
      <c r="F643" s="5"/>
      <c r="G643" s="5"/>
      <c r="H643" s="306"/>
      <c r="I643" s="306"/>
      <c r="J643" s="5"/>
      <c r="K643" s="5"/>
      <c r="L643" s="5"/>
      <c r="M643" s="5"/>
      <c r="N643" s="5"/>
      <c r="O643" s="5"/>
      <c r="P643" s="57"/>
      <c r="Q643" s="5"/>
      <c r="R643" s="5"/>
      <c r="S643" s="5"/>
      <c r="T643" s="5"/>
      <c r="U643" s="5"/>
      <c r="V643" s="5"/>
      <c r="W643" s="5"/>
      <c r="X643" s="5"/>
      <c r="Y643" s="5"/>
      <c r="Z643" s="5"/>
      <c r="AA643" s="5"/>
    </row>
    <row r="644" spans="1:27" ht="12.75" customHeight="1">
      <c r="A644" s="5"/>
      <c r="B644" s="5"/>
      <c r="C644" s="5"/>
      <c r="D644" s="5"/>
      <c r="E644" s="5"/>
      <c r="F644" s="5"/>
      <c r="G644" s="5"/>
      <c r="H644" s="306"/>
      <c r="I644" s="306"/>
      <c r="J644" s="5"/>
      <c r="K644" s="5"/>
      <c r="L644" s="5"/>
      <c r="M644" s="5"/>
      <c r="N644" s="5"/>
      <c r="O644" s="5"/>
      <c r="P644" s="57"/>
      <c r="Q644" s="5"/>
      <c r="R644" s="5"/>
      <c r="S644" s="5"/>
      <c r="T644" s="5"/>
      <c r="U644" s="5"/>
      <c r="V644" s="5"/>
      <c r="W644" s="5"/>
      <c r="X644" s="5"/>
      <c r="Y644" s="5"/>
      <c r="Z644" s="5"/>
      <c r="AA644" s="5"/>
    </row>
    <row r="645" spans="1:27" ht="12.75" customHeight="1">
      <c r="A645" s="5"/>
      <c r="B645" s="5"/>
      <c r="C645" s="5"/>
      <c r="D645" s="5"/>
      <c r="E645" s="5"/>
      <c r="F645" s="5"/>
      <c r="G645" s="5"/>
      <c r="H645" s="306"/>
      <c r="I645" s="306"/>
      <c r="J645" s="5"/>
      <c r="K645" s="5"/>
      <c r="L645" s="5"/>
      <c r="M645" s="5"/>
      <c r="N645" s="5"/>
      <c r="O645" s="5"/>
      <c r="P645" s="57"/>
      <c r="Q645" s="5"/>
      <c r="R645" s="5"/>
      <c r="S645" s="5"/>
      <c r="T645" s="5"/>
      <c r="U645" s="5"/>
      <c r="V645" s="5"/>
      <c r="W645" s="5"/>
      <c r="X645" s="5"/>
      <c r="Y645" s="5"/>
      <c r="Z645" s="5"/>
      <c r="AA645" s="5"/>
    </row>
    <row r="646" spans="1:27" ht="12.75" customHeight="1">
      <c r="A646" s="5"/>
      <c r="B646" s="5"/>
      <c r="C646" s="5"/>
      <c r="D646" s="5"/>
      <c r="E646" s="5"/>
      <c r="F646" s="5"/>
      <c r="G646" s="5"/>
      <c r="H646" s="306"/>
      <c r="I646" s="306"/>
      <c r="J646" s="5"/>
      <c r="K646" s="5"/>
      <c r="L646" s="5"/>
      <c r="M646" s="5"/>
      <c r="N646" s="5"/>
      <c r="O646" s="5"/>
      <c r="P646" s="57"/>
      <c r="Q646" s="5"/>
      <c r="R646" s="5"/>
      <c r="S646" s="5"/>
      <c r="T646" s="5"/>
      <c r="U646" s="5"/>
      <c r="V646" s="5"/>
      <c r="W646" s="5"/>
      <c r="X646" s="5"/>
      <c r="Y646" s="5"/>
      <c r="Z646" s="5"/>
      <c r="AA646" s="5"/>
    </row>
    <row r="647" spans="1:27" ht="12.75" customHeight="1">
      <c r="A647" s="5"/>
      <c r="B647" s="5"/>
      <c r="C647" s="5"/>
      <c r="D647" s="5"/>
      <c r="E647" s="5"/>
      <c r="F647" s="5"/>
      <c r="G647" s="5"/>
      <c r="H647" s="306"/>
      <c r="I647" s="306"/>
      <c r="J647" s="5"/>
      <c r="K647" s="5"/>
      <c r="L647" s="5"/>
      <c r="M647" s="5"/>
      <c r="N647" s="5"/>
      <c r="O647" s="5"/>
      <c r="P647" s="57"/>
      <c r="Q647" s="5"/>
      <c r="R647" s="5"/>
      <c r="S647" s="5"/>
      <c r="T647" s="5"/>
      <c r="U647" s="5"/>
      <c r="V647" s="5"/>
      <c r="W647" s="5"/>
      <c r="X647" s="5"/>
      <c r="Y647" s="5"/>
      <c r="Z647" s="5"/>
      <c r="AA647" s="5"/>
    </row>
    <row r="648" spans="1:27" ht="12.75" customHeight="1">
      <c r="A648" s="5"/>
      <c r="B648" s="5"/>
      <c r="C648" s="5"/>
      <c r="D648" s="5"/>
      <c r="E648" s="5"/>
      <c r="F648" s="5"/>
      <c r="G648" s="5"/>
      <c r="H648" s="306"/>
      <c r="I648" s="306"/>
      <c r="J648" s="5"/>
      <c r="K648" s="5"/>
      <c r="L648" s="5"/>
      <c r="M648" s="5"/>
      <c r="N648" s="5"/>
      <c r="O648" s="5"/>
      <c r="P648" s="57"/>
      <c r="Q648" s="5"/>
      <c r="R648" s="5"/>
      <c r="S648" s="5"/>
      <c r="T648" s="5"/>
      <c r="U648" s="5"/>
      <c r="V648" s="5"/>
      <c r="W648" s="5"/>
      <c r="X648" s="5"/>
      <c r="Y648" s="5"/>
      <c r="Z648" s="5"/>
      <c r="AA648" s="5"/>
    </row>
    <row r="649" spans="1:27" ht="12.75" customHeight="1">
      <c r="A649" s="5"/>
      <c r="B649" s="5"/>
      <c r="C649" s="5"/>
      <c r="D649" s="5"/>
      <c r="E649" s="5"/>
      <c r="F649" s="5"/>
      <c r="G649" s="5"/>
      <c r="H649" s="306"/>
      <c r="I649" s="306"/>
      <c r="J649" s="5"/>
      <c r="K649" s="5"/>
      <c r="L649" s="5"/>
      <c r="M649" s="5"/>
      <c r="N649" s="5"/>
      <c r="O649" s="5"/>
      <c r="P649" s="57"/>
      <c r="Q649" s="5"/>
      <c r="R649" s="5"/>
      <c r="S649" s="5"/>
      <c r="T649" s="5"/>
      <c r="U649" s="5"/>
      <c r="V649" s="5"/>
      <c r="W649" s="5"/>
      <c r="X649" s="5"/>
      <c r="Y649" s="5"/>
      <c r="Z649" s="5"/>
      <c r="AA649" s="5"/>
    </row>
    <row r="650" spans="1:27" ht="12.75" customHeight="1">
      <c r="A650" s="5"/>
      <c r="B650" s="5"/>
      <c r="C650" s="5"/>
      <c r="D650" s="5"/>
      <c r="E650" s="5"/>
      <c r="F650" s="5"/>
      <c r="G650" s="5"/>
      <c r="H650" s="306"/>
      <c r="I650" s="306"/>
      <c r="J650" s="5"/>
      <c r="K650" s="5"/>
      <c r="L650" s="5"/>
      <c r="M650" s="5"/>
      <c r="N650" s="5"/>
      <c r="O650" s="5"/>
      <c r="P650" s="57"/>
      <c r="Q650" s="5"/>
      <c r="R650" s="5"/>
      <c r="S650" s="5"/>
      <c r="T650" s="5"/>
      <c r="U650" s="5"/>
      <c r="V650" s="5"/>
      <c r="W650" s="5"/>
      <c r="X650" s="5"/>
      <c r="Y650" s="5"/>
      <c r="Z650" s="5"/>
      <c r="AA650" s="5"/>
    </row>
    <row r="651" spans="1:27" ht="12.75" customHeight="1">
      <c r="A651" s="5"/>
      <c r="B651" s="5"/>
      <c r="C651" s="5"/>
      <c r="D651" s="5"/>
      <c r="E651" s="5"/>
      <c r="F651" s="5"/>
      <c r="G651" s="5"/>
      <c r="H651" s="306"/>
      <c r="I651" s="306"/>
      <c r="J651" s="5"/>
      <c r="K651" s="5"/>
      <c r="L651" s="5"/>
      <c r="M651" s="5"/>
      <c r="N651" s="5"/>
      <c r="O651" s="5"/>
      <c r="P651" s="57"/>
      <c r="Q651" s="5"/>
      <c r="R651" s="5"/>
      <c r="S651" s="5"/>
      <c r="T651" s="5"/>
      <c r="U651" s="5"/>
      <c r="V651" s="5"/>
      <c r="W651" s="5"/>
      <c r="X651" s="5"/>
      <c r="Y651" s="5"/>
      <c r="Z651" s="5"/>
      <c r="AA651" s="5"/>
    </row>
    <row r="652" spans="1:27" ht="12.75" customHeight="1">
      <c r="A652" s="5"/>
      <c r="B652" s="5"/>
      <c r="C652" s="5"/>
      <c r="D652" s="5"/>
      <c r="E652" s="5"/>
      <c r="F652" s="5"/>
      <c r="G652" s="5"/>
      <c r="H652" s="306"/>
      <c r="I652" s="306"/>
      <c r="J652" s="5"/>
      <c r="K652" s="5"/>
      <c r="L652" s="5"/>
      <c r="M652" s="5"/>
      <c r="N652" s="5"/>
      <c r="O652" s="5"/>
      <c r="P652" s="57"/>
      <c r="Q652" s="5"/>
      <c r="R652" s="5"/>
      <c r="S652" s="5"/>
      <c r="T652" s="5"/>
      <c r="U652" s="5"/>
      <c r="V652" s="5"/>
      <c r="W652" s="5"/>
      <c r="X652" s="5"/>
      <c r="Y652" s="5"/>
      <c r="Z652" s="5"/>
      <c r="AA652" s="5"/>
    </row>
    <row r="653" spans="1:27" ht="12.75" customHeight="1">
      <c r="A653" s="5"/>
      <c r="B653" s="5"/>
      <c r="C653" s="5"/>
      <c r="D653" s="5"/>
      <c r="E653" s="5"/>
      <c r="F653" s="5"/>
      <c r="G653" s="5"/>
      <c r="H653" s="306"/>
      <c r="I653" s="306"/>
      <c r="J653" s="5"/>
      <c r="K653" s="5"/>
      <c r="L653" s="5"/>
      <c r="M653" s="5"/>
      <c r="N653" s="5"/>
      <c r="O653" s="5"/>
      <c r="P653" s="57"/>
      <c r="Q653" s="5"/>
      <c r="R653" s="5"/>
      <c r="S653" s="5"/>
      <c r="T653" s="5"/>
      <c r="U653" s="5"/>
      <c r="V653" s="5"/>
      <c r="W653" s="5"/>
      <c r="X653" s="5"/>
      <c r="Y653" s="5"/>
      <c r="Z653" s="5"/>
      <c r="AA653" s="5"/>
    </row>
    <row r="654" spans="1:27" ht="12.75" customHeight="1">
      <c r="A654" s="5"/>
      <c r="B654" s="5"/>
      <c r="C654" s="5"/>
      <c r="D654" s="5"/>
      <c r="E654" s="5"/>
      <c r="F654" s="5"/>
      <c r="G654" s="5"/>
      <c r="H654" s="306"/>
      <c r="I654" s="306"/>
      <c r="J654" s="5"/>
      <c r="K654" s="5"/>
      <c r="L654" s="5"/>
      <c r="M654" s="5"/>
      <c r="N654" s="5"/>
      <c r="O654" s="5"/>
      <c r="P654" s="57"/>
      <c r="Q654" s="5"/>
      <c r="R654" s="5"/>
      <c r="S654" s="5"/>
      <c r="T654" s="5"/>
      <c r="U654" s="5"/>
      <c r="V654" s="5"/>
      <c r="W654" s="5"/>
      <c r="X654" s="5"/>
      <c r="Y654" s="5"/>
      <c r="Z654" s="5"/>
      <c r="AA654" s="5"/>
    </row>
    <row r="655" spans="1:27" ht="12.75" customHeight="1">
      <c r="A655" s="5"/>
      <c r="B655" s="5"/>
      <c r="C655" s="5"/>
      <c r="D655" s="5"/>
      <c r="E655" s="5"/>
      <c r="F655" s="5"/>
      <c r="G655" s="5"/>
      <c r="H655" s="306"/>
      <c r="I655" s="306"/>
      <c r="J655" s="5"/>
      <c r="K655" s="5"/>
      <c r="L655" s="5"/>
      <c r="M655" s="5"/>
      <c r="N655" s="5"/>
      <c r="O655" s="5"/>
      <c r="P655" s="57"/>
      <c r="Q655" s="5"/>
      <c r="R655" s="5"/>
      <c r="S655" s="5"/>
      <c r="T655" s="5"/>
      <c r="U655" s="5"/>
      <c r="V655" s="5"/>
      <c r="W655" s="5"/>
      <c r="X655" s="5"/>
      <c r="Y655" s="5"/>
      <c r="Z655" s="5"/>
      <c r="AA655" s="5"/>
    </row>
    <row r="656" spans="1:27" ht="12.75" customHeight="1">
      <c r="A656" s="5"/>
      <c r="B656" s="5"/>
      <c r="C656" s="5"/>
      <c r="D656" s="5"/>
      <c r="E656" s="5"/>
      <c r="F656" s="5"/>
      <c r="G656" s="5"/>
      <c r="H656" s="306"/>
      <c r="I656" s="306"/>
      <c r="J656" s="5"/>
      <c r="K656" s="5"/>
      <c r="L656" s="5"/>
      <c r="M656" s="5"/>
      <c r="N656" s="5"/>
      <c r="O656" s="5"/>
      <c r="P656" s="57"/>
      <c r="Q656" s="5"/>
      <c r="R656" s="5"/>
      <c r="S656" s="5"/>
      <c r="T656" s="5"/>
      <c r="U656" s="5"/>
      <c r="V656" s="5"/>
      <c r="W656" s="5"/>
      <c r="X656" s="5"/>
      <c r="Y656" s="5"/>
      <c r="Z656" s="5"/>
      <c r="AA656" s="5"/>
    </row>
    <row r="657" spans="1:27" ht="12.75" customHeight="1">
      <c r="A657" s="5"/>
      <c r="B657" s="5"/>
      <c r="C657" s="5"/>
      <c r="D657" s="5"/>
      <c r="E657" s="5"/>
      <c r="F657" s="5"/>
      <c r="G657" s="5"/>
      <c r="H657" s="306"/>
      <c r="I657" s="306"/>
      <c r="J657" s="5"/>
      <c r="K657" s="5"/>
      <c r="L657" s="5"/>
      <c r="M657" s="5"/>
      <c r="N657" s="5"/>
      <c r="O657" s="5"/>
      <c r="P657" s="57"/>
      <c r="Q657" s="5"/>
      <c r="R657" s="5"/>
      <c r="S657" s="5"/>
      <c r="T657" s="5"/>
      <c r="U657" s="5"/>
      <c r="V657" s="5"/>
      <c r="W657" s="5"/>
      <c r="X657" s="5"/>
      <c r="Y657" s="5"/>
      <c r="Z657" s="5"/>
      <c r="AA657" s="5"/>
    </row>
    <row r="658" spans="1:27" ht="12.75" customHeight="1">
      <c r="A658" s="5"/>
      <c r="B658" s="5"/>
      <c r="C658" s="5"/>
      <c r="D658" s="5"/>
      <c r="E658" s="5"/>
      <c r="F658" s="5"/>
      <c r="G658" s="5"/>
      <c r="H658" s="306"/>
      <c r="I658" s="306"/>
      <c r="J658" s="5"/>
      <c r="K658" s="5"/>
      <c r="L658" s="5"/>
      <c r="M658" s="5"/>
      <c r="N658" s="5"/>
      <c r="O658" s="5"/>
      <c r="P658" s="57"/>
      <c r="Q658" s="5"/>
      <c r="R658" s="5"/>
      <c r="S658" s="5"/>
      <c r="T658" s="5"/>
      <c r="U658" s="5"/>
      <c r="V658" s="5"/>
      <c r="W658" s="5"/>
      <c r="X658" s="5"/>
      <c r="Y658" s="5"/>
      <c r="Z658" s="5"/>
      <c r="AA658" s="5"/>
    </row>
    <row r="659" spans="1:27" ht="12.75" customHeight="1">
      <c r="A659" s="5"/>
      <c r="B659" s="5"/>
      <c r="C659" s="5"/>
      <c r="D659" s="5"/>
      <c r="E659" s="5"/>
      <c r="F659" s="5"/>
      <c r="G659" s="5"/>
      <c r="H659" s="306"/>
      <c r="I659" s="306"/>
      <c r="J659" s="5"/>
      <c r="K659" s="5"/>
      <c r="L659" s="5"/>
      <c r="M659" s="5"/>
      <c r="N659" s="5"/>
      <c r="O659" s="5"/>
      <c r="P659" s="57"/>
      <c r="Q659" s="5"/>
      <c r="R659" s="5"/>
      <c r="S659" s="5"/>
      <c r="T659" s="5"/>
      <c r="U659" s="5"/>
      <c r="V659" s="5"/>
      <c r="W659" s="5"/>
      <c r="X659" s="5"/>
      <c r="Y659" s="5"/>
      <c r="Z659" s="5"/>
      <c r="AA659" s="5"/>
    </row>
    <row r="660" spans="1:27" ht="12.75" customHeight="1">
      <c r="A660" s="5"/>
      <c r="B660" s="5"/>
      <c r="C660" s="5"/>
      <c r="D660" s="5"/>
      <c r="E660" s="5"/>
      <c r="F660" s="5"/>
      <c r="G660" s="5"/>
      <c r="H660" s="306"/>
      <c r="I660" s="306"/>
      <c r="J660" s="5"/>
      <c r="K660" s="5"/>
      <c r="L660" s="5"/>
      <c r="M660" s="5"/>
      <c r="N660" s="5"/>
      <c r="O660" s="5"/>
      <c r="P660" s="57"/>
      <c r="Q660" s="5"/>
      <c r="R660" s="5"/>
      <c r="S660" s="5"/>
      <c r="T660" s="5"/>
      <c r="U660" s="5"/>
      <c r="V660" s="5"/>
      <c r="W660" s="5"/>
      <c r="X660" s="5"/>
      <c r="Y660" s="5"/>
      <c r="Z660" s="5"/>
      <c r="AA660" s="5"/>
    </row>
    <row r="661" spans="1:27" ht="12.75" customHeight="1">
      <c r="A661" s="5"/>
      <c r="B661" s="5"/>
      <c r="C661" s="5"/>
      <c r="D661" s="5"/>
      <c r="E661" s="5"/>
      <c r="F661" s="5"/>
      <c r="G661" s="5"/>
      <c r="H661" s="306"/>
      <c r="I661" s="306"/>
      <c r="J661" s="5"/>
      <c r="K661" s="5"/>
      <c r="L661" s="5"/>
      <c r="M661" s="5"/>
      <c r="N661" s="5"/>
      <c r="O661" s="5"/>
      <c r="P661" s="57"/>
      <c r="Q661" s="5"/>
      <c r="R661" s="5"/>
      <c r="S661" s="5"/>
      <c r="T661" s="5"/>
      <c r="U661" s="5"/>
      <c r="V661" s="5"/>
      <c r="W661" s="5"/>
      <c r="X661" s="5"/>
      <c r="Y661" s="5"/>
      <c r="Z661" s="5"/>
      <c r="AA661" s="5"/>
    </row>
    <row r="662" spans="1:27" ht="12.75" customHeight="1">
      <c r="A662" s="5"/>
      <c r="B662" s="5"/>
      <c r="C662" s="5"/>
      <c r="D662" s="5"/>
      <c r="E662" s="5"/>
      <c r="F662" s="5"/>
      <c r="G662" s="5"/>
      <c r="H662" s="306"/>
      <c r="I662" s="306"/>
      <c r="J662" s="5"/>
      <c r="K662" s="5"/>
      <c r="L662" s="5"/>
      <c r="M662" s="5"/>
      <c r="N662" s="5"/>
      <c r="O662" s="5"/>
      <c r="P662" s="57"/>
      <c r="Q662" s="5"/>
      <c r="R662" s="5"/>
      <c r="S662" s="5"/>
      <c r="T662" s="5"/>
      <c r="U662" s="5"/>
      <c r="V662" s="5"/>
      <c r="W662" s="5"/>
      <c r="X662" s="5"/>
      <c r="Y662" s="5"/>
      <c r="Z662" s="5"/>
      <c r="AA662" s="5"/>
    </row>
    <row r="663" spans="1:27" ht="12.75" customHeight="1">
      <c r="A663" s="5"/>
      <c r="B663" s="5"/>
      <c r="C663" s="5"/>
      <c r="D663" s="5"/>
      <c r="E663" s="5"/>
      <c r="F663" s="5"/>
      <c r="G663" s="5"/>
      <c r="H663" s="306"/>
      <c r="I663" s="306"/>
      <c r="J663" s="5"/>
      <c r="K663" s="5"/>
      <c r="L663" s="5"/>
      <c r="M663" s="5"/>
      <c r="N663" s="5"/>
      <c r="O663" s="5"/>
      <c r="P663" s="57"/>
      <c r="Q663" s="5"/>
      <c r="R663" s="5"/>
      <c r="S663" s="5"/>
      <c r="T663" s="5"/>
      <c r="U663" s="5"/>
      <c r="V663" s="5"/>
      <c r="W663" s="5"/>
      <c r="X663" s="5"/>
      <c r="Y663" s="5"/>
      <c r="Z663" s="5"/>
      <c r="AA663" s="5"/>
    </row>
    <row r="664" spans="1:27" ht="12.75" customHeight="1">
      <c r="A664" s="5"/>
      <c r="B664" s="5"/>
      <c r="C664" s="5"/>
      <c r="D664" s="5"/>
      <c r="E664" s="5"/>
      <c r="F664" s="5"/>
      <c r="G664" s="5"/>
      <c r="H664" s="306"/>
      <c r="I664" s="306"/>
      <c r="J664" s="5"/>
      <c r="K664" s="5"/>
      <c r="L664" s="5"/>
      <c r="M664" s="5"/>
      <c r="N664" s="5"/>
      <c r="O664" s="5"/>
      <c r="P664" s="57"/>
      <c r="Q664" s="5"/>
      <c r="R664" s="5"/>
      <c r="S664" s="5"/>
      <c r="T664" s="5"/>
      <c r="U664" s="5"/>
      <c r="V664" s="5"/>
      <c r="W664" s="5"/>
      <c r="X664" s="5"/>
      <c r="Y664" s="5"/>
      <c r="Z664" s="5"/>
      <c r="AA664" s="5"/>
    </row>
    <row r="665" spans="1:27" ht="12.75" customHeight="1">
      <c r="A665" s="5"/>
      <c r="B665" s="5"/>
      <c r="C665" s="5"/>
      <c r="D665" s="5"/>
      <c r="E665" s="5"/>
      <c r="F665" s="5"/>
      <c r="G665" s="5"/>
      <c r="H665" s="306"/>
      <c r="I665" s="306"/>
      <c r="J665" s="5"/>
      <c r="K665" s="5"/>
      <c r="L665" s="5"/>
      <c r="M665" s="5"/>
      <c r="N665" s="5"/>
      <c r="O665" s="5"/>
      <c r="P665" s="57"/>
      <c r="Q665" s="5"/>
      <c r="R665" s="5"/>
      <c r="S665" s="5"/>
      <c r="T665" s="5"/>
      <c r="U665" s="5"/>
      <c r="V665" s="5"/>
      <c r="W665" s="5"/>
      <c r="X665" s="5"/>
      <c r="Y665" s="5"/>
      <c r="Z665" s="5"/>
      <c r="AA665" s="5"/>
    </row>
    <row r="666" spans="1:27" ht="12.75" customHeight="1">
      <c r="A666" s="5"/>
      <c r="B666" s="5"/>
      <c r="C666" s="5"/>
      <c r="D666" s="5"/>
      <c r="E666" s="5"/>
      <c r="F666" s="5"/>
      <c r="G666" s="5"/>
      <c r="H666" s="306"/>
      <c r="I666" s="306"/>
      <c r="J666" s="5"/>
      <c r="K666" s="5"/>
      <c r="L666" s="5"/>
      <c r="M666" s="5"/>
      <c r="N666" s="5"/>
      <c r="O666" s="5"/>
      <c r="P666" s="57"/>
      <c r="Q666" s="5"/>
      <c r="R666" s="5"/>
      <c r="S666" s="5"/>
      <c r="T666" s="5"/>
      <c r="U666" s="5"/>
      <c r="V666" s="5"/>
      <c r="W666" s="5"/>
      <c r="X666" s="5"/>
      <c r="Y666" s="5"/>
      <c r="Z666" s="5"/>
      <c r="AA666" s="5"/>
    </row>
    <row r="667" spans="1:27" ht="12.75" customHeight="1">
      <c r="A667" s="5"/>
      <c r="B667" s="5"/>
      <c r="C667" s="5"/>
      <c r="D667" s="5"/>
      <c r="E667" s="5"/>
      <c r="F667" s="5"/>
      <c r="G667" s="5"/>
      <c r="H667" s="306"/>
      <c r="I667" s="306"/>
      <c r="J667" s="5"/>
      <c r="K667" s="5"/>
      <c r="L667" s="5"/>
      <c r="M667" s="5"/>
      <c r="N667" s="5"/>
      <c r="O667" s="5"/>
      <c r="P667" s="57"/>
      <c r="Q667" s="5"/>
      <c r="R667" s="5"/>
      <c r="S667" s="5"/>
      <c r="T667" s="5"/>
      <c r="U667" s="5"/>
      <c r="V667" s="5"/>
      <c r="W667" s="5"/>
      <c r="X667" s="5"/>
      <c r="Y667" s="5"/>
      <c r="Z667" s="5"/>
      <c r="AA667" s="5"/>
    </row>
    <row r="668" spans="1:27" ht="12.75" customHeight="1">
      <c r="A668" s="5"/>
      <c r="B668" s="5"/>
      <c r="C668" s="5"/>
      <c r="D668" s="5"/>
      <c r="E668" s="5"/>
      <c r="F668" s="5"/>
      <c r="G668" s="5"/>
      <c r="H668" s="306"/>
      <c r="I668" s="306"/>
      <c r="J668" s="5"/>
      <c r="K668" s="5"/>
      <c r="L668" s="5"/>
      <c r="M668" s="5"/>
      <c r="N668" s="5"/>
      <c r="O668" s="5"/>
      <c r="P668" s="57"/>
      <c r="Q668" s="5"/>
      <c r="R668" s="5"/>
      <c r="S668" s="5"/>
      <c r="T668" s="5"/>
      <c r="U668" s="5"/>
      <c r="V668" s="5"/>
      <c r="W668" s="5"/>
      <c r="X668" s="5"/>
      <c r="Y668" s="5"/>
      <c r="Z668" s="5"/>
      <c r="AA668" s="5"/>
    </row>
    <row r="669" spans="1:27" ht="12.75" customHeight="1">
      <c r="A669" s="5"/>
      <c r="B669" s="5"/>
      <c r="C669" s="5"/>
      <c r="D669" s="5"/>
      <c r="E669" s="5"/>
      <c r="F669" s="5"/>
      <c r="G669" s="5"/>
      <c r="H669" s="306"/>
      <c r="I669" s="306"/>
      <c r="J669" s="5"/>
      <c r="K669" s="5"/>
      <c r="L669" s="5"/>
      <c r="M669" s="5"/>
      <c r="N669" s="5"/>
      <c r="O669" s="5"/>
      <c r="P669" s="57"/>
      <c r="Q669" s="5"/>
      <c r="R669" s="5"/>
      <c r="S669" s="5"/>
      <c r="T669" s="5"/>
      <c r="U669" s="5"/>
      <c r="V669" s="5"/>
      <c r="W669" s="5"/>
      <c r="X669" s="5"/>
      <c r="Y669" s="5"/>
      <c r="Z669" s="5"/>
      <c r="AA669" s="5"/>
    </row>
    <row r="670" spans="1:27" ht="12.75" customHeight="1">
      <c r="A670" s="5"/>
      <c r="B670" s="5"/>
      <c r="C670" s="5"/>
      <c r="D670" s="5"/>
      <c r="E670" s="5"/>
      <c r="F670" s="5"/>
      <c r="G670" s="5"/>
      <c r="H670" s="306"/>
      <c r="I670" s="306"/>
      <c r="J670" s="5"/>
      <c r="K670" s="5"/>
      <c r="L670" s="5"/>
      <c r="M670" s="5"/>
      <c r="N670" s="5"/>
      <c r="O670" s="5"/>
      <c r="P670" s="57"/>
      <c r="Q670" s="5"/>
      <c r="R670" s="5"/>
      <c r="S670" s="5"/>
      <c r="T670" s="5"/>
      <c r="U670" s="5"/>
      <c r="V670" s="5"/>
      <c r="W670" s="5"/>
      <c r="X670" s="5"/>
      <c r="Y670" s="5"/>
      <c r="Z670" s="5"/>
      <c r="AA670" s="5"/>
    </row>
    <row r="671" spans="1:27" ht="12.75" customHeight="1">
      <c r="A671" s="5"/>
      <c r="B671" s="5"/>
      <c r="C671" s="5"/>
      <c r="D671" s="5"/>
      <c r="E671" s="5"/>
      <c r="F671" s="5"/>
      <c r="G671" s="5"/>
      <c r="H671" s="306"/>
      <c r="I671" s="306"/>
      <c r="J671" s="5"/>
      <c r="K671" s="5"/>
      <c r="L671" s="5"/>
      <c r="M671" s="5"/>
      <c r="N671" s="5"/>
      <c r="O671" s="5"/>
      <c r="P671" s="57"/>
      <c r="Q671" s="5"/>
      <c r="R671" s="5"/>
      <c r="S671" s="5"/>
      <c r="T671" s="5"/>
      <c r="U671" s="5"/>
      <c r="V671" s="5"/>
      <c r="W671" s="5"/>
      <c r="X671" s="5"/>
      <c r="Y671" s="5"/>
      <c r="Z671" s="5"/>
      <c r="AA671" s="5"/>
    </row>
    <row r="672" spans="1:27" ht="12.75" customHeight="1">
      <c r="A672" s="5"/>
      <c r="B672" s="5"/>
      <c r="C672" s="5"/>
      <c r="D672" s="5"/>
      <c r="E672" s="5"/>
      <c r="F672" s="5"/>
      <c r="G672" s="5"/>
      <c r="H672" s="306"/>
      <c r="I672" s="306"/>
      <c r="J672" s="5"/>
      <c r="K672" s="5"/>
      <c r="L672" s="5"/>
      <c r="M672" s="5"/>
      <c r="N672" s="5"/>
      <c r="O672" s="5"/>
      <c r="P672" s="57"/>
      <c r="Q672" s="5"/>
      <c r="R672" s="5"/>
      <c r="S672" s="5"/>
      <c r="T672" s="5"/>
      <c r="U672" s="5"/>
      <c r="V672" s="5"/>
      <c r="W672" s="5"/>
      <c r="X672" s="5"/>
      <c r="Y672" s="5"/>
      <c r="Z672" s="5"/>
      <c r="AA672" s="5"/>
    </row>
    <row r="673" spans="1:27" ht="12.75" customHeight="1">
      <c r="A673" s="5"/>
      <c r="B673" s="5"/>
      <c r="C673" s="5"/>
      <c r="D673" s="5"/>
      <c r="E673" s="5"/>
      <c r="F673" s="5"/>
      <c r="G673" s="5"/>
      <c r="H673" s="306"/>
      <c r="I673" s="306"/>
      <c r="J673" s="5"/>
      <c r="K673" s="5"/>
      <c r="L673" s="5"/>
      <c r="M673" s="5"/>
      <c r="N673" s="5"/>
      <c r="O673" s="5"/>
      <c r="P673" s="57"/>
      <c r="Q673" s="5"/>
      <c r="R673" s="5"/>
      <c r="S673" s="5"/>
      <c r="T673" s="5"/>
      <c r="U673" s="5"/>
      <c r="V673" s="5"/>
      <c r="W673" s="5"/>
      <c r="X673" s="5"/>
      <c r="Y673" s="5"/>
      <c r="Z673" s="5"/>
      <c r="AA673" s="5"/>
    </row>
    <row r="674" spans="1:27" ht="12.75" customHeight="1">
      <c r="A674" s="5"/>
      <c r="B674" s="5"/>
      <c r="C674" s="5"/>
      <c r="D674" s="5"/>
      <c r="E674" s="5"/>
      <c r="F674" s="5"/>
      <c r="G674" s="5"/>
      <c r="H674" s="306"/>
      <c r="I674" s="306"/>
      <c r="J674" s="5"/>
      <c r="K674" s="5"/>
      <c r="L674" s="5"/>
      <c r="M674" s="5"/>
      <c r="N674" s="5"/>
      <c r="O674" s="5"/>
      <c r="P674" s="57"/>
      <c r="Q674" s="5"/>
      <c r="R674" s="5"/>
      <c r="S674" s="5"/>
      <c r="T674" s="5"/>
      <c r="U674" s="5"/>
      <c r="V674" s="5"/>
      <c r="W674" s="5"/>
      <c r="X674" s="5"/>
      <c r="Y674" s="5"/>
      <c r="Z674" s="5"/>
      <c r="AA674" s="5"/>
    </row>
    <row r="675" spans="1:27" ht="12.75" customHeight="1">
      <c r="A675" s="5"/>
      <c r="B675" s="5"/>
      <c r="C675" s="5"/>
      <c r="D675" s="5"/>
      <c r="E675" s="5"/>
      <c r="F675" s="5"/>
      <c r="G675" s="5"/>
      <c r="H675" s="306"/>
      <c r="I675" s="306"/>
      <c r="J675" s="5"/>
      <c r="K675" s="5"/>
      <c r="L675" s="5"/>
      <c r="M675" s="5"/>
      <c r="N675" s="5"/>
      <c r="O675" s="5"/>
      <c r="P675" s="57"/>
      <c r="Q675" s="5"/>
      <c r="R675" s="5"/>
      <c r="S675" s="5"/>
      <c r="T675" s="5"/>
      <c r="U675" s="5"/>
      <c r="V675" s="5"/>
      <c r="W675" s="5"/>
      <c r="X675" s="5"/>
      <c r="Y675" s="5"/>
      <c r="Z675" s="5"/>
      <c r="AA675" s="5"/>
    </row>
    <row r="676" spans="1:27" ht="12.75" customHeight="1">
      <c r="A676" s="5"/>
      <c r="B676" s="5"/>
      <c r="C676" s="5"/>
      <c r="D676" s="5"/>
      <c r="E676" s="5"/>
      <c r="F676" s="5"/>
      <c r="G676" s="5"/>
      <c r="H676" s="306"/>
      <c r="I676" s="306"/>
      <c r="J676" s="5"/>
      <c r="K676" s="5"/>
      <c r="L676" s="5"/>
      <c r="M676" s="5"/>
      <c r="N676" s="5"/>
      <c r="O676" s="5"/>
      <c r="P676" s="57"/>
      <c r="Q676" s="5"/>
      <c r="R676" s="5"/>
      <c r="S676" s="5"/>
      <c r="T676" s="5"/>
      <c r="U676" s="5"/>
      <c r="V676" s="5"/>
      <c r="W676" s="5"/>
      <c r="X676" s="5"/>
      <c r="Y676" s="5"/>
      <c r="Z676" s="5"/>
      <c r="AA676" s="5"/>
    </row>
    <row r="677" spans="1:27" ht="12.75" customHeight="1">
      <c r="A677" s="5"/>
      <c r="B677" s="5"/>
      <c r="C677" s="5"/>
      <c r="D677" s="5"/>
      <c r="E677" s="5"/>
      <c r="F677" s="5"/>
      <c r="G677" s="5"/>
      <c r="H677" s="306"/>
      <c r="I677" s="306"/>
      <c r="J677" s="5"/>
      <c r="K677" s="5"/>
      <c r="L677" s="5"/>
      <c r="M677" s="5"/>
      <c r="N677" s="5"/>
      <c r="O677" s="5"/>
      <c r="P677" s="57"/>
      <c r="Q677" s="5"/>
      <c r="R677" s="5"/>
      <c r="S677" s="5"/>
      <c r="T677" s="5"/>
      <c r="U677" s="5"/>
      <c r="V677" s="5"/>
      <c r="W677" s="5"/>
      <c r="X677" s="5"/>
      <c r="Y677" s="5"/>
      <c r="Z677" s="5"/>
      <c r="AA677" s="5"/>
    </row>
    <row r="678" spans="1:27" ht="12.75" customHeight="1">
      <c r="A678" s="5"/>
      <c r="B678" s="5"/>
      <c r="C678" s="5"/>
      <c r="D678" s="5"/>
      <c r="E678" s="5"/>
      <c r="F678" s="5"/>
      <c r="G678" s="5"/>
      <c r="H678" s="306"/>
      <c r="I678" s="306"/>
      <c r="J678" s="5"/>
      <c r="K678" s="5"/>
      <c r="L678" s="5"/>
      <c r="M678" s="5"/>
      <c r="N678" s="5"/>
      <c r="O678" s="5"/>
      <c r="P678" s="57"/>
      <c r="Q678" s="5"/>
      <c r="R678" s="5"/>
      <c r="S678" s="5"/>
      <c r="T678" s="5"/>
      <c r="U678" s="5"/>
      <c r="V678" s="5"/>
      <c r="W678" s="5"/>
      <c r="X678" s="5"/>
      <c r="Y678" s="5"/>
      <c r="Z678" s="5"/>
      <c r="AA678" s="5"/>
    </row>
    <row r="679" spans="1:27" ht="12.75" customHeight="1">
      <c r="A679" s="5"/>
      <c r="B679" s="5"/>
      <c r="C679" s="5"/>
      <c r="D679" s="5"/>
      <c r="E679" s="5"/>
      <c r="F679" s="5"/>
      <c r="G679" s="5"/>
      <c r="H679" s="306"/>
      <c r="I679" s="306"/>
      <c r="J679" s="5"/>
      <c r="K679" s="5"/>
      <c r="L679" s="5"/>
      <c r="M679" s="5"/>
      <c r="N679" s="5"/>
      <c r="O679" s="5"/>
      <c r="P679" s="57"/>
      <c r="Q679" s="5"/>
      <c r="R679" s="5"/>
      <c r="S679" s="5"/>
      <c r="T679" s="5"/>
      <c r="U679" s="5"/>
      <c r="V679" s="5"/>
      <c r="W679" s="5"/>
      <c r="X679" s="5"/>
      <c r="Y679" s="5"/>
      <c r="Z679" s="5"/>
      <c r="AA679" s="5"/>
    </row>
    <row r="680" spans="1:27" ht="12.75" customHeight="1">
      <c r="A680" s="5"/>
      <c r="B680" s="5"/>
      <c r="C680" s="5"/>
      <c r="D680" s="5"/>
      <c r="E680" s="5"/>
      <c r="F680" s="5"/>
      <c r="G680" s="5"/>
      <c r="H680" s="306"/>
      <c r="I680" s="306"/>
      <c r="J680" s="5"/>
      <c r="K680" s="5"/>
      <c r="L680" s="5"/>
      <c r="M680" s="5"/>
      <c r="N680" s="5"/>
      <c r="O680" s="5"/>
      <c r="P680" s="57"/>
      <c r="Q680" s="5"/>
      <c r="R680" s="5"/>
      <c r="S680" s="5"/>
      <c r="T680" s="5"/>
      <c r="U680" s="5"/>
      <c r="V680" s="5"/>
      <c r="W680" s="5"/>
      <c r="X680" s="5"/>
      <c r="Y680" s="5"/>
      <c r="Z680" s="5"/>
      <c r="AA680" s="5"/>
    </row>
    <row r="681" spans="1:27" ht="12.75" customHeight="1">
      <c r="A681" s="5"/>
      <c r="B681" s="5"/>
      <c r="C681" s="5"/>
      <c r="D681" s="5"/>
      <c r="E681" s="5"/>
      <c r="F681" s="5"/>
      <c r="G681" s="5"/>
      <c r="H681" s="306"/>
      <c r="I681" s="306"/>
      <c r="J681" s="5"/>
      <c r="K681" s="5"/>
      <c r="L681" s="5"/>
      <c r="M681" s="5"/>
      <c r="N681" s="5"/>
      <c r="O681" s="5"/>
      <c r="P681" s="57"/>
      <c r="Q681" s="5"/>
      <c r="R681" s="5"/>
      <c r="S681" s="5"/>
      <c r="T681" s="5"/>
      <c r="U681" s="5"/>
      <c r="V681" s="5"/>
      <c r="W681" s="5"/>
      <c r="X681" s="5"/>
      <c r="Y681" s="5"/>
      <c r="Z681" s="5"/>
      <c r="AA681" s="5"/>
    </row>
    <row r="682" spans="1:27" ht="12.75" customHeight="1">
      <c r="A682" s="5"/>
      <c r="B682" s="5"/>
      <c r="C682" s="5"/>
      <c r="D682" s="5"/>
      <c r="E682" s="5"/>
      <c r="F682" s="5"/>
      <c r="G682" s="5"/>
      <c r="H682" s="306"/>
      <c r="I682" s="306"/>
      <c r="J682" s="5"/>
      <c r="K682" s="5"/>
      <c r="L682" s="5"/>
      <c r="M682" s="5"/>
      <c r="N682" s="5"/>
      <c r="O682" s="5"/>
      <c r="P682" s="57"/>
      <c r="Q682" s="5"/>
      <c r="R682" s="5"/>
      <c r="S682" s="5"/>
      <c r="T682" s="5"/>
      <c r="U682" s="5"/>
      <c r="V682" s="5"/>
      <c r="W682" s="5"/>
      <c r="X682" s="5"/>
      <c r="Y682" s="5"/>
      <c r="Z682" s="5"/>
      <c r="AA682" s="5"/>
    </row>
    <row r="683" spans="1:27" ht="12.75" customHeight="1">
      <c r="A683" s="5"/>
      <c r="B683" s="5"/>
      <c r="C683" s="5"/>
      <c r="D683" s="5"/>
      <c r="E683" s="5"/>
      <c r="F683" s="5"/>
      <c r="G683" s="5"/>
      <c r="H683" s="306"/>
      <c r="I683" s="306"/>
      <c r="J683" s="5"/>
      <c r="K683" s="5"/>
      <c r="L683" s="5"/>
      <c r="M683" s="5"/>
      <c r="N683" s="5"/>
      <c r="O683" s="5"/>
      <c r="P683" s="57"/>
      <c r="Q683" s="5"/>
      <c r="R683" s="5"/>
      <c r="S683" s="5"/>
      <c r="T683" s="5"/>
      <c r="U683" s="5"/>
      <c r="V683" s="5"/>
      <c r="W683" s="5"/>
      <c r="X683" s="5"/>
      <c r="Y683" s="5"/>
      <c r="Z683" s="5"/>
      <c r="AA683" s="5"/>
    </row>
    <row r="684" spans="1:27" ht="12.75" customHeight="1">
      <c r="A684" s="5"/>
      <c r="B684" s="5"/>
      <c r="C684" s="5"/>
      <c r="D684" s="5"/>
      <c r="E684" s="5"/>
      <c r="F684" s="5"/>
      <c r="G684" s="5"/>
      <c r="H684" s="306"/>
      <c r="I684" s="306"/>
      <c r="J684" s="5"/>
      <c r="K684" s="5"/>
      <c r="L684" s="5"/>
      <c r="M684" s="5"/>
      <c r="N684" s="5"/>
      <c r="O684" s="5"/>
      <c r="P684" s="57"/>
      <c r="Q684" s="5"/>
      <c r="R684" s="5"/>
      <c r="S684" s="5"/>
      <c r="T684" s="5"/>
      <c r="U684" s="5"/>
      <c r="V684" s="5"/>
      <c r="W684" s="5"/>
      <c r="X684" s="5"/>
      <c r="Y684" s="5"/>
      <c r="Z684" s="5"/>
      <c r="AA684" s="5"/>
    </row>
    <row r="685" spans="1:27" ht="12.75" customHeight="1">
      <c r="A685" s="5"/>
      <c r="B685" s="5"/>
      <c r="C685" s="5"/>
      <c r="D685" s="5"/>
      <c r="E685" s="5"/>
      <c r="F685" s="5"/>
      <c r="G685" s="5"/>
      <c r="H685" s="306"/>
      <c r="I685" s="306"/>
      <c r="J685" s="5"/>
      <c r="K685" s="5"/>
      <c r="L685" s="5"/>
      <c r="M685" s="5"/>
      <c r="N685" s="5"/>
      <c r="O685" s="5"/>
      <c r="P685" s="57"/>
      <c r="Q685" s="5"/>
      <c r="R685" s="5"/>
      <c r="S685" s="5"/>
      <c r="T685" s="5"/>
      <c r="U685" s="5"/>
      <c r="V685" s="5"/>
      <c r="W685" s="5"/>
      <c r="X685" s="5"/>
      <c r="Y685" s="5"/>
      <c r="Z685" s="5"/>
      <c r="AA685" s="5"/>
    </row>
    <row r="686" spans="1:27" ht="12.75" customHeight="1">
      <c r="A686" s="5"/>
      <c r="B686" s="5"/>
      <c r="C686" s="5"/>
      <c r="D686" s="5"/>
      <c r="E686" s="5"/>
      <c r="F686" s="5"/>
      <c r="G686" s="5"/>
      <c r="H686" s="306"/>
      <c r="I686" s="306"/>
      <c r="J686" s="5"/>
      <c r="K686" s="5"/>
      <c r="L686" s="5"/>
      <c r="M686" s="5"/>
      <c r="N686" s="5"/>
      <c r="O686" s="5"/>
      <c r="P686" s="57"/>
      <c r="Q686" s="5"/>
      <c r="R686" s="5"/>
      <c r="S686" s="5"/>
      <c r="T686" s="5"/>
      <c r="U686" s="5"/>
      <c r="V686" s="5"/>
      <c r="W686" s="5"/>
      <c r="X686" s="5"/>
      <c r="Y686" s="5"/>
      <c r="Z686" s="5"/>
      <c r="AA686" s="5"/>
    </row>
    <row r="687" spans="1:27" ht="12.75" customHeight="1">
      <c r="A687" s="5"/>
      <c r="B687" s="5"/>
      <c r="C687" s="5"/>
      <c r="D687" s="5"/>
      <c r="E687" s="5"/>
      <c r="F687" s="5"/>
      <c r="G687" s="5"/>
      <c r="H687" s="306"/>
      <c r="I687" s="306"/>
      <c r="J687" s="5"/>
      <c r="K687" s="5"/>
      <c r="L687" s="5"/>
      <c r="M687" s="5"/>
      <c r="N687" s="5"/>
      <c r="O687" s="5"/>
      <c r="P687" s="57"/>
      <c r="Q687" s="5"/>
      <c r="R687" s="5"/>
      <c r="S687" s="5"/>
      <c r="T687" s="5"/>
      <c r="U687" s="5"/>
      <c r="V687" s="5"/>
      <c r="W687" s="5"/>
      <c r="X687" s="5"/>
      <c r="Y687" s="5"/>
      <c r="Z687" s="5"/>
      <c r="AA687" s="5"/>
    </row>
    <row r="688" spans="1:27" ht="12.75" customHeight="1">
      <c r="A688" s="5"/>
      <c r="B688" s="5"/>
      <c r="C688" s="5"/>
      <c r="D688" s="5"/>
      <c r="E688" s="5"/>
      <c r="F688" s="5"/>
      <c r="G688" s="5"/>
      <c r="H688" s="306"/>
      <c r="I688" s="306"/>
      <c r="J688" s="5"/>
      <c r="K688" s="5"/>
      <c r="L688" s="5"/>
      <c r="M688" s="5"/>
      <c r="N688" s="5"/>
      <c r="O688" s="5"/>
      <c r="P688" s="57"/>
      <c r="Q688" s="5"/>
      <c r="R688" s="5"/>
      <c r="S688" s="5"/>
      <c r="T688" s="5"/>
      <c r="U688" s="5"/>
      <c r="V688" s="5"/>
      <c r="W688" s="5"/>
      <c r="X688" s="5"/>
      <c r="Y688" s="5"/>
      <c r="Z688" s="5"/>
      <c r="AA688" s="5"/>
    </row>
    <row r="689" spans="1:27" ht="12.75" customHeight="1">
      <c r="A689" s="5"/>
      <c r="B689" s="5"/>
      <c r="C689" s="5"/>
      <c r="D689" s="5"/>
      <c r="E689" s="5"/>
      <c r="F689" s="5"/>
      <c r="G689" s="5"/>
      <c r="H689" s="306"/>
      <c r="I689" s="306"/>
      <c r="J689" s="5"/>
      <c r="K689" s="5"/>
      <c r="L689" s="5"/>
      <c r="M689" s="5"/>
      <c r="N689" s="5"/>
      <c r="O689" s="5"/>
      <c r="P689" s="57"/>
      <c r="Q689" s="5"/>
      <c r="R689" s="5"/>
      <c r="S689" s="5"/>
      <c r="T689" s="5"/>
      <c r="U689" s="5"/>
      <c r="V689" s="5"/>
      <c r="W689" s="5"/>
      <c r="X689" s="5"/>
      <c r="Y689" s="5"/>
      <c r="Z689" s="5"/>
      <c r="AA689" s="5"/>
    </row>
    <row r="690" spans="1:27" ht="12.75" customHeight="1">
      <c r="A690" s="5"/>
      <c r="B690" s="5"/>
      <c r="C690" s="5"/>
      <c r="D690" s="5"/>
      <c r="E690" s="5"/>
      <c r="F690" s="5"/>
      <c r="G690" s="5"/>
      <c r="H690" s="306"/>
      <c r="I690" s="306"/>
      <c r="J690" s="5"/>
      <c r="K690" s="5"/>
      <c r="L690" s="5"/>
      <c r="M690" s="5"/>
      <c r="N690" s="5"/>
      <c r="O690" s="5"/>
      <c r="P690" s="57"/>
      <c r="Q690" s="5"/>
      <c r="R690" s="5"/>
      <c r="S690" s="5"/>
      <c r="T690" s="5"/>
      <c r="U690" s="5"/>
      <c r="V690" s="5"/>
      <c r="W690" s="5"/>
      <c r="X690" s="5"/>
      <c r="Y690" s="5"/>
      <c r="Z690" s="5"/>
      <c r="AA690" s="5"/>
    </row>
    <row r="691" spans="1:27" ht="12.75" customHeight="1">
      <c r="A691" s="5"/>
      <c r="B691" s="5"/>
      <c r="C691" s="5"/>
      <c r="D691" s="5"/>
      <c r="E691" s="5"/>
      <c r="F691" s="5"/>
      <c r="G691" s="5"/>
      <c r="H691" s="306"/>
      <c r="I691" s="306"/>
      <c r="J691" s="5"/>
      <c r="K691" s="5"/>
      <c r="L691" s="5"/>
      <c r="M691" s="5"/>
      <c r="N691" s="5"/>
      <c r="O691" s="5"/>
      <c r="P691" s="57"/>
      <c r="Q691" s="5"/>
      <c r="R691" s="5"/>
      <c r="S691" s="5"/>
      <c r="T691" s="5"/>
      <c r="U691" s="5"/>
      <c r="V691" s="5"/>
      <c r="W691" s="5"/>
      <c r="X691" s="5"/>
      <c r="Y691" s="5"/>
      <c r="Z691" s="5"/>
      <c r="AA691" s="5"/>
    </row>
    <row r="692" spans="1:27" ht="12.75" customHeight="1">
      <c r="A692" s="5"/>
      <c r="B692" s="5"/>
      <c r="C692" s="5"/>
      <c r="D692" s="5"/>
      <c r="E692" s="5"/>
      <c r="F692" s="5"/>
      <c r="G692" s="5"/>
      <c r="H692" s="306"/>
      <c r="I692" s="306"/>
      <c r="J692" s="5"/>
      <c r="K692" s="5"/>
      <c r="L692" s="5"/>
      <c r="M692" s="5"/>
      <c r="N692" s="5"/>
      <c r="O692" s="5"/>
      <c r="P692" s="57"/>
      <c r="Q692" s="5"/>
      <c r="R692" s="5"/>
      <c r="S692" s="5"/>
      <c r="T692" s="5"/>
      <c r="U692" s="5"/>
      <c r="V692" s="5"/>
      <c r="W692" s="5"/>
      <c r="X692" s="5"/>
      <c r="Y692" s="5"/>
      <c r="Z692" s="5"/>
      <c r="AA692" s="5"/>
    </row>
    <row r="693" spans="1:27" ht="12.75" customHeight="1">
      <c r="A693" s="5"/>
      <c r="B693" s="5"/>
      <c r="C693" s="5"/>
      <c r="D693" s="5"/>
      <c r="E693" s="5"/>
      <c r="F693" s="5"/>
      <c r="G693" s="5"/>
      <c r="H693" s="306"/>
      <c r="I693" s="306"/>
      <c r="J693" s="5"/>
      <c r="K693" s="5"/>
      <c r="L693" s="5"/>
      <c r="M693" s="5"/>
      <c r="N693" s="5"/>
      <c r="O693" s="5"/>
      <c r="P693" s="57"/>
      <c r="Q693" s="5"/>
      <c r="R693" s="5"/>
      <c r="S693" s="5"/>
      <c r="T693" s="5"/>
      <c r="U693" s="5"/>
      <c r="V693" s="5"/>
      <c r="W693" s="5"/>
      <c r="X693" s="5"/>
      <c r="Y693" s="5"/>
      <c r="Z693" s="5"/>
      <c r="AA693" s="5"/>
    </row>
    <row r="694" spans="1:27" ht="12.75" customHeight="1">
      <c r="A694" s="5"/>
      <c r="B694" s="5"/>
      <c r="C694" s="5"/>
      <c r="D694" s="5"/>
      <c r="E694" s="5"/>
      <c r="F694" s="5"/>
      <c r="G694" s="5"/>
      <c r="H694" s="306"/>
      <c r="I694" s="306"/>
      <c r="J694" s="5"/>
      <c r="K694" s="5"/>
      <c r="L694" s="5"/>
      <c r="M694" s="5"/>
      <c r="N694" s="5"/>
      <c r="O694" s="5"/>
      <c r="P694" s="57"/>
      <c r="Q694" s="5"/>
      <c r="R694" s="5"/>
      <c r="S694" s="5"/>
      <c r="T694" s="5"/>
      <c r="U694" s="5"/>
      <c r="V694" s="5"/>
      <c r="W694" s="5"/>
      <c r="X694" s="5"/>
      <c r="Y694" s="5"/>
      <c r="Z694" s="5"/>
      <c r="AA694" s="5"/>
    </row>
    <row r="695" spans="1:27" ht="12.75" customHeight="1">
      <c r="A695" s="5"/>
      <c r="B695" s="5"/>
      <c r="C695" s="5"/>
      <c r="D695" s="5"/>
      <c r="E695" s="5"/>
      <c r="F695" s="5"/>
      <c r="G695" s="5"/>
      <c r="H695" s="306"/>
      <c r="I695" s="306"/>
      <c r="J695" s="5"/>
      <c r="K695" s="5"/>
      <c r="L695" s="5"/>
      <c r="M695" s="5"/>
      <c r="N695" s="5"/>
      <c r="O695" s="5"/>
      <c r="P695" s="57"/>
      <c r="Q695" s="5"/>
      <c r="R695" s="5"/>
      <c r="S695" s="5"/>
      <c r="T695" s="5"/>
      <c r="U695" s="5"/>
      <c r="V695" s="5"/>
      <c r="W695" s="5"/>
      <c r="X695" s="5"/>
      <c r="Y695" s="5"/>
      <c r="Z695" s="5"/>
      <c r="AA695" s="5"/>
    </row>
    <row r="696" spans="1:27" ht="12.75" customHeight="1">
      <c r="A696" s="5"/>
      <c r="B696" s="5"/>
      <c r="C696" s="5"/>
      <c r="D696" s="5"/>
      <c r="E696" s="5"/>
      <c r="F696" s="5"/>
      <c r="G696" s="5"/>
      <c r="H696" s="306"/>
      <c r="I696" s="306"/>
      <c r="J696" s="5"/>
      <c r="K696" s="5"/>
      <c r="L696" s="5"/>
      <c r="M696" s="5"/>
      <c r="N696" s="5"/>
      <c r="O696" s="5"/>
      <c r="P696" s="57"/>
      <c r="Q696" s="5"/>
      <c r="R696" s="5"/>
      <c r="S696" s="5"/>
      <c r="T696" s="5"/>
      <c r="U696" s="5"/>
      <c r="V696" s="5"/>
      <c r="W696" s="5"/>
      <c r="X696" s="5"/>
      <c r="Y696" s="5"/>
      <c r="Z696" s="5"/>
      <c r="AA696" s="5"/>
    </row>
    <row r="697" spans="1:27" ht="12.75" customHeight="1">
      <c r="A697" s="5"/>
      <c r="B697" s="5"/>
      <c r="C697" s="5"/>
      <c r="D697" s="5"/>
      <c r="E697" s="5"/>
      <c r="F697" s="5"/>
      <c r="G697" s="5"/>
      <c r="H697" s="306"/>
      <c r="I697" s="306"/>
      <c r="J697" s="5"/>
      <c r="K697" s="5"/>
      <c r="L697" s="5"/>
      <c r="M697" s="5"/>
      <c r="N697" s="5"/>
      <c r="O697" s="5"/>
      <c r="P697" s="57"/>
      <c r="Q697" s="5"/>
      <c r="R697" s="5"/>
      <c r="S697" s="5"/>
      <c r="T697" s="5"/>
      <c r="U697" s="5"/>
      <c r="V697" s="5"/>
      <c r="W697" s="5"/>
      <c r="X697" s="5"/>
      <c r="Y697" s="5"/>
      <c r="Z697" s="5"/>
      <c r="AA697" s="5"/>
    </row>
    <row r="698" spans="1:27" ht="12.75" customHeight="1">
      <c r="A698" s="5"/>
      <c r="B698" s="5"/>
      <c r="C698" s="5"/>
      <c r="D698" s="5"/>
      <c r="E698" s="5"/>
      <c r="F698" s="5"/>
      <c r="G698" s="5"/>
      <c r="H698" s="306"/>
      <c r="I698" s="306"/>
      <c r="J698" s="5"/>
      <c r="K698" s="5"/>
      <c r="L698" s="5"/>
      <c r="M698" s="5"/>
      <c r="N698" s="5"/>
      <c r="O698" s="5"/>
      <c r="P698" s="57"/>
      <c r="Q698" s="5"/>
      <c r="R698" s="5"/>
      <c r="S698" s="5"/>
      <c r="T698" s="5"/>
      <c r="U698" s="5"/>
      <c r="V698" s="5"/>
      <c r="W698" s="5"/>
      <c r="X698" s="5"/>
      <c r="Y698" s="5"/>
      <c r="Z698" s="5"/>
      <c r="AA698" s="5"/>
    </row>
    <row r="699" spans="1:27" ht="12.75" customHeight="1">
      <c r="A699" s="5"/>
      <c r="B699" s="5"/>
      <c r="C699" s="5"/>
      <c r="D699" s="5"/>
      <c r="E699" s="5"/>
      <c r="F699" s="5"/>
      <c r="G699" s="5"/>
      <c r="H699" s="306"/>
      <c r="I699" s="306"/>
      <c r="J699" s="5"/>
      <c r="K699" s="5"/>
      <c r="L699" s="5"/>
      <c r="M699" s="5"/>
      <c r="N699" s="5"/>
      <c r="O699" s="5"/>
      <c r="P699" s="57"/>
      <c r="Q699" s="5"/>
      <c r="R699" s="5"/>
      <c r="S699" s="5"/>
      <c r="T699" s="5"/>
      <c r="U699" s="5"/>
      <c r="V699" s="5"/>
      <c r="W699" s="5"/>
      <c r="X699" s="5"/>
      <c r="Y699" s="5"/>
      <c r="Z699" s="5"/>
      <c r="AA699" s="5"/>
    </row>
    <row r="700" spans="1:27" ht="12.75" customHeight="1">
      <c r="A700" s="5"/>
      <c r="B700" s="5"/>
      <c r="C700" s="5"/>
      <c r="D700" s="5"/>
      <c r="E700" s="5"/>
      <c r="F700" s="5"/>
      <c r="G700" s="5"/>
      <c r="H700" s="306"/>
      <c r="I700" s="306"/>
      <c r="J700" s="5"/>
      <c r="K700" s="5"/>
      <c r="L700" s="5"/>
      <c r="M700" s="5"/>
      <c r="N700" s="5"/>
      <c r="O700" s="5"/>
      <c r="P700" s="57"/>
      <c r="Q700" s="5"/>
      <c r="R700" s="5"/>
      <c r="S700" s="5"/>
      <c r="T700" s="5"/>
      <c r="U700" s="5"/>
      <c r="V700" s="5"/>
      <c r="W700" s="5"/>
      <c r="X700" s="5"/>
      <c r="Y700" s="5"/>
      <c r="Z700" s="5"/>
      <c r="AA700" s="5"/>
    </row>
    <row r="701" spans="1:27" ht="12.75" customHeight="1">
      <c r="A701" s="5"/>
      <c r="B701" s="5"/>
      <c r="C701" s="5"/>
      <c r="D701" s="5"/>
      <c r="E701" s="5"/>
      <c r="F701" s="5"/>
      <c r="G701" s="5"/>
      <c r="H701" s="306"/>
      <c r="I701" s="306"/>
      <c r="J701" s="5"/>
      <c r="K701" s="5"/>
      <c r="L701" s="5"/>
      <c r="M701" s="5"/>
      <c r="N701" s="5"/>
      <c r="O701" s="5"/>
      <c r="P701" s="57"/>
      <c r="Q701" s="5"/>
      <c r="R701" s="5"/>
      <c r="S701" s="5"/>
      <c r="T701" s="5"/>
      <c r="U701" s="5"/>
      <c r="V701" s="5"/>
      <c r="W701" s="5"/>
      <c r="X701" s="5"/>
      <c r="Y701" s="5"/>
      <c r="Z701" s="5"/>
      <c r="AA701" s="5"/>
    </row>
    <row r="702" spans="1:27" ht="12.75" customHeight="1">
      <c r="A702" s="5"/>
      <c r="B702" s="5"/>
      <c r="C702" s="5"/>
      <c r="D702" s="5"/>
      <c r="E702" s="5"/>
      <c r="F702" s="5"/>
      <c r="G702" s="5"/>
      <c r="H702" s="306"/>
      <c r="I702" s="306"/>
      <c r="J702" s="5"/>
      <c r="K702" s="5"/>
      <c r="L702" s="5"/>
      <c r="M702" s="5"/>
      <c r="N702" s="5"/>
      <c r="O702" s="5"/>
      <c r="P702" s="57"/>
      <c r="Q702" s="5"/>
      <c r="R702" s="5"/>
      <c r="S702" s="5"/>
      <c r="T702" s="5"/>
      <c r="U702" s="5"/>
      <c r="V702" s="5"/>
      <c r="W702" s="5"/>
      <c r="X702" s="5"/>
      <c r="Y702" s="5"/>
      <c r="Z702" s="5"/>
      <c r="AA702" s="5"/>
    </row>
    <row r="703" spans="1:27" ht="12.75" customHeight="1">
      <c r="A703" s="5"/>
      <c r="B703" s="5"/>
      <c r="C703" s="5"/>
      <c r="D703" s="5"/>
      <c r="E703" s="5"/>
      <c r="F703" s="5"/>
      <c r="G703" s="5"/>
      <c r="H703" s="306"/>
      <c r="I703" s="306"/>
      <c r="J703" s="5"/>
      <c r="K703" s="5"/>
      <c r="L703" s="5"/>
      <c r="M703" s="5"/>
      <c r="N703" s="5"/>
      <c r="O703" s="5"/>
      <c r="P703" s="57"/>
      <c r="Q703" s="5"/>
      <c r="R703" s="5"/>
      <c r="S703" s="5"/>
      <c r="T703" s="5"/>
      <c r="U703" s="5"/>
      <c r="V703" s="5"/>
      <c r="W703" s="5"/>
      <c r="X703" s="5"/>
      <c r="Y703" s="5"/>
      <c r="Z703" s="5"/>
      <c r="AA703" s="5"/>
    </row>
    <row r="704" spans="1:27" ht="12.75" customHeight="1">
      <c r="A704" s="5"/>
      <c r="B704" s="5"/>
      <c r="C704" s="5"/>
      <c r="D704" s="5"/>
      <c r="E704" s="5"/>
      <c r="F704" s="5"/>
      <c r="G704" s="5"/>
      <c r="H704" s="306"/>
      <c r="I704" s="306"/>
      <c r="J704" s="5"/>
      <c r="K704" s="5"/>
      <c r="L704" s="5"/>
      <c r="M704" s="5"/>
      <c r="N704" s="5"/>
      <c r="O704" s="5"/>
      <c r="P704" s="57"/>
      <c r="Q704" s="5"/>
      <c r="R704" s="5"/>
      <c r="S704" s="5"/>
      <c r="T704" s="5"/>
      <c r="U704" s="5"/>
      <c r="V704" s="5"/>
      <c r="W704" s="5"/>
      <c r="X704" s="5"/>
      <c r="Y704" s="5"/>
      <c r="Z704" s="5"/>
      <c r="AA704" s="5"/>
    </row>
    <row r="705" spans="1:27" ht="12.75" customHeight="1">
      <c r="A705" s="5"/>
      <c r="B705" s="5"/>
      <c r="C705" s="5"/>
      <c r="D705" s="5"/>
      <c r="E705" s="5"/>
      <c r="F705" s="5"/>
      <c r="G705" s="5"/>
      <c r="H705" s="306"/>
      <c r="I705" s="306"/>
      <c r="J705" s="5"/>
      <c r="K705" s="5"/>
      <c r="L705" s="5"/>
      <c r="M705" s="5"/>
      <c r="N705" s="5"/>
      <c r="O705" s="5"/>
      <c r="P705" s="57"/>
      <c r="Q705" s="5"/>
      <c r="R705" s="5"/>
      <c r="S705" s="5"/>
      <c r="T705" s="5"/>
      <c r="U705" s="5"/>
      <c r="V705" s="5"/>
      <c r="W705" s="5"/>
      <c r="X705" s="5"/>
      <c r="Y705" s="5"/>
      <c r="Z705" s="5"/>
      <c r="AA705" s="5"/>
    </row>
    <row r="706" spans="1:27" ht="12.75" customHeight="1">
      <c r="A706" s="5"/>
      <c r="B706" s="5"/>
      <c r="C706" s="5"/>
      <c r="D706" s="5"/>
      <c r="E706" s="5"/>
      <c r="F706" s="5"/>
      <c r="G706" s="5"/>
      <c r="H706" s="306"/>
      <c r="I706" s="306"/>
      <c r="J706" s="5"/>
      <c r="K706" s="5"/>
      <c r="L706" s="5"/>
      <c r="M706" s="5"/>
      <c r="N706" s="5"/>
      <c r="O706" s="5"/>
      <c r="P706" s="57"/>
      <c r="Q706" s="5"/>
      <c r="R706" s="5"/>
      <c r="S706" s="5"/>
      <c r="T706" s="5"/>
      <c r="U706" s="5"/>
      <c r="V706" s="5"/>
      <c r="W706" s="5"/>
      <c r="X706" s="5"/>
      <c r="Y706" s="5"/>
      <c r="Z706" s="5"/>
      <c r="AA706" s="5"/>
    </row>
    <row r="707" spans="1:27" ht="12.75" customHeight="1">
      <c r="A707" s="5"/>
      <c r="B707" s="5"/>
      <c r="C707" s="5"/>
      <c r="D707" s="5"/>
      <c r="E707" s="5"/>
      <c r="F707" s="5"/>
      <c r="G707" s="5"/>
      <c r="H707" s="306"/>
      <c r="I707" s="306"/>
      <c r="J707" s="5"/>
      <c r="K707" s="5"/>
      <c r="L707" s="5"/>
      <c r="M707" s="5"/>
      <c r="N707" s="5"/>
      <c r="O707" s="5"/>
      <c r="P707" s="57"/>
      <c r="Q707" s="5"/>
      <c r="R707" s="5"/>
      <c r="S707" s="5"/>
      <c r="T707" s="5"/>
      <c r="U707" s="5"/>
      <c r="V707" s="5"/>
      <c r="W707" s="5"/>
      <c r="X707" s="5"/>
      <c r="Y707" s="5"/>
      <c r="Z707" s="5"/>
      <c r="AA707" s="5"/>
    </row>
    <row r="708" spans="1:27" ht="12.75" customHeight="1">
      <c r="A708" s="5"/>
      <c r="B708" s="5"/>
      <c r="C708" s="5"/>
      <c r="D708" s="5"/>
      <c r="E708" s="5"/>
      <c r="F708" s="5"/>
      <c r="G708" s="5"/>
      <c r="H708" s="306"/>
      <c r="I708" s="306"/>
      <c r="J708" s="5"/>
      <c r="K708" s="5"/>
      <c r="L708" s="5"/>
      <c r="M708" s="5"/>
      <c r="N708" s="5"/>
      <c r="O708" s="5"/>
      <c r="P708" s="57"/>
      <c r="Q708" s="5"/>
      <c r="R708" s="5"/>
      <c r="S708" s="5"/>
      <c r="T708" s="5"/>
      <c r="U708" s="5"/>
      <c r="V708" s="5"/>
      <c r="W708" s="5"/>
      <c r="X708" s="5"/>
      <c r="Y708" s="5"/>
      <c r="Z708" s="5"/>
      <c r="AA708" s="5"/>
    </row>
    <row r="709" spans="1:27" ht="12.75" customHeight="1">
      <c r="A709" s="5"/>
      <c r="B709" s="5"/>
      <c r="C709" s="5"/>
      <c r="D709" s="5"/>
      <c r="E709" s="5"/>
      <c r="F709" s="5"/>
      <c r="G709" s="5"/>
      <c r="H709" s="306"/>
      <c r="I709" s="306"/>
      <c r="J709" s="5"/>
      <c r="K709" s="5"/>
      <c r="L709" s="5"/>
      <c r="M709" s="5"/>
      <c r="N709" s="5"/>
      <c r="O709" s="5"/>
      <c r="P709" s="57"/>
      <c r="Q709" s="5"/>
      <c r="R709" s="5"/>
      <c r="S709" s="5"/>
      <c r="T709" s="5"/>
      <c r="U709" s="5"/>
      <c r="V709" s="5"/>
      <c r="W709" s="5"/>
      <c r="X709" s="5"/>
      <c r="Y709" s="5"/>
      <c r="Z709" s="5"/>
      <c r="AA709" s="5"/>
    </row>
    <row r="710" spans="1:27" ht="12.75" customHeight="1">
      <c r="A710" s="5"/>
      <c r="B710" s="5"/>
      <c r="C710" s="5"/>
      <c r="D710" s="5"/>
      <c r="E710" s="5"/>
      <c r="F710" s="5"/>
      <c r="G710" s="5"/>
      <c r="H710" s="306"/>
      <c r="I710" s="306"/>
      <c r="J710" s="5"/>
      <c r="K710" s="5"/>
      <c r="L710" s="5"/>
      <c r="M710" s="5"/>
      <c r="N710" s="5"/>
      <c r="O710" s="5"/>
      <c r="P710" s="57"/>
      <c r="Q710" s="5"/>
      <c r="R710" s="5"/>
      <c r="S710" s="5"/>
      <c r="T710" s="5"/>
      <c r="U710" s="5"/>
      <c r="V710" s="5"/>
      <c r="W710" s="5"/>
      <c r="X710" s="5"/>
      <c r="Y710" s="5"/>
      <c r="Z710" s="5"/>
      <c r="AA710" s="5"/>
    </row>
    <row r="711" spans="1:27" ht="12.75" customHeight="1">
      <c r="A711" s="5"/>
      <c r="B711" s="5"/>
      <c r="C711" s="5"/>
      <c r="D711" s="5"/>
      <c r="E711" s="5"/>
      <c r="F711" s="5"/>
      <c r="G711" s="5"/>
      <c r="H711" s="306"/>
      <c r="I711" s="306"/>
      <c r="J711" s="5"/>
      <c r="K711" s="5"/>
      <c r="L711" s="5"/>
      <c r="M711" s="5"/>
      <c r="N711" s="5"/>
      <c r="O711" s="5"/>
      <c r="P711" s="57"/>
      <c r="Q711" s="5"/>
      <c r="R711" s="5"/>
      <c r="S711" s="5"/>
      <c r="T711" s="5"/>
      <c r="U711" s="5"/>
      <c r="V711" s="5"/>
      <c r="W711" s="5"/>
      <c r="X711" s="5"/>
      <c r="Y711" s="5"/>
      <c r="Z711" s="5"/>
      <c r="AA711" s="5"/>
    </row>
    <row r="712" spans="1:27" ht="12.75" customHeight="1">
      <c r="A712" s="5"/>
      <c r="B712" s="5"/>
      <c r="C712" s="5"/>
      <c r="D712" s="5"/>
      <c r="E712" s="5"/>
      <c r="F712" s="5"/>
      <c r="G712" s="5"/>
      <c r="H712" s="306"/>
      <c r="I712" s="306"/>
      <c r="J712" s="5"/>
      <c r="K712" s="5"/>
      <c r="L712" s="5"/>
      <c r="M712" s="5"/>
      <c r="N712" s="5"/>
      <c r="O712" s="5"/>
      <c r="P712" s="57"/>
      <c r="Q712" s="5"/>
      <c r="R712" s="5"/>
      <c r="S712" s="5"/>
      <c r="T712" s="5"/>
      <c r="U712" s="5"/>
      <c r="V712" s="5"/>
      <c r="W712" s="5"/>
      <c r="X712" s="5"/>
      <c r="Y712" s="5"/>
      <c r="Z712" s="5"/>
      <c r="AA712" s="5"/>
    </row>
    <row r="713" spans="1:27" ht="12.75" customHeight="1">
      <c r="A713" s="5"/>
      <c r="B713" s="5"/>
      <c r="C713" s="5"/>
      <c r="D713" s="5"/>
      <c r="E713" s="5"/>
      <c r="F713" s="5"/>
      <c r="G713" s="5"/>
      <c r="H713" s="306"/>
      <c r="I713" s="306"/>
      <c r="J713" s="5"/>
      <c r="K713" s="5"/>
      <c r="L713" s="5"/>
      <c r="M713" s="5"/>
      <c r="N713" s="5"/>
      <c r="O713" s="5"/>
      <c r="P713" s="57"/>
      <c r="Q713" s="5"/>
      <c r="R713" s="5"/>
      <c r="S713" s="5"/>
      <c r="T713" s="5"/>
      <c r="U713" s="5"/>
      <c r="V713" s="5"/>
      <c r="W713" s="5"/>
      <c r="X713" s="5"/>
      <c r="Y713" s="5"/>
      <c r="Z713" s="5"/>
      <c r="AA713" s="5"/>
    </row>
    <row r="714" spans="1:27" ht="12.75" customHeight="1">
      <c r="A714" s="5"/>
      <c r="B714" s="5"/>
      <c r="C714" s="5"/>
      <c r="D714" s="5"/>
      <c r="E714" s="5"/>
      <c r="F714" s="5"/>
      <c r="G714" s="5"/>
      <c r="H714" s="306"/>
      <c r="I714" s="306"/>
      <c r="J714" s="5"/>
      <c r="K714" s="5"/>
      <c r="L714" s="5"/>
      <c r="M714" s="5"/>
      <c r="N714" s="5"/>
      <c r="O714" s="5"/>
      <c r="P714" s="57"/>
      <c r="Q714" s="5"/>
      <c r="R714" s="5"/>
      <c r="S714" s="5"/>
      <c r="T714" s="5"/>
      <c r="U714" s="5"/>
      <c r="V714" s="5"/>
      <c r="W714" s="5"/>
      <c r="X714" s="5"/>
      <c r="Y714" s="5"/>
      <c r="Z714" s="5"/>
      <c r="AA714" s="5"/>
    </row>
    <row r="715" spans="1:27" ht="12.75" customHeight="1">
      <c r="A715" s="5"/>
      <c r="B715" s="5"/>
      <c r="C715" s="5"/>
      <c r="D715" s="5"/>
      <c r="E715" s="5"/>
      <c r="F715" s="5"/>
      <c r="G715" s="5"/>
      <c r="H715" s="306"/>
      <c r="I715" s="306"/>
      <c r="J715" s="5"/>
      <c r="K715" s="5"/>
      <c r="L715" s="5"/>
      <c r="M715" s="5"/>
      <c r="N715" s="5"/>
      <c r="O715" s="5"/>
      <c r="P715" s="57"/>
      <c r="Q715" s="5"/>
      <c r="R715" s="5"/>
      <c r="S715" s="5"/>
      <c r="T715" s="5"/>
      <c r="U715" s="5"/>
      <c r="V715" s="5"/>
      <c r="W715" s="5"/>
      <c r="X715" s="5"/>
      <c r="Y715" s="5"/>
      <c r="Z715" s="5"/>
      <c r="AA715" s="5"/>
    </row>
    <row r="716" spans="1:27" ht="12.75" customHeight="1">
      <c r="A716" s="5"/>
      <c r="B716" s="5"/>
      <c r="C716" s="5"/>
      <c r="D716" s="5"/>
      <c r="E716" s="5"/>
      <c r="F716" s="5"/>
      <c r="G716" s="5"/>
      <c r="H716" s="306"/>
      <c r="I716" s="306"/>
      <c r="J716" s="5"/>
      <c r="K716" s="5"/>
      <c r="L716" s="5"/>
      <c r="M716" s="5"/>
      <c r="N716" s="5"/>
      <c r="O716" s="5"/>
      <c r="P716" s="57"/>
      <c r="Q716" s="5"/>
      <c r="R716" s="5"/>
      <c r="S716" s="5"/>
      <c r="T716" s="5"/>
      <c r="U716" s="5"/>
      <c r="V716" s="5"/>
      <c r="W716" s="5"/>
      <c r="X716" s="5"/>
      <c r="Y716" s="5"/>
      <c r="Z716" s="5"/>
      <c r="AA716" s="5"/>
    </row>
    <row r="717" spans="1:27" ht="12.75" customHeight="1">
      <c r="A717" s="5"/>
      <c r="B717" s="5"/>
      <c r="C717" s="5"/>
      <c r="D717" s="5"/>
      <c r="E717" s="5"/>
      <c r="F717" s="5"/>
      <c r="G717" s="5"/>
      <c r="H717" s="306"/>
      <c r="I717" s="306"/>
      <c r="J717" s="5"/>
      <c r="K717" s="5"/>
      <c r="L717" s="5"/>
      <c r="M717" s="5"/>
      <c r="N717" s="5"/>
      <c r="O717" s="5"/>
      <c r="P717" s="57"/>
      <c r="Q717" s="5"/>
      <c r="R717" s="5"/>
      <c r="S717" s="5"/>
      <c r="T717" s="5"/>
      <c r="U717" s="5"/>
      <c r="V717" s="5"/>
      <c r="W717" s="5"/>
      <c r="X717" s="5"/>
      <c r="Y717" s="5"/>
      <c r="Z717" s="5"/>
      <c r="AA717" s="5"/>
    </row>
    <row r="718" spans="1:27" ht="12.75" customHeight="1">
      <c r="A718" s="5"/>
      <c r="B718" s="5"/>
      <c r="C718" s="5"/>
      <c r="D718" s="5"/>
      <c r="E718" s="5"/>
      <c r="F718" s="5"/>
      <c r="G718" s="5"/>
      <c r="H718" s="306"/>
      <c r="I718" s="306"/>
      <c r="J718" s="5"/>
      <c r="K718" s="5"/>
      <c r="L718" s="5"/>
      <c r="M718" s="5"/>
      <c r="N718" s="5"/>
      <c r="O718" s="5"/>
      <c r="P718" s="57"/>
      <c r="Q718" s="5"/>
      <c r="R718" s="5"/>
      <c r="S718" s="5"/>
      <c r="T718" s="5"/>
      <c r="U718" s="5"/>
      <c r="V718" s="5"/>
      <c r="W718" s="5"/>
      <c r="X718" s="5"/>
      <c r="Y718" s="5"/>
      <c r="Z718" s="5"/>
      <c r="AA718" s="5"/>
    </row>
    <row r="719" spans="1:27" ht="12.75" customHeight="1">
      <c r="A719" s="5"/>
      <c r="B719" s="5"/>
      <c r="C719" s="5"/>
      <c r="D719" s="5"/>
      <c r="E719" s="5"/>
      <c r="F719" s="5"/>
      <c r="G719" s="5"/>
      <c r="H719" s="306"/>
      <c r="I719" s="306"/>
      <c r="J719" s="5"/>
      <c r="K719" s="5"/>
      <c r="L719" s="5"/>
      <c r="M719" s="5"/>
      <c r="N719" s="5"/>
      <c r="O719" s="5"/>
      <c r="P719" s="57"/>
      <c r="Q719" s="5"/>
      <c r="R719" s="5"/>
      <c r="S719" s="5"/>
      <c r="T719" s="5"/>
      <c r="U719" s="5"/>
      <c r="V719" s="5"/>
      <c r="W719" s="5"/>
      <c r="X719" s="5"/>
      <c r="Y719" s="5"/>
      <c r="Z719" s="5"/>
      <c r="AA719" s="5"/>
    </row>
    <row r="720" spans="1:27" ht="12.75" customHeight="1">
      <c r="A720" s="5"/>
      <c r="B720" s="5"/>
      <c r="C720" s="5"/>
      <c r="D720" s="5"/>
      <c r="E720" s="5"/>
      <c r="F720" s="5"/>
      <c r="G720" s="5"/>
      <c r="H720" s="306"/>
      <c r="I720" s="306"/>
      <c r="J720" s="5"/>
      <c r="K720" s="5"/>
      <c r="L720" s="5"/>
      <c r="M720" s="5"/>
      <c r="N720" s="5"/>
      <c r="O720" s="5"/>
      <c r="P720" s="57"/>
      <c r="Q720" s="5"/>
      <c r="R720" s="5"/>
      <c r="S720" s="5"/>
      <c r="T720" s="5"/>
      <c r="U720" s="5"/>
      <c r="V720" s="5"/>
      <c r="W720" s="5"/>
      <c r="X720" s="5"/>
      <c r="Y720" s="5"/>
      <c r="Z720" s="5"/>
      <c r="AA720" s="5"/>
    </row>
    <row r="721" spans="1:27" ht="12.75" customHeight="1">
      <c r="A721" s="5"/>
      <c r="B721" s="5"/>
      <c r="C721" s="5"/>
      <c r="D721" s="5"/>
      <c r="E721" s="5"/>
      <c r="F721" s="5"/>
      <c r="G721" s="5"/>
      <c r="H721" s="306"/>
      <c r="I721" s="306"/>
      <c r="J721" s="5"/>
      <c r="K721" s="5"/>
      <c r="L721" s="5"/>
      <c r="M721" s="5"/>
      <c r="N721" s="5"/>
      <c r="O721" s="5"/>
      <c r="P721" s="57"/>
      <c r="Q721" s="5"/>
      <c r="R721" s="5"/>
      <c r="S721" s="5"/>
      <c r="T721" s="5"/>
      <c r="U721" s="5"/>
      <c r="V721" s="5"/>
      <c r="W721" s="5"/>
      <c r="X721" s="5"/>
      <c r="Y721" s="5"/>
      <c r="Z721" s="5"/>
      <c r="AA721" s="5"/>
    </row>
    <row r="722" spans="1:27" ht="12.75" customHeight="1">
      <c r="A722" s="5"/>
      <c r="B722" s="5"/>
      <c r="C722" s="5"/>
      <c r="D722" s="5"/>
      <c r="E722" s="5"/>
      <c r="F722" s="5"/>
      <c r="G722" s="5"/>
      <c r="H722" s="306"/>
      <c r="I722" s="306"/>
      <c r="J722" s="5"/>
      <c r="K722" s="5"/>
      <c r="L722" s="5"/>
      <c r="M722" s="5"/>
      <c r="N722" s="5"/>
      <c r="O722" s="5"/>
      <c r="P722" s="57"/>
      <c r="Q722" s="5"/>
      <c r="R722" s="5"/>
      <c r="S722" s="5"/>
      <c r="T722" s="5"/>
      <c r="U722" s="5"/>
      <c r="V722" s="5"/>
      <c r="W722" s="5"/>
      <c r="X722" s="5"/>
      <c r="Y722" s="5"/>
      <c r="Z722" s="5"/>
      <c r="AA722" s="5"/>
    </row>
    <row r="723" spans="1:27" ht="12.75" customHeight="1">
      <c r="A723" s="5"/>
      <c r="B723" s="5"/>
      <c r="C723" s="5"/>
      <c r="D723" s="5"/>
      <c r="E723" s="5"/>
      <c r="F723" s="5"/>
      <c r="G723" s="5"/>
      <c r="H723" s="306"/>
      <c r="I723" s="306"/>
      <c r="J723" s="5"/>
      <c r="K723" s="5"/>
      <c r="L723" s="5"/>
      <c r="M723" s="5"/>
      <c r="N723" s="5"/>
      <c r="O723" s="5"/>
      <c r="P723" s="57"/>
      <c r="Q723" s="5"/>
      <c r="R723" s="5"/>
      <c r="S723" s="5"/>
      <c r="T723" s="5"/>
      <c r="U723" s="5"/>
      <c r="V723" s="5"/>
      <c r="W723" s="5"/>
      <c r="X723" s="5"/>
      <c r="Y723" s="5"/>
      <c r="Z723" s="5"/>
      <c r="AA723" s="5"/>
    </row>
    <row r="724" spans="1:27" ht="12.75" customHeight="1">
      <c r="A724" s="5"/>
      <c r="B724" s="5"/>
      <c r="C724" s="5"/>
      <c r="D724" s="5"/>
      <c r="E724" s="5"/>
      <c r="F724" s="5"/>
      <c r="G724" s="5"/>
      <c r="H724" s="306"/>
      <c r="I724" s="306"/>
      <c r="J724" s="5"/>
      <c r="K724" s="5"/>
      <c r="L724" s="5"/>
      <c r="M724" s="5"/>
      <c r="N724" s="5"/>
      <c r="O724" s="5"/>
      <c r="P724" s="57"/>
      <c r="Q724" s="5"/>
      <c r="R724" s="5"/>
      <c r="S724" s="5"/>
      <c r="T724" s="5"/>
      <c r="U724" s="5"/>
      <c r="V724" s="5"/>
      <c r="W724" s="5"/>
      <c r="X724" s="5"/>
      <c r="Y724" s="5"/>
      <c r="Z724" s="5"/>
      <c r="AA724" s="5"/>
    </row>
    <row r="725" spans="1:27" ht="12.75" customHeight="1">
      <c r="A725" s="5"/>
      <c r="B725" s="5"/>
      <c r="C725" s="5"/>
      <c r="D725" s="5"/>
      <c r="E725" s="5"/>
      <c r="F725" s="5"/>
      <c r="G725" s="5"/>
      <c r="H725" s="306"/>
      <c r="I725" s="306"/>
      <c r="J725" s="5"/>
      <c r="K725" s="5"/>
      <c r="L725" s="5"/>
      <c r="M725" s="5"/>
      <c r="N725" s="5"/>
      <c r="O725" s="5"/>
      <c r="P725" s="57"/>
      <c r="Q725" s="5"/>
      <c r="R725" s="5"/>
      <c r="S725" s="5"/>
      <c r="T725" s="5"/>
      <c r="U725" s="5"/>
      <c r="V725" s="5"/>
      <c r="W725" s="5"/>
      <c r="X725" s="5"/>
      <c r="Y725" s="5"/>
      <c r="Z725" s="5"/>
      <c r="AA725" s="5"/>
    </row>
    <row r="726" spans="1:27" ht="12.75" customHeight="1">
      <c r="A726" s="5"/>
      <c r="B726" s="5"/>
      <c r="C726" s="5"/>
      <c r="D726" s="5"/>
      <c r="E726" s="5"/>
      <c r="F726" s="5"/>
      <c r="G726" s="5"/>
      <c r="H726" s="306"/>
      <c r="I726" s="306"/>
      <c r="J726" s="5"/>
      <c r="K726" s="5"/>
      <c r="L726" s="5"/>
      <c r="M726" s="5"/>
      <c r="N726" s="5"/>
      <c r="O726" s="5"/>
      <c r="P726" s="57"/>
      <c r="Q726" s="5"/>
      <c r="R726" s="5"/>
      <c r="S726" s="5"/>
      <c r="T726" s="5"/>
      <c r="U726" s="5"/>
      <c r="V726" s="5"/>
      <c r="W726" s="5"/>
      <c r="X726" s="5"/>
      <c r="Y726" s="5"/>
      <c r="Z726" s="5"/>
      <c r="AA726" s="5"/>
    </row>
    <row r="727" spans="1:27" ht="12.75" customHeight="1">
      <c r="A727" s="5"/>
      <c r="B727" s="5"/>
      <c r="C727" s="5"/>
      <c r="D727" s="5"/>
      <c r="E727" s="5"/>
      <c r="F727" s="5"/>
      <c r="G727" s="5"/>
      <c r="H727" s="306"/>
      <c r="I727" s="306"/>
      <c r="J727" s="5"/>
      <c r="K727" s="5"/>
      <c r="L727" s="5"/>
      <c r="M727" s="5"/>
      <c r="N727" s="5"/>
      <c r="O727" s="5"/>
      <c r="P727" s="57"/>
      <c r="Q727" s="5"/>
      <c r="R727" s="5"/>
      <c r="S727" s="5"/>
      <c r="T727" s="5"/>
      <c r="U727" s="5"/>
      <c r="V727" s="5"/>
      <c r="W727" s="5"/>
      <c r="X727" s="5"/>
      <c r="Y727" s="5"/>
      <c r="Z727" s="5"/>
      <c r="AA727" s="5"/>
    </row>
    <row r="728" spans="1:27" ht="12.75" customHeight="1">
      <c r="A728" s="5"/>
      <c r="B728" s="5"/>
      <c r="C728" s="5"/>
      <c r="D728" s="5"/>
      <c r="E728" s="5"/>
      <c r="F728" s="5"/>
      <c r="G728" s="5"/>
      <c r="H728" s="306"/>
      <c r="I728" s="306"/>
      <c r="J728" s="5"/>
      <c r="K728" s="5"/>
      <c r="L728" s="5"/>
      <c r="M728" s="5"/>
      <c r="N728" s="5"/>
      <c r="O728" s="5"/>
      <c r="P728" s="57"/>
      <c r="Q728" s="5"/>
      <c r="R728" s="5"/>
      <c r="S728" s="5"/>
      <c r="T728" s="5"/>
      <c r="U728" s="5"/>
      <c r="V728" s="5"/>
      <c r="W728" s="5"/>
      <c r="X728" s="5"/>
      <c r="Y728" s="5"/>
      <c r="Z728" s="5"/>
      <c r="AA728" s="5"/>
    </row>
    <row r="729" spans="1:27" ht="12.75" customHeight="1">
      <c r="A729" s="5"/>
      <c r="B729" s="5"/>
      <c r="C729" s="5"/>
      <c r="D729" s="5"/>
      <c r="E729" s="5"/>
      <c r="F729" s="5"/>
      <c r="G729" s="5"/>
      <c r="H729" s="306"/>
      <c r="I729" s="306"/>
      <c r="J729" s="5"/>
      <c r="K729" s="5"/>
      <c r="L729" s="5"/>
      <c r="M729" s="5"/>
      <c r="N729" s="5"/>
      <c r="O729" s="5"/>
      <c r="P729" s="57"/>
      <c r="Q729" s="5"/>
      <c r="R729" s="5"/>
      <c r="S729" s="5"/>
      <c r="T729" s="5"/>
      <c r="U729" s="5"/>
      <c r="V729" s="5"/>
      <c r="W729" s="5"/>
      <c r="X729" s="5"/>
      <c r="Y729" s="5"/>
      <c r="Z729" s="5"/>
      <c r="AA729" s="5"/>
    </row>
    <row r="730" spans="1:27" ht="12.75" customHeight="1">
      <c r="A730" s="5"/>
      <c r="B730" s="5"/>
      <c r="C730" s="5"/>
      <c r="D730" s="5"/>
      <c r="E730" s="5"/>
      <c r="F730" s="5"/>
      <c r="G730" s="5"/>
      <c r="H730" s="306"/>
      <c r="I730" s="306"/>
      <c r="J730" s="5"/>
      <c r="K730" s="5"/>
      <c r="L730" s="5"/>
      <c r="M730" s="5"/>
      <c r="N730" s="5"/>
      <c r="O730" s="5"/>
      <c r="P730" s="57"/>
      <c r="Q730" s="5"/>
      <c r="R730" s="5"/>
      <c r="S730" s="5"/>
      <c r="T730" s="5"/>
      <c r="U730" s="5"/>
      <c r="V730" s="5"/>
      <c r="W730" s="5"/>
      <c r="X730" s="5"/>
      <c r="Y730" s="5"/>
      <c r="Z730" s="5"/>
      <c r="AA730" s="5"/>
    </row>
    <row r="731" spans="1:27" ht="12.75" customHeight="1">
      <c r="A731" s="5"/>
      <c r="B731" s="5"/>
      <c r="C731" s="5"/>
      <c r="D731" s="5"/>
      <c r="E731" s="5"/>
      <c r="F731" s="5"/>
      <c r="G731" s="5"/>
      <c r="H731" s="306"/>
      <c r="I731" s="306"/>
      <c r="J731" s="5"/>
      <c r="K731" s="5"/>
      <c r="L731" s="5"/>
      <c r="M731" s="5"/>
      <c r="N731" s="5"/>
      <c r="O731" s="5"/>
      <c r="P731" s="57"/>
      <c r="Q731" s="5"/>
      <c r="R731" s="5"/>
      <c r="S731" s="5"/>
      <c r="T731" s="5"/>
      <c r="U731" s="5"/>
      <c r="V731" s="5"/>
      <c r="W731" s="5"/>
      <c r="X731" s="5"/>
      <c r="Y731" s="5"/>
      <c r="Z731" s="5"/>
      <c r="AA731" s="5"/>
    </row>
    <row r="732" spans="1:27" ht="12.75" customHeight="1">
      <c r="A732" s="5"/>
      <c r="B732" s="5"/>
      <c r="C732" s="5"/>
      <c r="D732" s="5"/>
      <c r="E732" s="5"/>
      <c r="F732" s="5"/>
      <c r="G732" s="5"/>
      <c r="H732" s="306"/>
      <c r="I732" s="306"/>
      <c r="J732" s="5"/>
      <c r="K732" s="5"/>
      <c r="L732" s="5"/>
      <c r="M732" s="5"/>
      <c r="N732" s="5"/>
      <c r="O732" s="5"/>
      <c r="P732" s="57"/>
      <c r="Q732" s="5"/>
      <c r="R732" s="5"/>
      <c r="S732" s="5"/>
      <c r="T732" s="5"/>
      <c r="U732" s="5"/>
      <c r="V732" s="5"/>
      <c r="W732" s="5"/>
      <c r="X732" s="5"/>
      <c r="Y732" s="5"/>
      <c r="Z732" s="5"/>
      <c r="AA732" s="5"/>
    </row>
    <row r="733" spans="1:27" ht="12.75" customHeight="1">
      <c r="A733" s="5"/>
      <c r="B733" s="5"/>
      <c r="C733" s="5"/>
      <c r="D733" s="5"/>
      <c r="E733" s="5"/>
      <c r="F733" s="5"/>
      <c r="G733" s="5"/>
      <c r="H733" s="306"/>
      <c r="I733" s="306"/>
      <c r="J733" s="5"/>
      <c r="K733" s="5"/>
      <c r="L733" s="5"/>
      <c r="M733" s="5"/>
      <c r="N733" s="5"/>
      <c r="O733" s="5"/>
      <c r="P733" s="57"/>
      <c r="Q733" s="5"/>
      <c r="R733" s="5"/>
      <c r="S733" s="5"/>
      <c r="T733" s="5"/>
      <c r="U733" s="5"/>
      <c r="V733" s="5"/>
      <c r="W733" s="5"/>
      <c r="X733" s="5"/>
      <c r="Y733" s="5"/>
      <c r="Z733" s="5"/>
      <c r="AA733" s="5"/>
    </row>
    <row r="734" spans="1:27" ht="12.75" customHeight="1">
      <c r="A734" s="5"/>
      <c r="B734" s="5"/>
      <c r="C734" s="5"/>
      <c r="D734" s="5"/>
      <c r="E734" s="5"/>
      <c r="F734" s="5"/>
      <c r="G734" s="5"/>
      <c r="H734" s="306"/>
      <c r="I734" s="306"/>
      <c r="J734" s="5"/>
      <c r="K734" s="5"/>
      <c r="L734" s="5"/>
      <c r="M734" s="5"/>
      <c r="N734" s="5"/>
      <c r="O734" s="5"/>
      <c r="P734" s="57"/>
      <c r="Q734" s="5"/>
      <c r="R734" s="5"/>
      <c r="S734" s="5"/>
      <c r="T734" s="5"/>
      <c r="U734" s="5"/>
      <c r="V734" s="5"/>
      <c r="W734" s="5"/>
      <c r="X734" s="5"/>
      <c r="Y734" s="5"/>
      <c r="Z734" s="5"/>
      <c r="AA734" s="5"/>
    </row>
    <row r="735" spans="1:27" ht="12.75" customHeight="1">
      <c r="A735" s="5"/>
      <c r="B735" s="5"/>
      <c r="C735" s="5"/>
      <c r="D735" s="5"/>
      <c r="E735" s="5"/>
      <c r="F735" s="5"/>
      <c r="G735" s="5"/>
      <c r="H735" s="306"/>
      <c r="I735" s="306"/>
      <c r="J735" s="5"/>
      <c r="K735" s="5"/>
      <c r="L735" s="5"/>
      <c r="M735" s="5"/>
      <c r="N735" s="5"/>
      <c r="O735" s="5"/>
      <c r="P735" s="57"/>
      <c r="Q735" s="5"/>
      <c r="R735" s="5"/>
      <c r="S735" s="5"/>
      <c r="T735" s="5"/>
      <c r="U735" s="5"/>
      <c r="V735" s="5"/>
      <c r="W735" s="5"/>
      <c r="X735" s="5"/>
      <c r="Y735" s="5"/>
      <c r="Z735" s="5"/>
      <c r="AA735" s="5"/>
    </row>
    <row r="736" spans="1:27" ht="12.75" customHeight="1">
      <c r="A736" s="5"/>
      <c r="B736" s="5"/>
      <c r="C736" s="5"/>
      <c r="D736" s="5"/>
      <c r="E736" s="5"/>
      <c r="F736" s="5"/>
      <c r="G736" s="5"/>
      <c r="H736" s="306"/>
      <c r="I736" s="306"/>
      <c r="J736" s="5"/>
      <c r="K736" s="5"/>
      <c r="L736" s="5"/>
      <c r="M736" s="5"/>
      <c r="N736" s="5"/>
      <c r="O736" s="5"/>
      <c r="P736" s="57"/>
      <c r="Q736" s="5"/>
      <c r="R736" s="5"/>
      <c r="S736" s="5"/>
      <c r="T736" s="5"/>
      <c r="U736" s="5"/>
      <c r="V736" s="5"/>
      <c r="W736" s="5"/>
      <c r="X736" s="5"/>
      <c r="Y736" s="5"/>
      <c r="Z736" s="5"/>
      <c r="AA736" s="5"/>
    </row>
    <row r="737" spans="1:27" ht="12.75" customHeight="1">
      <c r="A737" s="5"/>
      <c r="B737" s="5"/>
      <c r="C737" s="5"/>
      <c r="D737" s="5"/>
      <c r="E737" s="5"/>
      <c r="F737" s="5"/>
      <c r="G737" s="5"/>
      <c r="H737" s="306"/>
      <c r="I737" s="306"/>
      <c r="J737" s="5"/>
      <c r="K737" s="5"/>
      <c r="L737" s="5"/>
      <c r="M737" s="5"/>
      <c r="N737" s="5"/>
      <c r="O737" s="5"/>
      <c r="P737" s="57"/>
      <c r="Q737" s="5"/>
      <c r="R737" s="5"/>
      <c r="S737" s="5"/>
      <c r="T737" s="5"/>
      <c r="U737" s="5"/>
      <c r="V737" s="5"/>
      <c r="W737" s="5"/>
      <c r="X737" s="5"/>
      <c r="Y737" s="5"/>
      <c r="Z737" s="5"/>
      <c r="AA737" s="5"/>
    </row>
    <row r="738" spans="1:27" ht="12.75" customHeight="1">
      <c r="A738" s="5"/>
      <c r="B738" s="5"/>
      <c r="C738" s="5"/>
      <c r="D738" s="5"/>
      <c r="E738" s="5"/>
      <c r="F738" s="5"/>
      <c r="G738" s="5"/>
      <c r="H738" s="306"/>
      <c r="I738" s="306"/>
      <c r="J738" s="5"/>
      <c r="K738" s="5"/>
      <c r="L738" s="5"/>
      <c r="M738" s="5"/>
      <c r="N738" s="5"/>
      <c r="O738" s="5"/>
      <c r="P738" s="57"/>
      <c r="Q738" s="5"/>
      <c r="R738" s="5"/>
      <c r="S738" s="5"/>
      <c r="T738" s="5"/>
      <c r="U738" s="5"/>
      <c r="V738" s="5"/>
      <c r="W738" s="5"/>
      <c r="X738" s="5"/>
      <c r="Y738" s="5"/>
      <c r="Z738" s="5"/>
      <c r="AA738" s="5"/>
    </row>
    <row r="739" spans="1:27" ht="12.75" customHeight="1">
      <c r="A739" s="5"/>
      <c r="B739" s="5"/>
      <c r="C739" s="5"/>
      <c r="D739" s="5"/>
      <c r="E739" s="5"/>
      <c r="F739" s="5"/>
      <c r="G739" s="5"/>
      <c r="H739" s="306"/>
      <c r="I739" s="306"/>
      <c r="J739" s="5"/>
      <c r="K739" s="5"/>
      <c r="L739" s="5"/>
      <c r="M739" s="5"/>
      <c r="N739" s="5"/>
      <c r="O739" s="5"/>
      <c r="P739" s="57"/>
      <c r="Q739" s="5"/>
      <c r="R739" s="5"/>
      <c r="S739" s="5"/>
      <c r="T739" s="5"/>
      <c r="U739" s="5"/>
      <c r="V739" s="5"/>
      <c r="W739" s="5"/>
      <c r="X739" s="5"/>
      <c r="Y739" s="5"/>
      <c r="Z739" s="5"/>
      <c r="AA739" s="5"/>
    </row>
    <row r="740" spans="1:27" ht="12.75" customHeight="1">
      <c r="A740" s="5"/>
      <c r="B740" s="5"/>
      <c r="C740" s="5"/>
      <c r="D740" s="5"/>
      <c r="E740" s="5"/>
      <c r="F740" s="5"/>
      <c r="G740" s="5"/>
      <c r="H740" s="306"/>
      <c r="I740" s="306"/>
      <c r="J740" s="5"/>
      <c r="K740" s="5"/>
      <c r="L740" s="5"/>
      <c r="M740" s="5"/>
      <c r="N740" s="5"/>
      <c r="O740" s="5"/>
      <c r="P740" s="57"/>
      <c r="Q740" s="5"/>
      <c r="R740" s="5"/>
      <c r="S740" s="5"/>
      <c r="T740" s="5"/>
      <c r="U740" s="5"/>
      <c r="V740" s="5"/>
      <c r="W740" s="5"/>
      <c r="X740" s="5"/>
      <c r="Y740" s="5"/>
      <c r="Z740" s="5"/>
      <c r="AA740" s="5"/>
    </row>
    <row r="741" spans="1:27" ht="12.75" customHeight="1">
      <c r="A741" s="5"/>
      <c r="B741" s="5"/>
      <c r="C741" s="5"/>
      <c r="D741" s="5"/>
      <c r="E741" s="5"/>
      <c r="F741" s="5"/>
      <c r="G741" s="5"/>
      <c r="H741" s="306"/>
      <c r="I741" s="306"/>
      <c r="J741" s="5"/>
      <c r="K741" s="5"/>
      <c r="L741" s="5"/>
      <c r="M741" s="5"/>
      <c r="N741" s="5"/>
      <c r="O741" s="5"/>
      <c r="P741" s="57"/>
      <c r="Q741" s="5"/>
      <c r="R741" s="5"/>
      <c r="S741" s="5"/>
      <c r="T741" s="5"/>
      <c r="U741" s="5"/>
      <c r="V741" s="5"/>
      <c r="W741" s="5"/>
      <c r="X741" s="5"/>
      <c r="Y741" s="5"/>
      <c r="Z741" s="5"/>
      <c r="AA741" s="5"/>
    </row>
    <row r="742" spans="1:27" ht="12.75" customHeight="1">
      <c r="A742" s="5"/>
      <c r="B742" s="5"/>
      <c r="C742" s="5"/>
      <c r="D742" s="5"/>
      <c r="E742" s="5"/>
      <c r="F742" s="5"/>
      <c r="G742" s="5"/>
      <c r="H742" s="306"/>
      <c r="I742" s="306"/>
      <c r="J742" s="5"/>
      <c r="K742" s="5"/>
      <c r="L742" s="5"/>
      <c r="M742" s="5"/>
      <c r="N742" s="5"/>
      <c r="O742" s="5"/>
      <c r="P742" s="57"/>
      <c r="Q742" s="5"/>
      <c r="R742" s="5"/>
      <c r="S742" s="5"/>
      <c r="T742" s="5"/>
      <c r="U742" s="5"/>
      <c r="V742" s="5"/>
      <c r="W742" s="5"/>
      <c r="X742" s="5"/>
      <c r="Y742" s="5"/>
      <c r="Z742" s="5"/>
      <c r="AA742" s="5"/>
    </row>
    <row r="743" spans="1:27" ht="12.75" customHeight="1">
      <c r="A743" s="5"/>
      <c r="B743" s="5"/>
      <c r="C743" s="5"/>
      <c r="D743" s="5"/>
      <c r="E743" s="5"/>
      <c r="F743" s="5"/>
      <c r="G743" s="5"/>
      <c r="H743" s="306"/>
      <c r="I743" s="306"/>
      <c r="J743" s="5"/>
      <c r="K743" s="5"/>
      <c r="L743" s="5"/>
      <c r="M743" s="5"/>
      <c r="N743" s="5"/>
      <c r="O743" s="5"/>
      <c r="P743" s="57"/>
      <c r="Q743" s="5"/>
      <c r="R743" s="5"/>
      <c r="S743" s="5"/>
      <c r="T743" s="5"/>
      <c r="U743" s="5"/>
      <c r="V743" s="5"/>
      <c r="W743" s="5"/>
      <c r="X743" s="5"/>
      <c r="Y743" s="5"/>
      <c r="Z743" s="5"/>
      <c r="AA743" s="5"/>
    </row>
    <row r="744" spans="1:27" ht="12.75" customHeight="1">
      <c r="A744" s="5"/>
      <c r="B744" s="5"/>
      <c r="C744" s="5"/>
      <c r="D744" s="5"/>
      <c r="E744" s="5"/>
      <c r="F744" s="5"/>
      <c r="G744" s="5"/>
      <c r="H744" s="306"/>
      <c r="I744" s="306"/>
      <c r="J744" s="5"/>
      <c r="K744" s="5"/>
      <c r="L744" s="5"/>
      <c r="M744" s="5"/>
      <c r="N744" s="5"/>
      <c r="O744" s="5"/>
      <c r="P744" s="57"/>
      <c r="Q744" s="5"/>
      <c r="R744" s="5"/>
      <c r="S744" s="5"/>
      <c r="T744" s="5"/>
      <c r="U744" s="5"/>
      <c r="V744" s="5"/>
      <c r="W744" s="5"/>
      <c r="X744" s="5"/>
      <c r="Y744" s="5"/>
      <c r="Z744" s="5"/>
      <c r="AA744" s="5"/>
    </row>
    <row r="745" spans="1:27" ht="12.75" customHeight="1">
      <c r="A745" s="5"/>
      <c r="B745" s="5"/>
      <c r="C745" s="5"/>
      <c r="D745" s="5"/>
      <c r="E745" s="5"/>
      <c r="F745" s="5"/>
      <c r="G745" s="5"/>
      <c r="H745" s="306"/>
      <c r="I745" s="306"/>
      <c r="J745" s="5"/>
      <c r="K745" s="5"/>
      <c r="L745" s="5"/>
      <c r="M745" s="5"/>
      <c r="N745" s="5"/>
      <c r="O745" s="5"/>
      <c r="P745" s="57"/>
      <c r="Q745" s="5"/>
      <c r="R745" s="5"/>
      <c r="S745" s="5"/>
      <c r="T745" s="5"/>
      <c r="U745" s="5"/>
      <c r="V745" s="5"/>
      <c r="W745" s="5"/>
      <c r="X745" s="5"/>
      <c r="Y745" s="5"/>
      <c r="Z745" s="5"/>
      <c r="AA745" s="5"/>
    </row>
    <row r="746" spans="1:27" ht="12.75" customHeight="1">
      <c r="A746" s="5"/>
      <c r="B746" s="5"/>
      <c r="C746" s="5"/>
      <c r="D746" s="5"/>
      <c r="E746" s="5"/>
      <c r="F746" s="5"/>
      <c r="G746" s="5"/>
      <c r="H746" s="306"/>
      <c r="I746" s="306"/>
      <c r="J746" s="5"/>
      <c r="K746" s="5"/>
      <c r="L746" s="5"/>
      <c r="M746" s="5"/>
      <c r="N746" s="5"/>
      <c r="O746" s="5"/>
      <c r="P746" s="57"/>
      <c r="Q746" s="5"/>
      <c r="R746" s="5"/>
      <c r="S746" s="5"/>
      <c r="T746" s="5"/>
      <c r="U746" s="5"/>
      <c r="V746" s="5"/>
      <c r="W746" s="5"/>
      <c r="X746" s="5"/>
      <c r="Y746" s="5"/>
      <c r="Z746" s="5"/>
      <c r="AA746" s="5"/>
    </row>
    <row r="747" spans="1:27" ht="12.75" customHeight="1">
      <c r="A747" s="5"/>
      <c r="B747" s="5"/>
      <c r="C747" s="5"/>
      <c r="D747" s="5"/>
      <c r="E747" s="5"/>
      <c r="F747" s="5"/>
      <c r="G747" s="5"/>
      <c r="H747" s="306"/>
      <c r="I747" s="306"/>
      <c r="J747" s="5"/>
      <c r="K747" s="5"/>
      <c r="L747" s="5"/>
      <c r="M747" s="5"/>
      <c r="N747" s="5"/>
      <c r="O747" s="5"/>
      <c r="P747" s="57"/>
      <c r="Q747" s="5"/>
      <c r="R747" s="5"/>
      <c r="S747" s="5"/>
      <c r="T747" s="5"/>
      <c r="U747" s="5"/>
      <c r="V747" s="5"/>
      <c r="W747" s="5"/>
      <c r="X747" s="5"/>
      <c r="Y747" s="5"/>
      <c r="Z747" s="5"/>
      <c r="AA747" s="5"/>
    </row>
    <row r="748" spans="1:27" ht="12.75" customHeight="1">
      <c r="A748" s="5"/>
      <c r="B748" s="5"/>
      <c r="C748" s="5"/>
      <c r="D748" s="5"/>
      <c r="E748" s="5"/>
      <c r="F748" s="5"/>
      <c r="G748" s="5"/>
      <c r="H748" s="306"/>
      <c r="I748" s="306"/>
      <c r="J748" s="5"/>
      <c r="K748" s="5"/>
      <c r="L748" s="5"/>
      <c r="M748" s="5"/>
      <c r="N748" s="5"/>
      <c r="O748" s="5"/>
      <c r="P748" s="57"/>
      <c r="Q748" s="5"/>
      <c r="R748" s="5"/>
      <c r="S748" s="5"/>
      <c r="T748" s="5"/>
      <c r="U748" s="5"/>
      <c r="V748" s="5"/>
      <c r="W748" s="5"/>
      <c r="X748" s="5"/>
      <c r="Y748" s="5"/>
      <c r="Z748" s="5"/>
      <c r="AA748" s="5"/>
    </row>
    <row r="749" spans="1:27" ht="12.75" customHeight="1">
      <c r="A749" s="5"/>
      <c r="B749" s="5"/>
      <c r="C749" s="5"/>
      <c r="D749" s="5"/>
      <c r="E749" s="5"/>
      <c r="F749" s="5"/>
      <c r="G749" s="5"/>
      <c r="H749" s="306"/>
      <c r="I749" s="306"/>
      <c r="J749" s="5"/>
      <c r="K749" s="5"/>
      <c r="L749" s="5"/>
      <c r="M749" s="5"/>
      <c r="N749" s="5"/>
      <c r="O749" s="5"/>
      <c r="P749" s="57"/>
      <c r="Q749" s="5"/>
      <c r="R749" s="5"/>
      <c r="S749" s="5"/>
      <c r="T749" s="5"/>
      <c r="U749" s="5"/>
      <c r="V749" s="5"/>
      <c r="W749" s="5"/>
      <c r="X749" s="5"/>
      <c r="Y749" s="5"/>
      <c r="Z749" s="5"/>
      <c r="AA749" s="5"/>
    </row>
    <row r="750" spans="1:27" ht="12.75" customHeight="1">
      <c r="A750" s="5"/>
      <c r="B750" s="5"/>
      <c r="C750" s="5"/>
      <c r="D750" s="5"/>
      <c r="E750" s="5"/>
      <c r="F750" s="5"/>
      <c r="G750" s="5"/>
      <c r="H750" s="306"/>
      <c r="I750" s="306"/>
      <c r="J750" s="5"/>
      <c r="K750" s="5"/>
      <c r="L750" s="5"/>
      <c r="M750" s="5"/>
      <c r="N750" s="5"/>
      <c r="O750" s="5"/>
      <c r="P750" s="57"/>
      <c r="Q750" s="5"/>
      <c r="R750" s="5"/>
      <c r="S750" s="5"/>
      <c r="T750" s="5"/>
      <c r="U750" s="5"/>
      <c r="V750" s="5"/>
      <c r="W750" s="5"/>
      <c r="X750" s="5"/>
      <c r="Y750" s="5"/>
      <c r="Z750" s="5"/>
      <c r="AA750" s="5"/>
    </row>
    <row r="751" spans="1:27" ht="12.75" customHeight="1">
      <c r="A751" s="5"/>
      <c r="B751" s="5"/>
      <c r="C751" s="5"/>
      <c r="D751" s="5"/>
      <c r="E751" s="5"/>
      <c r="F751" s="5"/>
      <c r="G751" s="5"/>
      <c r="H751" s="306"/>
      <c r="I751" s="306"/>
      <c r="J751" s="5"/>
      <c r="K751" s="5"/>
      <c r="L751" s="5"/>
      <c r="M751" s="5"/>
      <c r="N751" s="5"/>
      <c r="O751" s="5"/>
      <c r="P751" s="57"/>
      <c r="Q751" s="5"/>
      <c r="R751" s="5"/>
      <c r="S751" s="5"/>
      <c r="T751" s="5"/>
      <c r="U751" s="5"/>
      <c r="V751" s="5"/>
      <c r="W751" s="5"/>
      <c r="X751" s="5"/>
      <c r="Y751" s="5"/>
      <c r="Z751" s="5"/>
      <c r="AA751" s="5"/>
    </row>
    <row r="752" spans="1:27" ht="12.75" customHeight="1">
      <c r="A752" s="5"/>
      <c r="B752" s="5"/>
      <c r="C752" s="5"/>
      <c r="D752" s="5"/>
      <c r="E752" s="5"/>
      <c r="F752" s="5"/>
      <c r="G752" s="5"/>
      <c r="H752" s="306"/>
      <c r="I752" s="306"/>
      <c r="J752" s="5"/>
      <c r="K752" s="5"/>
      <c r="L752" s="5"/>
      <c r="M752" s="5"/>
      <c r="N752" s="5"/>
      <c r="O752" s="5"/>
      <c r="P752" s="57"/>
      <c r="Q752" s="5"/>
      <c r="R752" s="5"/>
      <c r="S752" s="5"/>
      <c r="T752" s="5"/>
      <c r="U752" s="5"/>
      <c r="V752" s="5"/>
      <c r="W752" s="5"/>
      <c r="X752" s="5"/>
      <c r="Y752" s="5"/>
      <c r="Z752" s="5"/>
      <c r="AA752" s="5"/>
    </row>
    <row r="753" spans="1:27" ht="12.75" customHeight="1">
      <c r="A753" s="5"/>
      <c r="B753" s="5"/>
      <c r="C753" s="5"/>
      <c r="D753" s="5"/>
      <c r="E753" s="5"/>
      <c r="F753" s="5"/>
      <c r="G753" s="5"/>
      <c r="H753" s="306"/>
      <c r="I753" s="306"/>
      <c r="J753" s="5"/>
      <c r="K753" s="5"/>
      <c r="L753" s="5"/>
      <c r="M753" s="5"/>
      <c r="N753" s="5"/>
      <c r="O753" s="5"/>
      <c r="P753" s="57"/>
      <c r="Q753" s="5"/>
      <c r="R753" s="5"/>
      <c r="S753" s="5"/>
      <c r="T753" s="5"/>
      <c r="U753" s="5"/>
      <c r="V753" s="5"/>
      <c r="W753" s="5"/>
      <c r="X753" s="5"/>
      <c r="Y753" s="5"/>
      <c r="Z753" s="5"/>
      <c r="AA753" s="5"/>
    </row>
    <row r="754" spans="1:27" ht="12.75" customHeight="1">
      <c r="A754" s="5"/>
      <c r="B754" s="5"/>
      <c r="C754" s="5"/>
      <c r="D754" s="5"/>
      <c r="E754" s="5"/>
      <c r="F754" s="5"/>
      <c r="G754" s="5"/>
      <c r="H754" s="306"/>
      <c r="I754" s="306"/>
      <c r="J754" s="5"/>
      <c r="K754" s="5"/>
      <c r="L754" s="5"/>
      <c r="M754" s="5"/>
      <c r="N754" s="5"/>
      <c r="O754" s="5"/>
      <c r="P754" s="57"/>
      <c r="Q754" s="5"/>
      <c r="R754" s="5"/>
      <c r="S754" s="5"/>
      <c r="T754" s="5"/>
      <c r="U754" s="5"/>
      <c r="V754" s="5"/>
      <c r="W754" s="5"/>
      <c r="X754" s="5"/>
      <c r="Y754" s="5"/>
      <c r="Z754" s="5"/>
      <c r="AA754" s="5"/>
    </row>
    <row r="755" spans="1:27" ht="12.75" customHeight="1">
      <c r="A755" s="5"/>
      <c r="B755" s="5"/>
      <c r="C755" s="5"/>
      <c r="D755" s="5"/>
      <c r="E755" s="5"/>
      <c r="F755" s="5"/>
      <c r="G755" s="5"/>
      <c r="H755" s="306"/>
      <c r="I755" s="306"/>
      <c r="J755" s="5"/>
      <c r="K755" s="5"/>
      <c r="L755" s="5"/>
      <c r="M755" s="5"/>
      <c r="N755" s="5"/>
      <c r="O755" s="5"/>
      <c r="P755" s="57"/>
      <c r="Q755" s="5"/>
      <c r="R755" s="5"/>
      <c r="S755" s="5"/>
      <c r="T755" s="5"/>
      <c r="U755" s="5"/>
      <c r="V755" s="5"/>
      <c r="W755" s="5"/>
      <c r="X755" s="5"/>
      <c r="Y755" s="5"/>
      <c r="Z755" s="5"/>
      <c r="AA755" s="5"/>
    </row>
    <row r="756" spans="1:27" ht="12.75" customHeight="1">
      <c r="A756" s="5"/>
      <c r="B756" s="5"/>
      <c r="C756" s="5"/>
      <c r="D756" s="5"/>
      <c r="E756" s="5"/>
      <c r="F756" s="5"/>
      <c r="G756" s="5"/>
      <c r="H756" s="306"/>
      <c r="I756" s="306"/>
      <c r="J756" s="5"/>
      <c r="K756" s="5"/>
      <c r="L756" s="5"/>
      <c r="M756" s="5"/>
      <c r="N756" s="5"/>
      <c r="O756" s="5"/>
      <c r="P756" s="57"/>
      <c r="Q756" s="5"/>
      <c r="R756" s="5"/>
      <c r="S756" s="5"/>
      <c r="T756" s="5"/>
      <c r="U756" s="5"/>
      <c r="V756" s="5"/>
      <c r="W756" s="5"/>
      <c r="X756" s="5"/>
      <c r="Y756" s="5"/>
      <c r="Z756" s="5"/>
      <c r="AA756" s="5"/>
    </row>
    <row r="757" spans="1:27" ht="12.75" customHeight="1">
      <c r="A757" s="5"/>
      <c r="B757" s="5"/>
      <c r="C757" s="5"/>
      <c r="D757" s="5"/>
      <c r="E757" s="5"/>
      <c r="F757" s="5"/>
      <c r="G757" s="5"/>
      <c r="H757" s="306"/>
      <c r="I757" s="306"/>
      <c r="J757" s="5"/>
      <c r="K757" s="5"/>
      <c r="L757" s="5"/>
      <c r="M757" s="5"/>
      <c r="N757" s="5"/>
      <c r="O757" s="5"/>
      <c r="P757" s="57"/>
      <c r="Q757" s="5"/>
      <c r="R757" s="5"/>
      <c r="S757" s="5"/>
      <c r="T757" s="5"/>
      <c r="U757" s="5"/>
      <c r="V757" s="5"/>
      <c r="W757" s="5"/>
      <c r="X757" s="5"/>
      <c r="Y757" s="5"/>
      <c r="Z757" s="5"/>
      <c r="AA757" s="5"/>
    </row>
    <row r="758" spans="1:27" ht="12.75" customHeight="1">
      <c r="A758" s="5"/>
      <c r="B758" s="5"/>
      <c r="C758" s="5"/>
      <c r="D758" s="5"/>
      <c r="E758" s="5"/>
      <c r="F758" s="5"/>
      <c r="G758" s="5"/>
      <c r="H758" s="306"/>
      <c r="I758" s="306"/>
      <c r="J758" s="5"/>
      <c r="K758" s="5"/>
      <c r="L758" s="5"/>
      <c r="M758" s="5"/>
      <c r="N758" s="5"/>
      <c r="O758" s="5"/>
      <c r="P758" s="57"/>
      <c r="Q758" s="5"/>
      <c r="R758" s="5"/>
      <c r="S758" s="5"/>
      <c r="T758" s="5"/>
      <c r="U758" s="5"/>
      <c r="V758" s="5"/>
      <c r="W758" s="5"/>
      <c r="X758" s="5"/>
      <c r="Y758" s="5"/>
      <c r="Z758" s="5"/>
      <c r="AA758" s="5"/>
    </row>
    <row r="759" spans="1:27" ht="12.75" customHeight="1">
      <c r="A759" s="5"/>
      <c r="B759" s="5"/>
      <c r="C759" s="5"/>
      <c r="D759" s="5"/>
      <c r="E759" s="5"/>
      <c r="F759" s="5"/>
      <c r="G759" s="5"/>
      <c r="H759" s="306"/>
      <c r="I759" s="306"/>
      <c r="J759" s="5"/>
      <c r="K759" s="5"/>
      <c r="L759" s="5"/>
      <c r="M759" s="5"/>
      <c r="N759" s="5"/>
      <c r="O759" s="5"/>
      <c r="P759" s="57"/>
      <c r="Q759" s="5"/>
      <c r="R759" s="5"/>
      <c r="S759" s="5"/>
      <c r="T759" s="5"/>
      <c r="U759" s="5"/>
      <c r="V759" s="5"/>
      <c r="W759" s="5"/>
      <c r="X759" s="5"/>
      <c r="Y759" s="5"/>
      <c r="Z759" s="5"/>
      <c r="AA759" s="5"/>
    </row>
    <row r="760" spans="1:27" ht="12.75" customHeight="1">
      <c r="A760" s="5"/>
      <c r="B760" s="5"/>
      <c r="C760" s="5"/>
      <c r="D760" s="5"/>
      <c r="E760" s="5"/>
      <c r="F760" s="5"/>
      <c r="G760" s="5"/>
      <c r="H760" s="306"/>
      <c r="I760" s="306"/>
      <c r="J760" s="5"/>
      <c r="K760" s="5"/>
      <c r="L760" s="5"/>
      <c r="M760" s="5"/>
      <c r="N760" s="5"/>
      <c r="O760" s="5"/>
      <c r="P760" s="57"/>
      <c r="Q760" s="5"/>
      <c r="R760" s="5"/>
      <c r="S760" s="5"/>
      <c r="T760" s="5"/>
      <c r="U760" s="5"/>
      <c r="V760" s="5"/>
      <c r="W760" s="5"/>
      <c r="X760" s="5"/>
      <c r="Y760" s="5"/>
      <c r="Z760" s="5"/>
      <c r="AA760" s="5"/>
    </row>
    <row r="761" spans="1:27" ht="12.75" customHeight="1">
      <c r="A761" s="5"/>
      <c r="B761" s="5"/>
      <c r="C761" s="5"/>
      <c r="D761" s="5"/>
      <c r="E761" s="5"/>
      <c r="F761" s="5"/>
      <c r="G761" s="5"/>
      <c r="H761" s="306"/>
      <c r="I761" s="306"/>
      <c r="J761" s="5"/>
      <c r="K761" s="5"/>
      <c r="L761" s="5"/>
      <c r="M761" s="5"/>
      <c r="N761" s="5"/>
      <c r="O761" s="5"/>
      <c r="P761" s="57"/>
      <c r="Q761" s="5"/>
      <c r="R761" s="5"/>
      <c r="S761" s="5"/>
      <c r="T761" s="5"/>
      <c r="U761" s="5"/>
      <c r="V761" s="5"/>
      <c r="W761" s="5"/>
      <c r="X761" s="5"/>
      <c r="Y761" s="5"/>
      <c r="Z761" s="5"/>
      <c r="AA761" s="5"/>
    </row>
    <row r="762" spans="1:27" ht="12.75" customHeight="1">
      <c r="A762" s="5"/>
      <c r="B762" s="5"/>
      <c r="C762" s="5"/>
      <c r="D762" s="5"/>
      <c r="E762" s="5"/>
      <c r="F762" s="5"/>
      <c r="G762" s="5"/>
      <c r="H762" s="306"/>
      <c r="I762" s="306"/>
      <c r="J762" s="5"/>
      <c r="K762" s="5"/>
      <c r="L762" s="5"/>
      <c r="M762" s="5"/>
      <c r="N762" s="5"/>
      <c r="O762" s="5"/>
      <c r="P762" s="57"/>
      <c r="Q762" s="5"/>
      <c r="R762" s="5"/>
      <c r="S762" s="5"/>
      <c r="T762" s="5"/>
      <c r="U762" s="5"/>
      <c r="V762" s="5"/>
      <c r="W762" s="5"/>
      <c r="X762" s="5"/>
      <c r="Y762" s="5"/>
      <c r="Z762" s="5"/>
      <c r="AA762" s="5"/>
    </row>
    <row r="763" spans="1:27" ht="12.75" customHeight="1">
      <c r="A763" s="5"/>
      <c r="B763" s="5"/>
      <c r="C763" s="5"/>
      <c r="D763" s="5"/>
      <c r="E763" s="5"/>
      <c r="F763" s="5"/>
      <c r="G763" s="5"/>
      <c r="H763" s="306"/>
      <c r="I763" s="306"/>
      <c r="J763" s="5"/>
      <c r="K763" s="5"/>
      <c r="L763" s="5"/>
      <c r="M763" s="5"/>
      <c r="N763" s="5"/>
      <c r="O763" s="5"/>
      <c r="P763" s="57"/>
      <c r="Q763" s="5"/>
      <c r="R763" s="5"/>
      <c r="S763" s="5"/>
      <c r="T763" s="5"/>
      <c r="U763" s="5"/>
      <c r="V763" s="5"/>
      <c r="W763" s="5"/>
      <c r="X763" s="5"/>
      <c r="Y763" s="5"/>
      <c r="Z763" s="5"/>
      <c r="AA763" s="5"/>
    </row>
    <row r="764" spans="1:27" ht="12.75" customHeight="1">
      <c r="A764" s="5"/>
      <c r="B764" s="5"/>
      <c r="C764" s="5"/>
      <c r="D764" s="5"/>
      <c r="E764" s="5"/>
      <c r="F764" s="5"/>
      <c r="G764" s="5"/>
      <c r="H764" s="306"/>
      <c r="I764" s="306"/>
      <c r="J764" s="5"/>
      <c r="K764" s="5"/>
      <c r="L764" s="5"/>
      <c r="M764" s="5"/>
      <c r="N764" s="5"/>
      <c r="O764" s="5"/>
      <c r="P764" s="57"/>
      <c r="Q764" s="5"/>
      <c r="R764" s="5"/>
      <c r="S764" s="5"/>
      <c r="T764" s="5"/>
      <c r="U764" s="5"/>
      <c r="V764" s="5"/>
      <c r="W764" s="5"/>
      <c r="X764" s="5"/>
      <c r="Y764" s="5"/>
      <c r="Z764" s="5"/>
      <c r="AA764" s="5"/>
    </row>
    <row r="765" spans="1:27" ht="12.75" customHeight="1">
      <c r="A765" s="5"/>
      <c r="B765" s="5"/>
      <c r="C765" s="5"/>
      <c r="D765" s="5"/>
      <c r="E765" s="5"/>
      <c r="F765" s="5"/>
      <c r="G765" s="5"/>
      <c r="H765" s="306"/>
      <c r="I765" s="306"/>
      <c r="J765" s="5"/>
      <c r="K765" s="5"/>
      <c r="L765" s="5"/>
      <c r="M765" s="5"/>
      <c r="N765" s="5"/>
      <c r="O765" s="5"/>
      <c r="P765" s="57"/>
      <c r="Q765" s="5"/>
      <c r="R765" s="5"/>
      <c r="S765" s="5"/>
      <c r="T765" s="5"/>
      <c r="U765" s="5"/>
      <c r="V765" s="5"/>
      <c r="W765" s="5"/>
      <c r="X765" s="5"/>
      <c r="Y765" s="5"/>
      <c r="Z765" s="5"/>
      <c r="AA765" s="5"/>
    </row>
    <row r="766" spans="1:27" ht="12.75" customHeight="1">
      <c r="A766" s="5"/>
      <c r="B766" s="5"/>
      <c r="C766" s="5"/>
      <c r="D766" s="5"/>
      <c r="E766" s="5"/>
      <c r="F766" s="5"/>
      <c r="G766" s="5"/>
      <c r="H766" s="306"/>
      <c r="I766" s="306"/>
      <c r="J766" s="5"/>
      <c r="K766" s="5"/>
      <c r="L766" s="5"/>
      <c r="M766" s="5"/>
      <c r="N766" s="5"/>
      <c r="O766" s="5"/>
      <c r="P766" s="57"/>
      <c r="Q766" s="5"/>
      <c r="R766" s="5"/>
      <c r="S766" s="5"/>
      <c r="T766" s="5"/>
      <c r="U766" s="5"/>
      <c r="V766" s="5"/>
      <c r="W766" s="5"/>
      <c r="X766" s="5"/>
      <c r="Y766" s="5"/>
      <c r="Z766" s="5"/>
      <c r="AA766" s="5"/>
    </row>
    <row r="767" spans="1:27" ht="12.75" customHeight="1">
      <c r="A767" s="5"/>
      <c r="B767" s="5"/>
      <c r="C767" s="5"/>
      <c r="D767" s="5"/>
      <c r="E767" s="5"/>
      <c r="F767" s="5"/>
      <c r="G767" s="5"/>
      <c r="H767" s="306"/>
      <c r="I767" s="306"/>
      <c r="J767" s="5"/>
      <c r="K767" s="5"/>
      <c r="L767" s="5"/>
      <c r="M767" s="5"/>
      <c r="N767" s="5"/>
      <c r="O767" s="5"/>
      <c r="P767" s="57"/>
      <c r="Q767" s="5"/>
      <c r="R767" s="5"/>
      <c r="S767" s="5"/>
      <c r="T767" s="5"/>
      <c r="U767" s="5"/>
      <c r="V767" s="5"/>
      <c r="W767" s="5"/>
      <c r="X767" s="5"/>
      <c r="Y767" s="5"/>
      <c r="Z767" s="5"/>
      <c r="AA767" s="5"/>
    </row>
    <row r="768" spans="1:27" ht="12.75" customHeight="1">
      <c r="A768" s="5"/>
      <c r="B768" s="5"/>
      <c r="C768" s="5"/>
      <c r="D768" s="5"/>
      <c r="E768" s="5"/>
      <c r="F768" s="5"/>
      <c r="G768" s="5"/>
      <c r="H768" s="306"/>
      <c r="I768" s="306"/>
      <c r="J768" s="5"/>
      <c r="K768" s="5"/>
      <c r="L768" s="5"/>
      <c r="M768" s="5"/>
      <c r="N768" s="5"/>
      <c r="O768" s="5"/>
      <c r="P768" s="57"/>
      <c r="Q768" s="5"/>
      <c r="R768" s="5"/>
      <c r="S768" s="5"/>
      <c r="T768" s="5"/>
      <c r="U768" s="5"/>
      <c r="V768" s="5"/>
      <c r="W768" s="5"/>
      <c r="X768" s="5"/>
      <c r="Y768" s="5"/>
      <c r="Z768" s="5"/>
      <c r="AA768" s="5"/>
    </row>
    <row r="769" spans="1:27" ht="12.75" customHeight="1">
      <c r="A769" s="5"/>
      <c r="B769" s="5"/>
      <c r="C769" s="5"/>
      <c r="D769" s="5"/>
      <c r="E769" s="5"/>
      <c r="F769" s="5"/>
      <c r="G769" s="5"/>
      <c r="H769" s="306"/>
      <c r="I769" s="306"/>
      <c r="J769" s="5"/>
      <c r="K769" s="5"/>
      <c r="L769" s="5"/>
      <c r="M769" s="5"/>
      <c r="N769" s="5"/>
      <c r="O769" s="5"/>
      <c r="P769" s="57"/>
      <c r="Q769" s="5"/>
      <c r="R769" s="5"/>
      <c r="S769" s="5"/>
      <c r="T769" s="5"/>
      <c r="U769" s="5"/>
      <c r="V769" s="5"/>
      <c r="W769" s="5"/>
      <c r="X769" s="5"/>
      <c r="Y769" s="5"/>
      <c r="Z769" s="5"/>
      <c r="AA769" s="5"/>
    </row>
    <row r="770" spans="1:27" ht="12.75" customHeight="1">
      <c r="A770" s="5"/>
      <c r="B770" s="5"/>
      <c r="C770" s="5"/>
      <c r="D770" s="5"/>
      <c r="E770" s="5"/>
      <c r="F770" s="5"/>
      <c r="G770" s="5"/>
      <c r="H770" s="306"/>
      <c r="I770" s="306"/>
      <c r="J770" s="5"/>
      <c r="K770" s="5"/>
      <c r="L770" s="5"/>
      <c r="M770" s="5"/>
      <c r="N770" s="5"/>
      <c r="O770" s="5"/>
      <c r="P770" s="57"/>
      <c r="Q770" s="5"/>
      <c r="R770" s="5"/>
      <c r="S770" s="5"/>
      <c r="T770" s="5"/>
      <c r="U770" s="5"/>
      <c r="V770" s="5"/>
      <c r="W770" s="5"/>
      <c r="X770" s="5"/>
      <c r="Y770" s="5"/>
      <c r="Z770" s="5"/>
      <c r="AA770" s="5"/>
    </row>
    <row r="771" spans="1:27" ht="12.75" customHeight="1">
      <c r="A771" s="5"/>
      <c r="B771" s="5"/>
      <c r="C771" s="5"/>
      <c r="D771" s="5"/>
      <c r="E771" s="5"/>
      <c r="F771" s="5"/>
      <c r="G771" s="5"/>
      <c r="H771" s="306"/>
      <c r="I771" s="306"/>
      <c r="J771" s="5"/>
      <c r="K771" s="5"/>
      <c r="L771" s="5"/>
      <c r="M771" s="5"/>
      <c r="N771" s="5"/>
      <c r="O771" s="5"/>
      <c r="P771" s="57"/>
      <c r="Q771" s="5"/>
      <c r="R771" s="5"/>
      <c r="S771" s="5"/>
      <c r="T771" s="5"/>
      <c r="U771" s="5"/>
      <c r="V771" s="5"/>
      <c r="W771" s="5"/>
      <c r="X771" s="5"/>
      <c r="Y771" s="5"/>
      <c r="Z771" s="5"/>
      <c r="AA771" s="5"/>
    </row>
    <row r="772" spans="1:27" ht="12.75" customHeight="1">
      <c r="A772" s="5"/>
      <c r="B772" s="5"/>
      <c r="C772" s="5"/>
      <c r="D772" s="5"/>
      <c r="E772" s="5"/>
      <c r="F772" s="5"/>
      <c r="G772" s="5"/>
      <c r="H772" s="306"/>
      <c r="I772" s="306"/>
      <c r="J772" s="5"/>
      <c r="K772" s="5"/>
      <c r="L772" s="5"/>
      <c r="M772" s="5"/>
      <c r="N772" s="5"/>
      <c r="O772" s="5"/>
      <c r="P772" s="57"/>
      <c r="Q772" s="5"/>
      <c r="R772" s="5"/>
      <c r="S772" s="5"/>
      <c r="T772" s="5"/>
      <c r="U772" s="5"/>
      <c r="V772" s="5"/>
      <c r="W772" s="5"/>
      <c r="X772" s="5"/>
      <c r="Y772" s="5"/>
      <c r="Z772" s="5"/>
      <c r="AA772" s="5"/>
    </row>
    <row r="773" spans="1:27" ht="12.75" customHeight="1">
      <c r="A773" s="5"/>
      <c r="B773" s="5"/>
      <c r="C773" s="5"/>
      <c r="D773" s="5"/>
      <c r="E773" s="5"/>
      <c r="F773" s="5"/>
      <c r="G773" s="5"/>
      <c r="H773" s="306"/>
      <c r="I773" s="306"/>
      <c r="J773" s="5"/>
      <c r="K773" s="5"/>
      <c r="L773" s="5"/>
      <c r="M773" s="5"/>
      <c r="N773" s="5"/>
      <c r="O773" s="5"/>
      <c r="P773" s="57"/>
      <c r="Q773" s="5"/>
      <c r="R773" s="5"/>
      <c r="S773" s="5"/>
      <c r="T773" s="5"/>
      <c r="U773" s="5"/>
      <c r="V773" s="5"/>
      <c r="W773" s="5"/>
      <c r="X773" s="5"/>
      <c r="Y773" s="5"/>
      <c r="Z773" s="5"/>
      <c r="AA773" s="5"/>
    </row>
    <row r="774" spans="1:27" ht="12.75" customHeight="1">
      <c r="A774" s="5"/>
      <c r="B774" s="5"/>
      <c r="C774" s="5"/>
      <c r="D774" s="5"/>
      <c r="E774" s="5"/>
      <c r="F774" s="5"/>
      <c r="G774" s="5"/>
      <c r="H774" s="306"/>
      <c r="I774" s="306"/>
      <c r="J774" s="5"/>
      <c r="K774" s="5"/>
      <c r="L774" s="5"/>
      <c r="M774" s="5"/>
      <c r="N774" s="5"/>
      <c r="O774" s="5"/>
      <c r="P774" s="57"/>
      <c r="Q774" s="5"/>
      <c r="R774" s="5"/>
      <c r="S774" s="5"/>
      <c r="T774" s="5"/>
      <c r="U774" s="5"/>
      <c r="V774" s="5"/>
      <c r="W774" s="5"/>
      <c r="X774" s="5"/>
      <c r="Y774" s="5"/>
      <c r="Z774" s="5"/>
      <c r="AA774" s="5"/>
    </row>
    <row r="775" spans="1:27" ht="12.75" customHeight="1">
      <c r="A775" s="5"/>
      <c r="B775" s="5"/>
      <c r="C775" s="5"/>
      <c r="D775" s="5"/>
      <c r="E775" s="5"/>
      <c r="F775" s="5"/>
      <c r="G775" s="5"/>
      <c r="H775" s="306"/>
      <c r="I775" s="306"/>
      <c r="J775" s="5"/>
      <c r="K775" s="5"/>
      <c r="L775" s="5"/>
      <c r="M775" s="5"/>
      <c r="N775" s="5"/>
      <c r="O775" s="5"/>
      <c r="P775" s="57"/>
      <c r="Q775" s="5"/>
      <c r="R775" s="5"/>
      <c r="S775" s="5"/>
      <c r="T775" s="5"/>
      <c r="U775" s="5"/>
      <c r="V775" s="5"/>
      <c r="W775" s="5"/>
      <c r="X775" s="5"/>
      <c r="Y775" s="5"/>
      <c r="Z775" s="5"/>
      <c r="AA775" s="5"/>
    </row>
    <row r="776" spans="1:27" ht="12.75" customHeight="1">
      <c r="A776" s="5"/>
      <c r="B776" s="5"/>
      <c r="C776" s="5"/>
      <c r="D776" s="5"/>
      <c r="E776" s="5"/>
      <c r="F776" s="5"/>
      <c r="G776" s="5"/>
      <c r="H776" s="306"/>
      <c r="I776" s="306"/>
      <c r="J776" s="5"/>
      <c r="K776" s="5"/>
      <c r="L776" s="5"/>
      <c r="M776" s="5"/>
      <c r="N776" s="5"/>
      <c r="O776" s="5"/>
      <c r="P776" s="57"/>
      <c r="Q776" s="5"/>
      <c r="R776" s="5"/>
      <c r="S776" s="5"/>
      <c r="T776" s="5"/>
      <c r="U776" s="5"/>
      <c r="V776" s="5"/>
      <c r="W776" s="5"/>
      <c r="X776" s="5"/>
      <c r="Y776" s="5"/>
      <c r="Z776" s="5"/>
      <c r="AA776" s="5"/>
    </row>
    <row r="777" spans="1:27" ht="12.75" customHeight="1">
      <c r="A777" s="5"/>
      <c r="B777" s="5"/>
      <c r="C777" s="5"/>
      <c r="D777" s="5"/>
      <c r="E777" s="5"/>
      <c r="F777" s="5"/>
      <c r="G777" s="5"/>
      <c r="H777" s="306"/>
      <c r="I777" s="306"/>
      <c r="J777" s="5"/>
      <c r="K777" s="5"/>
      <c r="L777" s="5"/>
      <c r="M777" s="5"/>
      <c r="N777" s="5"/>
      <c r="O777" s="5"/>
      <c r="P777" s="57"/>
      <c r="Q777" s="5"/>
      <c r="R777" s="5"/>
      <c r="S777" s="5"/>
      <c r="T777" s="5"/>
      <c r="U777" s="5"/>
      <c r="V777" s="5"/>
      <c r="W777" s="5"/>
      <c r="X777" s="5"/>
      <c r="Y777" s="5"/>
      <c r="Z777" s="5"/>
      <c r="AA777" s="5"/>
    </row>
    <row r="778" spans="1:27" ht="12.75" customHeight="1">
      <c r="A778" s="5"/>
      <c r="B778" s="5"/>
      <c r="C778" s="5"/>
      <c r="D778" s="5"/>
      <c r="E778" s="5"/>
      <c r="F778" s="5"/>
      <c r="G778" s="5"/>
      <c r="H778" s="306"/>
      <c r="I778" s="306"/>
      <c r="J778" s="5"/>
      <c r="K778" s="5"/>
      <c r="L778" s="5"/>
      <c r="M778" s="5"/>
      <c r="N778" s="5"/>
      <c r="O778" s="5"/>
      <c r="P778" s="57"/>
      <c r="Q778" s="5"/>
      <c r="R778" s="5"/>
      <c r="S778" s="5"/>
      <c r="T778" s="5"/>
      <c r="U778" s="5"/>
      <c r="V778" s="5"/>
      <c r="W778" s="5"/>
      <c r="X778" s="5"/>
      <c r="Y778" s="5"/>
      <c r="Z778" s="5"/>
      <c r="AA778" s="5"/>
    </row>
    <row r="779" spans="1:27" ht="12.75" customHeight="1">
      <c r="A779" s="5"/>
      <c r="B779" s="5"/>
      <c r="C779" s="5"/>
      <c r="D779" s="5"/>
      <c r="E779" s="5"/>
      <c r="F779" s="5"/>
      <c r="G779" s="5"/>
      <c r="H779" s="306"/>
      <c r="I779" s="306"/>
      <c r="J779" s="5"/>
      <c r="K779" s="5"/>
      <c r="L779" s="5"/>
      <c r="M779" s="5"/>
      <c r="N779" s="5"/>
      <c r="O779" s="5"/>
      <c r="P779" s="57"/>
      <c r="Q779" s="5"/>
      <c r="R779" s="5"/>
      <c r="S779" s="5"/>
      <c r="T779" s="5"/>
      <c r="U779" s="5"/>
      <c r="V779" s="5"/>
      <c r="W779" s="5"/>
      <c r="X779" s="5"/>
      <c r="Y779" s="5"/>
      <c r="Z779" s="5"/>
      <c r="AA779" s="5"/>
    </row>
    <row r="780" spans="1:27" ht="12.75" customHeight="1">
      <c r="A780" s="5"/>
      <c r="B780" s="5"/>
      <c r="C780" s="5"/>
      <c r="D780" s="5"/>
      <c r="E780" s="5"/>
      <c r="F780" s="5"/>
      <c r="G780" s="5"/>
      <c r="H780" s="306"/>
      <c r="I780" s="306"/>
      <c r="J780" s="5"/>
      <c r="K780" s="5"/>
      <c r="L780" s="5"/>
      <c r="M780" s="5"/>
      <c r="N780" s="5"/>
      <c r="O780" s="5"/>
      <c r="P780" s="57"/>
      <c r="Q780" s="5"/>
      <c r="R780" s="5"/>
      <c r="S780" s="5"/>
      <c r="T780" s="5"/>
      <c r="U780" s="5"/>
      <c r="V780" s="5"/>
      <c r="W780" s="5"/>
      <c r="X780" s="5"/>
      <c r="Y780" s="5"/>
      <c r="Z780" s="5"/>
      <c r="AA780" s="5"/>
    </row>
    <row r="781" spans="1:27" ht="12.75" customHeight="1">
      <c r="A781" s="5"/>
      <c r="B781" s="5"/>
      <c r="C781" s="5"/>
      <c r="D781" s="5"/>
      <c r="E781" s="5"/>
      <c r="F781" s="5"/>
      <c r="G781" s="5"/>
      <c r="H781" s="306"/>
      <c r="I781" s="306"/>
      <c r="J781" s="5"/>
      <c r="K781" s="5"/>
      <c r="L781" s="5"/>
      <c r="M781" s="5"/>
      <c r="N781" s="5"/>
      <c r="O781" s="5"/>
      <c r="P781" s="57"/>
      <c r="Q781" s="5"/>
      <c r="R781" s="5"/>
      <c r="S781" s="5"/>
      <c r="T781" s="5"/>
      <c r="U781" s="5"/>
      <c r="V781" s="5"/>
      <c r="W781" s="5"/>
      <c r="X781" s="5"/>
      <c r="Y781" s="5"/>
      <c r="Z781" s="5"/>
      <c r="AA781" s="5"/>
    </row>
    <row r="782" spans="1:27" ht="12.75" customHeight="1">
      <c r="A782" s="5"/>
      <c r="B782" s="5"/>
      <c r="C782" s="5"/>
      <c r="D782" s="5"/>
      <c r="E782" s="5"/>
      <c r="F782" s="5"/>
      <c r="G782" s="5"/>
      <c r="H782" s="306"/>
      <c r="I782" s="306"/>
      <c r="J782" s="5"/>
      <c r="K782" s="5"/>
      <c r="L782" s="5"/>
      <c r="M782" s="5"/>
      <c r="N782" s="5"/>
      <c r="O782" s="5"/>
      <c r="P782" s="57"/>
      <c r="Q782" s="5"/>
      <c r="R782" s="5"/>
      <c r="S782" s="5"/>
      <c r="T782" s="5"/>
      <c r="U782" s="5"/>
      <c r="V782" s="5"/>
      <c r="W782" s="5"/>
      <c r="X782" s="5"/>
      <c r="Y782" s="5"/>
      <c r="Z782" s="5"/>
      <c r="AA782" s="5"/>
    </row>
    <row r="783" spans="1:27" ht="12.75" customHeight="1">
      <c r="A783" s="5"/>
      <c r="B783" s="5"/>
      <c r="C783" s="5"/>
      <c r="D783" s="5"/>
      <c r="E783" s="5"/>
      <c r="F783" s="5"/>
      <c r="G783" s="5"/>
      <c r="H783" s="306"/>
      <c r="I783" s="306"/>
      <c r="J783" s="5"/>
      <c r="K783" s="5"/>
      <c r="L783" s="5"/>
      <c r="M783" s="5"/>
      <c r="N783" s="5"/>
      <c r="O783" s="5"/>
      <c r="P783" s="57"/>
      <c r="Q783" s="5"/>
      <c r="R783" s="5"/>
      <c r="S783" s="5"/>
      <c r="T783" s="5"/>
      <c r="U783" s="5"/>
      <c r="V783" s="5"/>
      <c r="W783" s="5"/>
      <c r="X783" s="5"/>
      <c r="Y783" s="5"/>
      <c r="Z783" s="5"/>
      <c r="AA783" s="5"/>
    </row>
    <row r="784" spans="1:27" ht="12.75" customHeight="1">
      <c r="A784" s="5"/>
      <c r="B784" s="5"/>
      <c r="C784" s="5"/>
      <c r="D784" s="5"/>
      <c r="E784" s="5"/>
      <c r="F784" s="5"/>
      <c r="G784" s="5"/>
      <c r="H784" s="306"/>
      <c r="I784" s="306"/>
      <c r="J784" s="5"/>
      <c r="K784" s="5"/>
      <c r="L784" s="5"/>
      <c r="M784" s="5"/>
      <c r="N784" s="5"/>
      <c r="O784" s="5"/>
      <c r="P784" s="57"/>
      <c r="Q784" s="5"/>
      <c r="R784" s="5"/>
      <c r="S784" s="5"/>
      <c r="T784" s="5"/>
      <c r="U784" s="5"/>
      <c r="V784" s="5"/>
      <c r="W784" s="5"/>
      <c r="X784" s="5"/>
      <c r="Y784" s="5"/>
      <c r="Z784" s="5"/>
      <c r="AA784" s="5"/>
    </row>
    <row r="785" spans="1:27" ht="12.75" customHeight="1">
      <c r="A785" s="5"/>
      <c r="B785" s="5"/>
      <c r="C785" s="5"/>
      <c r="D785" s="5"/>
      <c r="E785" s="5"/>
      <c r="F785" s="5"/>
      <c r="G785" s="5"/>
      <c r="H785" s="306"/>
      <c r="I785" s="306"/>
      <c r="J785" s="5"/>
      <c r="K785" s="5"/>
      <c r="L785" s="5"/>
      <c r="M785" s="5"/>
      <c r="N785" s="5"/>
      <c r="O785" s="5"/>
      <c r="P785" s="57"/>
      <c r="Q785" s="5"/>
      <c r="R785" s="5"/>
      <c r="S785" s="5"/>
      <c r="T785" s="5"/>
      <c r="U785" s="5"/>
      <c r="V785" s="5"/>
      <c r="W785" s="5"/>
      <c r="X785" s="5"/>
      <c r="Y785" s="5"/>
      <c r="Z785" s="5"/>
      <c r="AA785" s="5"/>
    </row>
    <row r="786" spans="1:27" ht="12.75" customHeight="1">
      <c r="A786" s="5"/>
      <c r="B786" s="5"/>
      <c r="C786" s="5"/>
      <c r="D786" s="5"/>
      <c r="E786" s="5"/>
      <c r="F786" s="5"/>
      <c r="G786" s="5"/>
      <c r="H786" s="306"/>
      <c r="I786" s="306"/>
      <c r="J786" s="5"/>
      <c r="K786" s="5"/>
      <c r="L786" s="5"/>
      <c r="M786" s="5"/>
      <c r="N786" s="5"/>
      <c r="O786" s="5"/>
      <c r="P786" s="57"/>
      <c r="Q786" s="5"/>
      <c r="R786" s="5"/>
      <c r="S786" s="5"/>
      <c r="T786" s="5"/>
      <c r="U786" s="5"/>
      <c r="V786" s="5"/>
      <c r="W786" s="5"/>
      <c r="X786" s="5"/>
      <c r="Y786" s="5"/>
      <c r="Z786" s="5"/>
      <c r="AA786" s="5"/>
    </row>
    <row r="787" spans="1:27" ht="12.75" customHeight="1">
      <c r="A787" s="5"/>
      <c r="B787" s="5"/>
      <c r="C787" s="5"/>
      <c r="D787" s="5"/>
      <c r="E787" s="5"/>
      <c r="F787" s="5"/>
      <c r="G787" s="5"/>
      <c r="H787" s="306"/>
      <c r="I787" s="306"/>
      <c r="J787" s="5"/>
      <c r="K787" s="5"/>
      <c r="L787" s="5"/>
      <c r="M787" s="5"/>
      <c r="N787" s="5"/>
      <c r="O787" s="5"/>
      <c r="P787" s="57"/>
      <c r="Q787" s="5"/>
      <c r="R787" s="5"/>
      <c r="S787" s="5"/>
      <c r="T787" s="5"/>
      <c r="U787" s="5"/>
      <c r="V787" s="5"/>
      <c r="W787" s="5"/>
      <c r="X787" s="5"/>
      <c r="Y787" s="5"/>
      <c r="Z787" s="5"/>
      <c r="AA787" s="5"/>
    </row>
    <row r="788" spans="1:27" ht="12.75" customHeight="1">
      <c r="A788" s="5"/>
      <c r="B788" s="5"/>
      <c r="C788" s="5"/>
      <c r="D788" s="5"/>
      <c r="E788" s="5"/>
      <c r="F788" s="5"/>
      <c r="G788" s="5"/>
      <c r="H788" s="306"/>
      <c r="I788" s="306"/>
      <c r="J788" s="5"/>
      <c r="K788" s="5"/>
      <c r="L788" s="5"/>
      <c r="M788" s="5"/>
      <c r="N788" s="5"/>
      <c r="O788" s="5"/>
      <c r="P788" s="57"/>
      <c r="Q788" s="5"/>
      <c r="R788" s="5"/>
      <c r="S788" s="5"/>
      <c r="T788" s="5"/>
      <c r="U788" s="5"/>
      <c r="V788" s="5"/>
      <c r="W788" s="5"/>
      <c r="X788" s="5"/>
      <c r="Y788" s="5"/>
      <c r="Z788" s="5"/>
      <c r="AA788" s="5"/>
    </row>
    <row r="789" spans="1:27" ht="12.75" customHeight="1">
      <c r="A789" s="5"/>
      <c r="B789" s="5"/>
      <c r="C789" s="5"/>
      <c r="D789" s="5"/>
      <c r="E789" s="5"/>
      <c r="F789" s="5"/>
      <c r="G789" s="5"/>
      <c r="H789" s="306"/>
      <c r="I789" s="306"/>
      <c r="J789" s="5"/>
      <c r="K789" s="5"/>
      <c r="L789" s="5"/>
      <c r="M789" s="5"/>
      <c r="N789" s="5"/>
      <c r="O789" s="5"/>
      <c r="P789" s="57"/>
      <c r="Q789" s="5"/>
      <c r="R789" s="5"/>
      <c r="S789" s="5"/>
      <c r="T789" s="5"/>
      <c r="U789" s="5"/>
      <c r="V789" s="5"/>
      <c r="W789" s="5"/>
      <c r="X789" s="5"/>
      <c r="Y789" s="5"/>
      <c r="Z789" s="5"/>
      <c r="AA789" s="5"/>
    </row>
    <row r="790" spans="1:27" ht="12.75" customHeight="1">
      <c r="A790" s="5"/>
      <c r="B790" s="5"/>
      <c r="C790" s="5"/>
      <c r="D790" s="5"/>
      <c r="E790" s="5"/>
      <c r="F790" s="5"/>
      <c r="G790" s="5"/>
      <c r="H790" s="306"/>
      <c r="I790" s="306"/>
      <c r="J790" s="5"/>
      <c r="K790" s="5"/>
      <c r="L790" s="5"/>
      <c r="M790" s="5"/>
      <c r="N790" s="5"/>
      <c r="O790" s="5"/>
      <c r="P790" s="57"/>
      <c r="Q790" s="5"/>
      <c r="R790" s="5"/>
      <c r="S790" s="5"/>
      <c r="T790" s="5"/>
      <c r="U790" s="5"/>
      <c r="V790" s="5"/>
      <c r="W790" s="5"/>
      <c r="X790" s="5"/>
      <c r="Y790" s="5"/>
      <c r="Z790" s="5"/>
      <c r="AA790" s="5"/>
    </row>
    <row r="791" spans="1:27" ht="12.75" customHeight="1">
      <c r="A791" s="5"/>
      <c r="B791" s="5"/>
      <c r="C791" s="5"/>
      <c r="D791" s="5"/>
      <c r="E791" s="5"/>
      <c r="F791" s="5"/>
      <c r="G791" s="5"/>
      <c r="H791" s="306"/>
      <c r="I791" s="306"/>
      <c r="J791" s="5"/>
      <c r="K791" s="5"/>
      <c r="L791" s="5"/>
      <c r="M791" s="5"/>
      <c r="N791" s="5"/>
      <c r="O791" s="5"/>
      <c r="P791" s="57"/>
      <c r="Q791" s="5"/>
      <c r="R791" s="5"/>
      <c r="S791" s="5"/>
      <c r="T791" s="5"/>
      <c r="U791" s="5"/>
      <c r="V791" s="5"/>
      <c r="W791" s="5"/>
      <c r="X791" s="5"/>
      <c r="Y791" s="5"/>
      <c r="Z791" s="5"/>
      <c r="AA791" s="5"/>
    </row>
    <row r="792" spans="1:27" ht="12.75" customHeight="1">
      <c r="A792" s="5"/>
      <c r="B792" s="5"/>
      <c r="C792" s="5"/>
      <c r="D792" s="5"/>
      <c r="E792" s="5"/>
      <c r="F792" s="5"/>
      <c r="G792" s="5"/>
      <c r="H792" s="306"/>
      <c r="I792" s="306"/>
      <c r="J792" s="5"/>
      <c r="K792" s="5"/>
      <c r="L792" s="5"/>
      <c r="M792" s="5"/>
      <c r="N792" s="5"/>
      <c r="O792" s="5"/>
      <c r="P792" s="57"/>
      <c r="Q792" s="5"/>
      <c r="R792" s="5"/>
      <c r="S792" s="5"/>
      <c r="T792" s="5"/>
      <c r="U792" s="5"/>
      <c r="V792" s="5"/>
      <c r="W792" s="5"/>
      <c r="X792" s="5"/>
      <c r="Y792" s="5"/>
      <c r="Z792" s="5"/>
      <c r="AA792" s="5"/>
    </row>
    <row r="793" spans="1:27" ht="12.75" customHeight="1">
      <c r="A793" s="5"/>
      <c r="B793" s="5"/>
      <c r="C793" s="5"/>
      <c r="D793" s="5"/>
      <c r="E793" s="5"/>
      <c r="F793" s="5"/>
      <c r="G793" s="5"/>
      <c r="H793" s="306"/>
      <c r="I793" s="306"/>
      <c r="J793" s="5"/>
      <c r="K793" s="5"/>
      <c r="L793" s="5"/>
      <c r="M793" s="5"/>
      <c r="N793" s="5"/>
      <c r="O793" s="5"/>
      <c r="P793" s="57"/>
      <c r="Q793" s="5"/>
      <c r="R793" s="5"/>
      <c r="S793" s="5"/>
      <c r="T793" s="5"/>
      <c r="U793" s="5"/>
      <c r="V793" s="5"/>
      <c r="W793" s="5"/>
      <c r="X793" s="5"/>
      <c r="Y793" s="5"/>
      <c r="Z793" s="5"/>
      <c r="AA793" s="5"/>
    </row>
    <row r="794" spans="1:27" ht="12.75" customHeight="1">
      <c r="A794" s="5"/>
      <c r="B794" s="5"/>
      <c r="C794" s="5"/>
      <c r="D794" s="5"/>
      <c r="E794" s="5"/>
      <c r="F794" s="5"/>
      <c r="G794" s="5"/>
      <c r="H794" s="306"/>
      <c r="I794" s="306"/>
      <c r="J794" s="5"/>
      <c r="K794" s="5"/>
      <c r="L794" s="5"/>
      <c r="M794" s="5"/>
      <c r="N794" s="5"/>
      <c r="O794" s="5"/>
      <c r="P794" s="57"/>
      <c r="Q794" s="5"/>
      <c r="R794" s="5"/>
      <c r="S794" s="5"/>
      <c r="T794" s="5"/>
      <c r="U794" s="5"/>
      <c r="V794" s="5"/>
      <c r="W794" s="5"/>
      <c r="X794" s="5"/>
      <c r="Y794" s="5"/>
      <c r="Z794" s="5"/>
      <c r="AA794" s="5"/>
    </row>
    <row r="795" spans="1:27" ht="12.75" customHeight="1">
      <c r="A795" s="5"/>
      <c r="B795" s="5"/>
      <c r="C795" s="5"/>
      <c r="D795" s="5"/>
      <c r="E795" s="5"/>
      <c r="F795" s="5"/>
      <c r="G795" s="5"/>
      <c r="H795" s="306"/>
      <c r="I795" s="306"/>
      <c r="J795" s="5"/>
      <c r="K795" s="5"/>
      <c r="L795" s="5"/>
      <c r="M795" s="5"/>
      <c r="N795" s="5"/>
      <c r="O795" s="5"/>
      <c r="P795" s="57"/>
      <c r="Q795" s="5"/>
      <c r="R795" s="5"/>
      <c r="S795" s="5"/>
      <c r="T795" s="5"/>
      <c r="U795" s="5"/>
      <c r="V795" s="5"/>
      <c r="W795" s="5"/>
      <c r="X795" s="5"/>
      <c r="Y795" s="5"/>
      <c r="Z795" s="5"/>
      <c r="AA795" s="5"/>
    </row>
    <row r="796" spans="1:27" ht="12.75" customHeight="1">
      <c r="A796" s="5"/>
      <c r="B796" s="5"/>
      <c r="C796" s="5"/>
      <c r="D796" s="5"/>
      <c r="E796" s="5"/>
      <c r="F796" s="5"/>
      <c r="G796" s="5"/>
      <c r="H796" s="306"/>
      <c r="I796" s="306"/>
      <c r="J796" s="5"/>
      <c r="K796" s="5"/>
      <c r="L796" s="5"/>
      <c r="M796" s="5"/>
      <c r="N796" s="5"/>
      <c r="O796" s="5"/>
      <c r="P796" s="57"/>
      <c r="Q796" s="5"/>
      <c r="R796" s="5"/>
      <c r="S796" s="5"/>
      <c r="T796" s="5"/>
      <c r="U796" s="5"/>
      <c r="V796" s="5"/>
      <c r="W796" s="5"/>
      <c r="X796" s="5"/>
      <c r="Y796" s="5"/>
      <c r="Z796" s="5"/>
      <c r="AA796" s="5"/>
    </row>
    <row r="797" spans="1:27" ht="12.75" customHeight="1">
      <c r="A797" s="5"/>
      <c r="B797" s="5"/>
      <c r="C797" s="5"/>
      <c r="D797" s="5"/>
      <c r="E797" s="5"/>
      <c r="F797" s="5"/>
      <c r="G797" s="5"/>
      <c r="H797" s="306"/>
      <c r="I797" s="306"/>
      <c r="J797" s="5"/>
      <c r="K797" s="5"/>
      <c r="L797" s="5"/>
      <c r="M797" s="5"/>
      <c r="N797" s="5"/>
      <c r="O797" s="5"/>
      <c r="P797" s="57"/>
      <c r="Q797" s="5"/>
      <c r="R797" s="5"/>
      <c r="S797" s="5"/>
      <c r="T797" s="5"/>
      <c r="U797" s="5"/>
      <c r="V797" s="5"/>
      <c r="W797" s="5"/>
      <c r="X797" s="5"/>
      <c r="Y797" s="5"/>
      <c r="Z797" s="5"/>
      <c r="AA797" s="5"/>
    </row>
    <row r="798" spans="1:27" ht="12.75" customHeight="1">
      <c r="A798" s="5"/>
      <c r="B798" s="5"/>
      <c r="C798" s="5"/>
      <c r="D798" s="5"/>
      <c r="E798" s="5"/>
      <c r="F798" s="5"/>
      <c r="G798" s="5"/>
      <c r="H798" s="306"/>
      <c r="I798" s="306"/>
      <c r="J798" s="5"/>
      <c r="K798" s="5"/>
      <c r="L798" s="5"/>
      <c r="M798" s="5"/>
      <c r="N798" s="5"/>
      <c r="O798" s="5"/>
      <c r="P798" s="57"/>
      <c r="Q798" s="5"/>
      <c r="R798" s="5"/>
      <c r="S798" s="5"/>
      <c r="T798" s="5"/>
      <c r="U798" s="5"/>
      <c r="V798" s="5"/>
      <c r="W798" s="5"/>
      <c r="X798" s="5"/>
      <c r="Y798" s="5"/>
      <c r="Z798" s="5"/>
      <c r="AA798" s="5"/>
    </row>
    <row r="799" spans="1:27" ht="12.75" customHeight="1">
      <c r="A799" s="5"/>
      <c r="B799" s="5"/>
      <c r="C799" s="5"/>
      <c r="D799" s="5"/>
      <c r="E799" s="5"/>
      <c r="F799" s="5"/>
      <c r="G799" s="5"/>
      <c r="H799" s="306"/>
      <c r="I799" s="306"/>
      <c r="J799" s="5"/>
      <c r="K799" s="5"/>
      <c r="L799" s="5"/>
      <c r="M799" s="5"/>
      <c r="N799" s="5"/>
      <c r="O799" s="5"/>
      <c r="P799" s="57"/>
      <c r="Q799" s="5"/>
      <c r="R799" s="5"/>
      <c r="S799" s="5"/>
      <c r="T799" s="5"/>
      <c r="U799" s="5"/>
      <c r="V799" s="5"/>
      <c r="W799" s="5"/>
      <c r="X799" s="5"/>
      <c r="Y799" s="5"/>
      <c r="Z799" s="5"/>
      <c r="AA799" s="5"/>
    </row>
    <row r="800" spans="1:27" ht="12.75" customHeight="1">
      <c r="A800" s="5"/>
      <c r="B800" s="5"/>
      <c r="C800" s="5"/>
      <c r="D800" s="5"/>
      <c r="E800" s="5"/>
      <c r="F800" s="5"/>
      <c r="G800" s="5"/>
      <c r="H800" s="306"/>
      <c r="I800" s="306"/>
      <c r="J800" s="5"/>
      <c r="K800" s="5"/>
      <c r="L800" s="5"/>
      <c r="M800" s="5"/>
      <c r="N800" s="5"/>
      <c r="O800" s="5"/>
      <c r="P800" s="57"/>
      <c r="Q800" s="5"/>
      <c r="R800" s="5"/>
      <c r="S800" s="5"/>
      <c r="T800" s="5"/>
      <c r="U800" s="5"/>
      <c r="V800" s="5"/>
      <c r="W800" s="5"/>
      <c r="X800" s="5"/>
      <c r="Y800" s="5"/>
      <c r="Z800" s="5"/>
      <c r="AA800" s="5"/>
    </row>
    <row r="801" spans="1:27" ht="12.75" customHeight="1">
      <c r="A801" s="5"/>
      <c r="B801" s="5"/>
      <c r="C801" s="5"/>
      <c r="D801" s="5"/>
      <c r="E801" s="5"/>
      <c r="F801" s="5"/>
      <c r="G801" s="5"/>
      <c r="H801" s="306"/>
      <c r="I801" s="306"/>
      <c r="J801" s="5"/>
      <c r="K801" s="5"/>
      <c r="L801" s="5"/>
      <c r="M801" s="5"/>
      <c r="N801" s="5"/>
      <c r="O801" s="5"/>
      <c r="P801" s="57"/>
      <c r="Q801" s="5"/>
      <c r="R801" s="5"/>
      <c r="S801" s="5"/>
      <c r="T801" s="5"/>
      <c r="U801" s="5"/>
      <c r="V801" s="5"/>
      <c r="W801" s="5"/>
      <c r="X801" s="5"/>
      <c r="Y801" s="5"/>
      <c r="Z801" s="5"/>
      <c r="AA801" s="5"/>
    </row>
    <row r="802" spans="1:27" ht="12.75" customHeight="1">
      <c r="A802" s="5"/>
      <c r="B802" s="5"/>
      <c r="C802" s="5"/>
      <c r="D802" s="5"/>
      <c r="E802" s="5"/>
      <c r="F802" s="5"/>
      <c r="G802" s="5"/>
      <c r="H802" s="306"/>
      <c r="I802" s="306"/>
      <c r="J802" s="5"/>
      <c r="K802" s="5"/>
      <c r="L802" s="5"/>
      <c r="M802" s="5"/>
      <c r="N802" s="5"/>
      <c r="O802" s="5"/>
      <c r="P802" s="57"/>
      <c r="Q802" s="5"/>
      <c r="R802" s="5"/>
      <c r="S802" s="5"/>
      <c r="T802" s="5"/>
      <c r="U802" s="5"/>
      <c r="V802" s="5"/>
      <c r="W802" s="5"/>
      <c r="X802" s="5"/>
      <c r="Y802" s="5"/>
      <c r="Z802" s="5"/>
      <c r="AA802" s="5"/>
    </row>
    <row r="803" spans="1:27" ht="12.75" customHeight="1">
      <c r="A803" s="5"/>
      <c r="B803" s="5"/>
      <c r="C803" s="5"/>
      <c r="D803" s="5"/>
      <c r="E803" s="5"/>
      <c r="F803" s="5"/>
      <c r="G803" s="5"/>
      <c r="H803" s="306"/>
      <c r="I803" s="306"/>
      <c r="J803" s="5"/>
      <c r="K803" s="5"/>
      <c r="L803" s="5"/>
      <c r="M803" s="5"/>
      <c r="N803" s="5"/>
      <c r="O803" s="5"/>
      <c r="P803" s="57"/>
      <c r="Q803" s="5"/>
      <c r="R803" s="5"/>
      <c r="S803" s="5"/>
      <c r="T803" s="5"/>
      <c r="U803" s="5"/>
      <c r="V803" s="5"/>
      <c r="W803" s="5"/>
      <c r="X803" s="5"/>
      <c r="Y803" s="5"/>
      <c r="Z803" s="5"/>
      <c r="AA803" s="5"/>
    </row>
    <row r="804" spans="1:27" ht="12.75" customHeight="1">
      <c r="A804" s="5"/>
      <c r="B804" s="5"/>
      <c r="C804" s="5"/>
      <c r="D804" s="5"/>
      <c r="E804" s="5"/>
      <c r="F804" s="5"/>
      <c r="G804" s="5"/>
      <c r="H804" s="306"/>
      <c r="I804" s="306"/>
      <c r="J804" s="5"/>
      <c r="K804" s="5"/>
      <c r="L804" s="5"/>
      <c r="M804" s="5"/>
      <c r="N804" s="5"/>
      <c r="O804" s="5"/>
      <c r="P804" s="57"/>
      <c r="Q804" s="5"/>
      <c r="R804" s="5"/>
      <c r="S804" s="5"/>
      <c r="T804" s="5"/>
      <c r="U804" s="5"/>
      <c r="V804" s="5"/>
      <c r="W804" s="5"/>
      <c r="X804" s="5"/>
      <c r="Y804" s="5"/>
      <c r="Z804" s="5"/>
      <c r="AA804" s="5"/>
    </row>
    <row r="805" spans="1:27" ht="12.75" customHeight="1">
      <c r="A805" s="5"/>
      <c r="B805" s="5"/>
      <c r="C805" s="5"/>
      <c r="D805" s="5"/>
      <c r="E805" s="5"/>
      <c r="F805" s="5"/>
      <c r="G805" s="5"/>
      <c r="H805" s="306"/>
      <c r="I805" s="306"/>
      <c r="J805" s="5"/>
      <c r="K805" s="5"/>
      <c r="L805" s="5"/>
      <c r="M805" s="5"/>
      <c r="N805" s="5"/>
      <c r="O805" s="5"/>
      <c r="P805" s="57"/>
      <c r="Q805" s="5"/>
      <c r="R805" s="5"/>
      <c r="S805" s="5"/>
      <c r="T805" s="5"/>
      <c r="U805" s="5"/>
      <c r="V805" s="5"/>
      <c r="W805" s="5"/>
      <c r="X805" s="5"/>
      <c r="Y805" s="5"/>
      <c r="Z805" s="5"/>
      <c r="AA805" s="5"/>
    </row>
    <row r="806" spans="1:27" ht="12.75" customHeight="1">
      <c r="A806" s="5"/>
      <c r="B806" s="5"/>
      <c r="C806" s="5"/>
      <c r="D806" s="5"/>
      <c r="E806" s="5"/>
      <c r="F806" s="5"/>
      <c r="G806" s="5"/>
      <c r="H806" s="306"/>
      <c r="I806" s="306"/>
      <c r="J806" s="5"/>
      <c r="K806" s="5"/>
      <c r="L806" s="5"/>
      <c r="M806" s="5"/>
      <c r="N806" s="5"/>
      <c r="O806" s="5"/>
      <c r="P806" s="57"/>
      <c r="Q806" s="5"/>
      <c r="R806" s="5"/>
      <c r="S806" s="5"/>
      <c r="T806" s="5"/>
      <c r="U806" s="5"/>
      <c r="V806" s="5"/>
      <c r="W806" s="5"/>
      <c r="X806" s="5"/>
      <c r="Y806" s="5"/>
      <c r="Z806" s="5"/>
      <c r="AA806" s="5"/>
    </row>
    <row r="807" spans="1:27" ht="12.75" customHeight="1">
      <c r="A807" s="5"/>
      <c r="B807" s="5"/>
      <c r="C807" s="5"/>
      <c r="D807" s="5"/>
      <c r="E807" s="5"/>
      <c r="F807" s="5"/>
      <c r="G807" s="5"/>
      <c r="H807" s="306"/>
      <c r="I807" s="306"/>
      <c r="J807" s="5"/>
      <c r="K807" s="5"/>
      <c r="L807" s="5"/>
      <c r="M807" s="5"/>
      <c r="N807" s="5"/>
      <c r="O807" s="5"/>
      <c r="P807" s="57"/>
      <c r="Q807" s="5"/>
      <c r="R807" s="5"/>
      <c r="S807" s="5"/>
      <c r="T807" s="5"/>
      <c r="U807" s="5"/>
      <c r="V807" s="5"/>
      <c r="W807" s="5"/>
      <c r="X807" s="5"/>
      <c r="Y807" s="5"/>
      <c r="Z807" s="5"/>
      <c r="AA807" s="5"/>
    </row>
    <row r="808" spans="1:27" ht="12.75" customHeight="1">
      <c r="A808" s="5"/>
      <c r="B808" s="5"/>
      <c r="C808" s="5"/>
      <c r="D808" s="5"/>
      <c r="E808" s="5"/>
      <c r="F808" s="5"/>
      <c r="G808" s="5"/>
      <c r="H808" s="306"/>
      <c r="I808" s="306"/>
      <c r="J808" s="5"/>
      <c r="K808" s="5"/>
      <c r="L808" s="5"/>
      <c r="M808" s="5"/>
      <c r="N808" s="5"/>
      <c r="O808" s="5"/>
      <c r="P808" s="57"/>
      <c r="Q808" s="5"/>
      <c r="R808" s="5"/>
      <c r="S808" s="5"/>
      <c r="T808" s="5"/>
      <c r="U808" s="5"/>
      <c r="V808" s="5"/>
      <c r="W808" s="5"/>
      <c r="X808" s="5"/>
      <c r="Y808" s="5"/>
      <c r="Z808" s="5"/>
      <c r="AA808" s="5"/>
    </row>
    <row r="809" spans="1:27" ht="12.75" customHeight="1">
      <c r="A809" s="5"/>
      <c r="B809" s="5"/>
      <c r="C809" s="5"/>
      <c r="D809" s="5"/>
      <c r="E809" s="5"/>
      <c r="F809" s="5"/>
      <c r="G809" s="5"/>
      <c r="H809" s="306"/>
      <c r="I809" s="306"/>
      <c r="J809" s="5"/>
      <c r="K809" s="5"/>
      <c r="L809" s="5"/>
      <c r="M809" s="5"/>
      <c r="N809" s="5"/>
      <c r="O809" s="5"/>
      <c r="P809" s="57"/>
      <c r="Q809" s="5"/>
      <c r="R809" s="5"/>
      <c r="S809" s="5"/>
      <c r="T809" s="5"/>
      <c r="U809" s="5"/>
      <c r="V809" s="5"/>
      <c r="W809" s="5"/>
      <c r="X809" s="5"/>
      <c r="Y809" s="5"/>
      <c r="Z809" s="5"/>
      <c r="AA809" s="5"/>
    </row>
    <row r="810" spans="1:27" ht="12.75" customHeight="1">
      <c r="A810" s="5"/>
      <c r="B810" s="5"/>
      <c r="C810" s="5"/>
      <c r="D810" s="5"/>
      <c r="E810" s="5"/>
      <c r="F810" s="5"/>
      <c r="G810" s="5"/>
      <c r="H810" s="306"/>
      <c r="I810" s="306"/>
      <c r="J810" s="5"/>
      <c r="K810" s="5"/>
      <c r="L810" s="5"/>
      <c r="M810" s="5"/>
      <c r="N810" s="5"/>
      <c r="O810" s="5"/>
      <c r="P810" s="57"/>
      <c r="Q810" s="5"/>
      <c r="R810" s="5"/>
      <c r="S810" s="5"/>
      <c r="T810" s="5"/>
      <c r="U810" s="5"/>
      <c r="V810" s="5"/>
      <c r="W810" s="5"/>
      <c r="X810" s="5"/>
      <c r="Y810" s="5"/>
      <c r="Z810" s="5"/>
      <c r="AA810" s="5"/>
    </row>
    <row r="811" spans="1:27" ht="12.75" customHeight="1">
      <c r="A811" s="5"/>
      <c r="B811" s="5"/>
      <c r="C811" s="5"/>
      <c r="D811" s="5"/>
      <c r="E811" s="5"/>
      <c r="F811" s="5"/>
      <c r="G811" s="5"/>
      <c r="H811" s="306"/>
      <c r="I811" s="306"/>
      <c r="J811" s="5"/>
      <c r="K811" s="5"/>
      <c r="L811" s="5"/>
      <c r="M811" s="5"/>
      <c r="N811" s="5"/>
      <c r="O811" s="5"/>
      <c r="P811" s="57"/>
      <c r="Q811" s="5"/>
      <c r="R811" s="5"/>
      <c r="S811" s="5"/>
      <c r="T811" s="5"/>
      <c r="U811" s="5"/>
      <c r="V811" s="5"/>
      <c r="W811" s="5"/>
      <c r="X811" s="5"/>
      <c r="Y811" s="5"/>
      <c r="Z811" s="5"/>
      <c r="AA811" s="5"/>
    </row>
    <row r="812" spans="1:27" ht="12.75" customHeight="1">
      <c r="A812" s="5"/>
      <c r="B812" s="5"/>
      <c r="C812" s="5"/>
      <c r="D812" s="5"/>
      <c r="E812" s="5"/>
      <c r="F812" s="5"/>
      <c r="G812" s="5"/>
      <c r="H812" s="306"/>
      <c r="I812" s="306"/>
      <c r="J812" s="5"/>
      <c r="K812" s="5"/>
      <c r="L812" s="5"/>
      <c r="M812" s="5"/>
      <c r="N812" s="5"/>
      <c r="O812" s="5"/>
      <c r="P812" s="57"/>
      <c r="Q812" s="5"/>
      <c r="R812" s="5"/>
      <c r="S812" s="5"/>
      <c r="T812" s="5"/>
      <c r="U812" s="5"/>
      <c r="V812" s="5"/>
      <c r="W812" s="5"/>
      <c r="X812" s="5"/>
      <c r="Y812" s="5"/>
      <c r="Z812" s="5"/>
      <c r="AA812" s="5"/>
    </row>
    <row r="813" spans="1:27" ht="12.75" customHeight="1">
      <c r="A813" s="5"/>
      <c r="B813" s="5"/>
      <c r="C813" s="5"/>
      <c r="D813" s="5"/>
      <c r="E813" s="5"/>
      <c r="F813" s="5"/>
      <c r="G813" s="5"/>
      <c r="H813" s="306"/>
      <c r="I813" s="306"/>
      <c r="J813" s="5"/>
      <c r="K813" s="5"/>
      <c r="L813" s="5"/>
      <c r="M813" s="5"/>
      <c r="N813" s="5"/>
      <c r="O813" s="5"/>
      <c r="P813" s="57"/>
      <c r="Q813" s="5"/>
      <c r="R813" s="5"/>
      <c r="S813" s="5"/>
      <c r="T813" s="5"/>
      <c r="U813" s="5"/>
      <c r="V813" s="5"/>
      <c r="W813" s="5"/>
      <c r="X813" s="5"/>
      <c r="Y813" s="5"/>
      <c r="Z813" s="5"/>
      <c r="AA813" s="5"/>
    </row>
    <row r="814" spans="1:27" ht="12.75" customHeight="1">
      <c r="A814" s="5"/>
      <c r="B814" s="5"/>
      <c r="C814" s="5"/>
      <c r="D814" s="5"/>
      <c r="E814" s="5"/>
      <c r="F814" s="5"/>
      <c r="G814" s="5"/>
      <c r="H814" s="306"/>
      <c r="I814" s="306"/>
      <c r="J814" s="5"/>
      <c r="K814" s="5"/>
      <c r="L814" s="5"/>
      <c r="M814" s="5"/>
      <c r="N814" s="5"/>
      <c r="O814" s="5"/>
      <c r="P814" s="57"/>
      <c r="Q814" s="5"/>
      <c r="R814" s="5"/>
      <c r="S814" s="5"/>
      <c r="T814" s="5"/>
      <c r="U814" s="5"/>
      <c r="V814" s="5"/>
      <c r="W814" s="5"/>
      <c r="X814" s="5"/>
      <c r="Y814" s="5"/>
      <c r="Z814" s="5"/>
      <c r="AA814" s="5"/>
    </row>
    <row r="815" spans="1:27" ht="12.75" customHeight="1">
      <c r="A815" s="5"/>
      <c r="B815" s="5"/>
      <c r="C815" s="5"/>
      <c r="D815" s="5"/>
      <c r="E815" s="5"/>
      <c r="F815" s="5"/>
      <c r="G815" s="5"/>
      <c r="H815" s="306"/>
      <c r="I815" s="306"/>
      <c r="J815" s="5"/>
      <c r="K815" s="5"/>
      <c r="L815" s="5"/>
      <c r="M815" s="5"/>
      <c r="N815" s="5"/>
      <c r="O815" s="5"/>
      <c r="P815" s="57"/>
      <c r="Q815" s="5"/>
      <c r="R815" s="5"/>
      <c r="S815" s="5"/>
      <c r="T815" s="5"/>
      <c r="U815" s="5"/>
      <c r="V815" s="5"/>
      <c r="W815" s="5"/>
      <c r="X815" s="5"/>
      <c r="Y815" s="5"/>
      <c r="Z815" s="5"/>
      <c r="AA815" s="5"/>
    </row>
    <row r="816" spans="1:27" ht="12.75" customHeight="1">
      <c r="A816" s="5"/>
      <c r="B816" s="5"/>
      <c r="C816" s="5"/>
      <c r="D816" s="5"/>
      <c r="E816" s="5"/>
      <c r="F816" s="5"/>
      <c r="G816" s="5"/>
      <c r="H816" s="306"/>
      <c r="I816" s="306"/>
      <c r="J816" s="5"/>
      <c r="K816" s="5"/>
      <c r="L816" s="5"/>
      <c r="M816" s="5"/>
      <c r="N816" s="5"/>
      <c r="O816" s="5"/>
      <c r="P816" s="57"/>
      <c r="Q816" s="5"/>
      <c r="R816" s="5"/>
      <c r="S816" s="5"/>
      <c r="T816" s="5"/>
      <c r="U816" s="5"/>
      <c r="V816" s="5"/>
      <c r="W816" s="5"/>
      <c r="X816" s="5"/>
      <c r="Y816" s="5"/>
      <c r="Z816" s="5"/>
      <c r="AA816" s="5"/>
    </row>
    <row r="817" spans="1:27" ht="12.75" customHeight="1">
      <c r="A817" s="5"/>
      <c r="B817" s="5"/>
      <c r="C817" s="5"/>
      <c r="D817" s="5"/>
      <c r="E817" s="5"/>
      <c r="F817" s="5"/>
      <c r="G817" s="5"/>
      <c r="H817" s="306"/>
      <c r="I817" s="306"/>
      <c r="J817" s="5"/>
      <c r="K817" s="5"/>
      <c r="L817" s="5"/>
      <c r="M817" s="5"/>
      <c r="N817" s="5"/>
      <c r="O817" s="5"/>
      <c r="P817" s="57"/>
      <c r="Q817" s="5"/>
      <c r="R817" s="5"/>
      <c r="S817" s="5"/>
      <c r="T817" s="5"/>
      <c r="U817" s="5"/>
      <c r="V817" s="5"/>
      <c r="W817" s="5"/>
      <c r="X817" s="5"/>
      <c r="Y817" s="5"/>
      <c r="Z817" s="5"/>
      <c r="AA817" s="5"/>
    </row>
    <row r="818" spans="1:27" ht="12.75" customHeight="1">
      <c r="A818" s="5"/>
      <c r="B818" s="5"/>
      <c r="C818" s="5"/>
      <c r="D818" s="5"/>
      <c r="E818" s="5"/>
      <c r="F818" s="5"/>
      <c r="G818" s="5"/>
      <c r="H818" s="306"/>
      <c r="I818" s="306"/>
      <c r="J818" s="5"/>
      <c r="K818" s="5"/>
      <c r="L818" s="5"/>
      <c r="M818" s="5"/>
      <c r="N818" s="5"/>
      <c r="O818" s="5"/>
      <c r="P818" s="57"/>
      <c r="Q818" s="5"/>
      <c r="R818" s="5"/>
      <c r="S818" s="5"/>
      <c r="T818" s="5"/>
      <c r="U818" s="5"/>
      <c r="V818" s="5"/>
      <c r="W818" s="5"/>
      <c r="X818" s="5"/>
      <c r="Y818" s="5"/>
      <c r="Z818" s="5"/>
      <c r="AA818" s="5"/>
    </row>
    <row r="819" spans="1:27" ht="12.75" customHeight="1">
      <c r="A819" s="5"/>
      <c r="B819" s="5"/>
      <c r="C819" s="5"/>
      <c r="D819" s="5"/>
      <c r="E819" s="5"/>
      <c r="F819" s="5"/>
      <c r="G819" s="5"/>
      <c r="H819" s="306"/>
      <c r="I819" s="306"/>
      <c r="J819" s="5"/>
      <c r="K819" s="5"/>
      <c r="L819" s="5"/>
      <c r="M819" s="5"/>
      <c r="N819" s="5"/>
      <c r="O819" s="5"/>
      <c r="P819" s="57"/>
      <c r="Q819" s="5"/>
      <c r="R819" s="5"/>
      <c r="S819" s="5"/>
      <c r="T819" s="5"/>
      <c r="U819" s="5"/>
      <c r="V819" s="5"/>
      <c r="W819" s="5"/>
      <c r="X819" s="5"/>
      <c r="Y819" s="5"/>
      <c r="Z819" s="5"/>
      <c r="AA819" s="5"/>
    </row>
    <row r="820" spans="1:27" ht="12.75" customHeight="1">
      <c r="A820" s="5"/>
      <c r="B820" s="5"/>
      <c r="C820" s="5"/>
      <c r="D820" s="5"/>
      <c r="E820" s="5"/>
      <c r="F820" s="5"/>
      <c r="G820" s="5"/>
      <c r="H820" s="306"/>
      <c r="I820" s="306"/>
      <c r="J820" s="5"/>
      <c r="K820" s="5"/>
      <c r="L820" s="5"/>
      <c r="M820" s="5"/>
      <c r="N820" s="5"/>
      <c r="O820" s="5"/>
      <c r="P820" s="57"/>
      <c r="Q820" s="5"/>
      <c r="R820" s="5"/>
      <c r="S820" s="5"/>
      <c r="T820" s="5"/>
      <c r="U820" s="5"/>
      <c r="V820" s="5"/>
      <c r="W820" s="5"/>
      <c r="X820" s="5"/>
      <c r="Y820" s="5"/>
      <c r="Z820" s="5"/>
      <c r="AA820" s="5"/>
    </row>
    <row r="821" spans="1:27" ht="12.75" customHeight="1">
      <c r="A821" s="5"/>
      <c r="B821" s="5"/>
      <c r="C821" s="5"/>
      <c r="D821" s="5"/>
      <c r="E821" s="5"/>
      <c r="F821" s="5"/>
      <c r="G821" s="5"/>
      <c r="H821" s="306"/>
      <c r="I821" s="306"/>
      <c r="J821" s="5"/>
      <c r="K821" s="5"/>
      <c r="L821" s="5"/>
      <c r="M821" s="5"/>
      <c r="N821" s="5"/>
      <c r="O821" s="5"/>
      <c r="P821" s="57"/>
      <c r="Q821" s="5"/>
      <c r="R821" s="5"/>
      <c r="S821" s="5"/>
      <c r="T821" s="5"/>
      <c r="U821" s="5"/>
      <c r="V821" s="5"/>
      <c r="W821" s="5"/>
      <c r="X821" s="5"/>
      <c r="Y821" s="5"/>
      <c r="Z821" s="5"/>
      <c r="AA821" s="5"/>
    </row>
    <row r="822" spans="1:27" ht="12.75" customHeight="1">
      <c r="A822" s="5"/>
      <c r="B822" s="5"/>
      <c r="C822" s="5"/>
      <c r="D822" s="5"/>
      <c r="E822" s="5"/>
      <c r="F822" s="5"/>
      <c r="G822" s="5"/>
      <c r="H822" s="306"/>
      <c r="I822" s="306"/>
      <c r="J822" s="5"/>
      <c r="K822" s="5"/>
      <c r="L822" s="5"/>
      <c r="M822" s="5"/>
      <c r="N822" s="5"/>
      <c r="O822" s="5"/>
      <c r="P822" s="57"/>
      <c r="Q822" s="5"/>
      <c r="R822" s="5"/>
      <c r="S822" s="5"/>
      <c r="T822" s="5"/>
      <c r="U822" s="5"/>
      <c r="V822" s="5"/>
      <c r="W822" s="5"/>
      <c r="X822" s="5"/>
      <c r="Y822" s="5"/>
      <c r="Z822" s="5"/>
      <c r="AA822" s="5"/>
    </row>
    <row r="823" spans="1:27" ht="12.75" customHeight="1">
      <c r="A823" s="5"/>
      <c r="B823" s="5"/>
      <c r="C823" s="5"/>
      <c r="D823" s="5"/>
      <c r="E823" s="5"/>
      <c r="F823" s="5"/>
      <c r="G823" s="5"/>
      <c r="H823" s="306"/>
      <c r="I823" s="306"/>
      <c r="J823" s="5"/>
      <c r="K823" s="5"/>
      <c r="L823" s="5"/>
      <c r="M823" s="5"/>
      <c r="N823" s="5"/>
      <c r="O823" s="5"/>
      <c r="P823" s="57"/>
      <c r="Q823" s="5"/>
      <c r="R823" s="5"/>
      <c r="S823" s="5"/>
      <c r="T823" s="5"/>
      <c r="U823" s="5"/>
      <c r="V823" s="5"/>
      <c r="W823" s="5"/>
      <c r="X823" s="5"/>
      <c r="Y823" s="5"/>
      <c r="Z823" s="5"/>
      <c r="AA823" s="5"/>
    </row>
    <row r="824" spans="1:27" ht="12.75" customHeight="1">
      <c r="A824" s="5"/>
      <c r="B824" s="5"/>
      <c r="C824" s="5"/>
      <c r="D824" s="5"/>
      <c r="E824" s="5"/>
      <c r="F824" s="5"/>
      <c r="G824" s="5"/>
      <c r="H824" s="306"/>
      <c r="I824" s="306"/>
      <c r="J824" s="5"/>
      <c r="K824" s="5"/>
      <c r="L824" s="5"/>
      <c r="M824" s="5"/>
      <c r="N824" s="5"/>
      <c r="O824" s="5"/>
      <c r="P824" s="57"/>
      <c r="Q824" s="5"/>
      <c r="R824" s="5"/>
      <c r="S824" s="5"/>
      <c r="T824" s="5"/>
      <c r="U824" s="5"/>
      <c r="V824" s="5"/>
      <c r="W824" s="5"/>
      <c r="X824" s="5"/>
      <c r="Y824" s="5"/>
      <c r="Z824" s="5"/>
      <c r="AA824" s="5"/>
    </row>
    <row r="825" spans="1:27" ht="12.75" customHeight="1">
      <c r="A825" s="5"/>
      <c r="B825" s="5"/>
      <c r="C825" s="5"/>
      <c r="D825" s="5"/>
      <c r="E825" s="5"/>
      <c r="F825" s="5"/>
      <c r="G825" s="5"/>
      <c r="H825" s="306"/>
      <c r="I825" s="306"/>
      <c r="J825" s="5"/>
      <c r="K825" s="5"/>
      <c r="L825" s="5"/>
      <c r="M825" s="5"/>
      <c r="N825" s="5"/>
      <c r="O825" s="5"/>
      <c r="P825" s="57"/>
      <c r="Q825" s="5"/>
      <c r="R825" s="5"/>
      <c r="S825" s="5"/>
      <c r="T825" s="5"/>
      <c r="U825" s="5"/>
      <c r="V825" s="5"/>
      <c r="W825" s="5"/>
      <c r="X825" s="5"/>
      <c r="Y825" s="5"/>
      <c r="Z825" s="5"/>
      <c r="AA825" s="5"/>
    </row>
    <row r="826" spans="1:27" ht="12.75" customHeight="1">
      <c r="A826" s="5"/>
      <c r="B826" s="5"/>
      <c r="C826" s="5"/>
      <c r="D826" s="5"/>
      <c r="E826" s="5"/>
      <c r="F826" s="5"/>
      <c r="G826" s="5"/>
      <c r="H826" s="306"/>
      <c r="I826" s="306"/>
      <c r="J826" s="5"/>
      <c r="K826" s="5"/>
      <c r="L826" s="5"/>
      <c r="M826" s="5"/>
      <c r="N826" s="5"/>
      <c r="O826" s="5"/>
      <c r="P826" s="57"/>
      <c r="Q826" s="5"/>
      <c r="R826" s="5"/>
      <c r="S826" s="5"/>
      <c r="T826" s="5"/>
      <c r="U826" s="5"/>
      <c r="V826" s="5"/>
      <c r="W826" s="5"/>
      <c r="X826" s="5"/>
      <c r="Y826" s="5"/>
      <c r="Z826" s="5"/>
      <c r="AA826" s="5"/>
    </row>
    <row r="827" spans="1:27" ht="12.75" customHeight="1">
      <c r="A827" s="5"/>
      <c r="B827" s="5"/>
      <c r="C827" s="5"/>
      <c r="D827" s="5"/>
      <c r="E827" s="5"/>
      <c r="F827" s="5"/>
      <c r="G827" s="5"/>
      <c r="H827" s="306"/>
      <c r="I827" s="306"/>
      <c r="J827" s="5"/>
      <c r="K827" s="5"/>
      <c r="L827" s="5"/>
      <c r="M827" s="5"/>
      <c r="N827" s="5"/>
      <c r="O827" s="5"/>
      <c r="P827" s="57"/>
      <c r="Q827" s="5"/>
      <c r="R827" s="5"/>
      <c r="S827" s="5"/>
      <c r="T827" s="5"/>
      <c r="U827" s="5"/>
      <c r="V827" s="5"/>
      <c r="W827" s="5"/>
      <c r="X827" s="5"/>
      <c r="Y827" s="5"/>
      <c r="Z827" s="5"/>
      <c r="AA827" s="5"/>
    </row>
    <row r="828" spans="1:27" ht="12.75" customHeight="1">
      <c r="A828" s="5"/>
      <c r="B828" s="5"/>
      <c r="C828" s="5"/>
      <c r="D828" s="5"/>
      <c r="E828" s="5"/>
      <c r="F828" s="5"/>
      <c r="G828" s="5"/>
      <c r="H828" s="306"/>
      <c r="I828" s="306"/>
      <c r="J828" s="5"/>
      <c r="K828" s="5"/>
      <c r="L828" s="5"/>
      <c r="M828" s="5"/>
      <c r="N828" s="5"/>
      <c r="O828" s="5"/>
      <c r="P828" s="57"/>
      <c r="Q828" s="5"/>
      <c r="R828" s="5"/>
      <c r="S828" s="5"/>
      <c r="T828" s="5"/>
      <c r="U828" s="5"/>
      <c r="V828" s="5"/>
      <c r="W828" s="5"/>
      <c r="X828" s="5"/>
      <c r="Y828" s="5"/>
      <c r="Z828" s="5"/>
      <c r="AA828" s="5"/>
    </row>
    <row r="829" spans="1:27" ht="12.75" customHeight="1">
      <c r="A829" s="5"/>
      <c r="B829" s="5"/>
      <c r="C829" s="5"/>
      <c r="D829" s="5"/>
      <c r="E829" s="5"/>
      <c r="F829" s="5"/>
      <c r="G829" s="5"/>
      <c r="H829" s="306"/>
      <c r="I829" s="306"/>
      <c r="J829" s="5"/>
      <c r="K829" s="5"/>
      <c r="L829" s="5"/>
      <c r="M829" s="5"/>
      <c r="N829" s="5"/>
      <c r="O829" s="5"/>
      <c r="P829" s="57"/>
      <c r="Q829" s="5"/>
      <c r="R829" s="5"/>
      <c r="S829" s="5"/>
      <c r="T829" s="5"/>
      <c r="U829" s="5"/>
      <c r="V829" s="5"/>
      <c r="W829" s="5"/>
      <c r="X829" s="5"/>
      <c r="Y829" s="5"/>
      <c r="Z829" s="5"/>
      <c r="AA829" s="5"/>
    </row>
    <row r="830" spans="1:27" ht="12.75" customHeight="1">
      <c r="A830" s="5"/>
      <c r="B830" s="5"/>
      <c r="C830" s="5"/>
      <c r="D830" s="5"/>
      <c r="E830" s="5"/>
      <c r="F830" s="5"/>
      <c r="G830" s="5"/>
      <c r="H830" s="306"/>
      <c r="I830" s="306"/>
      <c r="J830" s="5"/>
      <c r="K830" s="5"/>
      <c r="L830" s="5"/>
      <c r="M830" s="5"/>
      <c r="N830" s="5"/>
      <c r="O830" s="5"/>
      <c r="P830" s="57"/>
      <c r="Q830" s="5"/>
      <c r="R830" s="5"/>
      <c r="S830" s="5"/>
      <c r="T830" s="5"/>
      <c r="U830" s="5"/>
      <c r="V830" s="5"/>
      <c r="W830" s="5"/>
      <c r="X830" s="5"/>
      <c r="Y830" s="5"/>
      <c r="Z830" s="5"/>
      <c r="AA830" s="5"/>
    </row>
    <row r="831" spans="1:27" ht="12.75" customHeight="1">
      <c r="A831" s="5"/>
      <c r="B831" s="5"/>
      <c r="C831" s="5"/>
      <c r="D831" s="5"/>
      <c r="E831" s="5"/>
      <c r="F831" s="5"/>
      <c r="G831" s="5"/>
      <c r="H831" s="306"/>
      <c r="I831" s="306"/>
      <c r="J831" s="5"/>
      <c r="K831" s="5"/>
      <c r="L831" s="5"/>
      <c r="M831" s="5"/>
      <c r="N831" s="5"/>
      <c r="O831" s="5"/>
      <c r="P831" s="57"/>
      <c r="Q831" s="5"/>
      <c r="R831" s="5"/>
      <c r="S831" s="5"/>
      <c r="T831" s="5"/>
      <c r="U831" s="5"/>
      <c r="V831" s="5"/>
      <c r="W831" s="5"/>
      <c r="X831" s="5"/>
      <c r="Y831" s="5"/>
      <c r="Z831" s="5"/>
      <c r="AA831" s="5"/>
    </row>
    <row r="832" spans="1:27" ht="12.75" customHeight="1">
      <c r="A832" s="5"/>
      <c r="B832" s="5"/>
      <c r="C832" s="5"/>
      <c r="D832" s="5"/>
      <c r="E832" s="5"/>
      <c r="F832" s="5"/>
      <c r="G832" s="5"/>
      <c r="H832" s="306"/>
      <c r="I832" s="306"/>
      <c r="J832" s="5"/>
      <c r="K832" s="5"/>
      <c r="L832" s="5"/>
      <c r="M832" s="5"/>
      <c r="N832" s="5"/>
      <c r="O832" s="5"/>
      <c r="P832" s="57"/>
      <c r="Q832" s="5"/>
      <c r="R832" s="5"/>
      <c r="S832" s="5"/>
      <c r="T832" s="5"/>
      <c r="U832" s="5"/>
      <c r="V832" s="5"/>
      <c r="W832" s="5"/>
      <c r="X832" s="5"/>
      <c r="Y832" s="5"/>
      <c r="Z832" s="5"/>
      <c r="AA832" s="5"/>
    </row>
    <row r="833" spans="1:27" ht="12.75" customHeight="1">
      <c r="A833" s="5"/>
      <c r="B833" s="5"/>
      <c r="C833" s="5"/>
      <c r="D833" s="5"/>
      <c r="E833" s="5"/>
      <c r="F833" s="5"/>
      <c r="G833" s="5"/>
      <c r="H833" s="306"/>
      <c r="I833" s="306"/>
      <c r="J833" s="5"/>
      <c r="K833" s="5"/>
      <c r="L833" s="5"/>
      <c r="M833" s="5"/>
      <c r="N833" s="5"/>
      <c r="O833" s="5"/>
      <c r="P833" s="57"/>
      <c r="Q833" s="5"/>
      <c r="R833" s="5"/>
      <c r="S833" s="5"/>
      <c r="T833" s="5"/>
      <c r="U833" s="5"/>
      <c r="V833" s="5"/>
      <c r="W833" s="5"/>
      <c r="X833" s="5"/>
      <c r="Y833" s="5"/>
      <c r="Z833" s="5"/>
      <c r="AA833" s="5"/>
    </row>
    <row r="834" spans="1:27" ht="12.75" customHeight="1">
      <c r="A834" s="5"/>
      <c r="B834" s="5"/>
      <c r="C834" s="5"/>
      <c r="D834" s="5"/>
      <c r="E834" s="5"/>
      <c r="F834" s="5"/>
      <c r="G834" s="5"/>
      <c r="H834" s="306"/>
      <c r="I834" s="306"/>
      <c r="J834" s="5"/>
      <c r="K834" s="5"/>
      <c r="L834" s="5"/>
      <c r="M834" s="5"/>
      <c r="N834" s="5"/>
      <c r="O834" s="5"/>
      <c r="P834" s="57"/>
      <c r="Q834" s="5"/>
      <c r="R834" s="5"/>
      <c r="S834" s="5"/>
      <c r="T834" s="5"/>
      <c r="U834" s="5"/>
      <c r="V834" s="5"/>
      <c r="W834" s="5"/>
      <c r="X834" s="5"/>
      <c r="Y834" s="5"/>
      <c r="Z834" s="5"/>
      <c r="AA834" s="5"/>
    </row>
    <row r="835" spans="1:27" ht="12.75" customHeight="1">
      <c r="A835" s="5"/>
      <c r="B835" s="5"/>
      <c r="C835" s="5"/>
      <c r="D835" s="5"/>
      <c r="E835" s="5"/>
      <c r="F835" s="5"/>
      <c r="G835" s="5"/>
      <c r="H835" s="306"/>
      <c r="I835" s="306"/>
      <c r="J835" s="5"/>
      <c r="K835" s="5"/>
      <c r="L835" s="5"/>
      <c r="M835" s="5"/>
      <c r="N835" s="5"/>
      <c r="O835" s="5"/>
      <c r="P835" s="57"/>
      <c r="Q835" s="5"/>
      <c r="R835" s="5"/>
      <c r="S835" s="5"/>
      <c r="T835" s="5"/>
      <c r="U835" s="5"/>
      <c r="V835" s="5"/>
      <c r="W835" s="5"/>
      <c r="X835" s="5"/>
      <c r="Y835" s="5"/>
      <c r="Z835" s="5"/>
      <c r="AA835" s="5"/>
    </row>
    <row r="836" spans="1:27" ht="12.75" customHeight="1">
      <c r="A836" s="5"/>
      <c r="B836" s="5"/>
      <c r="C836" s="5"/>
      <c r="D836" s="5"/>
      <c r="E836" s="5"/>
      <c r="F836" s="5"/>
      <c r="G836" s="5"/>
      <c r="H836" s="306"/>
      <c r="I836" s="306"/>
      <c r="J836" s="5"/>
      <c r="K836" s="5"/>
      <c r="L836" s="5"/>
      <c r="M836" s="5"/>
      <c r="N836" s="5"/>
      <c r="O836" s="5"/>
      <c r="P836" s="57"/>
      <c r="Q836" s="5"/>
      <c r="R836" s="5"/>
      <c r="S836" s="5"/>
      <c r="T836" s="5"/>
      <c r="U836" s="5"/>
      <c r="V836" s="5"/>
      <c r="W836" s="5"/>
      <c r="X836" s="5"/>
      <c r="Y836" s="5"/>
      <c r="Z836" s="5"/>
      <c r="AA836" s="5"/>
    </row>
    <row r="837" spans="1:27" ht="12.75" customHeight="1">
      <c r="A837" s="5"/>
      <c r="B837" s="5"/>
      <c r="C837" s="5"/>
      <c r="D837" s="5"/>
      <c r="E837" s="5"/>
      <c r="F837" s="5"/>
      <c r="G837" s="5"/>
      <c r="H837" s="306"/>
      <c r="I837" s="306"/>
      <c r="J837" s="5"/>
      <c r="K837" s="5"/>
      <c r="L837" s="5"/>
      <c r="M837" s="5"/>
      <c r="N837" s="5"/>
      <c r="O837" s="5"/>
      <c r="P837" s="57"/>
      <c r="Q837" s="5"/>
      <c r="R837" s="5"/>
      <c r="S837" s="5"/>
      <c r="T837" s="5"/>
      <c r="U837" s="5"/>
      <c r="V837" s="5"/>
      <c r="W837" s="5"/>
      <c r="X837" s="5"/>
      <c r="Y837" s="5"/>
      <c r="Z837" s="5"/>
      <c r="AA837" s="5"/>
    </row>
    <row r="838" spans="1:27" ht="12.75" customHeight="1">
      <c r="A838" s="5"/>
      <c r="B838" s="5"/>
      <c r="C838" s="5"/>
      <c r="D838" s="5"/>
      <c r="E838" s="5"/>
      <c r="F838" s="5"/>
      <c r="G838" s="5"/>
      <c r="H838" s="306"/>
      <c r="I838" s="306"/>
      <c r="J838" s="5"/>
      <c r="K838" s="5"/>
      <c r="L838" s="5"/>
      <c r="M838" s="5"/>
      <c r="N838" s="5"/>
      <c r="O838" s="5"/>
      <c r="P838" s="57"/>
      <c r="Q838" s="5"/>
      <c r="R838" s="5"/>
      <c r="S838" s="5"/>
      <c r="T838" s="5"/>
      <c r="U838" s="5"/>
      <c r="V838" s="5"/>
      <c r="W838" s="5"/>
      <c r="X838" s="5"/>
      <c r="Y838" s="5"/>
      <c r="Z838" s="5"/>
      <c r="AA838" s="5"/>
    </row>
    <row r="839" spans="1:27" ht="12.75" customHeight="1">
      <c r="A839" s="5"/>
      <c r="B839" s="5"/>
      <c r="C839" s="5"/>
      <c r="D839" s="5"/>
      <c r="E839" s="5"/>
      <c r="F839" s="5"/>
      <c r="G839" s="5"/>
      <c r="H839" s="306"/>
      <c r="I839" s="306"/>
      <c r="J839" s="5"/>
      <c r="K839" s="5"/>
      <c r="L839" s="5"/>
      <c r="M839" s="5"/>
      <c r="N839" s="5"/>
      <c r="O839" s="5"/>
      <c r="P839" s="57"/>
      <c r="Q839" s="5"/>
      <c r="R839" s="5"/>
      <c r="S839" s="5"/>
      <c r="T839" s="5"/>
      <c r="U839" s="5"/>
      <c r="V839" s="5"/>
      <c r="W839" s="5"/>
      <c r="X839" s="5"/>
      <c r="Y839" s="5"/>
      <c r="Z839" s="5"/>
      <c r="AA839" s="5"/>
    </row>
    <row r="840" spans="1:27" ht="12.75" customHeight="1">
      <c r="A840" s="5"/>
      <c r="B840" s="5"/>
      <c r="C840" s="5"/>
      <c r="D840" s="5"/>
      <c r="E840" s="5"/>
      <c r="F840" s="5"/>
      <c r="G840" s="5"/>
      <c r="H840" s="306"/>
      <c r="I840" s="306"/>
      <c r="J840" s="5"/>
      <c r="K840" s="5"/>
      <c r="L840" s="5"/>
      <c r="M840" s="5"/>
      <c r="N840" s="5"/>
      <c r="O840" s="5"/>
      <c r="P840" s="57"/>
      <c r="Q840" s="5"/>
      <c r="R840" s="5"/>
      <c r="S840" s="5"/>
      <c r="T840" s="5"/>
      <c r="U840" s="5"/>
      <c r="V840" s="5"/>
      <c r="W840" s="5"/>
      <c r="X840" s="5"/>
      <c r="Y840" s="5"/>
      <c r="Z840" s="5"/>
      <c r="AA840" s="5"/>
    </row>
    <row r="841" spans="1:27" ht="12.75" customHeight="1">
      <c r="A841" s="5"/>
      <c r="B841" s="5"/>
      <c r="C841" s="5"/>
      <c r="D841" s="5"/>
      <c r="E841" s="5"/>
      <c r="F841" s="5"/>
      <c r="G841" s="5"/>
      <c r="H841" s="306"/>
      <c r="I841" s="306"/>
      <c r="J841" s="5"/>
      <c r="K841" s="5"/>
      <c r="L841" s="5"/>
      <c r="M841" s="5"/>
      <c r="N841" s="5"/>
      <c r="O841" s="5"/>
      <c r="P841" s="57"/>
      <c r="Q841" s="5"/>
      <c r="R841" s="5"/>
      <c r="S841" s="5"/>
      <c r="T841" s="5"/>
      <c r="U841" s="5"/>
      <c r="V841" s="5"/>
      <c r="W841" s="5"/>
      <c r="X841" s="5"/>
      <c r="Y841" s="5"/>
      <c r="Z841" s="5"/>
      <c r="AA841" s="5"/>
    </row>
    <row r="842" spans="1:27" ht="12.75" customHeight="1">
      <c r="A842" s="5"/>
      <c r="B842" s="5"/>
      <c r="C842" s="5"/>
      <c r="D842" s="5"/>
      <c r="E842" s="5"/>
      <c r="F842" s="5"/>
      <c r="G842" s="5"/>
      <c r="H842" s="306"/>
      <c r="I842" s="306"/>
      <c r="J842" s="5"/>
      <c r="K842" s="5"/>
      <c r="L842" s="5"/>
      <c r="M842" s="5"/>
      <c r="N842" s="5"/>
      <c r="O842" s="5"/>
      <c r="P842" s="57"/>
      <c r="Q842" s="5"/>
      <c r="R842" s="5"/>
      <c r="S842" s="5"/>
      <c r="T842" s="5"/>
      <c r="U842" s="5"/>
      <c r="V842" s="5"/>
      <c r="W842" s="5"/>
      <c r="X842" s="5"/>
      <c r="Y842" s="5"/>
      <c r="Z842" s="5"/>
      <c r="AA842" s="5"/>
    </row>
    <row r="843" spans="1:27" ht="12.75" customHeight="1">
      <c r="A843" s="5"/>
      <c r="B843" s="5"/>
      <c r="C843" s="5"/>
      <c r="D843" s="5"/>
      <c r="E843" s="5"/>
      <c r="F843" s="5"/>
      <c r="G843" s="5"/>
      <c r="H843" s="306"/>
      <c r="I843" s="306"/>
      <c r="J843" s="5"/>
      <c r="K843" s="5"/>
      <c r="L843" s="5"/>
      <c r="M843" s="5"/>
      <c r="N843" s="5"/>
      <c r="O843" s="5"/>
      <c r="P843" s="57"/>
      <c r="Q843" s="5"/>
      <c r="R843" s="5"/>
      <c r="S843" s="5"/>
      <c r="T843" s="5"/>
      <c r="U843" s="5"/>
      <c r="V843" s="5"/>
      <c r="W843" s="5"/>
      <c r="X843" s="5"/>
      <c r="Y843" s="5"/>
      <c r="Z843" s="5"/>
      <c r="AA843" s="5"/>
    </row>
    <row r="844" spans="1:27" ht="12.75" customHeight="1">
      <c r="A844" s="5"/>
      <c r="B844" s="5"/>
      <c r="C844" s="5"/>
      <c r="D844" s="5"/>
      <c r="E844" s="5"/>
      <c r="F844" s="5"/>
      <c r="G844" s="5"/>
      <c r="H844" s="306"/>
      <c r="I844" s="306"/>
      <c r="J844" s="5"/>
      <c r="K844" s="5"/>
      <c r="L844" s="5"/>
      <c r="M844" s="5"/>
      <c r="N844" s="5"/>
      <c r="O844" s="5"/>
      <c r="P844" s="57"/>
      <c r="Q844" s="5"/>
      <c r="R844" s="5"/>
      <c r="S844" s="5"/>
      <c r="T844" s="5"/>
      <c r="U844" s="5"/>
      <c r="V844" s="5"/>
      <c r="W844" s="5"/>
      <c r="X844" s="5"/>
      <c r="Y844" s="5"/>
      <c r="Z844" s="5"/>
      <c r="AA844" s="5"/>
    </row>
    <row r="845" spans="1:27" ht="12.75" customHeight="1">
      <c r="A845" s="5"/>
      <c r="B845" s="5"/>
      <c r="C845" s="5"/>
      <c r="D845" s="5"/>
      <c r="E845" s="5"/>
      <c r="F845" s="5"/>
      <c r="G845" s="5"/>
      <c r="H845" s="306"/>
      <c r="I845" s="306"/>
      <c r="J845" s="5"/>
      <c r="K845" s="5"/>
      <c r="L845" s="5"/>
      <c r="M845" s="5"/>
      <c r="N845" s="5"/>
      <c r="O845" s="5"/>
      <c r="P845" s="57"/>
      <c r="Q845" s="5"/>
      <c r="R845" s="5"/>
      <c r="S845" s="5"/>
      <c r="T845" s="5"/>
      <c r="U845" s="5"/>
      <c r="V845" s="5"/>
      <c r="W845" s="5"/>
      <c r="X845" s="5"/>
      <c r="Y845" s="5"/>
      <c r="Z845" s="5"/>
      <c r="AA845" s="5"/>
    </row>
    <row r="846" spans="1:27" ht="12.75" customHeight="1">
      <c r="A846" s="5"/>
      <c r="B846" s="5"/>
      <c r="C846" s="5"/>
      <c r="D846" s="5"/>
      <c r="E846" s="5"/>
      <c r="F846" s="5"/>
      <c r="G846" s="5"/>
      <c r="H846" s="306"/>
      <c r="I846" s="306"/>
      <c r="J846" s="5"/>
      <c r="K846" s="5"/>
      <c r="L846" s="5"/>
      <c r="M846" s="5"/>
      <c r="N846" s="5"/>
      <c r="O846" s="5"/>
      <c r="P846" s="57"/>
      <c r="Q846" s="5"/>
      <c r="R846" s="5"/>
      <c r="S846" s="5"/>
      <c r="T846" s="5"/>
      <c r="U846" s="5"/>
      <c r="V846" s="5"/>
      <c r="W846" s="5"/>
      <c r="X846" s="5"/>
      <c r="Y846" s="5"/>
      <c r="Z846" s="5"/>
      <c r="AA846" s="5"/>
    </row>
    <row r="847" spans="1:27" ht="12.75" customHeight="1">
      <c r="A847" s="5"/>
      <c r="B847" s="5"/>
      <c r="C847" s="5"/>
      <c r="D847" s="5"/>
      <c r="E847" s="5"/>
      <c r="F847" s="5"/>
      <c r="G847" s="5"/>
      <c r="H847" s="306"/>
      <c r="I847" s="306"/>
      <c r="J847" s="5"/>
      <c r="K847" s="5"/>
      <c r="L847" s="5"/>
      <c r="M847" s="5"/>
      <c r="N847" s="5"/>
      <c r="O847" s="5"/>
      <c r="P847" s="57"/>
      <c r="Q847" s="5"/>
      <c r="R847" s="5"/>
      <c r="S847" s="5"/>
      <c r="T847" s="5"/>
      <c r="U847" s="5"/>
      <c r="V847" s="5"/>
      <c r="W847" s="5"/>
      <c r="X847" s="5"/>
      <c r="Y847" s="5"/>
      <c r="Z847" s="5"/>
      <c r="AA847" s="5"/>
    </row>
    <row r="848" spans="1:27" ht="12.75" customHeight="1">
      <c r="A848" s="5"/>
      <c r="B848" s="5"/>
      <c r="C848" s="5"/>
      <c r="D848" s="5"/>
      <c r="E848" s="5"/>
      <c r="F848" s="5"/>
      <c r="G848" s="5"/>
      <c r="H848" s="306"/>
      <c r="I848" s="306"/>
      <c r="J848" s="5"/>
      <c r="K848" s="5"/>
      <c r="L848" s="5"/>
      <c r="M848" s="5"/>
      <c r="N848" s="5"/>
      <c r="O848" s="5"/>
      <c r="P848" s="57"/>
      <c r="Q848" s="5"/>
      <c r="R848" s="5"/>
      <c r="S848" s="5"/>
      <c r="T848" s="5"/>
      <c r="U848" s="5"/>
      <c r="V848" s="5"/>
      <c r="W848" s="5"/>
      <c r="X848" s="5"/>
      <c r="Y848" s="5"/>
      <c r="Z848" s="5"/>
      <c r="AA848" s="5"/>
    </row>
    <row r="849" spans="1:27" ht="12.75" customHeight="1">
      <c r="A849" s="5"/>
      <c r="B849" s="5"/>
      <c r="C849" s="5"/>
      <c r="D849" s="5"/>
      <c r="E849" s="5"/>
      <c r="F849" s="5"/>
      <c r="G849" s="5"/>
      <c r="H849" s="306"/>
      <c r="I849" s="306"/>
      <c r="J849" s="5"/>
      <c r="K849" s="5"/>
      <c r="L849" s="5"/>
      <c r="M849" s="5"/>
      <c r="N849" s="5"/>
      <c r="O849" s="5"/>
      <c r="P849" s="57"/>
      <c r="Q849" s="5"/>
      <c r="R849" s="5"/>
      <c r="S849" s="5"/>
      <c r="T849" s="5"/>
      <c r="U849" s="5"/>
      <c r="V849" s="5"/>
      <c r="W849" s="5"/>
      <c r="X849" s="5"/>
      <c r="Y849" s="5"/>
      <c r="Z849" s="5"/>
      <c r="AA849" s="5"/>
    </row>
    <row r="850" spans="1:27" ht="12.75" customHeight="1">
      <c r="A850" s="5"/>
      <c r="B850" s="5"/>
      <c r="C850" s="5"/>
      <c r="D850" s="5"/>
      <c r="E850" s="5"/>
      <c r="F850" s="5"/>
      <c r="G850" s="5"/>
      <c r="H850" s="306"/>
      <c r="I850" s="306"/>
      <c r="J850" s="5"/>
      <c r="K850" s="5"/>
      <c r="L850" s="5"/>
      <c r="M850" s="5"/>
      <c r="N850" s="5"/>
      <c r="O850" s="5"/>
      <c r="P850" s="57"/>
      <c r="Q850" s="5"/>
      <c r="R850" s="5"/>
      <c r="S850" s="5"/>
      <c r="T850" s="5"/>
      <c r="U850" s="5"/>
      <c r="V850" s="5"/>
      <c r="W850" s="5"/>
      <c r="X850" s="5"/>
      <c r="Y850" s="5"/>
      <c r="Z850" s="5"/>
      <c r="AA850" s="5"/>
    </row>
    <row r="851" spans="1:27" ht="12.75" customHeight="1">
      <c r="A851" s="5"/>
      <c r="B851" s="5"/>
      <c r="C851" s="5"/>
      <c r="D851" s="5"/>
      <c r="E851" s="5"/>
      <c r="F851" s="5"/>
      <c r="G851" s="5"/>
      <c r="H851" s="306"/>
      <c r="I851" s="306"/>
      <c r="J851" s="5"/>
      <c r="K851" s="5"/>
      <c r="L851" s="5"/>
      <c r="M851" s="5"/>
      <c r="N851" s="5"/>
      <c r="O851" s="5"/>
      <c r="P851" s="57"/>
      <c r="Q851" s="5"/>
      <c r="R851" s="5"/>
      <c r="S851" s="5"/>
      <c r="T851" s="5"/>
      <c r="U851" s="5"/>
      <c r="V851" s="5"/>
      <c r="W851" s="5"/>
      <c r="X851" s="5"/>
      <c r="Y851" s="5"/>
      <c r="Z851" s="5"/>
      <c r="AA851" s="5"/>
    </row>
    <row r="852" spans="1:27" ht="12.75" customHeight="1">
      <c r="A852" s="5"/>
      <c r="B852" s="5"/>
      <c r="C852" s="5"/>
      <c r="D852" s="5"/>
      <c r="E852" s="5"/>
      <c r="F852" s="5"/>
      <c r="G852" s="5"/>
      <c r="H852" s="306"/>
      <c r="I852" s="306"/>
      <c r="J852" s="5"/>
      <c r="K852" s="5"/>
      <c r="L852" s="5"/>
      <c r="M852" s="5"/>
      <c r="N852" s="5"/>
      <c r="O852" s="5"/>
      <c r="P852" s="57"/>
      <c r="Q852" s="5"/>
      <c r="R852" s="5"/>
      <c r="S852" s="5"/>
      <c r="T852" s="5"/>
      <c r="U852" s="5"/>
      <c r="V852" s="5"/>
      <c r="W852" s="5"/>
      <c r="X852" s="5"/>
      <c r="Y852" s="5"/>
      <c r="Z852" s="5"/>
      <c r="AA852" s="5"/>
    </row>
    <row r="853" spans="1:27" ht="12.75" customHeight="1">
      <c r="A853" s="5"/>
      <c r="B853" s="5"/>
      <c r="C853" s="5"/>
      <c r="D853" s="5"/>
      <c r="E853" s="5"/>
      <c r="F853" s="5"/>
      <c r="G853" s="5"/>
      <c r="H853" s="306"/>
      <c r="I853" s="306"/>
      <c r="J853" s="5"/>
      <c r="K853" s="5"/>
      <c r="L853" s="5"/>
      <c r="M853" s="5"/>
      <c r="N853" s="5"/>
      <c r="O853" s="5"/>
      <c r="P853" s="57"/>
      <c r="Q853" s="5"/>
      <c r="R853" s="5"/>
      <c r="S853" s="5"/>
      <c r="T853" s="5"/>
      <c r="U853" s="5"/>
      <c r="V853" s="5"/>
      <c r="W853" s="5"/>
      <c r="X853" s="5"/>
      <c r="Y853" s="5"/>
      <c r="Z853" s="5"/>
      <c r="AA853" s="5"/>
    </row>
    <row r="854" spans="1:27" ht="12.75" customHeight="1">
      <c r="A854" s="5"/>
      <c r="B854" s="5"/>
      <c r="C854" s="5"/>
      <c r="D854" s="5"/>
      <c r="E854" s="5"/>
      <c r="F854" s="5"/>
      <c r="G854" s="5"/>
      <c r="H854" s="306"/>
      <c r="I854" s="306"/>
      <c r="J854" s="5"/>
      <c r="K854" s="5"/>
      <c r="L854" s="5"/>
      <c r="M854" s="5"/>
      <c r="N854" s="5"/>
      <c r="O854" s="5"/>
      <c r="P854" s="57"/>
      <c r="Q854" s="5"/>
      <c r="R854" s="5"/>
      <c r="S854" s="5"/>
      <c r="T854" s="5"/>
      <c r="U854" s="5"/>
      <c r="V854" s="5"/>
      <c r="W854" s="5"/>
      <c r="X854" s="5"/>
      <c r="Y854" s="5"/>
      <c r="Z854" s="5"/>
      <c r="AA854" s="5"/>
    </row>
    <row r="855" spans="1:27" ht="12.75" customHeight="1">
      <c r="A855" s="5"/>
      <c r="B855" s="5"/>
      <c r="C855" s="5"/>
      <c r="D855" s="5"/>
      <c r="E855" s="5"/>
      <c r="F855" s="5"/>
      <c r="G855" s="5"/>
      <c r="H855" s="306"/>
      <c r="I855" s="306"/>
      <c r="J855" s="5"/>
      <c r="K855" s="5"/>
      <c r="L855" s="5"/>
      <c r="M855" s="5"/>
      <c r="N855" s="5"/>
      <c r="O855" s="5"/>
      <c r="P855" s="57"/>
      <c r="Q855" s="5"/>
      <c r="R855" s="5"/>
      <c r="S855" s="5"/>
      <c r="T855" s="5"/>
      <c r="U855" s="5"/>
      <c r="V855" s="5"/>
      <c r="W855" s="5"/>
      <c r="X855" s="5"/>
      <c r="Y855" s="5"/>
      <c r="Z855" s="5"/>
      <c r="AA855" s="5"/>
    </row>
    <row r="856" spans="1:27" ht="12.75" customHeight="1">
      <c r="A856" s="5"/>
      <c r="B856" s="5"/>
      <c r="C856" s="5"/>
      <c r="D856" s="5"/>
      <c r="E856" s="5"/>
      <c r="F856" s="5"/>
      <c r="G856" s="5"/>
      <c r="H856" s="306"/>
      <c r="I856" s="306"/>
      <c r="J856" s="5"/>
      <c r="K856" s="5"/>
      <c r="L856" s="5"/>
      <c r="M856" s="5"/>
      <c r="N856" s="5"/>
      <c r="O856" s="5"/>
      <c r="P856" s="57"/>
      <c r="Q856" s="5"/>
      <c r="R856" s="5"/>
      <c r="S856" s="5"/>
      <c r="T856" s="5"/>
      <c r="U856" s="5"/>
      <c r="V856" s="5"/>
      <c r="W856" s="5"/>
      <c r="X856" s="5"/>
      <c r="Y856" s="5"/>
      <c r="Z856" s="5"/>
      <c r="AA856" s="5"/>
    </row>
    <row r="857" spans="1:27" ht="12.75" customHeight="1">
      <c r="A857" s="5"/>
      <c r="B857" s="5"/>
      <c r="C857" s="5"/>
      <c r="D857" s="5"/>
      <c r="E857" s="5"/>
      <c r="F857" s="5"/>
      <c r="G857" s="5"/>
      <c r="H857" s="306"/>
      <c r="I857" s="306"/>
      <c r="J857" s="5"/>
      <c r="K857" s="5"/>
      <c r="L857" s="5"/>
      <c r="M857" s="5"/>
      <c r="N857" s="5"/>
      <c r="O857" s="5"/>
      <c r="P857" s="57"/>
      <c r="Q857" s="5"/>
      <c r="R857" s="5"/>
      <c r="S857" s="5"/>
      <c r="T857" s="5"/>
      <c r="U857" s="5"/>
      <c r="V857" s="5"/>
      <c r="W857" s="5"/>
      <c r="X857" s="5"/>
      <c r="Y857" s="5"/>
      <c r="Z857" s="5"/>
      <c r="AA857" s="5"/>
    </row>
    <row r="858" spans="1:27" ht="12.75" customHeight="1">
      <c r="A858" s="5"/>
      <c r="B858" s="5"/>
      <c r="C858" s="5"/>
      <c r="D858" s="5"/>
      <c r="E858" s="5"/>
      <c r="F858" s="5"/>
      <c r="G858" s="5"/>
      <c r="H858" s="306"/>
      <c r="I858" s="306"/>
      <c r="J858" s="5"/>
      <c r="K858" s="5"/>
      <c r="L858" s="5"/>
      <c r="M858" s="5"/>
      <c r="N858" s="5"/>
      <c r="O858" s="5"/>
      <c r="P858" s="57"/>
      <c r="Q858" s="5"/>
      <c r="R858" s="5"/>
      <c r="S858" s="5"/>
      <c r="T858" s="5"/>
      <c r="U858" s="5"/>
      <c r="V858" s="5"/>
      <c r="W858" s="5"/>
      <c r="X858" s="5"/>
      <c r="Y858" s="5"/>
      <c r="Z858" s="5"/>
      <c r="AA858" s="5"/>
    </row>
    <row r="859" spans="1:27" ht="12.75" customHeight="1">
      <c r="A859" s="5"/>
      <c r="B859" s="5"/>
      <c r="C859" s="5"/>
      <c r="D859" s="5"/>
      <c r="E859" s="5"/>
      <c r="F859" s="5"/>
      <c r="G859" s="5"/>
      <c r="H859" s="306"/>
      <c r="I859" s="306"/>
      <c r="J859" s="5"/>
      <c r="K859" s="5"/>
      <c r="L859" s="5"/>
      <c r="M859" s="5"/>
      <c r="N859" s="5"/>
      <c r="O859" s="5"/>
      <c r="P859" s="57"/>
      <c r="Q859" s="5"/>
      <c r="R859" s="5"/>
      <c r="S859" s="5"/>
      <c r="T859" s="5"/>
      <c r="U859" s="5"/>
      <c r="V859" s="5"/>
      <c r="W859" s="5"/>
      <c r="X859" s="5"/>
      <c r="Y859" s="5"/>
      <c r="Z859" s="5"/>
      <c r="AA859" s="5"/>
    </row>
    <row r="860" spans="1:27" ht="12.75" customHeight="1">
      <c r="A860" s="5"/>
      <c r="B860" s="5"/>
      <c r="C860" s="5"/>
      <c r="D860" s="5"/>
      <c r="E860" s="5"/>
      <c r="F860" s="5"/>
      <c r="G860" s="5"/>
      <c r="H860" s="306"/>
      <c r="I860" s="306"/>
      <c r="J860" s="5"/>
      <c r="K860" s="5"/>
      <c r="L860" s="5"/>
      <c r="M860" s="5"/>
      <c r="N860" s="5"/>
      <c r="O860" s="5"/>
      <c r="P860" s="57"/>
      <c r="Q860" s="5"/>
      <c r="R860" s="5"/>
      <c r="S860" s="5"/>
      <c r="T860" s="5"/>
      <c r="U860" s="5"/>
      <c r="V860" s="5"/>
      <c r="W860" s="5"/>
      <c r="X860" s="5"/>
      <c r="Y860" s="5"/>
      <c r="Z860" s="5"/>
      <c r="AA860" s="5"/>
    </row>
    <row r="861" spans="1:27" ht="12.75" customHeight="1">
      <c r="A861" s="5"/>
      <c r="B861" s="5"/>
      <c r="C861" s="5"/>
      <c r="D861" s="5"/>
      <c r="E861" s="5"/>
      <c r="F861" s="5"/>
      <c r="G861" s="5"/>
      <c r="H861" s="306"/>
      <c r="I861" s="306"/>
      <c r="J861" s="5"/>
      <c r="K861" s="5"/>
      <c r="L861" s="5"/>
      <c r="M861" s="5"/>
      <c r="N861" s="5"/>
      <c r="O861" s="5"/>
      <c r="P861" s="57"/>
      <c r="Q861" s="5"/>
      <c r="R861" s="5"/>
      <c r="S861" s="5"/>
      <c r="T861" s="5"/>
      <c r="U861" s="5"/>
      <c r="V861" s="5"/>
      <c r="W861" s="5"/>
      <c r="X861" s="5"/>
      <c r="Y861" s="5"/>
      <c r="Z861" s="5"/>
      <c r="AA861" s="5"/>
    </row>
    <row r="862" spans="1:27" ht="12.75" customHeight="1">
      <c r="A862" s="5"/>
      <c r="B862" s="5"/>
      <c r="C862" s="5"/>
      <c r="D862" s="5"/>
      <c r="E862" s="5"/>
      <c r="F862" s="5"/>
      <c r="G862" s="5"/>
      <c r="H862" s="306"/>
      <c r="I862" s="306"/>
      <c r="J862" s="5"/>
      <c r="K862" s="5"/>
      <c r="L862" s="5"/>
      <c r="M862" s="5"/>
      <c r="N862" s="5"/>
      <c r="O862" s="5"/>
      <c r="P862" s="57"/>
      <c r="Q862" s="5"/>
      <c r="R862" s="5"/>
      <c r="S862" s="5"/>
      <c r="T862" s="5"/>
      <c r="U862" s="5"/>
      <c r="V862" s="5"/>
      <c r="W862" s="5"/>
      <c r="X862" s="5"/>
      <c r="Y862" s="5"/>
      <c r="Z862" s="5"/>
      <c r="AA862" s="5"/>
    </row>
    <row r="863" spans="1:27" ht="12.75" customHeight="1">
      <c r="A863" s="5"/>
      <c r="B863" s="5"/>
      <c r="C863" s="5"/>
      <c r="D863" s="5"/>
      <c r="E863" s="5"/>
      <c r="F863" s="5"/>
      <c r="G863" s="5"/>
      <c r="H863" s="306"/>
      <c r="I863" s="306"/>
      <c r="J863" s="5"/>
      <c r="K863" s="5"/>
      <c r="L863" s="5"/>
      <c r="M863" s="5"/>
      <c r="N863" s="5"/>
      <c r="O863" s="5"/>
      <c r="P863" s="57"/>
      <c r="Q863" s="5"/>
      <c r="R863" s="5"/>
      <c r="S863" s="5"/>
      <c r="T863" s="5"/>
      <c r="U863" s="5"/>
      <c r="V863" s="5"/>
      <c r="W863" s="5"/>
      <c r="X863" s="5"/>
      <c r="Y863" s="5"/>
      <c r="Z863" s="5"/>
      <c r="AA863" s="5"/>
    </row>
    <row r="864" spans="1:27" ht="12.75" customHeight="1">
      <c r="A864" s="5"/>
      <c r="B864" s="5"/>
      <c r="C864" s="5"/>
      <c r="D864" s="5"/>
      <c r="E864" s="5"/>
      <c r="F864" s="5"/>
      <c r="G864" s="5"/>
      <c r="H864" s="306"/>
      <c r="I864" s="306"/>
      <c r="J864" s="5"/>
      <c r="K864" s="5"/>
      <c r="L864" s="5"/>
      <c r="M864" s="5"/>
      <c r="N864" s="5"/>
      <c r="O864" s="5"/>
      <c r="P864" s="57"/>
      <c r="Q864" s="5"/>
      <c r="R864" s="5"/>
      <c r="S864" s="5"/>
      <c r="T864" s="5"/>
      <c r="U864" s="5"/>
      <c r="V864" s="5"/>
      <c r="W864" s="5"/>
      <c r="X864" s="5"/>
      <c r="Y864" s="5"/>
      <c r="Z864" s="5"/>
      <c r="AA864" s="5"/>
    </row>
    <row r="865" spans="1:27" ht="12.75" customHeight="1">
      <c r="A865" s="5"/>
      <c r="B865" s="5"/>
      <c r="C865" s="5"/>
      <c r="D865" s="5"/>
      <c r="E865" s="5"/>
      <c r="F865" s="5"/>
      <c r="G865" s="5"/>
      <c r="H865" s="306"/>
      <c r="I865" s="306"/>
      <c r="J865" s="5"/>
      <c r="K865" s="5"/>
      <c r="L865" s="5"/>
      <c r="M865" s="5"/>
      <c r="N865" s="5"/>
      <c r="O865" s="5"/>
      <c r="P865" s="57"/>
      <c r="Q865" s="5"/>
      <c r="R865" s="5"/>
      <c r="S865" s="5"/>
      <c r="T865" s="5"/>
      <c r="U865" s="5"/>
      <c r="V865" s="5"/>
      <c r="W865" s="5"/>
      <c r="X865" s="5"/>
      <c r="Y865" s="5"/>
      <c r="Z865" s="5"/>
      <c r="AA865" s="5"/>
    </row>
    <row r="866" spans="1:27" ht="12.75" customHeight="1">
      <c r="A866" s="5"/>
      <c r="B866" s="5"/>
      <c r="C866" s="5"/>
      <c r="D866" s="5"/>
      <c r="E866" s="5"/>
      <c r="F866" s="5"/>
      <c r="G866" s="5"/>
      <c r="H866" s="306"/>
      <c r="I866" s="306"/>
      <c r="J866" s="5"/>
      <c r="K866" s="5"/>
      <c r="L866" s="5"/>
      <c r="M866" s="5"/>
      <c r="N866" s="5"/>
      <c r="O866" s="5"/>
      <c r="P866" s="57"/>
      <c r="Q866" s="5"/>
      <c r="R866" s="5"/>
      <c r="S866" s="5"/>
      <c r="T866" s="5"/>
      <c r="U866" s="5"/>
      <c r="V866" s="5"/>
      <c r="W866" s="5"/>
      <c r="X866" s="5"/>
      <c r="Y866" s="5"/>
      <c r="Z866" s="5"/>
      <c r="AA866" s="5"/>
    </row>
    <row r="867" spans="1:27" ht="12.75" customHeight="1">
      <c r="A867" s="5"/>
      <c r="B867" s="5"/>
      <c r="C867" s="5"/>
      <c r="D867" s="5"/>
      <c r="E867" s="5"/>
      <c r="F867" s="5"/>
      <c r="G867" s="5"/>
      <c r="H867" s="306"/>
      <c r="I867" s="306"/>
      <c r="J867" s="5"/>
      <c r="K867" s="5"/>
      <c r="L867" s="5"/>
      <c r="M867" s="5"/>
      <c r="N867" s="5"/>
      <c r="O867" s="5"/>
      <c r="P867" s="57"/>
      <c r="Q867" s="5"/>
      <c r="R867" s="5"/>
      <c r="S867" s="5"/>
      <c r="T867" s="5"/>
      <c r="U867" s="5"/>
      <c r="V867" s="5"/>
      <c r="W867" s="5"/>
      <c r="X867" s="5"/>
      <c r="Y867" s="5"/>
      <c r="Z867" s="5"/>
      <c r="AA867" s="5"/>
    </row>
    <row r="868" spans="1:27" ht="12.75" customHeight="1">
      <c r="A868" s="5"/>
      <c r="B868" s="5"/>
      <c r="C868" s="5"/>
      <c r="D868" s="5"/>
      <c r="E868" s="5"/>
      <c r="F868" s="5"/>
      <c r="G868" s="5"/>
      <c r="H868" s="306"/>
      <c r="I868" s="306"/>
      <c r="J868" s="5"/>
      <c r="K868" s="5"/>
      <c r="L868" s="5"/>
      <c r="M868" s="5"/>
      <c r="N868" s="5"/>
      <c r="O868" s="5"/>
      <c r="P868" s="57"/>
      <c r="Q868" s="5"/>
      <c r="R868" s="5"/>
      <c r="S868" s="5"/>
      <c r="T868" s="5"/>
      <c r="U868" s="5"/>
      <c r="V868" s="5"/>
      <c r="W868" s="5"/>
      <c r="X868" s="5"/>
      <c r="Y868" s="5"/>
      <c r="Z868" s="5"/>
      <c r="AA868" s="5"/>
    </row>
    <row r="869" spans="1:27" ht="12.75" customHeight="1">
      <c r="A869" s="5"/>
      <c r="B869" s="5"/>
      <c r="C869" s="5"/>
      <c r="D869" s="5"/>
      <c r="E869" s="5"/>
      <c r="F869" s="5"/>
      <c r="G869" s="5"/>
      <c r="H869" s="306"/>
      <c r="I869" s="306"/>
      <c r="J869" s="5"/>
      <c r="K869" s="5"/>
      <c r="L869" s="5"/>
      <c r="M869" s="5"/>
      <c r="N869" s="5"/>
      <c r="O869" s="5"/>
      <c r="P869" s="57"/>
      <c r="Q869" s="5"/>
      <c r="R869" s="5"/>
      <c r="S869" s="5"/>
      <c r="T869" s="5"/>
      <c r="U869" s="5"/>
      <c r="V869" s="5"/>
      <c r="W869" s="5"/>
      <c r="X869" s="5"/>
      <c r="Y869" s="5"/>
      <c r="Z869" s="5"/>
      <c r="AA869" s="5"/>
    </row>
    <row r="870" spans="1:27" ht="12.75" customHeight="1">
      <c r="A870" s="5"/>
      <c r="B870" s="5"/>
      <c r="C870" s="5"/>
      <c r="D870" s="5"/>
      <c r="E870" s="5"/>
      <c r="F870" s="5"/>
      <c r="G870" s="5"/>
      <c r="H870" s="306"/>
      <c r="I870" s="306"/>
      <c r="J870" s="5"/>
      <c r="K870" s="5"/>
      <c r="L870" s="5"/>
      <c r="M870" s="5"/>
      <c r="N870" s="5"/>
      <c r="O870" s="5"/>
      <c r="P870" s="57"/>
      <c r="Q870" s="5"/>
      <c r="R870" s="5"/>
      <c r="S870" s="5"/>
      <c r="T870" s="5"/>
      <c r="U870" s="5"/>
      <c r="V870" s="5"/>
      <c r="W870" s="5"/>
      <c r="X870" s="5"/>
      <c r="Y870" s="5"/>
      <c r="Z870" s="5"/>
      <c r="AA870" s="5"/>
    </row>
    <row r="871" spans="1:27" ht="12.75" customHeight="1">
      <c r="A871" s="5"/>
      <c r="B871" s="5"/>
      <c r="C871" s="5"/>
      <c r="D871" s="5"/>
      <c r="E871" s="5"/>
      <c r="F871" s="5"/>
      <c r="G871" s="5"/>
      <c r="H871" s="306"/>
      <c r="I871" s="306"/>
      <c r="J871" s="5"/>
      <c r="K871" s="5"/>
      <c r="L871" s="5"/>
      <c r="M871" s="5"/>
      <c r="N871" s="5"/>
      <c r="O871" s="5"/>
      <c r="P871" s="57"/>
      <c r="Q871" s="5"/>
      <c r="R871" s="5"/>
      <c r="S871" s="5"/>
      <c r="T871" s="5"/>
      <c r="U871" s="5"/>
      <c r="V871" s="5"/>
      <c r="W871" s="5"/>
      <c r="X871" s="5"/>
      <c r="Y871" s="5"/>
      <c r="Z871" s="5"/>
      <c r="AA871" s="5"/>
    </row>
    <row r="872" spans="1:27" ht="12.75" customHeight="1">
      <c r="A872" s="5"/>
      <c r="B872" s="5"/>
      <c r="C872" s="5"/>
      <c r="D872" s="5"/>
      <c r="E872" s="5"/>
      <c r="F872" s="5"/>
      <c r="G872" s="5"/>
      <c r="H872" s="306"/>
      <c r="I872" s="306"/>
      <c r="J872" s="5"/>
      <c r="K872" s="5"/>
      <c r="L872" s="5"/>
      <c r="M872" s="5"/>
      <c r="N872" s="5"/>
      <c r="O872" s="5"/>
      <c r="P872" s="57"/>
      <c r="Q872" s="5"/>
      <c r="R872" s="5"/>
      <c r="S872" s="5"/>
      <c r="T872" s="5"/>
      <c r="U872" s="5"/>
      <c r="V872" s="5"/>
      <c r="W872" s="5"/>
      <c r="X872" s="5"/>
      <c r="Y872" s="5"/>
      <c r="Z872" s="5"/>
      <c r="AA872" s="5"/>
    </row>
    <row r="873" spans="1:27" ht="12.75" customHeight="1">
      <c r="A873" s="5"/>
      <c r="B873" s="5"/>
      <c r="C873" s="5"/>
      <c r="D873" s="5"/>
      <c r="E873" s="5"/>
      <c r="F873" s="5"/>
      <c r="G873" s="5"/>
      <c r="H873" s="306"/>
      <c r="I873" s="306"/>
      <c r="J873" s="5"/>
      <c r="K873" s="5"/>
      <c r="L873" s="5"/>
      <c r="M873" s="5"/>
      <c r="N873" s="5"/>
      <c r="O873" s="5"/>
      <c r="P873" s="57"/>
      <c r="Q873" s="5"/>
      <c r="R873" s="5"/>
      <c r="S873" s="5"/>
      <c r="T873" s="5"/>
      <c r="U873" s="5"/>
      <c r="V873" s="5"/>
      <c r="W873" s="5"/>
      <c r="X873" s="5"/>
      <c r="Y873" s="5"/>
      <c r="Z873" s="5"/>
      <c r="AA873" s="5"/>
    </row>
    <row r="874" spans="1:27" ht="12.75" customHeight="1">
      <c r="A874" s="5"/>
      <c r="B874" s="5"/>
      <c r="C874" s="5"/>
      <c r="D874" s="5"/>
      <c r="E874" s="5"/>
      <c r="F874" s="5"/>
      <c r="G874" s="5"/>
      <c r="H874" s="306"/>
      <c r="I874" s="306"/>
      <c r="J874" s="5"/>
      <c r="K874" s="5"/>
      <c r="L874" s="5"/>
      <c r="M874" s="5"/>
      <c r="N874" s="5"/>
      <c r="O874" s="5"/>
      <c r="P874" s="57"/>
      <c r="Q874" s="5"/>
      <c r="R874" s="5"/>
      <c r="S874" s="5"/>
      <c r="T874" s="5"/>
      <c r="U874" s="5"/>
      <c r="V874" s="5"/>
      <c r="W874" s="5"/>
      <c r="X874" s="5"/>
      <c r="Y874" s="5"/>
      <c r="Z874" s="5"/>
      <c r="AA874" s="5"/>
    </row>
    <row r="875" spans="1:27" ht="12.75" customHeight="1">
      <c r="A875" s="5"/>
      <c r="B875" s="5"/>
      <c r="C875" s="5"/>
      <c r="D875" s="5"/>
      <c r="E875" s="5"/>
      <c r="F875" s="5"/>
      <c r="G875" s="5"/>
      <c r="H875" s="306"/>
      <c r="I875" s="306"/>
      <c r="J875" s="5"/>
      <c r="K875" s="5"/>
      <c r="L875" s="5"/>
      <c r="M875" s="5"/>
      <c r="N875" s="5"/>
      <c r="O875" s="5"/>
      <c r="P875" s="57"/>
      <c r="Q875" s="5"/>
      <c r="R875" s="5"/>
      <c r="S875" s="5"/>
      <c r="T875" s="5"/>
      <c r="U875" s="5"/>
      <c r="V875" s="5"/>
      <c r="W875" s="5"/>
      <c r="X875" s="5"/>
      <c r="Y875" s="5"/>
      <c r="Z875" s="5"/>
      <c r="AA875" s="5"/>
    </row>
    <row r="876" spans="1:27" ht="12.75" customHeight="1">
      <c r="A876" s="5"/>
      <c r="B876" s="5"/>
      <c r="C876" s="5"/>
      <c r="D876" s="5"/>
      <c r="E876" s="5"/>
      <c r="F876" s="5"/>
      <c r="G876" s="5"/>
      <c r="H876" s="306"/>
      <c r="I876" s="306"/>
      <c r="J876" s="5"/>
      <c r="K876" s="5"/>
      <c r="L876" s="5"/>
      <c r="M876" s="5"/>
      <c r="N876" s="5"/>
      <c r="O876" s="5"/>
      <c r="P876" s="57"/>
      <c r="Q876" s="5"/>
      <c r="R876" s="5"/>
      <c r="S876" s="5"/>
      <c r="T876" s="5"/>
      <c r="U876" s="5"/>
      <c r="V876" s="5"/>
      <c r="W876" s="5"/>
      <c r="X876" s="5"/>
      <c r="Y876" s="5"/>
      <c r="Z876" s="5"/>
      <c r="AA876" s="5"/>
    </row>
    <row r="877" spans="1:27" ht="12.75" customHeight="1">
      <c r="A877" s="5"/>
      <c r="B877" s="5"/>
      <c r="C877" s="5"/>
      <c r="D877" s="5"/>
      <c r="E877" s="5"/>
      <c r="F877" s="5"/>
      <c r="G877" s="5"/>
      <c r="H877" s="306"/>
      <c r="I877" s="306"/>
      <c r="J877" s="5"/>
      <c r="K877" s="5"/>
      <c r="L877" s="5"/>
      <c r="M877" s="5"/>
      <c r="N877" s="5"/>
      <c r="O877" s="5"/>
      <c r="P877" s="57"/>
      <c r="Q877" s="5"/>
      <c r="R877" s="5"/>
      <c r="S877" s="5"/>
      <c r="T877" s="5"/>
      <c r="U877" s="5"/>
      <c r="V877" s="5"/>
      <c r="W877" s="5"/>
      <c r="X877" s="5"/>
      <c r="Y877" s="5"/>
      <c r="Z877" s="5"/>
      <c r="AA877" s="5"/>
    </row>
    <row r="878" spans="1:27" ht="12.75" customHeight="1">
      <c r="A878" s="5"/>
      <c r="B878" s="5"/>
      <c r="C878" s="5"/>
      <c r="D878" s="5"/>
      <c r="E878" s="5"/>
      <c r="F878" s="5"/>
      <c r="G878" s="5"/>
      <c r="H878" s="306"/>
      <c r="I878" s="306"/>
      <c r="J878" s="5"/>
      <c r="K878" s="5"/>
      <c r="L878" s="5"/>
      <c r="M878" s="5"/>
      <c r="N878" s="5"/>
      <c r="O878" s="5"/>
      <c r="P878" s="57"/>
      <c r="Q878" s="5"/>
      <c r="R878" s="5"/>
      <c r="S878" s="5"/>
      <c r="T878" s="5"/>
      <c r="U878" s="5"/>
      <c r="V878" s="5"/>
      <c r="W878" s="5"/>
      <c r="X878" s="5"/>
      <c r="Y878" s="5"/>
      <c r="Z878" s="5"/>
      <c r="AA878" s="5"/>
    </row>
    <row r="879" spans="1:27" ht="12.75" customHeight="1">
      <c r="A879" s="5"/>
      <c r="B879" s="5"/>
      <c r="C879" s="5"/>
      <c r="D879" s="5"/>
      <c r="E879" s="5"/>
      <c r="F879" s="5"/>
      <c r="G879" s="5"/>
      <c r="H879" s="306"/>
      <c r="I879" s="306"/>
      <c r="J879" s="5"/>
      <c r="K879" s="5"/>
      <c r="L879" s="5"/>
      <c r="M879" s="5"/>
      <c r="N879" s="5"/>
      <c r="O879" s="5"/>
      <c r="P879" s="57"/>
      <c r="Q879" s="5"/>
      <c r="R879" s="5"/>
      <c r="S879" s="5"/>
      <c r="T879" s="5"/>
      <c r="U879" s="5"/>
      <c r="V879" s="5"/>
      <c r="W879" s="5"/>
      <c r="X879" s="5"/>
      <c r="Y879" s="5"/>
      <c r="Z879" s="5"/>
      <c r="AA879" s="5"/>
    </row>
    <row r="880" spans="1:27" ht="12.75" customHeight="1">
      <c r="A880" s="5"/>
      <c r="B880" s="5"/>
      <c r="C880" s="5"/>
      <c r="D880" s="5"/>
      <c r="E880" s="5"/>
      <c r="F880" s="5"/>
      <c r="G880" s="5"/>
      <c r="H880" s="306"/>
      <c r="I880" s="306"/>
      <c r="J880" s="5"/>
      <c r="K880" s="5"/>
      <c r="L880" s="5"/>
      <c r="M880" s="5"/>
      <c r="N880" s="5"/>
      <c r="O880" s="5"/>
      <c r="P880" s="57"/>
      <c r="Q880" s="5"/>
      <c r="R880" s="5"/>
      <c r="S880" s="5"/>
      <c r="T880" s="5"/>
      <c r="U880" s="5"/>
      <c r="V880" s="5"/>
      <c r="W880" s="5"/>
      <c r="X880" s="5"/>
      <c r="Y880" s="5"/>
      <c r="Z880" s="5"/>
      <c r="AA880" s="5"/>
    </row>
    <row r="881" spans="1:27" ht="12.75" customHeight="1">
      <c r="A881" s="5"/>
      <c r="B881" s="5"/>
      <c r="C881" s="5"/>
      <c r="D881" s="5"/>
      <c r="E881" s="5"/>
      <c r="F881" s="5"/>
      <c r="G881" s="5"/>
      <c r="H881" s="306"/>
      <c r="I881" s="306"/>
      <c r="J881" s="5"/>
      <c r="K881" s="5"/>
      <c r="L881" s="5"/>
      <c r="M881" s="5"/>
      <c r="N881" s="5"/>
      <c r="O881" s="5"/>
      <c r="P881" s="57"/>
      <c r="Q881" s="5"/>
      <c r="R881" s="5"/>
      <c r="S881" s="5"/>
      <c r="T881" s="5"/>
      <c r="U881" s="5"/>
      <c r="V881" s="5"/>
      <c r="W881" s="5"/>
      <c r="X881" s="5"/>
      <c r="Y881" s="5"/>
      <c r="Z881" s="5"/>
      <c r="AA881" s="5"/>
    </row>
    <row r="882" spans="1:27" ht="12.75" customHeight="1">
      <c r="A882" s="5"/>
      <c r="B882" s="5"/>
      <c r="C882" s="5"/>
      <c r="D882" s="5"/>
      <c r="E882" s="5"/>
      <c r="F882" s="5"/>
      <c r="G882" s="5"/>
      <c r="H882" s="306"/>
      <c r="I882" s="306"/>
      <c r="J882" s="5"/>
      <c r="K882" s="5"/>
      <c r="L882" s="5"/>
      <c r="M882" s="5"/>
      <c r="N882" s="5"/>
      <c r="O882" s="5"/>
      <c r="P882" s="57"/>
      <c r="Q882" s="5"/>
      <c r="R882" s="5"/>
      <c r="S882" s="5"/>
      <c r="T882" s="5"/>
      <c r="U882" s="5"/>
      <c r="V882" s="5"/>
      <c r="W882" s="5"/>
      <c r="X882" s="5"/>
      <c r="Y882" s="5"/>
      <c r="Z882" s="5"/>
      <c r="AA882" s="5"/>
    </row>
    <row r="883" spans="1:27" ht="12.75" customHeight="1">
      <c r="A883" s="5"/>
      <c r="B883" s="5"/>
      <c r="C883" s="5"/>
      <c r="D883" s="5"/>
      <c r="E883" s="5"/>
      <c r="F883" s="5"/>
      <c r="G883" s="5"/>
      <c r="H883" s="306"/>
      <c r="I883" s="306"/>
      <c r="J883" s="5"/>
      <c r="K883" s="5"/>
      <c r="L883" s="5"/>
      <c r="M883" s="5"/>
      <c r="N883" s="5"/>
      <c r="O883" s="5"/>
      <c r="P883" s="57"/>
      <c r="Q883" s="5"/>
      <c r="R883" s="5"/>
      <c r="S883" s="5"/>
      <c r="T883" s="5"/>
      <c r="U883" s="5"/>
      <c r="V883" s="5"/>
      <c r="W883" s="5"/>
      <c r="X883" s="5"/>
      <c r="Y883" s="5"/>
      <c r="Z883" s="5"/>
      <c r="AA883" s="5"/>
    </row>
    <row r="884" spans="1:27" ht="12.75" customHeight="1">
      <c r="A884" s="5"/>
      <c r="B884" s="5"/>
      <c r="C884" s="5"/>
      <c r="D884" s="5"/>
      <c r="E884" s="5"/>
      <c r="F884" s="5"/>
      <c r="G884" s="5"/>
      <c r="H884" s="306"/>
      <c r="I884" s="306"/>
      <c r="J884" s="5"/>
      <c r="K884" s="5"/>
      <c r="L884" s="5"/>
      <c r="M884" s="5"/>
      <c r="N884" s="5"/>
      <c r="O884" s="5"/>
      <c r="P884" s="57"/>
      <c r="Q884" s="5"/>
      <c r="R884" s="5"/>
      <c r="S884" s="5"/>
      <c r="T884" s="5"/>
      <c r="U884" s="5"/>
      <c r="V884" s="5"/>
      <c r="W884" s="5"/>
      <c r="X884" s="5"/>
      <c r="Y884" s="5"/>
      <c r="Z884" s="5"/>
      <c r="AA884" s="5"/>
    </row>
    <row r="885" spans="1:27" ht="12.75" customHeight="1">
      <c r="A885" s="5"/>
      <c r="B885" s="5"/>
      <c r="C885" s="5"/>
      <c r="D885" s="5"/>
      <c r="E885" s="5"/>
      <c r="F885" s="5"/>
      <c r="G885" s="5"/>
      <c r="H885" s="306"/>
      <c r="I885" s="306"/>
      <c r="J885" s="5"/>
      <c r="K885" s="5"/>
      <c r="L885" s="5"/>
      <c r="M885" s="5"/>
      <c r="N885" s="5"/>
      <c r="O885" s="5"/>
      <c r="P885" s="57"/>
      <c r="Q885" s="5"/>
      <c r="R885" s="5"/>
      <c r="S885" s="5"/>
      <c r="T885" s="5"/>
      <c r="U885" s="5"/>
      <c r="V885" s="5"/>
      <c r="W885" s="5"/>
      <c r="X885" s="5"/>
      <c r="Y885" s="5"/>
      <c r="Z885" s="5"/>
      <c r="AA885" s="5"/>
    </row>
    <row r="886" spans="1:27" ht="12.75" customHeight="1">
      <c r="A886" s="5"/>
      <c r="B886" s="5"/>
      <c r="C886" s="5"/>
      <c r="D886" s="5"/>
      <c r="E886" s="5"/>
      <c r="F886" s="5"/>
      <c r="G886" s="5"/>
      <c r="H886" s="306"/>
      <c r="I886" s="306"/>
      <c r="J886" s="5"/>
      <c r="K886" s="5"/>
      <c r="L886" s="5"/>
      <c r="M886" s="5"/>
      <c r="N886" s="5"/>
      <c r="O886" s="5"/>
      <c r="P886" s="57"/>
      <c r="Q886" s="5"/>
      <c r="R886" s="5"/>
      <c r="S886" s="5"/>
      <c r="T886" s="5"/>
      <c r="U886" s="5"/>
      <c r="V886" s="5"/>
      <c r="W886" s="5"/>
      <c r="X886" s="5"/>
      <c r="Y886" s="5"/>
      <c r="Z886" s="5"/>
      <c r="AA886" s="5"/>
    </row>
    <row r="887" spans="1:27" ht="12.75" customHeight="1">
      <c r="A887" s="5"/>
      <c r="B887" s="5"/>
      <c r="C887" s="5"/>
      <c r="D887" s="5"/>
      <c r="E887" s="5"/>
      <c r="F887" s="5"/>
      <c r="G887" s="5"/>
      <c r="H887" s="306"/>
      <c r="I887" s="306"/>
      <c r="J887" s="5"/>
      <c r="K887" s="5"/>
      <c r="L887" s="5"/>
      <c r="M887" s="5"/>
      <c r="N887" s="5"/>
      <c r="O887" s="5"/>
      <c r="P887" s="57"/>
      <c r="Q887" s="5"/>
      <c r="R887" s="5"/>
      <c r="S887" s="5"/>
      <c r="T887" s="5"/>
      <c r="U887" s="5"/>
      <c r="V887" s="5"/>
      <c r="W887" s="5"/>
      <c r="X887" s="5"/>
      <c r="Y887" s="5"/>
      <c r="Z887" s="5"/>
      <c r="AA887" s="5"/>
    </row>
    <row r="888" spans="1:27" ht="12.75" customHeight="1">
      <c r="A888" s="5"/>
      <c r="B888" s="5"/>
      <c r="C888" s="5"/>
      <c r="D888" s="5"/>
      <c r="E888" s="5"/>
      <c r="F888" s="5"/>
      <c r="G888" s="5"/>
      <c r="H888" s="306"/>
      <c r="I888" s="306"/>
      <c r="J888" s="5"/>
      <c r="K888" s="5"/>
      <c r="L888" s="5"/>
      <c r="M888" s="5"/>
      <c r="N888" s="5"/>
      <c r="O888" s="5"/>
      <c r="P888" s="57"/>
      <c r="Q888" s="5"/>
      <c r="R888" s="5"/>
      <c r="S888" s="5"/>
      <c r="T888" s="5"/>
      <c r="U888" s="5"/>
      <c r="V888" s="5"/>
      <c r="W888" s="5"/>
      <c r="X888" s="5"/>
      <c r="Y888" s="5"/>
      <c r="Z888" s="5"/>
      <c r="AA888" s="5"/>
    </row>
    <row r="889" spans="1:27" ht="12.75" customHeight="1">
      <c r="A889" s="5"/>
      <c r="B889" s="5"/>
      <c r="C889" s="5"/>
      <c r="D889" s="5"/>
      <c r="E889" s="5"/>
      <c r="F889" s="5"/>
      <c r="G889" s="5"/>
      <c r="H889" s="306"/>
      <c r="I889" s="306"/>
      <c r="J889" s="5"/>
      <c r="K889" s="5"/>
      <c r="L889" s="5"/>
      <c r="M889" s="5"/>
      <c r="N889" s="5"/>
      <c r="O889" s="5"/>
      <c r="P889" s="57"/>
      <c r="Q889" s="5"/>
      <c r="R889" s="5"/>
      <c r="S889" s="5"/>
      <c r="T889" s="5"/>
      <c r="U889" s="5"/>
      <c r="V889" s="5"/>
      <c r="W889" s="5"/>
      <c r="X889" s="5"/>
      <c r="Y889" s="5"/>
      <c r="Z889" s="5"/>
      <c r="AA889" s="5"/>
    </row>
    <row r="890" spans="1:27" ht="12.75" customHeight="1">
      <c r="A890" s="5"/>
      <c r="B890" s="5"/>
      <c r="C890" s="5"/>
      <c r="D890" s="5"/>
      <c r="E890" s="5"/>
      <c r="F890" s="5"/>
      <c r="G890" s="5"/>
      <c r="H890" s="306"/>
      <c r="I890" s="306"/>
      <c r="J890" s="5"/>
      <c r="K890" s="5"/>
      <c r="L890" s="5"/>
      <c r="M890" s="5"/>
      <c r="N890" s="5"/>
      <c r="O890" s="5"/>
      <c r="P890" s="57"/>
      <c r="Q890" s="5"/>
      <c r="R890" s="5"/>
      <c r="S890" s="5"/>
      <c r="T890" s="5"/>
      <c r="U890" s="5"/>
      <c r="V890" s="5"/>
      <c r="W890" s="5"/>
      <c r="X890" s="5"/>
      <c r="Y890" s="5"/>
      <c r="Z890" s="5"/>
      <c r="AA890" s="5"/>
    </row>
    <row r="891" spans="1:27" ht="12.75" customHeight="1">
      <c r="A891" s="5"/>
      <c r="B891" s="5"/>
      <c r="C891" s="5"/>
      <c r="D891" s="5"/>
      <c r="E891" s="5"/>
      <c r="F891" s="5"/>
      <c r="G891" s="5"/>
      <c r="H891" s="306"/>
      <c r="I891" s="306"/>
      <c r="J891" s="5"/>
      <c r="K891" s="5"/>
      <c r="L891" s="5"/>
      <c r="M891" s="5"/>
      <c r="N891" s="5"/>
      <c r="O891" s="5"/>
      <c r="P891" s="57"/>
      <c r="Q891" s="5"/>
      <c r="R891" s="5"/>
      <c r="S891" s="5"/>
      <c r="T891" s="5"/>
      <c r="U891" s="5"/>
      <c r="V891" s="5"/>
      <c r="W891" s="5"/>
      <c r="X891" s="5"/>
      <c r="Y891" s="5"/>
      <c r="Z891" s="5"/>
      <c r="AA891" s="5"/>
    </row>
    <row r="892" spans="1:27" ht="12.75" customHeight="1">
      <c r="A892" s="5"/>
      <c r="B892" s="5"/>
      <c r="C892" s="5"/>
      <c r="D892" s="5"/>
      <c r="E892" s="5"/>
      <c r="F892" s="5"/>
      <c r="G892" s="5"/>
      <c r="H892" s="306"/>
      <c r="I892" s="306"/>
      <c r="J892" s="5"/>
      <c r="K892" s="5"/>
      <c r="L892" s="5"/>
      <c r="M892" s="5"/>
      <c r="N892" s="5"/>
      <c r="O892" s="5"/>
      <c r="P892" s="57"/>
      <c r="Q892" s="5"/>
      <c r="R892" s="5"/>
      <c r="S892" s="5"/>
      <c r="T892" s="5"/>
      <c r="U892" s="5"/>
      <c r="V892" s="5"/>
      <c r="W892" s="5"/>
      <c r="X892" s="5"/>
      <c r="Y892" s="5"/>
      <c r="Z892" s="5"/>
      <c r="AA892" s="5"/>
    </row>
    <row r="893" spans="1:27" ht="12.75" customHeight="1">
      <c r="A893" s="5"/>
      <c r="B893" s="5"/>
      <c r="C893" s="5"/>
      <c r="D893" s="5"/>
      <c r="E893" s="5"/>
      <c r="F893" s="5"/>
      <c r="G893" s="5"/>
      <c r="H893" s="306"/>
      <c r="I893" s="306"/>
      <c r="J893" s="5"/>
      <c r="K893" s="5"/>
      <c r="L893" s="5"/>
      <c r="M893" s="5"/>
      <c r="N893" s="5"/>
      <c r="O893" s="5"/>
      <c r="P893" s="57"/>
      <c r="Q893" s="5"/>
      <c r="R893" s="5"/>
      <c r="S893" s="5"/>
      <c r="T893" s="5"/>
      <c r="U893" s="5"/>
      <c r="V893" s="5"/>
      <c r="W893" s="5"/>
      <c r="X893" s="5"/>
      <c r="Y893" s="5"/>
      <c r="Z893" s="5"/>
      <c r="AA893" s="5"/>
    </row>
    <row r="894" spans="1:27" ht="12.75" customHeight="1">
      <c r="A894" s="5"/>
      <c r="B894" s="5"/>
      <c r="C894" s="5"/>
      <c r="D894" s="5"/>
      <c r="E894" s="5"/>
      <c r="F894" s="5"/>
      <c r="G894" s="5"/>
      <c r="H894" s="306"/>
      <c r="I894" s="306"/>
      <c r="J894" s="5"/>
      <c r="K894" s="5"/>
      <c r="L894" s="5"/>
      <c r="M894" s="5"/>
      <c r="N894" s="5"/>
      <c r="O894" s="5"/>
      <c r="P894" s="57"/>
      <c r="Q894" s="5"/>
      <c r="R894" s="5"/>
      <c r="S894" s="5"/>
      <c r="T894" s="5"/>
      <c r="U894" s="5"/>
      <c r="V894" s="5"/>
      <c r="W894" s="5"/>
      <c r="X894" s="5"/>
      <c r="Y894" s="5"/>
      <c r="Z894" s="5"/>
      <c r="AA894" s="5"/>
    </row>
    <row r="895" spans="1:27" ht="12.75" customHeight="1">
      <c r="A895" s="5"/>
      <c r="B895" s="5"/>
      <c r="C895" s="5"/>
      <c r="D895" s="5"/>
      <c r="E895" s="5"/>
      <c r="F895" s="5"/>
      <c r="G895" s="5"/>
      <c r="H895" s="306"/>
      <c r="I895" s="306"/>
      <c r="J895" s="5"/>
      <c r="K895" s="5"/>
      <c r="L895" s="5"/>
      <c r="M895" s="5"/>
      <c r="N895" s="5"/>
      <c r="O895" s="5"/>
      <c r="P895" s="57"/>
      <c r="Q895" s="5"/>
      <c r="R895" s="5"/>
      <c r="S895" s="5"/>
      <c r="T895" s="5"/>
      <c r="U895" s="5"/>
      <c r="V895" s="5"/>
      <c r="W895" s="5"/>
      <c r="X895" s="5"/>
      <c r="Y895" s="5"/>
      <c r="Z895" s="5"/>
      <c r="AA895" s="5"/>
    </row>
    <row r="896" spans="1:27" ht="12.75" customHeight="1">
      <c r="A896" s="5"/>
      <c r="B896" s="5"/>
      <c r="C896" s="5"/>
      <c r="D896" s="5"/>
      <c r="E896" s="5"/>
      <c r="F896" s="5"/>
      <c r="G896" s="5"/>
      <c r="H896" s="306"/>
      <c r="I896" s="306"/>
      <c r="J896" s="5"/>
      <c r="K896" s="5"/>
      <c r="L896" s="5"/>
      <c r="M896" s="5"/>
      <c r="N896" s="5"/>
      <c r="O896" s="5"/>
      <c r="P896" s="57"/>
      <c r="Q896" s="5"/>
      <c r="R896" s="5"/>
      <c r="S896" s="5"/>
      <c r="T896" s="5"/>
      <c r="U896" s="5"/>
      <c r="V896" s="5"/>
      <c r="W896" s="5"/>
      <c r="X896" s="5"/>
      <c r="Y896" s="5"/>
      <c r="Z896" s="5"/>
      <c r="AA896" s="5"/>
    </row>
    <row r="897" spans="1:27" ht="12.75" customHeight="1">
      <c r="A897" s="5"/>
      <c r="B897" s="5"/>
      <c r="C897" s="5"/>
      <c r="D897" s="5"/>
      <c r="E897" s="5"/>
      <c r="F897" s="5"/>
      <c r="G897" s="5"/>
      <c r="H897" s="306"/>
      <c r="I897" s="306"/>
      <c r="J897" s="5"/>
      <c r="K897" s="5"/>
      <c r="L897" s="5"/>
      <c r="M897" s="5"/>
      <c r="N897" s="5"/>
      <c r="O897" s="5"/>
      <c r="P897" s="57"/>
      <c r="Q897" s="5"/>
      <c r="R897" s="5"/>
      <c r="S897" s="5"/>
      <c r="T897" s="5"/>
      <c r="U897" s="5"/>
      <c r="V897" s="5"/>
      <c r="W897" s="5"/>
      <c r="X897" s="5"/>
      <c r="Y897" s="5"/>
      <c r="Z897" s="5"/>
      <c r="AA897" s="5"/>
    </row>
    <row r="898" spans="1:27" ht="12.75" customHeight="1">
      <c r="A898" s="5"/>
      <c r="B898" s="5"/>
      <c r="C898" s="5"/>
      <c r="D898" s="5"/>
      <c r="E898" s="5"/>
      <c r="F898" s="5"/>
      <c r="G898" s="5"/>
      <c r="H898" s="306"/>
      <c r="I898" s="306"/>
      <c r="J898" s="5"/>
      <c r="K898" s="5"/>
      <c r="L898" s="5"/>
      <c r="M898" s="5"/>
      <c r="N898" s="5"/>
      <c r="O898" s="5"/>
      <c r="P898" s="57"/>
      <c r="Q898" s="5"/>
      <c r="R898" s="5"/>
      <c r="S898" s="5"/>
      <c r="T898" s="5"/>
      <c r="U898" s="5"/>
      <c r="V898" s="5"/>
      <c r="W898" s="5"/>
      <c r="X898" s="5"/>
      <c r="Y898" s="5"/>
      <c r="Z898" s="5"/>
      <c r="AA898" s="5"/>
    </row>
    <row r="899" spans="1:27" ht="12.75" customHeight="1">
      <c r="A899" s="5"/>
      <c r="B899" s="5"/>
      <c r="C899" s="5"/>
      <c r="D899" s="5"/>
      <c r="E899" s="5"/>
      <c r="F899" s="5"/>
      <c r="G899" s="5"/>
      <c r="H899" s="306"/>
      <c r="I899" s="306"/>
      <c r="J899" s="5"/>
      <c r="K899" s="5"/>
      <c r="L899" s="5"/>
      <c r="M899" s="5"/>
      <c r="N899" s="5"/>
      <c r="O899" s="5"/>
      <c r="P899" s="57"/>
      <c r="Q899" s="5"/>
      <c r="R899" s="5"/>
      <c r="S899" s="5"/>
      <c r="T899" s="5"/>
      <c r="U899" s="5"/>
      <c r="V899" s="5"/>
      <c r="W899" s="5"/>
      <c r="X899" s="5"/>
      <c r="Y899" s="5"/>
      <c r="Z899" s="5"/>
      <c r="AA899" s="5"/>
    </row>
    <row r="900" spans="1:27" ht="12.75" customHeight="1">
      <c r="A900" s="5"/>
      <c r="B900" s="5"/>
      <c r="C900" s="5"/>
      <c r="D900" s="5"/>
      <c r="E900" s="5"/>
      <c r="F900" s="5"/>
      <c r="G900" s="5"/>
      <c r="H900" s="306"/>
      <c r="I900" s="306"/>
      <c r="J900" s="5"/>
      <c r="K900" s="5"/>
      <c r="L900" s="5"/>
      <c r="M900" s="5"/>
      <c r="N900" s="5"/>
      <c r="O900" s="5"/>
      <c r="P900" s="57"/>
      <c r="Q900" s="5"/>
      <c r="R900" s="5"/>
      <c r="S900" s="5"/>
      <c r="T900" s="5"/>
      <c r="U900" s="5"/>
      <c r="V900" s="5"/>
      <c r="W900" s="5"/>
      <c r="X900" s="5"/>
      <c r="Y900" s="5"/>
      <c r="Z900" s="5"/>
      <c r="AA900" s="5"/>
    </row>
    <row r="901" spans="1:27" ht="12.75" customHeight="1">
      <c r="A901" s="5"/>
      <c r="B901" s="5"/>
      <c r="C901" s="5"/>
      <c r="D901" s="5"/>
      <c r="E901" s="5"/>
      <c r="F901" s="5"/>
      <c r="G901" s="5"/>
      <c r="H901" s="306"/>
      <c r="I901" s="306"/>
      <c r="J901" s="5"/>
      <c r="K901" s="5"/>
      <c r="L901" s="5"/>
      <c r="M901" s="5"/>
      <c r="N901" s="5"/>
      <c r="O901" s="5"/>
      <c r="P901" s="57"/>
      <c r="Q901" s="5"/>
      <c r="R901" s="5"/>
      <c r="S901" s="5"/>
      <c r="T901" s="5"/>
      <c r="U901" s="5"/>
      <c r="V901" s="5"/>
      <c r="W901" s="5"/>
      <c r="X901" s="5"/>
      <c r="Y901" s="5"/>
      <c r="Z901" s="5"/>
      <c r="AA901" s="5"/>
    </row>
    <row r="902" spans="1:27" ht="12.75" customHeight="1">
      <c r="A902" s="5"/>
      <c r="B902" s="5"/>
      <c r="C902" s="5"/>
      <c r="D902" s="5"/>
      <c r="E902" s="5"/>
      <c r="F902" s="5"/>
      <c r="G902" s="5"/>
      <c r="H902" s="306"/>
      <c r="I902" s="306"/>
      <c r="J902" s="5"/>
      <c r="K902" s="5"/>
      <c r="L902" s="5"/>
      <c r="M902" s="5"/>
      <c r="N902" s="5"/>
      <c r="O902" s="5"/>
      <c r="P902" s="57"/>
      <c r="Q902" s="5"/>
      <c r="R902" s="5"/>
      <c r="S902" s="5"/>
      <c r="T902" s="5"/>
      <c r="U902" s="5"/>
      <c r="V902" s="5"/>
      <c r="W902" s="5"/>
      <c r="X902" s="5"/>
      <c r="Y902" s="5"/>
      <c r="Z902" s="5"/>
      <c r="AA902" s="5"/>
    </row>
    <row r="903" spans="1:27" ht="12.75" customHeight="1">
      <c r="A903" s="5"/>
      <c r="B903" s="5"/>
      <c r="C903" s="5"/>
      <c r="D903" s="5"/>
      <c r="E903" s="5"/>
      <c r="F903" s="5"/>
      <c r="G903" s="5"/>
      <c r="H903" s="306"/>
      <c r="I903" s="306"/>
      <c r="J903" s="5"/>
      <c r="K903" s="5"/>
      <c r="L903" s="5"/>
      <c r="M903" s="5"/>
      <c r="N903" s="5"/>
      <c r="O903" s="5"/>
      <c r="P903" s="57"/>
      <c r="Q903" s="5"/>
      <c r="R903" s="5"/>
      <c r="S903" s="5"/>
      <c r="T903" s="5"/>
      <c r="U903" s="5"/>
      <c r="V903" s="5"/>
      <c r="W903" s="5"/>
      <c r="X903" s="5"/>
      <c r="Y903" s="5"/>
      <c r="Z903" s="5"/>
      <c r="AA903" s="5"/>
    </row>
    <row r="904" spans="1:27" ht="12.75" customHeight="1">
      <c r="A904" s="5"/>
      <c r="B904" s="5"/>
      <c r="C904" s="5"/>
      <c r="D904" s="5"/>
      <c r="E904" s="5"/>
      <c r="F904" s="5"/>
      <c r="G904" s="5"/>
      <c r="H904" s="306"/>
      <c r="I904" s="306"/>
      <c r="J904" s="5"/>
      <c r="K904" s="5"/>
      <c r="L904" s="5"/>
      <c r="M904" s="5"/>
      <c r="N904" s="5"/>
      <c r="O904" s="5"/>
      <c r="P904" s="57"/>
      <c r="Q904" s="5"/>
      <c r="R904" s="5"/>
      <c r="S904" s="5"/>
      <c r="T904" s="5"/>
      <c r="U904" s="5"/>
      <c r="V904" s="5"/>
      <c r="W904" s="5"/>
      <c r="X904" s="5"/>
      <c r="Y904" s="5"/>
      <c r="Z904" s="5"/>
      <c r="AA904" s="5"/>
    </row>
    <row r="905" spans="1:27" ht="12.75" customHeight="1">
      <c r="A905" s="5"/>
      <c r="B905" s="5"/>
      <c r="C905" s="5"/>
      <c r="D905" s="5"/>
      <c r="E905" s="5"/>
      <c r="F905" s="5"/>
      <c r="G905" s="5"/>
      <c r="H905" s="306"/>
      <c r="I905" s="306"/>
      <c r="J905" s="5"/>
      <c r="K905" s="5"/>
      <c r="L905" s="5"/>
      <c r="M905" s="5"/>
      <c r="N905" s="5"/>
      <c r="O905" s="5"/>
      <c r="P905" s="57"/>
      <c r="Q905" s="5"/>
      <c r="R905" s="5"/>
      <c r="S905" s="5"/>
      <c r="T905" s="5"/>
      <c r="U905" s="5"/>
      <c r="V905" s="5"/>
      <c r="W905" s="5"/>
      <c r="X905" s="5"/>
      <c r="Y905" s="5"/>
      <c r="Z905" s="5"/>
      <c r="AA905" s="5"/>
    </row>
    <row r="906" spans="1:27" ht="12.75" customHeight="1">
      <c r="A906" s="5"/>
      <c r="B906" s="5"/>
      <c r="C906" s="5"/>
      <c r="D906" s="5"/>
      <c r="E906" s="5"/>
      <c r="F906" s="5"/>
      <c r="G906" s="5"/>
      <c r="H906" s="306"/>
      <c r="I906" s="306"/>
      <c r="J906" s="5"/>
      <c r="K906" s="5"/>
      <c r="L906" s="5"/>
      <c r="M906" s="5"/>
      <c r="N906" s="5"/>
      <c r="O906" s="5"/>
      <c r="P906" s="57"/>
      <c r="Q906" s="5"/>
      <c r="R906" s="5"/>
      <c r="S906" s="5"/>
      <c r="T906" s="5"/>
      <c r="U906" s="5"/>
      <c r="V906" s="5"/>
      <c r="W906" s="5"/>
      <c r="X906" s="5"/>
      <c r="Y906" s="5"/>
      <c r="Z906" s="5"/>
      <c r="AA906" s="5"/>
    </row>
    <row r="907" spans="1:27" ht="12.75" customHeight="1">
      <c r="A907" s="5"/>
      <c r="B907" s="5"/>
      <c r="C907" s="5"/>
      <c r="D907" s="5"/>
      <c r="E907" s="5"/>
      <c r="F907" s="5"/>
      <c r="G907" s="5"/>
      <c r="H907" s="306"/>
      <c r="I907" s="306"/>
      <c r="J907" s="5"/>
      <c r="K907" s="5"/>
      <c r="L907" s="5"/>
      <c r="M907" s="5"/>
      <c r="N907" s="5"/>
      <c r="O907" s="5"/>
      <c r="P907" s="57"/>
      <c r="Q907" s="5"/>
      <c r="R907" s="5"/>
      <c r="S907" s="5"/>
      <c r="T907" s="5"/>
      <c r="U907" s="5"/>
      <c r="V907" s="5"/>
      <c r="W907" s="5"/>
      <c r="X907" s="5"/>
      <c r="Y907" s="5"/>
      <c r="Z907" s="5"/>
      <c r="AA907" s="5"/>
    </row>
    <row r="908" spans="1:27" ht="12.75" customHeight="1">
      <c r="A908" s="5"/>
      <c r="B908" s="5"/>
      <c r="C908" s="5"/>
      <c r="D908" s="5"/>
      <c r="E908" s="5"/>
      <c r="F908" s="5"/>
      <c r="G908" s="5"/>
      <c r="H908" s="306"/>
      <c r="I908" s="306"/>
      <c r="J908" s="5"/>
      <c r="K908" s="5"/>
      <c r="L908" s="5"/>
      <c r="M908" s="5"/>
      <c r="N908" s="5"/>
      <c r="O908" s="5"/>
      <c r="P908" s="57"/>
      <c r="Q908" s="5"/>
      <c r="R908" s="5"/>
      <c r="S908" s="5"/>
      <c r="T908" s="5"/>
      <c r="U908" s="5"/>
      <c r="V908" s="5"/>
      <c r="W908" s="5"/>
      <c r="X908" s="5"/>
      <c r="Y908" s="5"/>
      <c r="Z908" s="5"/>
      <c r="AA908" s="5"/>
    </row>
    <row r="909" spans="1:27" ht="12.75" customHeight="1">
      <c r="A909" s="5"/>
      <c r="B909" s="5"/>
      <c r="C909" s="5"/>
      <c r="D909" s="5"/>
      <c r="E909" s="5"/>
      <c r="F909" s="5"/>
      <c r="G909" s="5"/>
      <c r="H909" s="306"/>
      <c r="I909" s="306"/>
      <c r="J909" s="5"/>
      <c r="K909" s="5"/>
      <c r="L909" s="5"/>
      <c r="M909" s="5"/>
      <c r="N909" s="5"/>
      <c r="O909" s="5"/>
      <c r="P909" s="57"/>
      <c r="Q909" s="5"/>
      <c r="R909" s="5"/>
      <c r="S909" s="5"/>
      <c r="T909" s="5"/>
      <c r="U909" s="5"/>
      <c r="V909" s="5"/>
      <c r="W909" s="5"/>
      <c r="X909" s="5"/>
      <c r="Y909" s="5"/>
      <c r="Z909" s="5"/>
      <c r="AA909" s="5"/>
    </row>
    <row r="910" spans="1:27" ht="12.75" customHeight="1">
      <c r="A910" s="5"/>
      <c r="B910" s="5"/>
      <c r="C910" s="5"/>
      <c r="D910" s="5"/>
      <c r="E910" s="5"/>
      <c r="F910" s="5"/>
      <c r="G910" s="5"/>
      <c r="H910" s="306"/>
      <c r="I910" s="306"/>
      <c r="J910" s="5"/>
      <c r="K910" s="5"/>
      <c r="L910" s="5"/>
      <c r="M910" s="5"/>
      <c r="N910" s="5"/>
      <c r="O910" s="5"/>
      <c r="P910" s="57"/>
      <c r="Q910" s="5"/>
      <c r="R910" s="5"/>
      <c r="S910" s="5"/>
      <c r="T910" s="5"/>
      <c r="U910" s="5"/>
      <c r="V910" s="5"/>
      <c r="W910" s="5"/>
      <c r="X910" s="5"/>
      <c r="Y910" s="5"/>
      <c r="Z910" s="5"/>
      <c r="AA910" s="5"/>
    </row>
    <row r="911" spans="1:27" ht="12.75" customHeight="1">
      <c r="A911" s="5"/>
      <c r="B911" s="5"/>
      <c r="C911" s="5"/>
      <c r="D911" s="5"/>
      <c r="E911" s="5"/>
      <c r="F911" s="5"/>
      <c r="G911" s="5"/>
      <c r="H911" s="306"/>
      <c r="I911" s="306"/>
      <c r="J911" s="5"/>
      <c r="K911" s="5"/>
      <c r="L911" s="5"/>
      <c r="M911" s="5"/>
      <c r="N911" s="5"/>
      <c r="O911" s="5"/>
      <c r="P911" s="57"/>
      <c r="Q911" s="5"/>
      <c r="R911" s="5"/>
      <c r="S911" s="5"/>
      <c r="T911" s="5"/>
      <c r="U911" s="5"/>
      <c r="V911" s="5"/>
      <c r="W911" s="5"/>
      <c r="X911" s="5"/>
      <c r="Y911" s="5"/>
      <c r="Z911" s="5"/>
      <c r="AA911" s="5"/>
    </row>
    <row r="912" spans="1:27" ht="12.75" customHeight="1">
      <c r="A912" s="5"/>
      <c r="B912" s="5"/>
      <c r="C912" s="5"/>
      <c r="D912" s="5"/>
      <c r="E912" s="5"/>
      <c r="F912" s="5"/>
      <c r="G912" s="5"/>
      <c r="H912" s="306"/>
      <c r="I912" s="306"/>
      <c r="J912" s="5"/>
      <c r="K912" s="5"/>
      <c r="L912" s="5"/>
      <c r="M912" s="5"/>
      <c r="N912" s="5"/>
      <c r="O912" s="5"/>
      <c r="P912" s="57"/>
      <c r="Q912" s="5"/>
      <c r="R912" s="5"/>
      <c r="S912" s="5"/>
      <c r="T912" s="5"/>
      <c r="U912" s="5"/>
      <c r="V912" s="5"/>
      <c r="W912" s="5"/>
      <c r="X912" s="5"/>
      <c r="Y912" s="5"/>
      <c r="Z912" s="5"/>
      <c r="AA912" s="5"/>
    </row>
    <row r="913" spans="1:27" ht="12.75" customHeight="1">
      <c r="A913" s="5"/>
      <c r="B913" s="5"/>
      <c r="C913" s="5"/>
      <c r="D913" s="5"/>
      <c r="E913" s="5"/>
      <c r="F913" s="5"/>
      <c r="G913" s="5"/>
      <c r="H913" s="306"/>
      <c r="I913" s="306"/>
      <c r="J913" s="5"/>
      <c r="K913" s="5"/>
      <c r="L913" s="5"/>
      <c r="M913" s="5"/>
      <c r="N913" s="5"/>
      <c r="O913" s="5"/>
      <c r="P913" s="57"/>
      <c r="Q913" s="5"/>
      <c r="R913" s="5"/>
      <c r="S913" s="5"/>
      <c r="T913" s="5"/>
      <c r="U913" s="5"/>
      <c r="V913" s="5"/>
      <c r="W913" s="5"/>
      <c r="X913" s="5"/>
      <c r="Y913" s="5"/>
      <c r="Z913" s="5"/>
      <c r="AA913" s="5"/>
    </row>
    <row r="914" spans="1:27" ht="12.75" customHeight="1">
      <c r="A914" s="5"/>
      <c r="B914" s="5"/>
      <c r="C914" s="5"/>
      <c r="D914" s="5"/>
      <c r="E914" s="5"/>
      <c r="F914" s="5"/>
      <c r="G914" s="5"/>
      <c r="H914" s="306"/>
      <c r="I914" s="306"/>
      <c r="J914" s="5"/>
      <c r="K914" s="5"/>
      <c r="L914" s="5"/>
      <c r="M914" s="5"/>
      <c r="N914" s="5"/>
      <c r="O914" s="5"/>
      <c r="P914" s="57"/>
      <c r="Q914" s="5"/>
      <c r="R914" s="5"/>
      <c r="S914" s="5"/>
      <c r="T914" s="5"/>
      <c r="U914" s="5"/>
      <c r="V914" s="5"/>
      <c r="W914" s="5"/>
      <c r="X914" s="5"/>
      <c r="Y914" s="5"/>
      <c r="Z914" s="5"/>
      <c r="AA914" s="5"/>
    </row>
    <row r="915" spans="1:27" ht="12.75" customHeight="1">
      <c r="A915" s="5"/>
      <c r="B915" s="5"/>
      <c r="C915" s="5"/>
      <c r="D915" s="5"/>
      <c r="E915" s="5"/>
      <c r="F915" s="5"/>
      <c r="G915" s="5"/>
      <c r="H915" s="306"/>
      <c r="I915" s="306"/>
      <c r="J915" s="5"/>
      <c r="K915" s="5"/>
      <c r="L915" s="5"/>
      <c r="M915" s="5"/>
      <c r="N915" s="5"/>
      <c r="O915" s="5"/>
      <c r="P915" s="57"/>
      <c r="Q915" s="5"/>
      <c r="R915" s="5"/>
      <c r="S915" s="5"/>
      <c r="T915" s="5"/>
      <c r="U915" s="5"/>
      <c r="V915" s="5"/>
      <c r="W915" s="5"/>
      <c r="X915" s="5"/>
      <c r="Y915" s="5"/>
      <c r="Z915" s="5"/>
      <c r="AA915" s="5"/>
    </row>
    <row r="916" spans="1:27" ht="12.75" customHeight="1">
      <c r="A916" s="5"/>
      <c r="B916" s="5"/>
      <c r="C916" s="5"/>
      <c r="D916" s="5"/>
      <c r="E916" s="5"/>
      <c r="F916" s="5"/>
      <c r="G916" s="5"/>
      <c r="H916" s="306"/>
      <c r="I916" s="306"/>
      <c r="J916" s="5"/>
      <c r="K916" s="5"/>
      <c r="L916" s="5"/>
      <c r="M916" s="5"/>
      <c r="N916" s="5"/>
      <c r="O916" s="5"/>
      <c r="P916" s="57"/>
      <c r="Q916" s="5"/>
      <c r="R916" s="5"/>
      <c r="S916" s="5"/>
      <c r="T916" s="5"/>
      <c r="U916" s="5"/>
      <c r="V916" s="5"/>
      <c r="W916" s="5"/>
      <c r="X916" s="5"/>
      <c r="Y916" s="5"/>
      <c r="Z916" s="5"/>
      <c r="AA916" s="5"/>
    </row>
    <row r="917" spans="1:27" ht="12.75" customHeight="1">
      <c r="A917" s="5"/>
      <c r="B917" s="5"/>
      <c r="C917" s="5"/>
      <c r="D917" s="5"/>
      <c r="E917" s="5"/>
      <c r="F917" s="5"/>
      <c r="G917" s="5"/>
      <c r="H917" s="306"/>
      <c r="I917" s="306"/>
      <c r="J917" s="5"/>
      <c r="K917" s="5"/>
      <c r="L917" s="5"/>
      <c r="M917" s="5"/>
      <c r="N917" s="5"/>
      <c r="O917" s="5"/>
      <c r="P917" s="57"/>
      <c r="Q917" s="5"/>
      <c r="R917" s="5"/>
      <c r="S917" s="5"/>
      <c r="T917" s="5"/>
      <c r="U917" s="5"/>
      <c r="V917" s="5"/>
      <c r="W917" s="5"/>
      <c r="X917" s="5"/>
      <c r="Y917" s="5"/>
      <c r="Z917" s="5"/>
      <c r="AA917" s="5"/>
    </row>
    <row r="918" spans="1:27" ht="12.75" customHeight="1">
      <c r="A918" s="5"/>
      <c r="B918" s="5"/>
      <c r="C918" s="5"/>
      <c r="D918" s="5"/>
      <c r="E918" s="5"/>
      <c r="F918" s="5"/>
      <c r="G918" s="5"/>
      <c r="H918" s="306"/>
      <c r="I918" s="306"/>
      <c r="J918" s="5"/>
      <c r="K918" s="5"/>
      <c r="L918" s="5"/>
      <c r="M918" s="5"/>
      <c r="N918" s="5"/>
      <c r="O918" s="5"/>
      <c r="P918" s="57"/>
      <c r="Q918" s="5"/>
      <c r="R918" s="5"/>
      <c r="S918" s="5"/>
      <c r="T918" s="5"/>
      <c r="U918" s="5"/>
      <c r="V918" s="5"/>
      <c r="W918" s="5"/>
      <c r="X918" s="5"/>
      <c r="Y918" s="5"/>
      <c r="Z918" s="5"/>
      <c r="AA918" s="5"/>
    </row>
    <row r="919" spans="1:27" ht="12.75" customHeight="1">
      <c r="A919" s="5"/>
      <c r="B919" s="5"/>
      <c r="C919" s="5"/>
      <c r="D919" s="5"/>
      <c r="E919" s="5"/>
      <c r="F919" s="5"/>
      <c r="G919" s="5"/>
      <c r="H919" s="306"/>
      <c r="I919" s="306"/>
      <c r="J919" s="5"/>
      <c r="K919" s="5"/>
      <c r="L919" s="5"/>
      <c r="M919" s="5"/>
      <c r="N919" s="5"/>
      <c r="O919" s="5"/>
      <c r="P919" s="57"/>
      <c r="Q919" s="5"/>
      <c r="R919" s="5"/>
      <c r="S919" s="5"/>
      <c r="T919" s="5"/>
      <c r="U919" s="5"/>
      <c r="V919" s="5"/>
      <c r="W919" s="5"/>
      <c r="X919" s="5"/>
      <c r="Y919" s="5"/>
      <c r="Z919" s="5"/>
      <c r="AA919" s="5"/>
    </row>
    <row r="920" spans="1:27" ht="12.75" customHeight="1">
      <c r="A920" s="5"/>
      <c r="B920" s="5"/>
      <c r="C920" s="5"/>
      <c r="D920" s="5"/>
      <c r="E920" s="5"/>
      <c r="F920" s="5"/>
      <c r="G920" s="5"/>
      <c r="H920" s="306"/>
      <c r="I920" s="306"/>
      <c r="J920" s="5"/>
      <c r="K920" s="5"/>
      <c r="L920" s="5"/>
      <c r="M920" s="5"/>
      <c r="N920" s="5"/>
      <c r="O920" s="5"/>
      <c r="P920" s="57"/>
      <c r="Q920" s="5"/>
      <c r="R920" s="5"/>
      <c r="S920" s="5"/>
      <c r="T920" s="5"/>
      <c r="U920" s="5"/>
      <c r="V920" s="5"/>
      <c r="W920" s="5"/>
      <c r="X920" s="5"/>
      <c r="Y920" s="5"/>
      <c r="Z920" s="5"/>
      <c r="AA920" s="5"/>
    </row>
    <row r="921" spans="1:27" ht="12.75" customHeight="1">
      <c r="A921" s="5"/>
      <c r="B921" s="5"/>
      <c r="C921" s="5"/>
      <c r="D921" s="5"/>
      <c r="E921" s="5"/>
      <c r="F921" s="5"/>
      <c r="G921" s="5"/>
      <c r="H921" s="306"/>
      <c r="I921" s="306"/>
      <c r="J921" s="5"/>
      <c r="K921" s="5"/>
      <c r="L921" s="5"/>
      <c r="M921" s="5"/>
      <c r="N921" s="5"/>
      <c r="O921" s="5"/>
      <c r="P921" s="57"/>
      <c r="Q921" s="5"/>
      <c r="R921" s="5"/>
      <c r="S921" s="5"/>
      <c r="T921" s="5"/>
      <c r="U921" s="5"/>
      <c r="V921" s="5"/>
      <c r="W921" s="5"/>
      <c r="X921" s="5"/>
      <c r="Y921" s="5"/>
      <c r="Z921" s="5"/>
      <c r="AA921" s="5"/>
    </row>
    <row r="922" spans="1:27" ht="12.75" customHeight="1">
      <c r="A922" s="5"/>
      <c r="B922" s="5"/>
      <c r="C922" s="5"/>
      <c r="D922" s="5"/>
      <c r="E922" s="5"/>
      <c r="F922" s="5"/>
      <c r="G922" s="5"/>
      <c r="H922" s="306"/>
      <c r="I922" s="306"/>
      <c r="J922" s="5"/>
      <c r="K922" s="5"/>
      <c r="L922" s="5"/>
      <c r="M922" s="5"/>
      <c r="N922" s="5"/>
      <c r="O922" s="5"/>
      <c r="P922" s="57"/>
      <c r="Q922" s="5"/>
      <c r="R922" s="5"/>
      <c r="S922" s="5"/>
      <c r="T922" s="5"/>
      <c r="U922" s="5"/>
      <c r="V922" s="5"/>
      <c r="W922" s="5"/>
      <c r="X922" s="5"/>
      <c r="Y922" s="5"/>
      <c r="Z922" s="5"/>
      <c r="AA922" s="5"/>
    </row>
    <row r="923" spans="1:27" ht="12.75" customHeight="1">
      <c r="A923" s="5"/>
      <c r="B923" s="5"/>
      <c r="C923" s="5"/>
      <c r="D923" s="5"/>
      <c r="E923" s="5"/>
      <c r="F923" s="5"/>
      <c r="G923" s="5"/>
      <c r="H923" s="306"/>
      <c r="I923" s="306"/>
      <c r="J923" s="5"/>
      <c r="K923" s="5"/>
      <c r="L923" s="5"/>
      <c r="M923" s="5"/>
      <c r="N923" s="5"/>
      <c r="O923" s="5"/>
      <c r="P923" s="57"/>
      <c r="Q923" s="5"/>
      <c r="R923" s="5"/>
      <c r="S923" s="5"/>
      <c r="T923" s="5"/>
      <c r="U923" s="5"/>
      <c r="V923" s="5"/>
      <c r="W923" s="5"/>
      <c r="X923" s="5"/>
      <c r="Y923" s="5"/>
      <c r="Z923" s="5"/>
      <c r="AA923" s="5"/>
    </row>
    <row r="924" spans="1:27" ht="12.75" customHeight="1">
      <c r="A924" s="5"/>
      <c r="B924" s="5"/>
      <c r="C924" s="5"/>
      <c r="D924" s="5"/>
      <c r="E924" s="5"/>
      <c r="F924" s="5"/>
      <c r="G924" s="5"/>
      <c r="H924" s="306"/>
      <c r="I924" s="306"/>
      <c r="J924" s="5"/>
      <c r="K924" s="5"/>
      <c r="L924" s="5"/>
      <c r="M924" s="5"/>
      <c r="N924" s="5"/>
      <c r="O924" s="5"/>
      <c r="P924" s="57"/>
      <c r="Q924" s="5"/>
      <c r="R924" s="5"/>
      <c r="S924" s="5"/>
      <c r="T924" s="5"/>
      <c r="U924" s="5"/>
      <c r="V924" s="5"/>
      <c r="W924" s="5"/>
      <c r="X924" s="5"/>
      <c r="Y924" s="5"/>
      <c r="Z924" s="5"/>
      <c r="AA924" s="5"/>
    </row>
    <row r="925" spans="1:27" ht="12.75" customHeight="1">
      <c r="A925" s="5"/>
      <c r="B925" s="5"/>
      <c r="C925" s="5"/>
      <c r="D925" s="5"/>
      <c r="E925" s="5"/>
      <c r="F925" s="5"/>
      <c r="G925" s="5"/>
      <c r="H925" s="306"/>
      <c r="I925" s="306"/>
      <c r="J925" s="5"/>
      <c r="K925" s="5"/>
      <c r="L925" s="5"/>
      <c r="M925" s="5"/>
      <c r="N925" s="5"/>
      <c r="O925" s="5"/>
      <c r="P925" s="57"/>
      <c r="Q925" s="5"/>
      <c r="R925" s="5"/>
      <c r="S925" s="5"/>
      <c r="T925" s="5"/>
      <c r="U925" s="5"/>
      <c r="V925" s="5"/>
      <c r="W925" s="5"/>
      <c r="X925" s="5"/>
      <c r="Y925" s="5"/>
      <c r="Z925" s="5"/>
      <c r="AA925" s="5"/>
    </row>
    <row r="926" spans="1:27" ht="12.75" customHeight="1">
      <c r="A926" s="5"/>
      <c r="B926" s="5"/>
      <c r="C926" s="5"/>
      <c r="D926" s="5"/>
      <c r="E926" s="5"/>
      <c r="F926" s="5"/>
      <c r="G926" s="5"/>
      <c r="H926" s="306"/>
      <c r="I926" s="306"/>
      <c r="J926" s="5"/>
      <c r="K926" s="5"/>
      <c r="L926" s="5"/>
      <c r="M926" s="5"/>
      <c r="N926" s="5"/>
      <c r="O926" s="5"/>
      <c r="P926" s="57"/>
      <c r="Q926" s="5"/>
      <c r="R926" s="5"/>
      <c r="S926" s="5"/>
      <c r="T926" s="5"/>
      <c r="U926" s="5"/>
      <c r="V926" s="5"/>
      <c r="W926" s="5"/>
      <c r="X926" s="5"/>
      <c r="Y926" s="5"/>
      <c r="Z926" s="5"/>
      <c r="AA926" s="5"/>
    </row>
    <row r="927" spans="1:27" ht="12.75" customHeight="1">
      <c r="A927" s="5"/>
      <c r="B927" s="5"/>
      <c r="C927" s="5"/>
      <c r="D927" s="5"/>
      <c r="E927" s="5"/>
      <c r="F927" s="5"/>
      <c r="G927" s="5"/>
      <c r="H927" s="306"/>
      <c r="I927" s="306"/>
      <c r="J927" s="5"/>
      <c r="K927" s="5"/>
      <c r="L927" s="5"/>
      <c r="M927" s="5"/>
      <c r="N927" s="5"/>
      <c r="O927" s="5"/>
      <c r="P927" s="57"/>
      <c r="Q927" s="5"/>
      <c r="R927" s="5"/>
      <c r="S927" s="5"/>
      <c r="T927" s="5"/>
      <c r="U927" s="5"/>
      <c r="V927" s="5"/>
      <c r="W927" s="5"/>
      <c r="X927" s="5"/>
      <c r="Y927" s="5"/>
      <c r="Z927" s="5"/>
      <c r="AA927" s="5"/>
    </row>
    <row r="928" spans="1:27" ht="12.75" customHeight="1">
      <c r="A928" s="5"/>
      <c r="B928" s="5"/>
      <c r="C928" s="5"/>
      <c r="D928" s="5"/>
      <c r="E928" s="5"/>
      <c r="F928" s="5"/>
      <c r="G928" s="5"/>
      <c r="H928" s="306"/>
      <c r="I928" s="306"/>
      <c r="J928" s="5"/>
      <c r="K928" s="5"/>
      <c r="L928" s="5"/>
      <c r="M928" s="5"/>
      <c r="N928" s="5"/>
      <c r="O928" s="5"/>
      <c r="P928" s="57"/>
      <c r="Q928" s="5"/>
      <c r="R928" s="5"/>
      <c r="S928" s="5"/>
      <c r="T928" s="5"/>
      <c r="U928" s="5"/>
      <c r="V928" s="5"/>
      <c r="W928" s="5"/>
      <c r="X928" s="5"/>
      <c r="Y928" s="5"/>
      <c r="Z928" s="5"/>
      <c r="AA928" s="5"/>
    </row>
    <row r="929" spans="1:27" ht="12.75" customHeight="1">
      <c r="A929" s="5"/>
      <c r="B929" s="5"/>
      <c r="C929" s="5"/>
      <c r="D929" s="5"/>
      <c r="E929" s="5"/>
      <c r="F929" s="5"/>
      <c r="G929" s="5"/>
      <c r="H929" s="306"/>
      <c r="I929" s="306"/>
      <c r="J929" s="5"/>
      <c r="K929" s="5"/>
      <c r="L929" s="5"/>
      <c r="M929" s="5"/>
      <c r="N929" s="5"/>
      <c r="O929" s="5"/>
      <c r="P929" s="57"/>
      <c r="Q929" s="5"/>
      <c r="R929" s="5"/>
      <c r="S929" s="5"/>
      <c r="T929" s="5"/>
      <c r="U929" s="5"/>
      <c r="V929" s="5"/>
      <c r="W929" s="5"/>
      <c r="X929" s="5"/>
      <c r="Y929" s="5"/>
      <c r="Z929" s="5"/>
      <c r="AA929" s="5"/>
    </row>
    <row r="930" spans="1:27" ht="12.75" customHeight="1">
      <c r="A930" s="5"/>
      <c r="B930" s="5"/>
      <c r="C930" s="5"/>
      <c r="D930" s="5"/>
      <c r="E930" s="5"/>
      <c r="F930" s="5"/>
      <c r="G930" s="5"/>
      <c r="H930" s="306"/>
      <c r="I930" s="306"/>
      <c r="J930" s="5"/>
      <c r="K930" s="5"/>
      <c r="L930" s="5"/>
      <c r="M930" s="5"/>
      <c r="N930" s="5"/>
      <c r="O930" s="5"/>
      <c r="P930" s="57"/>
      <c r="Q930" s="5"/>
      <c r="R930" s="5"/>
      <c r="S930" s="5"/>
      <c r="T930" s="5"/>
      <c r="U930" s="5"/>
      <c r="V930" s="5"/>
      <c r="W930" s="5"/>
      <c r="X930" s="5"/>
      <c r="Y930" s="5"/>
      <c r="Z930" s="5"/>
      <c r="AA930" s="5"/>
    </row>
    <row r="931" spans="1:27" ht="12.75" customHeight="1">
      <c r="A931" s="5"/>
      <c r="B931" s="5"/>
      <c r="C931" s="5"/>
      <c r="D931" s="5"/>
      <c r="E931" s="5"/>
      <c r="F931" s="5"/>
      <c r="G931" s="5"/>
      <c r="H931" s="306"/>
      <c r="I931" s="306"/>
      <c r="J931" s="5"/>
      <c r="K931" s="5"/>
      <c r="L931" s="5"/>
      <c r="M931" s="5"/>
      <c r="N931" s="5"/>
      <c r="O931" s="5"/>
      <c r="P931" s="57"/>
      <c r="Q931" s="5"/>
      <c r="R931" s="5"/>
      <c r="S931" s="5"/>
      <c r="T931" s="5"/>
      <c r="U931" s="5"/>
      <c r="V931" s="5"/>
      <c r="W931" s="5"/>
      <c r="X931" s="5"/>
      <c r="Y931" s="5"/>
      <c r="Z931" s="5"/>
      <c r="AA931" s="5"/>
    </row>
    <row r="932" spans="1:27" ht="12.75" customHeight="1">
      <c r="A932" s="5"/>
      <c r="B932" s="5"/>
      <c r="C932" s="5"/>
      <c r="D932" s="5"/>
      <c r="E932" s="5"/>
      <c r="F932" s="5"/>
      <c r="G932" s="5"/>
      <c r="H932" s="306"/>
      <c r="I932" s="306"/>
      <c r="J932" s="5"/>
      <c r="K932" s="5"/>
      <c r="L932" s="5"/>
      <c r="M932" s="5"/>
      <c r="N932" s="5"/>
      <c r="O932" s="5"/>
      <c r="P932" s="57"/>
      <c r="Q932" s="5"/>
      <c r="R932" s="5"/>
      <c r="S932" s="5"/>
      <c r="T932" s="5"/>
      <c r="U932" s="5"/>
      <c r="V932" s="5"/>
      <c r="W932" s="5"/>
      <c r="X932" s="5"/>
      <c r="Y932" s="5"/>
      <c r="Z932" s="5"/>
      <c r="AA932" s="5"/>
    </row>
    <row r="933" spans="1:27" ht="12.75" customHeight="1">
      <c r="A933" s="5"/>
      <c r="B933" s="5"/>
      <c r="C933" s="5"/>
      <c r="D933" s="5"/>
      <c r="E933" s="5"/>
      <c r="F933" s="5"/>
      <c r="G933" s="5"/>
      <c r="H933" s="306"/>
      <c r="I933" s="306"/>
      <c r="J933" s="5"/>
      <c r="K933" s="5"/>
      <c r="L933" s="5"/>
      <c r="M933" s="5"/>
      <c r="N933" s="5"/>
      <c r="O933" s="5"/>
      <c r="P933" s="57"/>
      <c r="Q933" s="5"/>
      <c r="R933" s="5"/>
      <c r="S933" s="5"/>
      <c r="T933" s="5"/>
      <c r="U933" s="5"/>
      <c r="V933" s="5"/>
      <c r="W933" s="5"/>
      <c r="X933" s="5"/>
      <c r="Y933" s="5"/>
      <c r="Z933" s="5"/>
      <c r="AA933" s="5"/>
    </row>
    <row r="934" spans="1:27" ht="12.75" customHeight="1">
      <c r="A934" s="5"/>
      <c r="B934" s="5"/>
      <c r="C934" s="5"/>
      <c r="D934" s="5"/>
      <c r="E934" s="5"/>
      <c r="F934" s="5"/>
      <c r="G934" s="5"/>
      <c r="H934" s="306"/>
      <c r="I934" s="306"/>
      <c r="J934" s="5"/>
      <c r="K934" s="5"/>
      <c r="L934" s="5"/>
      <c r="M934" s="5"/>
      <c r="N934" s="5"/>
      <c r="O934" s="5"/>
      <c r="P934" s="57"/>
      <c r="Q934" s="5"/>
      <c r="R934" s="5"/>
      <c r="S934" s="5"/>
      <c r="T934" s="5"/>
      <c r="U934" s="5"/>
      <c r="V934" s="5"/>
      <c r="W934" s="5"/>
      <c r="X934" s="5"/>
      <c r="Y934" s="5"/>
      <c r="Z934" s="5"/>
      <c r="AA934" s="5"/>
    </row>
    <row r="935" spans="1:27" ht="12.75" customHeight="1">
      <c r="A935" s="5"/>
      <c r="B935" s="5"/>
      <c r="C935" s="5"/>
      <c r="D935" s="5"/>
      <c r="E935" s="5"/>
      <c r="F935" s="5"/>
      <c r="G935" s="5"/>
      <c r="H935" s="306"/>
      <c r="I935" s="306"/>
      <c r="J935" s="5"/>
      <c r="K935" s="5"/>
      <c r="L935" s="5"/>
      <c r="M935" s="5"/>
      <c r="N935" s="5"/>
      <c r="O935" s="5"/>
      <c r="P935" s="57"/>
      <c r="Q935" s="5"/>
      <c r="R935" s="5"/>
      <c r="S935" s="5"/>
      <c r="T935" s="5"/>
      <c r="U935" s="5"/>
      <c r="V935" s="5"/>
      <c r="W935" s="5"/>
      <c r="X935" s="5"/>
      <c r="Y935" s="5"/>
      <c r="Z935" s="5"/>
      <c r="AA935" s="5"/>
    </row>
    <row r="936" spans="1:27" ht="12.75" customHeight="1">
      <c r="A936" s="5"/>
      <c r="B936" s="5"/>
      <c r="C936" s="5"/>
      <c r="D936" s="5"/>
      <c r="E936" s="5"/>
      <c r="F936" s="5"/>
      <c r="G936" s="5"/>
      <c r="H936" s="306"/>
      <c r="I936" s="306"/>
      <c r="J936" s="5"/>
      <c r="K936" s="5"/>
      <c r="L936" s="5"/>
      <c r="M936" s="5"/>
      <c r="N936" s="5"/>
      <c r="O936" s="5"/>
      <c r="P936" s="57"/>
      <c r="Q936" s="5"/>
      <c r="R936" s="5"/>
      <c r="S936" s="5"/>
      <c r="T936" s="5"/>
      <c r="U936" s="5"/>
      <c r="V936" s="5"/>
      <c r="W936" s="5"/>
      <c r="X936" s="5"/>
      <c r="Y936" s="5"/>
      <c r="Z936" s="5"/>
      <c r="AA936" s="5"/>
    </row>
    <row r="937" spans="1:27" ht="12.75" customHeight="1">
      <c r="A937" s="5"/>
      <c r="B937" s="5"/>
      <c r="C937" s="5"/>
      <c r="D937" s="5"/>
      <c r="E937" s="5"/>
      <c r="F937" s="5"/>
      <c r="G937" s="5"/>
      <c r="H937" s="306"/>
      <c r="I937" s="306"/>
      <c r="J937" s="5"/>
      <c r="K937" s="5"/>
      <c r="L937" s="5"/>
      <c r="M937" s="5"/>
      <c r="N937" s="5"/>
      <c r="O937" s="5"/>
      <c r="P937" s="57"/>
      <c r="Q937" s="5"/>
      <c r="R937" s="5"/>
      <c r="S937" s="5"/>
      <c r="T937" s="5"/>
      <c r="U937" s="5"/>
      <c r="V937" s="5"/>
      <c r="W937" s="5"/>
      <c r="X937" s="5"/>
      <c r="Y937" s="5"/>
      <c r="Z937" s="5"/>
      <c r="AA937" s="5"/>
    </row>
    <row r="938" spans="1:27" ht="12.75" customHeight="1">
      <c r="A938" s="5"/>
      <c r="B938" s="5"/>
      <c r="C938" s="5"/>
      <c r="D938" s="5"/>
      <c r="E938" s="5"/>
      <c r="F938" s="5"/>
      <c r="G938" s="5"/>
      <c r="H938" s="306"/>
      <c r="I938" s="306"/>
      <c r="J938" s="5"/>
      <c r="K938" s="5"/>
      <c r="L938" s="5"/>
      <c r="M938" s="5"/>
      <c r="N938" s="5"/>
      <c r="O938" s="5"/>
      <c r="P938" s="57"/>
      <c r="Q938" s="5"/>
      <c r="R938" s="5"/>
      <c r="S938" s="5"/>
      <c r="T938" s="5"/>
      <c r="U938" s="5"/>
      <c r="V938" s="5"/>
      <c r="W938" s="5"/>
      <c r="X938" s="5"/>
      <c r="Y938" s="5"/>
      <c r="Z938" s="5"/>
      <c r="AA938" s="5"/>
    </row>
    <row r="939" spans="1:27" ht="12.75" customHeight="1">
      <c r="A939" s="5"/>
      <c r="B939" s="5"/>
      <c r="C939" s="5"/>
      <c r="D939" s="5"/>
      <c r="E939" s="5"/>
      <c r="F939" s="5"/>
      <c r="G939" s="5"/>
      <c r="H939" s="306"/>
      <c r="I939" s="306"/>
      <c r="J939" s="5"/>
      <c r="K939" s="5"/>
      <c r="L939" s="5"/>
      <c r="M939" s="5"/>
      <c r="N939" s="5"/>
      <c r="O939" s="5"/>
      <c r="P939" s="57"/>
      <c r="Q939" s="5"/>
      <c r="R939" s="5"/>
      <c r="S939" s="5"/>
      <c r="T939" s="5"/>
      <c r="U939" s="5"/>
      <c r="V939" s="5"/>
      <c r="W939" s="5"/>
      <c r="X939" s="5"/>
      <c r="Y939" s="5"/>
      <c r="Z939" s="5"/>
      <c r="AA939" s="5"/>
    </row>
    <row r="940" spans="1:27" ht="12.75" customHeight="1">
      <c r="A940" s="5"/>
      <c r="B940" s="5"/>
      <c r="C940" s="5"/>
      <c r="D940" s="5"/>
      <c r="E940" s="5"/>
      <c r="F940" s="5"/>
      <c r="G940" s="5"/>
      <c r="H940" s="306"/>
      <c r="I940" s="306"/>
      <c r="J940" s="5"/>
      <c r="K940" s="5"/>
      <c r="L940" s="5"/>
      <c r="M940" s="5"/>
      <c r="N940" s="5"/>
      <c r="O940" s="5"/>
      <c r="P940" s="57"/>
      <c r="Q940" s="5"/>
      <c r="R940" s="5"/>
      <c r="S940" s="5"/>
      <c r="T940" s="5"/>
      <c r="U940" s="5"/>
      <c r="V940" s="5"/>
      <c r="W940" s="5"/>
      <c r="X940" s="5"/>
      <c r="Y940" s="5"/>
      <c r="Z940" s="5"/>
      <c r="AA940" s="5"/>
    </row>
    <row r="941" spans="1:27" ht="12.75" customHeight="1">
      <c r="A941" s="5"/>
      <c r="B941" s="5"/>
      <c r="C941" s="5"/>
      <c r="D941" s="5"/>
      <c r="E941" s="5"/>
      <c r="F941" s="5"/>
      <c r="G941" s="5"/>
      <c r="H941" s="306"/>
      <c r="I941" s="306"/>
      <c r="J941" s="5"/>
      <c r="K941" s="5"/>
      <c r="L941" s="5"/>
      <c r="M941" s="5"/>
      <c r="N941" s="5"/>
      <c r="O941" s="5"/>
      <c r="P941" s="57"/>
      <c r="Q941" s="5"/>
      <c r="R941" s="5"/>
      <c r="S941" s="5"/>
      <c r="T941" s="5"/>
      <c r="U941" s="5"/>
      <c r="V941" s="5"/>
      <c r="W941" s="5"/>
      <c r="X941" s="5"/>
      <c r="Y941" s="5"/>
      <c r="Z941" s="5"/>
      <c r="AA941" s="5"/>
    </row>
    <row r="942" spans="1:27" ht="12.75" customHeight="1">
      <c r="A942" s="5"/>
      <c r="B942" s="5"/>
      <c r="C942" s="5"/>
      <c r="D942" s="5"/>
      <c r="E942" s="5"/>
      <c r="F942" s="5"/>
      <c r="G942" s="5"/>
      <c r="H942" s="306"/>
      <c r="I942" s="306"/>
      <c r="J942" s="5"/>
      <c r="K942" s="5"/>
      <c r="L942" s="5"/>
      <c r="M942" s="5"/>
      <c r="N942" s="5"/>
      <c r="O942" s="5"/>
      <c r="P942" s="57"/>
      <c r="Q942" s="5"/>
      <c r="R942" s="5"/>
      <c r="S942" s="5"/>
      <c r="T942" s="5"/>
      <c r="U942" s="5"/>
      <c r="V942" s="5"/>
      <c r="W942" s="5"/>
      <c r="X942" s="5"/>
      <c r="Y942" s="5"/>
      <c r="Z942" s="5"/>
      <c r="AA942" s="5"/>
    </row>
    <row r="943" spans="1:27" ht="12.75" customHeight="1">
      <c r="A943" s="5"/>
      <c r="B943" s="5"/>
      <c r="C943" s="5"/>
      <c r="D943" s="5"/>
      <c r="E943" s="5"/>
      <c r="F943" s="5"/>
      <c r="G943" s="5"/>
      <c r="H943" s="306"/>
      <c r="I943" s="306"/>
      <c r="J943" s="5"/>
      <c r="K943" s="5"/>
      <c r="L943" s="5"/>
      <c r="M943" s="5"/>
      <c r="N943" s="5"/>
      <c r="O943" s="5"/>
      <c r="P943" s="57"/>
      <c r="Q943" s="5"/>
      <c r="R943" s="5"/>
      <c r="S943" s="5"/>
      <c r="T943" s="5"/>
      <c r="U943" s="5"/>
      <c r="V943" s="5"/>
      <c r="W943" s="5"/>
      <c r="X943" s="5"/>
      <c r="Y943" s="5"/>
      <c r="Z943" s="5"/>
      <c r="AA943" s="5"/>
    </row>
    <row r="944" spans="1:27" ht="12.75" customHeight="1">
      <c r="A944" s="5"/>
      <c r="B944" s="5"/>
      <c r="C944" s="5"/>
      <c r="D944" s="5"/>
      <c r="E944" s="5"/>
      <c r="F944" s="5"/>
      <c r="G944" s="5"/>
      <c r="H944" s="306"/>
      <c r="I944" s="306"/>
      <c r="J944" s="5"/>
      <c r="K944" s="5"/>
      <c r="L944" s="5"/>
      <c r="M944" s="5"/>
      <c r="N944" s="5"/>
      <c r="O944" s="5"/>
      <c r="P944" s="57"/>
      <c r="Q944" s="5"/>
      <c r="R944" s="5"/>
      <c r="S944" s="5"/>
      <c r="T944" s="5"/>
      <c r="U944" s="5"/>
      <c r="V944" s="5"/>
      <c r="W944" s="5"/>
      <c r="X944" s="5"/>
      <c r="Y944" s="5"/>
      <c r="Z944" s="5"/>
      <c r="AA944" s="5"/>
    </row>
    <row r="945" spans="1:27" ht="12.75" customHeight="1">
      <c r="A945" s="5"/>
      <c r="B945" s="5"/>
      <c r="C945" s="5"/>
      <c r="D945" s="5"/>
      <c r="E945" s="5"/>
      <c r="F945" s="5"/>
      <c r="G945" s="5"/>
      <c r="H945" s="306"/>
      <c r="I945" s="306"/>
      <c r="J945" s="5"/>
      <c r="K945" s="5"/>
      <c r="L945" s="5"/>
      <c r="M945" s="5"/>
      <c r="N945" s="5"/>
      <c r="O945" s="5"/>
      <c r="P945" s="57"/>
      <c r="Q945" s="5"/>
      <c r="R945" s="5"/>
      <c r="S945" s="5"/>
      <c r="T945" s="5"/>
      <c r="U945" s="5"/>
      <c r="V945" s="5"/>
      <c r="W945" s="5"/>
      <c r="X945" s="5"/>
      <c r="Y945" s="5"/>
      <c r="Z945" s="5"/>
      <c r="AA945" s="5"/>
    </row>
    <row r="946" spans="1:27" ht="12.75" customHeight="1">
      <c r="A946" s="5"/>
      <c r="B946" s="5"/>
      <c r="C946" s="5"/>
      <c r="D946" s="5"/>
      <c r="E946" s="5"/>
      <c r="F946" s="5"/>
      <c r="G946" s="5"/>
      <c r="H946" s="306"/>
      <c r="I946" s="306"/>
      <c r="J946" s="5"/>
      <c r="K946" s="5"/>
      <c r="L946" s="5"/>
      <c r="M946" s="5"/>
      <c r="N946" s="5"/>
      <c r="O946" s="5"/>
      <c r="P946" s="57"/>
      <c r="Q946" s="5"/>
      <c r="R946" s="5"/>
      <c r="S946" s="5"/>
      <c r="T946" s="5"/>
      <c r="U946" s="5"/>
      <c r="V946" s="5"/>
      <c r="W946" s="5"/>
      <c r="X946" s="5"/>
      <c r="Y946" s="5"/>
      <c r="Z946" s="5"/>
      <c r="AA946" s="5"/>
    </row>
    <row r="947" spans="1:27" ht="12.75" customHeight="1">
      <c r="A947" s="5"/>
      <c r="B947" s="5"/>
      <c r="C947" s="5"/>
      <c r="D947" s="5"/>
      <c r="E947" s="5"/>
      <c r="F947" s="5"/>
      <c r="G947" s="5"/>
      <c r="H947" s="306"/>
      <c r="I947" s="306"/>
      <c r="J947" s="5"/>
      <c r="K947" s="5"/>
      <c r="L947" s="5"/>
      <c r="M947" s="5"/>
      <c r="N947" s="5"/>
      <c r="O947" s="5"/>
      <c r="P947" s="57"/>
      <c r="Q947" s="5"/>
      <c r="R947" s="5"/>
      <c r="S947" s="5"/>
      <c r="T947" s="5"/>
      <c r="U947" s="5"/>
      <c r="V947" s="5"/>
      <c r="W947" s="5"/>
      <c r="X947" s="5"/>
      <c r="Y947" s="5"/>
      <c r="Z947" s="5"/>
      <c r="AA947" s="5"/>
    </row>
    <row r="948" spans="1:27" ht="12.75" customHeight="1">
      <c r="A948" s="5"/>
      <c r="B948" s="5"/>
      <c r="C948" s="5"/>
      <c r="D948" s="5"/>
      <c r="E948" s="5"/>
      <c r="F948" s="5"/>
      <c r="G948" s="5"/>
      <c r="H948" s="306"/>
      <c r="I948" s="306"/>
      <c r="J948" s="5"/>
      <c r="K948" s="5"/>
      <c r="L948" s="5"/>
      <c r="M948" s="5"/>
      <c r="N948" s="5"/>
      <c r="O948" s="5"/>
      <c r="P948" s="57"/>
      <c r="Q948" s="5"/>
      <c r="R948" s="5"/>
      <c r="S948" s="5"/>
      <c r="T948" s="5"/>
      <c r="U948" s="5"/>
      <c r="V948" s="5"/>
      <c r="W948" s="5"/>
      <c r="X948" s="5"/>
      <c r="Y948" s="5"/>
      <c r="Z948" s="5"/>
      <c r="AA948" s="5"/>
    </row>
    <row r="949" spans="1:27" ht="12.75" customHeight="1">
      <c r="A949" s="5"/>
      <c r="B949" s="5"/>
      <c r="C949" s="5"/>
      <c r="D949" s="5"/>
      <c r="E949" s="5"/>
      <c r="F949" s="5"/>
      <c r="G949" s="5"/>
      <c r="H949" s="306"/>
      <c r="I949" s="306"/>
      <c r="J949" s="5"/>
      <c r="K949" s="5"/>
      <c r="L949" s="5"/>
      <c r="M949" s="5"/>
      <c r="N949" s="5"/>
      <c r="O949" s="5"/>
      <c r="P949" s="57"/>
      <c r="Q949" s="5"/>
      <c r="R949" s="5"/>
      <c r="S949" s="5"/>
      <c r="T949" s="5"/>
      <c r="U949" s="5"/>
      <c r="V949" s="5"/>
      <c r="W949" s="5"/>
      <c r="X949" s="5"/>
      <c r="Y949" s="5"/>
      <c r="Z949" s="5"/>
      <c r="AA949" s="5"/>
    </row>
    <row r="950" spans="1:27" ht="12.75" customHeight="1">
      <c r="A950" s="5"/>
      <c r="B950" s="5"/>
      <c r="C950" s="5"/>
      <c r="D950" s="5"/>
      <c r="E950" s="5"/>
      <c r="F950" s="5"/>
      <c r="G950" s="5"/>
      <c r="H950" s="306"/>
      <c r="I950" s="306"/>
      <c r="J950" s="5"/>
      <c r="K950" s="5"/>
      <c r="L950" s="5"/>
      <c r="M950" s="5"/>
      <c r="N950" s="5"/>
      <c r="O950" s="5"/>
      <c r="P950" s="57"/>
      <c r="Q950" s="5"/>
      <c r="R950" s="5"/>
      <c r="S950" s="5"/>
      <c r="T950" s="5"/>
      <c r="U950" s="5"/>
      <c r="V950" s="5"/>
      <c r="W950" s="5"/>
      <c r="X950" s="5"/>
      <c r="Y950" s="5"/>
      <c r="Z950" s="5"/>
      <c r="AA950" s="5"/>
    </row>
    <row r="951" spans="1:27" ht="12.75" customHeight="1">
      <c r="A951" s="5"/>
      <c r="B951" s="5"/>
      <c r="C951" s="5"/>
      <c r="D951" s="5"/>
      <c r="E951" s="5"/>
      <c r="F951" s="5"/>
      <c r="G951" s="5"/>
      <c r="H951" s="306"/>
      <c r="I951" s="306"/>
      <c r="J951" s="5"/>
      <c r="K951" s="5"/>
      <c r="L951" s="5"/>
      <c r="M951" s="5"/>
      <c r="N951" s="5"/>
      <c r="O951" s="5"/>
      <c r="P951" s="57"/>
      <c r="Q951" s="5"/>
      <c r="R951" s="5"/>
      <c r="S951" s="5"/>
      <c r="T951" s="5"/>
      <c r="U951" s="5"/>
      <c r="V951" s="5"/>
      <c r="W951" s="5"/>
      <c r="X951" s="5"/>
      <c r="Y951" s="5"/>
      <c r="Z951" s="5"/>
      <c r="AA951" s="5"/>
    </row>
    <row r="952" spans="1:27" ht="12.75" customHeight="1">
      <c r="A952" s="5"/>
      <c r="B952" s="5"/>
      <c r="C952" s="5"/>
      <c r="D952" s="5"/>
      <c r="E952" s="5"/>
      <c r="F952" s="5"/>
      <c r="G952" s="5"/>
      <c r="H952" s="306"/>
      <c r="I952" s="306"/>
      <c r="J952" s="5"/>
      <c r="K952" s="5"/>
      <c r="L952" s="5"/>
      <c r="M952" s="5"/>
      <c r="N952" s="5"/>
      <c r="O952" s="5"/>
      <c r="P952" s="57"/>
      <c r="Q952" s="5"/>
      <c r="R952" s="5"/>
      <c r="S952" s="5"/>
      <c r="T952" s="5"/>
      <c r="U952" s="5"/>
      <c r="V952" s="5"/>
      <c r="W952" s="5"/>
      <c r="X952" s="5"/>
      <c r="Y952" s="5"/>
      <c r="Z952" s="5"/>
      <c r="AA952" s="5"/>
    </row>
    <row r="953" spans="1:27" ht="12.75" customHeight="1">
      <c r="A953" s="5"/>
      <c r="B953" s="5"/>
      <c r="C953" s="5"/>
      <c r="D953" s="5"/>
      <c r="E953" s="5"/>
      <c r="F953" s="5"/>
      <c r="G953" s="5"/>
      <c r="H953" s="306"/>
      <c r="I953" s="306"/>
      <c r="J953" s="5"/>
      <c r="K953" s="5"/>
      <c r="L953" s="5"/>
      <c r="M953" s="5"/>
      <c r="N953" s="5"/>
      <c r="O953" s="5"/>
      <c r="P953" s="57"/>
      <c r="Q953" s="5"/>
      <c r="R953" s="5"/>
      <c r="S953" s="5"/>
      <c r="T953" s="5"/>
      <c r="U953" s="5"/>
      <c r="V953" s="5"/>
      <c r="W953" s="5"/>
      <c r="X953" s="5"/>
      <c r="Y953" s="5"/>
      <c r="Z953" s="5"/>
      <c r="AA953" s="5"/>
    </row>
    <row r="954" spans="1:27" ht="12.75" customHeight="1">
      <c r="A954" s="5"/>
      <c r="B954" s="5"/>
      <c r="C954" s="5"/>
      <c r="D954" s="5"/>
      <c r="E954" s="5"/>
      <c r="F954" s="5"/>
      <c r="G954" s="5"/>
      <c r="H954" s="306"/>
      <c r="I954" s="306"/>
      <c r="J954" s="5"/>
      <c r="K954" s="5"/>
      <c r="L954" s="5"/>
      <c r="M954" s="5"/>
      <c r="N954" s="5"/>
      <c r="O954" s="5"/>
      <c r="P954" s="57"/>
      <c r="Q954" s="5"/>
      <c r="R954" s="5"/>
      <c r="S954" s="5"/>
      <c r="T954" s="5"/>
      <c r="U954" s="5"/>
      <c r="V954" s="5"/>
      <c r="W954" s="5"/>
      <c r="X954" s="5"/>
      <c r="Y954" s="5"/>
      <c r="Z954" s="5"/>
      <c r="AA954" s="5"/>
    </row>
    <row r="955" spans="1:27" ht="12.75" customHeight="1">
      <c r="A955" s="5"/>
      <c r="B955" s="5"/>
      <c r="C955" s="5"/>
      <c r="D955" s="5"/>
      <c r="E955" s="5"/>
      <c r="F955" s="5"/>
      <c r="G955" s="5"/>
      <c r="H955" s="306"/>
      <c r="I955" s="306"/>
      <c r="J955" s="5"/>
      <c r="K955" s="5"/>
      <c r="L955" s="5"/>
      <c r="M955" s="5"/>
      <c r="N955" s="5"/>
      <c r="O955" s="5"/>
      <c r="P955" s="57"/>
      <c r="Q955" s="5"/>
      <c r="R955" s="5"/>
      <c r="S955" s="5"/>
      <c r="T955" s="5"/>
      <c r="U955" s="5"/>
      <c r="V955" s="5"/>
      <c r="W955" s="5"/>
      <c r="X955" s="5"/>
      <c r="Y955" s="5"/>
      <c r="Z955" s="5"/>
      <c r="AA955" s="5"/>
    </row>
    <row r="956" spans="1:27" ht="12.75" customHeight="1">
      <c r="A956" s="5"/>
      <c r="B956" s="5"/>
      <c r="C956" s="5"/>
      <c r="D956" s="5"/>
      <c r="E956" s="5"/>
      <c r="F956" s="5"/>
      <c r="G956" s="5"/>
      <c r="H956" s="306"/>
      <c r="I956" s="306"/>
      <c r="J956" s="5"/>
      <c r="K956" s="5"/>
      <c r="L956" s="5"/>
      <c r="M956" s="5"/>
      <c r="N956" s="5"/>
      <c r="O956" s="5"/>
      <c r="P956" s="57"/>
      <c r="Q956" s="5"/>
      <c r="R956" s="5"/>
      <c r="S956" s="5"/>
      <c r="T956" s="5"/>
      <c r="U956" s="5"/>
      <c r="V956" s="5"/>
      <c r="W956" s="5"/>
      <c r="X956" s="5"/>
      <c r="Y956" s="5"/>
      <c r="Z956" s="5"/>
      <c r="AA956" s="5"/>
    </row>
    <row r="957" spans="1:27" ht="12.75" customHeight="1">
      <c r="A957" s="5"/>
      <c r="B957" s="5"/>
      <c r="C957" s="5"/>
      <c r="D957" s="5"/>
      <c r="E957" s="5"/>
      <c r="F957" s="5"/>
      <c r="G957" s="5"/>
      <c r="H957" s="306"/>
      <c r="I957" s="306"/>
      <c r="J957" s="5"/>
      <c r="K957" s="5"/>
      <c r="L957" s="5"/>
      <c r="M957" s="5"/>
      <c r="N957" s="5"/>
      <c r="O957" s="5"/>
      <c r="P957" s="57"/>
      <c r="Q957" s="5"/>
      <c r="R957" s="5"/>
      <c r="S957" s="5"/>
      <c r="T957" s="5"/>
      <c r="U957" s="5"/>
      <c r="V957" s="5"/>
      <c r="W957" s="5"/>
      <c r="X957" s="5"/>
      <c r="Y957" s="5"/>
      <c r="Z957" s="5"/>
      <c r="AA957" s="5"/>
    </row>
    <row r="958" spans="1:27" ht="12.75" customHeight="1">
      <c r="A958" s="5"/>
      <c r="B958" s="5"/>
      <c r="C958" s="5"/>
      <c r="D958" s="5"/>
      <c r="E958" s="5"/>
      <c r="F958" s="5"/>
      <c r="G958" s="5"/>
      <c r="H958" s="306"/>
      <c r="I958" s="306"/>
      <c r="J958" s="5"/>
      <c r="K958" s="5"/>
      <c r="L958" s="5"/>
      <c r="M958" s="5"/>
      <c r="N958" s="5"/>
      <c r="O958" s="5"/>
      <c r="P958" s="57"/>
      <c r="Q958" s="5"/>
      <c r="R958" s="5"/>
      <c r="S958" s="5"/>
      <c r="T958" s="5"/>
      <c r="U958" s="5"/>
      <c r="V958" s="5"/>
      <c r="W958" s="5"/>
      <c r="X958" s="5"/>
      <c r="Y958" s="5"/>
      <c r="Z958" s="5"/>
      <c r="AA958" s="5"/>
    </row>
    <row r="959" spans="1:27" ht="12.75" customHeight="1">
      <c r="A959" s="5"/>
      <c r="B959" s="5"/>
      <c r="C959" s="5"/>
      <c r="D959" s="5"/>
      <c r="E959" s="5"/>
      <c r="F959" s="5"/>
      <c r="G959" s="5"/>
      <c r="H959" s="306"/>
      <c r="I959" s="306"/>
      <c r="J959" s="5"/>
      <c r="K959" s="5"/>
      <c r="L959" s="5"/>
      <c r="M959" s="5"/>
      <c r="N959" s="5"/>
      <c r="O959" s="5"/>
      <c r="P959" s="57"/>
      <c r="Q959" s="5"/>
      <c r="R959" s="5"/>
      <c r="S959" s="5"/>
      <c r="T959" s="5"/>
      <c r="U959" s="5"/>
      <c r="V959" s="5"/>
      <c r="W959" s="5"/>
      <c r="X959" s="5"/>
      <c r="Y959" s="5"/>
      <c r="Z959" s="5"/>
      <c r="AA959" s="5"/>
    </row>
    <row r="960" spans="1:27" ht="12.75" customHeight="1">
      <c r="A960" s="5"/>
      <c r="B960" s="5"/>
      <c r="C960" s="5"/>
      <c r="D960" s="5"/>
      <c r="E960" s="5"/>
      <c r="F960" s="5"/>
      <c r="G960" s="5"/>
      <c r="H960" s="306"/>
      <c r="I960" s="306"/>
      <c r="J960" s="5"/>
      <c r="K960" s="5"/>
      <c r="L960" s="5"/>
      <c r="M960" s="5"/>
      <c r="N960" s="5"/>
      <c r="O960" s="5"/>
      <c r="P960" s="57"/>
      <c r="Q960" s="5"/>
      <c r="R960" s="5"/>
      <c r="S960" s="5"/>
      <c r="T960" s="5"/>
      <c r="U960" s="5"/>
      <c r="V960" s="5"/>
      <c r="W960" s="5"/>
      <c r="X960" s="5"/>
      <c r="Y960" s="5"/>
      <c r="Z960" s="5"/>
      <c r="AA960" s="5"/>
    </row>
    <row r="961" spans="1:27" ht="12.75" customHeight="1">
      <c r="A961" s="5"/>
      <c r="B961" s="5"/>
      <c r="C961" s="5"/>
      <c r="D961" s="5"/>
      <c r="E961" s="5"/>
      <c r="F961" s="5"/>
      <c r="G961" s="5"/>
      <c r="H961" s="306"/>
      <c r="I961" s="306"/>
      <c r="J961" s="5"/>
      <c r="K961" s="5"/>
      <c r="L961" s="5"/>
      <c r="M961" s="5"/>
      <c r="N961" s="5"/>
      <c r="O961" s="5"/>
      <c r="P961" s="57"/>
      <c r="Q961" s="5"/>
      <c r="R961" s="5"/>
      <c r="S961" s="5"/>
      <c r="T961" s="5"/>
      <c r="U961" s="5"/>
      <c r="V961" s="5"/>
      <c r="W961" s="5"/>
      <c r="X961" s="5"/>
      <c r="Y961" s="5"/>
      <c r="Z961" s="5"/>
      <c r="AA961" s="5"/>
    </row>
    <row r="962" spans="1:27" ht="12.75" customHeight="1">
      <c r="A962" s="5"/>
      <c r="B962" s="5"/>
      <c r="C962" s="5"/>
      <c r="D962" s="5"/>
      <c r="E962" s="5"/>
      <c r="F962" s="5"/>
      <c r="G962" s="5"/>
      <c r="H962" s="306"/>
      <c r="I962" s="306"/>
      <c r="J962" s="5"/>
      <c r="K962" s="5"/>
      <c r="L962" s="5"/>
      <c r="M962" s="5"/>
      <c r="N962" s="5"/>
      <c r="O962" s="5"/>
      <c r="P962" s="57"/>
      <c r="Q962" s="5"/>
      <c r="R962" s="5"/>
      <c r="S962" s="5"/>
      <c r="T962" s="5"/>
      <c r="U962" s="5"/>
      <c r="V962" s="5"/>
      <c r="W962" s="5"/>
      <c r="X962" s="5"/>
      <c r="Y962" s="5"/>
      <c r="Z962" s="5"/>
      <c r="AA962" s="5"/>
    </row>
    <row r="963" spans="1:27" ht="12.75" customHeight="1">
      <c r="A963" s="5"/>
      <c r="B963" s="5"/>
      <c r="C963" s="5"/>
      <c r="D963" s="5"/>
      <c r="E963" s="5"/>
      <c r="F963" s="5"/>
      <c r="G963" s="5"/>
      <c r="H963" s="306"/>
      <c r="I963" s="306"/>
      <c r="J963" s="5"/>
      <c r="K963" s="5"/>
      <c r="L963" s="5"/>
      <c r="M963" s="5"/>
      <c r="N963" s="5"/>
      <c r="O963" s="5"/>
      <c r="P963" s="57"/>
      <c r="Q963" s="5"/>
      <c r="R963" s="5"/>
      <c r="S963" s="5"/>
      <c r="T963" s="5"/>
      <c r="U963" s="5"/>
      <c r="V963" s="5"/>
      <c r="W963" s="5"/>
      <c r="X963" s="5"/>
      <c r="Y963" s="5"/>
      <c r="Z963" s="5"/>
      <c r="AA963" s="5"/>
    </row>
    <row r="964" spans="1:27" ht="12.75" customHeight="1">
      <c r="A964" s="5"/>
      <c r="B964" s="5"/>
      <c r="C964" s="5"/>
      <c r="D964" s="5"/>
      <c r="E964" s="5"/>
      <c r="F964" s="5"/>
      <c r="G964" s="5"/>
      <c r="H964" s="306"/>
      <c r="I964" s="306"/>
      <c r="J964" s="5"/>
      <c r="K964" s="5"/>
      <c r="L964" s="5"/>
      <c r="M964" s="5"/>
      <c r="N964" s="5"/>
      <c r="O964" s="5"/>
      <c r="P964" s="57"/>
      <c r="Q964" s="5"/>
      <c r="R964" s="5"/>
      <c r="S964" s="5"/>
      <c r="T964" s="5"/>
      <c r="U964" s="5"/>
      <c r="V964" s="5"/>
      <c r="W964" s="5"/>
      <c r="X964" s="5"/>
      <c r="Y964" s="5"/>
      <c r="Z964" s="5"/>
      <c r="AA964" s="5"/>
    </row>
    <row r="965" spans="1:27" ht="12.75" customHeight="1">
      <c r="A965" s="5"/>
      <c r="B965" s="5"/>
      <c r="C965" s="5"/>
      <c r="D965" s="5"/>
      <c r="E965" s="5"/>
      <c r="F965" s="5"/>
      <c r="G965" s="5"/>
      <c r="H965" s="306"/>
      <c r="I965" s="306"/>
      <c r="J965" s="5"/>
      <c r="K965" s="5"/>
      <c r="L965" s="5"/>
      <c r="M965" s="5"/>
      <c r="N965" s="5"/>
      <c r="O965" s="5"/>
      <c r="P965" s="57"/>
      <c r="Q965" s="5"/>
      <c r="R965" s="5"/>
      <c r="S965" s="5"/>
      <c r="T965" s="5"/>
      <c r="U965" s="5"/>
      <c r="V965" s="5"/>
      <c r="W965" s="5"/>
      <c r="X965" s="5"/>
      <c r="Y965" s="5"/>
      <c r="Z965" s="5"/>
      <c r="AA965" s="5"/>
    </row>
    <row r="966" spans="1:27" ht="12.75" customHeight="1">
      <c r="A966" s="5"/>
      <c r="B966" s="5"/>
      <c r="C966" s="5"/>
      <c r="D966" s="5"/>
      <c r="E966" s="5"/>
      <c r="F966" s="5"/>
      <c r="G966" s="5"/>
      <c r="H966" s="306"/>
      <c r="I966" s="306"/>
      <c r="J966" s="5"/>
      <c r="K966" s="5"/>
      <c r="L966" s="5"/>
      <c r="M966" s="5"/>
      <c r="N966" s="5"/>
      <c r="O966" s="5"/>
      <c r="P966" s="57"/>
      <c r="Q966" s="5"/>
      <c r="R966" s="5"/>
      <c r="S966" s="5"/>
      <c r="T966" s="5"/>
      <c r="U966" s="5"/>
      <c r="V966" s="5"/>
      <c r="W966" s="5"/>
      <c r="X966" s="5"/>
      <c r="Y966" s="5"/>
      <c r="Z966" s="5"/>
      <c r="AA966" s="5"/>
    </row>
    <row r="967" spans="1:27" ht="12.75" customHeight="1">
      <c r="A967" s="5"/>
      <c r="B967" s="5"/>
      <c r="C967" s="5"/>
      <c r="D967" s="5"/>
      <c r="E967" s="5"/>
      <c r="F967" s="5"/>
      <c r="G967" s="5"/>
      <c r="H967" s="306"/>
      <c r="I967" s="306"/>
      <c r="J967" s="5"/>
      <c r="K967" s="5"/>
      <c r="L967" s="5"/>
      <c r="M967" s="5"/>
      <c r="N967" s="5"/>
      <c r="O967" s="5"/>
      <c r="P967" s="57"/>
      <c r="Q967" s="5"/>
      <c r="R967" s="5"/>
      <c r="S967" s="5"/>
      <c r="T967" s="5"/>
      <c r="U967" s="5"/>
      <c r="V967" s="5"/>
      <c r="W967" s="5"/>
      <c r="X967" s="5"/>
      <c r="Y967" s="5"/>
      <c r="Z967" s="5"/>
      <c r="AA967" s="5"/>
    </row>
    <row r="968" spans="1:27" ht="12.75" customHeight="1">
      <c r="A968" s="5"/>
      <c r="B968" s="5"/>
      <c r="C968" s="5"/>
      <c r="D968" s="5"/>
      <c r="E968" s="5"/>
      <c r="F968" s="5"/>
      <c r="G968" s="5"/>
      <c r="H968" s="306"/>
      <c r="I968" s="306"/>
      <c r="J968" s="5"/>
      <c r="K968" s="5"/>
      <c r="L968" s="5"/>
      <c r="M968" s="5"/>
      <c r="N968" s="5"/>
      <c r="O968" s="5"/>
      <c r="P968" s="57"/>
      <c r="Q968" s="5"/>
      <c r="R968" s="5"/>
      <c r="S968" s="5"/>
      <c r="T968" s="5"/>
      <c r="U968" s="5"/>
      <c r="V968" s="5"/>
      <c r="W968" s="5"/>
      <c r="X968" s="5"/>
      <c r="Y968" s="5"/>
      <c r="Z968" s="5"/>
      <c r="AA968" s="5"/>
    </row>
    <row r="969" spans="1:27" ht="12.75" customHeight="1">
      <c r="A969" s="5"/>
      <c r="B969" s="5"/>
      <c r="C969" s="5"/>
      <c r="D969" s="5"/>
      <c r="E969" s="5"/>
      <c r="F969" s="5"/>
      <c r="G969" s="5"/>
      <c r="H969" s="306"/>
      <c r="I969" s="306"/>
      <c r="J969" s="5"/>
      <c r="K969" s="5"/>
      <c r="L969" s="5"/>
      <c r="M969" s="5"/>
      <c r="N969" s="5"/>
      <c r="O969" s="5"/>
      <c r="P969" s="57"/>
      <c r="Q969" s="5"/>
      <c r="R969" s="5"/>
      <c r="S969" s="5"/>
      <c r="T969" s="5"/>
      <c r="U969" s="5"/>
      <c r="V969" s="5"/>
      <c r="W969" s="5"/>
      <c r="X969" s="5"/>
      <c r="Y969" s="5"/>
      <c r="Z969" s="5"/>
      <c r="AA969" s="5"/>
    </row>
    <row r="970" spans="1:27" ht="12.75" customHeight="1">
      <c r="A970" s="5"/>
      <c r="B970" s="5"/>
      <c r="C970" s="5"/>
      <c r="D970" s="5"/>
      <c r="E970" s="5"/>
      <c r="F970" s="5"/>
      <c r="G970" s="5"/>
      <c r="H970" s="306"/>
      <c r="I970" s="306"/>
      <c r="J970" s="5"/>
      <c r="K970" s="5"/>
      <c r="L970" s="5"/>
      <c r="M970" s="5"/>
      <c r="N970" s="5"/>
      <c r="O970" s="5"/>
      <c r="P970" s="57"/>
      <c r="Q970" s="5"/>
      <c r="R970" s="5"/>
      <c r="S970" s="5"/>
      <c r="T970" s="5"/>
      <c r="U970" s="5"/>
      <c r="V970" s="5"/>
      <c r="W970" s="5"/>
      <c r="X970" s="5"/>
      <c r="Y970" s="5"/>
      <c r="Z970" s="5"/>
      <c r="AA970" s="5"/>
    </row>
    <row r="971" spans="1:27" ht="12.75" customHeight="1">
      <c r="A971" s="5"/>
      <c r="B971" s="5"/>
      <c r="C971" s="5"/>
      <c r="D971" s="5"/>
      <c r="E971" s="5"/>
      <c r="F971" s="5"/>
      <c r="G971" s="5"/>
      <c r="H971" s="306"/>
      <c r="I971" s="306"/>
      <c r="J971" s="5"/>
      <c r="K971" s="5"/>
      <c r="L971" s="5"/>
      <c r="M971" s="5"/>
      <c r="N971" s="5"/>
      <c r="O971" s="5"/>
      <c r="P971" s="57"/>
      <c r="Q971" s="5"/>
      <c r="R971" s="5"/>
      <c r="S971" s="5"/>
      <c r="T971" s="5"/>
      <c r="U971" s="5"/>
      <c r="V971" s="5"/>
      <c r="W971" s="5"/>
      <c r="X971" s="5"/>
      <c r="Y971" s="5"/>
      <c r="Z971" s="5"/>
      <c r="AA971" s="5"/>
    </row>
    <row r="972" spans="1:27" ht="12.75" customHeight="1">
      <c r="A972" s="5"/>
      <c r="B972" s="5"/>
      <c r="C972" s="5"/>
      <c r="D972" s="5"/>
      <c r="E972" s="5"/>
      <c r="F972" s="5"/>
      <c r="G972" s="5"/>
      <c r="H972" s="306"/>
      <c r="I972" s="306"/>
      <c r="J972" s="5"/>
      <c r="K972" s="5"/>
      <c r="L972" s="5"/>
      <c r="M972" s="5"/>
      <c r="N972" s="5"/>
      <c r="O972" s="5"/>
      <c r="P972" s="57"/>
      <c r="Q972" s="5"/>
      <c r="R972" s="5"/>
      <c r="S972" s="5"/>
      <c r="T972" s="5"/>
      <c r="U972" s="5"/>
      <c r="V972" s="5"/>
      <c r="W972" s="5"/>
      <c r="X972" s="5"/>
      <c r="Y972" s="5"/>
      <c r="Z972" s="5"/>
      <c r="AA972" s="5"/>
    </row>
    <row r="973" spans="1:27" ht="12.75" customHeight="1">
      <c r="A973" s="5"/>
      <c r="B973" s="5"/>
      <c r="C973" s="5"/>
      <c r="D973" s="5"/>
      <c r="E973" s="5"/>
      <c r="F973" s="5"/>
      <c r="G973" s="5"/>
      <c r="H973" s="306"/>
      <c r="I973" s="306"/>
      <c r="J973" s="5"/>
      <c r="K973" s="5"/>
      <c r="L973" s="5"/>
      <c r="M973" s="5"/>
      <c r="N973" s="5"/>
      <c r="O973" s="5"/>
      <c r="P973" s="57"/>
      <c r="Q973" s="5"/>
      <c r="R973" s="5"/>
      <c r="S973" s="5"/>
      <c r="T973" s="5"/>
      <c r="U973" s="5"/>
      <c r="V973" s="5"/>
      <c r="W973" s="5"/>
      <c r="X973" s="5"/>
      <c r="Y973" s="5"/>
      <c r="Z973" s="5"/>
      <c r="AA973" s="5"/>
    </row>
    <row r="974" spans="1:27" ht="12.75" customHeight="1">
      <c r="A974" s="5"/>
      <c r="B974" s="5"/>
      <c r="C974" s="5"/>
      <c r="D974" s="5"/>
      <c r="E974" s="5"/>
      <c r="F974" s="5"/>
      <c r="G974" s="5"/>
      <c r="H974" s="306"/>
      <c r="I974" s="306"/>
      <c r="J974" s="5"/>
      <c r="K974" s="5"/>
      <c r="L974" s="5"/>
      <c r="M974" s="5"/>
      <c r="N974" s="5"/>
      <c r="O974" s="5"/>
      <c r="P974" s="57"/>
      <c r="Q974" s="5"/>
      <c r="R974" s="5"/>
      <c r="S974" s="5"/>
      <c r="T974" s="5"/>
      <c r="U974" s="5"/>
      <c r="V974" s="5"/>
      <c r="W974" s="5"/>
      <c r="X974" s="5"/>
      <c r="Y974" s="5"/>
      <c r="Z974" s="5"/>
      <c r="AA974" s="5"/>
    </row>
    <row r="975" spans="1:27" ht="12.75" customHeight="1">
      <c r="A975" s="5"/>
      <c r="B975" s="5"/>
      <c r="C975" s="5"/>
      <c r="D975" s="5"/>
      <c r="E975" s="5"/>
      <c r="F975" s="5"/>
      <c r="G975" s="5"/>
      <c r="H975" s="306"/>
      <c r="I975" s="306"/>
      <c r="J975" s="5"/>
      <c r="K975" s="5"/>
      <c r="L975" s="5"/>
      <c r="M975" s="5"/>
      <c r="N975" s="5"/>
      <c r="O975" s="5"/>
      <c r="P975" s="57"/>
      <c r="Q975" s="5"/>
      <c r="R975" s="5"/>
      <c r="S975" s="5"/>
      <c r="T975" s="5"/>
      <c r="U975" s="5"/>
      <c r="V975" s="5"/>
      <c r="W975" s="5"/>
      <c r="X975" s="5"/>
      <c r="Y975" s="5"/>
      <c r="Z975" s="5"/>
      <c r="AA975" s="5"/>
    </row>
    <row r="976" spans="1:27" ht="12.75" customHeight="1">
      <c r="A976" s="5"/>
      <c r="B976" s="5"/>
      <c r="C976" s="5"/>
      <c r="D976" s="5"/>
      <c r="E976" s="5"/>
      <c r="F976" s="5"/>
      <c r="G976" s="5"/>
      <c r="H976" s="306"/>
      <c r="I976" s="306"/>
      <c r="J976" s="5"/>
      <c r="K976" s="5"/>
      <c r="L976" s="5"/>
      <c r="M976" s="5"/>
      <c r="N976" s="5"/>
      <c r="O976" s="5"/>
      <c r="P976" s="57"/>
      <c r="Q976" s="5"/>
      <c r="R976" s="5"/>
      <c r="S976" s="5"/>
      <c r="T976" s="5"/>
      <c r="U976" s="5"/>
      <c r="V976" s="5"/>
      <c r="W976" s="5"/>
      <c r="X976" s="5"/>
      <c r="Y976" s="5"/>
      <c r="Z976" s="5"/>
      <c r="AA976" s="5"/>
    </row>
    <row r="977" spans="1:27" ht="12.75" customHeight="1">
      <c r="A977" s="5"/>
      <c r="B977" s="5"/>
      <c r="C977" s="5"/>
      <c r="D977" s="5"/>
      <c r="E977" s="5"/>
      <c r="F977" s="5"/>
      <c r="G977" s="5"/>
      <c r="H977" s="306"/>
      <c r="I977" s="306"/>
      <c r="J977" s="5"/>
      <c r="K977" s="5"/>
      <c r="L977" s="5"/>
      <c r="M977" s="5"/>
      <c r="N977" s="5"/>
      <c r="O977" s="5"/>
      <c r="P977" s="57"/>
      <c r="Q977" s="5"/>
      <c r="R977" s="5"/>
      <c r="S977" s="5"/>
      <c r="T977" s="5"/>
      <c r="U977" s="5"/>
      <c r="V977" s="5"/>
      <c r="W977" s="5"/>
      <c r="X977" s="5"/>
      <c r="Y977" s="5"/>
      <c r="Z977" s="5"/>
      <c r="AA977" s="5"/>
    </row>
    <row r="978" spans="1:27" ht="12.75" customHeight="1">
      <c r="A978" s="5"/>
      <c r="B978" s="5"/>
      <c r="C978" s="5"/>
      <c r="D978" s="5"/>
      <c r="E978" s="5"/>
      <c r="F978" s="5"/>
      <c r="G978" s="5"/>
      <c r="H978" s="306"/>
      <c r="I978" s="306"/>
      <c r="J978" s="5"/>
      <c r="K978" s="5"/>
      <c r="L978" s="5"/>
      <c r="M978" s="5"/>
      <c r="N978" s="5"/>
      <c r="O978" s="5"/>
      <c r="P978" s="57"/>
      <c r="Q978" s="5"/>
      <c r="R978" s="5"/>
      <c r="S978" s="5"/>
      <c r="T978" s="5"/>
      <c r="U978" s="5"/>
      <c r="V978" s="5"/>
      <c r="W978" s="5"/>
      <c r="X978" s="5"/>
      <c r="Y978" s="5"/>
      <c r="Z978" s="5"/>
      <c r="AA978" s="5"/>
    </row>
    <row r="979" spans="1:27" ht="12.75" customHeight="1">
      <c r="A979" s="5"/>
      <c r="B979" s="5"/>
      <c r="C979" s="5"/>
      <c r="D979" s="5"/>
      <c r="E979" s="5"/>
      <c r="F979" s="5"/>
      <c r="G979" s="5"/>
      <c r="H979" s="306"/>
      <c r="I979" s="306"/>
      <c r="J979" s="5"/>
      <c r="K979" s="5"/>
      <c r="L979" s="5"/>
      <c r="M979" s="5"/>
      <c r="N979" s="5"/>
      <c r="O979" s="5"/>
      <c r="P979" s="57"/>
      <c r="Q979" s="5"/>
      <c r="R979" s="5"/>
      <c r="S979" s="5"/>
      <c r="T979" s="5"/>
      <c r="U979" s="5"/>
      <c r="V979" s="5"/>
      <c r="W979" s="5"/>
      <c r="X979" s="5"/>
      <c r="Y979" s="5"/>
      <c r="Z979" s="5"/>
      <c r="AA979" s="5"/>
    </row>
    <row r="980" spans="1:27" ht="12.75" customHeight="1">
      <c r="A980" s="5"/>
      <c r="B980" s="5"/>
      <c r="C980" s="5"/>
      <c r="D980" s="5"/>
      <c r="E980" s="5"/>
      <c r="F980" s="5"/>
      <c r="G980" s="5"/>
      <c r="H980" s="306"/>
      <c r="I980" s="306"/>
      <c r="J980" s="5"/>
      <c r="K980" s="5"/>
      <c r="L980" s="5"/>
      <c r="M980" s="5"/>
      <c r="N980" s="5"/>
      <c r="O980" s="5"/>
      <c r="P980" s="57"/>
      <c r="Q980" s="5"/>
      <c r="R980" s="5"/>
      <c r="S980" s="5"/>
      <c r="T980" s="5"/>
      <c r="U980" s="5"/>
      <c r="V980" s="5"/>
      <c r="W980" s="5"/>
      <c r="X980" s="5"/>
      <c r="Y980" s="5"/>
      <c r="Z980" s="5"/>
      <c r="AA980" s="5"/>
    </row>
    <row r="981" spans="1:27" ht="12.75" customHeight="1">
      <c r="A981" s="5"/>
      <c r="B981" s="5"/>
      <c r="C981" s="5"/>
      <c r="D981" s="5"/>
      <c r="E981" s="5"/>
      <c r="F981" s="5"/>
      <c r="G981" s="5"/>
      <c r="H981" s="306"/>
      <c r="I981" s="306"/>
      <c r="J981" s="5"/>
      <c r="K981" s="5"/>
      <c r="L981" s="5"/>
      <c r="M981" s="5"/>
      <c r="N981" s="5"/>
      <c r="O981" s="5"/>
      <c r="P981" s="57"/>
      <c r="Q981" s="5"/>
      <c r="R981" s="5"/>
      <c r="S981" s="5"/>
      <c r="T981" s="5"/>
      <c r="U981" s="5"/>
      <c r="V981" s="5"/>
      <c r="W981" s="5"/>
      <c r="X981" s="5"/>
      <c r="Y981" s="5"/>
      <c r="Z981" s="5"/>
      <c r="AA981" s="5"/>
    </row>
    <row r="982" spans="1:27" ht="12.75" customHeight="1">
      <c r="A982" s="5"/>
      <c r="B982" s="5"/>
      <c r="C982" s="5"/>
      <c r="D982" s="5"/>
      <c r="E982" s="5"/>
      <c r="F982" s="5"/>
      <c r="G982" s="5"/>
      <c r="H982" s="306"/>
      <c r="I982" s="306"/>
      <c r="J982" s="5"/>
      <c r="K982" s="5"/>
      <c r="L982" s="5"/>
      <c r="M982" s="5"/>
      <c r="N982" s="5"/>
      <c r="O982" s="5"/>
      <c r="P982" s="57"/>
      <c r="Q982" s="5"/>
      <c r="R982" s="5"/>
      <c r="S982" s="5"/>
      <c r="T982" s="5"/>
      <c r="U982" s="5"/>
      <c r="V982" s="5"/>
      <c r="W982" s="5"/>
      <c r="X982" s="5"/>
      <c r="Y982" s="5"/>
      <c r="Z982" s="5"/>
      <c r="AA982" s="5"/>
    </row>
    <row r="983" spans="1:27" ht="12.75" customHeight="1">
      <c r="A983" s="5"/>
      <c r="B983" s="5"/>
      <c r="C983" s="5"/>
      <c r="D983" s="5"/>
      <c r="E983" s="5"/>
      <c r="F983" s="5"/>
      <c r="G983" s="5"/>
      <c r="H983" s="306"/>
      <c r="I983" s="306"/>
      <c r="J983" s="5"/>
      <c r="K983" s="5"/>
      <c r="L983" s="5"/>
      <c r="M983" s="5"/>
      <c r="N983" s="5"/>
      <c r="O983" s="5"/>
      <c r="P983" s="57"/>
      <c r="Q983" s="5"/>
      <c r="R983" s="5"/>
      <c r="S983" s="5"/>
      <c r="T983" s="5"/>
      <c r="U983" s="5"/>
      <c r="V983" s="5"/>
      <c r="W983" s="5"/>
      <c r="X983" s="5"/>
      <c r="Y983" s="5"/>
      <c r="Z983" s="5"/>
      <c r="AA983" s="5"/>
    </row>
    <row r="984" spans="1:27" ht="12.75" customHeight="1">
      <c r="A984" s="5"/>
      <c r="B984" s="5"/>
      <c r="C984" s="5"/>
      <c r="D984" s="5"/>
      <c r="E984" s="5"/>
      <c r="F984" s="5"/>
      <c r="G984" s="5"/>
      <c r="H984" s="306"/>
      <c r="I984" s="306"/>
      <c r="J984" s="5"/>
      <c r="K984" s="5"/>
      <c r="L984" s="5"/>
      <c r="M984" s="5"/>
      <c r="N984" s="5"/>
      <c r="O984" s="5"/>
      <c r="P984" s="57"/>
      <c r="Q984" s="5"/>
      <c r="R984" s="5"/>
      <c r="S984" s="5"/>
      <c r="T984" s="5"/>
      <c r="U984" s="5"/>
      <c r="V984" s="5"/>
      <c r="W984" s="5"/>
      <c r="X984" s="5"/>
      <c r="Y984" s="5"/>
      <c r="Z984" s="5"/>
      <c r="AA984" s="5"/>
    </row>
    <row r="985" spans="1:27" ht="12.75" customHeight="1">
      <c r="A985" s="5"/>
      <c r="B985" s="5"/>
      <c r="C985" s="5"/>
      <c r="D985" s="5"/>
      <c r="E985" s="5"/>
      <c r="F985" s="5"/>
      <c r="G985" s="5"/>
      <c r="H985" s="306"/>
      <c r="I985" s="306"/>
      <c r="J985" s="5"/>
      <c r="K985" s="5"/>
      <c r="L985" s="5"/>
      <c r="M985" s="5"/>
      <c r="N985" s="5"/>
      <c r="O985" s="5"/>
      <c r="P985" s="57"/>
      <c r="Q985" s="5"/>
      <c r="R985" s="5"/>
      <c r="S985" s="5"/>
      <c r="T985" s="5"/>
      <c r="U985" s="5"/>
      <c r="V985" s="5"/>
      <c r="W985" s="5"/>
      <c r="X985" s="5"/>
      <c r="Y985" s="5"/>
      <c r="Z985" s="5"/>
      <c r="AA985" s="5"/>
    </row>
    <row r="986" spans="1:27" ht="12.75" customHeight="1">
      <c r="A986" s="5"/>
      <c r="B986" s="5"/>
      <c r="C986" s="5"/>
      <c r="D986" s="5"/>
      <c r="E986" s="5"/>
      <c r="F986" s="5"/>
      <c r="G986" s="5"/>
      <c r="H986" s="306"/>
      <c r="I986" s="306"/>
      <c r="J986" s="5"/>
      <c r="K986" s="5"/>
      <c r="L986" s="5"/>
      <c r="M986" s="5"/>
      <c r="N986" s="5"/>
      <c r="O986" s="5"/>
      <c r="P986" s="57"/>
      <c r="Q986" s="5"/>
      <c r="R986" s="5"/>
      <c r="S986" s="5"/>
      <c r="T986" s="5"/>
      <c r="U986" s="5"/>
      <c r="V986" s="5"/>
      <c r="W986" s="5"/>
      <c r="X986" s="5"/>
      <c r="Y986" s="5"/>
      <c r="Z986" s="5"/>
      <c r="AA986" s="5"/>
    </row>
    <row r="987" spans="1:27" ht="12.75" customHeight="1">
      <c r="A987" s="5"/>
      <c r="B987" s="5"/>
      <c r="C987" s="5"/>
      <c r="D987" s="5"/>
      <c r="E987" s="5"/>
      <c r="F987" s="5"/>
      <c r="G987" s="5"/>
      <c r="H987" s="306"/>
      <c r="I987" s="306"/>
      <c r="J987" s="5"/>
      <c r="K987" s="5"/>
      <c r="L987" s="5"/>
      <c r="M987" s="5"/>
      <c r="N987" s="5"/>
      <c r="O987" s="5"/>
      <c r="P987" s="57"/>
      <c r="Q987" s="5"/>
      <c r="R987" s="5"/>
      <c r="S987" s="5"/>
      <c r="T987" s="5"/>
      <c r="U987" s="5"/>
      <c r="V987" s="5"/>
      <c r="W987" s="5"/>
      <c r="X987" s="5"/>
      <c r="Y987" s="5"/>
      <c r="Z987" s="5"/>
      <c r="AA987" s="5"/>
    </row>
    <row r="988" spans="1:27" ht="12.75" customHeight="1">
      <c r="A988" s="5"/>
      <c r="B988" s="5"/>
      <c r="C988" s="5"/>
      <c r="D988" s="5"/>
      <c r="E988" s="5"/>
      <c r="F988" s="5"/>
      <c r="G988" s="5"/>
      <c r="H988" s="306"/>
      <c r="I988" s="306"/>
      <c r="J988" s="5"/>
      <c r="K988" s="5"/>
      <c r="L988" s="5"/>
      <c r="M988" s="5"/>
      <c r="N988" s="5"/>
      <c r="O988" s="5"/>
      <c r="P988" s="57"/>
      <c r="Q988" s="5"/>
      <c r="R988" s="5"/>
      <c r="S988" s="5"/>
      <c r="T988" s="5"/>
      <c r="U988" s="5"/>
      <c r="V988" s="5"/>
      <c r="W988" s="5"/>
      <c r="X988" s="5"/>
      <c r="Y988" s="5"/>
      <c r="Z988" s="5"/>
      <c r="AA988" s="5"/>
    </row>
    <row r="989" spans="1:27" ht="12.75" customHeight="1">
      <c r="A989" s="5"/>
      <c r="B989" s="5"/>
      <c r="C989" s="5"/>
      <c r="D989" s="5"/>
      <c r="E989" s="5"/>
      <c r="F989" s="5"/>
      <c r="G989" s="5"/>
      <c r="H989" s="306"/>
      <c r="I989" s="306"/>
      <c r="J989" s="5"/>
      <c r="K989" s="5"/>
      <c r="L989" s="5"/>
      <c r="M989" s="5"/>
      <c r="N989" s="5"/>
      <c r="O989" s="5"/>
      <c r="P989" s="57"/>
      <c r="Q989" s="5"/>
      <c r="R989" s="5"/>
      <c r="S989" s="5"/>
      <c r="T989" s="5"/>
      <c r="U989" s="5"/>
      <c r="V989" s="5"/>
      <c r="W989" s="5"/>
      <c r="X989" s="5"/>
      <c r="Y989" s="5"/>
      <c r="Z989" s="5"/>
      <c r="AA989" s="5"/>
    </row>
    <row r="990" spans="1:27" ht="12.75" customHeight="1">
      <c r="A990" s="5"/>
      <c r="B990" s="5"/>
      <c r="C990" s="5"/>
      <c r="D990" s="5"/>
      <c r="E990" s="5"/>
      <c r="F990" s="5"/>
      <c r="G990" s="5"/>
      <c r="H990" s="306"/>
      <c r="I990" s="306"/>
      <c r="J990" s="5"/>
      <c r="K990" s="5"/>
      <c r="L990" s="5"/>
      <c r="M990" s="5"/>
      <c r="N990" s="5"/>
      <c r="O990" s="5"/>
      <c r="P990" s="57"/>
      <c r="Q990" s="5"/>
      <c r="R990" s="5"/>
      <c r="S990" s="5"/>
      <c r="T990" s="5"/>
      <c r="U990" s="5"/>
      <c r="V990" s="5"/>
      <c r="W990" s="5"/>
      <c r="X990" s="5"/>
      <c r="Y990" s="5"/>
      <c r="Z990" s="5"/>
      <c r="AA990" s="5"/>
    </row>
    <row r="991" spans="1:27" ht="12.75" customHeight="1">
      <c r="A991" s="5"/>
      <c r="B991" s="5"/>
      <c r="C991" s="5"/>
      <c r="D991" s="5"/>
      <c r="E991" s="5"/>
      <c r="F991" s="5"/>
      <c r="G991" s="5"/>
      <c r="H991" s="306"/>
      <c r="I991" s="306"/>
      <c r="J991" s="5"/>
      <c r="K991" s="5"/>
      <c r="L991" s="5"/>
      <c r="M991" s="5"/>
      <c r="N991" s="5"/>
      <c r="O991" s="5"/>
      <c r="P991" s="57"/>
      <c r="Q991" s="5"/>
      <c r="R991" s="5"/>
      <c r="S991" s="5"/>
      <c r="T991" s="5"/>
      <c r="U991" s="5"/>
      <c r="V991" s="5"/>
      <c r="W991" s="5"/>
      <c r="X991" s="5"/>
      <c r="Y991" s="5"/>
      <c r="Z991" s="5"/>
      <c r="AA991" s="5"/>
    </row>
    <row r="992" spans="1:27" ht="12.75" customHeight="1">
      <c r="A992" s="5"/>
      <c r="B992" s="5"/>
      <c r="C992" s="5"/>
      <c r="D992" s="5"/>
      <c r="E992" s="5"/>
      <c r="F992" s="5"/>
      <c r="G992" s="5"/>
      <c r="H992" s="306"/>
      <c r="I992" s="306"/>
      <c r="J992" s="5"/>
      <c r="K992" s="5"/>
      <c r="L992" s="5"/>
      <c r="M992" s="5"/>
      <c r="N992" s="5"/>
      <c r="O992" s="5"/>
      <c r="P992" s="57"/>
      <c r="Q992" s="5"/>
      <c r="R992" s="5"/>
      <c r="S992" s="5"/>
      <c r="T992" s="5"/>
      <c r="U992" s="5"/>
      <c r="V992" s="5"/>
      <c r="W992" s="5"/>
      <c r="X992" s="5"/>
      <c r="Y992" s="5"/>
      <c r="Z992" s="5"/>
      <c r="AA992" s="5"/>
    </row>
    <row r="993" spans="1:27" ht="12.75" customHeight="1">
      <c r="A993" s="5"/>
      <c r="B993" s="5"/>
      <c r="C993" s="5"/>
      <c r="D993" s="5"/>
      <c r="E993" s="5"/>
      <c r="F993" s="5"/>
      <c r="G993" s="5"/>
      <c r="H993" s="306"/>
      <c r="I993" s="306"/>
      <c r="J993" s="5"/>
      <c r="K993" s="5"/>
      <c r="L993" s="5"/>
      <c r="M993" s="5"/>
      <c r="N993" s="5"/>
      <c r="O993" s="5"/>
      <c r="P993" s="57"/>
      <c r="Q993" s="5"/>
      <c r="R993" s="5"/>
      <c r="S993" s="5"/>
      <c r="T993" s="5"/>
      <c r="U993" s="5"/>
      <c r="V993" s="5"/>
      <c r="W993" s="5"/>
      <c r="X993" s="5"/>
      <c r="Y993" s="5"/>
      <c r="Z993" s="5"/>
      <c r="AA993" s="5"/>
    </row>
    <row r="994" spans="1:27" ht="12.75" customHeight="1">
      <c r="A994" s="5"/>
      <c r="B994" s="5"/>
      <c r="C994" s="5"/>
      <c r="D994" s="5"/>
      <c r="E994" s="5"/>
      <c r="F994" s="5"/>
      <c r="G994" s="5"/>
      <c r="H994" s="306"/>
      <c r="I994" s="306"/>
      <c r="J994" s="5"/>
      <c r="K994" s="5"/>
      <c r="L994" s="5"/>
      <c r="M994" s="5"/>
      <c r="N994" s="5"/>
      <c r="O994" s="5"/>
      <c r="P994" s="57"/>
      <c r="Q994" s="5"/>
      <c r="R994" s="5"/>
      <c r="S994" s="5"/>
      <c r="T994" s="5"/>
      <c r="U994" s="5"/>
      <c r="V994" s="5"/>
      <c r="W994" s="5"/>
      <c r="X994" s="5"/>
      <c r="Y994" s="5"/>
      <c r="Z994" s="5"/>
      <c r="AA994" s="5"/>
    </row>
    <row r="995" spans="1:27" ht="12.75" customHeight="1">
      <c r="A995" s="5"/>
      <c r="B995" s="5"/>
      <c r="C995" s="5"/>
      <c r="D995" s="5"/>
      <c r="E995" s="5"/>
      <c r="F995" s="5"/>
      <c r="G995" s="5"/>
      <c r="H995" s="306"/>
      <c r="I995" s="306"/>
      <c r="J995" s="5"/>
      <c r="K995" s="5"/>
      <c r="L995" s="5"/>
      <c r="M995" s="5"/>
      <c r="N995" s="5"/>
      <c r="O995" s="5"/>
      <c r="P995" s="57"/>
      <c r="Q995" s="5"/>
      <c r="R995" s="5"/>
      <c r="S995" s="5"/>
      <c r="T995" s="5"/>
      <c r="U995" s="5"/>
      <c r="V995" s="5"/>
      <c r="W995" s="5"/>
      <c r="X995" s="5"/>
      <c r="Y995" s="5"/>
      <c r="Z995" s="5"/>
      <c r="AA995" s="5"/>
    </row>
    <row r="996" spans="1:27" ht="12.75" customHeight="1">
      <c r="A996" s="5"/>
      <c r="B996" s="5"/>
      <c r="C996" s="5"/>
      <c r="D996" s="5"/>
      <c r="E996" s="5"/>
      <c r="F996" s="5"/>
      <c r="G996" s="5"/>
      <c r="H996" s="306"/>
      <c r="I996" s="306"/>
      <c r="J996" s="5"/>
      <c r="K996" s="5"/>
      <c r="L996" s="5"/>
      <c r="M996" s="5"/>
      <c r="N996" s="5"/>
      <c r="O996" s="5"/>
      <c r="P996" s="57"/>
      <c r="Q996" s="5"/>
      <c r="R996" s="5"/>
      <c r="S996" s="5"/>
      <c r="T996" s="5"/>
      <c r="U996" s="5"/>
      <c r="V996" s="5"/>
      <c r="W996" s="5"/>
      <c r="X996" s="5"/>
      <c r="Y996" s="5"/>
      <c r="Z996" s="5"/>
      <c r="AA996" s="5"/>
    </row>
    <row r="997" spans="1:27" ht="12.75" customHeight="1">
      <c r="A997" s="5"/>
      <c r="B997" s="5"/>
      <c r="C997" s="5"/>
      <c r="D997" s="5"/>
      <c r="E997" s="5"/>
      <c r="F997" s="5"/>
      <c r="G997" s="5"/>
      <c r="H997" s="306"/>
      <c r="I997" s="306"/>
      <c r="J997" s="5"/>
      <c r="K997" s="5"/>
      <c r="L997" s="5"/>
      <c r="M997" s="5"/>
      <c r="N997" s="5"/>
      <c r="O997" s="5"/>
      <c r="P997" s="57"/>
      <c r="Q997" s="5"/>
      <c r="R997" s="5"/>
      <c r="S997" s="5"/>
      <c r="T997" s="5"/>
      <c r="U997" s="5"/>
      <c r="V997" s="5"/>
      <c r="W997" s="5"/>
      <c r="X997" s="5"/>
      <c r="Y997" s="5"/>
      <c r="Z997" s="5"/>
      <c r="AA997" s="5"/>
    </row>
    <row r="998" spans="1:27" ht="12.75" customHeight="1">
      <c r="A998" s="5"/>
      <c r="B998" s="5"/>
      <c r="C998" s="5"/>
      <c r="D998" s="5"/>
      <c r="E998" s="5"/>
      <c r="F998" s="5"/>
      <c r="G998" s="5"/>
      <c r="H998" s="306"/>
      <c r="I998" s="306"/>
      <c r="J998" s="5"/>
      <c r="K998" s="5"/>
      <c r="L998" s="5"/>
      <c r="M998" s="5"/>
      <c r="N998" s="5"/>
      <c r="O998" s="5"/>
      <c r="P998" s="57"/>
      <c r="Q998" s="5"/>
      <c r="R998" s="5"/>
      <c r="S998" s="5"/>
      <c r="T998" s="5"/>
      <c r="U998" s="5"/>
      <c r="V998" s="5"/>
      <c r="W998" s="5"/>
      <c r="X998" s="5"/>
      <c r="Y998" s="5"/>
      <c r="Z998" s="5"/>
      <c r="AA998" s="5"/>
    </row>
    <row r="999" spans="1:27" ht="12.75" customHeight="1">
      <c r="A999" s="5"/>
      <c r="B999" s="5"/>
      <c r="C999" s="5"/>
      <c r="D999" s="5"/>
      <c r="E999" s="5"/>
      <c r="F999" s="5"/>
      <c r="G999" s="5"/>
      <c r="H999" s="306"/>
      <c r="I999" s="306"/>
      <c r="J999" s="5"/>
      <c r="K999" s="5"/>
      <c r="L999" s="5"/>
      <c r="M999" s="5"/>
      <c r="N999" s="5"/>
      <c r="O999" s="5"/>
      <c r="P999" s="57"/>
      <c r="Q999" s="5"/>
      <c r="R999" s="5"/>
      <c r="S999" s="5"/>
      <c r="T999" s="5"/>
      <c r="U999" s="5"/>
      <c r="V999" s="5"/>
      <c r="W999" s="5"/>
      <c r="X999" s="5"/>
      <c r="Y999" s="5"/>
      <c r="Z999" s="5"/>
      <c r="AA999" s="5"/>
    </row>
    <row r="1000" spans="1:27" ht="12.75" customHeight="1">
      <c r="A1000" s="5"/>
      <c r="B1000" s="5"/>
      <c r="C1000" s="5"/>
      <c r="D1000" s="5"/>
      <c r="E1000" s="5"/>
      <c r="F1000" s="5"/>
      <c r="G1000" s="5"/>
      <c r="H1000" s="306"/>
      <c r="I1000" s="306"/>
      <c r="J1000" s="5"/>
      <c r="K1000" s="5"/>
      <c r="L1000" s="5"/>
      <c r="M1000" s="5"/>
      <c r="N1000" s="5"/>
      <c r="O1000" s="5"/>
      <c r="P1000" s="57"/>
      <c r="Q1000" s="5"/>
      <c r="R1000" s="5"/>
      <c r="S1000" s="5"/>
      <c r="T1000" s="5"/>
      <c r="U1000" s="5"/>
      <c r="V1000" s="5"/>
      <c r="W1000" s="5"/>
      <c r="X1000" s="5"/>
      <c r="Y1000" s="5"/>
      <c r="Z1000" s="5"/>
      <c r="AA1000" s="5"/>
    </row>
    <row r="1001" spans="1:27" ht="12.75" customHeight="1">
      <c r="A1001" s="5"/>
      <c r="B1001" s="5"/>
      <c r="C1001" s="5"/>
      <c r="D1001" s="5"/>
      <c r="E1001" s="5"/>
      <c r="F1001" s="5"/>
      <c r="G1001" s="5"/>
      <c r="H1001" s="306"/>
      <c r="I1001" s="306"/>
      <c r="J1001" s="5"/>
      <c r="K1001" s="5"/>
      <c r="L1001" s="5"/>
      <c r="M1001" s="5"/>
      <c r="N1001" s="5"/>
      <c r="O1001" s="5"/>
      <c r="P1001" s="57"/>
      <c r="Q1001" s="5"/>
      <c r="R1001" s="5"/>
      <c r="S1001" s="5"/>
      <c r="T1001" s="5"/>
      <c r="U1001" s="5"/>
      <c r="V1001" s="5"/>
      <c r="W1001" s="5"/>
      <c r="X1001" s="5"/>
      <c r="Y1001" s="5"/>
      <c r="Z1001" s="5"/>
      <c r="AA1001" s="5"/>
    </row>
    <row r="1002" spans="1:27" ht="12.75" customHeight="1">
      <c r="A1002" s="5"/>
      <c r="B1002" s="5"/>
      <c r="C1002" s="5"/>
      <c r="D1002" s="5"/>
      <c r="E1002" s="5"/>
      <c r="F1002" s="5"/>
      <c r="G1002" s="5"/>
      <c r="H1002" s="306"/>
      <c r="I1002" s="306"/>
      <c r="J1002" s="5"/>
      <c r="K1002" s="5"/>
      <c r="L1002" s="5"/>
      <c r="M1002" s="5"/>
      <c r="N1002" s="5"/>
      <c r="O1002" s="5"/>
      <c r="P1002" s="57"/>
      <c r="Q1002" s="5"/>
      <c r="R1002" s="5"/>
      <c r="S1002" s="5"/>
      <c r="T1002" s="5"/>
      <c r="U1002" s="5"/>
      <c r="V1002" s="5"/>
      <c r="W1002" s="5"/>
      <c r="X1002" s="5"/>
      <c r="Y1002" s="5"/>
      <c r="Z1002" s="5"/>
      <c r="AA1002" s="5"/>
    </row>
    <row r="1003" spans="1:27" ht="12.75" customHeight="1">
      <c r="A1003" s="5"/>
      <c r="B1003" s="5"/>
      <c r="C1003" s="5"/>
      <c r="D1003" s="5"/>
      <c r="E1003" s="5"/>
      <c r="F1003" s="5"/>
      <c r="G1003" s="5"/>
      <c r="H1003" s="306"/>
      <c r="I1003" s="306"/>
      <c r="J1003" s="5"/>
      <c r="K1003" s="5"/>
      <c r="L1003" s="5"/>
      <c r="M1003" s="5"/>
      <c r="N1003" s="5"/>
      <c r="O1003" s="5"/>
      <c r="P1003" s="57"/>
      <c r="Q1003" s="5"/>
      <c r="R1003" s="5"/>
      <c r="S1003" s="5"/>
      <c r="T1003" s="5"/>
      <c r="U1003" s="5"/>
      <c r="V1003" s="5"/>
      <c r="W1003" s="5"/>
      <c r="X1003" s="5"/>
      <c r="Y1003" s="5"/>
      <c r="Z1003" s="5"/>
      <c r="AA1003" s="5"/>
    </row>
    <row r="1004" spans="1:27" ht="12.75" customHeight="1">
      <c r="A1004" s="5"/>
      <c r="B1004" s="5"/>
      <c r="C1004" s="5"/>
      <c r="D1004" s="5"/>
      <c r="E1004" s="5"/>
      <c r="F1004" s="5"/>
      <c r="G1004" s="5"/>
      <c r="H1004" s="306"/>
      <c r="I1004" s="306"/>
      <c r="J1004" s="5"/>
      <c r="K1004" s="5"/>
      <c r="L1004" s="5"/>
      <c r="M1004" s="5"/>
      <c r="N1004" s="5"/>
      <c r="O1004" s="5"/>
      <c r="P1004" s="57"/>
      <c r="Q1004" s="5"/>
      <c r="R1004" s="5"/>
      <c r="S1004" s="5"/>
      <c r="T1004" s="5"/>
      <c r="U1004" s="5"/>
      <c r="V1004" s="5"/>
      <c r="W1004" s="5"/>
      <c r="X1004" s="5"/>
      <c r="Y1004" s="5"/>
      <c r="Z1004" s="5"/>
      <c r="AA1004" s="5"/>
    </row>
    <row r="1005" spans="1:27" ht="12.75" customHeight="1">
      <c r="A1005" s="5"/>
      <c r="B1005" s="5"/>
      <c r="C1005" s="5"/>
      <c r="D1005" s="5"/>
      <c r="E1005" s="5"/>
      <c r="F1005" s="5"/>
      <c r="G1005" s="5"/>
      <c r="H1005" s="306"/>
      <c r="I1005" s="306"/>
      <c r="J1005" s="5"/>
      <c r="K1005" s="5"/>
      <c r="L1005" s="5"/>
      <c r="M1005" s="5"/>
      <c r="N1005" s="5"/>
      <c r="O1005" s="5"/>
      <c r="P1005" s="57"/>
      <c r="Q1005" s="5"/>
      <c r="R1005" s="5"/>
      <c r="S1005" s="5"/>
      <c r="T1005" s="5"/>
      <c r="U1005" s="5"/>
      <c r="V1005" s="5"/>
      <c r="W1005" s="5"/>
      <c r="X1005" s="5"/>
      <c r="Y1005" s="5"/>
      <c r="Z1005" s="5"/>
      <c r="AA1005" s="5"/>
    </row>
    <row r="1006" spans="1:27" ht="12.75" customHeight="1">
      <c r="A1006" s="5"/>
      <c r="B1006" s="5"/>
      <c r="C1006" s="5"/>
      <c r="D1006" s="5"/>
      <c r="E1006" s="5"/>
      <c r="F1006" s="5"/>
      <c r="G1006" s="5"/>
      <c r="H1006" s="306"/>
      <c r="I1006" s="306"/>
      <c r="J1006" s="5"/>
      <c r="K1006" s="5"/>
      <c r="L1006" s="5"/>
      <c r="M1006" s="5"/>
      <c r="N1006" s="5"/>
      <c r="O1006" s="5"/>
      <c r="P1006" s="57"/>
      <c r="Q1006" s="5"/>
      <c r="R1006" s="5"/>
      <c r="S1006" s="5"/>
      <c r="T1006" s="5"/>
      <c r="U1006" s="5"/>
      <c r="V1006" s="5"/>
      <c r="W1006" s="5"/>
      <c r="X1006" s="5"/>
      <c r="Y1006" s="5"/>
      <c r="Z1006" s="5"/>
      <c r="AA1006" s="5"/>
    </row>
    <row r="1007" spans="1:27" ht="12.75" customHeight="1">
      <c r="A1007" s="5"/>
      <c r="B1007" s="5"/>
      <c r="C1007" s="5"/>
      <c r="D1007" s="5"/>
      <c r="E1007" s="5"/>
      <c r="F1007" s="5"/>
      <c r="G1007" s="5"/>
      <c r="H1007" s="306"/>
      <c r="I1007" s="306"/>
      <c r="J1007" s="5"/>
      <c r="K1007" s="5"/>
      <c r="L1007" s="5"/>
      <c r="M1007" s="5"/>
      <c r="N1007" s="5"/>
      <c r="O1007" s="5"/>
      <c r="P1007" s="57"/>
      <c r="Q1007" s="5"/>
      <c r="R1007" s="5"/>
      <c r="S1007" s="5"/>
      <c r="T1007" s="5"/>
      <c r="U1007" s="5"/>
      <c r="V1007" s="5"/>
      <c r="W1007" s="5"/>
      <c r="X1007" s="5"/>
      <c r="Y1007" s="5"/>
      <c r="Z1007" s="5"/>
      <c r="AA1007" s="5"/>
    </row>
    <row r="1008" spans="1:27" ht="12.75" customHeight="1">
      <c r="O1008" s="5"/>
      <c r="P1008" s="57"/>
      <c r="Q1008" s="5"/>
      <c r="R1008" s="5"/>
      <c r="S1008" s="5"/>
      <c r="T1008" s="5"/>
      <c r="U1008" s="5"/>
      <c r="V1008" s="5"/>
      <c r="W1008" s="5"/>
      <c r="X1008" s="5"/>
      <c r="Y1008" s="5"/>
      <c r="Z1008" s="5"/>
      <c r="AA1008" s="5"/>
    </row>
  </sheetData>
  <mergeCells count="8">
    <mergeCell ref="M58:N58"/>
    <mergeCell ref="B1:O1"/>
    <mergeCell ref="B2:O2"/>
    <mergeCell ref="B3:O3"/>
    <mergeCell ref="D5:L5"/>
    <mergeCell ref="M5:N5"/>
    <mergeCell ref="D6:G6"/>
    <mergeCell ref="I6:L6"/>
  </mergeCells>
  <conditionalFormatting sqref="B50">
    <cfRule type="containsText" dxfId="261" priority="5" operator="containsText" text="Buy">
      <formula>NOT(ISERROR(SEARCH(("Buy"),(B50))))</formula>
    </cfRule>
    <cfRule type="containsText" dxfId="260" priority="6" operator="containsText" text="Sell">
      <formula>NOT(ISERROR(SEARCH(("Sell"),(B50))))</formula>
    </cfRule>
  </conditionalFormatting>
  <conditionalFormatting sqref="J58:J76">
    <cfRule type="cellIs" dxfId="259" priority="70" stopIfTrue="1" operator="lessThanOrEqual">
      <formula>$M$81</formula>
    </cfRule>
    <cfRule type="cellIs" dxfId="258" priority="69" stopIfTrue="1" operator="greaterThan">
      <formula>$M$81</formula>
    </cfRule>
    <cfRule type="cellIs" dxfId="257" priority="68" stopIfTrue="1" operator="lessThanOrEqual">
      <formula>$M$79</formula>
    </cfRule>
    <cfRule type="cellIs" dxfId="256" priority="67" stopIfTrue="1" operator="greaterThan">
      <formula>$M$79</formula>
    </cfRule>
    <cfRule type="cellIs" dxfId="255" priority="66" stopIfTrue="1" operator="lessThanOrEqual">
      <formula>$N$86</formula>
    </cfRule>
    <cfRule type="cellIs" dxfId="254" priority="65" stopIfTrue="1" operator="greaterThan">
      <formula>$N$86</formula>
    </cfRule>
  </conditionalFormatting>
  <conditionalFormatting sqref="M9:M54">
    <cfRule type="cellIs" dxfId="253" priority="1" stopIfTrue="1" operator="greaterThanOrEqual">
      <formula>0</formula>
    </cfRule>
    <cfRule type="cellIs" dxfId="252" priority="2" stopIfTrue="1" operator="lessThan">
      <formula>0</formula>
    </cfRule>
  </conditionalFormatting>
  <conditionalFormatting sqref="M45:M46">
    <cfRule type="cellIs" dxfId="251" priority="3" stopIfTrue="1" operator="greaterThan">
      <formula>#REF!</formula>
    </cfRule>
    <cfRule type="cellIs" dxfId="250" priority="4" stopIfTrue="1" operator="lessThanOrEqual">
      <formula>#REF!</formula>
    </cfRule>
  </conditionalFormatting>
  <conditionalFormatting sqref="N9">
    <cfRule type="cellIs" dxfId="249" priority="37" stopIfTrue="1" operator="greaterThan">
      <formula>$M$78</formula>
    </cfRule>
    <cfRule type="cellIs" dxfId="248" priority="38" stopIfTrue="1" operator="lessThanOrEqual">
      <formula>$M$78</formula>
    </cfRule>
  </conditionalFormatting>
  <conditionalFormatting sqref="N9:N14 N20:N41 N45:N46 N50:N53">
    <cfRule type="cellIs" dxfId="247" priority="25" stopIfTrue="1" operator="greaterThan">
      <formula>$M$78</formula>
    </cfRule>
    <cfRule type="cellIs" dxfId="246" priority="26" stopIfTrue="1" operator="lessThanOrEqual">
      <formula>$M$78</formula>
    </cfRule>
  </conditionalFormatting>
  <conditionalFormatting sqref="N9:N15 M11:M44 N20:N46 M47:N75">
    <cfRule type="cellIs" dxfId="245" priority="44" stopIfTrue="1" operator="lessThanOrEqual">
      <formula>#REF!</formula>
    </cfRule>
  </conditionalFormatting>
  <conditionalFormatting sqref="N9:N15 N20:N46 M47:N75 M11:M44">
    <cfRule type="cellIs" dxfId="244" priority="43" stopIfTrue="1" operator="greaterThan">
      <formula>#REF!</formula>
    </cfRule>
  </conditionalFormatting>
  <conditionalFormatting sqref="N9:N41 N45:N46 O45:O47 O54">
    <cfRule type="cellIs" dxfId="243" priority="45" stopIfTrue="1" operator="greaterThan">
      <formula>#REF!</formula>
    </cfRule>
    <cfRule type="cellIs" dxfId="242" priority="46" stopIfTrue="1" operator="lessThanOrEqual">
      <formula>#REF!</formula>
    </cfRule>
  </conditionalFormatting>
  <conditionalFormatting sqref="N15">
    <cfRule type="cellIs" dxfId="241" priority="63" stopIfTrue="1" operator="greaterThan">
      <formula>$M$78</formula>
    </cfRule>
    <cfRule type="cellIs" dxfId="240" priority="64" stopIfTrue="1" operator="lessThanOrEqual">
      <formula>$M$78</formula>
    </cfRule>
  </conditionalFormatting>
  <conditionalFormatting sqref="N16">
    <cfRule type="cellIs" dxfId="239" priority="8" stopIfTrue="1" operator="lessThanOrEqual">
      <formula>$M$79</formula>
    </cfRule>
    <cfRule type="cellIs" dxfId="238" priority="7" stopIfTrue="1" operator="greaterThan">
      <formula>$M$79</formula>
    </cfRule>
  </conditionalFormatting>
  <conditionalFormatting sqref="N16:N19">
    <cfRule type="cellIs" dxfId="237" priority="12" stopIfTrue="1" operator="lessThanOrEqual">
      <formula>#REF!</formula>
    </cfRule>
    <cfRule type="cellIs" dxfId="236" priority="11" stopIfTrue="1" operator="greaterThan">
      <formula>#REF!</formula>
    </cfRule>
  </conditionalFormatting>
  <conditionalFormatting sqref="N17:N19">
    <cfRule type="cellIs" dxfId="235" priority="53" stopIfTrue="1" operator="greaterThan">
      <formula>$M$79</formula>
    </cfRule>
    <cfRule type="cellIs" dxfId="234" priority="54" stopIfTrue="1" operator="lessThanOrEqual">
      <formula>$M$79</formula>
    </cfRule>
  </conditionalFormatting>
  <conditionalFormatting sqref="N27:N31 N33 N39:N41 N45">
    <cfRule type="cellIs" dxfId="233" priority="158" stopIfTrue="1" operator="greaterThan">
      <formula>$M$88</formula>
    </cfRule>
    <cfRule type="cellIs" dxfId="232" priority="162" stopIfTrue="1" operator="lessThanOrEqual">
      <formula>$M$88</formula>
    </cfRule>
  </conditionalFormatting>
  <conditionalFormatting sqref="N50:N53">
    <cfRule type="cellIs" dxfId="231" priority="51" stopIfTrue="1" operator="greaterThan">
      <formula>#REF!</formula>
    </cfRule>
    <cfRule type="cellIs" dxfId="230" priority="52" stopIfTrue="1" operator="lessThanOrEqual">
      <formula>#REF!</formula>
    </cfRule>
  </conditionalFormatting>
  <conditionalFormatting sqref="O9:O54">
    <cfRule type="cellIs" dxfId="229" priority="28" stopIfTrue="1" operator="lessThanOrEqual">
      <formula>#REF!</formula>
    </cfRule>
    <cfRule type="cellIs" dxfId="228" priority="27" stopIfTrue="1" operator="greaterThan">
      <formula>#REF!</formula>
    </cfRule>
  </conditionalFormatting>
  <conditionalFormatting sqref="O54">
    <cfRule type="cellIs" dxfId="227" priority="47" stopIfTrue="1" operator="greaterThan">
      <formula>#REF!</formula>
    </cfRule>
    <cfRule type="cellIs" dxfId="226" priority="48" stopIfTrue="1" operator="lessThanOrEqual">
      <formula>#REF!</formula>
    </cfRule>
  </conditionalFormatting>
  <conditionalFormatting sqref="P88">
    <cfRule type="cellIs" dxfId="225" priority="49" stopIfTrue="1" operator="greaterThan">
      <formula>#REF!</formula>
    </cfRule>
    <cfRule type="cellIs" dxfId="224" priority="50" stopIfTrue="1" operator="lessThanOrEqual">
      <formula>#REF!</formula>
    </cfRule>
  </conditionalFormatting>
  <hyperlinks>
    <hyperlink ref="B89" r:id="rId1" xr:uid="{00000000-0004-0000-1000-000000000000}"/>
    <hyperlink ref="B91" r:id="rId2" xr:uid="{00000000-0004-0000-1000-000001000000}"/>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A999"/>
  <sheetViews>
    <sheetView workbookViewId="0">
      <selection activeCell="A17" sqref="A17:XFD17"/>
    </sheetView>
  </sheetViews>
  <sheetFormatPr defaultColWidth="14.28515625" defaultRowHeight="15" customHeight="1"/>
  <cols>
    <col min="1" max="1" width="2.7109375" bestFit="1" customWidth="1"/>
    <col min="2" max="2" width="38.7109375" customWidth="1"/>
    <col min="3" max="3" width="6.28515625" bestFit="1" customWidth="1"/>
    <col min="4" max="4" width="7" bestFit="1" customWidth="1"/>
    <col min="5" max="5" width="10.7109375" bestFit="1" customWidth="1"/>
    <col min="6" max="6" width="15.28515625" bestFit="1" customWidth="1"/>
    <col min="7" max="7" width="14.28515625" bestFit="1" customWidth="1"/>
    <col min="8" max="8" width="11.28515625" bestFit="1" customWidth="1"/>
    <col min="9" max="9" width="10.7109375" bestFit="1" customWidth="1"/>
    <col min="10" max="10" width="10.28515625" bestFit="1" customWidth="1"/>
    <col min="11" max="11" width="15.7109375" customWidth="1"/>
    <col min="12" max="12" width="13.28515625" bestFit="1" customWidth="1"/>
    <col min="13" max="13" width="7.28515625" bestFit="1" customWidth="1"/>
    <col min="14" max="14" width="8.28515625" bestFit="1" customWidth="1"/>
    <col min="15" max="15" width="13" customWidth="1"/>
    <col min="16" max="16" width="11.28515625" customWidth="1"/>
    <col min="17" max="18" width="12.28515625" customWidth="1"/>
    <col min="19" max="19" width="10.7109375" customWidth="1"/>
    <col min="20" max="20" width="14.28515625" customWidth="1"/>
    <col min="21" max="27" width="9.28515625" customWidth="1"/>
  </cols>
  <sheetData>
    <row r="1" spans="1:27" ht="20.25" customHeight="1">
      <c r="A1" s="309"/>
      <c r="B1" s="1984" t="s">
        <v>0</v>
      </c>
      <c r="C1" s="1985"/>
      <c r="D1" s="1985"/>
      <c r="E1" s="1985"/>
      <c r="F1" s="1985"/>
      <c r="G1" s="1985"/>
      <c r="H1" s="1985"/>
      <c r="I1" s="1985"/>
      <c r="J1" s="1985"/>
      <c r="K1" s="1985"/>
      <c r="L1" s="1985"/>
      <c r="M1" s="1985"/>
      <c r="N1" s="1985"/>
      <c r="O1" s="1985"/>
      <c r="P1" s="1162"/>
      <c r="Q1" s="989"/>
      <c r="R1" s="990"/>
      <c r="S1" s="990"/>
      <c r="T1" s="990"/>
      <c r="U1" s="1021"/>
      <c r="V1" s="5"/>
      <c r="W1" s="5"/>
      <c r="X1" s="5"/>
      <c r="Y1" s="5"/>
      <c r="Z1" s="5"/>
      <c r="AA1" s="5"/>
    </row>
    <row r="2" spans="1:27" ht="14.25" customHeight="1">
      <c r="A2" s="309"/>
      <c r="B2" s="1986" t="s">
        <v>646</v>
      </c>
      <c r="C2" s="1985"/>
      <c r="D2" s="1985"/>
      <c r="E2" s="1985"/>
      <c r="F2" s="1985"/>
      <c r="G2" s="1985"/>
      <c r="H2" s="1985"/>
      <c r="I2" s="1985"/>
      <c r="J2" s="1985"/>
      <c r="K2" s="1985"/>
      <c r="L2" s="1985"/>
      <c r="M2" s="1985"/>
      <c r="N2" s="1985"/>
      <c r="O2" s="1985"/>
      <c r="P2" s="325"/>
      <c r="Q2" s="991"/>
      <c r="R2" s="345"/>
      <c r="S2" s="345"/>
      <c r="T2" s="345"/>
      <c r="U2" s="1022"/>
      <c r="V2" s="5"/>
      <c r="W2" s="5"/>
      <c r="X2" s="5"/>
      <c r="Y2" s="5"/>
      <c r="Z2" s="5"/>
      <c r="AA2" s="5"/>
    </row>
    <row r="3" spans="1:27" ht="12.75" customHeight="1">
      <c r="A3" s="309"/>
      <c r="B3" s="2001"/>
      <c r="C3" s="1985"/>
      <c r="D3" s="1985"/>
      <c r="E3" s="1985"/>
      <c r="F3" s="1985"/>
      <c r="G3" s="1985"/>
      <c r="H3" s="1985"/>
      <c r="I3" s="1985"/>
      <c r="J3" s="1985"/>
      <c r="K3" s="1985"/>
      <c r="L3" s="1985"/>
      <c r="M3" s="1985"/>
      <c r="N3" s="1985"/>
      <c r="O3" s="1985"/>
      <c r="P3" s="325"/>
      <c r="Q3" s="991"/>
      <c r="R3" s="992"/>
      <c r="S3" s="992"/>
      <c r="T3" s="992"/>
      <c r="U3" s="1022"/>
      <c r="V3" s="5"/>
      <c r="W3" s="5"/>
      <c r="X3" s="5"/>
      <c r="Y3" s="5"/>
      <c r="Z3" s="5"/>
      <c r="AA3" s="5"/>
    </row>
    <row r="4" spans="1:27" ht="12.75" customHeight="1">
      <c r="A4" s="309"/>
      <c r="B4" s="894"/>
      <c r="C4" s="894"/>
      <c r="D4" s="894"/>
      <c r="E4" s="894"/>
      <c r="F4" s="894"/>
      <c r="G4" s="894"/>
      <c r="H4" s="894"/>
      <c r="I4" s="894"/>
      <c r="J4" s="1275"/>
      <c r="K4" s="894"/>
      <c r="L4" s="894"/>
      <c r="M4" s="894"/>
      <c r="N4" s="894"/>
      <c r="O4" s="894"/>
      <c r="P4" s="1163"/>
      <c r="Q4" s="994"/>
      <c r="R4" s="933"/>
      <c r="S4" s="933"/>
      <c r="T4" s="933"/>
      <c r="U4" s="609"/>
      <c r="V4" s="5"/>
      <c r="W4" s="5"/>
      <c r="X4" s="5"/>
      <c r="Y4" s="5"/>
      <c r="Z4" s="5"/>
      <c r="AA4" s="5"/>
    </row>
    <row r="5" spans="1:27" ht="12.75" customHeight="1" thickBot="1">
      <c r="A5" s="897"/>
      <c r="B5" s="897"/>
      <c r="C5" s="1175"/>
      <c r="D5" s="1988" t="s">
        <v>3</v>
      </c>
      <c r="E5" s="1989"/>
      <c r="F5" s="1989"/>
      <c r="G5" s="1989"/>
      <c r="H5" s="1989"/>
      <c r="I5" s="1989"/>
      <c r="J5" s="1989"/>
      <c r="K5" s="1989"/>
      <c r="L5" s="1989"/>
      <c r="M5" s="2024"/>
      <c r="N5" s="2025"/>
      <c r="O5" s="110"/>
      <c r="P5" s="1164"/>
      <c r="Q5" s="995"/>
      <c r="R5" s="309"/>
      <c r="S5" s="309"/>
      <c r="T5" s="309"/>
      <c r="U5" s="328"/>
      <c r="V5" s="5"/>
      <c r="W5" s="5"/>
      <c r="X5" s="5"/>
      <c r="Y5" s="5"/>
      <c r="Z5" s="5"/>
      <c r="AA5" s="5"/>
    </row>
    <row r="6" spans="1:27" ht="12.75" customHeight="1">
      <c r="A6" s="1053"/>
      <c r="B6" s="900"/>
      <c r="C6" s="901"/>
      <c r="D6" s="2008">
        <v>43830</v>
      </c>
      <c r="E6" s="1981"/>
      <c r="F6" s="1981"/>
      <c r="G6" s="1981"/>
      <c r="H6" s="1276"/>
      <c r="I6" s="2003">
        <v>44196</v>
      </c>
      <c r="J6" s="1981"/>
      <c r="K6" s="1981"/>
      <c r="L6" s="1981"/>
      <c r="M6" s="111" t="s">
        <v>5</v>
      </c>
      <c r="N6" s="855" t="s">
        <v>6</v>
      </c>
      <c r="O6" s="112"/>
      <c r="P6" s="1116"/>
      <c r="Q6" s="1055"/>
      <c r="R6" s="1116"/>
      <c r="S6" s="1055"/>
      <c r="T6" s="327"/>
      <c r="U6" s="5"/>
      <c r="V6" s="5"/>
      <c r="W6" s="5"/>
      <c r="X6" s="5"/>
      <c r="Y6" s="5"/>
      <c r="Z6" s="5"/>
    </row>
    <row r="7" spans="1:27" ht="12.75" customHeight="1" thickBot="1">
      <c r="A7" s="42"/>
      <c r="B7" s="905" t="s">
        <v>7</v>
      </c>
      <c r="C7" s="1176" t="s">
        <v>8</v>
      </c>
      <c r="D7" s="893" t="s">
        <v>9</v>
      </c>
      <c r="E7" s="113" t="s">
        <v>10</v>
      </c>
      <c r="F7" s="113" t="s">
        <v>11</v>
      </c>
      <c r="G7" s="113" t="s">
        <v>12</v>
      </c>
      <c r="H7" s="113"/>
      <c r="I7" s="113" t="s">
        <v>9</v>
      </c>
      <c r="J7" s="113" t="s">
        <v>10</v>
      </c>
      <c r="K7" s="114" t="s">
        <v>11</v>
      </c>
      <c r="L7" s="115" t="s">
        <v>12</v>
      </c>
      <c r="M7" s="893" t="s">
        <v>15</v>
      </c>
      <c r="N7" s="115" t="s">
        <v>15</v>
      </c>
      <c r="O7" s="116"/>
      <c r="P7" s="544"/>
      <c r="Q7" s="1116"/>
      <c r="R7" s="1116"/>
      <c r="S7" s="323"/>
      <c r="T7" s="327"/>
      <c r="U7" s="5"/>
      <c r="V7" s="5"/>
      <c r="W7" s="5"/>
      <c r="X7" s="5"/>
      <c r="Y7" s="5"/>
      <c r="Z7" s="5"/>
    </row>
    <row r="8" spans="1:27" ht="12.75" customHeight="1">
      <c r="A8" s="1177"/>
      <c r="B8" s="900" t="s">
        <v>360</v>
      </c>
      <c r="C8" s="1178"/>
      <c r="D8" s="1277"/>
      <c r="E8" s="71"/>
      <c r="F8" s="71"/>
      <c r="G8" s="71"/>
      <c r="H8" s="116"/>
      <c r="I8" s="544"/>
      <c r="J8" s="544"/>
      <c r="K8" s="1179"/>
      <c r="L8" s="855"/>
      <c r="M8" s="62"/>
      <c r="N8" s="1180"/>
      <c r="O8" s="117"/>
      <c r="P8" s="892"/>
      <c r="Q8" s="323"/>
      <c r="R8" s="323"/>
      <c r="S8" s="323"/>
      <c r="T8" s="327"/>
      <c r="U8" s="5"/>
      <c r="V8" s="5"/>
      <c r="W8" s="5"/>
      <c r="X8" s="5"/>
      <c r="Y8" s="5"/>
      <c r="Z8" s="5"/>
    </row>
    <row r="9" spans="1:27" ht="12.75" customHeight="1">
      <c r="A9" s="322">
        <v>1</v>
      </c>
      <c r="B9" s="374" t="s">
        <v>230</v>
      </c>
      <c r="C9" s="375" t="s">
        <v>231</v>
      </c>
      <c r="D9" s="351">
        <v>25</v>
      </c>
      <c r="E9" s="350">
        <v>176.42</v>
      </c>
      <c r="F9" s="352">
        <v>4410.5</v>
      </c>
      <c r="G9" s="357">
        <v>1.9574540342259982E-2</v>
      </c>
      <c r="H9" s="351"/>
      <c r="I9" s="351">
        <v>25</v>
      </c>
      <c r="J9" s="350">
        <v>174.79</v>
      </c>
      <c r="K9" s="352">
        <f>J9*I9</f>
        <v>4369.75</v>
      </c>
      <c r="L9" s="353">
        <f t="shared" ref="L9:L44" si="0">K9/$K$73</f>
        <v>1.6486609536307855E-2</v>
      </c>
      <c r="M9" s="495">
        <f>(J9-E9)/E9</f>
        <v>-9.2393152703774822E-3</v>
      </c>
      <c r="N9" s="329">
        <f>(K9-Transactions!E1395)/Transactions!E1395</f>
        <v>1.2431866366189088</v>
      </c>
      <c r="O9" s="414"/>
      <c r="P9" s="357"/>
      <c r="Q9" s="327"/>
      <c r="R9" s="327"/>
      <c r="S9" s="323"/>
      <c r="T9" s="327"/>
      <c r="U9" s="5"/>
      <c r="V9" s="5"/>
      <c r="W9" s="5"/>
      <c r="X9" s="5"/>
      <c r="Y9" s="5"/>
      <c r="Z9" s="5"/>
    </row>
    <row r="10" spans="1:27" ht="12.75" customHeight="1">
      <c r="A10" s="322">
        <v>2</v>
      </c>
      <c r="B10" s="374" t="s">
        <v>395</v>
      </c>
      <c r="C10" s="375" t="s">
        <v>396</v>
      </c>
      <c r="D10" s="351">
        <v>40</v>
      </c>
      <c r="E10" s="350">
        <v>210.57</v>
      </c>
      <c r="F10" s="352">
        <v>8422.7999999999993</v>
      </c>
      <c r="G10" s="357">
        <v>3.7381802152768928E-2</v>
      </c>
      <c r="H10" s="351"/>
      <c r="I10" s="351">
        <v>40</v>
      </c>
      <c r="J10" s="350">
        <v>261.20999999999998</v>
      </c>
      <c r="K10" s="352">
        <f t="shared" ref="K10:K43" si="1">I10*J10</f>
        <v>10448.4</v>
      </c>
      <c r="L10" s="353">
        <f t="shared" si="0"/>
        <v>3.9420719967769087E-2</v>
      </c>
      <c r="M10" s="495">
        <f>(J10-E10)/E10</f>
        <v>0.24049009830460175</v>
      </c>
      <c r="N10" s="329">
        <f>(K10-Transactions!E937)/Transactions!E937</f>
        <v>2.28399772442254</v>
      </c>
      <c r="O10" s="414"/>
      <c r="P10" s="357"/>
      <c r="Q10" s="327"/>
      <c r="R10" s="327"/>
      <c r="S10" s="323"/>
      <c r="T10" s="327"/>
      <c r="U10" s="5"/>
      <c r="V10" s="5"/>
      <c r="W10" s="5"/>
      <c r="X10" s="5"/>
      <c r="Y10" s="5"/>
      <c r="Z10" s="5"/>
    </row>
    <row r="11" spans="1:27" ht="12.75" customHeight="1">
      <c r="A11" s="322">
        <v>3</v>
      </c>
      <c r="B11" s="374" t="s">
        <v>539</v>
      </c>
      <c r="C11" s="375" t="s">
        <v>540</v>
      </c>
      <c r="D11" s="351">
        <v>8</v>
      </c>
      <c r="E11" s="350">
        <v>1847.84</v>
      </c>
      <c r="F11" s="352">
        <v>14782.72</v>
      </c>
      <c r="G11" s="357">
        <v>6.5608196124778015E-2</v>
      </c>
      <c r="H11" s="351"/>
      <c r="I11" s="351">
        <v>8</v>
      </c>
      <c r="J11" s="350">
        <v>3256.93</v>
      </c>
      <c r="K11" s="352">
        <f t="shared" si="1"/>
        <v>26055.439999999999</v>
      </c>
      <c r="L11" s="353">
        <f t="shared" si="0"/>
        <v>9.8304448899066782E-2</v>
      </c>
      <c r="M11" s="495">
        <f>(J11-E11)/E11</f>
        <v>0.76256061130833841</v>
      </c>
      <c r="N11" s="329">
        <f>(K11-Transactions!G710)/Transactions!G710</f>
        <v>4.388108930812928</v>
      </c>
      <c r="O11" s="414"/>
      <c r="P11" s="357"/>
      <c r="Q11" s="327"/>
      <c r="R11" s="327"/>
      <c r="S11" s="323"/>
      <c r="T11" s="327"/>
      <c r="U11" s="5"/>
      <c r="V11" s="5"/>
      <c r="W11" s="5"/>
      <c r="X11" s="5"/>
      <c r="Y11" s="5"/>
      <c r="Z11" s="5"/>
    </row>
    <row r="12" spans="1:27" ht="12.75" customHeight="1">
      <c r="A12" s="322">
        <v>4</v>
      </c>
      <c r="B12" s="374" t="s">
        <v>398</v>
      </c>
      <c r="C12" s="375" t="s">
        <v>399</v>
      </c>
      <c r="D12" s="351">
        <v>20</v>
      </c>
      <c r="E12" s="350">
        <v>229.82</v>
      </c>
      <c r="F12" s="352">
        <v>4596.3999999999996</v>
      </c>
      <c r="G12" s="357">
        <v>2.0399595789403417E-2</v>
      </c>
      <c r="H12" s="351"/>
      <c r="I12" s="351">
        <v>20</v>
      </c>
      <c r="J12" s="350">
        <v>224.46</v>
      </c>
      <c r="K12" s="352">
        <f t="shared" si="1"/>
        <v>4489.2</v>
      </c>
      <c r="L12" s="353">
        <f t="shared" si="0"/>
        <v>1.6937281888069845E-2</v>
      </c>
      <c r="M12" s="495">
        <f>(J12-E12)/E12</f>
        <v>-2.3322600295883671E-2</v>
      </c>
      <c r="N12" s="329">
        <f>(K12-Transactions!E884)/Transactions!E884</f>
        <v>1.1999304129647508</v>
      </c>
      <c r="O12" s="414"/>
      <c r="P12" s="357"/>
      <c r="Q12" s="1278"/>
      <c r="R12" s="327"/>
      <c r="S12" s="323"/>
      <c r="T12" s="327"/>
      <c r="U12" s="5"/>
      <c r="V12" s="5"/>
      <c r="W12" s="5"/>
      <c r="X12" s="5"/>
      <c r="Y12" s="5"/>
      <c r="Z12" s="5"/>
    </row>
    <row r="13" spans="1:27" ht="12.75" customHeight="1">
      <c r="A13" s="322">
        <v>5</v>
      </c>
      <c r="B13" s="374" t="s">
        <v>401</v>
      </c>
      <c r="C13" s="375" t="s">
        <v>402</v>
      </c>
      <c r="D13" s="351">
        <v>21</v>
      </c>
      <c r="E13" s="350">
        <v>241.07</v>
      </c>
      <c r="F13" s="352">
        <v>5062.47</v>
      </c>
      <c r="G13" s="357">
        <v>2.2468092789135221E-2</v>
      </c>
      <c r="H13" s="351"/>
      <c r="I13" s="351">
        <v>21</v>
      </c>
      <c r="J13" s="350">
        <v>229.92</v>
      </c>
      <c r="K13" s="352">
        <f t="shared" si="1"/>
        <v>4828.32</v>
      </c>
      <c r="L13" s="353">
        <f t="shared" si="0"/>
        <v>1.821674616542043E-2</v>
      </c>
      <c r="M13" s="495">
        <f>(J13-E13)/E13</f>
        <v>-4.6252125938524104E-2</v>
      </c>
      <c r="N13" s="329">
        <f>(K13-Transactions!G793)/Transactions!G793</f>
        <v>0.42258363901533552</v>
      </c>
      <c r="O13" s="802"/>
      <c r="P13" s="357"/>
      <c r="Q13" s="327"/>
      <c r="R13" s="327"/>
      <c r="S13" s="323"/>
      <c r="T13" s="327"/>
      <c r="U13" s="5"/>
      <c r="V13" s="5"/>
      <c r="W13" s="5"/>
      <c r="X13" s="5"/>
      <c r="Y13" s="5"/>
      <c r="Z13" s="5"/>
    </row>
    <row r="14" spans="1:27" ht="12.75" customHeight="1">
      <c r="A14" s="322">
        <v>6</v>
      </c>
      <c r="B14" s="374" t="s">
        <v>206</v>
      </c>
      <c r="C14" s="375" t="s">
        <v>207</v>
      </c>
      <c r="D14" s="351">
        <v>42</v>
      </c>
      <c r="E14" s="350">
        <v>293.64999999999998</v>
      </c>
      <c r="F14" s="352">
        <v>12333.3</v>
      </c>
      <c r="G14" s="357">
        <v>5.473725845214715E-2</v>
      </c>
      <c r="H14" s="351"/>
      <c r="I14" s="351">
        <v>168</v>
      </c>
      <c r="J14" s="350">
        <v>132.69</v>
      </c>
      <c r="K14" s="352">
        <f t="shared" si="1"/>
        <v>22291.919999999998</v>
      </c>
      <c r="L14" s="353">
        <f t="shared" si="0"/>
        <v>8.4105081721977629E-2</v>
      </c>
      <c r="M14" s="495">
        <f>(K14-F14)/F14</f>
        <v>0.80745785799421077</v>
      </c>
      <c r="N14" s="329">
        <f>(K14-Transactions!G1024)/Transactions!G1024</f>
        <v>19.99050847457627</v>
      </c>
      <c r="O14" s="414"/>
      <c r="P14" s="357"/>
      <c r="Q14" s="327"/>
      <c r="R14" s="327"/>
      <c r="S14" s="309"/>
      <c r="T14" s="328"/>
      <c r="U14" s="5"/>
      <c r="V14" s="5"/>
      <c r="W14" s="5"/>
      <c r="X14" s="5"/>
      <c r="Y14" s="5"/>
      <c r="Z14" s="5"/>
    </row>
    <row r="15" spans="1:27" ht="12.75" customHeight="1">
      <c r="A15" s="322">
        <v>7</v>
      </c>
      <c r="B15" s="374" t="s">
        <v>647</v>
      </c>
      <c r="C15" s="375" t="s">
        <v>448</v>
      </c>
      <c r="D15" s="351">
        <v>100</v>
      </c>
      <c r="E15" s="350">
        <v>39.08</v>
      </c>
      <c r="F15" s="352">
        <v>3908</v>
      </c>
      <c r="G15" s="357">
        <v>1.7344360879163814E-2</v>
      </c>
      <c r="H15" s="351"/>
      <c r="I15" s="351">
        <v>100</v>
      </c>
      <c r="J15" s="350">
        <v>28.76</v>
      </c>
      <c r="K15" s="352">
        <f t="shared" si="1"/>
        <v>2876</v>
      </c>
      <c r="L15" s="353">
        <f t="shared" si="0"/>
        <v>1.0850847079677645E-2</v>
      </c>
      <c r="M15" s="495">
        <f>(J15-E15)/E15</f>
        <v>-0.26407369498464678</v>
      </c>
      <c r="N15" s="356">
        <f>(K15-Transactions!E542-Transactions!E393)/(Transactions!E542+Transactions!E393)</f>
        <v>-0.15741364661764268</v>
      </c>
      <c r="O15" s="414"/>
      <c r="P15" s="357"/>
      <c r="Q15" s="358"/>
      <c r="R15" s="358"/>
      <c r="S15" s="359"/>
      <c r="T15" s="360"/>
      <c r="U15" s="5"/>
      <c r="V15" s="5"/>
      <c r="W15" s="5"/>
      <c r="X15" s="5"/>
      <c r="Y15" s="5"/>
      <c r="Z15" s="5"/>
    </row>
    <row r="16" spans="1:27" ht="12.75" customHeight="1">
      <c r="A16" s="322">
        <v>8</v>
      </c>
      <c r="B16" s="374" t="s">
        <v>22</v>
      </c>
      <c r="C16" s="375" t="s">
        <v>23</v>
      </c>
      <c r="D16" s="351">
        <v>148</v>
      </c>
      <c r="E16" s="350">
        <v>35.22</v>
      </c>
      <c r="F16" s="352">
        <v>5212.5599999999995</v>
      </c>
      <c r="G16" s="357">
        <v>2.3134217437127461E-2</v>
      </c>
      <c r="H16" s="351"/>
      <c r="I16" s="351">
        <v>148</v>
      </c>
      <c r="J16" s="350">
        <v>30.31</v>
      </c>
      <c r="K16" s="352">
        <f t="shared" si="1"/>
        <v>4485.88</v>
      </c>
      <c r="L16" s="353">
        <f t="shared" si="0"/>
        <v>1.6924755875446576E-2</v>
      </c>
      <c r="M16" s="495">
        <f>(J16-E16)/E16</f>
        <v>-0.13940942646223736</v>
      </c>
      <c r="N16" s="356">
        <f>(K16-Transactions!E695)/Transactions!E695</f>
        <v>0.48451083629239627</v>
      </c>
      <c r="O16" s="414"/>
      <c r="P16" s="357"/>
      <c r="Q16" s="327"/>
      <c r="R16" s="327"/>
      <c r="S16" s="309"/>
      <c r="T16" s="328"/>
      <c r="U16" s="5"/>
      <c r="V16" s="5"/>
      <c r="W16" s="5"/>
      <c r="X16" s="5"/>
      <c r="Y16" s="5"/>
      <c r="Z16" s="5"/>
    </row>
    <row r="17" spans="1:26" ht="12.75" customHeight="1">
      <c r="A17" s="322">
        <v>9</v>
      </c>
      <c r="B17" s="374" t="s">
        <v>648</v>
      </c>
      <c r="C17" s="375" t="s">
        <v>649</v>
      </c>
      <c r="D17" s="351"/>
      <c r="E17" s="350"/>
      <c r="F17" s="352"/>
      <c r="G17" s="357"/>
      <c r="H17" s="351"/>
      <c r="I17" s="351">
        <v>30</v>
      </c>
      <c r="J17" s="350">
        <v>43.15</v>
      </c>
      <c r="K17" s="352">
        <f t="shared" si="1"/>
        <v>1294.5</v>
      </c>
      <c r="L17" s="353">
        <f t="shared" si="0"/>
        <v>4.8840130544654768E-3</v>
      </c>
      <c r="M17" s="495"/>
      <c r="N17" s="329">
        <f>(K17-Transactions!E329)/Transactions!E329</f>
        <v>0.20441236399770002</v>
      </c>
      <c r="O17" s="414"/>
      <c r="P17" s="357"/>
      <c r="Q17" s="327"/>
      <c r="R17" s="327"/>
      <c r="S17" s="309"/>
      <c r="T17" s="328"/>
      <c r="U17" s="5"/>
      <c r="V17" s="5"/>
      <c r="W17" s="5"/>
      <c r="X17" s="5"/>
      <c r="Y17" s="5"/>
      <c r="Z17" s="5"/>
    </row>
    <row r="18" spans="1:26" ht="12.75" customHeight="1">
      <c r="A18" s="322">
        <v>10</v>
      </c>
      <c r="B18" s="374" t="s">
        <v>621</v>
      </c>
      <c r="C18" s="375" t="s">
        <v>622</v>
      </c>
      <c r="D18" s="351">
        <v>16</v>
      </c>
      <c r="E18" s="350">
        <v>64.19</v>
      </c>
      <c r="F18" s="352">
        <v>1027.04</v>
      </c>
      <c r="G18" s="357">
        <v>4.5581761508025594E-3</v>
      </c>
      <c r="H18" s="351"/>
      <c r="I18" s="351">
        <v>30</v>
      </c>
      <c r="J18" s="350">
        <v>62.03</v>
      </c>
      <c r="K18" s="352">
        <f t="shared" si="1"/>
        <v>1860.9</v>
      </c>
      <c r="L18" s="353">
        <f t="shared" si="0"/>
        <v>7.0209809911585984E-3</v>
      </c>
      <c r="M18" s="495">
        <f t="shared" ref="M18:M23" si="2">(J18-E18)/E18</f>
        <v>-3.3650101261878743E-2</v>
      </c>
      <c r="N18" s="356">
        <f>(K18-Transactions!G353)/(Transactions!G353)</f>
        <v>0.11091211920411194</v>
      </c>
      <c r="O18" s="414"/>
      <c r="P18" s="357"/>
      <c r="Q18" s="358"/>
      <c r="R18" s="358"/>
      <c r="S18" s="359"/>
      <c r="T18" s="360"/>
      <c r="U18" s="5"/>
      <c r="V18" s="5"/>
      <c r="W18" s="5"/>
      <c r="X18" s="5"/>
      <c r="Y18" s="5"/>
      <c r="Z18" s="5"/>
    </row>
    <row r="19" spans="1:26" ht="12.75" customHeight="1">
      <c r="A19" s="322">
        <v>11</v>
      </c>
      <c r="B19" s="374" t="s">
        <v>451</v>
      </c>
      <c r="C19" s="375" t="s">
        <v>452</v>
      </c>
      <c r="D19" s="351">
        <v>50</v>
      </c>
      <c r="E19" s="350">
        <v>102.91</v>
      </c>
      <c r="F19" s="352">
        <v>5145.5</v>
      </c>
      <c r="G19" s="357">
        <v>2.2836593885296165E-2</v>
      </c>
      <c r="H19" s="351"/>
      <c r="I19" s="351">
        <v>50</v>
      </c>
      <c r="J19" s="350">
        <v>98.85</v>
      </c>
      <c r="K19" s="352">
        <f t="shared" si="1"/>
        <v>4942.5</v>
      </c>
      <c r="L19" s="353">
        <f t="shared" si="0"/>
        <v>1.8647535358590667E-2</v>
      </c>
      <c r="M19" s="495">
        <f t="shared" si="2"/>
        <v>-3.9451948304343627E-2</v>
      </c>
      <c r="N19" s="356">
        <f>(K19-Transactions!E458)/Transactions!E458</f>
        <v>4.9282857361220872E-2</v>
      </c>
      <c r="O19" s="414"/>
      <c r="P19" s="357"/>
      <c r="Q19" s="327"/>
      <c r="R19" s="327"/>
      <c r="S19" s="309"/>
      <c r="T19" s="328"/>
      <c r="U19" s="5"/>
      <c r="V19" s="5"/>
      <c r="W19" s="5"/>
      <c r="X19" s="5"/>
      <c r="Y19" s="5"/>
      <c r="Z19" s="5"/>
    </row>
    <row r="20" spans="1:26" ht="12.75" customHeight="1">
      <c r="A20" s="322">
        <v>12</v>
      </c>
      <c r="B20" s="374" t="s">
        <v>404</v>
      </c>
      <c r="C20" s="375" t="s">
        <v>405</v>
      </c>
      <c r="D20" s="351">
        <v>50</v>
      </c>
      <c r="E20" s="350">
        <v>73.39</v>
      </c>
      <c r="F20" s="352">
        <v>3669.5</v>
      </c>
      <c r="G20" s="357">
        <v>1.6285857790709218E-2</v>
      </c>
      <c r="H20" s="351"/>
      <c r="I20" s="351">
        <v>50</v>
      </c>
      <c r="J20" s="350">
        <v>78.48</v>
      </c>
      <c r="K20" s="352">
        <f t="shared" si="1"/>
        <v>3924</v>
      </c>
      <c r="L20" s="353">
        <f t="shared" si="0"/>
        <v>1.4804841425818872E-2</v>
      </c>
      <c r="M20" s="495">
        <f t="shared" si="2"/>
        <v>6.9355498024254031E-2</v>
      </c>
      <c r="N20" s="329">
        <f>(K20-Transactions!E921)/Transactions!E921</f>
        <v>0.34798575065011789</v>
      </c>
      <c r="O20" s="414"/>
      <c r="P20" s="357"/>
      <c r="Q20" s="327"/>
      <c r="R20" s="327"/>
      <c r="S20" s="309"/>
      <c r="T20" s="328"/>
      <c r="U20" s="5"/>
      <c r="V20" s="5"/>
      <c r="W20" s="5"/>
      <c r="X20" s="5"/>
      <c r="Y20" s="5"/>
      <c r="Z20" s="5"/>
    </row>
    <row r="21" spans="1:26" ht="12.75" customHeight="1">
      <c r="A21" s="322">
        <v>13</v>
      </c>
      <c r="B21" s="374" t="s">
        <v>623</v>
      </c>
      <c r="C21" s="375" t="s">
        <v>624</v>
      </c>
      <c r="D21" s="351">
        <v>40</v>
      </c>
      <c r="E21" s="350">
        <v>61.07</v>
      </c>
      <c r="F21" s="352">
        <v>2442.8000000000002</v>
      </c>
      <c r="G21" s="357">
        <v>1.0841556999903114E-2</v>
      </c>
      <c r="H21" s="351"/>
      <c r="I21" s="351">
        <v>20</v>
      </c>
      <c r="J21" s="350">
        <v>60.03</v>
      </c>
      <c r="K21" s="352">
        <f t="shared" si="1"/>
        <v>1200.5999999999999</v>
      </c>
      <c r="L21" s="353">
        <f t="shared" si="0"/>
        <v>4.5297381793675167E-3</v>
      </c>
      <c r="M21" s="495">
        <f t="shared" si="2"/>
        <v>-1.7029638120189931E-2</v>
      </c>
      <c r="N21" s="356">
        <f>(K21-Transactions!G361)/Transactions!G361</f>
        <v>-6.1884669479606226E-2</v>
      </c>
      <c r="O21" s="414"/>
      <c r="P21" s="357"/>
      <c r="Q21" s="358"/>
      <c r="R21" s="358"/>
      <c r="S21" s="359"/>
      <c r="T21" s="360"/>
      <c r="U21" s="5"/>
      <c r="V21" s="5"/>
      <c r="W21" s="5"/>
      <c r="X21" s="5"/>
      <c r="Y21" s="5"/>
      <c r="Z21" s="5"/>
    </row>
    <row r="22" spans="1:26" ht="12.75" customHeight="1">
      <c r="A22" s="322">
        <v>14</v>
      </c>
      <c r="B22" s="374" t="s">
        <v>153</v>
      </c>
      <c r="C22" s="375" t="s">
        <v>154</v>
      </c>
      <c r="D22" s="351">
        <v>70</v>
      </c>
      <c r="E22" s="350">
        <v>55.35</v>
      </c>
      <c r="F22" s="352">
        <v>3874.5</v>
      </c>
      <c r="G22" s="357">
        <v>1.7195682248290736E-2</v>
      </c>
      <c r="H22" s="351"/>
      <c r="I22" s="351">
        <v>70</v>
      </c>
      <c r="J22" s="350">
        <v>54.84</v>
      </c>
      <c r="K22" s="352">
        <f t="shared" si="1"/>
        <v>3838.8</v>
      </c>
      <c r="L22" s="353">
        <f t="shared" si="0"/>
        <v>1.4483390740426476E-2</v>
      </c>
      <c r="M22" s="495">
        <f t="shared" si="2"/>
        <v>-9.2140921409213736E-3</v>
      </c>
      <c r="N22" s="329">
        <f>(K22-Transactions!G1275)/Transactions!G1275</f>
        <v>1.5018248175182483</v>
      </c>
      <c r="O22" s="414"/>
      <c r="P22" s="357"/>
      <c r="Q22" s="327"/>
      <c r="R22" s="327"/>
      <c r="S22" s="309"/>
      <c r="T22" s="328"/>
      <c r="U22" s="5"/>
      <c r="V22" s="5"/>
      <c r="W22" s="5"/>
      <c r="X22" s="5"/>
      <c r="Y22" s="5"/>
      <c r="Z22" s="5"/>
    </row>
    <row r="23" spans="1:26" ht="12.75" customHeight="1">
      <c r="A23" s="322">
        <v>15</v>
      </c>
      <c r="B23" s="374" t="s">
        <v>650</v>
      </c>
      <c r="C23" s="375" t="s">
        <v>607</v>
      </c>
      <c r="D23" s="351">
        <v>30</v>
      </c>
      <c r="E23" s="350">
        <v>82.82</v>
      </c>
      <c r="F23" s="352">
        <v>2484.6</v>
      </c>
      <c r="G23" s="357">
        <v>1.1027072425888029E-2</v>
      </c>
      <c r="H23" s="351"/>
      <c r="I23" s="351">
        <v>30</v>
      </c>
      <c r="J23" s="350">
        <v>75.2</v>
      </c>
      <c r="K23" s="352">
        <f t="shared" si="1"/>
        <v>2256</v>
      </c>
      <c r="L23" s="353">
        <f t="shared" si="0"/>
        <v>8.5116519512353148E-3</v>
      </c>
      <c r="M23" s="495">
        <f t="shared" si="2"/>
        <v>-9.2006761651774821E-2</v>
      </c>
      <c r="N23" s="329">
        <f>(K23-Transactions!E562)/Transactions!E562</f>
        <v>0.12905284177495516</v>
      </c>
      <c r="O23" s="802"/>
      <c r="P23" s="357"/>
      <c r="Q23" s="327"/>
      <c r="R23" s="327"/>
      <c r="S23" s="309"/>
      <c r="T23" s="328"/>
      <c r="U23" s="5"/>
      <c r="V23" s="5"/>
      <c r="W23" s="5"/>
      <c r="X23" s="5"/>
      <c r="Y23" s="5"/>
      <c r="Z23" s="5"/>
    </row>
    <row r="24" spans="1:26" ht="12.75" customHeight="1">
      <c r="A24" s="322">
        <v>16</v>
      </c>
      <c r="B24" s="361" t="s">
        <v>651</v>
      </c>
      <c r="C24" s="362" t="s">
        <v>652</v>
      </c>
      <c r="D24" s="363"/>
      <c r="E24" s="350"/>
      <c r="F24" s="352"/>
      <c r="G24" s="357"/>
      <c r="H24" s="363"/>
      <c r="I24" s="363">
        <v>6</v>
      </c>
      <c r="J24" s="350">
        <v>383.46</v>
      </c>
      <c r="K24" s="352">
        <f t="shared" si="1"/>
        <v>2300.7599999999998</v>
      </c>
      <c r="L24" s="353">
        <f t="shared" si="0"/>
        <v>8.6805267479273772E-3</v>
      </c>
      <c r="M24" s="495"/>
      <c r="N24" s="329">
        <f>(K24-Transactions!E333)/Transactions!E333</f>
        <v>-2.4473389640785697E-2</v>
      </c>
      <c r="O24" s="414"/>
      <c r="P24" s="357"/>
      <c r="Q24" s="327"/>
      <c r="R24" s="327"/>
      <c r="S24" s="309"/>
      <c r="T24" s="328"/>
      <c r="U24" s="5"/>
      <c r="V24" s="5"/>
      <c r="W24" s="5"/>
      <c r="X24" s="5"/>
      <c r="Y24" s="5"/>
      <c r="Z24" s="5"/>
    </row>
    <row r="25" spans="1:26" ht="12.75" customHeight="1">
      <c r="A25" s="322">
        <v>17</v>
      </c>
      <c r="B25" s="374" t="s">
        <v>543</v>
      </c>
      <c r="C25" s="375" t="s">
        <v>544</v>
      </c>
      <c r="D25" s="351">
        <v>17</v>
      </c>
      <c r="E25" s="350">
        <v>205.25</v>
      </c>
      <c r="F25" s="352">
        <v>3489.25</v>
      </c>
      <c r="G25" s="357">
        <v>1.5485877993250343E-2</v>
      </c>
      <c r="H25" s="351"/>
      <c r="I25" s="351">
        <v>17</v>
      </c>
      <c r="J25" s="350">
        <v>273.16000000000003</v>
      </c>
      <c r="K25" s="352">
        <f t="shared" si="1"/>
        <v>4643.72</v>
      </c>
      <c r="L25" s="353">
        <f t="shared" si="0"/>
        <v>1.7520269680403572E-2</v>
      </c>
      <c r="M25" s="495">
        <f>(J25-E25)/E25</f>
        <v>0.33086479902557869</v>
      </c>
      <c r="N25" s="329">
        <f>(K25-Transactions!E635)/Transactions!E635</f>
        <v>0.83887126728995665</v>
      </c>
      <c r="O25" s="414"/>
      <c r="P25" s="357"/>
      <c r="Q25" s="327"/>
      <c r="R25" s="327"/>
      <c r="S25" s="309"/>
      <c r="T25" s="328"/>
      <c r="U25" s="5"/>
      <c r="V25" s="5"/>
      <c r="W25" s="5"/>
      <c r="X25" s="5"/>
      <c r="Y25" s="5"/>
      <c r="Z25" s="5"/>
    </row>
    <row r="26" spans="1:26" ht="12.75" customHeight="1">
      <c r="A26" s="322">
        <v>18</v>
      </c>
      <c r="B26" s="374" t="s">
        <v>653</v>
      </c>
      <c r="C26" s="375" t="s">
        <v>546</v>
      </c>
      <c r="D26" s="351">
        <v>57</v>
      </c>
      <c r="E26" s="350">
        <v>103.3</v>
      </c>
      <c r="F26" s="352">
        <v>5888.0999999999995</v>
      </c>
      <c r="G26" s="357">
        <v>2.6132377505784149E-2</v>
      </c>
      <c r="H26" s="351"/>
      <c r="I26" s="351">
        <v>57</v>
      </c>
      <c r="J26" s="350">
        <v>125.33</v>
      </c>
      <c r="K26" s="352">
        <f t="shared" si="1"/>
        <v>7143.8099999999995</v>
      </c>
      <c r="L26" s="353">
        <f t="shared" si="0"/>
        <v>2.6952847662125155E-2</v>
      </c>
      <c r="M26" s="495">
        <f>(J26-E26)/E26</f>
        <v>0.21326234269119074</v>
      </c>
      <c r="N26" s="329">
        <f>(K26-Transactions!E654)/Transactions!E654</f>
        <v>0.78952708034298513</v>
      </c>
      <c r="O26" s="414"/>
      <c r="P26" s="357"/>
      <c r="Q26" s="327"/>
      <c r="R26" s="327"/>
      <c r="S26" s="309"/>
      <c r="T26" s="328"/>
      <c r="U26" s="5"/>
      <c r="V26" s="5"/>
      <c r="W26" s="5"/>
      <c r="X26" s="5"/>
      <c r="Y26" s="5"/>
      <c r="Z26" s="5"/>
    </row>
    <row r="27" spans="1:26" ht="12.75" customHeight="1">
      <c r="A27" s="322">
        <v>19</v>
      </c>
      <c r="B27" s="361" t="s">
        <v>627</v>
      </c>
      <c r="C27" s="362" t="s">
        <v>628</v>
      </c>
      <c r="D27" s="363">
        <v>20</v>
      </c>
      <c r="E27" s="350">
        <v>177</v>
      </c>
      <c r="F27" s="352">
        <v>3540</v>
      </c>
      <c r="G27" s="357">
        <v>1.5711115023602843E-2</v>
      </c>
      <c r="H27" s="363"/>
      <c r="I27" s="363">
        <v>20</v>
      </c>
      <c r="J27" s="350">
        <v>212.7</v>
      </c>
      <c r="K27" s="352">
        <f t="shared" si="1"/>
        <v>4254</v>
      </c>
      <c r="L27" s="353">
        <f t="shared" si="0"/>
        <v>1.6049896897409145E-2</v>
      </c>
      <c r="M27" s="495">
        <f>(J27-E27)/E27</f>
        <v>0.20169491525423722</v>
      </c>
      <c r="N27" s="329">
        <f>(K27-Transactions!E426)/Transactions!E426</f>
        <v>0.17099242020515207</v>
      </c>
      <c r="O27" s="414"/>
      <c r="P27" s="357"/>
      <c r="Q27" s="327"/>
      <c r="R27" s="327"/>
      <c r="S27" s="309"/>
      <c r="T27" s="328"/>
      <c r="U27" s="5"/>
      <c r="V27" s="5"/>
      <c r="W27" s="5"/>
      <c r="X27" s="5"/>
      <c r="Y27" s="5"/>
      <c r="Z27" s="5"/>
    </row>
    <row r="28" spans="1:26" ht="12.75" customHeight="1">
      <c r="A28" s="322">
        <v>20</v>
      </c>
      <c r="B28" s="361" t="s">
        <v>654</v>
      </c>
      <c r="C28" s="362" t="s">
        <v>655</v>
      </c>
      <c r="D28" s="363"/>
      <c r="E28" s="350"/>
      <c r="F28" s="352"/>
      <c r="G28" s="357"/>
      <c r="H28" s="363"/>
      <c r="I28" s="363">
        <v>200</v>
      </c>
      <c r="J28" s="350">
        <v>13.24</v>
      </c>
      <c r="K28" s="352">
        <f t="shared" si="1"/>
        <v>2648</v>
      </c>
      <c r="L28" s="353">
        <f t="shared" si="0"/>
        <v>9.9906269356698201E-3</v>
      </c>
      <c r="M28" s="495"/>
      <c r="N28" s="329">
        <f>(K28-Transactions!E365)/Transactions!E365</f>
        <v>5.9200000000000003E-2</v>
      </c>
      <c r="O28" s="414"/>
      <c r="P28" s="357"/>
      <c r="Q28" s="327"/>
      <c r="R28" s="327"/>
      <c r="S28" s="309"/>
      <c r="T28" s="328"/>
      <c r="U28" s="5"/>
      <c r="V28" s="5"/>
      <c r="W28" s="5"/>
      <c r="X28" s="5"/>
      <c r="Y28" s="5"/>
      <c r="Z28" s="5"/>
    </row>
    <row r="29" spans="1:26" ht="12.75" customHeight="1">
      <c r="A29" s="322">
        <v>21</v>
      </c>
      <c r="B29" s="361" t="s">
        <v>547</v>
      </c>
      <c r="C29" s="362" t="s">
        <v>548</v>
      </c>
      <c r="D29" s="363">
        <v>15</v>
      </c>
      <c r="E29" s="350">
        <v>145.87</v>
      </c>
      <c r="F29" s="352">
        <v>2188.0500000000002</v>
      </c>
      <c r="G29" s="357">
        <v>9.7109336800548594E-3</v>
      </c>
      <c r="H29" s="363"/>
      <c r="I29" s="363">
        <v>25</v>
      </c>
      <c r="J29" s="350">
        <v>157.38</v>
      </c>
      <c r="K29" s="352">
        <f t="shared" si="1"/>
        <v>3934.5</v>
      </c>
      <c r="L29" s="353">
        <f t="shared" si="0"/>
        <v>1.4844456827187654E-2</v>
      </c>
      <c r="M29" s="495">
        <f>(J29-E29)/E29</f>
        <v>7.8905875094261946E-2</v>
      </c>
      <c r="N29" s="329">
        <f>(K29-Transactions!E626)/Transactions!E626</f>
        <v>0.85743825062315904</v>
      </c>
      <c r="O29" s="414"/>
      <c r="P29" s="357"/>
      <c r="Q29" s="327"/>
      <c r="R29" s="327"/>
      <c r="S29" s="309"/>
      <c r="T29" s="328"/>
      <c r="U29" s="5"/>
      <c r="V29" s="5"/>
      <c r="W29" s="5"/>
      <c r="X29" s="5"/>
      <c r="Y29" s="5"/>
      <c r="Z29" s="5"/>
    </row>
    <row r="30" spans="1:26" ht="12.75" customHeight="1">
      <c r="A30" s="322">
        <v>22</v>
      </c>
      <c r="B30" s="39" t="s">
        <v>656</v>
      </c>
      <c r="C30" s="362" t="s">
        <v>550</v>
      </c>
      <c r="D30" s="363">
        <v>9</v>
      </c>
      <c r="E30" s="350">
        <v>389.38</v>
      </c>
      <c r="F30" s="352">
        <v>3504.42</v>
      </c>
      <c r="G30" s="357">
        <v>1.5553205003111376E-2</v>
      </c>
      <c r="H30" s="363"/>
      <c r="I30" s="363">
        <v>9</v>
      </c>
      <c r="J30" s="350">
        <v>354.98</v>
      </c>
      <c r="K30" s="352">
        <f t="shared" si="1"/>
        <v>3194.82</v>
      </c>
      <c r="L30" s="353">
        <f t="shared" si="0"/>
        <v>1.2053721581048586E-2</v>
      </c>
      <c r="M30" s="495">
        <f>(J30-E30)/E30</f>
        <v>-8.8345575016693143E-2</v>
      </c>
      <c r="N30" s="329">
        <f>(K30-Transactions!E657)/Transactions!E657</f>
        <v>0.30661071849234406</v>
      </c>
      <c r="O30" s="414"/>
      <c r="P30" s="357"/>
      <c r="Q30" s="327"/>
      <c r="R30" s="327"/>
      <c r="S30" s="309"/>
      <c r="T30" s="328"/>
      <c r="U30" s="5"/>
      <c r="V30" s="5"/>
      <c r="W30" s="5"/>
      <c r="X30" s="5"/>
      <c r="Y30" s="5"/>
      <c r="Z30" s="5"/>
    </row>
    <row r="31" spans="1:26" ht="12.75" customHeight="1">
      <c r="A31" s="322">
        <v>23</v>
      </c>
      <c r="B31" s="126" t="s">
        <v>551</v>
      </c>
      <c r="C31" s="362" t="s">
        <v>552</v>
      </c>
      <c r="D31" s="363">
        <v>7</v>
      </c>
      <c r="E31" s="350">
        <v>279.64</v>
      </c>
      <c r="F31" s="352">
        <v>1957.48</v>
      </c>
      <c r="G31" s="357">
        <v>8.6876252645203648E-3</v>
      </c>
      <c r="H31" s="363"/>
      <c r="I31" s="363">
        <v>7</v>
      </c>
      <c r="J31" s="350">
        <v>283.97000000000003</v>
      </c>
      <c r="K31" s="352">
        <f t="shared" si="1"/>
        <v>1987.7900000000002</v>
      </c>
      <c r="L31" s="353">
        <f t="shared" si="0"/>
        <v>7.499723684461901E-3</v>
      </c>
      <c r="M31" s="495">
        <f>(J31-E31)/E31</f>
        <v>1.5484193963667721E-2</v>
      </c>
      <c r="N31" s="329">
        <f>(K31-Transactions!E610)/Transactions!E610</f>
        <v>0.34044762733237605</v>
      </c>
      <c r="O31" s="414"/>
      <c r="P31" s="357"/>
      <c r="Q31" s="327"/>
      <c r="R31" s="327"/>
      <c r="S31" s="309"/>
      <c r="T31" s="328"/>
      <c r="U31" s="5"/>
      <c r="V31" s="5"/>
      <c r="W31" s="5"/>
      <c r="X31" s="5"/>
      <c r="Y31" s="5"/>
      <c r="Z31" s="5"/>
    </row>
    <row r="32" spans="1:26" ht="12.75" customHeight="1">
      <c r="A32" s="322">
        <v>24</v>
      </c>
      <c r="B32" s="374" t="s">
        <v>40</v>
      </c>
      <c r="C32" s="362" t="s">
        <v>41</v>
      </c>
      <c r="D32" s="363">
        <v>75</v>
      </c>
      <c r="E32" s="350">
        <v>157.69999999999999</v>
      </c>
      <c r="F32" s="352">
        <v>11827.5</v>
      </c>
      <c r="G32" s="357">
        <v>5.2492433034367965E-2</v>
      </c>
      <c r="H32" s="363"/>
      <c r="I32" s="363">
        <v>75</v>
      </c>
      <c r="J32" s="350">
        <v>222.42</v>
      </c>
      <c r="K32" s="352">
        <f t="shared" si="1"/>
        <v>16681.5</v>
      </c>
      <c r="L32" s="353">
        <f t="shared" si="0"/>
        <v>6.2937554088888251E-2</v>
      </c>
      <c r="M32" s="495">
        <f>(J32-E32)/E32</f>
        <v>0.41039949270767284</v>
      </c>
      <c r="N32" s="329">
        <f>(K32-Transactions!G1663)/Transactions!G1663</f>
        <v>7.7360565593087198</v>
      </c>
      <c r="O32" s="414"/>
      <c r="P32" s="357"/>
      <c r="Q32" s="327"/>
      <c r="R32" s="327"/>
      <c r="S32" s="309"/>
      <c r="T32" s="328"/>
      <c r="U32" s="5"/>
      <c r="V32" s="5"/>
      <c r="W32" s="5"/>
      <c r="X32" s="5"/>
      <c r="Y32" s="5"/>
      <c r="Z32" s="5"/>
    </row>
    <row r="33" spans="1:26" ht="12.75" customHeight="1">
      <c r="A33" s="322">
        <v>25</v>
      </c>
      <c r="B33" s="361" t="s">
        <v>629</v>
      </c>
      <c r="C33" s="362" t="s">
        <v>194</v>
      </c>
      <c r="D33" s="363">
        <v>25</v>
      </c>
      <c r="E33" s="350">
        <v>235.3</v>
      </c>
      <c r="F33" s="352">
        <v>5882.5</v>
      </c>
      <c r="G33" s="357">
        <v>2.6107523764503874E-2</v>
      </c>
      <c r="H33" s="363"/>
      <c r="I33" s="363">
        <v>25</v>
      </c>
      <c r="J33" s="350">
        <v>522.20000000000005</v>
      </c>
      <c r="K33" s="352">
        <f t="shared" si="1"/>
        <v>13055.000000000002</v>
      </c>
      <c r="L33" s="353">
        <f t="shared" si="0"/>
        <v>4.925514903518486E-2</v>
      </c>
      <c r="M33" s="495">
        <f>(J33-E33)/E33</f>
        <v>1.2192945176370591</v>
      </c>
      <c r="N33" s="329">
        <f>(K33-Transactions!E410-Transactions!E494)/(Transactions!E494+Transactions!E410)</f>
        <v>1.7446074927469206</v>
      </c>
      <c r="O33" s="414"/>
      <c r="P33" s="357"/>
      <c r="Q33" s="327"/>
      <c r="R33" s="327"/>
      <c r="S33" s="309"/>
      <c r="T33" s="328"/>
      <c r="U33" s="5"/>
      <c r="V33" s="5"/>
      <c r="W33" s="5"/>
      <c r="X33" s="5"/>
      <c r="Y33" s="5"/>
      <c r="Z33" s="5"/>
    </row>
    <row r="34" spans="1:26" ht="12.75" customHeight="1">
      <c r="A34" s="322">
        <v>26</v>
      </c>
      <c r="B34" s="361" t="s">
        <v>657</v>
      </c>
      <c r="C34" s="362" t="s">
        <v>163</v>
      </c>
      <c r="D34" s="363"/>
      <c r="E34" s="350"/>
      <c r="F34" s="352"/>
      <c r="G34" s="357"/>
      <c r="H34" s="363"/>
      <c r="I34" s="363">
        <v>50</v>
      </c>
      <c r="J34" s="350">
        <v>86.37</v>
      </c>
      <c r="K34" s="352">
        <f t="shared" si="1"/>
        <v>4318.5</v>
      </c>
      <c r="L34" s="353">
        <f t="shared" si="0"/>
        <v>1.6293248648674517E-2</v>
      </c>
      <c r="M34" s="495"/>
      <c r="N34" s="329">
        <f>(K34-Transactions!E385)/Transactions!E385</f>
        <v>1.3442525506672856</v>
      </c>
      <c r="O34" s="414"/>
      <c r="P34" s="357"/>
      <c r="Q34" s="327"/>
      <c r="R34" s="327"/>
      <c r="S34" s="309"/>
      <c r="T34" s="328"/>
      <c r="U34" s="5"/>
      <c r="V34" s="5"/>
      <c r="W34" s="5"/>
      <c r="X34" s="5"/>
      <c r="Y34" s="5"/>
      <c r="Z34" s="5"/>
    </row>
    <row r="35" spans="1:26" ht="12.75" customHeight="1">
      <c r="A35" s="322">
        <v>27</v>
      </c>
      <c r="B35" s="374" t="s">
        <v>658</v>
      </c>
      <c r="C35" s="362" t="s">
        <v>257</v>
      </c>
      <c r="D35" s="363">
        <v>60</v>
      </c>
      <c r="E35" s="350">
        <v>124.9</v>
      </c>
      <c r="F35" s="352">
        <v>7494</v>
      </c>
      <c r="G35" s="357">
        <v>3.3259631634711781E-2</v>
      </c>
      <c r="H35" s="363"/>
      <c r="I35" s="363">
        <v>60</v>
      </c>
      <c r="J35" s="350">
        <v>139.13999999999999</v>
      </c>
      <c r="K35" s="352">
        <f t="shared" si="1"/>
        <v>8348.4</v>
      </c>
      <c r="L35" s="353">
        <f t="shared" si="0"/>
        <v>3.1497639694012813E-2</v>
      </c>
      <c r="M35" s="495">
        <f>(J35-E35)/E35</f>
        <v>0.11401120896717358</v>
      </c>
      <c r="N35" s="329">
        <f>(K35-Transactions!E709)/Transactions!E709</f>
        <v>1.7314577000971738</v>
      </c>
      <c r="O35" s="414"/>
      <c r="P35" s="357"/>
      <c r="Q35" s="327"/>
      <c r="R35" s="327"/>
      <c r="S35" s="309"/>
      <c r="T35" s="328"/>
      <c r="U35" s="5"/>
      <c r="V35" s="5"/>
      <c r="W35" s="5"/>
      <c r="X35" s="5"/>
      <c r="Y35" s="5"/>
      <c r="Z35" s="5"/>
    </row>
    <row r="36" spans="1:26" ht="12.75" customHeight="1">
      <c r="A36" s="322">
        <v>28</v>
      </c>
      <c r="B36" s="374" t="s">
        <v>365</v>
      </c>
      <c r="C36" s="362" t="s">
        <v>80</v>
      </c>
      <c r="D36" s="363">
        <v>60</v>
      </c>
      <c r="E36" s="350">
        <v>59.05</v>
      </c>
      <c r="F36" s="352">
        <v>3543</v>
      </c>
      <c r="G36" s="357">
        <v>1.5724429527860132E-2</v>
      </c>
      <c r="H36" s="363"/>
      <c r="I36" s="363">
        <v>60</v>
      </c>
      <c r="J36" s="350">
        <v>58.3</v>
      </c>
      <c r="K36" s="352">
        <f t="shared" si="1"/>
        <v>3498</v>
      </c>
      <c r="L36" s="353">
        <f t="shared" si="0"/>
        <v>1.3197587998856885E-2</v>
      </c>
      <c r="M36" s="495">
        <f>(J36-E36)/E36</f>
        <v>-1.2701100762066046E-2</v>
      </c>
      <c r="N36" s="329">
        <f>(K36-Transactions!E953)/Transactions!E953</f>
        <v>0.76594423493419361</v>
      </c>
      <c r="O36" s="414"/>
      <c r="P36" s="357"/>
      <c r="Q36" s="327"/>
      <c r="R36" s="327"/>
      <c r="S36" s="309"/>
      <c r="T36" s="328"/>
      <c r="U36" s="5"/>
      <c r="V36" s="5"/>
      <c r="W36" s="5"/>
      <c r="X36" s="5"/>
      <c r="Y36" s="5"/>
      <c r="Z36" s="5"/>
    </row>
    <row r="37" spans="1:26" ht="12.75" customHeight="1">
      <c r="A37" s="322">
        <v>29</v>
      </c>
      <c r="B37" s="361" t="s">
        <v>659</v>
      </c>
      <c r="C37" s="362" t="s">
        <v>660</v>
      </c>
      <c r="D37" s="363"/>
      <c r="E37" s="350"/>
      <c r="F37" s="352"/>
      <c r="G37" s="357"/>
      <c r="H37" s="363"/>
      <c r="I37" s="363">
        <v>6</v>
      </c>
      <c r="J37" s="350">
        <v>431.09</v>
      </c>
      <c r="K37" s="352">
        <f t="shared" si="1"/>
        <v>2586.54</v>
      </c>
      <c r="L37" s="353">
        <f t="shared" si="0"/>
        <v>9.7587447863245521E-3</v>
      </c>
      <c r="M37" s="495"/>
      <c r="N37" s="329">
        <f>(K37-Transactions!E321)/Transactions!E321</f>
        <v>9.6084413933384086E-2</v>
      </c>
      <c r="O37" s="414"/>
      <c r="P37" s="357"/>
      <c r="Q37" s="327"/>
      <c r="R37" s="327"/>
      <c r="S37" s="309"/>
      <c r="T37" s="328"/>
      <c r="U37" s="5"/>
      <c r="V37" s="5"/>
      <c r="W37" s="5"/>
      <c r="X37" s="5"/>
      <c r="Y37" s="5"/>
      <c r="Z37" s="5"/>
    </row>
    <row r="38" spans="1:26" ht="12.75" customHeight="1">
      <c r="A38" s="322">
        <v>30</v>
      </c>
      <c r="B38" s="361" t="s">
        <v>630</v>
      </c>
      <c r="C38" s="362" t="s">
        <v>124</v>
      </c>
      <c r="D38" s="363">
        <v>43</v>
      </c>
      <c r="E38" s="350">
        <v>61.06</v>
      </c>
      <c r="F38" s="352">
        <v>2625.58</v>
      </c>
      <c r="G38" s="357">
        <v>1.1652765362618969E-2</v>
      </c>
      <c r="H38" s="363"/>
      <c r="I38" s="363">
        <v>43</v>
      </c>
      <c r="J38" s="350">
        <v>68.290000000000006</v>
      </c>
      <c r="K38" s="352">
        <f t="shared" si="1"/>
        <v>2936.4700000000003</v>
      </c>
      <c r="L38" s="353">
        <f t="shared" si="0"/>
        <v>1.1078994062608141E-2</v>
      </c>
      <c r="M38" s="495">
        <f t="shared" ref="M38:M43" si="3">(J38-E38)/E38</f>
        <v>0.11840812315755</v>
      </c>
      <c r="N38" s="329">
        <f>(K38-Transactions!E510)/Transactions!E510</f>
        <v>0.25172692338023017</v>
      </c>
      <c r="O38" s="414"/>
      <c r="P38" s="357"/>
      <c r="Q38" s="327"/>
      <c r="R38" s="327"/>
      <c r="S38" s="309"/>
      <c r="T38" s="328"/>
      <c r="U38" s="5"/>
      <c r="V38" s="5"/>
      <c r="W38" s="5"/>
      <c r="X38" s="5"/>
      <c r="Y38" s="5"/>
      <c r="Z38" s="5"/>
    </row>
    <row r="39" spans="1:26" ht="12.75" customHeight="1">
      <c r="A39" s="322">
        <v>31</v>
      </c>
      <c r="B39" s="361" t="s">
        <v>631</v>
      </c>
      <c r="C39" s="362" t="s">
        <v>611</v>
      </c>
      <c r="D39" s="363">
        <v>94</v>
      </c>
      <c r="E39" s="350">
        <v>53.31</v>
      </c>
      <c r="F39" s="352">
        <v>5011.1400000000003</v>
      </c>
      <c r="G39" s="357">
        <v>2.224028162129298E-2</v>
      </c>
      <c r="H39" s="363"/>
      <c r="I39" s="363">
        <v>94</v>
      </c>
      <c r="J39" s="350">
        <v>40.72</v>
      </c>
      <c r="K39" s="352">
        <f t="shared" si="1"/>
        <v>3827.68</v>
      </c>
      <c r="L39" s="353">
        <f t="shared" si="0"/>
        <v>1.4441436143929251E-2</v>
      </c>
      <c r="M39" s="495">
        <f t="shared" si="3"/>
        <v>-0.23616582254736451</v>
      </c>
      <c r="N39" s="329">
        <f>(K39-Transactions!E554)/Transactions!E554</f>
        <v>-4.9042503503035989E-2</v>
      </c>
      <c r="O39" s="414"/>
      <c r="P39" s="357"/>
      <c r="Q39" s="327"/>
      <c r="R39" s="327"/>
      <c r="S39" s="309"/>
      <c r="T39" s="328"/>
      <c r="U39" s="5"/>
      <c r="V39" s="5"/>
      <c r="W39" s="5"/>
      <c r="X39" s="5"/>
      <c r="Y39" s="5"/>
      <c r="Z39" s="5"/>
    </row>
    <row r="40" spans="1:26" ht="12.75" customHeight="1">
      <c r="A40" s="322">
        <v>32</v>
      </c>
      <c r="B40" s="361" t="s">
        <v>632</v>
      </c>
      <c r="C40" s="362" t="s">
        <v>633</v>
      </c>
      <c r="D40" s="363">
        <v>20</v>
      </c>
      <c r="E40" s="350">
        <v>146.97999999999999</v>
      </c>
      <c r="F40" s="352">
        <v>2939.6</v>
      </c>
      <c r="G40" s="357">
        <v>1.3046438904910427E-2</v>
      </c>
      <c r="H40" s="363"/>
      <c r="I40" s="363">
        <v>20</v>
      </c>
      <c r="J40" s="350">
        <v>152.33000000000001</v>
      </c>
      <c r="K40" s="352">
        <f t="shared" si="1"/>
        <v>3046.6000000000004</v>
      </c>
      <c r="L40" s="353">
        <f t="shared" si="0"/>
        <v>1.1494503029536132E-2</v>
      </c>
      <c r="M40" s="495">
        <f t="shared" si="3"/>
        <v>3.6399510137433824E-2</v>
      </c>
      <c r="N40" s="538">
        <f>(K40-Transactions!E418)/(Transactions!E418)</f>
        <v>4.0408103886453252E-2</v>
      </c>
      <c r="O40" s="414"/>
      <c r="P40" s="357"/>
      <c r="Q40" s="327"/>
      <c r="R40" s="327"/>
      <c r="S40" s="309"/>
      <c r="T40" s="328"/>
      <c r="U40" s="5"/>
      <c r="V40" s="5"/>
      <c r="W40" s="5"/>
      <c r="X40" s="5"/>
      <c r="Y40" s="5"/>
      <c r="Z40" s="5"/>
    </row>
    <row r="41" spans="1:26" ht="12.75" customHeight="1">
      <c r="A41" s="322">
        <v>33</v>
      </c>
      <c r="B41" s="361" t="s">
        <v>469</v>
      </c>
      <c r="C41" s="362" t="s">
        <v>470</v>
      </c>
      <c r="D41" s="363">
        <v>45</v>
      </c>
      <c r="E41" s="350">
        <v>144.63</v>
      </c>
      <c r="F41" s="352">
        <v>6508.3499999999995</v>
      </c>
      <c r="G41" s="357">
        <v>2.8885151260978969E-2</v>
      </c>
      <c r="H41" s="363"/>
      <c r="I41" s="363">
        <v>60</v>
      </c>
      <c r="J41" s="350">
        <v>181.18</v>
      </c>
      <c r="K41" s="352">
        <f t="shared" si="1"/>
        <v>10870.800000000001</v>
      </c>
      <c r="L41" s="353">
        <f t="shared" si="0"/>
        <v>4.1014390971404642E-2</v>
      </c>
      <c r="M41" s="495">
        <f t="shared" si="3"/>
        <v>0.25271382147548926</v>
      </c>
      <c r="N41" s="1280">
        <f>(K41-Transactions!G349)/(Transactions!G349)</f>
        <v>0.5113687160189514</v>
      </c>
      <c r="O41" s="414"/>
      <c r="P41" s="1343"/>
      <c r="Q41" s="328"/>
      <c r="R41" s="328"/>
      <c r="S41" s="309"/>
      <c r="T41" s="328"/>
      <c r="U41" s="5"/>
      <c r="V41" s="5"/>
      <c r="W41" s="5"/>
      <c r="X41" s="5"/>
      <c r="Y41" s="5"/>
      <c r="Z41" s="5"/>
    </row>
    <row r="42" spans="1:26" ht="12.75" customHeight="1">
      <c r="A42" s="322">
        <v>34</v>
      </c>
      <c r="B42" s="374" t="s">
        <v>661</v>
      </c>
      <c r="C42" s="362" t="s">
        <v>173</v>
      </c>
      <c r="D42" s="363">
        <v>40</v>
      </c>
      <c r="E42" s="350">
        <v>293.98</v>
      </c>
      <c r="F42" s="352">
        <v>11759.2</v>
      </c>
      <c r="G42" s="357">
        <v>5.2189306154110326E-2</v>
      </c>
      <c r="H42" s="363"/>
      <c r="I42" s="363">
        <v>40</v>
      </c>
      <c r="J42" s="350">
        <v>350.68</v>
      </c>
      <c r="K42" s="352">
        <f t="shared" si="1"/>
        <v>14027.2</v>
      </c>
      <c r="L42" s="353">
        <f t="shared" si="0"/>
        <v>5.292315791239717E-2</v>
      </c>
      <c r="M42" s="495">
        <f t="shared" si="3"/>
        <v>0.19287026328321649</v>
      </c>
      <c r="N42" s="329">
        <f>(K42-Transactions!G669)/Transactions!G669</f>
        <v>4.9761417859577373</v>
      </c>
      <c r="O42" s="414"/>
      <c r="P42" s="357"/>
      <c r="Q42" s="327"/>
      <c r="R42" s="327"/>
      <c r="S42" s="309"/>
      <c r="T42" s="328"/>
      <c r="U42" s="5"/>
      <c r="V42" s="5"/>
      <c r="W42" s="5"/>
      <c r="X42" s="5"/>
      <c r="Y42" s="5"/>
      <c r="Z42" s="5"/>
    </row>
    <row r="43" spans="1:26" ht="12.75" customHeight="1">
      <c r="A43" s="322">
        <v>35</v>
      </c>
      <c r="B43" s="374" t="s">
        <v>467</v>
      </c>
      <c r="C43" s="362" t="s">
        <v>468</v>
      </c>
      <c r="D43" s="363">
        <v>40</v>
      </c>
      <c r="E43" s="350">
        <v>187.9</v>
      </c>
      <c r="F43" s="352">
        <v>7516</v>
      </c>
      <c r="G43" s="357">
        <v>3.3357271332598575E-2</v>
      </c>
      <c r="H43" s="363"/>
      <c r="I43" s="363">
        <v>40</v>
      </c>
      <c r="J43" s="350">
        <v>218.73</v>
      </c>
      <c r="K43" s="352">
        <f t="shared" si="1"/>
        <v>8749.1999999999989</v>
      </c>
      <c r="L43" s="353">
        <f t="shared" si="0"/>
        <v>3.300981615768972E-2</v>
      </c>
      <c r="M43" s="495">
        <f t="shared" si="3"/>
        <v>0.16407663650878118</v>
      </c>
      <c r="N43" s="329">
        <f>(K43-Transactions!E853)/Transactions!E853</f>
        <v>2.3191324701535283</v>
      </c>
      <c r="O43" s="414"/>
      <c r="P43" s="357"/>
      <c r="Q43" s="327"/>
      <c r="R43" s="327"/>
      <c r="S43" s="309"/>
      <c r="T43" s="328"/>
      <c r="U43" s="5"/>
      <c r="V43" s="5"/>
      <c r="W43" s="5"/>
      <c r="X43" s="5"/>
      <c r="Y43" s="5"/>
      <c r="Z43" s="5"/>
    </row>
    <row r="44" spans="1:26" ht="12.75" customHeight="1">
      <c r="A44" s="322"/>
      <c r="B44" s="1345" t="s">
        <v>375</v>
      </c>
      <c r="C44" s="362"/>
      <c r="D44" s="1283"/>
      <c r="E44" s="350"/>
      <c r="F44" s="120">
        <v>174110.51</v>
      </c>
      <c r="G44" s="417"/>
      <c r="H44" s="363"/>
      <c r="I44" s="363"/>
      <c r="J44" s="350"/>
      <c r="K44" s="581">
        <f>SUM(K9:K43)</f>
        <v>221215.5</v>
      </c>
      <c r="L44" s="407">
        <f t="shared" si="0"/>
        <v>0.83462293538053889</v>
      </c>
      <c r="M44" s="495"/>
      <c r="N44" s="1284"/>
      <c r="O44" s="414"/>
      <c r="P44" s="535"/>
      <c r="Q44" s="327"/>
      <c r="R44" s="328"/>
      <c r="S44" s="309"/>
      <c r="T44" s="328"/>
      <c r="U44" s="5"/>
      <c r="V44" s="5"/>
      <c r="W44" s="5"/>
      <c r="X44" s="5"/>
      <c r="Y44" s="5"/>
      <c r="Z44" s="5"/>
    </row>
    <row r="45" spans="1:26" ht="12.75" customHeight="1">
      <c r="A45" s="322"/>
      <c r="B45" s="1346"/>
      <c r="C45" s="362"/>
      <c r="D45" s="1283"/>
      <c r="E45" s="74"/>
      <c r="F45" s="89"/>
      <c r="G45" s="357"/>
      <c r="H45" s="363"/>
      <c r="I45" s="363"/>
      <c r="J45" s="350"/>
      <c r="K45" s="352"/>
      <c r="L45" s="353"/>
      <c r="M45" s="495"/>
      <c r="N45" s="1284"/>
      <c r="O45" s="414"/>
      <c r="P45" s="535"/>
      <c r="Q45" s="327"/>
      <c r="R45" s="328"/>
      <c r="S45" s="309"/>
      <c r="T45" s="328"/>
      <c r="U45" s="5"/>
      <c r="V45" s="5"/>
      <c r="W45" s="5"/>
      <c r="X45" s="5"/>
      <c r="Y45" s="5"/>
      <c r="Z45" s="5"/>
    </row>
    <row r="46" spans="1:26" ht="12.75" customHeight="1">
      <c r="A46" s="322"/>
      <c r="B46" s="1345" t="s">
        <v>563</v>
      </c>
      <c r="C46" s="362"/>
      <c r="D46" s="1283"/>
      <c r="E46" s="74"/>
      <c r="F46" s="89"/>
      <c r="G46" s="357"/>
      <c r="H46" s="363"/>
      <c r="I46" s="363"/>
      <c r="J46" s="350"/>
      <c r="K46" s="352"/>
      <c r="L46" s="353"/>
      <c r="M46" s="495"/>
      <c r="N46" s="1284"/>
      <c r="O46" s="414"/>
      <c r="P46" s="535"/>
      <c r="Q46" s="327"/>
      <c r="R46" s="328"/>
      <c r="S46" s="309"/>
      <c r="T46" s="328"/>
      <c r="U46" s="5"/>
      <c r="V46" s="5"/>
      <c r="W46" s="5"/>
      <c r="X46" s="5"/>
      <c r="Y46" s="5"/>
      <c r="Z46" s="5"/>
    </row>
    <row r="47" spans="1:26" ht="12.75" customHeight="1">
      <c r="A47" s="322">
        <v>36</v>
      </c>
      <c r="B47" s="374" t="s">
        <v>371</v>
      </c>
      <c r="C47" s="362" t="s">
        <v>372</v>
      </c>
      <c r="D47" s="363">
        <v>81</v>
      </c>
      <c r="E47" s="350">
        <v>93.71</v>
      </c>
      <c r="F47" s="352">
        <v>7590.5099999999993</v>
      </c>
      <c r="G47" s="357">
        <v>3.3687959236668813E-2</v>
      </c>
      <c r="H47" s="363"/>
      <c r="I47" s="363">
        <v>81</v>
      </c>
      <c r="J47" s="350">
        <v>91.51</v>
      </c>
      <c r="K47" s="352">
        <f>I47*J47</f>
        <v>7412.31</v>
      </c>
      <c r="L47" s="353">
        <f>K47/$K$73</f>
        <v>2.7965870068555426E-2</v>
      </c>
      <c r="M47" s="495">
        <f>(J47-E47)/E47</f>
        <v>-2.3476683384910775E-2</v>
      </c>
      <c r="N47" s="329">
        <f>(K47-Transactions!E961)/Transactions!E961</f>
        <v>0.48804813269011893</v>
      </c>
      <c r="O47" s="414"/>
      <c r="P47" s="357"/>
      <c r="Q47" s="327"/>
      <c r="R47" s="327"/>
      <c r="S47" s="309"/>
      <c r="T47" s="328"/>
      <c r="U47" s="5"/>
      <c r="V47" s="5"/>
      <c r="W47" s="5"/>
      <c r="X47" s="5"/>
      <c r="Y47" s="5"/>
      <c r="Z47" s="5"/>
    </row>
    <row r="48" spans="1:26" ht="12.75" customHeight="1">
      <c r="A48" s="322"/>
      <c r="B48" s="1345" t="s">
        <v>375</v>
      </c>
      <c r="C48" s="362"/>
      <c r="D48" s="1283"/>
      <c r="E48" s="74"/>
      <c r="F48" s="120">
        <v>18774.13</v>
      </c>
      <c r="G48" s="121">
        <v>8.3322744603975374E-2</v>
      </c>
      <c r="H48" s="363"/>
      <c r="I48" s="363"/>
      <c r="J48" s="74"/>
      <c r="K48" s="581">
        <f>SUM(K47:K47)</f>
        <v>7412.31</v>
      </c>
      <c r="L48" s="407">
        <f>K48/$K$73</f>
        <v>2.7965870068555426E-2</v>
      </c>
      <c r="M48" s="495"/>
      <c r="N48" s="1284"/>
      <c r="O48" s="414"/>
      <c r="P48" s="357"/>
      <c r="Q48" s="327"/>
      <c r="R48" s="327"/>
      <c r="S48" s="309"/>
      <c r="T48" s="328"/>
      <c r="U48" s="5"/>
      <c r="V48" s="5"/>
      <c r="W48" s="5"/>
      <c r="X48" s="5"/>
      <c r="Y48" s="5"/>
      <c r="Z48" s="5"/>
    </row>
    <row r="49" spans="1:26" ht="12.75" customHeight="1">
      <c r="A49" s="322"/>
      <c r="B49" s="1346"/>
      <c r="C49" s="362"/>
      <c r="D49" s="1283"/>
      <c r="E49" s="74"/>
      <c r="F49" s="89"/>
      <c r="G49" s="121"/>
      <c r="H49" s="363"/>
      <c r="I49" s="363"/>
      <c r="J49" s="74"/>
      <c r="K49" s="352"/>
      <c r="L49" s="353"/>
      <c r="M49" s="495"/>
      <c r="N49" s="1284"/>
      <c r="O49" s="414"/>
      <c r="P49" s="535"/>
      <c r="Q49" s="327"/>
      <c r="R49" s="328"/>
      <c r="S49" s="309"/>
      <c r="T49" s="328"/>
      <c r="U49" s="5"/>
      <c r="V49" s="5"/>
      <c r="W49" s="5"/>
      <c r="X49" s="5"/>
      <c r="Y49" s="5"/>
      <c r="Z49" s="5"/>
    </row>
    <row r="50" spans="1:26" ht="12.75" customHeight="1">
      <c r="A50" s="322"/>
      <c r="B50" s="1345" t="s">
        <v>567</v>
      </c>
      <c r="C50" s="362"/>
      <c r="D50" s="1283"/>
      <c r="E50" s="74"/>
      <c r="F50" s="89"/>
      <c r="G50" s="121"/>
      <c r="H50" s="363"/>
      <c r="I50" s="363"/>
      <c r="J50" s="74"/>
      <c r="K50" s="352"/>
      <c r="L50" s="353"/>
      <c r="M50" s="495"/>
      <c r="N50" s="1284"/>
      <c r="O50" s="414"/>
      <c r="P50" s="535"/>
      <c r="Q50" s="327"/>
      <c r="R50" s="328"/>
      <c r="S50" s="309"/>
      <c r="T50" s="328"/>
      <c r="U50" s="5"/>
      <c r="V50" s="5"/>
      <c r="W50" s="5"/>
      <c r="X50" s="5"/>
      <c r="Y50" s="5"/>
      <c r="Z50" s="5"/>
    </row>
    <row r="51" spans="1:26" ht="12.75" customHeight="1">
      <c r="A51" s="322">
        <v>37</v>
      </c>
      <c r="B51" s="533" t="s">
        <v>634</v>
      </c>
      <c r="C51" s="362" t="s">
        <v>358</v>
      </c>
      <c r="D51" s="130">
        <v>80</v>
      </c>
      <c r="E51" s="350">
        <v>112.37</v>
      </c>
      <c r="F51" s="89">
        <v>8989.6</v>
      </c>
      <c r="G51" s="121">
        <v>3.9897355823779693E-2</v>
      </c>
      <c r="H51" s="130"/>
      <c r="I51" s="130">
        <v>80</v>
      </c>
      <c r="J51" s="350">
        <v>118.19</v>
      </c>
      <c r="K51" s="352">
        <f>I51*J51</f>
        <v>9455.2000000000007</v>
      </c>
      <c r="L51" s="353">
        <f t="shared" ref="L51:L56" si="4">K51/$K$73</f>
        <v>3.567348028781922E-2</v>
      </c>
      <c r="M51" s="495">
        <f>(J51-E51)/E51</f>
        <v>5.1793183233959178E-2</v>
      </c>
      <c r="N51" s="329">
        <f>(K51-Transactions!E482)/Transactions!E482</f>
        <v>4.8161881104263907E-2</v>
      </c>
      <c r="O51" s="414"/>
      <c r="P51" s="535"/>
      <c r="Q51" s="327"/>
      <c r="R51" s="328"/>
      <c r="S51" s="309"/>
      <c r="T51" s="328"/>
      <c r="U51" s="5"/>
      <c r="V51" s="5"/>
      <c r="W51" s="5"/>
      <c r="X51" s="5"/>
      <c r="Y51" s="5"/>
      <c r="Z51" s="5"/>
    </row>
    <row r="52" spans="1:26" ht="12.75" customHeight="1">
      <c r="A52" s="322">
        <v>38</v>
      </c>
      <c r="B52" s="539" t="s">
        <v>635</v>
      </c>
      <c r="C52" s="362" t="s">
        <v>636</v>
      </c>
      <c r="D52" s="130">
        <v>65</v>
      </c>
      <c r="E52" s="350">
        <v>83.86</v>
      </c>
      <c r="F52" s="89">
        <v>5450.9</v>
      </c>
      <c r="G52" s="121">
        <v>2.4192010418688341E-2</v>
      </c>
      <c r="H52" s="130"/>
      <c r="I52" s="130">
        <v>65</v>
      </c>
      <c r="J52" s="350">
        <v>88.19</v>
      </c>
      <c r="K52" s="352">
        <f>I52*J52</f>
        <v>5732.3499999999995</v>
      </c>
      <c r="L52" s="353">
        <f t="shared" si="4"/>
        <v>2.1627556765365138E-2</v>
      </c>
      <c r="M52" s="495">
        <f>(J52-E52)/E52</f>
        <v>5.1633675172907206E-2</v>
      </c>
      <c r="N52" s="329">
        <f>(K52-Transactions!E470)/Transactions!E470</f>
        <v>4.8830872899870301E-2</v>
      </c>
      <c r="O52" s="414"/>
      <c r="P52" s="535"/>
      <c r="Q52" s="327"/>
      <c r="R52" s="328"/>
      <c r="S52" s="309"/>
      <c r="T52" s="328"/>
      <c r="U52" s="5"/>
      <c r="V52" s="5"/>
      <c r="W52" s="5"/>
      <c r="X52" s="5"/>
      <c r="Y52" s="5"/>
      <c r="Z52" s="5"/>
    </row>
    <row r="53" spans="1:26" ht="12.75" customHeight="1">
      <c r="A53" s="322">
        <v>39</v>
      </c>
      <c r="B53" s="539" t="s">
        <v>637</v>
      </c>
      <c r="C53" s="362" t="s">
        <v>638</v>
      </c>
      <c r="D53" s="130">
        <v>200</v>
      </c>
      <c r="E53" s="350">
        <v>29.38</v>
      </c>
      <c r="F53" s="89">
        <v>5876</v>
      </c>
      <c r="G53" s="121">
        <v>2.6078675671946411E-2</v>
      </c>
      <c r="H53" s="130"/>
      <c r="I53" s="130">
        <v>200</v>
      </c>
      <c r="J53" s="350">
        <v>30.79</v>
      </c>
      <c r="K53" s="352">
        <f>I53*J53</f>
        <v>6158</v>
      </c>
      <c r="L53" s="353">
        <f t="shared" si="4"/>
        <v>2.3233489678948168E-2</v>
      </c>
      <c r="M53" s="495">
        <f>(J53-E53)/E53</f>
        <v>4.799183117767189E-2</v>
      </c>
      <c r="N53" s="538">
        <f>(K53-Transactions!E397)/Transactions!E397</f>
        <v>4.2029775180130041E-2</v>
      </c>
      <c r="O53" s="414"/>
      <c r="P53" s="535"/>
      <c r="Q53" s="327"/>
      <c r="R53" s="328"/>
      <c r="S53" s="309"/>
      <c r="T53" s="328"/>
      <c r="U53" s="5"/>
      <c r="V53" s="5"/>
      <c r="W53" s="5"/>
      <c r="X53" s="5"/>
      <c r="Y53" s="5"/>
      <c r="Z53" s="5"/>
    </row>
    <row r="54" spans="1:26" ht="12.75" customHeight="1">
      <c r="A54" s="322">
        <v>40</v>
      </c>
      <c r="B54" s="539" t="s">
        <v>662</v>
      </c>
      <c r="C54" s="362" t="s">
        <v>431</v>
      </c>
      <c r="D54" s="130"/>
      <c r="E54" s="350"/>
      <c r="F54" s="89"/>
      <c r="G54" s="121"/>
      <c r="H54" s="130"/>
      <c r="I54" s="130">
        <v>30</v>
      </c>
      <c r="J54" s="350">
        <v>157.72999999999999</v>
      </c>
      <c r="K54" s="352">
        <f>I54*J54</f>
        <v>4731.8999999999996</v>
      </c>
      <c r="L54" s="353">
        <f t="shared" si="4"/>
        <v>1.7852963593993965E-2</v>
      </c>
      <c r="M54" s="495"/>
      <c r="N54" s="538">
        <f>(K54-Transactions!E369)/Transactions!E369</f>
        <v>-5.7427990916696585E-2</v>
      </c>
      <c r="O54" s="414"/>
      <c r="P54" s="535"/>
      <c r="Q54" s="327"/>
      <c r="R54" s="328"/>
      <c r="S54" s="309"/>
      <c r="T54" s="328"/>
      <c r="U54" s="5"/>
      <c r="V54" s="5"/>
      <c r="W54" s="5"/>
      <c r="X54" s="5"/>
      <c r="Y54" s="5"/>
      <c r="Z54" s="5"/>
    </row>
    <row r="55" spans="1:26" ht="12.75" customHeight="1">
      <c r="A55" s="322">
        <v>41</v>
      </c>
      <c r="B55" s="536" t="s">
        <v>663</v>
      </c>
      <c r="C55" s="362" t="s">
        <v>664</v>
      </c>
      <c r="D55" s="130">
        <v>16</v>
      </c>
      <c r="E55" s="350">
        <v>3.01</v>
      </c>
      <c r="F55" s="89">
        <v>48.16</v>
      </c>
      <c r="G55" s="121">
        <f>F55/F73</f>
        <v>2.1314443496299866E-4</v>
      </c>
      <c r="H55" s="130"/>
      <c r="I55" s="130">
        <v>16</v>
      </c>
      <c r="J55" s="350">
        <v>0.69010000000000005</v>
      </c>
      <c r="K55" s="352">
        <f>I55*J55</f>
        <v>11.041600000000001</v>
      </c>
      <c r="L55" s="353">
        <f t="shared" si="4"/>
        <v>4.1658801500336817E-5</v>
      </c>
      <c r="M55" s="495">
        <f>(J55-E55)/E55</f>
        <v>-0.77073089700996666</v>
      </c>
      <c r="N55" s="538"/>
      <c r="O55" s="414"/>
      <c r="P55" s="535"/>
      <c r="Q55" s="327"/>
      <c r="R55" s="328"/>
      <c r="S55" s="309"/>
      <c r="T55" s="328"/>
      <c r="U55" s="5"/>
      <c r="V55" s="5"/>
      <c r="W55" s="5"/>
      <c r="X55" s="5"/>
      <c r="Y55" s="5"/>
      <c r="Z55" s="5"/>
    </row>
    <row r="56" spans="1:26" ht="12.75" customHeight="1">
      <c r="A56" s="322"/>
      <c r="B56" s="1345" t="s">
        <v>375</v>
      </c>
      <c r="C56" s="362"/>
      <c r="D56" s="1283"/>
      <c r="E56" s="74"/>
      <c r="F56" s="75">
        <v>20364.66</v>
      </c>
      <c r="G56" s="131">
        <v>9.0168041914414437E-2</v>
      </c>
      <c r="H56" s="130"/>
      <c r="I56" s="363"/>
      <c r="J56" s="350"/>
      <c r="K56" s="581">
        <f>SUM(K51:K55)</f>
        <v>26088.491599999998</v>
      </c>
      <c r="L56" s="407">
        <f t="shared" si="4"/>
        <v>9.8429149127626819E-2</v>
      </c>
      <c r="M56" s="495"/>
      <c r="N56" s="1284"/>
      <c r="O56" s="414"/>
      <c r="P56" s="326"/>
      <c r="Q56" s="327"/>
      <c r="R56" s="328"/>
      <c r="S56" s="309"/>
      <c r="T56" s="328"/>
      <c r="U56" s="5"/>
      <c r="V56" s="5"/>
      <c r="W56" s="5"/>
      <c r="X56" s="5"/>
      <c r="Y56" s="5"/>
      <c r="Z56" s="5"/>
    </row>
    <row r="57" spans="1:26" ht="12.75" customHeight="1">
      <c r="A57" s="322"/>
      <c r="B57" s="361"/>
      <c r="C57" s="361"/>
      <c r="D57" s="379"/>
      <c r="E57" s="380"/>
      <c r="F57" s="381"/>
      <c r="G57" s="382"/>
      <c r="H57" s="383"/>
      <c r="I57" s="383"/>
      <c r="J57" s="384"/>
      <c r="K57" s="385"/>
      <c r="L57" s="386"/>
      <c r="M57" s="495"/>
      <c r="N57" s="329"/>
      <c r="O57" s="327"/>
      <c r="P57" s="326"/>
      <c r="Q57" s="327"/>
      <c r="R57" s="328"/>
      <c r="S57" s="309"/>
      <c r="T57" s="328"/>
      <c r="U57" s="5"/>
      <c r="V57" s="5"/>
      <c r="W57" s="5"/>
      <c r="X57" s="5"/>
      <c r="Y57" s="5"/>
      <c r="Z57" s="5"/>
    </row>
    <row r="58" spans="1:26" ht="12.75" customHeight="1">
      <c r="A58" s="46"/>
      <c r="B58" s="418" t="s">
        <v>52</v>
      </c>
      <c r="C58" s="419"/>
      <c r="D58" s="379"/>
      <c r="E58" s="380"/>
      <c r="F58" s="381"/>
      <c r="G58" s="382"/>
      <c r="H58" s="383"/>
      <c r="I58" s="383"/>
      <c r="J58" s="384"/>
      <c r="K58" s="385"/>
      <c r="L58" s="386"/>
      <c r="M58" s="895"/>
      <c r="N58" s="332"/>
      <c r="O58" s="325"/>
      <c r="P58" s="326"/>
      <c r="Q58" s="327"/>
      <c r="R58" s="309"/>
      <c r="S58" s="309"/>
      <c r="T58" s="328"/>
      <c r="U58" s="5"/>
      <c r="V58" s="5"/>
      <c r="W58" s="5"/>
      <c r="X58" s="5"/>
      <c r="Y58" s="5"/>
      <c r="Z58" s="5"/>
    </row>
    <row r="59" spans="1:26" ht="12.75" customHeight="1">
      <c r="A59" s="311"/>
      <c r="B59" s="630" t="s">
        <v>7</v>
      </c>
      <c r="C59" s="631" t="s">
        <v>8</v>
      </c>
      <c r="D59" s="632" t="s">
        <v>9</v>
      </c>
      <c r="E59" s="633" t="s">
        <v>436</v>
      </c>
      <c r="F59" s="633" t="s">
        <v>437</v>
      </c>
      <c r="G59" s="633" t="s">
        <v>438</v>
      </c>
      <c r="H59" s="634" t="s">
        <v>439</v>
      </c>
      <c r="I59" s="635" t="s">
        <v>440</v>
      </c>
      <c r="J59" s="635" t="s">
        <v>15</v>
      </c>
      <c r="K59" s="636" t="s">
        <v>508</v>
      </c>
      <c r="L59" s="320"/>
      <c r="M59" s="132"/>
      <c r="N59" s="132"/>
      <c r="O59" s="1286"/>
      <c r="P59" s="326"/>
      <c r="Q59" s="327"/>
      <c r="R59" s="309"/>
      <c r="S59" s="309"/>
      <c r="T59" s="328"/>
      <c r="U59" s="5"/>
      <c r="V59" s="5"/>
      <c r="W59" s="5"/>
      <c r="X59" s="5"/>
      <c r="Y59" s="5"/>
      <c r="Z59" s="5"/>
    </row>
    <row r="60" spans="1:26" ht="12.75" customHeight="1">
      <c r="A60" s="322">
        <v>1</v>
      </c>
      <c r="B60" s="361" t="s">
        <v>625</v>
      </c>
      <c r="C60" s="362" t="s">
        <v>626</v>
      </c>
      <c r="D60" s="130">
        <v>35</v>
      </c>
      <c r="E60" s="74">
        <v>33.3172</v>
      </c>
      <c r="F60" s="74">
        <v>30.12</v>
      </c>
      <c r="G60" s="366">
        <f t="shared" ref="G60:G66" si="5">D60*E60</f>
        <v>1166.1020000000001</v>
      </c>
      <c r="H60" s="350">
        <f t="shared" ref="H60:H65" si="6">D60*F60</f>
        <v>1054.2</v>
      </c>
      <c r="I60" s="537">
        <f t="shared" ref="I60:I66" si="7">G60-H60</f>
        <v>111.90200000000004</v>
      </c>
      <c r="J60" s="580">
        <f t="shared" ref="J60:J66" si="8">I60/H60</f>
        <v>0.10614873837981412</v>
      </c>
      <c r="K60" s="349">
        <v>43888</v>
      </c>
      <c r="L60" s="367"/>
      <c r="M60" s="2026"/>
      <c r="N60" s="2000"/>
      <c r="O60" s="1286"/>
      <c r="P60" s="326"/>
      <c r="Q60" s="327"/>
      <c r="R60" s="309"/>
      <c r="S60" s="309"/>
      <c r="T60" s="328"/>
      <c r="U60" s="5"/>
      <c r="V60" s="5"/>
      <c r="W60" s="5"/>
      <c r="X60" s="5"/>
      <c r="Y60" s="5"/>
      <c r="Z60" s="5"/>
    </row>
    <row r="61" spans="1:26" ht="12.75" customHeight="1">
      <c r="A61" s="322">
        <v>2</v>
      </c>
      <c r="B61" s="361" t="s">
        <v>281</v>
      </c>
      <c r="C61" s="362" t="s">
        <v>152</v>
      </c>
      <c r="D61" s="130">
        <v>120</v>
      </c>
      <c r="E61" s="74">
        <v>38</v>
      </c>
      <c r="F61" s="74">
        <v>18.715</v>
      </c>
      <c r="G61" s="366">
        <f t="shared" si="5"/>
        <v>4560</v>
      </c>
      <c r="H61" s="350">
        <f t="shared" si="6"/>
        <v>2245.8000000000002</v>
      </c>
      <c r="I61" s="537">
        <f t="shared" si="7"/>
        <v>2314.1999999999998</v>
      </c>
      <c r="J61" s="580">
        <f t="shared" si="8"/>
        <v>1.030456852791878</v>
      </c>
      <c r="K61" s="349">
        <v>43896</v>
      </c>
      <c r="L61" s="367"/>
      <c r="M61" s="324"/>
      <c r="N61" s="408"/>
      <c r="O61" s="325"/>
      <c r="P61" s="326"/>
      <c r="Q61" s="327"/>
      <c r="R61" s="309"/>
      <c r="S61" s="309"/>
      <c r="T61" s="328"/>
      <c r="U61" s="5"/>
      <c r="V61" s="5"/>
      <c r="W61" s="5"/>
      <c r="X61" s="5"/>
      <c r="Y61" s="5"/>
      <c r="Z61" s="5"/>
    </row>
    <row r="62" spans="1:26" ht="12.75" customHeight="1">
      <c r="A62" s="322">
        <v>3</v>
      </c>
      <c r="B62" s="374" t="s">
        <v>623</v>
      </c>
      <c r="C62" s="362" t="s">
        <v>624</v>
      </c>
      <c r="D62" s="130">
        <v>20</v>
      </c>
      <c r="E62" s="74">
        <v>32.39</v>
      </c>
      <c r="F62" s="74">
        <v>63.99</v>
      </c>
      <c r="G62" s="366">
        <f t="shared" si="5"/>
        <v>647.79999999999995</v>
      </c>
      <c r="H62" s="350">
        <f t="shared" si="6"/>
        <v>1279.8</v>
      </c>
      <c r="I62" s="531">
        <f t="shared" si="7"/>
        <v>-632</v>
      </c>
      <c r="J62" s="580">
        <f t="shared" si="8"/>
        <v>-0.49382716049382719</v>
      </c>
      <c r="K62" s="349">
        <v>43921</v>
      </c>
      <c r="L62" s="367"/>
      <c r="M62" s="324"/>
      <c r="N62" s="408"/>
      <c r="O62" s="325"/>
      <c r="P62" s="326"/>
      <c r="Q62" s="327"/>
      <c r="R62" s="309"/>
      <c r="S62" s="309"/>
      <c r="T62" s="328"/>
      <c r="U62" s="5"/>
      <c r="V62" s="5"/>
      <c r="W62" s="5"/>
      <c r="X62" s="5"/>
      <c r="Y62" s="5"/>
      <c r="Z62" s="5"/>
    </row>
    <row r="63" spans="1:26" ht="12.75" customHeight="1">
      <c r="A63" s="322">
        <v>4</v>
      </c>
      <c r="B63" s="374" t="s">
        <v>620</v>
      </c>
      <c r="C63" s="362" t="s">
        <v>177</v>
      </c>
      <c r="D63" s="130">
        <v>25</v>
      </c>
      <c r="E63" s="74">
        <v>44.44</v>
      </c>
      <c r="F63" s="74">
        <v>78.239900000000006</v>
      </c>
      <c r="G63" s="366">
        <f t="shared" si="5"/>
        <v>1111</v>
      </c>
      <c r="H63" s="350">
        <f t="shared" si="6"/>
        <v>1955.9975000000002</v>
      </c>
      <c r="I63" s="531">
        <f t="shared" si="7"/>
        <v>-844.99750000000017</v>
      </c>
      <c r="J63" s="580">
        <f t="shared" si="8"/>
        <v>-0.43200336401247963</v>
      </c>
      <c r="K63" s="349">
        <v>43921</v>
      </c>
      <c r="L63" s="367"/>
      <c r="M63" s="324"/>
      <c r="N63" s="408"/>
      <c r="O63" s="325"/>
      <c r="P63" s="326"/>
      <c r="Q63" s="327"/>
      <c r="R63" s="309"/>
      <c r="S63" s="309"/>
      <c r="T63" s="328"/>
      <c r="U63" s="5"/>
      <c r="V63" s="5"/>
      <c r="W63" s="5"/>
      <c r="X63" s="5"/>
      <c r="Y63" s="5"/>
      <c r="Z63" s="5"/>
    </row>
    <row r="64" spans="1:26" ht="12.75" customHeight="1">
      <c r="A64" s="322">
        <v>5</v>
      </c>
      <c r="B64" s="374" t="s">
        <v>665</v>
      </c>
      <c r="C64" s="362" t="s">
        <v>666</v>
      </c>
      <c r="D64" s="130">
        <v>50</v>
      </c>
      <c r="E64" s="74">
        <v>54.524999999999999</v>
      </c>
      <c r="F64" s="74">
        <v>54.945</v>
      </c>
      <c r="G64" s="127">
        <f t="shared" si="5"/>
        <v>2726.25</v>
      </c>
      <c r="H64" s="74">
        <f t="shared" si="6"/>
        <v>2747.25</v>
      </c>
      <c r="I64" s="86">
        <f t="shared" si="7"/>
        <v>-21</v>
      </c>
      <c r="J64" s="87">
        <f t="shared" si="8"/>
        <v>-7.6440076440076436E-3</v>
      </c>
      <c r="K64" s="620">
        <v>44071</v>
      </c>
      <c r="L64" s="367"/>
      <c r="M64" s="324"/>
      <c r="N64" s="408"/>
      <c r="O64" s="325"/>
      <c r="P64" s="326"/>
      <c r="Q64" s="327"/>
      <c r="R64" s="309"/>
      <c r="S64" s="309"/>
      <c r="T64" s="328"/>
      <c r="U64" s="5"/>
      <c r="V64" s="5"/>
      <c r="W64" s="5"/>
      <c r="X64" s="5"/>
      <c r="Y64" s="5"/>
      <c r="Z64" s="5"/>
    </row>
    <row r="65" spans="1:27" ht="12.75" customHeight="1">
      <c r="A65" s="322">
        <v>6</v>
      </c>
      <c r="B65" s="374" t="s">
        <v>620</v>
      </c>
      <c r="C65" s="362" t="s">
        <v>177</v>
      </c>
      <c r="D65" s="130">
        <v>25</v>
      </c>
      <c r="E65" s="74">
        <v>55.293500000000002</v>
      </c>
      <c r="F65" s="74">
        <v>78.239900000000006</v>
      </c>
      <c r="G65" s="366">
        <f t="shared" si="5"/>
        <v>1382.3375000000001</v>
      </c>
      <c r="H65" s="350">
        <f t="shared" si="6"/>
        <v>1955.9975000000002</v>
      </c>
      <c r="I65" s="531">
        <f t="shared" si="7"/>
        <v>-573.66000000000008</v>
      </c>
      <c r="J65" s="580">
        <f t="shared" si="8"/>
        <v>-0.2932825834388848</v>
      </c>
      <c r="K65" s="349">
        <v>44109</v>
      </c>
      <c r="L65" s="367"/>
      <c r="M65" s="324"/>
      <c r="N65" s="408"/>
      <c r="O65" s="325"/>
      <c r="P65" s="326"/>
      <c r="Q65" s="327"/>
      <c r="R65" s="309"/>
      <c r="S65" s="309"/>
      <c r="T65" s="328"/>
      <c r="U65" s="5"/>
      <c r="V65" s="5"/>
      <c r="W65" s="5"/>
      <c r="X65" s="5"/>
      <c r="Y65" s="5"/>
      <c r="Z65" s="5"/>
    </row>
    <row r="66" spans="1:27" ht="12.75" customHeight="1">
      <c r="A66" s="322">
        <v>7</v>
      </c>
      <c r="B66" s="374" t="s">
        <v>367</v>
      </c>
      <c r="C66" s="361" t="s">
        <v>368</v>
      </c>
      <c r="D66" s="1591">
        <v>254</v>
      </c>
      <c r="E66" s="74">
        <v>33.92</v>
      </c>
      <c r="F66" s="74">
        <v>35.840000000000003</v>
      </c>
      <c r="G66" s="366">
        <f t="shared" si="5"/>
        <v>8615.68</v>
      </c>
      <c r="H66" s="350">
        <v>8697.66</v>
      </c>
      <c r="I66" s="531">
        <f t="shared" si="7"/>
        <v>-81.979999999999563</v>
      </c>
      <c r="J66" s="580">
        <f t="shared" si="8"/>
        <v>-9.4255236465899516E-3</v>
      </c>
      <c r="K66" s="1592">
        <v>44138</v>
      </c>
      <c r="L66" s="367"/>
      <c r="M66" s="324"/>
      <c r="N66" s="408"/>
      <c r="O66" s="325"/>
      <c r="P66" s="326"/>
      <c r="Q66" s="327"/>
      <c r="R66" s="309"/>
      <c r="S66" s="309"/>
      <c r="T66" s="328"/>
      <c r="U66" s="5"/>
      <c r="V66" s="5"/>
      <c r="W66" s="5"/>
      <c r="X66" s="5"/>
      <c r="Y66" s="5"/>
      <c r="Z66" s="5"/>
    </row>
    <row r="67" spans="1:27" ht="12.75" customHeight="1">
      <c r="A67" s="1574"/>
      <c r="B67" s="1575"/>
      <c r="C67" s="1576"/>
      <c r="D67" s="1577"/>
      <c r="E67" s="1578"/>
      <c r="F67" s="390"/>
      <c r="G67" s="389"/>
      <c r="H67" s="390"/>
      <c r="I67" s="1579"/>
      <c r="J67" s="1580"/>
      <c r="K67" s="1581"/>
      <c r="L67" s="1576"/>
      <c r="M67" s="578"/>
      <c r="N67" s="575"/>
      <c r="O67" s="896"/>
      <c r="P67" s="325"/>
      <c r="Q67" s="326"/>
      <c r="R67" s="327"/>
      <c r="S67" s="309"/>
      <c r="T67" s="309"/>
      <c r="U67" s="328"/>
      <c r="V67" s="5"/>
      <c r="W67" s="5"/>
      <c r="X67" s="5"/>
      <c r="Y67" s="5"/>
      <c r="Z67" s="5"/>
      <c r="AA67" s="5"/>
    </row>
    <row r="68" spans="1:27" ht="12.75" customHeight="1">
      <c r="A68" s="344"/>
      <c r="B68" s="345" t="s">
        <v>63</v>
      </c>
      <c r="C68" s="345"/>
      <c r="D68" s="346"/>
      <c r="E68" s="782"/>
      <c r="F68" s="403">
        <v>213201.14000000004</v>
      </c>
      <c r="G68" s="783">
        <v>0.94357633967539833</v>
      </c>
      <c r="H68" s="405"/>
      <c r="I68" s="405"/>
      <c r="J68" s="406"/>
      <c r="K68" s="581">
        <f>K44+K48+K56</f>
        <v>254716.30160000001</v>
      </c>
      <c r="L68" s="417">
        <f>K68/$K$73</f>
        <v>0.96101795457672123</v>
      </c>
      <c r="M68" s="576"/>
      <c r="N68" s="589"/>
      <c r="O68" s="325"/>
      <c r="P68" s="326"/>
      <c r="Q68" s="327"/>
      <c r="R68" s="309"/>
      <c r="S68" s="309"/>
      <c r="T68" s="328"/>
      <c r="U68" s="5"/>
      <c r="V68" s="5"/>
      <c r="W68" s="5"/>
      <c r="X68" s="5"/>
      <c r="Y68" s="5"/>
      <c r="Z68" s="5"/>
    </row>
    <row r="69" spans="1:27" ht="12.75" customHeight="1">
      <c r="A69" s="344"/>
      <c r="B69" s="345"/>
      <c r="C69" s="345"/>
      <c r="D69" s="346"/>
      <c r="E69" s="347"/>
      <c r="F69" s="5"/>
      <c r="G69" s="783"/>
      <c r="H69" s="405"/>
      <c r="I69" s="405"/>
      <c r="J69" s="406"/>
      <c r="K69" s="581"/>
      <c r="L69" s="571"/>
      <c r="M69" s="576"/>
      <c r="N69" s="573"/>
      <c r="O69" s="1323"/>
      <c r="P69" s="326"/>
      <c r="Q69" s="327"/>
      <c r="R69" s="309"/>
      <c r="S69" s="309"/>
      <c r="T69" s="328"/>
      <c r="U69" s="5"/>
      <c r="V69" s="5"/>
      <c r="W69" s="5"/>
      <c r="X69" s="5"/>
      <c r="Y69" s="5"/>
      <c r="Z69" s="5"/>
    </row>
    <row r="70" spans="1:27" ht="12.75" customHeight="1">
      <c r="A70" s="344"/>
      <c r="B70" s="1324" t="s">
        <v>616</v>
      </c>
      <c r="C70" s="345"/>
      <c r="D70" s="346"/>
      <c r="E70" s="347"/>
      <c r="F70" s="75">
        <v>12700.77</v>
      </c>
      <c r="G70" s="783">
        <v>5.6210515889638803E-2</v>
      </c>
      <c r="H70" s="405"/>
      <c r="I70" s="405"/>
      <c r="J70" s="406"/>
      <c r="K70" s="729">
        <v>10332.129999999999</v>
      </c>
      <c r="L70" s="417">
        <f>K70/$K$73</f>
        <v>3.898204542327878E-2</v>
      </c>
      <c r="M70" s="577"/>
      <c r="N70" s="574"/>
      <c r="P70" s="790"/>
      <c r="Q70" s="327"/>
      <c r="R70" s="328"/>
      <c r="S70" s="309"/>
      <c r="T70" s="328"/>
      <c r="U70" s="5"/>
      <c r="V70" s="5"/>
      <c r="W70" s="5"/>
      <c r="X70" s="5"/>
      <c r="Y70" s="5"/>
      <c r="Z70" s="5"/>
    </row>
    <row r="71" spans="1:27" ht="12.75" customHeight="1">
      <c r="A71" s="344"/>
      <c r="B71" s="345"/>
      <c r="C71" s="345"/>
      <c r="D71" s="346"/>
      <c r="E71" s="347"/>
      <c r="F71" s="403"/>
      <c r="G71" s="404"/>
      <c r="H71" s="405"/>
      <c r="I71" s="405"/>
      <c r="J71" s="406"/>
      <c r="K71" s="75"/>
      <c r="L71" s="417"/>
      <c r="M71" s="577"/>
      <c r="N71" s="574"/>
      <c r="O71" s="348"/>
      <c r="P71" s="326"/>
      <c r="Q71" s="327"/>
      <c r="R71" s="328"/>
      <c r="S71" s="309"/>
      <c r="T71" s="328"/>
      <c r="U71" s="5"/>
      <c r="V71" s="5"/>
      <c r="W71" s="5"/>
      <c r="X71" s="5"/>
      <c r="Y71" s="5"/>
      <c r="Z71" s="5"/>
    </row>
    <row r="72" spans="1:27" ht="12.75" customHeight="1" thickBot="1">
      <c r="A72" s="49"/>
      <c r="B72" s="924"/>
      <c r="C72" s="924"/>
      <c r="D72" s="34"/>
      <c r="E72" s="1099"/>
      <c r="F72" s="1326"/>
      <c r="G72" s="1327"/>
      <c r="H72" s="1328"/>
      <c r="I72" s="1328"/>
      <c r="J72" s="94"/>
      <c r="K72" s="96"/>
      <c r="L72" s="571"/>
      <c r="M72" s="578"/>
      <c r="N72" s="575"/>
      <c r="P72" s="326"/>
      <c r="Q72" s="327"/>
      <c r="R72" s="309"/>
      <c r="S72" s="309"/>
      <c r="T72" s="328"/>
      <c r="U72" s="5"/>
      <c r="V72" s="5"/>
      <c r="W72" s="5"/>
      <c r="X72" s="5"/>
      <c r="Y72" s="5"/>
      <c r="Z72" s="5"/>
    </row>
    <row r="73" spans="1:27" ht="12.75" customHeight="1" thickTop="1">
      <c r="A73" s="309"/>
      <c r="B73" s="345" t="s">
        <v>667</v>
      </c>
      <c r="C73" s="345"/>
      <c r="D73" s="1105"/>
      <c r="E73" s="1106"/>
      <c r="F73" s="412">
        <v>225950.07</v>
      </c>
      <c r="G73" s="1331">
        <v>0.9997868555650371</v>
      </c>
      <c r="H73" s="1332"/>
      <c r="I73" s="1332"/>
      <c r="J73" s="1333"/>
      <c r="K73" s="1270">
        <f>SUM(K68:K72)</f>
        <v>265048.43160000001</v>
      </c>
      <c r="L73" s="413">
        <f>SUM(L68:L72)</f>
        <v>1</v>
      </c>
      <c r="M73" s="147">
        <f>(226857.34/F73)*(K73/(226857.34-5000))-1</f>
        <v>0.19947663415669448</v>
      </c>
      <c r="N73" s="882"/>
      <c r="O73" s="327"/>
      <c r="P73" s="331"/>
      <c r="Q73" s="327"/>
      <c r="R73" s="309"/>
      <c r="S73" s="309"/>
      <c r="T73" s="328"/>
      <c r="U73" s="5"/>
      <c r="V73" s="5"/>
      <c r="W73" s="5"/>
      <c r="X73" s="5"/>
      <c r="Y73" s="5"/>
      <c r="Z73" s="5"/>
    </row>
    <row r="74" spans="1:27" ht="12.75" customHeight="1">
      <c r="A74" s="309"/>
      <c r="B74" s="309"/>
      <c r="C74" s="985"/>
      <c r="D74" s="1024"/>
      <c r="E74" s="1024"/>
      <c r="F74" s="1024"/>
      <c r="G74" s="1024"/>
      <c r="H74" s="546"/>
      <c r="I74" s="546"/>
      <c r="J74" s="940"/>
      <c r="K74" s="940"/>
      <c r="L74" s="1147"/>
      <c r="M74" s="949"/>
      <c r="N74" s="882"/>
      <c r="O74" s="325"/>
      <c r="P74" s="327"/>
      <c r="Q74" s="309"/>
      <c r="R74" s="309"/>
      <c r="S74" s="309"/>
      <c r="T74" s="328"/>
      <c r="U74" s="5"/>
      <c r="V74" s="5"/>
      <c r="W74" s="5"/>
      <c r="X74" s="5"/>
      <c r="Y74" s="5"/>
      <c r="Z74" s="5"/>
    </row>
    <row r="75" spans="1:27" ht="12.75" customHeight="1">
      <c r="A75" s="309"/>
      <c r="B75" s="309" t="s">
        <v>668</v>
      </c>
      <c r="C75" s="985"/>
      <c r="D75" s="1024"/>
      <c r="E75" s="1024"/>
      <c r="F75" s="1024"/>
      <c r="G75" s="1024"/>
      <c r="H75" s="546"/>
      <c r="I75" s="546"/>
      <c r="J75" s="940"/>
      <c r="K75" s="1350">
        <v>5000</v>
      </c>
      <c r="L75" s="1147"/>
      <c r="M75" s="949"/>
      <c r="N75" s="882"/>
      <c r="O75" s="323"/>
      <c r="P75" s="325"/>
      <c r="Q75" s="326"/>
      <c r="R75" s="309"/>
      <c r="S75" s="309"/>
      <c r="T75" s="309"/>
      <c r="U75" s="328"/>
      <c r="V75" s="5"/>
      <c r="W75" s="5"/>
      <c r="X75" s="5"/>
      <c r="Y75" s="5"/>
      <c r="Z75" s="5"/>
      <c r="AA75" s="5"/>
    </row>
    <row r="76" spans="1:27" ht="12.75" customHeight="1">
      <c r="A76" s="309"/>
      <c r="B76" s="872"/>
      <c r="C76" s="873"/>
      <c r="D76" s="874"/>
      <c r="E76" s="875"/>
      <c r="F76" s="876"/>
      <c r="G76" s="877"/>
      <c r="H76" s="878"/>
      <c r="I76" s="878" t="s">
        <v>564</v>
      </c>
      <c r="J76" s="879"/>
      <c r="K76" s="879"/>
      <c r="L76" s="880"/>
      <c r="M76" s="881"/>
      <c r="N76" s="882"/>
      <c r="O76" s="323"/>
      <c r="P76" s="325"/>
      <c r="Q76" s="326"/>
      <c r="R76" s="309"/>
      <c r="S76" s="309"/>
      <c r="T76" s="309"/>
      <c r="U76" s="328"/>
      <c r="V76" s="5"/>
      <c r="W76" s="5"/>
      <c r="X76" s="5"/>
      <c r="Y76" s="5"/>
      <c r="Z76" s="5"/>
      <c r="AA76" s="5"/>
    </row>
    <row r="77" spans="1:27" ht="12.75" customHeight="1">
      <c r="A77" s="309"/>
      <c r="B77" s="345" t="s">
        <v>390</v>
      </c>
      <c r="C77" s="309"/>
      <c r="D77" s="323"/>
      <c r="E77" s="323"/>
      <c r="F77" s="1114"/>
      <c r="G77" s="323"/>
      <c r="H77" s="546"/>
      <c r="I77" s="546"/>
      <c r="J77" s="309"/>
      <c r="K77" s="309"/>
      <c r="L77" s="324"/>
      <c r="M77" s="309"/>
      <c r="N77" s="5"/>
      <c r="O77" s="1042"/>
      <c r="P77" s="325"/>
      <c r="Q77" s="326"/>
      <c r="R77" s="309"/>
      <c r="S77" s="309"/>
      <c r="T77" s="309"/>
      <c r="U77" s="328"/>
      <c r="V77" s="5"/>
      <c r="W77" s="5"/>
      <c r="X77" s="5"/>
      <c r="Y77" s="5"/>
      <c r="Z77" s="5"/>
      <c r="AA77" s="5"/>
    </row>
    <row r="78" spans="1:27" ht="12.75" customHeight="1">
      <c r="A78" s="309"/>
      <c r="B78" s="309" t="s">
        <v>272</v>
      </c>
      <c r="C78" s="309"/>
      <c r="D78" s="323"/>
      <c r="E78" s="323"/>
      <c r="F78" s="1336">
        <v>3230.78</v>
      </c>
      <c r="G78" s="361"/>
      <c r="H78" s="500"/>
      <c r="I78" s="500"/>
      <c r="J78" s="359"/>
      <c r="K78" s="1336">
        <v>3756.07</v>
      </c>
      <c r="L78" s="1336"/>
      <c r="M78" s="1334">
        <f>(K78-F78)/F78</f>
        <v>0.16258921994069542</v>
      </c>
      <c r="O78" s="5"/>
      <c r="P78" s="5"/>
      <c r="Q78" s="326"/>
      <c r="R78" s="309"/>
      <c r="S78" s="309"/>
      <c r="T78" s="309"/>
      <c r="U78" s="328"/>
      <c r="V78" s="5"/>
      <c r="W78" s="5"/>
      <c r="X78" s="5"/>
      <c r="Y78" s="5"/>
      <c r="Z78" s="5"/>
      <c r="AA78" s="5"/>
    </row>
    <row r="79" spans="1:27" ht="12.75" customHeight="1">
      <c r="A79" s="309"/>
      <c r="B79" s="309" t="s">
        <v>273</v>
      </c>
      <c r="C79" s="309"/>
      <c r="D79" s="309"/>
      <c r="E79" s="309"/>
      <c r="F79" s="1351"/>
      <c r="G79" s="359"/>
      <c r="H79" s="500"/>
      <c r="I79" s="500"/>
      <c r="J79" s="359"/>
      <c r="K79" s="1352"/>
      <c r="L79" s="395"/>
      <c r="M79" s="579">
        <v>2.1399999999999999E-2</v>
      </c>
      <c r="O79" s="1042"/>
      <c r="P79" s="330"/>
      <c r="Q79" s="326"/>
      <c r="R79" s="309"/>
      <c r="S79" s="309"/>
      <c r="T79" s="309"/>
      <c r="U79" s="328"/>
      <c r="V79" s="5"/>
      <c r="W79" s="5"/>
      <c r="X79" s="5"/>
      <c r="Y79" s="5"/>
      <c r="Z79" s="5"/>
      <c r="AA79" s="5"/>
    </row>
    <row r="80" spans="1:27" ht="12.75" customHeight="1">
      <c r="A80" s="309"/>
      <c r="B80" s="1235" t="s">
        <v>228</v>
      </c>
      <c r="C80" s="309"/>
      <c r="D80" s="309"/>
      <c r="E80" s="309"/>
      <c r="F80" s="1351"/>
      <c r="G80" s="359"/>
      <c r="H80" s="500"/>
      <c r="I80" s="500"/>
      <c r="J80" s="359"/>
      <c r="K80" s="1352"/>
      <c r="L80" s="431"/>
      <c r="M80" s="1334">
        <f>M78+M79</f>
        <v>0.18398921994069542</v>
      </c>
      <c r="O80" s="1042"/>
      <c r="P80" s="325"/>
      <c r="Q80" s="326"/>
      <c r="R80" s="309"/>
      <c r="S80" s="309"/>
      <c r="T80" s="309"/>
      <c r="U80" s="328"/>
      <c r="V80" s="5"/>
      <c r="W80" s="5"/>
      <c r="X80" s="5"/>
      <c r="Y80" s="5"/>
      <c r="Z80" s="5"/>
      <c r="AA80" s="5"/>
    </row>
    <row r="81" spans="1:27" ht="12.75" customHeight="1">
      <c r="A81" s="309"/>
      <c r="B81" s="1304"/>
      <c r="C81" s="309"/>
      <c r="D81" s="309"/>
      <c r="E81" s="309"/>
      <c r="F81" s="1352"/>
      <c r="G81" s="359"/>
      <c r="H81" s="500"/>
      <c r="I81" s="500"/>
      <c r="J81" s="359"/>
      <c r="K81" s="1352"/>
      <c r="L81" s="431"/>
      <c r="M81" s="1348"/>
      <c r="O81" s="1042"/>
      <c r="P81" s="325"/>
      <c r="Q81" s="326"/>
      <c r="R81" s="309"/>
      <c r="S81" s="309"/>
      <c r="T81" s="309"/>
      <c r="U81" s="328"/>
      <c r="V81" s="5"/>
      <c r="W81" s="5"/>
      <c r="X81" s="5"/>
      <c r="Y81" s="5"/>
      <c r="Z81" s="5"/>
      <c r="AA81" s="5"/>
    </row>
    <row r="82" spans="1:27" ht="14.25" customHeight="1">
      <c r="A82" s="309"/>
      <c r="B82" s="591" t="s">
        <v>669</v>
      </c>
      <c r="C82" s="309"/>
      <c r="D82" s="309"/>
      <c r="E82" s="309"/>
      <c r="F82" s="505"/>
      <c r="G82" s="5"/>
      <c r="H82" s="306"/>
      <c r="I82" s="500"/>
      <c r="J82" s="359"/>
      <c r="K82" s="1336"/>
      <c r="L82" s="431"/>
      <c r="M82" s="1353">
        <v>7.51E-2</v>
      </c>
      <c r="O82" s="323"/>
      <c r="P82" s="57"/>
      <c r="Q82" s="326"/>
      <c r="R82" s="309"/>
      <c r="S82" s="309"/>
      <c r="T82" s="309"/>
      <c r="U82" s="328"/>
      <c r="V82" s="5"/>
      <c r="W82" s="5"/>
      <c r="X82" s="5"/>
      <c r="Y82" s="5"/>
      <c r="Z82" s="5"/>
      <c r="AA82" s="5"/>
    </row>
    <row r="83" spans="1:27" ht="14.25" customHeight="1">
      <c r="A83" s="309"/>
      <c r="O83" s="323"/>
      <c r="P83" s="325"/>
      <c r="Q83" s="326"/>
      <c r="R83" s="309"/>
      <c r="S83" s="309"/>
      <c r="T83" s="309"/>
      <c r="U83" s="328"/>
      <c r="V83" s="5"/>
      <c r="W83" s="5"/>
      <c r="X83" s="5"/>
      <c r="Y83" s="5"/>
      <c r="Z83" s="5"/>
      <c r="AA83" s="5"/>
    </row>
    <row r="84" spans="1:27" ht="14.25" customHeight="1">
      <c r="A84" s="309"/>
      <c r="B84" s="309" t="s">
        <v>670</v>
      </c>
      <c r="C84" s="309"/>
      <c r="D84" s="309"/>
      <c r="E84" s="309"/>
      <c r="F84" s="309"/>
      <c r="G84" s="309"/>
      <c r="H84" s="546"/>
      <c r="I84" s="546"/>
      <c r="J84" s="309"/>
      <c r="K84" s="309"/>
      <c r="L84" s="1020"/>
      <c r="M84" s="882">
        <f>0.8*M80+0.2*M82</f>
        <v>0.16221137595255636</v>
      </c>
      <c r="P84" s="325"/>
      <c r="Q84" s="326"/>
      <c r="R84" s="309"/>
      <c r="S84" s="309"/>
      <c r="T84" s="309"/>
      <c r="U84" s="328"/>
      <c r="V84" s="5"/>
      <c r="W84" s="5"/>
      <c r="X84" s="5"/>
      <c r="Y84" s="5"/>
      <c r="Z84" s="5"/>
      <c r="AA84" s="5"/>
    </row>
    <row r="85" spans="1:27" ht="12.75" customHeight="1">
      <c r="A85" s="5"/>
      <c r="B85" s="309"/>
      <c r="C85" s="5"/>
      <c r="D85" s="5"/>
      <c r="E85" s="5"/>
      <c r="F85" s="5"/>
      <c r="G85" s="5"/>
      <c r="H85" s="68"/>
      <c r="I85" s="68"/>
      <c r="J85" s="5"/>
      <c r="K85" s="5"/>
      <c r="L85" s="5" t="s">
        <v>618</v>
      </c>
      <c r="M85" s="61">
        <f>M73-M84</f>
        <v>3.7265258204138119E-2</v>
      </c>
      <c r="O85" s="325"/>
      <c r="P85" s="57"/>
      <c r="Q85" s="5"/>
      <c r="R85" s="5"/>
      <c r="S85" s="5"/>
      <c r="T85" s="5"/>
      <c r="U85" s="5"/>
      <c r="V85" s="5"/>
      <c r="W85" s="5"/>
      <c r="X85" s="5"/>
      <c r="Y85" s="5"/>
      <c r="Z85" s="5"/>
      <c r="AA85" s="5"/>
    </row>
    <row r="86" spans="1:27" ht="12.75" customHeight="1">
      <c r="A86" s="5"/>
      <c r="B86" s="5"/>
      <c r="C86" s="5"/>
      <c r="D86" s="5"/>
      <c r="E86" s="5"/>
      <c r="F86" s="5"/>
      <c r="G86" s="5"/>
      <c r="H86" s="306"/>
      <c r="I86" s="306"/>
      <c r="J86" s="5"/>
      <c r="K86" s="5"/>
      <c r="L86" s="5"/>
      <c r="M86" s="5" t="s">
        <v>564</v>
      </c>
      <c r="N86" s="5"/>
      <c r="O86" s="5"/>
      <c r="P86" s="57"/>
      <c r="Q86" s="5"/>
      <c r="R86" s="5"/>
      <c r="S86" s="5"/>
      <c r="T86" s="5"/>
      <c r="U86" s="5"/>
      <c r="V86" s="5"/>
      <c r="W86" s="5"/>
      <c r="X86" s="5"/>
      <c r="Y86" s="5"/>
      <c r="Z86" s="5"/>
      <c r="AA86" s="5"/>
    </row>
    <row r="87" spans="1:27" ht="12.75" customHeight="1">
      <c r="A87" s="5"/>
      <c r="B87" s="5"/>
      <c r="C87" s="5"/>
      <c r="D87" s="5"/>
      <c r="E87" s="5"/>
      <c r="F87" s="5"/>
      <c r="G87" s="5"/>
      <c r="H87" s="306"/>
      <c r="I87" s="306"/>
      <c r="K87" s="5" t="s">
        <v>671</v>
      </c>
      <c r="L87" s="5"/>
      <c r="M87" s="5"/>
      <c r="N87" s="5"/>
      <c r="O87" s="5"/>
      <c r="P87" s="57"/>
      <c r="Q87" s="5"/>
      <c r="R87" s="5"/>
      <c r="S87" s="5"/>
      <c r="T87" s="5"/>
      <c r="U87" s="5"/>
      <c r="V87" s="5"/>
      <c r="W87" s="5"/>
      <c r="X87" s="5"/>
      <c r="Y87" s="5"/>
      <c r="Z87" s="5"/>
      <c r="AA87" s="5"/>
    </row>
    <row r="88" spans="1:27" ht="12.75" customHeight="1">
      <c r="A88" s="5"/>
      <c r="B88" s="5"/>
      <c r="C88" s="5"/>
      <c r="D88" s="5"/>
      <c r="E88" s="5"/>
      <c r="F88" s="5"/>
      <c r="G88" s="5"/>
      <c r="H88" s="306"/>
      <c r="I88" s="306"/>
      <c r="J88" s="5"/>
      <c r="K88" s="5"/>
      <c r="L88" s="5"/>
      <c r="M88" s="5"/>
      <c r="N88" s="5"/>
      <c r="O88" s="5"/>
      <c r="P88" s="57"/>
      <c r="Q88" s="5"/>
      <c r="R88" s="5"/>
      <c r="S88" s="5"/>
      <c r="T88" s="5"/>
      <c r="U88" s="5"/>
      <c r="V88" s="5"/>
      <c r="W88" s="5"/>
      <c r="X88" s="5"/>
      <c r="Y88" s="5"/>
      <c r="Z88" s="5"/>
      <c r="AA88" s="5"/>
    </row>
    <row r="89" spans="1:27" ht="12.75" customHeight="1">
      <c r="A89" s="5"/>
      <c r="B89" s="5"/>
      <c r="C89" s="5"/>
      <c r="D89" s="5"/>
      <c r="E89" s="5"/>
      <c r="F89" s="5"/>
      <c r="G89" s="5"/>
      <c r="H89" s="306"/>
      <c r="I89" s="306"/>
      <c r="J89" s="5"/>
      <c r="K89" s="5"/>
      <c r="L89" s="5"/>
      <c r="M89" s="5"/>
      <c r="N89" s="5"/>
      <c r="O89" s="5"/>
      <c r="P89" s="57"/>
      <c r="Q89" s="5"/>
      <c r="R89" s="5"/>
      <c r="S89" s="5"/>
      <c r="T89" s="5"/>
      <c r="U89" s="5"/>
      <c r="V89" s="5"/>
      <c r="W89" s="5"/>
      <c r="X89" s="5"/>
      <c r="Y89" s="5"/>
      <c r="Z89" s="5"/>
      <c r="AA89" s="5"/>
    </row>
    <row r="90" spans="1:27" ht="12.75" customHeight="1">
      <c r="A90" s="5"/>
      <c r="B90" s="5"/>
      <c r="C90" s="5"/>
      <c r="D90" s="5"/>
      <c r="E90" s="5"/>
      <c r="F90" s="5"/>
      <c r="G90" s="5"/>
      <c r="H90" s="306"/>
      <c r="I90" s="306"/>
      <c r="J90" s="5"/>
      <c r="K90" s="5"/>
      <c r="L90" s="5"/>
      <c r="N90" s="882"/>
      <c r="O90" s="5"/>
      <c r="P90" s="57"/>
      <c r="Q90" s="5"/>
      <c r="R90" s="5"/>
      <c r="S90" s="5"/>
      <c r="T90" s="5"/>
      <c r="U90" s="5"/>
      <c r="V90" s="5"/>
      <c r="W90" s="5"/>
      <c r="X90" s="5"/>
      <c r="Y90" s="5"/>
      <c r="Z90" s="5"/>
      <c r="AA90" s="5"/>
    </row>
    <row r="91" spans="1:27" ht="12.75" customHeight="1">
      <c r="A91" s="5"/>
      <c r="B91" s="5"/>
      <c r="C91" s="5"/>
      <c r="D91" s="5"/>
      <c r="E91" s="5"/>
      <c r="F91" s="5"/>
      <c r="G91" s="5"/>
      <c r="H91" s="149"/>
      <c r="I91" s="1226"/>
      <c r="J91" s="5"/>
      <c r="K91" s="5"/>
      <c r="L91" s="5"/>
      <c r="M91" s="60"/>
      <c r="N91" s="882"/>
      <c r="O91" s="5"/>
      <c r="P91" s="57"/>
      <c r="Q91" s="5"/>
      <c r="R91" s="5"/>
      <c r="S91" s="5"/>
      <c r="T91" s="5"/>
      <c r="U91" s="5"/>
      <c r="V91" s="5"/>
      <c r="W91" s="5"/>
      <c r="X91" s="5"/>
      <c r="Y91" s="5"/>
      <c r="Z91" s="5"/>
      <c r="AA91" s="5"/>
    </row>
    <row r="92" spans="1:27" ht="12.75" customHeight="1">
      <c r="A92" s="5"/>
      <c r="B92" s="5"/>
      <c r="C92" s="5"/>
      <c r="D92" s="5"/>
      <c r="E92" s="5"/>
      <c r="F92" s="5"/>
      <c r="G92" s="5"/>
      <c r="H92" s="306"/>
      <c r="I92" s="306"/>
      <c r="J92" s="5"/>
      <c r="K92" s="5"/>
      <c r="L92" s="5"/>
      <c r="M92" s="5"/>
      <c r="N92" s="5"/>
      <c r="O92" s="5"/>
      <c r="P92" s="57"/>
      <c r="Q92" s="5"/>
      <c r="R92" s="5"/>
      <c r="S92" s="5"/>
      <c r="T92" s="5"/>
      <c r="U92" s="5"/>
      <c r="V92" s="5"/>
      <c r="W92" s="5"/>
      <c r="X92" s="5"/>
      <c r="Y92" s="5"/>
      <c r="Z92" s="5"/>
      <c r="AA92" s="5"/>
    </row>
    <row r="93" spans="1:27" ht="12.75" customHeight="1">
      <c r="A93" s="5"/>
      <c r="B93" s="5"/>
      <c r="C93" s="5"/>
      <c r="D93" s="5"/>
      <c r="E93" s="5"/>
      <c r="F93" s="5"/>
      <c r="G93" s="5"/>
      <c r="H93" s="306"/>
      <c r="I93" s="306"/>
      <c r="J93" s="5"/>
      <c r="K93" s="5"/>
      <c r="L93" s="5"/>
      <c r="M93" s="5"/>
      <c r="N93" s="5"/>
      <c r="O93" s="5"/>
      <c r="P93" s="57"/>
      <c r="Q93" s="5"/>
      <c r="R93" s="5"/>
      <c r="S93" s="5"/>
      <c r="T93" s="5"/>
      <c r="U93" s="5"/>
      <c r="V93" s="5"/>
      <c r="W93" s="5"/>
      <c r="X93" s="5"/>
      <c r="Y93" s="5"/>
      <c r="Z93" s="5"/>
      <c r="AA93" s="5"/>
    </row>
    <row r="94" spans="1:27" ht="12.75" customHeight="1">
      <c r="A94" s="5"/>
      <c r="B94" s="5"/>
      <c r="C94" s="5"/>
      <c r="D94" s="5"/>
      <c r="E94" s="5"/>
      <c r="F94" s="5"/>
      <c r="G94" s="5"/>
      <c r="H94" s="306"/>
      <c r="I94" s="306"/>
      <c r="J94" s="5"/>
      <c r="K94" s="5"/>
      <c r="L94" s="5"/>
      <c r="M94" s="5"/>
      <c r="N94" s="5"/>
      <c r="O94" s="5"/>
      <c r="P94" s="57"/>
      <c r="Q94" s="5"/>
      <c r="R94" s="5"/>
      <c r="S94" s="5"/>
      <c r="T94" s="5"/>
      <c r="U94" s="5"/>
      <c r="V94" s="5"/>
      <c r="W94" s="5"/>
      <c r="X94" s="5"/>
      <c r="Y94" s="5"/>
      <c r="Z94" s="5"/>
      <c r="AA94" s="5"/>
    </row>
    <row r="95" spans="1:27" ht="12.75" customHeight="1">
      <c r="A95" s="5"/>
      <c r="B95" s="5"/>
      <c r="C95" s="5"/>
      <c r="D95" s="5"/>
      <c r="E95" s="5"/>
      <c r="F95" s="5"/>
      <c r="G95" s="5"/>
      <c r="H95" s="306"/>
      <c r="I95" s="306"/>
      <c r="J95" s="5"/>
      <c r="K95" s="5"/>
      <c r="L95" s="5"/>
      <c r="M95" s="5"/>
      <c r="N95" s="5"/>
      <c r="O95" s="5"/>
      <c r="P95" s="57"/>
      <c r="Q95" s="5"/>
      <c r="R95" s="5"/>
      <c r="S95" s="5"/>
      <c r="T95" s="5"/>
      <c r="U95" s="5"/>
      <c r="V95" s="5"/>
      <c r="W95" s="5"/>
      <c r="X95" s="5"/>
      <c r="Y95" s="5"/>
      <c r="Z95" s="5"/>
      <c r="AA95" s="5"/>
    </row>
    <row r="96" spans="1:27" ht="12.75" customHeight="1">
      <c r="A96" s="5"/>
      <c r="B96" s="5"/>
      <c r="C96" s="5"/>
      <c r="D96" s="5"/>
      <c r="E96" s="5"/>
      <c r="F96" s="5"/>
      <c r="G96" s="5"/>
      <c r="H96" s="306"/>
      <c r="I96" s="306"/>
      <c r="J96" s="5"/>
      <c r="K96" s="5"/>
      <c r="L96" s="5"/>
      <c r="M96" s="5"/>
      <c r="N96" s="5"/>
      <c r="O96" s="5"/>
      <c r="P96" s="57"/>
      <c r="Q96" s="5"/>
      <c r="R96" s="5"/>
      <c r="S96" s="5"/>
      <c r="T96" s="5"/>
      <c r="U96" s="5"/>
      <c r="V96" s="5"/>
      <c r="W96" s="5"/>
      <c r="X96" s="5"/>
      <c r="Y96" s="5"/>
      <c r="Z96" s="5"/>
      <c r="AA96" s="5"/>
    </row>
    <row r="97" spans="1:27" ht="12.75" customHeight="1">
      <c r="A97" s="5"/>
      <c r="B97" s="5"/>
      <c r="C97" s="5"/>
      <c r="D97" s="5"/>
      <c r="E97" s="5"/>
      <c r="F97" s="5"/>
      <c r="G97" s="5"/>
      <c r="H97" s="306"/>
      <c r="I97" s="306"/>
      <c r="J97" s="5"/>
      <c r="K97" s="5"/>
      <c r="L97" s="5"/>
      <c r="M97" s="5"/>
      <c r="N97" s="5"/>
      <c r="O97" s="5"/>
      <c r="P97" s="57"/>
      <c r="Q97" s="5"/>
      <c r="R97" s="5"/>
      <c r="S97" s="5"/>
      <c r="T97" s="5"/>
      <c r="U97" s="5"/>
      <c r="V97" s="5"/>
      <c r="W97" s="5"/>
      <c r="X97" s="5"/>
      <c r="Y97" s="5"/>
      <c r="Z97" s="5"/>
      <c r="AA97" s="5"/>
    </row>
    <row r="98" spans="1:27" ht="12.75" customHeight="1">
      <c r="A98" s="5"/>
      <c r="B98" s="5"/>
      <c r="C98" s="5"/>
      <c r="D98" s="5"/>
      <c r="E98" s="5"/>
      <c r="F98" s="5"/>
      <c r="G98" s="5"/>
      <c r="H98" s="306"/>
      <c r="I98" s="306"/>
      <c r="J98" s="5"/>
      <c r="K98" s="5"/>
      <c r="L98" s="5"/>
      <c r="M98" s="5"/>
      <c r="N98" s="5"/>
      <c r="O98" s="5"/>
      <c r="P98" s="57"/>
      <c r="Q98" s="5"/>
      <c r="R98" s="5"/>
      <c r="S98" s="5"/>
      <c r="T98" s="5"/>
      <c r="U98" s="5"/>
      <c r="V98" s="5"/>
      <c r="W98" s="5"/>
      <c r="X98" s="5"/>
      <c r="Y98" s="5"/>
      <c r="Z98" s="5"/>
      <c r="AA98" s="5"/>
    </row>
    <row r="99" spans="1:27" ht="12.75" customHeight="1">
      <c r="A99" s="5"/>
      <c r="B99" s="5"/>
      <c r="C99" s="5"/>
      <c r="D99" s="5"/>
      <c r="E99" s="5"/>
      <c r="F99" s="5"/>
      <c r="G99" s="5"/>
      <c r="H99" s="306"/>
      <c r="I99" s="306"/>
      <c r="J99" s="5"/>
      <c r="K99" s="5"/>
      <c r="L99" s="5"/>
      <c r="M99" s="5"/>
      <c r="N99" s="5"/>
      <c r="O99" s="5"/>
      <c r="P99" s="57"/>
      <c r="Q99" s="5"/>
      <c r="R99" s="5"/>
      <c r="S99" s="5"/>
      <c r="T99" s="5"/>
      <c r="U99" s="5"/>
      <c r="V99" s="5"/>
      <c r="W99" s="5"/>
      <c r="X99" s="5"/>
      <c r="Y99" s="5"/>
      <c r="Z99" s="5"/>
      <c r="AA99" s="5"/>
    </row>
    <row r="100" spans="1:27" ht="12.75" customHeight="1">
      <c r="A100" s="5"/>
      <c r="B100" s="5"/>
      <c r="C100" s="5"/>
      <c r="D100" s="5"/>
      <c r="E100" s="5"/>
      <c r="F100" s="5"/>
      <c r="G100" s="5"/>
      <c r="H100" s="306"/>
      <c r="I100" s="306"/>
      <c r="J100" s="5"/>
      <c r="K100" s="5"/>
      <c r="L100" s="5"/>
      <c r="M100" s="5"/>
      <c r="N100" s="5"/>
      <c r="O100" s="5"/>
      <c r="P100" s="57"/>
      <c r="Q100" s="5"/>
      <c r="R100" s="5"/>
      <c r="S100" s="5"/>
      <c r="T100" s="5"/>
      <c r="U100" s="5"/>
      <c r="V100" s="5"/>
      <c r="W100" s="5"/>
      <c r="X100" s="5"/>
      <c r="Y100" s="5"/>
      <c r="Z100" s="5"/>
      <c r="AA100" s="5"/>
    </row>
    <row r="101" spans="1:27" ht="12.75" customHeight="1">
      <c r="A101" s="5"/>
      <c r="B101" s="5"/>
      <c r="C101" s="5"/>
      <c r="D101" s="5"/>
      <c r="E101" s="5"/>
      <c r="F101" s="5"/>
      <c r="G101" s="5"/>
      <c r="H101" s="306"/>
      <c r="I101" s="306"/>
      <c r="J101" s="5"/>
      <c r="K101" s="5"/>
      <c r="L101" s="5"/>
      <c r="M101" s="5"/>
      <c r="N101" s="5"/>
      <c r="O101" s="5"/>
      <c r="P101" s="57"/>
      <c r="Q101" s="5"/>
      <c r="R101" s="5"/>
      <c r="S101" s="5"/>
      <c r="T101" s="5"/>
      <c r="U101" s="5"/>
      <c r="V101" s="5"/>
      <c r="W101" s="5"/>
      <c r="X101" s="5"/>
      <c r="Y101" s="5"/>
      <c r="Z101" s="5"/>
      <c r="AA101" s="5"/>
    </row>
    <row r="102" spans="1:27" ht="12.75" customHeight="1">
      <c r="A102" s="5"/>
      <c r="B102" s="5"/>
      <c r="C102" s="5"/>
      <c r="D102" s="5"/>
      <c r="E102" s="5"/>
      <c r="F102" s="5"/>
      <c r="G102" s="5"/>
      <c r="H102" s="306"/>
      <c r="I102" s="306"/>
      <c r="J102" s="5"/>
      <c r="K102" s="5"/>
      <c r="L102" s="5"/>
      <c r="M102" s="5"/>
      <c r="N102" s="5"/>
      <c r="O102" s="5"/>
      <c r="P102" s="57"/>
      <c r="Q102" s="5"/>
      <c r="R102" s="5"/>
      <c r="S102" s="5"/>
      <c r="T102" s="5"/>
      <c r="U102" s="5"/>
      <c r="V102" s="5"/>
      <c r="W102" s="5"/>
      <c r="X102" s="5"/>
      <c r="Y102" s="5"/>
      <c r="Z102" s="5"/>
      <c r="AA102" s="5"/>
    </row>
    <row r="103" spans="1:27" ht="12.75" customHeight="1">
      <c r="A103" s="5"/>
      <c r="B103" s="5"/>
      <c r="C103" s="5"/>
      <c r="D103" s="5"/>
      <c r="E103" s="5"/>
      <c r="F103" s="5"/>
      <c r="G103" s="5"/>
      <c r="H103" s="306"/>
      <c r="I103" s="306"/>
      <c r="J103" s="5"/>
      <c r="K103" s="5"/>
      <c r="L103" s="5"/>
      <c r="M103" s="5"/>
      <c r="N103" s="5"/>
      <c r="O103" s="5"/>
      <c r="P103" s="57"/>
      <c r="Q103" s="5"/>
      <c r="R103" s="5"/>
      <c r="S103" s="5"/>
      <c r="T103" s="5"/>
      <c r="U103" s="5"/>
      <c r="V103" s="5"/>
      <c r="W103" s="5"/>
      <c r="X103" s="5"/>
      <c r="Y103" s="5"/>
      <c r="Z103" s="5"/>
      <c r="AA103" s="5"/>
    </row>
    <row r="104" spans="1:27" ht="12.75" customHeight="1">
      <c r="A104" s="5"/>
      <c r="B104" s="5"/>
      <c r="C104" s="5"/>
      <c r="D104" s="5"/>
      <c r="E104" s="5"/>
      <c r="F104" s="5"/>
      <c r="G104" s="5"/>
      <c r="H104" s="306"/>
      <c r="I104" s="306"/>
      <c r="J104" s="5"/>
      <c r="K104" s="5"/>
      <c r="L104" s="5"/>
      <c r="M104" s="5"/>
      <c r="N104" s="5"/>
      <c r="O104" s="5"/>
      <c r="P104" s="57"/>
      <c r="Q104" s="5"/>
      <c r="R104" s="5"/>
      <c r="S104" s="5"/>
      <c r="T104" s="5"/>
      <c r="U104" s="5"/>
      <c r="V104" s="5"/>
      <c r="W104" s="5"/>
      <c r="X104" s="5"/>
      <c r="Y104" s="5"/>
      <c r="Z104" s="5"/>
      <c r="AA104" s="5"/>
    </row>
    <row r="105" spans="1:27" ht="12.75" customHeight="1">
      <c r="A105" s="5"/>
      <c r="B105" s="5"/>
      <c r="C105" s="5"/>
      <c r="D105" s="5"/>
      <c r="E105" s="5"/>
      <c r="F105" s="5"/>
      <c r="G105" s="5"/>
      <c r="H105" s="306"/>
      <c r="I105" s="306"/>
      <c r="J105" s="5"/>
      <c r="K105" s="5"/>
      <c r="L105" s="5"/>
      <c r="M105" s="5"/>
      <c r="N105" s="5"/>
      <c r="O105" s="5"/>
      <c r="P105" s="57"/>
      <c r="Q105" s="5"/>
      <c r="R105" s="5"/>
      <c r="S105" s="5"/>
      <c r="T105" s="5"/>
      <c r="U105" s="5"/>
      <c r="V105" s="5"/>
      <c r="W105" s="5"/>
      <c r="X105" s="5"/>
      <c r="Y105" s="5"/>
      <c r="Z105" s="5"/>
      <c r="AA105" s="5"/>
    </row>
    <row r="106" spans="1:27" ht="12.75" customHeight="1">
      <c r="A106" s="5"/>
      <c r="B106" s="5"/>
      <c r="C106" s="5"/>
      <c r="D106" s="5"/>
      <c r="E106" s="5"/>
      <c r="F106" s="5"/>
      <c r="G106" s="5"/>
      <c r="H106" s="306"/>
      <c r="I106" s="306"/>
      <c r="J106" s="5"/>
      <c r="K106" s="5"/>
      <c r="L106" s="5"/>
      <c r="M106" s="5"/>
      <c r="N106" s="5"/>
      <c r="O106" s="5"/>
      <c r="P106" s="57"/>
      <c r="Q106" s="5"/>
      <c r="R106" s="5"/>
      <c r="S106" s="5"/>
      <c r="T106" s="5"/>
      <c r="U106" s="5"/>
      <c r="V106" s="5"/>
      <c r="W106" s="5"/>
      <c r="X106" s="5"/>
      <c r="Y106" s="5"/>
      <c r="Z106" s="5"/>
      <c r="AA106" s="5"/>
    </row>
    <row r="107" spans="1:27" ht="12.75" customHeight="1">
      <c r="A107" s="5"/>
      <c r="B107" s="5"/>
      <c r="C107" s="5"/>
      <c r="D107" s="5"/>
      <c r="E107" s="5"/>
      <c r="F107" s="5"/>
      <c r="G107" s="5"/>
      <c r="H107" s="306"/>
      <c r="I107" s="306"/>
      <c r="J107" s="5"/>
      <c r="K107" s="5"/>
      <c r="L107" s="5"/>
      <c r="M107" s="5"/>
      <c r="N107" s="5"/>
      <c r="O107" s="5"/>
      <c r="P107" s="57"/>
      <c r="Q107" s="5"/>
      <c r="R107" s="5"/>
      <c r="S107" s="5"/>
      <c r="T107" s="5"/>
      <c r="U107" s="5"/>
      <c r="V107" s="5"/>
      <c r="W107" s="5"/>
      <c r="X107" s="5"/>
      <c r="Y107" s="5"/>
      <c r="Z107" s="5"/>
      <c r="AA107" s="5"/>
    </row>
    <row r="108" spans="1:27" ht="12.75" customHeight="1">
      <c r="A108" s="5"/>
      <c r="B108" s="5"/>
      <c r="C108" s="5"/>
      <c r="D108" s="5"/>
      <c r="E108" s="5"/>
      <c r="F108" s="5"/>
      <c r="G108" s="5"/>
      <c r="H108" s="306"/>
      <c r="I108" s="306"/>
      <c r="J108" s="5"/>
      <c r="K108" s="5"/>
      <c r="L108" s="5"/>
      <c r="M108" s="5"/>
      <c r="N108" s="5"/>
      <c r="O108" s="5"/>
      <c r="P108" s="57"/>
      <c r="Q108" s="5"/>
      <c r="R108" s="5"/>
      <c r="S108" s="5"/>
      <c r="T108" s="5"/>
      <c r="U108" s="5"/>
      <c r="V108" s="5"/>
      <c r="W108" s="5"/>
      <c r="X108" s="5"/>
      <c r="Y108" s="5"/>
      <c r="Z108" s="5"/>
      <c r="AA108" s="5"/>
    </row>
    <row r="109" spans="1:27" ht="12.75" customHeight="1">
      <c r="A109" s="5"/>
      <c r="B109" s="5"/>
      <c r="C109" s="5"/>
      <c r="D109" s="5"/>
      <c r="E109" s="5"/>
      <c r="F109" s="5"/>
      <c r="G109" s="5"/>
      <c r="H109" s="306"/>
      <c r="I109" s="306"/>
      <c r="J109" s="5"/>
      <c r="K109" s="5"/>
      <c r="L109" s="5"/>
      <c r="M109" s="5"/>
      <c r="N109" s="5"/>
      <c r="O109" s="5"/>
      <c r="P109" s="57"/>
      <c r="Q109" s="5"/>
      <c r="R109" s="5"/>
      <c r="S109" s="5"/>
      <c r="T109" s="5"/>
      <c r="U109" s="5"/>
      <c r="V109" s="5"/>
      <c r="W109" s="5"/>
      <c r="X109" s="5"/>
      <c r="Y109" s="5"/>
      <c r="Z109" s="5"/>
      <c r="AA109" s="5"/>
    </row>
    <row r="110" spans="1:27" ht="12.75" customHeight="1">
      <c r="A110" s="5"/>
      <c r="B110" s="5"/>
      <c r="C110" s="5"/>
      <c r="D110" s="5"/>
      <c r="E110" s="5"/>
      <c r="F110" s="5"/>
      <c r="G110" s="5"/>
      <c r="H110" s="306"/>
      <c r="I110" s="306"/>
      <c r="J110" s="5"/>
      <c r="K110" s="5"/>
      <c r="L110" s="5"/>
      <c r="M110" s="5"/>
      <c r="N110" s="5"/>
      <c r="O110" s="5"/>
      <c r="P110" s="57"/>
      <c r="Q110" s="5"/>
      <c r="R110" s="5"/>
      <c r="S110" s="5"/>
      <c r="T110" s="5"/>
      <c r="U110" s="5"/>
      <c r="V110" s="5"/>
      <c r="W110" s="5"/>
      <c r="X110" s="5"/>
      <c r="Y110" s="5"/>
      <c r="Z110" s="5"/>
      <c r="AA110" s="5"/>
    </row>
    <row r="111" spans="1:27" ht="12.75" customHeight="1">
      <c r="A111" s="5"/>
      <c r="B111" s="5"/>
      <c r="C111" s="5"/>
      <c r="D111" s="5"/>
      <c r="E111" s="5"/>
      <c r="F111" s="5"/>
      <c r="G111" s="5"/>
      <c r="H111" s="306"/>
      <c r="I111" s="306"/>
      <c r="J111" s="5"/>
      <c r="K111" s="5"/>
      <c r="L111" s="5"/>
      <c r="M111" s="5"/>
      <c r="N111" s="5"/>
      <c r="O111" s="5"/>
      <c r="P111" s="57"/>
      <c r="Q111" s="5"/>
      <c r="R111" s="5"/>
      <c r="S111" s="5"/>
      <c r="T111" s="5"/>
      <c r="U111" s="5"/>
      <c r="V111" s="5"/>
      <c r="W111" s="5"/>
      <c r="X111" s="5"/>
      <c r="Y111" s="5"/>
      <c r="Z111" s="5"/>
      <c r="AA111" s="5"/>
    </row>
    <row r="112" spans="1:27" ht="12.75" customHeight="1">
      <c r="A112" s="5"/>
      <c r="B112" s="5"/>
      <c r="C112" s="5"/>
      <c r="D112" s="5"/>
      <c r="E112" s="5"/>
      <c r="F112" s="5"/>
      <c r="G112" s="5"/>
      <c r="H112" s="306"/>
      <c r="I112" s="306"/>
      <c r="J112" s="5"/>
      <c r="K112" s="5"/>
      <c r="L112" s="5"/>
      <c r="M112" s="5"/>
      <c r="N112" s="5"/>
      <c r="O112" s="5"/>
      <c r="P112" s="57"/>
      <c r="Q112" s="5"/>
      <c r="R112" s="5"/>
      <c r="S112" s="5"/>
      <c r="T112" s="5"/>
      <c r="U112" s="5"/>
      <c r="V112" s="5"/>
      <c r="W112" s="5"/>
      <c r="X112" s="5"/>
      <c r="Y112" s="5"/>
      <c r="Z112" s="5"/>
      <c r="AA112" s="5"/>
    </row>
    <row r="113" spans="1:27" ht="12.75" customHeight="1">
      <c r="A113" s="5"/>
      <c r="B113" s="5"/>
      <c r="C113" s="5"/>
      <c r="D113" s="5"/>
      <c r="E113" s="5"/>
      <c r="F113" s="5"/>
      <c r="G113" s="5"/>
      <c r="H113" s="306"/>
      <c r="I113" s="306"/>
      <c r="J113" s="5"/>
      <c r="K113" s="5"/>
      <c r="L113" s="5"/>
      <c r="M113" s="5"/>
      <c r="N113" s="5"/>
      <c r="O113" s="5"/>
      <c r="P113" s="57"/>
      <c r="Q113" s="5"/>
      <c r="R113" s="5"/>
      <c r="S113" s="5"/>
      <c r="T113" s="5"/>
      <c r="U113" s="5"/>
      <c r="V113" s="5"/>
      <c r="W113" s="5"/>
      <c r="X113" s="5"/>
      <c r="Y113" s="5"/>
      <c r="Z113" s="5"/>
      <c r="AA113" s="5"/>
    </row>
    <row r="114" spans="1:27" ht="12.75" customHeight="1">
      <c r="A114" s="5"/>
      <c r="B114" s="5"/>
      <c r="C114" s="5"/>
      <c r="D114" s="5"/>
      <c r="E114" s="5"/>
      <c r="F114" s="5"/>
      <c r="G114" s="5"/>
      <c r="H114" s="306"/>
      <c r="I114" s="306"/>
      <c r="J114" s="5"/>
      <c r="K114" s="5"/>
      <c r="L114" s="5"/>
      <c r="M114" s="5"/>
      <c r="N114" s="5"/>
      <c r="O114" s="5"/>
      <c r="P114" s="57"/>
      <c r="Q114" s="5"/>
      <c r="R114" s="5"/>
      <c r="S114" s="5"/>
      <c r="T114" s="5"/>
      <c r="U114" s="5"/>
      <c r="V114" s="5"/>
      <c r="W114" s="5"/>
      <c r="X114" s="5"/>
      <c r="Y114" s="5"/>
      <c r="Z114" s="5"/>
      <c r="AA114" s="5"/>
    </row>
    <row r="115" spans="1:27" ht="12.75" customHeight="1">
      <c r="A115" s="5"/>
      <c r="B115" s="5"/>
      <c r="C115" s="5"/>
      <c r="D115" s="5"/>
      <c r="E115" s="5"/>
      <c r="F115" s="5"/>
      <c r="G115" s="5"/>
      <c r="H115" s="306"/>
      <c r="I115" s="306"/>
      <c r="J115" s="5"/>
      <c r="K115" s="5"/>
      <c r="L115" s="5"/>
      <c r="M115" s="5"/>
      <c r="N115" s="5"/>
      <c r="O115" s="5"/>
      <c r="P115" s="57"/>
      <c r="Q115" s="5"/>
      <c r="R115" s="5"/>
      <c r="S115" s="5"/>
      <c r="T115" s="5"/>
      <c r="U115" s="5"/>
      <c r="V115" s="5"/>
      <c r="W115" s="5"/>
      <c r="X115" s="5"/>
      <c r="Y115" s="5"/>
      <c r="Z115" s="5"/>
      <c r="AA115" s="5"/>
    </row>
    <row r="116" spans="1:27" ht="12.75" customHeight="1">
      <c r="A116" s="5"/>
      <c r="B116" s="5"/>
      <c r="C116" s="5"/>
      <c r="D116" s="5"/>
      <c r="E116" s="5"/>
      <c r="F116" s="5"/>
      <c r="G116" s="5"/>
      <c r="H116" s="306"/>
      <c r="I116" s="306"/>
      <c r="J116" s="5"/>
      <c r="K116" s="5"/>
      <c r="L116" s="5"/>
      <c r="M116" s="5"/>
      <c r="N116" s="5"/>
      <c r="O116" s="5"/>
      <c r="P116" s="57"/>
      <c r="Q116" s="5"/>
      <c r="R116" s="5"/>
      <c r="S116" s="5"/>
      <c r="T116" s="5"/>
      <c r="U116" s="5"/>
      <c r="V116" s="5"/>
      <c r="W116" s="5"/>
      <c r="X116" s="5"/>
      <c r="Y116" s="5"/>
      <c r="Z116" s="5"/>
      <c r="AA116" s="5"/>
    </row>
    <row r="117" spans="1:27" ht="12.75" customHeight="1">
      <c r="A117" s="5"/>
      <c r="B117" s="5"/>
      <c r="C117" s="5"/>
      <c r="D117" s="5"/>
      <c r="E117" s="5"/>
      <c r="F117" s="5"/>
      <c r="G117" s="5"/>
      <c r="H117" s="306"/>
      <c r="I117" s="306"/>
      <c r="J117" s="5"/>
      <c r="K117" s="5"/>
      <c r="L117" s="5"/>
      <c r="M117" s="5"/>
      <c r="N117" s="5"/>
      <c r="O117" s="5"/>
      <c r="P117" s="57"/>
      <c r="Q117" s="5"/>
      <c r="R117" s="5"/>
      <c r="S117" s="5"/>
      <c r="T117" s="5"/>
      <c r="U117" s="5"/>
      <c r="V117" s="5"/>
      <c r="W117" s="5"/>
      <c r="X117" s="5"/>
      <c r="Y117" s="5"/>
      <c r="Z117" s="5"/>
      <c r="AA117" s="5"/>
    </row>
    <row r="118" spans="1:27" ht="12.75" customHeight="1">
      <c r="A118" s="5"/>
      <c r="B118" s="5"/>
      <c r="C118" s="5"/>
      <c r="D118" s="5"/>
      <c r="E118" s="5"/>
      <c r="F118" s="5"/>
      <c r="G118" s="5"/>
      <c r="H118" s="306"/>
      <c r="I118" s="306"/>
      <c r="J118" s="5"/>
      <c r="K118" s="5"/>
      <c r="L118" s="5"/>
      <c r="M118" s="5"/>
      <c r="N118" s="5"/>
      <c r="O118" s="5"/>
      <c r="P118" s="57"/>
      <c r="Q118" s="5"/>
      <c r="R118" s="5"/>
      <c r="S118" s="5"/>
      <c r="T118" s="5"/>
      <c r="U118" s="5"/>
      <c r="V118" s="5"/>
      <c r="W118" s="5"/>
      <c r="X118" s="5"/>
      <c r="Y118" s="5"/>
      <c r="Z118" s="5"/>
      <c r="AA118" s="5"/>
    </row>
    <row r="119" spans="1:27" ht="12.75" customHeight="1">
      <c r="A119" s="5"/>
      <c r="B119" s="5"/>
      <c r="C119" s="5"/>
      <c r="D119" s="5"/>
      <c r="E119" s="5"/>
      <c r="F119" s="5"/>
      <c r="G119" s="5"/>
      <c r="H119" s="306"/>
      <c r="I119" s="306"/>
      <c r="J119" s="5"/>
      <c r="K119" s="5"/>
      <c r="L119" s="5"/>
      <c r="M119" s="5"/>
      <c r="N119" s="5"/>
      <c r="O119" s="5"/>
      <c r="P119" s="57"/>
      <c r="Q119" s="5"/>
      <c r="R119" s="5"/>
      <c r="S119" s="5"/>
      <c r="T119" s="5"/>
      <c r="U119" s="5"/>
      <c r="V119" s="5"/>
      <c r="W119" s="5"/>
      <c r="X119" s="5"/>
      <c r="Y119" s="5"/>
      <c r="Z119" s="5"/>
      <c r="AA119" s="5"/>
    </row>
    <row r="120" spans="1:27" ht="12.75" customHeight="1">
      <c r="A120" s="5"/>
      <c r="B120" s="5"/>
      <c r="C120" s="5"/>
      <c r="D120" s="5"/>
      <c r="E120" s="5"/>
      <c r="F120" s="5"/>
      <c r="G120" s="5"/>
      <c r="H120" s="306"/>
      <c r="I120" s="306"/>
      <c r="J120" s="5"/>
      <c r="K120" s="5"/>
      <c r="L120" s="5"/>
      <c r="M120" s="5"/>
      <c r="N120" s="5"/>
      <c r="O120" s="5"/>
      <c r="P120" s="57"/>
      <c r="Q120" s="5"/>
      <c r="R120" s="5"/>
      <c r="S120" s="5"/>
      <c r="T120" s="5"/>
      <c r="U120" s="5"/>
      <c r="V120" s="5"/>
      <c r="W120" s="5"/>
      <c r="X120" s="5"/>
      <c r="Y120" s="5"/>
      <c r="Z120" s="5"/>
      <c r="AA120" s="5"/>
    </row>
    <row r="121" spans="1:27" ht="12.75" customHeight="1">
      <c r="A121" s="5"/>
      <c r="B121" s="5"/>
      <c r="C121" s="5"/>
      <c r="D121" s="5"/>
      <c r="E121" s="5"/>
      <c r="F121" s="5"/>
      <c r="G121" s="5"/>
      <c r="H121" s="306"/>
      <c r="I121" s="306"/>
      <c r="J121" s="5"/>
      <c r="K121" s="5"/>
      <c r="L121" s="5"/>
      <c r="M121" s="5"/>
      <c r="N121" s="5"/>
      <c r="O121" s="5"/>
      <c r="P121" s="57"/>
      <c r="Q121" s="5"/>
      <c r="R121" s="5"/>
      <c r="S121" s="5"/>
      <c r="T121" s="5"/>
      <c r="U121" s="5"/>
      <c r="V121" s="5"/>
      <c r="W121" s="5"/>
      <c r="X121" s="5"/>
      <c r="Y121" s="5"/>
      <c r="Z121" s="5"/>
      <c r="AA121" s="5"/>
    </row>
    <row r="122" spans="1:27" ht="12.75" customHeight="1">
      <c r="A122" s="5"/>
      <c r="B122" s="5"/>
      <c r="C122" s="5"/>
      <c r="D122" s="5"/>
      <c r="E122" s="5"/>
      <c r="F122" s="5"/>
      <c r="G122" s="5"/>
      <c r="H122" s="306"/>
      <c r="I122" s="306"/>
      <c r="J122" s="5"/>
      <c r="K122" s="5"/>
      <c r="L122" s="5"/>
      <c r="M122" s="5"/>
      <c r="N122" s="5"/>
      <c r="O122" s="5"/>
      <c r="P122" s="57"/>
      <c r="Q122" s="5"/>
      <c r="R122" s="5"/>
      <c r="S122" s="5"/>
      <c r="T122" s="5"/>
      <c r="U122" s="5"/>
      <c r="V122" s="5"/>
      <c r="W122" s="5"/>
      <c r="X122" s="5"/>
      <c r="Y122" s="5"/>
      <c r="Z122" s="5"/>
      <c r="AA122" s="5"/>
    </row>
    <row r="123" spans="1:27" ht="12.75" customHeight="1">
      <c r="A123" s="5"/>
      <c r="B123" s="5"/>
      <c r="C123" s="5"/>
      <c r="D123" s="5"/>
      <c r="E123" s="5"/>
      <c r="F123" s="5"/>
      <c r="G123" s="5"/>
      <c r="H123" s="306"/>
      <c r="I123" s="306"/>
      <c r="J123" s="5"/>
      <c r="K123" s="5"/>
      <c r="L123" s="5"/>
      <c r="M123" s="5"/>
      <c r="N123" s="5"/>
      <c r="O123" s="5"/>
      <c r="P123" s="57"/>
      <c r="Q123" s="5"/>
      <c r="R123" s="5"/>
      <c r="S123" s="5"/>
      <c r="T123" s="5"/>
      <c r="U123" s="5"/>
      <c r="V123" s="5"/>
      <c r="W123" s="5"/>
      <c r="X123" s="5"/>
      <c r="Y123" s="5"/>
      <c r="Z123" s="5"/>
      <c r="AA123" s="5"/>
    </row>
    <row r="124" spans="1:27" ht="12.75" customHeight="1">
      <c r="A124" s="5"/>
      <c r="B124" s="5"/>
      <c r="C124" s="5"/>
      <c r="D124" s="5"/>
      <c r="E124" s="5"/>
      <c r="F124" s="5"/>
      <c r="G124" s="5"/>
      <c r="H124" s="306"/>
      <c r="I124" s="306"/>
      <c r="J124" s="5"/>
      <c r="K124" s="5"/>
      <c r="L124" s="5"/>
      <c r="M124" s="5"/>
      <c r="N124" s="5"/>
      <c r="O124" s="5"/>
      <c r="P124" s="57"/>
      <c r="Q124" s="5"/>
      <c r="R124" s="5"/>
      <c r="S124" s="5"/>
      <c r="T124" s="5"/>
      <c r="U124" s="5"/>
      <c r="V124" s="5"/>
      <c r="W124" s="5"/>
      <c r="X124" s="5"/>
      <c r="Y124" s="5"/>
      <c r="Z124" s="5"/>
      <c r="AA124" s="5"/>
    </row>
    <row r="125" spans="1:27" ht="12.75" customHeight="1">
      <c r="A125" s="5"/>
      <c r="B125" s="5"/>
      <c r="C125" s="5"/>
      <c r="D125" s="5"/>
      <c r="E125" s="5"/>
      <c r="F125" s="5"/>
      <c r="G125" s="5"/>
      <c r="H125" s="306"/>
      <c r="I125" s="306"/>
      <c r="J125" s="5"/>
      <c r="K125" s="5"/>
      <c r="L125" s="5"/>
      <c r="M125" s="5"/>
      <c r="N125" s="5"/>
      <c r="O125" s="5"/>
      <c r="P125" s="57"/>
      <c r="Q125" s="5"/>
      <c r="R125" s="5"/>
      <c r="S125" s="5"/>
      <c r="T125" s="5"/>
      <c r="U125" s="5"/>
      <c r="V125" s="5"/>
      <c r="W125" s="5"/>
      <c r="X125" s="5"/>
      <c r="Y125" s="5"/>
      <c r="Z125" s="5"/>
      <c r="AA125" s="5"/>
    </row>
    <row r="126" spans="1:27" ht="12.75" customHeight="1">
      <c r="A126" s="5"/>
      <c r="B126" s="5"/>
      <c r="C126" s="5"/>
      <c r="D126" s="5"/>
      <c r="E126" s="5"/>
      <c r="F126" s="5"/>
      <c r="G126" s="5"/>
      <c r="H126" s="306"/>
      <c r="I126" s="306"/>
      <c r="J126" s="5"/>
      <c r="K126" s="5"/>
      <c r="L126" s="5"/>
      <c r="M126" s="5"/>
      <c r="N126" s="5"/>
      <c r="O126" s="5"/>
      <c r="P126" s="57"/>
      <c r="Q126" s="5"/>
      <c r="R126" s="5"/>
      <c r="S126" s="5"/>
      <c r="T126" s="5"/>
      <c r="U126" s="5"/>
      <c r="V126" s="5"/>
      <c r="W126" s="5"/>
      <c r="X126" s="5"/>
      <c r="Y126" s="5"/>
      <c r="Z126" s="5"/>
      <c r="AA126" s="5"/>
    </row>
    <row r="127" spans="1:27" ht="12.75" customHeight="1">
      <c r="A127" s="5"/>
      <c r="B127" s="5"/>
      <c r="C127" s="5"/>
      <c r="D127" s="5"/>
      <c r="E127" s="5"/>
      <c r="F127" s="5"/>
      <c r="G127" s="5"/>
      <c r="H127" s="306"/>
      <c r="I127" s="306"/>
      <c r="J127" s="5"/>
      <c r="K127" s="5"/>
      <c r="L127" s="5"/>
      <c r="M127" s="5"/>
      <c r="N127" s="5"/>
      <c r="O127" s="5"/>
      <c r="P127" s="57"/>
      <c r="Q127" s="5"/>
      <c r="R127" s="5"/>
      <c r="S127" s="5"/>
      <c r="T127" s="5"/>
      <c r="U127" s="5"/>
      <c r="V127" s="5"/>
      <c r="W127" s="5"/>
      <c r="X127" s="5"/>
      <c r="Y127" s="5"/>
      <c r="Z127" s="5"/>
      <c r="AA127" s="5"/>
    </row>
    <row r="128" spans="1:27" ht="12.75" customHeight="1">
      <c r="A128" s="5"/>
      <c r="B128" s="5"/>
      <c r="C128" s="5"/>
      <c r="D128" s="5"/>
      <c r="E128" s="5"/>
      <c r="F128" s="5"/>
      <c r="G128" s="5"/>
      <c r="H128" s="306"/>
      <c r="I128" s="306"/>
      <c r="J128" s="5"/>
      <c r="K128" s="5"/>
      <c r="L128" s="5"/>
      <c r="M128" s="5"/>
      <c r="N128" s="5"/>
      <c r="O128" s="5"/>
      <c r="P128" s="57"/>
      <c r="Q128" s="5"/>
      <c r="R128" s="5"/>
      <c r="S128" s="5"/>
      <c r="T128" s="5"/>
      <c r="U128" s="5"/>
      <c r="V128" s="5"/>
      <c r="W128" s="5"/>
      <c r="X128" s="5"/>
      <c r="Y128" s="5"/>
      <c r="Z128" s="5"/>
      <c r="AA128" s="5"/>
    </row>
    <row r="129" spans="1:27" ht="12.75" customHeight="1">
      <c r="A129" s="5"/>
      <c r="B129" s="5"/>
      <c r="C129" s="5"/>
      <c r="D129" s="5"/>
      <c r="E129" s="5"/>
      <c r="F129" s="5"/>
      <c r="G129" s="5"/>
      <c r="H129" s="306"/>
      <c r="I129" s="306"/>
      <c r="J129" s="5"/>
      <c r="K129" s="5"/>
      <c r="L129" s="5"/>
      <c r="M129" s="5"/>
      <c r="N129" s="5"/>
      <c r="O129" s="5"/>
      <c r="P129" s="57"/>
      <c r="Q129" s="5"/>
      <c r="R129" s="5"/>
      <c r="S129" s="5"/>
      <c r="T129" s="5"/>
      <c r="U129" s="5"/>
      <c r="V129" s="5"/>
      <c r="W129" s="5"/>
      <c r="X129" s="5"/>
      <c r="Y129" s="5"/>
      <c r="Z129" s="5"/>
      <c r="AA129" s="5"/>
    </row>
    <row r="130" spans="1:27" ht="12.75" customHeight="1">
      <c r="A130" s="5"/>
      <c r="B130" s="5"/>
      <c r="C130" s="5"/>
      <c r="D130" s="5"/>
      <c r="E130" s="5"/>
      <c r="F130" s="5"/>
      <c r="G130" s="5"/>
      <c r="H130" s="306"/>
      <c r="I130" s="306"/>
      <c r="J130" s="5"/>
      <c r="K130" s="5"/>
      <c r="L130" s="5"/>
      <c r="M130" s="5"/>
      <c r="N130" s="5"/>
      <c r="O130" s="5"/>
      <c r="P130" s="57"/>
      <c r="Q130" s="5"/>
      <c r="R130" s="5"/>
      <c r="S130" s="5"/>
      <c r="T130" s="5"/>
      <c r="U130" s="5"/>
      <c r="V130" s="5"/>
      <c r="W130" s="5"/>
      <c r="X130" s="5"/>
      <c r="Y130" s="5"/>
      <c r="Z130" s="5"/>
      <c r="AA130" s="5"/>
    </row>
    <row r="131" spans="1:27" ht="12.75" customHeight="1">
      <c r="A131" s="5"/>
      <c r="B131" s="5"/>
      <c r="C131" s="5"/>
      <c r="D131" s="5"/>
      <c r="E131" s="5"/>
      <c r="F131" s="5"/>
      <c r="G131" s="5"/>
      <c r="H131" s="306"/>
      <c r="I131" s="306"/>
      <c r="J131" s="5"/>
      <c r="K131" s="5"/>
      <c r="L131" s="5"/>
      <c r="M131" s="5"/>
      <c r="N131" s="5"/>
      <c r="O131" s="5"/>
      <c r="P131" s="57"/>
      <c r="Q131" s="5"/>
      <c r="R131" s="5"/>
      <c r="S131" s="5"/>
      <c r="T131" s="5"/>
      <c r="U131" s="5"/>
      <c r="V131" s="5"/>
      <c r="W131" s="5"/>
      <c r="X131" s="5"/>
      <c r="Y131" s="5"/>
      <c r="Z131" s="5"/>
      <c r="AA131" s="5"/>
    </row>
    <row r="132" spans="1:27" ht="12.75" customHeight="1">
      <c r="A132" s="5"/>
      <c r="B132" s="5"/>
      <c r="C132" s="5"/>
      <c r="D132" s="5"/>
      <c r="E132" s="5"/>
      <c r="F132" s="5"/>
      <c r="G132" s="5"/>
      <c r="H132" s="306"/>
      <c r="I132" s="306"/>
      <c r="J132" s="5"/>
      <c r="K132" s="5"/>
      <c r="L132" s="5"/>
      <c r="M132" s="5"/>
      <c r="N132" s="5"/>
      <c r="O132" s="5"/>
      <c r="P132" s="57"/>
      <c r="Q132" s="5"/>
      <c r="R132" s="5"/>
      <c r="S132" s="5"/>
      <c r="T132" s="5"/>
      <c r="U132" s="5"/>
      <c r="V132" s="5"/>
      <c r="W132" s="5"/>
      <c r="X132" s="5"/>
      <c r="Y132" s="5"/>
      <c r="Z132" s="5"/>
      <c r="AA132" s="5"/>
    </row>
    <row r="133" spans="1:27" ht="12.75" customHeight="1">
      <c r="A133" s="5"/>
      <c r="B133" s="5"/>
      <c r="C133" s="5"/>
      <c r="D133" s="5"/>
      <c r="E133" s="5"/>
      <c r="F133" s="5"/>
      <c r="G133" s="5"/>
      <c r="H133" s="306"/>
      <c r="I133" s="306"/>
      <c r="J133" s="5"/>
      <c r="K133" s="5"/>
      <c r="L133" s="5"/>
      <c r="M133" s="5"/>
      <c r="N133" s="5"/>
      <c r="O133" s="5"/>
      <c r="P133" s="57"/>
      <c r="Q133" s="5"/>
      <c r="R133" s="5"/>
      <c r="S133" s="5"/>
      <c r="T133" s="5"/>
      <c r="U133" s="5"/>
      <c r="V133" s="5"/>
      <c r="W133" s="5"/>
      <c r="X133" s="5"/>
      <c r="Y133" s="5"/>
      <c r="Z133" s="5"/>
      <c r="AA133" s="5"/>
    </row>
    <row r="134" spans="1:27" ht="12.75" customHeight="1">
      <c r="A134" s="5"/>
      <c r="B134" s="5"/>
      <c r="C134" s="5"/>
      <c r="D134" s="5"/>
      <c r="E134" s="5"/>
      <c r="F134" s="5"/>
      <c r="G134" s="5"/>
      <c r="H134" s="306"/>
      <c r="I134" s="306"/>
      <c r="J134" s="5"/>
      <c r="K134" s="5"/>
      <c r="L134" s="5"/>
      <c r="M134" s="5"/>
      <c r="N134" s="5"/>
      <c r="O134" s="5"/>
      <c r="P134" s="57"/>
      <c r="Q134" s="5"/>
      <c r="R134" s="5"/>
      <c r="S134" s="5"/>
      <c r="T134" s="5"/>
      <c r="U134" s="5"/>
      <c r="V134" s="5"/>
      <c r="W134" s="5"/>
      <c r="X134" s="5"/>
      <c r="Y134" s="5"/>
      <c r="Z134" s="5"/>
      <c r="AA134" s="5"/>
    </row>
    <row r="135" spans="1:27" ht="12.75" customHeight="1">
      <c r="A135" s="5"/>
      <c r="B135" s="5"/>
      <c r="C135" s="5"/>
      <c r="D135" s="5"/>
      <c r="E135" s="5"/>
      <c r="F135" s="5"/>
      <c r="G135" s="5"/>
      <c r="H135" s="306"/>
      <c r="I135" s="306"/>
      <c r="J135" s="5"/>
      <c r="K135" s="5"/>
      <c r="L135" s="5"/>
      <c r="M135" s="5"/>
      <c r="N135" s="5"/>
      <c r="O135" s="5"/>
      <c r="P135" s="57"/>
      <c r="Q135" s="5"/>
      <c r="R135" s="5"/>
      <c r="S135" s="5"/>
      <c r="T135" s="5"/>
      <c r="U135" s="5"/>
      <c r="V135" s="5"/>
      <c r="W135" s="5"/>
      <c r="X135" s="5"/>
      <c r="Y135" s="5"/>
      <c r="Z135" s="5"/>
      <c r="AA135" s="5"/>
    </row>
    <row r="136" spans="1:27" ht="12.75" customHeight="1">
      <c r="A136" s="5"/>
      <c r="B136" s="5"/>
      <c r="C136" s="5"/>
      <c r="D136" s="5"/>
      <c r="E136" s="5"/>
      <c r="F136" s="5"/>
      <c r="G136" s="5"/>
      <c r="H136" s="306"/>
      <c r="I136" s="306"/>
      <c r="J136" s="5"/>
      <c r="K136" s="5"/>
      <c r="L136" s="5"/>
      <c r="M136" s="5"/>
      <c r="N136" s="5"/>
      <c r="O136" s="5"/>
      <c r="P136" s="57"/>
      <c r="Q136" s="5"/>
      <c r="R136" s="5"/>
      <c r="S136" s="5"/>
      <c r="T136" s="5"/>
      <c r="U136" s="5"/>
      <c r="V136" s="5"/>
      <c r="W136" s="5"/>
      <c r="X136" s="5"/>
      <c r="Y136" s="5"/>
      <c r="Z136" s="5"/>
      <c r="AA136" s="5"/>
    </row>
    <row r="137" spans="1:27" ht="12.75" customHeight="1">
      <c r="A137" s="5"/>
      <c r="B137" s="5"/>
      <c r="C137" s="5"/>
      <c r="D137" s="5"/>
      <c r="E137" s="5"/>
      <c r="F137" s="5"/>
      <c r="G137" s="5"/>
      <c r="H137" s="306"/>
      <c r="I137" s="306"/>
      <c r="J137" s="5"/>
      <c r="K137" s="5"/>
      <c r="L137" s="5"/>
      <c r="M137" s="5"/>
      <c r="N137" s="5"/>
      <c r="O137" s="5"/>
      <c r="P137" s="57"/>
      <c r="Q137" s="5"/>
      <c r="R137" s="5"/>
      <c r="S137" s="5"/>
      <c r="T137" s="5"/>
      <c r="U137" s="5"/>
      <c r="V137" s="5"/>
      <c r="W137" s="5"/>
      <c r="X137" s="5"/>
      <c r="Y137" s="5"/>
      <c r="Z137" s="5"/>
      <c r="AA137" s="5"/>
    </row>
    <row r="138" spans="1:27" ht="12.75" customHeight="1">
      <c r="A138" s="5"/>
      <c r="B138" s="5"/>
      <c r="C138" s="5"/>
      <c r="D138" s="5"/>
      <c r="E138" s="5"/>
      <c r="F138" s="5"/>
      <c r="G138" s="5"/>
      <c r="H138" s="306"/>
      <c r="I138" s="306"/>
      <c r="J138" s="5"/>
      <c r="K138" s="5"/>
      <c r="L138" s="5"/>
      <c r="M138" s="5"/>
      <c r="N138" s="5"/>
      <c r="O138" s="5"/>
      <c r="P138" s="57"/>
      <c r="Q138" s="5"/>
      <c r="R138" s="5"/>
      <c r="S138" s="5"/>
      <c r="T138" s="5"/>
      <c r="U138" s="5"/>
      <c r="V138" s="5"/>
      <c r="W138" s="5"/>
      <c r="X138" s="5"/>
      <c r="Y138" s="5"/>
      <c r="Z138" s="5"/>
      <c r="AA138" s="5"/>
    </row>
    <row r="139" spans="1:27" ht="12.75" customHeight="1">
      <c r="A139" s="5"/>
      <c r="B139" s="5"/>
      <c r="C139" s="5"/>
      <c r="D139" s="5"/>
      <c r="E139" s="5"/>
      <c r="F139" s="5"/>
      <c r="G139" s="5"/>
      <c r="H139" s="306"/>
      <c r="I139" s="306"/>
      <c r="J139" s="5"/>
      <c r="K139" s="5"/>
      <c r="L139" s="5"/>
      <c r="M139" s="5"/>
      <c r="N139" s="5"/>
      <c r="O139" s="5"/>
      <c r="P139" s="57"/>
      <c r="Q139" s="5"/>
      <c r="R139" s="5"/>
      <c r="S139" s="5"/>
      <c r="T139" s="5"/>
      <c r="U139" s="5"/>
      <c r="V139" s="5"/>
      <c r="W139" s="5"/>
      <c r="X139" s="5"/>
      <c r="Y139" s="5"/>
      <c r="Z139" s="5"/>
      <c r="AA139" s="5"/>
    </row>
    <row r="140" spans="1:27" ht="12.75" customHeight="1">
      <c r="A140" s="5"/>
      <c r="B140" s="5"/>
      <c r="C140" s="5"/>
      <c r="D140" s="5"/>
      <c r="E140" s="5"/>
      <c r="F140" s="5"/>
      <c r="G140" s="5"/>
      <c r="H140" s="306"/>
      <c r="I140" s="306"/>
      <c r="J140" s="5"/>
      <c r="K140" s="5"/>
      <c r="L140" s="5"/>
      <c r="M140" s="5"/>
      <c r="N140" s="5"/>
      <c r="O140" s="5"/>
      <c r="P140" s="57"/>
      <c r="Q140" s="5"/>
      <c r="R140" s="5"/>
      <c r="S140" s="5"/>
      <c r="T140" s="5"/>
      <c r="U140" s="5"/>
      <c r="V140" s="5"/>
      <c r="W140" s="5"/>
      <c r="X140" s="5"/>
      <c r="Y140" s="5"/>
      <c r="Z140" s="5"/>
      <c r="AA140" s="5"/>
    </row>
    <row r="141" spans="1:27" ht="12.75" customHeight="1">
      <c r="A141" s="5"/>
      <c r="B141" s="5"/>
      <c r="C141" s="5"/>
      <c r="D141" s="5"/>
      <c r="E141" s="5"/>
      <c r="F141" s="5"/>
      <c r="G141" s="5"/>
      <c r="H141" s="306"/>
      <c r="I141" s="306"/>
      <c r="J141" s="5"/>
      <c r="K141" s="5"/>
      <c r="L141" s="5"/>
      <c r="M141" s="5"/>
      <c r="N141" s="5"/>
      <c r="O141" s="5"/>
      <c r="P141" s="57"/>
      <c r="Q141" s="5"/>
      <c r="R141" s="5"/>
      <c r="S141" s="5"/>
      <c r="T141" s="5"/>
      <c r="U141" s="5"/>
      <c r="V141" s="5"/>
      <c r="W141" s="5"/>
      <c r="X141" s="5"/>
      <c r="Y141" s="5"/>
      <c r="Z141" s="5"/>
      <c r="AA141" s="5"/>
    </row>
    <row r="142" spans="1:27" ht="12.75" customHeight="1">
      <c r="A142" s="5"/>
      <c r="B142" s="5"/>
      <c r="C142" s="5"/>
      <c r="D142" s="5"/>
      <c r="E142" s="5"/>
      <c r="F142" s="5"/>
      <c r="G142" s="5"/>
      <c r="H142" s="306"/>
      <c r="I142" s="306"/>
      <c r="J142" s="5"/>
      <c r="K142" s="5"/>
      <c r="L142" s="5"/>
      <c r="M142" s="5"/>
      <c r="N142" s="5"/>
      <c r="O142" s="5"/>
      <c r="P142" s="57"/>
      <c r="Q142" s="5"/>
      <c r="R142" s="5"/>
      <c r="S142" s="5"/>
      <c r="T142" s="5"/>
      <c r="U142" s="5"/>
      <c r="V142" s="5"/>
      <c r="W142" s="5"/>
      <c r="X142" s="5"/>
      <c r="Y142" s="5"/>
      <c r="Z142" s="5"/>
      <c r="AA142" s="5"/>
    </row>
    <row r="143" spans="1:27" ht="12.75" customHeight="1">
      <c r="A143" s="5"/>
      <c r="B143" s="5"/>
      <c r="C143" s="5"/>
      <c r="D143" s="5"/>
      <c r="E143" s="5"/>
      <c r="F143" s="5"/>
      <c r="G143" s="5"/>
      <c r="H143" s="306"/>
      <c r="I143" s="306"/>
      <c r="J143" s="5"/>
      <c r="K143" s="5"/>
      <c r="L143" s="5"/>
      <c r="M143" s="5"/>
      <c r="N143" s="5"/>
      <c r="O143" s="5"/>
      <c r="P143" s="57"/>
      <c r="Q143" s="5"/>
      <c r="R143" s="5"/>
      <c r="S143" s="5"/>
      <c r="T143" s="5"/>
      <c r="U143" s="5"/>
      <c r="V143" s="5"/>
      <c r="W143" s="5"/>
      <c r="X143" s="5"/>
      <c r="Y143" s="5"/>
      <c r="Z143" s="5"/>
      <c r="AA143" s="5"/>
    </row>
    <row r="144" spans="1:27" ht="12.75" customHeight="1">
      <c r="A144" s="5"/>
      <c r="B144" s="5"/>
      <c r="C144" s="5"/>
      <c r="D144" s="5"/>
      <c r="E144" s="5"/>
      <c r="F144" s="5"/>
      <c r="G144" s="5"/>
      <c r="H144" s="306"/>
      <c r="I144" s="306"/>
      <c r="J144" s="5"/>
      <c r="K144" s="5"/>
      <c r="L144" s="5"/>
      <c r="M144" s="5"/>
      <c r="N144" s="5"/>
      <c r="O144" s="5"/>
      <c r="P144" s="57"/>
      <c r="Q144" s="5"/>
      <c r="R144" s="5"/>
      <c r="S144" s="5"/>
      <c r="T144" s="5"/>
      <c r="U144" s="5"/>
      <c r="V144" s="5"/>
      <c r="W144" s="5"/>
      <c r="X144" s="5"/>
      <c r="Y144" s="5"/>
      <c r="Z144" s="5"/>
      <c r="AA144" s="5"/>
    </row>
    <row r="145" spans="1:27" ht="12.75" customHeight="1">
      <c r="A145" s="5"/>
      <c r="B145" s="5"/>
      <c r="C145" s="5"/>
      <c r="D145" s="5"/>
      <c r="E145" s="5"/>
      <c r="F145" s="5"/>
      <c r="G145" s="5"/>
      <c r="H145" s="306"/>
      <c r="I145" s="306"/>
      <c r="J145" s="5"/>
      <c r="K145" s="5"/>
      <c r="L145" s="5"/>
      <c r="M145" s="5"/>
      <c r="N145" s="5"/>
      <c r="O145" s="5"/>
      <c r="P145" s="57"/>
      <c r="Q145" s="5"/>
      <c r="R145" s="5"/>
      <c r="S145" s="5"/>
      <c r="T145" s="5"/>
      <c r="U145" s="5"/>
      <c r="V145" s="5"/>
      <c r="W145" s="5"/>
      <c r="X145" s="5"/>
      <c r="Y145" s="5"/>
      <c r="Z145" s="5"/>
      <c r="AA145" s="5"/>
    </row>
    <row r="146" spans="1:27" ht="12.75" customHeight="1">
      <c r="A146" s="5"/>
      <c r="B146" s="5"/>
      <c r="C146" s="5"/>
      <c r="D146" s="5"/>
      <c r="E146" s="5"/>
      <c r="F146" s="5"/>
      <c r="G146" s="5"/>
      <c r="H146" s="306"/>
      <c r="I146" s="306"/>
      <c r="J146" s="5"/>
      <c r="K146" s="5"/>
      <c r="L146" s="5"/>
      <c r="M146" s="5"/>
      <c r="N146" s="5"/>
      <c r="O146" s="5"/>
      <c r="P146" s="57"/>
      <c r="Q146" s="5"/>
      <c r="R146" s="5"/>
      <c r="S146" s="5"/>
      <c r="T146" s="5"/>
      <c r="U146" s="5"/>
      <c r="V146" s="5"/>
      <c r="W146" s="5"/>
      <c r="X146" s="5"/>
      <c r="Y146" s="5"/>
      <c r="Z146" s="5"/>
      <c r="AA146" s="5"/>
    </row>
    <row r="147" spans="1:27" ht="12.75" customHeight="1">
      <c r="A147" s="5"/>
      <c r="B147" s="5"/>
      <c r="C147" s="5"/>
      <c r="D147" s="5"/>
      <c r="E147" s="5"/>
      <c r="F147" s="5"/>
      <c r="G147" s="5"/>
      <c r="H147" s="306"/>
      <c r="I147" s="306"/>
      <c r="J147" s="5"/>
      <c r="K147" s="5"/>
      <c r="L147" s="5"/>
      <c r="M147" s="5"/>
      <c r="N147" s="5"/>
      <c r="O147" s="5"/>
      <c r="P147" s="57"/>
      <c r="Q147" s="5"/>
      <c r="R147" s="5"/>
      <c r="S147" s="5"/>
      <c r="T147" s="5"/>
      <c r="U147" s="5"/>
      <c r="V147" s="5"/>
      <c r="W147" s="5"/>
      <c r="X147" s="5"/>
      <c r="Y147" s="5"/>
      <c r="Z147" s="5"/>
      <c r="AA147" s="5"/>
    </row>
    <row r="148" spans="1:27" ht="12.75" customHeight="1">
      <c r="A148" s="5"/>
      <c r="B148" s="5"/>
      <c r="C148" s="5"/>
      <c r="D148" s="5"/>
      <c r="E148" s="5"/>
      <c r="F148" s="5"/>
      <c r="G148" s="5"/>
      <c r="H148" s="306"/>
      <c r="I148" s="306"/>
      <c r="J148" s="5"/>
      <c r="K148" s="5"/>
      <c r="L148" s="5"/>
      <c r="M148" s="5"/>
      <c r="N148" s="5"/>
      <c r="O148" s="5"/>
      <c r="P148" s="57"/>
      <c r="Q148" s="5"/>
      <c r="R148" s="5"/>
      <c r="S148" s="5"/>
      <c r="T148" s="5"/>
      <c r="U148" s="5"/>
      <c r="V148" s="5"/>
      <c r="W148" s="5"/>
      <c r="X148" s="5"/>
      <c r="Y148" s="5"/>
      <c r="Z148" s="5"/>
      <c r="AA148" s="5"/>
    </row>
    <row r="149" spans="1:27" ht="12.75" customHeight="1">
      <c r="A149" s="5"/>
      <c r="B149" s="5"/>
      <c r="C149" s="5"/>
      <c r="D149" s="5"/>
      <c r="E149" s="5"/>
      <c r="F149" s="5"/>
      <c r="G149" s="5"/>
      <c r="H149" s="306"/>
      <c r="I149" s="306"/>
      <c r="J149" s="5"/>
      <c r="K149" s="5"/>
      <c r="L149" s="5"/>
      <c r="M149" s="5"/>
      <c r="N149" s="5"/>
      <c r="O149" s="5"/>
      <c r="P149" s="57"/>
      <c r="Q149" s="5"/>
      <c r="R149" s="5"/>
      <c r="S149" s="5"/>
      <c r="T149" s="5"/>
      <c r="U149" s="5"/>
      <c r="V149" s="5"/>
      <c r="W149" s="5"/>
      <c r="X149" s="5"/>
      <c r="Y149" s="5"/>
      <c r="Z149" s="5"/>
      <c r="AA149" s="5"/>
    </row>
    <row r="150" spans="1:27" ht="12.75" customHeight="1">
      <c r="A150" s="5"/>
      <c r="B150" s="5"/>
      <c r="C150" s="5"/>
      <c r="D150" s="5"/>
      <c r="E150" s="5"/>
      <c r="F150" s="5"/>
      <c r="G150" s="5"/>
      <c r="H150" s="306"/>
      <c r="I150" s="306"/>
      <c r="J150" s="5"/>
      <c r="K150" s="5"/>
      <c r="L150" s="5"/>
      <c r="M150" s="5"/>
      <c r="N150" s="5"/>
      <c r="O150" s="5"/>
      <c r="P150" s="57"/>
      <c r="Q150" s="5"/>
      <c r="R150" s="5"/>
      <c r="S150" s="5"/>
      <c r="T150" s="5"/>
      <c r="U150" s="5"/>
      <c r="V150" s="5"/>
      <c r="W150" s="5"/>
      <c r="X150" s="5"/>
      <c r="Y150" s="5"/>
      <c r="Z150" s="5"/>
      <c r="AA150" s="5"/>
    </row>
    <row r="151" spans="1:27" ht="12.75" customHeight="1">
      <c r="A151" s="5"/>
      <c r="B151" s="5"/>
      <c r="C151" s="5"/>
      <c r="D151" s="5"/>
      <c r="E151" s="5"/>
      <c r="F151" s="5"/>
      <c r="G151" s="5"/>
      <c r="H151" s="306"/>
      <c r="I151" s="306"/>
      <c r="J151" s="5"/>
      <c r="K151" s="5"/>
      <c r="L151" s="5"/>
      <c r="M151" s="5"/>
      <c r="N151" s="5"/>
      <c r="O151" s="5"/>
      <c r="P151" s="57"/>
      <c r="Q151" s="5"/>
      <c r="R151" s="5"/>
      <c r="S151" s="5"/>
      <c r="T151" s="5"/>
      <c r="U151" s="5"/>
      <c r="V151" s="5"/>
      <c r="W151" s="5"/>
      <c r="X151" s="5"/>
      <c r="Y151" s="5"/>
      <c r="Z151" s="5"/>
      <c r="AA151" s="5"/>
    </row>
    <row r="152" spans="1:27" ht="12.75" customHeight="1">
      <c r="A152" s="5"/>
      <c r="B152" s="5"/>
      <c r="C152" s="5"/>
      <c r="D152" s="5"/>
      <c r="E152" s="5"/>
      <c r="F152" s="5"/>
      <c r="G152" s="5"/>
      <c r="H152" s="306"/>
      <c r="I152" s="306"/>
      <c r="J152" s="5"/>
      <c r="K152" s="5"/>
      <c r="L152" s="5"/>
      <c r="M152" s="5"/>
      <c r="N152" s="5"/>
      <c r="O152" s="5"/>
      <c r="P152" s="57"/>
      <c r="Q152" s="5"/>
      <c r="R152" s="5"/>
      <c r="S152" s="5"/>
      <c r="T152" s="5"/>
      <c r="U152" s="5"/>
      <c r="V152" s="5"/>
      <c r="W152" s="5"/>
      <c r="X152" s="5"/>
      <c r="Y152" s="5"/>
      <c r="Z152" s="5"/>
      <c r="AA152" s="5"/>
    </row>
    <row r="153" spans="1:27" ht="12.75" customHeight="1">
      <c r="A153" s="5"/>
      <c r="B153" s="5"/>
      <c r="C153" s="5"/>
      <c r="D153" s="5"/>
      <c r="E153" s="5"/>
      <c r="F153" s="5"/>
      <c r="G153" s="5"/>
      <c r="H153" s="306"/>
      <c r="I153" s="306"/>
      <c r="J153" s="5"/>
      <c r="K153" s="5"/>
      <c r="L153" s="5"/>
      <c r="M153" s="5"/>
      <c r="N153" s="5"/>
      <c r="O153" s="5"/>
      <c r="P153" s="57"/>
      <c r="Q153" s="5"/>
      <c r="R153" s="5"/>
      <c r="S153" s="5"/>
      <c r="T153" s="5"/>
      <c r="U153" s="5"/>
      <c r="V153" s="5"/>
      <c r="W153" s="5"/>
      <c r="X153" s="5"/>
      <c r="Y153" s="5"/>
      <c r="Z153" s="5"/>
      <c r="AA153" s="5"/>
    </row>
    <row r="154" spans="1:27" ht="12.75" customHeight="1">
      <c r="A154" s="5"/>
      <c r="B154" s="5"/>
      <c r="C154" s="5"/>
      <c r="D154" s="5"/>
      <c r="E154" s="5"/>
      <c r="F154" s="5"/>
      <c r="G154" s="5"/>
      <c r="H154" s="306"/>
      <c r="I154" s="306"/>
      <c r="J154" s="5"/>
      <c r="K154" s="5"/>
      <c r="L154" s="5"/>
      <c r="M154" s="5"/>
      <c r="N154" s="5"/>
      <c r="O154" s="5"/>
      <c r="P154" s="57"/>
      <c r="Q154" s="5"/>
      <c r="R154" s="5"/>
      <c r="S154" s="5"/>
      <c r="T154" s="5"/>
      <c r="U154" s="5"/>
      <c r="V154" s="5"/>
      <c r="W154" s="5"/>
      <c r="X154" s="5"/>
      <c r="Y154" s="5"/>
      <c r="Z154" s="5"/>
      <c r="AA154" s="5"/>
    </row>
    <row r="155" spans="1:27" ht="12.75" customHeight="1">
      <c r="A155" s="5"/>
      <c r="B155" s="5"/>
      <c r="C155" s="5"/>
      <c r="D155" s="5"/>
      <c r="E155" s="5"/>
      <c r="F155" s="5"/>
      <c r="G155" s="5"/>
      <c r="H155" s="306"/>
      <c r="I155" s="306"/>
      <c r="J155" s="5"/>
      <c r="K155" s="5"/>
      <c r="L155" s="5"/>
      <c r="M155" s="5"/>
      <c r="N155" s="5"/>
      <c r="O155" s="5"/>
      <c r="P155" s="57"/>
      <c r="Q155" s="5"/>
      <c r="R155" s="5"/>
      <c r="S155" s="5"/>
      <c r="T155" s="5"/>
      <c r="U155" s="5"/>
      <c r="V155" s="5"/>
      <c r="W155" s="5"/>
      <c r="X155" s="5"/>
      <c r="Y155" s="5"/>
      <c r="Z155" s="5"/>
      <c r="AA155" s="5"/>
    </row>
    <row r="156" spans="1:27" ht="12.75" customHeight="1">
      <c r="A156" s="5"/>
      <c r="B156" s="5"/>
      <c r="C156" s="5"/>
      <c r="D156" s="5"/>
      <c r="E156" s="5"/>
      <c r="F156" s="5"/>
      <c r="G156" s="5"/>
      <c r="H156" s="306"/>
      <c r="I156" s="306"/>
      <c r="J156" s="5"/>
      <c r="K156" s="5"/>
      <c r="L156" s="5"/>
      <c r="M156" s="5"/>
      <c r="N156" s="5"/>
      <c r="O156" s="5"/>
      <c r="P156" s="57"/>
      <c r="Q156" s="5"/>
      <c r="R156" s="5"/>
      <c r="S156" s="5"/>
      <c r="T156" s="5"/>
      <c r="U156" s="5"/>
      <c r="V156" s="5"/>
      <c r="W156" s="5"/>
      <c r="X156" s="5"/>
      <c r="Y156" s="5"/>
      <c r="Z156" s="5"/>
      <c r="AA156" s="5"/>
    </row>
    <row r="157" spans="1:27" ht="12.75" customHeight="1">
      <c r="A157" s="5"/>
      <c r="B157" s="5"/>
      <c r="C157" s="5"/>
      <c r="D157" s="5"/>
      <c r="E157" s="5"/>
      <c r="F157" s="5"/>
      <c r="G157" s="5"/>
      <c r="H157" s="306"/>
      <c r="I157" s="306"/>
      <c r="J157" s="5"/>
      <c r="K157" s="5"/>
      <c r="L157" s="5"/>
      <c r="M157" s="5"/>
      <c r="N157" s="5"/>
      <c r="O157" s="5"/>
      <c r="P157" s="57"/>
      <c r="Q157" s="5"/>
      <c r="R157" s="5"/>
      <c r="S157" s="5"/>
      <c r="T157" s="5"/>
      <c r="U157" s="5"/>
      <c r="V157" s="5"/>
      <c r="W157" s="5"/>
      <c r="X157" s="5"/>
      <c r="Y157" s="5"/>
      <c r="Z157" s="5"/>
      <c r="AA157" s="5"/>
    </row>
    <row r="158" spans="1:27" ht="12.75" customHeight="1">
      <c r="A158" s="5"/>
      <c r="B158" s="5"/>
      <c r="C158" s="5"/>
      <c r="D158" s="5"/>
      <c r="E158" s="5"/>
      <c r="F158" s="5"/>
      <c r="G158" s="5"/>
      <c r="H158" s="306"/>
      <c r="I158" s="306"/>
      <c r="J158" s="5"/>
      <c r="K158" s="5"/>
      <c r="L158" s="5"/>
      <c r="M158" s="5"/>
      <c r="N158" s="5"/>
      <c r="O158" s="5"/>
      <c r="P158" s="57"/>
      <c r="Q158" s="5"/>
      <c r="R158" s="5"/>
      <c r="S158" s="5"/>
      <c r="T158" s="5"/>
      <c r="U158" s="5"/>
      <c r="V158" s="5"/>
      <c r="W158" s="5"/>
      <c r="X158" s="5"/>
      <c r="Y158" s="5"/>
      <c r="Z158" s="5"/>
      <c r="AA158" s="5"/>
    </row>
    <row r="159" spans="1:27" ht="12.75" customHeight="1">
      <c r="A159" s="5"/>
      <c r="B159" s="5"/>
      <c r="C159" s="5"/>
      <c r="D159" s="5"/>
      <c r="E159" s="5"/>
      <c r="F159" s="5"/>
      <c r="G159" s="5"/>
      <c r="H159" s="306"/>
      <c r="I159" s="306"/>
      <c r="J159" s="5"/>
      <c r="K159" s="5"/>
      <c r="L159" s="5"/>
      <c r="M159" s="5"/>
      <c r="N159" s="5"/>
      <c r="O159" s="5"/>
      <c r="P159" s="57"/>
      <c r="Q159" s="5"/>
      <c r="R159" s="5"/>
      <c r="S159" s="5"/>
      <c r="T159" s="5"/>
      <c r="U159" s="5"/>
      <c r="V159" s="5"/>
      <c r="W159" s="5"/>
      <c r="X159" s="5"/>
      <c r="Y159" s="5"/>
      <c r="Z159" s="5"/>
      <c r="AA159" s="5"/>
    </row>
    <row r="160" spans="1:27" ht="12.75" customHeight="1">
      <c r="A160" s="5"/>
      <c r="B160" s="5"/>
      <c r="C160" s="5"/>
      <c r="D160" s="5"/>
      <c r="E160" s="5"/>
      <c r="F160" s="5"/>
      <c r="G160" s="5"/>
      <c r="H160" s="306"/>
      <c r="I160" s="306"/>
      <c r="J160" s="5"/>
      <c r="K160" s="5"/>
      <c r="L160" s="5"/>
      <c r="M160" s="5"/>
      <c r="N160" s="5"/>
      <c r="O160" s="5"/>
      <c r="P160" s="57"/>
      <c r="Q160" s="5"/>
      <c r="R160" s="5"/>
      <c r="S160" s="5"/>
      <c r="T160" s="5"/>
      <c r="U160" s="5"/>
      <c r="V160" s="5"/>
      <c r="W160" s="5"/>
      <c r="X160" s="5"/>
      <c r="Y160" s="5"/>
      <c r="Z160" s="5"/>
      <c r="AA160" s="5"/>
    </row>
    <row r="161" spans="1:27" ht="12.75" customHeight="1">
      <c r="A161" s="5"/>
      <c r="B161" s="5"/>
      <c r="C161" s="5"/>
      <c r="D161" s="5"/>
      <c r="E161" s="5"/>
      <c r="F161" s="5"/>
      <c r="G161" s="5"/>
      <c r="H161" s="306"/>
      <c r="I161" s="306"/>
      <c r="J161" s="5"/>
      <c r="K161" s="5"/>
      <c r="L161" s="5"/>
      <c r="M161" s="5"/>
      <c r="N161" s="5"/>
      <c r="O161" s="5"/>
      <c r="P161" s="57"/>
      <c r="Q161" s="5"/>
      <c r="R161" s="5"/>
      <c r="S161" s="5"/>
      <c r="T161" s="5"/>
      <c r="U161" s="5"/>
      <c r="V161" s="5"/>
      <c r="W161" s="5"/>
      <c r="X161" s="5"/>
      <c r="Y161" s="5"/>
      <c r="Z161" s="5"/>
      <c r="AA161" s="5"/>
    </row>
    <row r="162" spans="1:27" ht="12.75" customHeight="1">
      <c r="A162" s="5"/>
      <c r="B162" s="5"/>
      <c r="C162" s="5"/>
      <c r="D162" s="5"/>
      <c r="E162" s="5"/>
      <c r="F162" s="5"/>
      <c r="G162" s="5"/>
      <c r="H162" s="306"/>
      <c r="I162" s="306"/>
      <c r="J162" s="5"/>
      <c r="K162" s="5"/>
      <c r="L162" s="5"/>
      <c r="M162" s="5"/>
      <c r="N162" s="5"/>
      <c r="O162" s="5"/>
      <c r="P162" s="57"/>
      <c r="Q162" s="5"/>
      <c r="R162" s="5"/>
      <c r="S162" s="5"/>
      <c r="T162" s="5"/>
      <c r="U162" s="5"/>
      <c r="V162" s="5"/>
      <c r="W162" s="5"/>
      <c r="X162" s="5"/>
      <c r="Y162" s="5"/>
      <c r="Z162" s="5"/>
      <c r="AA162" s="5"/>
    </row>
    <row r="163" spans="1:27" ht="12.75" customHeight="1">
      <c r="A163" s="5"/>
      <c r="B163" s="5"/>
      <c r="C163" s="5"/>
      <c r="D163" s="5"/>
      <c r="E163" s="5"/>
      <c r="F163" s="5"/>
      <c r="G163" s="5"/>
      <c r="H163" s="306"/>
      <c r="I163" s="306"/>
      <c r="J163" s="5"/>
      <c r="K163" s="5"/>
      <c r="L163" s="5"/>
      <c r="M163" s="5"/>
      <c r="N163" s="5"/>
      <c r="O163" s="5"/>
      <c r="P163" s="57"/>
      <c r="Q163" s="5"/>
      <c r="R163" s="5"/>
      <c r="S163" s="5"/>
      <c r="T163" s="5"/>
      <c r="U163" s="5"/>
      <c r="V163" s="5"/>
      <c r="W163" s="5"/>
      <c r="X163" s="5"/>
      <c r="Y163" s="5"/>
      <c r="Z163" s="5"/>
      <c r="AA163" s="5"/>
    </row>
    <row r="164" spans="1:27" ht="12.75" customHeight="1">
      <c r="A164" s="5"/>
      <c r="B164" s="5"/>
      <c r="C164" s="5"/>
      <c r="D164" s="5"/>
      <c r="E164" s="5"/>
      <c r="F164" s="5"/>
      <c r="G164" s="5"/>
      <c r="H164" s="306"/>
      <c r="I164" s="306"/>
      <c r="J164" s="5"/>
      <c r="K164" s="5"/>
      <c r="L164" s="5"/>
      <c r="M164" s="5"/>
      <c r="N164" s="5"/>
      <c r="O164" s="5"/>
      <c r="P164" s="57"/>
      <c r="Q164" s="5"/>
      <c r="R164" s="5"/>
      <c r="S164" s="5"/>
      <c r="T164" s="5"/>
      <c r="U164" s="5"/>
      <c r="V164" s="5"/>
      <c r="W164" s="5"/>
      <c r="X164" s="5"/>
      <c r="Y164" s="5"/>
      <c r="Z164" s="5"/>
      <c r="AA164" s="5"/>
    </row>
    <row r="165" spans="1:27" ht="12.75" customHeight="1">
      <c r="A165" s="5"/>
      <c r="B165" s="5"/>
      <c r="C165" s="5"/>
      <c r="D165" s="5"/>
      <c r="E165" s="5"/>
      <c r="F165" s="5"/>
      <c r="G165" s="5"/>
      <c r="H165" s="306"/>
      <c r="I165" s="306"/>
      <c r="J165" s="5"/>
      <c r="K165" s="5"/>
      <c r="L165" s="5"/>
      <c r="M165" s="5"/>
      <c r="N165" s="5"/>
      <c r="O165" s="5"/>
      <c r="P165" s="57"/>
      <c r="Q165" s="5"/>
      <c r="R165" s="5"/>
      <c r="S165" s="5"/>
      <c r="T165" s="5"/>
      <c r="U165" s="5"/>
      <c r="V165" s="5"/>
      <c r="W165" s="5"/>
      <c r="X165" s="5"/>
      <c r="Y165" s="5"/>
      <c r="Z165" s="5"/>
      <c r="AA165" s="5"/>
    </row>
    <row r="166" spans="1:27" ht="12.75" customHeight="1">
      <c r="A166" s="5"/>
      <c r="B166" s="5"/>
      <c r="C166" s="5"/>
      <c r="D166" s="5"/>
      <c r="E166" s="5"/>
      <c r="F166" s="5"/>
      <c r="G166" s="5"/>
      <c r="H166" s="306"/>
      <c r="I166" s="306"/>
      <c r="J166" s="5"/>
      <c r="K166" s="5"/>
      <c r="L166" s="5"/>
      <c r="M166" s="5"/>
      <c r="N166" s="5"/>
      <c r="O166" s="5"/>
      <c r="P166" s="57"/>
      <c r="Q166" s="5"/>
      <c r="R166" s="5"/>
      <c r="S166" s="5"/>
      <c r="T166" s="5"/>
      <c r="U166" s="5"/>
      <c r="V166" s="5"/>
      <c r="W166" s="5"/>
      <c r="X166" s="5"/>
      <c r="Y166" s="5"/>
      <c r="Z166" s="5"/>
      <c r="AA166" s="5"/>
    </row>
    <row r="167" spans="1:27" ht="12.75" customHeight="1">
      <c r="A167" s="5"/>
      <c r="B167" s="5"/>
      <c r="C167" s="5"/>
      <c r="D167" s="5"/>
      <c r="E167" s="5"/>
      <c r="F167" s="5"/>
      <c r="G167" s="5"/>
      <c r="H167" s="306"/>
      <c r="I167" s="306"/>
      <c r="J167" s="5"/>
      <c r="K167" s="5"/>
      <c r="L167" s="5"/>
      <c r="M167" s="5"/>
      <c r="N167" s="5"/>
      <c r="O167" s="5"/>
      <c r="P167" s="57"/>
      <c r="Q167" s="5"/>
      <c r="R167" s="5"/>
      <c r="S167" s="5"/>
      <c r="T167" s="5"/>
      <c r="U167" s="5"/>
      <c r="V167" s="5"/>
      <c r="W167" s="5"/>
      <c r="X167" s="5"/>
      <c r="Y167" s="5"/>
      <c r="Z167" s="5"/>
      <c r="AA167" s="5"/>
    </row>
    <row r="168" spans="1:27" ht="12.75" customHeight="1">
      <c r="A168" s="5"/>
      <c r="B168" s="5"/>
      <c r="C168" s="5"/>
      <c r="D168" s="5"/>
      <c r="E168" s="5"/>
      <c r="F168" s="5"/>
      <c r="G168" s="5"/>
      <c r="H168" s="306"/>
      <c r="I168" s="306"/>
      <c r="J168" s="5"/>
      <c r="K168" s="5"/>
      <c r="L168" s="5"/>
      <c r="M168" s="5"/>
      <c r="N168" s="5"/>
      <c r="O168" s="5"/>
      <c r="P168" s="57"/>
      <c r="Q168" s="5"/>
      <c r="R168" s="5"/>
      <c r="S168" s="5"/>
      <c r="T168" s="5"/>
      <c r="U168" s="5"/>
      <c r="V168" s="5"/>
      <c r="W168" s="5"/>
      <c r="X168" s="5"/>
      <c r="Y168" s="5"/>
      <c r="Z168" s="5"/>
      <c r="AA168" s="5"/>
    </row>
    <row r="169" spans="1:27" ht="12.75" customHeight="1">
      <c r="A169" s="5"/>
      <c r="B169" s="5"/>
      <c r="C169" s="5"/>
      <c r="D169" s="5"/>
      <c r="E169" s="5"/>
      <c r="F169" s="5"/>
      <c r="G169" s="5"/>
      <c r="H169" s="306"/>
      <c r="I169" s="306"/>
      <c r="J169" s="5"/>
      <c r="K169" s="5"/>
      <c r="L169" s="5"/>
      <c r="M169" s="5"/>
      <c r="N169" s="5"/>
      <c r="O169" s="5"/>
      <c r="P169" s="57"/>
      <c r="Q169" s="5"/>
      <c r="R169" s="5"/>
      <c r="S169" s="5"/>
      <c r="T169" s="5"/>
      <c r="U169" s="5"/>
      <c r="V169" s="5"/>
      <c r="W169" s="5"/>
      <c r="X169" s="5"/>
      <c r="Y169" s="5"/>
      <c r="Z169" s="5"/>
      <c r="AA169" s="5"/>
    </row>
    <row r="170" spans="1:27" ht="12.75" customHeight="1">
      <c r="A170" s="5"/>
      <c r="B170" s="5"/>
      <c r="C170" s="5"/>
      <c r="D170" s="5"/>
      <c r="E170" s="5"/>
      <c r="F170" s="5"/>
      <c r="G170" s="5"/>
      <c r="H170" s="306"/>
      <c r="I170" s="306"/>
      <c r="J170" s="5"/>
      <c r="K170" s="5"/>
      <c r="L170" s="5"/>
      <c r="M170" s="5"/>
      <c r="N170" s="5"/>
      <c r="O170" s="5"/>
      <c r="P170" s="57"/>
      <c r="Q170" s="5"/>
      <c r="R170" s="5"/>
      <c r="S170" s="5"/>
      <c r="T170" s="5"/>
      <c r="U170" s="5"/>
      <c r="V170" s="5"/>
      <c r="W170" s="5"/>
      <c r="X170" s="5"/>
      <c r="Y170" s="5"/>
      <c r="Z170" s="5"/>
      <c r="AA170" s="5"/>
    </row>
    <row r="171" spans="1:27" ht="12.75" customHeight="1">
      <c r="A171" s="5"/>
      <c r="B171" s="5"/>
      <c r="C171" s="5"/>
      <c r="D171" s="5"/>
      <c r="E171" s="5"/>
      <c r="F171" s="5"/>
      <c r="G171" s="5"/>
      <c r="H171" s="306"/>
      <c r="I171" s="306"/>
      <c r="J171" s="5"/>
      <c r="K171" s="5"/>
      <c r="L171" s="5"/>
      <c r="M171" s="5"/>
      <c r="N171" s="5"/>
      <c r="O171" s="5"/>
      <c r="P171" s="57"/>
      <c r="Q171" s="5"/>
      <c r="R171" s="5"/>
      <c r="S171" s="5"/>
      <c r="T171" s="5"/>
      <c r="U171" s="5"/>
      <c r="V171" s="5"/>
      <c r="W171" s="5"/>
      <c r="X171" s="5"/>
      <c r="Y171" s="5"/>
      <c r="Z171" s="5"/>
      <c r="AA171" s="5"/>
    </row>
    <row r="172" spans="1:27" ht="12.75" customHeight="1">
      <c r="A172" s="5"/>
      <c r="B172" s="5"/>
      <c r="C172" s="5"/>
      <c r="D172" s="5"/>
      <c r="E172" s="5"/>
      <c r="F172" s="5"/>
      <c r="G172" s="5"/>
      <c r="H172" s="306"/>
      <c r="I172" s="306"/>
      <c r="J172" s="5"/>
      <c r="K172" s="5"/>
      <c r="L172" s="5"/>
      <c r="M172" s="5"/>
      <c r="N172" s="5"/>
      <c r="O172" s="5"/>
      <c r="P172" s="57"/>
      <c r="Q172" s="5"/>
      <c r="R172" s="5"/>
      <c r="S172" s="5"/>
      <c r="T172" s="5"/>
      <c r="U172" s="5"/>
      <c r="V172" s="5"/>
      <c r="W172" s="5"/>
      <c r="X172" s="5"/>
      <c r="Y172" s="5"/>
      <c r="Z172" s="5"/>
      <c r="AA172" s="5"/>
    </row>
    <row r="173" spans="1:27" ht="12.75" customHeight="1">
      <c r="A173" s="5"/>
      <c r="B173" s="5"/>
      <c r="C173" s="5"/>
      <c r="D173" s="5"/>
      <c r="E173" s="5"/>
      <c r="F173" s="5"/>
      <c r="G173" s="5"/>
      <c r="H173" s="306"/>
      <c r="I173" s="306"/>
      <c r="J173" s="5"/>
      <c r="K173" s="5"/>
      <c r="L173" s="5"/>
      <c r="M173" s="5"/>
      <c r="N173" s="5"/>
      <c r="O173" s="5"/>
      <c r="P173" s="57"/>
      <c r="Q173" s="5"/>
      <c r="R173" s="5"/>
      <c r="S173" s="5"/>
      <c r="T173" s="5"/>
      <c r="U173" s="5"/>
      <c r="V173" s="5"/>
      <c r="W173" s="5"/>
      <c r="X173" s="5"/>
      <c r="Y173" s="5"/>
      <c r="Z173" s="5"/>
      <c r="AA173" s="5"/>
    </row>
    <row r="174" spans="1:27" ht="12.75" customHeight="1">
      <c r="A174" s="5"/>
      <c r="B174" s="5"/>
      <c r="C174" s="5"/>
      <c r="D174" s="5"/>
      <c r="E174" s="5"/>
      <c r="F174" s="5"/>
      <c r="G174" s="5"/>
      <c r="H174" s="306"/>
      <c r="I174" s="306"/>
      <c r="J174" s="5"/>
      <c r="K174" s="5"/>
      <c r="L174" s="5"/>
      <c r="M174" s="5"/>
      <c r="N174" s="5"/>
      <c r="O174" s="5"/>
      <c r="P174" s="57"/>
      <c r="Q174" s="5"/>
      <c r="R174" s="5"/>
      <c r="S174" s="5"/>
      <c r="T174" s="5"/>
      <c r="U174" s="5"/>
      <c r="V174" s="5"/>
      <c r="W174" s="5"/>
      <c r="X174" s="5"/>
      <c r="Y174" s="5"/>
      <c r="Z174" s="5"/>
      <c r="AA174" s="5"/>
    </row>
    <row r="175" spans="1:27" ht="12.75" customHeight="1">
      <c r="A175" s="5"/>
      <c r="B175" s="5"/>
      <c r="C175" s="5"/>
      <c r="D175" s="5"/>
      <c r="E175" s="5"/>
      <c r="F175" s="5"/>
      <c r="G175" s="5"/>
      <c r="H175" s="306"/>
      <c r="I175" s="306"/>
      <c r="J175" s="5"/>
      <c r="K175" s="5"/>
      <c r="L175" s="5"/>
      <c r="M175" s="5"/>
      <c r="N175" s="5"/>
      <c r="O175" s="5"/>
      <c r="P175" s="57"/>
      <c r="Q175" s="5"/>
      <c r="R175" s="5"/>
      <c r="S175" s="5"/>
      <c r="T175" s="5"/>
      <c r="U175" s="5"/>
      <c r="V175" s="5"/>
      <c r="W175" s="5"/>
      <c r="X175" s="5"/>
      <c r="Y175" s="5"/>
      <c r="Z175" s="5"/>
      <c r="AA175" s="5"/>
    </row>
    <row r="176" spans="1:27" ht="12.75" customHeight="1">
      <c r="A176" s="5"/>
      <c r="B176" s="5"/>
      <c r="C176" s="5"/>
      <c r="D176" s="5"/>
      <c r="E176" s="5"/>
      <c r="F176" s="5"/>
      <c r="G176" s="5"/>
      <c r="H176" s="306"/>
      <c r="I176" s="306"/>
      <c r="J176" s="5"/>
      <c r="K176" s="5"/>
      <c r="L176" s="5"/>
      <c r="M176" s="5"/>
      <c r="N176" s="5"/>
      <c r="O176" s="5"/>
      <c r="P176" s="57"/>
      <c r="Q176" s="5"/>
      <c r="R176" s="5"/>
      <c r="S176" s="5"/>
      <c r="T176" s="5"/>
      <c r="U176" s="5"/>
      <c r="V176" s="5"/>
      <c r="W176" s="5"/>
      <c r="X176" s="5"/>
      <c r="Y176" s="5"/>
      <c r="Z176" s="5"/>
      <c r="AA176" s="5"/>
    </row>
    <row r="177" spans="1:27" ht="12.75" customHeight="1">
      <c r="A177" s="5"/>
      <c r="B177" s="5"/>
      <c r="C177" s="5"/>
      <c r="D177" s="5"/>
      <c r="E177" s="5"/>
      <c r="F177" s="5"/>
      <c r="G177" s="5"/>
      <c r="H177" s="306"/>
      <c r="I177" s="306"/>
      <c r="J177" s="5"/>
      <c r="K177" s="5"/>
      <c r="L177" s="5"/>
      <c r="M177" s="5"/>
      <c r="N177" s="5"/>
      <c r="O177" s="5"/>
      <c r="P177" s="57"/>
      <c r="Q177" s="5"/>
      <c r="R177" s="5"/>
      <c r="S177" s="5"/>
      <c r="T177" s="5"/>
      <c r="U177" s="5"/>
      <c r="V177" s="5"/>
      <c r="W177" s="5"/>
      <c r="X177" s="5"/>
      <c r="Y177" s="5"/>
      <c r="Z177" s="5"/>
      <c r="AA177" s="5"/>
    </row>
    <row r="178" spans="1:27" ht="12.75" customHeight="1">
      <c r="A178" s="5"/>
      <c r="B178" s="5"/>
      <c r="C178" s="5"/>
      <c r="D178" s="5"/>
      <c r="E178" s="5"/>
      <c r="F178" s="5"/>
      <c r="G178" s="5"/>
      <c r="H178" s="306"/>
      <c r="I178" s="306"/>
      <c r="J178" s="5"/>
      <c r="K178" s="5"/>
      <c r="L178" s="5"/>
      <c r="M178" s="5"/>
      <c r="N178" s="5"/>
      <c r="O178" s="5"/>
      <c r="P178" s="57"/>
      <c r="Q178" s="5"/>
      <c r="R178" s="5"/>
      <c r="S178" s="5"/>
      <c r="T178" s="5"/>
      <c r="U178" s="5"/>
      <c r="V178" s="5"/>
      <c r="W178" s="5"/>
      <c r="X178" s="5"/>
      <c r="Y178" s="5"/>
      <c r="Z178" s="5"/>
      <c r="AA178" s="5"/>
    </row>
    <row r="179" spans="1:27" ht="12.75" customHeight="1">
      <c r="A179" s="5"/>
      <c r="B179" s="5"/>
      <c r="C179" s="5"/>
      <c r="D179" s="5"/>
      <c r="E179" s="5"/>
      <c r="F179" s="5"/>
      <c r="G179" s="5"/>
      <c r="H179" s="306"/>
      <c r="I179" s="306"/>
      <c r="J179" s="5"/>
      <c r="K179" s="5"/>
      <c r="L179" s="5"/>
      <c r="M179" s="5"/>
      <c r="N179" s="5"/>
      <c r="O179" s="5"/>
      <c r="P179" s="57"/>
      <c r="Q179" s="5"/>
      <c r="R179" s="5"/>
      <c r="S179" s="5"/>
      <c r="T179" s="5"/>
      <c r="U179" s="5"/>
      <c r="V179" s="5"/>
      <c r="W179" s="5"/>
      <c r="X179" s="5"/>
      <c r="Y179" s="5"/>
      <c r="Z179" s="5"/>
      <c r="AA179" s="5"/>
    </row>
    <row r="180" spans="1:27" ht="12.75" customHeight="1">
      <c r="A180" s="5"/>
      <c r="B180" s="5"/>
      <c r="C180" s="5"/>
      <c r="D180" s="5"/>
      <c r="E180" s="5"/>
      <c r="F180" s="5"/>
      <c r="G180" s="5"/>
      <c r="H180" s="306"/>
      <c r="I180" s="306"/>
      <c r="J180" s="5"/>
      <c r="K180" s="5"/>
      <c r="L180" s="5"/>
      <c r="M180" s="5"/>
      <c r="N180" s="5"/>
      <c r="O180" s="5"/>
      <c r="P180" s="57"/>
      <c r="Q180" s="5"/>
      <c r="R180" s="5"/>
      <c r="S180" s="5"/>
      <c r="T180" s="5"/>
      <c r="U180" s="5"/>
      <c r="V180" s="5"/>
      <c r="W180" s="5"/>
      <c r="X180" s="5"/>
      <c r="Y180" s="5"/>
      <c r="Z180" s="5"/>
      <c r="AA180" s="5"/>
    </row>
    <row r="181" spans="1:27" ht="12.75" customHeight="1">
      <c r="A181" s="5"/>
      <c r="B181" s="5"/>
      <c r="C181" s="5"/>
      <c r="D181" s="5"/>
      <c r="E181" s="5"/>
      <c r="F181" s="5"/>
      <c r="G181" s="5"/>
      <c r="H181" s="306"/>
      <c r="I181" s="306"/>
      <c r="J181" s="5"/>
      <c r="K181" s="5"/>
      <c r="L181" s="5"/>
      <c r="M181" s="5"/>
      <c r="N181" s="5"/>
      <c r="O181" s="5"/>
      <c r="P181" s="57"/>
      <c r="Q181" s="5"/>
      <c r="R181" s="5"/>
      <c r="S181" s="5"/>
      <c r="T181" s="5"/>
      <c r="U181" s="5"/>
      <c r="V181" s="5"/>
      <c r="W181" s="5"/>
      <c r="X181" s="5"/>
      <c r="Y181" s="5"/>
      <c r="Z181" s="5"/>
      <c r="AA181" s="5"/>
    </row>
    <row r="182" spans="1:27" ht="12.75" customHeight="1">
      <c r="A182" s="5"/>
      <c r="B182" s="5"/>
      <c r="C182" s="5"/>
      <c r="D182" s="5"/>
      <c r="E182" s="5"/>
      <c r="F182" s="5"/>
      <c r="G182" s="5"/>
      <c r="H182" s="306"/>
      <c r="I182" s="306"/>
      <c r="J182" s="5"/>
      <c r="K182" s="5"/>
      <c r="L182" s="5"/>
      <c r="M182" s="5"/>
      <c r="N182" s="5"/>
      <c r="O182" s="5"/>
      <c r="P182" s="57"/>
      <c r="Q182" s="5"/>
      <c r="R182" s="5"/>
      <c r="S182" s="5"/>
      <c r="T182" s="5"/>
      <c r="U182" s="5"/>
      <c r="V182" s="5"/>
      <c r="W182" s="5"/>
      <c r="X182" s="5"/>
      <c r="Y182" s="5"/>
      <c r="Z182" s="5"/>
      <c r="AA182" s="5"/>
    </row>
    <row r="183" spans="1:27" ht="12.75" customHeight="1">
      <c r="A183" s="5"/>
      <c r="B183" s="5"/>
      <c r="C183" s="5"/>
      <c r="D183" s="5"/>
      <c r="E183" s="5"/>
      <c r="F183" s="5"/>
      <c r="G183" s="5"/>
      <c r="H183" s="306"/>
      <c r="I183" s="306"/>
      <c r="J183" s="5"/>
      <c r="K183" s="5"/>
      <c r="L183" s="5"/>
      <c r="M183" s="5"/>
      <c r="N183" s="5"/>
      <c r="O183" s="5"/>
      <c r="P183" s="57"/>
      <c r="Q183" s="5"/>
      <c r="R183" s="5"/>
      <c r="S183" s="5"/>
      <c r="T183" s="5"/>
      <c r="U183" s="5"/>
      <c r="V183" s="5"/>
      <c r="W183" s="5"/>
      <c r="X183" s="5"/>
      <c r="Y183" s="5"/>
      <c r="Z183" s="5"/>
      <c r="AA183" s="5"/>
    </row>
    <row r="184" spans="1:27" ht="12.75" customHeight="1">
      <c r="A184" s="5"/>
      <c r="B184" s="5"/>
      <c r="C184" s="5"/>
      <c r="D184" s="5"/>
      <c r="E184" s="5"/>
      <c r="F184" s="5"/>
      <c r="G184" s="5"/>
      <c r="H184" s="306"/>
      <c r="I184" s="306"/>
      <c r="J184" s="5"/>
      <c r="K184" s="5"/>
      <c r="L184" s="5"/>
      <c r="M184" s="5"/>
      <c r="N184" s="5"/>
      <c r="O184" s="5"/>
      <c r="P184" s="57"/>
      <c r="Q184" s="5"/>
      <c r="R184" s="5"/>
      <c r="S184" s="5"/>
      <c r="T184" s="5"/>
      <c r="U184" s="5"/>
      <c r="V184" s="5"/>
      <c r="W184" s="5"/>
      <c r="X184" s="5"/>
      <c r="Y184" s="5"/>
      <c r="Z184" s="5"/>
      <c r="AA184" s="5"/>
    </row>
    <row r="185" spans="1:27" ht="12.75" customHeight="1">
      <c r="A185" s="5"/>
      <c r="B185" s="5"/>
      <c r="C185" s="5"/>
      <c r="D185" s="5"/>
      <c r="E185" s="5"/>
      <c r="F185" s="5"/>
      <c r="G185" s="5"/>
      <c r="H185" s="306"/>
      <c r="I185" s="306"/>
      <c r="J185" s="5"/>
      <c r="K185" s="5"/>
      <c r="L185" s="5"/>
      <c r="M185" s="5"/>
      <c r="N185" s="5"/>
      <c r="O185" s="5"/>
      <c r="P185" s="57"/>
      <c r="Q185" s="5"/>
      <c r="R185" s="5"/>
      <c r="S185" s="5"/>
      <c r="T185" s="5"/>
      <c r="U185" s="5"/>
      <c r="V185" s="5"/>
      <c r="W185" s="5"/>
      <c r="X185" s="5"/>
      <c r="Y185" s="5"/>
      <c r="Z185" s="5"/>
      <c r="AA185" s="5"/>
    </row>
    <row r="186" spans="1:27" ht="12.75" customHeight="1">
      <c r="A186" s="5"/>
      <c r="B186" s="5"/>
      <c r="C186" s="5"/>
      <c r="D186" s="5"/>
      <c r="E186" s="5"/>
      <c r="F186" s="5"/>
      <c r="G186" s="5"/>
      <c r="H186" s="306"/>
      <c r="I186" s="306"/>
      <c r="J186" s="5"/>
      <c r="K186" s="5"/>
      <c r="L186" s="5"/>
      <c r="M186" s="5"/>
      <c r="N186" s="5"/>
      <c r="O186" s="5"/>
      <c r="P186" s="57"/>
      <c r="Q186" s="5"/>
      <c r="R186" s="5"/>
      <c r="S186" s="5"/>
      <c r="T186" s="5"/>
      <c r="U186" s="5"/>
      <c r="V186" s="5"/>
      <c r="W186" s="5"/>
      <c r="X186" s="5"/>
      <c r="Y186" s="5"/>
      <c r="Z186" s="5"/>
      <c r="AA186" s="5"/>
    </row>
    <row r="187" spans="1:27" ht="12.75" customHeight="1">
      <c r="A187" s="5"/>
      <c r="B187" s="5"/>
      <c r="C187" s="5"/>
      <c r="D187" s="5"/>
      <c r="E187" s="5"/>
      <c r="F187" s="5"/>
      <c r="G187" s="5"/>
      <c r="H187" s="306"/>
      <c r="I187" s="306"/>
      <c r="J187" s="5"/>
      <c r="K187" s="5"/>
      <c r="L187" s="5"/>
      <c r="M187" s="5"/>
      <c r="N187" s="5"/>
      <c r="O187" s="5"/>
      <c r="P187" s="57"/>
      <c r="Q187" s="5"/>
      <c r="R187" s="5"/>
      <c r="S187" s="5"/>
      <c r="T187" s="5"/>
      <c r="U187" s="5"/>
      <c r="V187" s="5"/>
      <c r="W187" s="5"/>
      <c r="X187" s="5"/>
      <c r="Y187" s="5"/>
      <c r="Z187" s="5"/>
      <c r="AA187" s="5"/>
    </row>
    <row r="188" spans="1:27" ht="12.75" customHeight="1">
      <c r="A188" s="5"/>
      <c r="B188" s="5"/>
      <c r="C188" s="5"/>
      <c r="D188" s="5"/>
      <c r="E188" s="5"/>
      <c r="F188" s="5"/>
      <c r="G188" s="5"/>
      <c r="H188" s="306"/>
      <c r="I188" s="306"/>
      <c r="J188" s="5"/>
      <c r="K188" s="5"/>
      <c r="L188" s="5"/>
      <c r="M188" s="5"/>
      <c r="N188" s="5"/>
      <c r="O188" s="5"/>
      <c r="P188" s="57"/>
      <c r="Q188" s="5"/>
      <c r="R188" s="5"/>
      <c r="S188" s="5"/>
      <c r="T188" s="5"/>
      <c r="U188" s="5"/>
      <c r="V188" s="5"/>
      <c r="W188" s="5"/>
      <c r="X188" s="5"/>
      <c r="Y188" s="5"/>
      <c r="Z188" s="5"/>
      <c r="AA188" s="5"/>
    </row>
    <row r="189" spans="1:27" ht="12.75" customHeight="1">
      <c r="A189" s="5"/>
      <c r="B189" s="5"/>
      <c r="C189" s="5"/>
      <c r="D189" s="5"/>
      <c r="E189" s="5"/>
      <c r="F189" s="5"/>
      <c r="G189" s="5"/>
      <c r="H189" s="306"/>
      <c r="I189" s="306"/>
      <c r="J189" s="5"/>
      <c r="K189" s="5"/>
      <c r="L189" s="5"/>
      <c r="M189" s="5"/>
      <c r="N189" s="5"/>
      <c r="O189" s="5"/>
      <c r="P189" s="57"/>
      <c r="Q189" s="5"/>
      <c r="R189" s="5"/>
      <c r="S189" s="5"/>
      <c r="T189" s="5"/>
      <c r="U189" s="5"/>
      <c r="V189" s="5"/>
      <c r="W189" s="5"/>
      <c r="X189" s="5"/>
      <c r="Y189" s="5"/>
      <c r="Z189" s="5"/>
      <c r="AA189" s="5"/>
    </row>
    <row r="190" spans="1:27" ht="12.75" customHeight="1">
      <c r="A190" s="5"/>
      <c r="B190" s="5"/>
      <c r="C190" s="5"/>
      <c r="D190" s="5"/>
      <c r="E190" s="5"/>
      <c r="F190" s="5"/>
      <c r="G190" s="5"/>
      <c r="H190" s="306"/>
      <c r="I190" s="306"/>
      <c r="J190" s="5"/>
      <c r="K190" s="5"/>
      <c r="L190" s="5"/>
      <c r="M190" s="5"/>
      <c r="N190" s="5"/>
      <c r="O190" s="5"/>
      <c r="P190" s="57"/>
      <c r="Q190" s="5"/>
      <c r="R190" s="5"/>
      <c r="S190" s="5"/>
      <c r="T190" s="5"/>
      <c r="U190" s="5"/>
      <c r="V190" s="5"/>
      <c r="W190" s="5"/>
      <c r="X190" s="5"/>
      <c r="Y190" s="5"/>
      <c r="Z190" s="5"/>
      <c r="AA190" s="5"/>
    </row>
    <row r="191" spans="1:27" ht="12.75" customHeight="1">
      <c r="A191" s="5"/>
      <c r="B191" s="5"/>
      <c r="C191" s="5"/>
      <c r="D191" s="5"/>
      <c r="E191" s="5"/>
      <c r="F191" s="5"/>
      <c r="G191" s="5"/>
      <c r="H191" s="306"/>
      <c r="I191" s="306"/>
      <c r="J191" s="5"/>
      <c r="K191" s="5"/>
      <c r="L191" s="5"/>
      <c r="M191" s="5"/>
      <c r="N191" s="5"/>
      <c r="O191" s="5"/>
      <c r="P191" s="57"/>
      <c r="Q191" s="5"/>
      <c r="R191" s="5"/>
      <c r="S191" s="5"/>
      <c r="T191" s="5"/>
      <c r="U191" s="5"/>
      <c r="V191" s="5"/>
      <c r="W191" s="5"/>
      <c r="X191" s="5"/>
      <c r="Y191" s="5"/>
      <c r="Z191" s="5"/>
      <c r="AA191" s="5"/>
    </row>
    <row r="192" spans="1:27" ht="12.75" customHeight="1">
      <c r="A192" s="5"/>
      <c r="B192" s="5"/>
      <c r="C192" s="5"/>
      <c r="D192" s="5"/>
      <c r="E192" s="5"/>
      <c r="F192" s="5"/>
      <c r="G192" s="5"/>
      <c r="H192" s="306"/>
      <c r="I192" s="306"/>
      <c r="J192" s="5"/>
      <c r="K192" s="5"/>
      <c r="L192" s="5"/>
      <c r="M192" s="5"/>
      <c r="N192" s="5"/>
      <c r="O192" s="5"/>
      <c r="P192" s="57"/>
      <c r="Q192" s="5"/>
      <c r="R192" s="5"/>
      <c r="S192" s="5"/>
      <c r="T192" s="5"/>
      <c r="U192" s="5"/>
      <c r="V192" s="5"/>
      <c r="W192" s="5"/>
      <c r="X192" s="5"/>
      <c r="Y192" s="5"/>
      <c r="Z192" s="5"/>
      <c r="AA192" s="5"/>
    </row>
    <row r="193" spans="1:27" ht="12.75" customHeight="1">
      <c r="A193" s="5"/>
      <c r="B193" s="5"/>
      <c r="C193" s="5"/>
      <c r="D193" s="5"/>
      <c r="E193" s="5"/>
      <c r="F193" s="5"/>
      <c r="G193" s="5"/>
      <c r="H193" s="306"/>
      <c r="I193" s="306"/>
      <c r="J193" s="5"/>
      <c r="K193" s="5"/>
      <c r="L193" s="5"/>
      <c r="M193" s="5"/>
      <c r="N193" s="5"/>
      <c r="O193" s="5"/>
      <c r="P193" s="57"/>
      <c r="Q193" s="5"/>
      <c r="R193" s="5"/>
      <c r="S193" s="5"/>
      <c r="T193" s="5"/>
      <c r="U193" s="5"/>
      <c r="V193" s="5"/>
      <c r="W193" s="5"/>
      <c r="X193" s="5"/>
      <c r="Y193" s="5"/>
      <c r="Z193" s="5"/>
      <c r="AA193" s="5"/>
    </row>
    <row r="194" spans="1:27" ht="12.75" customHeight="1">
      <c r="A194" s="5"/>
      <c r="B194" s="5"/>
      <c r="C194" s="5"/>
      <c r="D194" s="5"/>
      <c r="E194" s="5"/>
      <c r="F194" s="5"/>
      <c r="G194" s="5"/>
      <c r="H194" s="306"/>
      <c r="I194" s="306"/>
      <c r="J194" s="5"/>
      <c r="K194" s="5"/>
      <c r="L194" s="5"/>
      <c r="M194" s="5"/>
      <c r="N194" s="5"/>
      <c r="O194" s="5"/>
      <c r="P194" s="57"/>
      <c r="Q194" s="5"/>
      <c r="R194" s="5"/>
      <c r="S194" s="5"/>
      <c r="T194" s="5"/>
      <c r="U194" s="5"/>
      <c r="V194" s="5"/>
      <c r="W194" s="5"/>
      <c r="X194" s="5"/>
      <c r="Y194" s="5"/>
      <c r="Z194" s="5"/>
      <c r="AA194" s="5"/>
    </row>
    <row r="195" spans="1:27" ht="12.75" customHeight="1">
      <c r="A195" s="5"/>
      <c r="B195" s="5"/>
      <c r="C195" s="5"/>
      <c r="D195" s="5"/>
      <c r="E195" s="5"/>
      <c r="F195" s="5"/>
      <c r="G195" s="5"/>
      <c r="H195" s="306"/>
      <c r="I195" s="306"/>
      <c r="J195" s="5"/>
      <c r="K195" s="5"/>
      <c r="L195" s="5"/>
      <c r="M195" s="5"/>
      <c r="N195" s="5"/>
      <c r="O195" s="5"/>
      <c r="P195" s="57"/>
      <c r="Q195" s="5"/>
      <c r="R195" s="5"/>
      <c r="S195" s="5"/>
      <c r="T195" s="5"/>
      <c r="U195" s="5"/>
      <c r="V195" s="5"/>
      <c r="W195" s="5"/>
      <c r="X195" s="5"/>
      <c r="Y195" s="5"/>
      <c r="Z195" s="5"/>
      <c r="AA195" s="5"/>
    </row>
    <row r="196" spans="1:27" ht="12.75" customHeight="1">
      <c r="A196" s="5"/>
      <c r="B196" s="5"/>
      <c r="C196" s="5"/>
      <c r="D196" s="5"/>
      <c r="E196" s="5"/>
      <c r="F196" s="5"/>
      <c r="G196" s="5"/>
      <c r="H196" s="306"/>
      <c r="I196" s="306"/>
      <c r="J196" s="5"/>
      <c r="K196" s="5"/>
      <c r="L196" s="5"/>
      <c r="M196" s="5"/>
      <c r="N196" s="5"/>
      <c r="O196" s="5"/>
      <c r="P196" s="57"/>
      <c r="Q196" s="5"/>
      <c r="R196" s="5"/>
      <c r="S196" s="5"/>
      <c r="T196" s="5"/>
      <c r="U196" s="5"/>
      <c r="V196" s="5"/>
      <c r="W196" s="5"/>
      <c r="X196" s="5"/>
      <c r="Y196" s="5"/>
      <c r="Z196" s="5"/>
      <c r="AA196" s="5"/>
    </row>
    <row r="197" spans="1:27" ht="12.75" customHeight="1">
      <c r="A197" s="5"/>
      <c r="B197" s="5"/>
      <c r="C197" s="5"/>
      <c r="D197" s="5"/>
      <c r="E197" s="5"/>
      <c r="F197" s="5"/>
      <c r="G197" s="5"/>
      <c r="H197" s="306"/>
      <c r="I197" s="306"/>
      <c r="J197" s="5"/>
      <c r="K197" s="5"/>
      <c r="L197" s="5"/>
      <c r="M197" s="5"/>
      <c r="N197" s="5"/>
      <c r="O197" s="5"/>
      <c r="P197" s="57"/>
      <c r="Q197" s="5"/>
      <c r="R197" s="5"/>
      <c r="S197" s="5"/>
      <c r="T197" s="5"/>
      <c r="U197" s="5"/>
      <c r="V197" s="5"/>
      <c r="W197" s="5"/>
      <c r="X197" s="5"/>
      <c r="Y197" s="5"/>
      <c r="Z197" s="5"/>
      <c r="AA197" s="5"/>
    </row>
    <row r="198" spans="1:27" ht="12.75" customHeight="1">
      <c r="A198" s="5"/>
      <c r="B198" s="5"/>
      <c r="C198" s="5"/>
      <c r="D198" s="5"/>
      <c r="E198" s="5"/>
      <c r="F198" s="5"/>
      <c r="G198" s="5"/>
      <c r="H198" s="306"/>
      <c r="I198" s="306"/>
      <c r="J198" s="5"/>
      <c r="K198" s="5"/>
      <c r="L198" s="5"/>
      <c r="M198" s="5"/>
      <c r="N198" s="5"/>
      <c r="O198" s="5"/>
      <c r="P198" s="57"/>
      <c r="Q198" s="5"/>
      <c r="R198" s="5"/>
      <c r="S198" s="5"/>
      <c r="T198" s="5"/>
      <c r="U198" s="5"/>
      <c r="V198" s="5"/>
      <c r="W198" s="5"/>
      <c r="X198" s="5"/>
      <c r="Y198" s="5"/>
      <c r="Z198" s="5"/>
      <c r="AA198" s="5"/>
    </row>
    <row r="199" spans="1:27" ht="12.75" customHeight="1">
      <c r="A199" s="5"/>
      <c r="B199" s="5"/>
      <c r="C199" s="5"/>
      <c r="D199" s="5"/>
      <c r="E199" s="5"/>
      <c r="F199" s="5"/>
      <c r="G199" s="5"/>
      <c r="H199" s="306"/>
      <c r="I199" s="306"/>
      <c r="J199" s="5"/>
      <c r="K199" s="5"/>
      <c r="L199" s="5"/>
      <c r="M199" s="5"/>
      <c r="N199" s="5"/>
      <c r="O199" s="5"/>
      <c r="P199" s="57"/>
      <c r="Q199" s="5"/>
      <c r="R199" s="5"/>
      <c r="S199" s="5"/>
      <c r="T199" s="5"/>
      <c r="U199" s="5"/>
      <c r="V199" s="5"/>
      <c r="W199" s="5"/>
      <c r="X199" s="5"/>
      <c r="Y199" s="5"/>
      <c r="Z199" s="5"/>
      <c r="AA199" s="5"/>
    </row>
    <row r="200" spans="1:27" ht="12.75" customHeight="1">
      <c r="A200" s="5"/>
      <c r="B200" s="5"/>
      <c r="C200" s="5"/>
      <c r="D200" s="5"/>
      <c r="E200" s="5"/>
      <c r="F200" s="5"/>
      <c r="G200" s="5"/>
      <c r="H200" s="306"/>
      <c r="I200" s="306"/>
      <c r="J200" s="5"/>
      <c r="K200" s="5"/>
      <c r="L200" s="5"/>
      <c r="M200" s="5"/>
      <c r="N200" s="5"/>
      <c r="O200" s="5"/>
      <c r="P200" s="57"/>
      <c r="Q200" s="5"/>
      <c r="R200" s="5"/>
      <c r="S200" s="5"/>
      <c r="T200" s="5"/>
      <c r="U200" s="5"/>
      <c r="V200" s="5"/>
      <c r="W200" s="5"/>
      <c r="X200" s="5"/>
      <c r="Y200" s="5"/>
      <c r="Z200" s="5"/>
      <c r="AA200" s="5"/>
    </row>
    <row r="201" spans="1:27" ht="12.75" customHeight="1">
      <c r="A201" s="5"/>
      <c r="B201" s="5"/>
      <c r="C201" s="5"/>
      <c r="D201" s="5"/>
      <c r="E201" s="5"/>
      <c r="F201" s="5"/>
      <c r="G201" s="5"/>
      <c r="H201" s="306"/>
      <c r="I201" s="306"/>
      <c r="J201" s="5"/>
      <c r="K201" s="5"/>
      <c r="L201" s="5"/>
      <c r="M201" s="5"/>
      <c r="N201" s="5"/>
      <c r="O201" s="5"/>
      <c r="P201" s="57"/>
      <c r="Q201" s="5"/>
      <c r="R201" s="5"/>
      <c r="S201" s="5"/>
      <c r="T201" s="5"/>
      <c r="U201" s="5"/>
      <c r="V201" s="5"/>
      <c r="W201" s="5"/>
      <c r="X201" s="5"/>
      <c r="Y201" s="5"/>
      <c r="Z201" s="5"/>
      <c r="AA201" s="5"/>
    </row>
    <row r="202" spans="1:27" ht="12.75" customHeight="1">
      <c r="A202" s="5"/>
      <c r="B202" s="5"/>
      <c r="C202" s="5"/>
      <c r="D202" s="5"/>
      <c r="E202" s="5"/>
      <c r="F202" s="5"/>
      <c r="G202" s="5"/>
      <c r="H202" s="306"/>
      <c r="I202" s="306"/>
      <c r="J202" s="5"/>
      <c r="K202" s="5"/>
      <c r="L202" s="5"/>
      <c r="M202" s="5"/>
      <c r="N202" s="5"/>
      <c r="O202" s="5"/>
      <c r="P202" s="57"/>
      <c r="Q202" s="5"/>
      <c r="R202" s="5"/>
      <c r="S202" s="5"/>
      <c r="T202" s="5"/>
      <c r="U202" s="5"/>
      <c r="V202" s="5"/>
      <c r="W202" s="5"/>
      <c r="X202" s="5"/>
      <c r="Y202" s="5"/>
      <c r="Z202" s="5"/>
      <c r="AA202" s="5"/>
    </row>
    <row r="203" spans="1:27" ht="12.75" customHeight="1">
      <c r="A203" s="5"/>
      <c r="B203" s="5"/>
      <c r="C203" s="5"/>
      <c r="D203" s="5"/>
      <c r="E203" s="5"/>
      <c r="F203" s="5"/>
      <c r="G203" s="5"/>
      <c r="H203" s="306"/>
      <c r="I203" s="306"/>
      <c r="J203" s="5"/>
      <c r="K203" s="5"/>
      <c r="L203" s="5"/>
      <c r="M203" s="5"/>
      <c r="N203" s="5"/>
      <c r="O203" s="5"/>
      <c r="P203" s="57"/>
      <c r="Q203" s="5"/>
      <c r="R203" s="5"/>
      <c r="S203" s="5"/>
      <c r="T203" s="5"/>
      <c r="U203" s="5"/>
      <c r="V203" s="5"/>
      <c r="W203" s="5"/>
      <c r="X203" s="5"/>
      <c r="Y203" s="5"/>
      <c r="Z203" s="5"/>
      <c r="AA203" s="5"/>
    </row>
    <row r="204" spans="1:27" ht="12.75" customHeight="1">
      <c r="A204" s="5"/>
      <c r="B204" s="5"/>
      <c r="C204" s="5"/>
      <c r="D204" s="5"/>
      <c r="E204" s="5"/>
      <c r="F204" s="5"/>
      <c r="G204" s="5"/>
      <c r="H204" s="306"/>
      <c r="I204" s="306"/>
      <c r="J204" s="5"/>
      <c r="K204" s="5"/>
      <c r="L204" s="5"/>
      <c r="M204" s="5"/>
      <c r="N204" s="5"/>
      <c r="O204" s="5"/>
      <c r="P204" s="57"/>
      <c r="Q204" s="5"/>
      <c r="R204" s="5"/>
      <c r="S204" s="5"/>
      <c r="T204" s="5"/>
      <c r="U204" s="5"/>
      <c r="V204" s="5"/>
      <c r="W204" s="5"/>
      <c r="X204" s="5"/>
      <c r="Y204" s="5"/>
      <c r="Z204" s="5"/>
      <c r="AA204" s="5"/>
    </row>
    <row r="205" spans="1:27" ht="12.75" customHeight="1">
      <c r="A205" s="5"/>
      <c r="B205" s="5"/>
      <c r="C205" s="5"/>
      <c r="D205" s="5"/>
      <c r="E205" s="5"/>
      <c r="F205" s="5"/>
      <c r="G205" s="5"/>
      <c r="H205" s="306"/>
      <c r="I205" s="306"/>
      <c r="J205" s="5"/>
      <c r="K205" s="5"/>
      <c r="L205" s="5"/>
      <c r="M205" s="5"/>
      <c r="N205" s="5"/>
      <c r="O205" s="5"/>
      <c r="P205" s="57"/>
      <c r="Q205" s="5"/>
      <c r="R205" s="5"/>
      <c r="S205" s="5"/>
      <c r="T205" s="5"/>
      <c r="U205" s="5"/>
      <c r="V205" s="5"/>
      <c r="W205" s="5"/>
      <c r="X205" s="5"/>
      <c r="Y205" s="5"/>
      <c r="Z205" s="5"/>
      <c r="AA205" s="5"/>
    </row>
    <row r="206" spans="1:27" ht="12.75" customHeight="1">
      <c r="A206" s="5"/>
      <c r="B206" s="5"/>
      <c r="C206" s="5"/>
      <c r="D206" s="5"/>
      <c r="E206" s="5"/>
      <c r="F206" s="5"/>
      <c r="G206" s="5"/>
      <c r="H206" s="306"/>
      <c r="I206" s="306"/>
      <c r="J206" s="5"/>
      <c r="K206" s="5"/>
      <c r="L206" s="5"/>
      <c r="M206" s="5"/>
      <c r="N206" s="5"/>
      <c r="O206" s="5"/>
      <c r="P206" s="57"/>
      <c r="Q206" s="5"/>
      <c r="R206" s="5"/>
      <c r="S206" s="5"/>
      <c r="T206" s="5"/>
      <c r="U206" s="5"/>
      <c r="V206" s="5"/>
      <c r="W206" s="5"/>
      <c r="X206" s="5"/>
      <c r="Y206" s="5"/>
      <c r="Z206" s="5"/>
      <c r="AA206" s="5"/>
    </row>
    <row r="207" spans="1:27" ht="12.75" customHeight="1">
      <c r="A207" s="5"/>
      <c r="B207" s="5"/>
      <c r="C207" s="5"/>
      <c r="D207" s="5"/>
      <c r="E207" s="5"/>
      <c r="F207" s="5"/>
      <c r="G207" s="5"/>
      <c r="H207" s="306"/>
      <c r="I207" s="306"/>
      <c r="J207" s="5"/>
      <c r="K207" s="5"/>
      <c r="L207" s="5"/>
      <c r="M207" s="5"/>
      <c r="N207" s="5"/>
      <c r="O207" s="5"/>
      <c r="P207" s="57"/>
      <c r="Q207" s="5"/>
      <c r="R207" s="5"/>
      <c r="S207" s="5"/>
      <c r="T207" s="5"/>
      <c r="U207" s="5"/>
      <c r="V207" s="5"/>
      <c r="W207" s="5"/>
      <c r="X207" s="5"/>
      <c r="Y207" s="5"/>
      <c r="Z207" s="5"/>
      <c r="AA207" s="5"/>
    </row>
    <row r="208" spans="1:27" ht="12.75" customHeight="1">
      <c r="A208" s="5"/>
      <c r="B208" s="5"/>
      <c r="C208" s="5"/>
      <c r="D208" s="5"/>
      <c r="E208" s="5"/>
      <c r="F208" s="5"/>
      <c r="G208" s="5"/>
      <c r="H208" s="306"/>
      <c r="I208" s="306"/>
      <c r="J208" s="5"/>
      <c r="K208" s="5"/>
      <c r="L208" s="5"/>
      <c r="M208" s="5"/>
      <c r="N208" s="5"/>
      <c r="O208" s="5"/>
      <c r="P208" s="57"/>
      <c r="Q208" s="5"/>
      <c r="R208" s="5"/>
      <c r="S208" s="5"/>
      <c r="T208" s="5"/>
      <c r="U208" s="5"/>
      <c r="V208" s="5"/>
      <c r="W208" s="5"/>
      <c r="X208" s="5"/>
      <c r="Y208" s="5"/>
      <c r="Z208" s="5"/>
      <c r="AA208" s="5"/>
    </row>
    <row r="209" spans="1:27" ht="12.75" customHeight="1">
      <c r="A209" s="5"/>
      <c r="B209" s="5"/>
      <c r="C209" s="5"/>
      <c r="D209" s="5"/>
      <c r="E209" s="5"/>
      <c r="F209" s="5"/>
      <c r="G209" s="5"/>
      <c r="H209" s="306"/>
      <c r="I209" s="306"/>
      <c r="J209" s="5"/>
      <c r="K209" s="5"/>
      <c r="L209" s="5"/>
      <c r="M209" s="5"/>
      <c r="N209" s="5"/>
      <c r="O209" s="5"/>
      <c r="P209" s="57"/>
      <c r="Q209" s="5"/>
      <c r="R209" s="5"/>
      <c r="S209" s="5"/>
      <c r="T209" s="5"/>
      <c r="U209" s="5"/>
      <c r="V209" s="5"/>
      <c r="W209" s="5"/>
      <c r="X209" s="5"/>
      <c r="Y209" s="5"/>
      <c r="Z209" s="5"/>
      <c r="AA209" s="5"/>
    </row>
    <row r="210" spans="1:27" ht="12.75" customHeight="1">
      <c r="A210" s="5"/>
      <c r="B210" s="5"/>
      <c r="C210" s="5"/>
      <c r="D210" s="5"/>
      <c r="E210" s="5"/>
      <c r="F210" s="5"/>
      <c r="G210" s="5"/>
      <c r="H210" s="306"/>
      <c r="I210" s="306"/>
      <c r="J210" s="5"/>
      <c r="K210" s="5"/>
      <c r="L210" s="5"/>
      <c r="M210" s="5"/>
      <c r="N210" s="5"/>
      <c r="O210" s="5"/>
      <c r="P210" s="57"/>
      <c r="Q210" s="5"/>
      <c r="R210" s="5"/>
      <c r="S210" s="5"/>
      <c r="T210" s="5"/>
      <c r="U210" s="5"/>
      <c r="V210" s="5"/>
      <c r="W210" s="5"/>
      <c r="X210" s="5"/>
      <c r="Y210" s="5"/>
      <c r="Z210" s="5"/>
      <c r="AA210" s="5"/>
    </row>
    <row r="211" spans="1:27" ht="12.75" customHeight="1">
      <c r="A211" s="5"/>
      <c r="B211" s="5"/>
      <c r="C211" s="5"/>
      <c r="D211" s="5"/>
      <c r="E211" s="5"/>
      <c r="F211" s="5"/>
      <c r="G211" s="5"/>
      <c r="H211" s="306"/>
      <c r="I211" s="306"/>
      <c r="J211" s="5"/>
      <c r="K211" s="5"/>
      <c r="L211" s="5"/>
      <c r="M211" s="5"/>
      <c r="N211" s="5"/>
      <c r="O211" s="5"/>
      <c r="P211" s="57"/>
      <c r="Q211" s="5"/>
      <c r="R211" s="5"/>
      <c r="S211" s="5"/>
      <c r="T211" s="5"/>
      <c r="U211" s="5"/>
      <c r="V211" s="5"/>
      <c r="W211" s="5"/>
      <c r="X211" s="5"/>
      <c r="Y211" s="5"/>
      <c r="Z211" s="5"/>
      <c r="AA211" s="5"/>
    </row>
    <row r="212" spans="1:27" ht="12.75" customHeight="1">
      <c r="A212" s="5"/>
      <c r="B212" s="5"/>
      <c r="C212" s="5"/>
      <c r="D212" s="5"/>
      <c r="E212" s="5"/>
      <c r="F212" s="5"/>
      <c r="G212" s="5"/>
      <c r="H212" s="306"/>
      <c r="I212" s="306"/>
      <c r="J212" s="5"/>
      <c r="K212" s="5"/>
      <c r="L212" s="5"/>
      <c r="M212" s="5"/>
      <c r="N212" s="5"/>
      <c r="O212" s="5"/>
      <c r="P212" s="57"/>
      <c r="Q212" s="5"/>
      <c r="R212" s="5"/>
      <c r="S212" s="5"/>
      <c r="T212" s="5"/>
      <c r="U212" s="5"/>
      <c r="V212" s="5"/>
      <c r="W212" s="5"/>
      <c r="X212" s="5"/>
      <c r="Y212" s="5"/>
      <c r="Z212" s="5"/>
      <c r="AA212" s="5"/>
    </row>
    <row r="213" spans="1:27" ht="12.75" customHeight="1">
      <c r="A213" s="5"/>
      <c r="B213" s="5"/>
      <c r="C213" s="5"/>
      <c r="D213" s="5"/>
      <c r="E213" s="5"/>
      <c r="F213" s="5"/>
      <c r="G213" s="5"/>
      <c r="H213" s="306"/>
      <c r="I213" s="306"/>
      <c r="J213" s="5"/>
      <c r="K213" s="5"/>
      <c r="L213" s="5"/>
      <c r="M213" s="5"/>
      <c r="N213" s="5"/>
      <c r="O213" s="5"/>
      <c r="P213" s="57"/>
      <c r="Q213" s="5"/>
      <c r="R213" s="5"/>
      <c r="S213" s="5"/>
      <c r="T213" s="5"/>
      <c r="U213" s="5"/>
      <c r="V213" s="5"/>
      <c r="W213" s="5"/>
      <c r="X213" s="5"/>
      <c r="Y213" s="5"/>
      <c r="Z213" s="5"/>
      <c r="AA213" s="5"/>
    </row>
    <row r="214" spans="1:27" ht="12.75" customHeight="1">
      <c r="A214" s="5"/>
      <c r="B214" s="5"/>
      <c r="C214" s="5"/>
      <c r="D214" s="5"/>
      <c r="E214" s="5"/>
      <c r="F214" s="5"/>
      <c r="G214" s="5"/>
      <c r="H214" s="306"/>
      <c r="I214" s="306"/>
      <c r="J214" s="5"/>
      <c r="K214" s="5"/>
      <c r="L214" s="5"/>
      <c r="M214" s="5"/>
      <c r="N214" s="5"/>
      <c r="O214" s="5"/>
      <c r="P214" s="57"/>
      <c r="Q214" s="5"/>
      <c r="R214" s="5"/>
      <c r="S214" s="5"/>
      <c r="T214" s="5"/>
      <c r="U214" s="5"/>
      <c r="V214" s="5"/>
      <c r="W214" s="5"/>
      <c r="X214" s="5"/>
      <c r="Y214" s="5"/>
      <c r="Z214" s="5"/>
      <c r="AA214" s="5"/>
    </row>
    <row r="215" spans="1:27" ht="12.75" customHeight="1">
      <c r="A215" s="5"/>
      <c r="B215" s="5"/>
      <c r="C215" s="5"/>
      <c r="D215" s="5"/>
      <c r="E215" s="5"/>
      <c r="F215" s="5"/>
      <c r="G215" s="5"/>
      <c r="H215" s="306"/>
      <c r="I215" s="306"/>
      <c r="J215" s="5"/>
      <c r="K215" s="5"/>
      <c r="L215" s="5"/>
      <c r="M215" s="5"/>
      <c r="N215" s="5"/>
      <c r="O215" s="5"/>
      <c r="P215" s="57"/>
      <c r="Q215" s="5"/>
      <c r="R215" s="5"/>
      <c r="S215" s="5"/>
      <c r="T215" s="5"/>
      <c r="U215" s="5"/>
      <c r="V215" s="5"/>
      <c r="W215" s="5"/>
      <c r="X215" s="5"/>
      <c r="Y215" s="5"/>
      <c r="Z215" s="5"/>
      <c r="AA215" s="5"/>
    </row>
    <row r="216" spans="1:27" ht="12.75" customHeight="1">
      <c r="A216" s="5"/>
      <c r="B216" s="5"/>
      <c r="C216" s="5"/>
      <c r="D216" s="5"/>
      <c r="E216" s="5"/>
      <c r="F216" s="5"/>
      <c r="G216" s="5"/>
      <c r="H216" s="306"/>
      <c r="I216" s="306"/>
      <c r="J216" s="5"/>
      <c r="K216" s="5"/>
      <c r="L216" s="5"/>
      <c r="M216" s="5"/>
      <c r="N216" s="5"/>
      <c r="O216" s="5"/>
      <c r="P216" s="57"/>
      <c r="Q216" s="5"/>
      <c r="R216" s="5"/>
      <c r="S216" s="5"/>
      <c r="T216" s="5"/>
      <c r="U216" s="5"/>
      <c r="V216" s="5"/>
      <c r="W216" s="5"/>
      <c r="X216" s="5"/>
      <c r="Y216" s="5"/>
      <c r="Z216" s="5"/>
      <c r="AA216" s="5"/>
    </row>
    <row r="217" spans="1:27" ht="12.75" customHeight="1">
      <c r="A217" s="5"/>
      <c r="B217" s="5"/>
      <c r="C217" s="5"/>
      <c r="D217" s="5"/>
      <c r="E217" s="5"/>
      <c r="F217" s="5"/>
      <c r="G217" s="5"/>
      <c r="H217" s="306"/>
      <c r="I217" s="306"/>
      <c r="J217" s="5"/>
      <c r="K217" s="5"/>
      <c r="L217" s="5"/>
      <c r="M217" s="5"/>
      <c r="N217" s="5"/>
      <c r="O217" s="5"/>
      <c r="P217" s="57"/>
      <c r="Q217" s="5"/>
      <c r="R217" s="5"/>
      <c r="S217" s="5"/>
      <c r="T217" s="5"/>
      <c r="U217" s="5"/>
      <c r="V217" s="5"/>
      <c r="W217" s="5"/>
      <c r="X217" s="5"/>
      <c r="Y217" s="5"/>
      <c r="Z217" s="5"/>
      <c r="AA217" s="5"/>
    </row>
    <row r="218" spans="1:27" ht="12.75" customHeight="1">
      <c r="A218" s="5"/>
      <c r="B218" s="5"/>
      <c r="C218" s="5"/>
      <c r="D218" s="5"/>
      <c r="E218" s="5"/>
      <c r="F218" s="5"/>
      <c r="G218" s="5"/>
      <c r="H218" s="306"/>
      <c r="I218" s="306"/>
      <c r="J218" s="5"/>
      <c r="K218" s="5"/>
      <c r="L218" s="5"/>
      <c r="M218" s="5"/>
      <c r="N218" s="5"/>
      <c r="O218" s="5"/>
      <c r="P218" s="57"/>
      <c r="Q218" s="5"/>
      <c r="R218" s="5"/>
      <c r="S218" s="5"/>
      <c r="T218" s="5"/>
      <c r="U218" s="5"/>
      <c r="V218" s="5"/>
      <c r="W218" s="5"/>
      <c r="X218" s="5"/>
      <c r="Y218" s="5"/>
      <c r="Z218" s="5"/>
      <c r="AA218" s="5"/>
    </row>
    <row r="219" spans="1:27" ht="12.75" customHeight="1">
      <c r="A219" s="5"/>
      <c r="B219" s="5"/>
      <c r="C219" s="5"/>
      <c r="D219" s="5"/>
      <c r="E219" s="5"/>
      <c r="F219" s="5"/>
      <c r="G219" s="5"/>
      <c r="H219" s="306"/>
      <c r="I219" s="306"/>
      <c r="J219" s="5"/>
      <c r="K219" s="5"/>
      <c r="L219" s="5"/>
      <c r="M219" s="5"/>
      <c r="N219" s="5"/>
      <c r="O219" s="5"/>
      <c r="P219" s="57"/>
      <c r="Q219" s="5"/>
      <c r="R219" s="5"/>
      <c r="S219" s="5"/>
      <c r="T219" s="5"/>
      <c r="U219" s="5"/>
      <c r="V219" s="5"/>
      <c r="W219" s="5"/>
      <c r="X219" s="5"/>
      <c r="Y219" s="5"/>
      <c r="Z219" s="5"/>
      <c r="AA219" s="5"/>
    </row>
    <row r="220" spans="1:27" ht="12.75" customHeight="1">
      <c r="A220" s="5"/>
      <c r="B220" s="5"/>
      <c r="C220" s="5"/>
      <c r="D220" s="5"/>
      <c r="E220" s="5"/>
      <c r="F220" s="5"/>
      <c r="G220" s="5"/>
      <c r="H220" s="306"/>
      <c r="I220" s="306"/>
      <c r="J220" s="5"/>
      <c r="K220" s="5"/>
      <c r="L220" s="5"/>
      <c r="M220" s="5"/>
      <c r="N220" s="5"/>
      <c r="O220" s="5"/>
      <c r="P220" s="57"/>
      <c r="Q220" s="5"/>
      <c r="R220" s="5"/>
      <c r="S220" s="5"/>
      <c r="T220" s="5"/>
      <c r="U220" s="5"/>
      <c r="V220" s="5"/>
      <c r="W220" s="5"/>
      <c r="X220" s="5"/>
      <c r="Y220" s="5"/>
      <c r="Z220" s="5"/>
      <c r="AA220" s="5"/>
    </row>
    <row r="221" spans="1:27" ht="12.75" customHeight="1">
      <c r="A221" s="5"/>
      <c r="B221" s="5"/>
      <c r="C221" s="5"/>
      <c r="D221" s="5"/>
      <c r="E221" s="5"/>
      <c r="F221" s="5"/>
      <c r="G221" s="5"/>
      <c r="H221" s="306"/>
      <c r="I221" s="306"/>
      <c r="J221" s="5"/>
      <c r="K221" s="5"/>
      <c r="L221" s="5"/>
      <c r="M221" s="5"/>
      <c r="N221" s="5"/>
      <c r="O221" s="5"/>
      <c r="P221" s="57"/>
      <c r="Q221" s="5"/>
      <c r="R221" s="5"/>
      <c r="S221" s="5"/>
      <c r="T221" s="5"/>
      <c r="U221" s="5"/>
      <c r="V221" s="5"/>
      <c r="W221" s="5"/>
      <c r="X221" s="5"/>
      <c r="Y221" s="5"/>
      <c r="Z221" s="5"/>
      <c r="AA221" s="5"/>
    </row>
    <row r="222" spans="1:27" ht="12.75" customHeight="1">
      <c r="A222" s="5"/>
      <c r="B222" s="5"/>
      <c r="C222" s="5"/>
      <c r="D222" s="5"/>
      <c r="E222" s="5"/>
      <c r="F222" s="5"/>
      <c r="G222" s="5"/>
      <c r="H222" s="306"/>
      <c r="I222" s="306"/>
      <c r="J222" s="5"/>
      <c r="K222" s="5"/>
      <c r="L222" s="5"/>
      <c r="M222" s="5"/>
      <c r="N222" s="5"/>
      <c r="O222" s="5"/>
      <c r="P222" s="57"/>
      <c r="Q222" s="5"/>
      <c r="R222" s="5"/>
      <c r="S222" s="5"/>
      <c r="T222" s="5"/>
      <c r="U222" s="5"/>
      <c r="V222" s="5"/>
      <c r="W222" s="5"/>
      <c r="X222" s="5"/>
      <c r="Y222" s="5"/>
      <c r="Z222" s="5"/>
      <c r="AA222" s="5"/>
    </row>
    <row r="223" spans="1:27" ht="12.75" customHeight="1">
      <c r="A223" s="5"/>
      <c r="B223" s="5"/>
      <c r="C223" s="5"/>
      <c r="D223" s="5"/>
      <c r="E223" s="5"/>
      <c r="F223" s="5"/>
      <c r="G223" s="5"/>
      <c r="H223" s="306"/>
      <c r="I223" s="306"/>
      <c r="J223" s="5"/>
      <c r="K223" s="5"/>
      <c r="L223" s="5"/>
      <c r="M223" s="5"/>
      <c r="N223" s="5"/>
      <c r="O223" s="5"/>
      <c r="P223" s="57"/>
      <c r="Q223" s="5"/>
      <c r="R223" s="5"/>
      <c r="S223" s="5"/>
      <c r="T223" s="5"/>
      <c r="U223" s="5"/>
      <c r="V223" s="5"/>
      <c r="W223" s="5"/>
      <c r="X223" s="5"/>
      <c r="Y223" s="5"/>
      <c r="Z223" s="5"/>
      <c r="AA223" s="5"/>
    </row>
    <row r="224" spans="1:27" ht="12.75" customHeight="1">
      <c r="A224" s="5"/>
      <c r="B224" s="5"/>
      <c r="C224" s="5"/>
      <c r="D224" s="5"/>
      <c r="E224" s="5"/>
      <c r="F224" s="5"/>
      <c r="G224" s="5"/>
      <c r="H224" s="306"/>
      <c r="I224" s="306"/>
      <c r="J224" s="5"/>
      <c r="K224" s="5"/>
      <c r="L224" s="5"/>
      <c r="M224" s="5"/>
      <c r="N224" s="5"/>
      <c r="O224" s="5"/>
      <c r="P224" s="57"/>
      <c r="Q224" s="5"/>
      <c r="R224" s="5"/>
      <c r="S224" s="5"/>
      <c r="T224" s="5"/>
      <c r="U224" s="5"/>
      <c r="V224" s="5"/>
      <c r="W224" s="5"/>
      <c r="X224" s="5"/>
      <c r="Y224" s="5"/>
      <c r="Z224" s="5"/>
      <c r="AA224" s="5"/>
    </row>
    <row r="225" spans="1:27" ht="12.75" customHeight="1">
      <c r="A225" s="5"/>
      <c r="B225" s="5"/>
      <c r="C225" s="5"/>
      <c r="D225" s="5"/>
      <c r="E225" s="5"/>
      <c r="F225" s="5"/>
      <c r="G225" s="5"/>
      <c r="H225" s="306"/>
      <c r="I225" s="306"/>
      <c r="J225" s="5"/>
      <c r="K225" s="5"/>
      <c r="L225" s="5"/>
      <c r="M225" s="5"/>
      <c r="N225" s="5"/>
      <c r="O225" s="5"/>
      <c r="P225" s="57"/>
      <c r="Q225" s="5"/>
      <c r="R225" s="5"/>
      <c r="S225" s="5"/>
      <c r="T225" s="5"/>
      <c r="U225" s="5"/>
      <c r="V225" s="5"/>
      <c r="W225" s="5"/>
      <c r="X225" s="5"/>
      <c r="Y225" s="5"/>
      <c r="Z225" s="5"/>
      <c r="AA225" s="5"/>
    </row>
    <row r="226" spans="1:27" ht="12.75" customHeight="1">
      <c r="A226" s="5"/>
      <c r="B226" s="5"/>
      <c r="C226" s="5"/>
      <c r="D226" s="5"/>
      <c r="E226" s="5"/>
      <c r="F226" s="5"/>
      <c r="G226" s="5"/>
      <c r="H226" s="306"/>
      <c r="I226" s="306"/>
      <c r="J226" s="5"/>
      <c r="K226" s="5"/>
      <c r="L226" s="5"/>
      <c r="M226" s="5"/>
      <c r="N226" s="5"/>
      <c r="O226" s="5"/>
      <c r="P226" s="57"/>
      <c r="Q226" s="5"/>
      <c r="R226" s="5"/>
      <c r="S226" s="5"/>
      <c r="T226" s="5"/>
      <c r="U226" s="5"/>
      <c r="V226" s="5"/>
      <c r="W226" s="5"/>
      <c r="X226" s="5"/>
      <c r="Y226" s="5"/>
      <c r="Z226" s="5"/>
      <c r="AA226" s="5"/>
    </row>
    <row r="227" spans="1:27" ht="12.75" customHeight="1">
      <c r="A227" s="5"/>
      <c r="B227" s="5"/>
      <c r="C227" s="5"/>
      <c r="D227" s="5"/>
      <c r="E227" s="5"/>
      <c r="F227" s="5"/>
      <c r="G227" s="5"/>
      <c r="H227" s="306"/>
      <c r="I227" s="306"/>
      <c r="J227" s="5"/>
      <c r="K227" s="5"/>
      <c r="L227" s="5"/>
      <c r="M227" s="5"/>
      <c r="N227" s="5"/>
      <c r="O227" s="5"/>
      <c r="P227" s="57"/>
      <c r="Q227" s="5"/>
      <c r="R227" s="5"/>
      <c r="S227" s="5"/>
      <c r="T227" s="5"/>
      <c r="U227" s="5"/>
      <c r="V227" s="5"/>
      <c r="W227" s="5"/>
      <c r="X227" s="5"/>
      <c r="Y227" s="5"/>
      <c r="Z227" s="5"/>
      <c r="AA227" s="5"/>
    </row>
    <row r="228" spans="1:27" ht="12.75" customHeight="1">
      <c r="A228" s="5"/>
      <c r="B228" s="5"/>
      <c r="C228" s="5"/>
      <c r="D228" s="5"/>
      <c r="E228" s="5"/>
      <c r="F228" s="5"/>
      <c r="G228" s="5"/>
      <c r="H228" s="306"/>
      <c r="I228" s="306"/>
      <c r="J228" s="5"/>
      <c r="K228" s="5"/>
      <c r="L228" s="5"/>
      <c r="M228" s="5"/>
      <c r="N228" s="5"/>
      <c r="O228" s="5"/>
      <c r="P228" s="57"/>
      <c r="Q228" s="5"/>
      <c r="R228" s="5"/>
      <c r="S228" s="5"/>
      <c r="T228" s="5"/>
      <c r="U228" s="5"/>
      <c r="V228" s="5"/>
      <c r="W228" s="5"/>
      <c r="X228" s="5"/>
      <c r="Y228" s="5"/>
      <c r="Z228" s="5"/>
      <c r="AA228" s="5"/>
    </row>
    <row r="229" spans="1:27" ht="12.75" customHeight="1">
      <c r="A229" s="5"/>
      <c r="B229" s="5"/>
      <c r="C229" s="5"/>
      <c r="D229" s="5"/>
      <c r="E229" s="5"/>
      <c r="F229" s="5"/>
      <c r="G229" s="5"/>
      <c r="H229" s="306"/>
      <c r="I229" s="306"/>
      <c r="J229" s="5"/>
      <c r="K229" s="5"/>
      <c r="L229" s="5"/>
      <c r="M229" s="5"/>
      <c r="N229" s="5"/>
      <c r="O229" s="5"/>
      <c r="P229" s="57"/>
      <c r="Q229" s="5"/>
      <c r="R229" s="5"/>
      <c r="S229" s="5"/>
      <c r="T229" s="5"/>
      <c r="U229" s="5"/>
      <c r="V229" s="5"/>
      <c r="W229" s="5"/>
      <c r="X229" s="5"/>
      <c r="Y229" s="5"/>
      <c r="Z229" s="5"/>
      <c r="AA229" s="5"/>
    </row>
    <row r="230" spans="1:27" ht="12.75" customHeight="1">
      <c r="A230" s="5"/>
      <c r="B230" s="5"/>
      <c r="C230" s="5"/>
      <c r="D230" s="5"/>
      <c r="E230" s="5"/>
      <c r="F230" s="5"/>
      <c r="G230" s="5"/>
      <c r="H230" s="306"/>
      <c r="I230" s="306"/>
      <c r="J230" s="5"/>
      <c r="K230" s="5"/>
      <c r="L230" s="5"/>
      <c r="M230" s="5"/>
      <c r="N230" s="5"/>
      <c r="O230" s="5"/>
      <c r="P230" s="57"/>
      <c r="Q230" s="5"/>
      <c r="R230" s="5"/>
      <c r="S230" s="5"/>
      <c r="T230" s="5"/>
      <c r="U230" s="5"/>
      <c r="V230" s="5"/>
      <c r="W230" s="5"/>
      <c r="X230" s="5"/>
      <c r="Y230" s="5"/>
      <c r="Z230" s="5"/>
      <c r="AA230" s="5"/>
    </row>
    <row r="231" spans="1:27" ht="12.75" customHeight="1">
      <c r="A231" s="5"/>
      <c r="B231" s="5"/>
      <c r="C231" s="5"/>
      <c r="D231" s="5"/>
      <c r="E231" s="5"/>
      <c r="F231" s="5"/>
      <c r="G231" s="5"/>
      <c r="H231" s="306"/>
      <c r="I231" s="306"/>
      <c r="J231" s="5"/>
      <c r="K231" s="5"/>
      <c r="L231" s="5"/>
      <c r="M231" s="5"/>
      <c r="N231" s="5"/>
      <c r="O231" s="5"/>
      <c r="P231" s="57"/>
      <c r="Q231" s="5"/>
      <c r="R231" s="5"/>
      <c r="S231" s="5"/>
      <c r="T231" s="5"/>
      <c r="U231" s="5"/>
      <c r="V231" s="5"/>
      <c r="W231" s="5"/>
      <c r="X231" s="5"/>
      <c r="Y231" s="5"/>
      <c r="Z231" s="5"/>
      <c r="AA231" s="5"/>
    </row>
    <row r="232" spans="1:27" ht="12.75" customHeight="1">
      <c r="A232" s="5"/>
      <c r="B232" s="5"/>
      <c r="C232" s="5"/>
      <c r="D232" s="5"/>
      <c r="E232" s="5"/>
      <c r="F232" s="5"/>
      <c r="G232" s="5"/>
      <c r="H232" s="306"/>
      <c r="I232" s="306"/>
      <c r="J232" s="5"/>
      <c r="K232" s="5"/>
      <c r="L232" s="5"/>
      <c r="M232" s="5"/>
      <c r="N232" s="5"/>
      <c r="O232" s="5"/>
      <c r="P232" s="57"/>
      <c r="Q232" s="5"/>
      <c r="R232" s="5"/>
      <c r="S232" s="5"/>
      <c r="T232" s="5"/>
      <c r="U232" s="5"/>
      <c r="V232" s="5"/>
      <c r="W232" s="5"/>
      <c r="X232" s="5"/>
      <c r="Y232" s="5"/>
      <c r="Z232" s="5"/>
      <c r="AA232" s="5"/>
    </row>
    <row r="233" spans="1:27" ht="12.75" customHeight="1">
      <c r="A233" s="5"/>
      <c r="B233" s="5"/>
      <c r="C233" s="5"/>
      <c r="D233" s="5"/>
      <c r="E233" s="5"/>
      <c r="F233" s="5"/>
      <c r="G233" s="5"/>
      <c r="H233" s="306"/>
      <c r="I233" s="306"/>
      <c r="J233" s="5"/>
      <c r="K233" s="5"/>
      <c r="L233" s="5"/>
      <c r="M233" s="5"/>
      <c r="N233" s="5"/>
      <c r="O233" s="5"/>
      <c r="P233" s="57"/>
      <c r="Q233" s="5"/>
      <c r="R233" s="5"/>
      <c r="S233" s="5"/>
      <c r="T233" s="5"/>
      <c r="U233" s="5"/>
      <c r="V233" s="5"/>
      <c r="W233" s="5"/>
      <c r="X233" s="5"/>
      <c r="Y233" s="5"/>
      <c r="Z233" s="5"/>
      <c r="AA233" s="5"/>
    </row>
    <row r="234" spans="1:27" ht="12.75" customHeight="1">
      <c r="A234" s="5"/>
      <c r="B234" s="5"/>
      <c r="C234" s="5"/>
      <c r="D234" s="5"/>
      <c r="E234" s="5"/>
      <c r="F234" s="5"/>
      <c r="G234" s="5"/>
      <c r="H234" s="306"/>
      <c r="I234" s="306"/>
      <c r="J234" s="5"/>
      <c r="K234" s="5"/>
      <c r="L234" s="5"/>
      <c r="M234" s="5"/>
      <c r="N234" s="5"/>
      <c r="O234" s="5"/>
      <c r="P234" s="57"/>
      <c r="Q234" s="5"/>
      <c r="R234" s="5"/>
      <c r="S234" s="5"/>
      <c r="T234" s="5"/>
      <c r="U234" s="5"/>
      <c r="V234" s="5"/>
      <c r="W234" s="5"/>
      <c r="X234" s="5"/>
      <c r="Y234" s="5"/>
      <c r="Z234" s="5"/>
      <c r="AA234" s="5"/>
    </row>
    <row r="235" spans="1:27" ht="12.75" customHeight="1">
      <c r="A235" s="5"/>
      <c r="B235" s="5"/>
      <c r="C235" s="5"/>
      <c r="D235" s="5"/>
      <c r="E235" s="5"/>
      <c r="F235" s="5"/>
      <c r="G235" s="5"/>
      <c r="H235" s="306"/>
      <c r="I235" s="306"/>
      <c r="J235" s="5"/>
      <c r="K235" s="5"/>
      <c r="L235" s="5"/>
      <c r="M235" s="5"/>
      <c r="N235" s="5"/>
      <c r="O235" s="5"/>
      <c r="P235" s="57"/>
      <c r="Q235" s="5"/>
      <c r="R235" s="5"/>
      <c r="S235" s="5"/>
      <c r="T235" s="5"/>
      <c r="U235" s="5"/>
      <c r="V235" s="5"/>
      <c r="W235" s="5"/>
      <c r="X235" s="5"/>
      <c r="Y235" s="5"/>
      <c r="Z235" s="5"/>
      <c r="AA235" s="5"/>
    </row>
    <row r="236" spans="1:27" ht="12.75" customHeight="1">
      <c r="A236" s="5"/>
      <c r="B236" s="5"/>
      <c r="C236" s="5"/>
      <c r="D236" s="5"/>
      <c r="E236" s="5"/>
      <c r="F236" s="5"/>
      <c r="G236" s="5"/>
      <c r="H236" s="306"/>
      <c r="I236" s="306"/>
      <c r="J236" s="5"/>
      <c r="K236" s="5"/>
      <c r="L236" s="5"/>
      <c r="M236" s="5"/>
      <c r="N236" s="5"/>
      <c r="O236" s="5"/>
      <c r="P236" s="57"/>
      <c r="Q236" s="5"/>
      <c r="R236" s="5"/>
      <c r="S236" s="5"/>
      <c r="T236" s="5"/>
      <c r="U236" s="5"/>
      <c r="V236" s="5"/>
      <c r="W236" s="5"/>
      <c r="X236" s="5"/>
      <c r="Y236" s="5"/>
      <c r="Z236" s="5"/>
      <c r="AA236" s="5"/>
    </row>
    <row r="237" spans="1:27" ht="12.75" customHeight="1">
      <c r="A237" s="5"/>
      <c r="B237" s="5"/>
      <c r="C237" s="5"/>
      <c r="D237" s="5"/>
      <c r="E237" s="5"/>
      <c r="F237" s="5"/>
      <c r="G237" s="5"/>
      <c r="H237" s="306"/>
      <c r="I237" s="306"/>
      <c r="J237" s="5"/>
      <c r="K237" s="5"/>
      <c r="L237" s="5"/>
      <c r="M237" s="5"/>
      <c r="N237" s="5"/>
      <c r="O237" s="5"/>
      <c r="P237" s="57"/>
      <c r="Q237" s="5"/>
      <c r="R237" s="5"/>
      <c r="S237" s="5"/>
      <c r="T237" s="5"/>
      <c r="U237" s="5"/>
      <c r="V237" s="5"/>
      <c r="W237" s="5"/>
      <c r="X237" s="5"/>
      <c r="Y237" s="5"/>
      <c r="Z237" s="5"/>
      <c r="AA237" s="5"/>
    </row>
    <row r="238" spans="1:27" ht="12.75" customHeight="1">
      <c r="A238" s="5"/>
      <c r="B238" s="5"/>
      <c r="C238" s="5"/>
      <c r="D238" s="5"/>
      <c r="E238" s="5"/>
      <c r="F238" s="5"/>
      <c r="G238" s="5"/>
      <c r="H238" s="306"/>
      <c r="I238" s="306"/>
      <c r="J238" s="5"/>
      <c r="K238" s="5"/>
      <c r="L238" s="5"/>
      <c r="M238" s="5"/>
      <c r="N238" s="5"/>
      <c r="O238" s="5"/>
      <c r="P238" s="57"/>
      <c r="Q238" s="5"/>
      <c r="R238" s="5"/>
      <c r="S238" s="5"/>
      <c r="T238" s="5"/>
      <c r="U238" s="5"/>
      <c r="V238" s="5"/>
      <c r="W238" s="5"/>
      <c r="X238" s="5"/>
      <c r="Y238" s="5"/>
      <c r="Z238" s="5"/>
      <c r="AA238" s="5"/>
    </row>
    <row r="239" spans="1:27" ht="12.75" customHeight="1">
      <c r="A239" s="5"/>
      <c r="B239" s="5"/>
      <c r="C239" s="5"/>
      <c r="D239" s="5"/>
      <c r="E239" s="5"/>
      <c r="F239" s="5"/>
      <c r="G239" s="5"/>
      <c r="H239" s="306"/>
      <c r="I239" s="306"/>
      <c r="J239" s="5"/>
      <c r="K239" s="5"/>
      <c r="L239" s="5"/>
      <c r="M239" s="5"/>
      <c r="N239" s="5"/>
      <c r="O239" s="5"/>
      <c r="P239" s="57"/>
      <c r="Q239" s="5"/>
      <c r="R239" s="5"/>
      <c r="S239" s="5"/>
      <c r="T239" s="5"/>
      <c r="U239" s="5"/>
      <c r="V239" s="5"/>
      <c r="W239" s="5"/>
      <c r="X239" s="5"/>
      <c r="Y239" s="5"/>
      <c r="Z239" s="5"/>
      <c r="AA239" s="5"/>
    </row>
    <row r="240" spans="1:27" ht="12.75" customHeight="1">
      <c r="A240" s="5"/>
      <c r="B240" s="5"/>
      <c r="C240" s="5"/>
      <c r="D240" s="5"/>
      <c r="E240" s="5"/>
      <c r="F240" s="5"/>
      <c r="G240" s="5"/>
      <c r="H240" s="306"/>
      <c r="I240" s="306"/>
      <c r="J240" s="5"/>
      <c r="K240" s="5"/>
      <c r="L240" s="5"/>
      <c r="M240" s="5"/>
      <c r="N240" s="5"/>
      <c r="O240" s="5"/>
      <c r="P240" s="57"/>
      <c r="Q240" s="5"/>
      <c r="R240" s="5"/>
      <c r="S240" s="5"/>
      <c r="T240" s="5"/>
      <c r="U240" s="5"/>
      <c r="V240" s="5"/>
      <c r="W240" s="5"/>
      <c r="X240" s="5"/>
      <c r="Y240" s="5"/>
      <c r="Z240" s="5"/>
      <c r="AA240" s="5"/>
    </row>
    <row r="241" spans="1:27" ht="12.75" customHeight="1">
      <c r="A241" s="5"/>
      <c r="B241" s="5"/>
      <c r="C241" s="5"/>
      <c r="D241" s="5"/>
      <c r="E241" s="5"/>
      <c r="F241" s="5"/>
      <c r="G241" s="5"/>
      <c r="H241" s="306"/>
      <c r="I241" s="306"/>
      <c r="J241" s="5"/>
      <c r="K241" s="5"/>
      <c r="L241" s="5"/>
      <c r="M241" s="5"/>
      <c r="N241" s="5"/>
      <c r="O241" s="5"/>
      <c r="P241" s="57"/>
      <c r="Q241" s="5"/>
      <c r="R241" s="5"/>
      <c r="S241" s="5"/>
      <c r="T241" s="5"/>
      <c r="U241" s="5"/>
      <c r="V241" s="5"/>
      <c r="W241" s="5"/>
      <c r="X241" s="5"/>
      <c r="Y241" s="5"/>
      <c r="Z241" s="5"/>
      <c r="AA241" s="5"/>
    </row>
    <row r="242" spans="1:27" ht="12.75" customHeight="1">
      <c r="A242" s="5"/>
      <c r="B242" s="5"/>
      <c r="C242" s="5"/>
      <c r="D242" s="5"/>
      <c r="E242" s="5"/>
      <c r="F242" s="5"/>
      <c r="G242" s="5"/>
      <c r="H242" s="306"/>
      <c r="I242" s="306"/>
      <c r="J242" s="5"/>
      <c r="K242" s="5"/>
      <c r="L242" s="5"/>
      <c r="M242" s="5"/>
      <c r="N242" s="5"/>
      <c r="O242" s="5"/>
      <c r="P242" s="57"/>
      <c r="Q242" s="5"/>
      <c r="R242" s="5"/>
      <c r="S242" s="5"/>
      <c r="T242" s="5"/>
      <c r="U242" s="5"/>
      <c r="V242" s="5"/>
      <c r="W242" s="5"/>
      <c r="X242" s="5"/>
      <c r="Y242" s="5"/>
      <c r="Z242" s="5"/>
      <c r="AA242" s="5"/>
    </row>
    <row r="243" spans="1:27" ht="12.75" customHeight="1">
      <c r="A243" s="5"/>
      <c r="B243" s="5"/>
      <c r="C243" s="5"/>
      <c r="D243" s="5"/>
      <c r="E243" s="5"/>
      <c r="F243" s="5"/>
      <c r="G243" s="5"/>
      <c r="H243" s="306"/>
      <c r="I243" s="306"/>
      <c r="J243" s="5"/>
      <c r="K243" s="5"/>
      <c r="L243" s="5"/>
      <c r="M243" s="5"/>
      <c r="N243" s="5"/>
      <c r="O243" s="5"/>
      <c r="P243" s="57"/>
      <c r="Q243" s="5"/>
      <c r="R243" s="5"/>
      <c r="S243" s="5"/>
      <c r="T243" s="5"/>
      <c r="U243" s="5"/>
      <c r="V243" s="5"/>
      <c r="W243" s="5"/>
      <c r="X243" s="5"/>
      <c r="Y243" s="5"/>
      <c r="Z243" s="5"/>
      <c r="AA243" s="5"/>
    </row>
    <row r="244" spans="1:27" ht="12.75" customHeight="1">
      <c r="A244" s="5"/>
      <c r="B244" s="5"/>
      <c r="C244" s="5"/>
      <c r="D244" s="5"/>
      <c r="E244" s="5"/>
      <c r="F244" s="5"/>
      <c r="G244" s="5"/>
      <c r="H244" s="306"/>
      <c r="I244" s="306"/>
      <c r="J244" s="5"/>
      <c r="K244" s="5"/>
      <c r="L244" s="5"/>
      <c r="M244" s="5"/>
      <c r="N244" s="5"/>
      <c r="O244" s="5"/>
      <c r="P244" s="57"/>
      <c r="Q244" s="5"/>
      <c r="R244" s="5"/>
      <c r="S244" s="5"/>
      <c r="T244" s="5"/>
      <c r="U244" s="5"/>
      <c r="V244" s="5"/>
      <c r="W244" s="5"/>
      <c r="X244" s="5"/>
      <c r="Y244" s="5"/>
      <c r="Z244" s="5"/>
      <c r="AA244" s="5"/>
    </row>
    <row r="245" spans="1:27" ht="12.75" customHeight="1">
      <c r="A245" s="5"/>
      <c r="B245" s="5"/>
      <c r="C245" s="5"/>
      <c r="D245" s="5"/>
      <c r="E245" s="5"/>
      <c r="F245" s="5"/>
      <c r="G245" s="5"/>
      <c r="H245" s="306"/>
      <c r="I245" s="306"/>
      <c r="J245" s="5"/>
      <c r="K245" s="5"/>
      <c r="L245" s="5"/>
      <c r="M245" s="5"/>
      <c r="N245" s="5"/>
      <c r="O245" s="5"/>
      <c r="P245" s="57"/>
      <c r="Q245" s="5"/>
      <c r="R245" s="5"/>
      <c r="S245" s="5"/>
      <c r="T245" s="5"/>
      <c r="U245" s="5"/>
      <c r="V245" s="5"/>
      <c r="W245" s="5"/>
      <c r="X245" s="5"/>
      <c r="Y245" s="5"/>
      <c r="Z245" s="5"/>
      <c r="AA245" s="5"/>
    </row>
    <row r="246" spans="1:27" ht="12.75" customHeight="1">
      <c r="A246" s="5"/>
      <c r="B246" s="5"/>
      <c r="C246" s="5"/>
      <c r="D246" s="5"/>
      <c r="E246" s="5"/>
      <c r="F246" s="5"/>
      <c r="G246" s="5"/>
      <c r="H246" s="306"/>
      <c r="I246" s="306"/>
      <c r="J246" s="5"/>
      <c r="K246" s="5"/>
      <c r="L246" s="5"/>
      <c r="M246" s="5"/>
      <c r="N246" s="5"/>
      <c r="O246" s="5"/>
      <c r="P246" s="57"/>
      <c r="Q246" s="5"/>
      <c r="R246" s="5"/>
      <c r="S246" s="5"/>
      <c r="T246" s="5"/>
      <c r="U246" s="5"/>
      <c r="V246" s="5"/>
      <c r="W246" s="5"/>
      <c r="X246" s="5"/>
      <c r="Y246" s="5"/>
      <c r="Z246" s="5"/>
      <c r="AA246" s="5"/>
    </row>
    <row r="247" spans="1:27" ht="12.75" customHeight="1">
      <c r="A247" s="5"/>
      <c r="B247" s="5"/>
      <c r="C247" s="5"/>
      <c r="D247" s="5"/>
      <c r="E247" s="5"/>
      <c r="F247" s="5"/>
      <c r="G247" s="5"/>
      <c r="H247" s="306"/>
      <c r="I247" s="306"/>
      <c r="J247" s="5"/>
      <c r="K247" s="5"/>
      <c r="L247" s="5"/>
      <c r="M247" s="5"/>
      <c r="N247" s="5"/>
      <c r="O247" s="5"/>
      <c r="P247" s="57"/>
      <c r="Q247" s="5"/>
      <c r="R247" s="5"/>
      <c r="S247" s="5"/>
      <c r="T247" s="5"/>
      <c r="U247" s="5"/>
      <c r="V247" s="5"/>
      <c r="W247" s="5"/>
      <c r="X247" s="5"/>
      <c r="Y247" s="5"/>
      <c r="Z247" s="5"/>
      <c r="AA247" s="5"/>
    </row>
    <row r="248" spans="1:27" ht="12.75" customHeight="1">
      <c r="A248" s="5"/>
      <c r="B248" s="5"/>
      <c r="C248" s="5"/>
      <c r="D248" s="5"/>
      <c r="E248" s="5"/>
      <c r="F248" s="5"/>
      <c r="G248" s="5"/>
      <c r="H248" s="306"/>
      <c r="I248" s="306"/>
      <c r="J248" s="5"/>
      <c r="K248" s="5"/>
      <c r="L248" s="5"/>
      <c r="M248" s="5"/>
      <c r="N248" s="5"/>
      <c r="O248" s="5"/>
      <c r="P248" s="57"/>
      <c r="Q248" s="5"/>
      <c r="R248" s="5"/>
      <c r="S248" s="5"/>
      <c r="T248" s="5"/>
      <c r="U248" s="5"/>
      <c r="V248" s="5"/>
      <c r="W248" s="5"/>
      <c r="X248" s="5"/>
      <c r="Y248" s="5"/>
      <c r="Z248" s="5"/>
      <c r="AA248" s="5"/>
    </row>
    <row r="249" spans="1:27" ht="12.75" customHeight="1">
      <c r="A249" s="5"/>
      <c r="B249" s="5"/>
      <c r="C249" s="5"/>
      <c r="D249" s="5"/>
      <c r="E249" s="5"/>
      <c r="F249" s="5"/>
      <c r="G249" s="5"/>
      <c r="H249" s="306"/>
      <c r="I249" s="306"/>
      <c r="J249" s="5"/>
      <c r="K249" s="5"/>
      <c r="L249" s="5"/>
      <c r="M249" s="5"/>
      <c r="N249" s="5"/>
      <c r="O249" s="5"/>
      <c r="P249" s="57"/>
      <c r="Q249" s="5"/>
      <c r="R249" s="5"/>
      <c r="S249" s="5"/>
      <c r="T249" s="5"/>
      <c r="U249" s="5"/>
      <c r="V249" s="5"/>
      <c r="W249" s="5"/>
      <c r="X249" s="5"/>
      <c r="Y249" s="5"/>
      <c r="Z249" s="5"/>
      <c r="AA249" s="5"/>
    </row>
    <row r="250" spans="1:27" ht="12.75" customHeight="1">
      <c r="A250" s="5"/>
      <c r="B250" s="5"/>
      <c r="C250" s="5"/>
      <c r="D250" s="5"/>
      <c r="E250" s="5"/>
      <c r="F250" s="5"/>
      <c r="G250" s="5"/>
      <c r="H250" s="306"/>
      <c r="I250" s="306"/>
      <c r="J250" s="5"/>
      <c r="K250" s="5"/>
      <c r="L250" s="5"/>
      <c r="M250" s="5"/>
      <c r="N250" s="5"/>
      <c r="O250" s="5"/>
      <c r="P250" s="57"/>
      <c r="Q250" s="5"/>
      <c r="R250" s="5"/>
      <c r="S250" s="5"/>
      <c r="T250" s="5"/>
      <c r="U250" s="5"/>
      <c r="V250" s="5"/>
      <c r="W250" s="5"/>
      <c r="X250" s="5"/>
      <c r="Y250" s="5"/>
      <c r="Z250" s="5"/>
      <c r="AA250" s="5"/>
    </row>
    <row r="251" spans="1:27" ht="12.75" customHeight="1">
      <c r="A251" s="5"/>
      <c r="B251" s="5"/>
      <c r="C251" s="5"/>
      <c r="D251" s="5"/>
      <c r="E251" s="5"/>
      <c r="F251" s="5"/>
      <c r="G251" s="5"/>
      <c r="H251" s="306"/>
      <c r="I251" s="306"/>
      <c r="J251" s="5"/>
      <c r="K251" s="5"/>
      <c r="L251" s="5"/>
      <c r="M251" s="5"/>
      <c r="N251" s="5"/>
      <c r="O251" s="5"/>
      <c r="P251" s="57"/>
      <c r="Q251" s="5"/>
      <c r="R251" s="5"/>
      <c r="S251" s="5"/>
      <c r="T251" s="5"/>
      <c r="U251" s="5"/>
      <c r="V251" s="5"/>
      <c r="W251" s="5"/>
      <c r="X251" s="5"/>
      <c r="Y251" s="5"/>
      <c r="Z251" s="5"/>
      <c r="AA251" s="5"/>
    </row>
    <row r="252" spans="1:27" ht="12.75" customHeight="1">
      <c r="A252" s="5"/>
      <c r="B252" s="5"/>
      <c r="C252" s="5"/>
      <c r="D252" s="5"/>
      <c r="E252" s="5"/>
      <c r="F252" s="5"/>
      <c r="G252" s="5"/>
      <c r="H252" s="306"/>
      <c r="I252" s="306"/>
      <c r="J252" s="5"/>
      <c r="K252" s="5"/>
      <c r="L252" s="5"/>
      <c r="M252" s="5"/>
      <c r="N252" s="5"/>
      <c r="O252" s="5"/>
      <c r="P252" s="57"/>
      <c r="Q252" s="5"/>
      <c r="R252" s="5"/>
      <c r="S252" s="5"/>
      <c r="T252" s="5"/>
      <c r="U252" s="5"/>
      <c r="V252" s="5"/>
      <c r="W252" s="5"/>
      <c r="X252" s="5"/>
      <c r="Y252" s="5"/>
      <c r="Z252" s="5"/>
      <c r="AA252" s="5"/>
    </row>
    <row r="253" spans="1:27" ht="12.75" customHeight="1">
      <c r="A253" s="5"/>
      <c r="B253" s="5"/>
      <c r="C253" s="5"/>
      <c r="D253" s="5"/>
      <c r="E253" s="5"/>
      <c r="F253" s="5"/>
      <c r="G253" s="5"/>
      <c r="H253" s="306"/>
      <c r="I253" s="306"/>
      <c r="J253" s="5"/>
      <c r="K253" s="5"/>
      <c r="L253" s="5"/>
      <c r="M253" s="5"/>
      <c r="N253" s="5"/>
      <c r="O253" s="5"/>
      <c r="P253" s="57"/>
      <c r="Q253" s="5"/>
      <c r="R253" s="5"/>
      <c r="S253" s="5"/>
      <c r="T253" s="5"/>
      <c r="U253" s="5"/>
      <c r="V253" s="5"/>
      <c r="W253" s="5"/>
      <c r="X253" s="5"/>
      <c r="Y253" s="5"/>
      <c r="Z253" s="5"/>
      <c r="AA253" s="5"/>
    </row>
    <row r="254" spans="1:27" ht="12.75" customHeight="1">
      <c r="A254" s="5"/>
      <c r="B254" s="5"/>
      <c r="C254" s="5"/>
      <c r="D254" s="5"/>
      <c r="E254" s="5"/>
      <c r="F254" s="5"/>
      <c r="G254" s="5"/>
      <c r="H254" s="306"/>
      <c r="I254" s="306"/>
      <c r="J254" s="5"/>
      <c r="K254" s="5"/>
      <c r="L254" s="5"/>
      <c r="M254" s="5"/>
      <c r="N254" s="5"/>
      <c r="O254" s="5"/>
      <c r="P254" s="57"/>
      <c r="Q254" s="5"/>
      <c r="R254" s="5"/>
      <c r="S254" s="5"/>
      <c r="T254" s="5"/>
      <c r="U254" s="5"/>
      <c r="V254" s="5"/>
      <c r="W254" s="5"/>
      <c r="X254" s="5"/>
      <c r="Y254" s="5"/>
      <c r="Z254" s="5"/>
      <c r="AA254" s="5"/>
    </row>
    <row r="255" spans="1:27" ht="12.75" customHeight="1">
      <c r="A255" s="5"/>
      <c r="B255" s="5"/>
      <c r="C255" s="5"/>
      <c r="D255" s="5"/>
      <c r="E255" s="5"/>
      <c r="F255" s="5"/>
      <c r="G255" s="5"/>
      <c r="H255" s="306"/>
      <c r="I255" s="306"/>
      <c r="J255" s="5"/>
      <c r="K255" s="5"/>
      <c r="L255" s="5"/>
      <c r="M255" s="5"/>
      <c r="N255" s="5"/>
      <c r="O255" s="5"/>
      <c r="P255" s="57"/>
      <c r="Q255" s="5"/>
      <c r="R255" s="5"/>
      <c r="S255" s="5"/>
      <c r="T255" s="5"/>
      <c r="U255" s="5"/>
      <c r="V255" s="5"/>
      <c r="W255" s="5"/>
      <c r="X255" s="5"/>
      <c r="Y255" s="5"/>
      <c r="Z255" s="5"/>
      <c r="AA255" s="5"/>
    </row>
    <row r="256" spans="1:27" ht="12.75" customHeight="1">
      <c r="A256" s="5"/>
      <c r="B256" s="5"/>
      <c r="C256" s="5"/>
      <c r="D256" s="5"/>
      <c r="E256" s="5"/>
      <c r="F256" s="5"/>
      <c r="G256" s="5"/>
      <c r="H256" s="306"/>
      <c r="I256" s="306"/>
      <c r="J256" s="5"/>
      <c r="K256" s="5"/>
      <c r="L256" s="5"/>
      <c r="M256" s="5"/>
      <c r="N256" s="5"/>
      <c r="O256" s="5"/>
      <c r="P256" s="57"/>
      <c r="Q256" s="5"/>
      <c r="R256" s="5"/>
      <c r="S256" s="5"/>
      <c r="T256" s="5"/>
      <c r="U256" s="5"/>
      <c r="V256" s="5"/>
      <c r="W256" s="5"/>
      <c r="X256" s="5"/>
      <c r="Y256" s="5"/>
      <c r="Z256" s="5"/>
      <c r="AA256" s="5"/>
    </row>
    <row r="257" spans="1:27" ht="12.75" customHeight="1">
      <c r="A257" s="5"/>
      <c r="B257" s="5"/>
      <c r="C257" s="5"/>
      <c r="D257" s="5"/>
      <c r="E257" s="5"/>
      <c r="F257" s="5"/>
      <c r="G257" s="5"/>
      <c r="H257" s="306"/>
      <c r="I257" s="306"/>
      <c r="J257" s="5"/>
      <c r="K257" s="5"/>
      <c r="L257" s="5"/>
      <c r="M257" s="5"/>
      <c r="N257" s="5"/>
      <c r="O257" s="5"/>
      <c r="P257" s="57"/>
      <c r="Q257" s="5"/>
      <c r="R257" s="5"/>
      <c r="S257" s="5"/>
      <c r="T257" s="5"/>
      <c r="U257" s="5"/>
      <c r="V257" s="5"/>
      <c r="W257" s="5"/>
      <c r="X257" s="5"/>
      <c r="Y257" s="5"/>
      <c r="Z257" s="5"/>
      <c r="AA257" s="5"/>
    </row>
    <row r="258" spans="1:27" ht="12.75" customHeight="1">
      <c r="A258" s="5"/>
      <c r="B258" s="5"/>
      <c r="C258" s="5"/>
      <c r="D258" s="5"/>
      <c r="E258" s="5"/>
      <c r="F258" s="5"/>
      <c r="G258" s="5"/>
      <c r="H258" s="306"/>
      <c r="I258" s="306"/>
      <c r="J258" s="5"/>
      <c r="K258" s="5"/>
      <c r="L258" s="5"/>
      <c r="M258" s="5"/>
      <c r="N258" s="5"/>
      <c r="O258" s="5"/>
      <c r="P258" s="57"/>
      <c r="Q258" s="5"/>
      <c r="R258" s="5"/>
      <c r="S258" s="5"/>
      <c r="T258" s="5"/>
      <c r="U258" s="5"/>
      <c r="V258" s="5"/>
      <c r="W258" s="5"/>
      <c r="X258" s="5"/>
      <c r="Y258" s="5"/>
      <c r="Z258" s="5"/>
      <c r="AA258" s="5"/>
    </row>
    <row r="259" spans="1:27" ht="12.75" customHeight="1">
      <c r="A259" s="5"/>
      <c r="B259" s="5"/>
      <c r="C259" s="5"/>
      <c r="D259" s="5"/>
      <c r="E259" s="5"/>
      <c r="F259" s="5"/>
      <c r="G259" s="5"/>
      <c r="H259" s="306"/>
      <c r="I259" s="306"/>
      <c r="J259" s="5"/>
      <c r="K259" s="5"/>
      <c r="L259" s="5"/>
      <c r="M259" s="5"/>
      <c r="N259" s="5"/>
      <c r="O259" s="5"/>
      <c r="P259" s="57"/>
      <c r="Q259" s="5"/>
      <c r="R259" s="5"/>
      <c r="S259" s="5"/>
      <c r="T259" s="5"/>
      <c r="U259" s="5"/>
      <c r="V259" s="5"/>
      <c r="W259" s="5"/>
      <c r="X259" s="5"/>
      <c r="Y259" s="5"/>
      <c r="Z259" s="5"/>
      <c r="AA259" s="5"/>
    </row>
    <row r="260" spans="1:27" ht="12.75" customHeight="1">
      <c r="A260" s="5"/>
      <c r="B260" s="5"/>
      <c r="C260" s="5"/>
      <c r="D260" s="5"/>
      <c r="E260" s="5"/>
      <c r="F260" s="5"/>
      <c r="G260" s="5"/>
      <c r="H260" s="306"/>
      <c r="I260" s="306"/>
      <c r="J260" s="5"/>
      <c r="K260" s="5"/>
      <c r="L260" s="5"/>
      <c r="M260" s="5"/>
      <c r="N260" s="5"/>
      <c r="O260" s="5"/>
      <c r="P260" s="57"/>
      <c r="Q260" s="5"/>
      <c r="R260" s="5"/>
      <c r="S260" s="5"/>
      <c r="T260" s="5"/>
      <c r="U260" s="5"/>
      <c r="V260" s="5"/>
      <c r="W260" s="5"/>
      <c r="X260" s="5"/>
      <c r="Y260" s="5"/>
      <c r="Z260" s="5"/>
      <c r="AA260" s="5"/>
    </row>
    <row r="261" spans="1:27" ht="12.75" customHeight="1">
      <c r="A261" s="5"/>
      <c r="B261" s="5"/>
      <c r="C261" s="5"/>
      <c r="D261" s="5"/>
      <c r="E261" s="5"/>
      <c r="F261" s="5"/>
      <c r="G261" s="5"/>
      <c r="H261" s="306"/>
      <c r="I261" s="306"/>
      <c r="J261" s="5"/>
      <c r="K261" s="5"/>
      <c r="L261" s="5"/>
      <c r="M261" s="5"/>
      <c r="N261" s="5"/>
      <c r="O261" s="5"/>
      <c r="P261" s="57"/>
      <c r="Q261" s="5"/>
      <c r="R261" s="5"/>
      <c r="S261" s="5"/>
      <c r="T261" s="5"/>
      <c r="U261" s="5"/>
      <c r="V261" s="5"/>
      <c r="W261" s="5"/>
      <c r="X261" s="5"/>
      <c r="Y261" s="5"/>
      <c r="Z261" s="5"/>
      <c r="AA261" s="5"/>
    </row>
    <row r="262" spans="1:27" ht="12.75" customHeight="1">
      <c r="A262" s="5"/>
      <c r="B262" s="5"/>
      <c r="C262" s="5"/>
      <c r="D262" s="5"/>
      <c r="E262" s="5"/>
      <c r="F262" s="5"/>
      <c r="G262" s="5"/>
      <c r="H262" s="306"/>
      <c r="I262" s="306"/>
      <c r="J262" s="5"/>
      <c r="K262" s="5"/>
      <c r="L262" s="5"/>
      <c r="M262" s="5"/>
      <c r="N262" s="5"/>
      <c r="O262" s="5"/>
      <c r="P262" s="57"/>
      <c r="Q262" s="5"/>
      <c r="R262" s="5"/>
      <c r="S262" s="5"/>
      <c r="T262" s="5"/>
      <c r="U262" s="5"/>
      <c r="V262" s="5"/>
      <c r="W262" s="5"/>
      <c r="X262" s="5"/>
      <c r="Y262" s="5"/>
      <c r="Z262" s="5"/>
      <c r="AA262" s="5"/>
    </row>
    <row r="263" spans="1:27" ht="12.75" customHeight="1">
      <c r="A263" s="5"/>
      <c r="B263" s="5"/>
      <c r="C263" s="5"/>
      <c r="D263" s="5"/>
      <c r="E263" s="5"/>
      <c r="F263" s="5"/>
      <c r="G263" s="5"/>
      <c r="H263" s="306"/>
      <c r="I263" s="306"/>
      <c r="J263" s="5"/>
      <c r="K263" s="5"/>
      <c r="L263" s="5"/>
      <c r="M263" s="5"/>
      <c r="N263" s="5"/>
      <c r="O263" s="5"/>
      <c r="P263" s="57"/>
      <c r="Q263" s="5"/>
      <c r="R263" s="5"/>
      <c r="S263" s="5"/>
      <c r="T263" s="5"/>
      <c r="U263" s="5"/>
      <c r="V263" s="5"/>
      <c r="W263" s="5"/>
      <c r="X263" s="5"/>
      <c r="Y263" s="5"/>
      <c r="Z263" s="5"/>
      <c r="AA263" s="5"/>
    </row>
    <row r="264" spans="1:27" ht="12.75" customHeight="1">
      <c r="A264" s="5"/>
      <c r="B264" s="5"/>
      <c r="C264" s="5"/>
      <c r="D264" s="5"/>
      <c r="E264" s="5"/>
      <c r="F264" s="5"/>
      <c r="G264" s="5"/>
      <c r="H264" s="306"/>
      <c r="I264" s="306"/>
      <c r="J264" s="5"/>
      <c r="K264" s="5"/>
      <c r="L264" s="5"/>
      <c r="M264" s="5"/>
      <c r="N264" s="5"/>
      <c r="O264" s="5"/>
      <c r="P264" s="57"/>
      <c r="Q264" s="5"/>
      <c r="R264" s="5"/>
      <c r="S264" s="5"/>
      <c r="T264" s="5"/>
      <c r="U264" s="5"/>
      <c r="V264" s="5"/>
      <c r="W264" s="5"/>
      <c r="X264" s="5"/>
      <c r="Y264" s="5"/>
      <c r="Z264" s="5"/>
      <c r="AA264" s="5"/>
    </row>
    <row r="265" spans="1:27" ht="12.75" customHeight="1">
      <c r="A265" s="5"/>
      <c r="B265" s="5"/>
      <c r="C265" s="5"/>
      <c r="D265" s="5"/>
      <c r="E265" s="5"/>
      <c r="F265" s="5"/>
      <c r="G265" s="5"/>
      <c r="H265" s="306"/>
      <c r="I265" s="306"/>
      <c r="J265" s="5"/>
      <c r="K265" s="5"/>
      <c r="L265" s="5"/>
      <c r="M265" s="5"/>
      <c r="N265" s="5"/>
      <c r="O265" s="5"/>
      <c r="P265" s="57"/>
      <c r="Q265" s="5"/>
      <c r="R265" s="5"/>
      <c r="S265" s="5"/>
      <c r="T265" s="5"/>
      <c r="U265" s="5"/>
      <c r="V265" s="5"/>
      <c r="W265" s="5"/>
      <c r="X265" s="5"/>
      <c r="Y265" s="5"/>
      <c r="Z265" s="5"/>
      <c r="AA265" s="5"/>
    </row>
    <row r="266" spans="1:27" ht="12.75" customHeight="1">
      <c r="A266" s="5"/>
      <c r="B266" s="5"/>
      <c r="C266" s="5"/>
      <c r="D266" s="5"/>
      <c r="E266" s="5"/>
      <c r="F266" s="5"/>
      <c r="G266" s="5"/>
      <c r="H266" s="306"/>
      <c r="I266" s="306"/>
      <c r="J266" s="5"/>
      <c r="K266" s="5"/>
      <c r="L266" s="5"/>
      <c r="M266" s="5"/>
      <c r="N266" s="5"/>
      <c r="O266" s="5"/>
      <c r="P266" s="57"/>
      <c r="Q266" s="5"/>
      <c r="R266" s="5"/>
      <c r="S266" s="5"/>
      <c r="T266" s="5"/>
      <c r="U266" s="5"/>
      <c r="V266" s="5"/>
      <c r="W266" s="5"/>
      <c r="X266" s="5"/>
      <c r="Y266" s="5"/>
      <c r="Z266" s="5"/>
      <c r="AA266" s="5"/>
    </row>
    <row r="267" spans="1:27" ht="12.75" customHeight="1">
      <c r="A267" s="5"/>
      <c r="B267" s="5"/>
      <c r="C267" s="5"/>
      <c r="D267" s="5"/>
      <c r="E267" s="5"/>
      <c r="F267" s="5"/>
      <c r="G267" s="5"/>
      <c r="H267" s="306"/>
      <c r="I267" s="306"/>
      <c r="J267" s="5"/>
      <c r="K267" s="5"/>
      <c r="L267" s="5"/>
      <c r="M267" s="5"/>
      <c r="N267" s="5"/>
      <c r="O267" s="5"/>
      <c r="P267" s="57"/>
      <c r="Q267" s="5"/>
      <c r="R267" s="5"/>
      <c r="S267" s="5"/>
      <c r="T267" s="5"/>
      <c r="U267" s="5"/>
      <c r="V267" s="5"/>
      <c r="W267" s="5"/>
      <c r="X267" s="5"/>
      <c r="Y267" s="5"/>
      <c r="Z267" s="5"/>
      <c r="AA267" s="5"/>
    </row>
    <row r="268" spans="1:27" ht="12.75" customHeight="1">
      <c r="A268" s="5"/>
      <c r="B268" s="5"/>
      <c r="C268" s="5"/>
      <c r="D268" s="5"/>
      <c r="E268" s="5"/>
      <c r="F268" s="5"/>
      <c r="G268" s="5"/>
      <c r="H268" s="306"/>
      <c r="I268" s="306"/>
      <c r="J268" s="5"/>
      <c r="K268" s="5"/>
      <c r="L268" s="5"/>
      <c r="M268" s="5"/>
      <c r="N268" s="5"/>
      <c r="O268" s="5"/>
      <c r="P268" s="57"/>
      <c r="Q268" s="5"/>
      <c r="R268" s="5"/>
      <c r="S268" s="5"/>
      <c r="T268" s="5"/>
      <c r="U268" s="5"/>
      <c r="V268" s="5"/>
      <c r="W268" s="5"/>
      <c r="X268" s="5"/>
      <c r="Y268" s="5"/>
      <c r="Z268" s="5"/>
      <c r="AA268" s="5"/>
    </row>
    <row r="269" spans="1:27" ht="12.75" customHeight="1">
      <c r="A269" s="5"/>
      <c r="B269" s="5"/>
      <c r="C269" s="5"/>
      <c r="D269" s="5"/>
      <c r="E269" s="5"/>
      <c r="F269" s="5"/>
      <c r="G269" s="5"/>
      <c r="H269" s="306"/>
      <c r="I269" s="306"/>
      <c r="J269" s="5"/>
      <c r="K269" s="5"/>
      <c r="L269" s="5"/>
      <c r="M269" s="5"/>
      <c r="N269" s="5"/>
      <c r="O269" s="5"/>
      <c r="P269" s="57"/>
      <c r="Q269" s="5"/>
      <c r="R269" s="5"/>
      <c r="S269" s="5"/>
      <c r="T269" s="5"/>
      <c r="U269" s="5"/>
      <c r="V269" s="5"/>
      <c r="W269" s="5"/>
      <c r="X269" s="5"/>
      <c r="Y269" s="5"/>
      <c r="Z269" s="5"/>
      <c r="AA269" s="5"/>
    </row>
    <row r="270" spans="1:27" ht="12.75" customHeight="1">
      <c r="A270" s="5"/>
      <c r="B270" s="5"/>
      <c r="C270" s="5"/>
      <c r="D270" s="5"/>
      <c r="E270" s="5"/>
      <c r="F270" s="5"/>
      <c r="G270" s="5"/>
      <c r="H270" s="306"/>
      <c r="I270" s="306"/>
      <c r="J270" s="5"/>
      <c r="K270" s="5"/>
      <c r="L270" s="5"/>
      <c r="M270" s="5"/>
      <c r="N270" s="5"/>
      <c r="O270" s="5"/>
      <c r="P270" s="57"/>
      <c r="Q270" s="5"/>
      <c r="R270" s="5"/>
      <c r="S270" s="5"/>
      <c r="T270" s="5"/>
      <c r="U270" s="5"/>
      <c r="V270" s="5"/>
      <c r="W270" s="5"/>
      <c r="X270" s="5"/>
      <c r="Y270" s="5"/>
      <c r="Z270" s="5"/>
      <c r="AA270" s="5"/>
    </row>
    <row r="271" spans="1:27" ht="12.75" customHeight="1">
      <c r="A271" s="5"/>
      <c r="B271" s="5"/>
      <c r="C271" s="5"/>
      <c r="D271" s="5"/>
      <c r="E271" s="5"/>
      <c r="F271" s="5"/>
      <c r="G271" s="5"/>
      <c r="H271" s="306"/>
      <c r="I271" s="306"/>
      <c r="J271" s="5"/>
      <c r="K271" s="5"/>
      <c r="L271" s="5"/>
      <c r="M271" s="5"/>
      <c r="N271" s="5"/>
      <c r="O271" s="5"/>
      <c r="P271" s="57"/>
      <c r="Q271" s="5"/>
      <c r="R271" s="5"/>
      <c r="S271" s="5"/>
      <c r="T271" s="5"/>
      <c r="U271" s="5"/>
      <c r="V271" s="5"/>
      <c r="W271" s="5"/>
      <c r="X271" s="5"/>
      <c r="Y271" s="5"/>
      <c r="Z271" s="5"/>
      <c r="AA271" s="5"/>
    </row>
    <row r="272" spans="1:27" ht="12.75" customHeight="1">
      <c r="A272" s="5"/>
      <c r="B272" s="5"/>
      <c r="C272" s="5"/>
      <c r="D272" s="5"/>
      <c r="E272" s="5"/>
      <c r="F272" s="5"/>
      <c r="G272" s="5"/>
      <c r="H272" s="306"/>
      <c r="I272" s="306"/>
      <c r="J272" s="5"/>
      <c r="K272" s="5"/>
      <c r="L272" s="5"/>
      <c r="M272" s="5"/>
      <c r="N272" s="5"/>
      <c r="O272" s="5"/>
      <c r="P272" s="57"/>
      <c r="Q272" s="5"/>
      <c r="R272" s="5"/>
      <c r="S272" s="5"/>
      <c r="T272" s="5"/>
      <c r="U272" s="5"/>
      <c r="V272" s="5"/>
      <c r="W272" s="5"/>
      <c r="X272" s="5"/>
      <c r="Y272" s="5"/>
      <c r="Z272" s="5"/>
      <c r="AA272" s="5"/>
    </row>
    <row r="273" spans="1:27" ht="12.75" customHeight="1">
      <c r="A273" s="5"/>
      <c r="B273" s="5"/>
      <c r="C273" s="5"/>
      <c r="D273" s="5"/>
      <c r="E273" s="5"/>
      <c r="F273" s="5"/>
      <c r="G273" s="5"/>
      <c r="H273" s="306"/>
      <c r="I273" s="306"/>
      <c r="J273" s="5"/>
      <c r="K273" s="5"/>
      <c r="L273" s="5"/>
      <c r="M273" s="5"/>
      <c r="N273" s="5"/>
      <c r="O273" s="5"/>
      <c r="P273" s="57"/>
      <c r="Q273" s="5"/>
      <c r="R273" s="5"/>
      <c r="S273" s="5"/>
      <c r="T273" s="5"/>
      <c r="U273" s="5"/>
      <c r="V273" s="5"/>
      <c r="W273" s="5"/>
      <c r="X273" s="5"/>
      <c r="Y273" s="5"/>
      <c r="Z273" s="5"/>
      <c r="AA273" s="5"/>
    </row>
    <row r="274" spans="1:27" ht="12.75" customHeight="1">
      <c r="A274" s="5"/>
      <c r="B274" s="5"/>
      <c r="C274" s="5"/>
      <c r="D274" s="5"/>
      <c r="E274" s="5"/>
      <c r="F274" s="5"/>
      <c r="G274" s="5"/>
      <c r="H274" s="306"/>
      <c r="I274" s="306"/>
      <c r="J274" s="5"/>
      <c r="K274" s="5"/>
      <c r="L274" s="5"/>
      <c r="M274" s="5"/>
      <c r="N274" s="5"/>
      <c r="O274" s="5"/>
      <c r="P274" s="57"/>
      <c r="Q274" s="5"/>
      <c r="R274" s="5"/>
      <c r="S274" s="5"/>
      <c r="T274" s="5"/>
      <c r="U274" s="5"/>
      <c r="V274" s="5"/>
      <c r="W274" s="5"/>
      <c r="X274" s="5"/>
      <c r="Y274" s="5"/>
      <c r="Z274" s="5"/>
      <c r="AA274" s="5"/>
    </row>
    <row r="275" spans="1:27" ht="12.75" customHeight="1">
      <c r="A275" s="5"/>
      <c r="B275" s="5"/>
      <c r="C275" s="5"/>
      <c r="D275" s="5"/>
      <c r="E275" s="5"/>
      <c r="F275" s="5"/>
      <c r="G275" s="5"/>
      <c r="H275" s="306"/>
      <c r="I275" s="306"/>
      <c r="J275" s="5"/>
      <c r="K275" s="5"/>
      <c r="L275" s="5"/>
      <c r="M275" s="5"/>
      <c r="N275" s="5"/>
      <c r="O275" s="5"/>
      <c r="P275" s="57"/>
      <c r="Q275" s="5"/>
      <c r="R275" s="5"/>
      <c r="S275" s="5"/>
      <c r="T275" s="5"/>
      <c r="U275" s="5"/>
      <c r="V275" s="5"/>
      <c r="W275" s="5"/>
      <c r="X275" s="5"/>
      <c r="Y275" s="5"/>
      <c r="Z275" s="5"/>
      <c r="AA275" s="5"/>
    </row>
    <row r="276" spans="1:27" ht="12.75" customHeight="1">
      <c r="A276" s="5"/>
      <c r="B276" s="5"/>
      <c r="C276" s="5"/>
      <c r="D276" s="5"/>
      <c r="E276" s="5"/>
      <c r="F276" s="5"/>
      <c r="G276" s="5"/>
      <c r="H276" s="306"/>
      <c r="I276" s="306"/>
      <c r="J276" s="5"/>
      <c r="K276" s="5"/>
      <c r="L276" s="5"/>
      <c r="M276" s="5"/>
      <c r="N276" s="5"/>
      <c r="O276" s="5"/>
      <c r="P276" s="57"/>
      <c r="Q276" s="5"/>
      <c r="R276" s="5"/>
      <c r="S276" s="5"/>
      <c r="T276" s="5"/>
      <c r="U276" s="5"/>
      <c r="V276" s="5"/>
      <c r="W276" s="5"/>
      <c r="X276" s="5"/>
      <c r="Y276" s="5"/>
      <c r="Z276" s="5"/>
      <c r="AA276" s="5"/>
    </row>
    <row r="277" spans="1:27" ht="12.75" customHeight="1">
      <c r="A277" s="5"/>
      <c r="B277" s="5"/>
      <c r="C277" s="5"/>
      <c r="D277" s="5"/>
      <c r="E277" s="5"/>
      <c r="F277" s="5"/>
      <c r="G277" s="5"/>
      <c r="H277" s="306"/>
      <c r="I277" s="306"/>
      <c r="J277" s="5"/>
      <c r="K277" s="5"/>
      <c r="L277" s="5"/>
      <c r="M277" s="5"/>
      <c r="N277" s="5"/>
      <c r="O277" s="5"/>
      <c r="P277" s="57"/>
      <c r="Q277" s="5"/>
      <c r="R277" s="5"/>
      <c r="S277" s="5"/>
      <c r="T277" s="5"/>
      <c r="U277" s="5"/>
      <c r="V277" s="5"/>
      <c r="W277" s="5"/>
      <c r="X277" s="5"/>
      <c r="Y277" s="5"/>
      <c r="Z277" s="5"/>
      <c r="AA277" s="5"/>
    </row>
    <row r="278" spans="1:27" ht="12.75" customHeight="1">
      <c r="A278" s="5"/>
      <c r="B278" s="5"/>
      <c r="C278" s="5"/>
      <c r="D278" s="5"/>
      <c r="E278" s="5"/>
      <c r="F278" s="5"/>
      <c r="G278" s="5"/>
      <c r="H278" s="306"/>
      <c r="I278" s="306"/>
      <c r="J278" s="5"/>
      <c r="K278" s="5"/>
      <c r="L278" s="5"/>
      <c r="M278" s="5"/>
      <c r="N278" s="5"/>
      <c r="O278" s="5"/>
      <c r="P278" s="57"/>
      <c r="Q278" s="5"/>
      <c r="R278" s="5"/>
      <c r="S278" s="5"/>
      <c r="T278" s="5"/>
      <c r="U278" s="5"/>
      <c r="V278" s="5"/>
      <c r="W278" s="5"/>
      <c r="X278" s="5"/>
      <c r="Y278" s="5"/>
      <c r="Z278" s="5"/>
      <c r="AA278" s="5"/>
    </row>
    <row r="279" spans="1:27" ht="12.75" customHeight="1">
      <c r="A279" s="5"/>
      <c r="B279" s="5"/>
      <c r="C279" s="5"/>
      <c r="D279" s="5"/>
      <c r="E279" s="5"/>
      <c r="F279" s="5"/>
      <c r="G279" s="5"/>
      <c r="H279" s="306"/>
      <c r="I279" s="306"/>
      <c r="J279" s="5"/>
      <c r="K279" s="5"/>
      <c r="L279" s="5"/>
      <c r="M279" s="5"/>
      <c r="N279" s="5"/>
      <c r="O279" s="5"/>
      <c r="P279" s="57"/>
      <c r="Q279" s="5"/>
      <c r="R279" s="5"/>
      <c r="S279" s="5"/>
      <c r="T279" s="5"/>
      <c r="U279" s="5"/>
      <c r="V279" s="5"/>
      <c r="W279" s="5"/>
      <c r="X279" s="5"/>
      <c r="Y279" s="5"/>
      <c r="Z279" s="5"/>
      <c r="AA279" s="5"/>
    </row>
    <row r="280" spans="1:27" ht="12.75" customHeight="1">
      <c r="A280" s="5"/>
      <c r="B280" s="5"/>
      <c r="C280" s="5"/>
      <c r="D280" s="5"/>
      <c r="E280" s="5"/>
      <c r="F280" s="5"/>
      <c r="G280" s="5"/>
      <c r="H280" s="306"/>
      <c r="I280" s="306"/>
      <c r="J280" s="5"/>
      <c r="K280" s="5"/>
      <c r="L280" s="5"/>
      <c r="M280" s="5"/>
      <c r="N280" s="5"/>
      <c r="O280" s="5"/>
      <c r="P280" s="57"/>
      <c r="Q280" s="5"/>
      <c r="R280" s="5"/>
      <c r="S280" s="5"/>
      <c r="T280" s="5"/>
      <c r="U280" s="5"/>
      <c r="V280" s="5"/>
      <c r="W280" s="5"/>
      <c r="X280" s="5"/>
      <c r="Y280" s="5"/>
      <c r="Z280" s="5"/>
      <c r="AA280" s="5"/>
    </row>
    <row r="281" spans="1:27" ht="12.75" customHeight="1">
      <c r="A281" s="5"/>
      <c r="B281" s="5"/>
      <c r="C281" s="5"/>
      <c r="D281" s="5"/>
      <c r="E281" s="5"/>
      <c r="F281" s="5"/>
      <c r="G281" s="5"/>
      <c r="H281" s="306"/>
      <c r="I281" s="306"/>
      <c r="J281" s="5"/>
      <c r="K281" s="5"/>
      <c r="L281" s="5"/>
      <c r="M281" s="5"/>
      <c r="N281" s="5"/>
      <c r="O281" s="5"/>
      <c r="P281" s="57"/>
      <c r="Q281" s="5"/>
      <c r="R281" s="5"/>
      <c r="S281" s="5"/>
      <c r="T281" s="5"/>
      <c r="U281" s="5"/>
      <c r="V281" s="5"/>
      <c r="W281" s="5"/>
      <c r="X281" s="5"/>
      <c r="Y281" s="5"/>
      <c r="Z281" s="5"/>
      <c r="AA281" s="5"/>
    </row>
    <row r="282" spans="1:27" ht="12.75" customHeight="1">
      <c r="A282" s="5"/>
      <c r="B282" s="5"/>
      <c r="C282" s="5"/>
      <c r="D282" s="5"/>
      <c r="E282" s="5"/>
      <c r="F282" s="5"/>
      <c r="G282" s="5"/>
      <c r="H282" s="306"/>
      <c r="I282" s="306"/>
      <c r="J282" s="5"/>
      <c r="K282" s="5"/>
      <c r="L282" s="5"/>
      <c r="M282" s="5"/>
      <c r="N282" s="5"/>
      <c r="O282" s="5"/>
      <c r="P282" s="57"/>
      <c r="Q282" s="5"/>
      <c r="R282" s="5"/>
      <c r="S282" s="5"/>
      <c r="T282" s="5"/>
      <c r="U282" s="5"/>
      <c r="V282" s="5"/>
      <c r="W282" s="5"/>
      <c r="X282" s="5"/>
      <c r="Y282" s="5"/>
      <c r="Z282" s="5"/>
      <c r="AA282" s="5"/>
    </row>
    <row r="283" spans="1:27" ht="12.75" customHeight="1">
      <c r="A283" s="5"/>
      <c r="B283" s="5"/>
      <c r="C283" s="5"/>
      <c r="D283" s="5"/>
      <c r="E283" s="5"/>
      <c r="F283" s="5"/>
      <c r="G283" s="5"/>
      <c r="H283" s="306"/>
      <c r="I283" s="306"/>
      <c r="J283" s="5"/>
      <c r="K283" s="5"/>
      <c r="L283" s="5"/>
      <c r="M283" s="5"/>
      <c r="N283" s="5"/>
      <c r="O283" s="5"/>
      <c r="P283" s="57"/>
      <c r="Q283" s="5"/>
      <c r="R283" s="5"/>
      <c r="S283" s="5"/>
      <c r="T283" s="5"/>
      <c r="U283" s="5"/>
      <c r="V283" s="5"/>
      <c r="W283" s="5"/>
      <c r="X283" s="5"/>
      <c r="Y283" s="5"/>
      <c r="Z283" s="5"/>
      <c r="AA283" s="5"/>
    </row>
    <row r="284" spans="1:27" ht="12.75" customHeight="1">
      <c r="A284" s="5"/>
      <c r="B284" s="5"/>
      <c r="C284" s="5"/>
      <c r="D284" s="5"/>
      <c r="E284" s="5"/>
      <c r="F284" s="5"/>
      <c r="G284" s="5"/>
      <c r="H284" s="306"/>
      <c r="I284" s="306"/>
      <c r="J284" s="5"/>
      <c r="K284" s="5"/>
      <c r="L284" s="5"/>
      <c r="M284" s="5"/>
      <c r="N284" s="5"/>
      <c r="O284" s="5"/>
      <c r="P284" s="57"/>
      <c r="Q284" s="5"/>
      <c r="R284" s="5"/>
      <c r="S284" s="5"/>
      <c r="T284" s="5"/>
      <c r="U284" s="5"/>
      <c r="V284" s="5"/>
      <c r="W284" s="5"/>
      <c r="X284" s="5"/>
      <c r="Y284" s="5"/>
      <c r="Z284" s="5"/>
      <c r="AA284" s="5"/>
    </row>
    <row r="285" spans="1:27" ht="12.75" customHeight="1">
      <c r="A285" s="5"/>
      <c r="B285" s="5"/>
      <c r="C285" s="5"/>
      <c r="D285" s="5"/>
      <c r="E285" s="5"/>
      <c r="F285" s="5"/>
      <c r="G285" s="5"/>
      <c r="H285" s="306"/>
      <c r="I285" s="306"/>
      <c r="J285" s="5"/>
      <c r="K285" s="5"/>
      <c r="L285" s="5"/>
      <c r="M285" s="5"/>
      <c r="N285" s="5"/>
      <c r="O285" s="5"/>
      <c r="P285" s="57"/>
      <c r="Q285" s="5"/>
      <c r="R285" s="5"/>
      <c r="S285" s="5"/>
      <c r="T285" s="5"/>
      <c r="U285" s="5"/>
      <c r="V285" s="5"/>
      <c r="W285" s="5"/>
      <c r="X285" s="5"/>
      <c r="Y285" s="5"/>
      <c r="Z285" s="5"/>
      <c r="AA285" s="5"/>
    </row>
    <row r="286" spans="1:27" ht="12.75" customHeight="1">
      <c r="A286" s="5"/>
      <c r="B286" s="5"/>
      <c r="C286" s="5"/>
      <c r="D286" s="5"/>
      <c r="E286" s="5"/>
      <c r="F286" s="5"/>
      <c r="G286" s="5"/>
      <c r="H286" s="306"/>
      <c r="I286" s="306"/>
      <c r="J286" s="5"/>
      <c r="K286" s="5"/>
      <c r="L286" s="5"/>
      <c r="M286" s="5"/>
      <c r="N286" s="5"/>
      <c r="O286" s="5"/>
      <c r="P286" s="57"/>
      <c r="Q286" s="5"/>
      <c r="R286" s="5"/>
      <c r="S286" s="5"/>
      <c r="T286" s="5"/>
      <c r="U286" s="5"/>
      <c r="V286" s="5"/>
      <c r="W286" s="5"/>
      <c r="X286" s="5"/>
      <c r="Y286" s="5"/>
      <c r="Z286" s="5"/>
      <c r="AA286" s="5"/>
    </row>
    <row r="287" spans="1:27" ht="12.75" customHeight="1">
      <c r="A287" s="5"/>
      <c r="B287" s="5"/>
      <c r="C287" s="5"/>
      <c r="D287" s="5"/>
      <c r="E287" s="5"/>
      <c r="F287" s="5"/>
      <c r="G287" s="5"/>
      <c r="H287" s="306"/>
      <c r="I287" s="306"/>
      <c r="J287" s="5"/>
      <c r="K287" s="5"/>
      <c r="L287" s="5"/>
      <c r="M287" s="5"/>
      <c r="N287" s="5"/>
      <c r="O287" s="5"/>
      <c r="P287" s="57"/>
      <c r="Q287" s="5"/>
      <c r="R287" s="5"/>
      <c r="S287" s="5"/>
      <c r="T287" s="5"/>
      <c r="U287" s="5"/>
      <c r="V287" s="5"/>
      <c r="W287" s="5"/>
      <c r="X287" s="5"/>
      <c r="Y287" s="5"/>
      <c r="Z287" s="5"/>
      <c r="AA287" s="5"/>
    </row>
    <row r="288" spans="1:27" ht="12.75" customHeight="1">
      <c r="A288" s="5"/>
      <c r="B288" s="5"/>
      <c r="C288" s="5"/>
      <c r="D288" s="5"/>
      <c r="E288" s="5"/>
      <c r="F288" s="5"/>
      <c r="G288" s="5"/>
      <c r="H288" s="306"/>
      <c r="I288" s="306"/>
      <c r="J288" s="5"/>
      <c r="K288" s="5"/>
      <c r="L288" s="5"/>
      <c r="M288" s="5"/>
      <c r="N288" s="5"/>
      <c r="O288" s="5"/>
      <c r="P288" s="57"/>
      <c r="Q288" s="5"/>
      <c r="R288" s="5"/>
      <c r="S288" s="5"/>
      <c r="T288" s="5"/>
      <c r="U288" s="5"/>
      <c r="V288" s="5"/>
      <c r="W288" s="5"/>
      <c r="X288" s="5"/>
      <c r="Y288" s="5"/>
      <c r="Z288" s="5"/>
      <c r="AA288" s="5"/>
    </row>
    <row r="289" spans="1:27" ht="12.75" customHeight="1">
      <c r="A289" s="5"/>
      <c r="B289" s="5"/>
      <c r="C289" s="5"/>
      <c r="D289" s="5"/>
      <c r="E289" s="5"/>
      <c r="F289" s="5"/>
      <c r="G289" s="5"/>
      <c r="H289" s="306"/>
      <c r="I289" s="306"/>
      <c r="J289" s="5"/>
      <c r="K289" s="5"/>
      <c r="L289" s="5"/>
      <c r="M289" s="5"/>
      <c r="N289" s="5"/>
      <c r="O289" s="5"/>
      <c r="P289" s="57"/>
      <c r="Q289" s="5"/>
      <c r="R289" s="5"/>
      <c r="S289" s="5"/>
      <c r="T289" s="5"/>
      <c r="U289" s="5"/>
      <c r="V289" s="5"/>
      <c r="W289" s="5"/>
      <c r="X289" s="5"/>
      <c r="Y289" s="5"/>
      <c r="Z289" s="5"/>
      <c r="AA289" s="5"/>
    </row>
    <row r="290" spans="1:27" ht="12.75" customHeight="1">
      <c r="A290" s="5"/>
      <c r="B290" s="5"/>
      <c r="C290" s="5"/>
      <c r="D290" s="5"/>
      <c r="E290" s="5"/>
      <c r="F290" s="5"/>
      <c r="G290" s="5"/>
      <c r="H290" s="306"/>
      <c r="I290" s="306"/>
      <c r="J290" s="5"/>
      <c r="K290" s="5"/>
      <c r="L290" s="5"/>
      <c r="M290" s="5"/>
      <c r="N290" s="5"/>
      <c r="O290" s="5"/>
      <c r="P290" s="57"/>
      <c r="Q290" s="5"/>
      <c r="R290" s="5"/>
      <c r="S290" s="5"/>
      <c r="T290" s="5"/>
      <c r="U290" s="5"/>
      <c r="V290" s="5"/>
      <c r="W290" s="5"/>
      <c r="X290" s="5"/>
      <c r="Y290" s="5"/>
      <c r="Z290" s="5"/>
      <c r="AA290" s="5"/>
    </row>
    <row r="291" spans="1:27" ht="12.75" customHeight="1">
      <c r="A291" s="5"/>
      <c r="B291" s="5"/>
      <c r="C291" s="5"/>
      <c r="D291" s="5"/>
      <c r="E291" s="5"/>
      <c r="F291" s="5"/>
      <c r="G291" s="5"/>
      <c r="H291" s="306"/>
      <c r="I291" s="306"/>
      <c r="J291" s="5"/>
      <c r="K291" s="5"/>
      <c r="L291" s="5"/>
      <c r="M291" s="5"/>
      <c r="N291" s="5"/>
      <c r="O291" s="5"/>
      <c r="P291" s="57"/>
      <c r="Q291" s="5"/>
      <c r="R291" s="5"/>
      <c r="S291" s="5"/>
      <c r="T291" s="5"/>
      <c r="U291" s="5"/>
      <c r="V291" s="5"/>
      <c r="W291" s="5"/>
      <c r="X291" s="5"/>
      <c r="Y291" s="5"/>
      <c r="Z291" s="5"/>
      <c r="AA291" s="5"/>
    </row>
    <row r="292" spans="1:27" ht="12.75" customHeight="1">
      <c r="A292" s="5"/>
      <c r="B292" s="5"/>
      <c r="C292" s="5"/>
      <c r="D292" s="5"/>
      <c r="E292" s="5"/>
      <c r="F292" s="5"/>
      <c r="G292" s="5"/>
      <c r="H292" s="306"/>
      <c r="I292" s="306"/>
      <c r="J292" s="5"/>
      <c r="K292" s="5"/>
      <c r="L292" s="5"/>
      <c r="M292" s="5"/>
      <c r="N292" s="5"/>
      <c r="O292" s="5"/>
      <c r="P292" s="57"/>
      <c r="Q292" s="5"/>
      <c r="R292" s="5"/>
      <c r="S292" s="5"/>
      <c r="T292" s="5"/>
      <c r="U292" s="5"/>
      <c r="V292" s="5"/>
      <c r="W292" s="5"/>
      <c r="X292" s="5"/>
      <c r="Y292" s="5"/>
      <c r="Z292" s="5"/>
      <c r="AA292" s="5"/>
    </row>
    <row r="293" spans="1:27" ht="12.75" customHeight="1">
      <c r="A293" s="5"/>
      <c r="B293" s="5"/>
      <c r="C293" s="5"/>
      <c r="D293" s="5"/>
      <c r="E293" s="5"/>
      <c r="F293" s="5"/>
      <c r="G293" s="5"/>
      <c r="H293" s="306"/>
      <c r="I293" s="306"/>
      <c r="J293" s="5"/>
      <c r="K293" s="5"/>
      <c r="L293" s="5"/>
      <c r="M293" s="5"/>
      <c r="N293" s="5"/>
      <c r="O293" s="5"/>
      <c r="P293" s="57"/>
      <c r="Q293" s="5"/>
      <c r="R293" s="5"/>
      <c r="S293" s="5"/>
      <c r="T293" s="5"/>
      <c r="U293" s="5"/>
      <c r="V293" s="5"/>
      <c r="W293" s="5"/>
      <c r="X293" s="5"/>
      <c r="Y293" s="5"/>
      <c r="Z293" s="5"/>
      <c r="AA293" s="5"/>
    </row>
    <row r="294" spans="1:27" ht="12.75" customHeight="1">
      <c r="A294" s="5"/>
      <c r="B294" s="5"/>
      <c r="C294" s="5"/>
      <c r="D294" s="5"/>
      <c r="E294" s="5"/>
      <c r="F294" s="5"/>
      <c r="G294" s="5"/>
      <c r="H294" s="306"/>
      <c r="I294" s="306"/>
      <c r="J294" s="5"/>
      <c r="K294" s="5"/>
      <c r="L294" s="5"/>
      <c r="M294" s="5"/>
      <c r="N294" s="5"/>
      <c r="O294" s="5"/>
      <c r="P294" s="57"/>
      <c r="Q294" s="5"/>
      <c r="R294" s="5"/>
      <c r="S294" s="5"/>
      <c r="T294" s="5"/>
      <c r="U294" s="5"/>
      <c r="V294" s="5"/>
      <c r="W294" s="5"/>
      <c r="X294" s="5"/>
      <c r="Y294" s="5"/>
      <c r="Z294" s="5"/>
      <c r="AA294" s="5"/>
    </row>
    <row r="295" spans="1:27" ht="12.75" customHeight="1">
      <c r="A295" s="5"/>
      <c r="B295" s="5"/>
      <c r="C295" s="5"/>
      <c r="D295" s="5"/>
      <c r="E295" s="5"/>
      <c r="F295" s="5"/>
      <c r="G295" s="5"/>
      <c r="H295" s="306"/>
      <c r="I295" s="306"/>
      <c r="J295" s="5"/>
      <c r="K295" s="5"/>
      <c r="L295" s="5"/>
      <c r="M295" s="5"/>
      <c r="N295" s="5"/>
      <c r="O295" s="5"/>
      <c r="P295" s="57"/>
      <c r="Q295" s="5"/>
      <c r="R295" s="5"/>
      <c r="S295" s="5"/>
      <c r="T295" s="5"/>
      <c r="U295" s="5"/>
      <c r="V295" s="5"/>
      <c r="W295" s="5"/>
      <c r="X295" s="5"/>
      <c r="Y295" s="5"/>
      <c r="Z295" s="5"/>
      <c r="AA295" s="5"/>
    </row>
    <row r="296" spans="1:27" ht="12.75" customHeight="1">
      <c r="A296" s="5"/>
      <c r="B296" s="5"/>
      <c r="C296" s="5"/>
      <c r="D296" s="5"/>
      <c r="E296" s="5"/>
      <c r="F296" s="5"/>
      <c r="G296" s="5"/>
      <c r="H296" s="306"/>
      <c r="I296" s="306"/>
      <c r="J296" s="5"/>
      <c r="K296" s="5"/>
      <c r="L296" s="5"/>
      <c r="M296" s="5"/>
      <c r="N296" s="5"/>
      <c r="O296" s="5"/>
      <c r="P296" s="57"/>
      <c r="Q296" s="5"/>
      <c r="R296" s="5"/>
      <c r="S296" s="5"/>
      <c r="T296" s="5"/>
      <c r="U296" s="5"/>
      <c r="V296" s="5"/>
      <c r="W296" s="5"/>
      <c r="X296" s="5"/>
      <c r="Y296" s="5"/>
      <c r="Z296" s="5"/>
      <c r="AA296" s="5"/>
    </row>
    <row r="297" spans="1:27" ht="12.75" customHeight="1">
      <c r="A297" s="5"/>
      <c r="B297" s="5"/>
      <c r="C297" s="5"/>
      <c r="D297" s="5"/>
      <c r="E297" s="5"/>
      <c r="F297" s="5"/>
      <c r="G297" s="5"/>
      <c r="H297" s="306"/>
      <c r="I297" s="306"/>
      <c r="J297" s="5"/>
      <c r="K297" s="5"/>
      <c r="L297" s="5"/>
      <c r="M297" s="5"/>
      <c r="N297" s="5"/>
      <c r="O297" s="5"/>
      <c r="P297" s="57"/>
      <c r="Q297" s="5"/>
      <c r="R297" s="5"/>
      <c r="S297" s="5"/>
      <c r="T297" s="5"/>
      <c r="U297" s="5"/>
      <c r="V297" s="5"/>
      <c r="W297" s="5"/>
      <c r="X297" s="5"/>
      <c r="Y297" s="5"/>
      <c r="Z297" s="5"/>
      <c r="AA297" s="5"/>
    </row>
    <row r="298" spans="1:27" ht="12.75" customHeight="1">
      <c r="A298" s="5"/>
      <c r="B298" s="5"/>
      <c r="C298" s="5"/>
      <c r="D298" s="5"/>
      <c r="E298" s="5"/>
      <c r="F298" s="5"/>
      <c r="G298" s="5"/>
      <c r="H298" s="306"/>
      <c r="I298" s="306"/>
      <c r="J298" s="5"/>
      <c r="K298" s="5"/>
      <c r="L298" s="5"/>
      <c r="M298" s="5"/>
      <c r="N298" s="5"/>
      <c r="O298" s="5"/>
      <c r="P298" s="57"/>
      <c r="Q298" s="5"/>
      <c r="R298" s="5"/>
      <c r="S298" s="5"/>
      <c r="T298" s="5"/>
      <c r="U298" s="5"/>
      <c r="V298" s="5"/>
      <c r="W298" s="5"/>
      <c r="X298" s="5"/>
      <c r="Y298" s="5"/>
      <c r="Z298" s="5"/>
      <c r="AA298" s="5"/>
    </row>
    <row r="299" spans="1:27" ht="12.75" customHeight="1">
      <c r="A299" s="5"/>
      <c r="B299" s="5"/>
      <c r="C299" s="5"/>
      <c r="D299" s="5"/>
      <c r="E299" s="5"/>
      <c r="F299" s="5"/>
      <c r="G299" s="5"/>
      <c r="H299" s="306"/>
      <c r="I299" s="306"/>
      <c r="J299" s="5"/>
      <c r="K299" s="5"/>
      <c r="L299" s="5"/>
      <c r="M299" s="5"/>
      <c r="N299" s="5"/>
      <c r="O299" s="5"/>
      <c r="P299" s="57"/>
      <c r="Q299" s="5"/>
      <c r="R299" s="5"/>
      <c r="S299" s="5"/>
      <c r="T299" s="5"/>
      <c r="U299" s="5"/>
      <c r="V299" s="5"/>
      <c r="W299" s="5"/>
      <c r="X299" s="5"/>
      <c r="Y299" s="5"/>
      <c r="Z299" s="5"/>
      <c r="AA299" s="5"/>
    </row>
    <row r="300" spans="1:27" ht="12.75" customHeight="1">
      <c r="A300" s="5"/>
      <c r="B300" s="5"/>
      <c r="C300" s="5"/>
      <c r="D300" s="5"/>
      <c r="E300" s="5"/>
      <c r="F300" s="5"/>
      <c r="G300" s="5"/>
      <c r="H300" s="306"/>
      <c r="I300" s="306"/>
      <c r="J300" s="5"/>
      <c r="K300" s="5"/>
      <c r="L300" s="5"/>
      <c r="M300" s="5"/>
      <c r="N300" s="5"/>
      <c r="O300" s="5"/>
      <c r="P300" s="57"/>
      <c r="Q300" s="5"/>
      <c r="R300" s="5"/>
      <c r="S300" s="5"/>
      <c r="T300" s="5"/>
      <c r="U300" s="5"/>
      <c r="V300" s="5"/>
      <c r="W300" s="5"/>
      <c r="X300" s="5"/>
      <c r="Y300" s="5"/>
      <c r="Z300" s="5"/>
      <c r="AA300" s="5"/>
    </row>
    <row r="301" spans="1:27" ht="12.75" customHeight="1">
      <c r="A301" s="5"/>
      <c r="B301" s="5"/>
      <c r="C301" s="5"/>
      <c r="D301" s="5"/>
      <c r="E301" s="5"/>
      <c r="F301" s="5"/>
      <c r="G301" s="5"/>
      <c r="H301" s="306"/>
      <c r="I301" s="306"/>
      <c r="J301" s="5"/>
      <c r="K301" s="5"/>
      <c r="L301" s="5"/>
      <c r="M301" s="5"/>
      <c r="N301" s="5"/>
      <c r="O301" s="5"/>
      <c r="P301" s="57"/>
      <c r="Q301" s="5"/>
      <c r="R301" s="5"/>
      <c r="S301" s="5"/>
      <c r="T301" s="5"/>
      <c r="U301" s="5"/>
      <c r="V301" s="5"/>
      <c r="W301" s="5"/>
      <c r="X301" s="5"/>
      <c r="Y301" s="5"/>
      <c r="Z301" s="5"/>
      <c r="AA301" s="5"/>
    </row>
    <row r="302" spans="1:27" ht="12.75" customHeight="1">
      <c r="A302" s="5"/>
      <c r="B302" s="5"/>
      <c r="C302" s="5"/>
      <c r="D302" s="5"/>
      <c r="E302" s="5"/>
      <c r="F302" s="5"/>
      <c r="G302" s="5"/>
      <c r="H302" s="306"/>
      <c r="I302" s="306"/>
      <c r="J302" s="5"/>
      <c r="K302" s="5"/>
      <c r="L302" s="5"/>
      <c r="M302" s="5"/>
      <c r="N302" s="5"/>
      <c r="O302" s="5"/>
      <c r="P302" s="57"/>
      <c r="Q302" s="5"/>
      <c r="R302" s="5"/>
      <c r="S302" s="5"/>
      <c r="T302" s="5"/>
      <c r="U302" s="5"/>
      <c r="V302" s="5"/>
      <c r="W302" s="5"/>
      <c r="X302" s="5"/>
      <c r="Y302" s="5"/>
      <c r="Z302" s="5"/>
      <c r="AA302" s="5"/>
    </row>
    <row r="303" spans="1:27" ht="12.75" customHeight="1">
      <c r="A303" s="5"/>
      <c r="B303" s="5"/>
      <c r="C303" s="5"/>
      <c r="D303" s="5"/>
      <c r="E303" s="5"/>
      <c r="F303" s="5"/>
      <c r="G303" s="5"/>
      <c r="H303" s="306"/>
      <c r="I303" s="306"/>
      <c r="J303" s="5"/>
      <c r="K303" s="5"/>
      <c r="L303" s="5"/>
      <c r="M303" s="5"/>
      <c r="N303" s="5"/>
      <c r="O303" s="5"/>
      <c r="P303" s="57"/>
      <c r="Q303" s="5"/>
      <c r="R303" s="5"/>
      <c r="S303" s="5"/>
      <c r="T303" s="5"/>
      <c r="U303" s="5"/>
      <c r="V303" s="5"/>
      <c r="W303" s="5"/>
      <c r="X303" s="5"/>
      <c r="Y303" s="5"/>
      <c r="Z303" s="5"/>
      <c r="AA303" s="5"/>
    </row>
    <row r="304" spans="1:27" ht="12.75" customHeight="1">
      <c r="A304" s="5"/>
      <c r="B304" s="5"/>
      <c r="C304" s="5"/>
      <c r="D304" s="5"/>
      <c r="E304" s="5"/>
      <c r="F304" s="5"/>
      <c r="G304" s="5"/>
      <c r="H304" s="306"/>
      <c r="I304" s="306"/>
      <c r="J304" s="5"/>
      <c r="K304" s="5"/>
      <c r="L304" s="5"/>
      <c r="M304" s="5"/>
      <c r="N304" s="5"/>
      <c r="O304" s="5"/>
      <c r="P304" s="57"/>
      <c r="Q304" s="5"/>
      <c r="R304" s="5"/>
      <c r="S304" s="5"/>
      <c r="T304" s="5"/>
      <c r="U304" s="5"/>
      <c r="V304" s="5"/>
      <c r="W304" s="5"/>
      <c r="X304" s="5"/>
      <c r="Y304" s="5"/>
      <c r="Z304" s="5"/>
      <c r="AA304" s="5"/>
    </row>
    <row r="305" spans="1:27" ht="12.75" customHeight="1">
      <c r="A305" s="5"/>
      <c r="B305" s="5"/>
      <c r="C305" s="5"/>
      <c r="D305" s="5"/>
      <c r="E305" s="5"/>
      <c r="F305" s="5"/>
      <c r="G305" s="5"/>
      <c r="H305" s="306"/>
      <c r="I305" s="306"/>
      <c r="J305" s="5"/>
      <c r="K305" s="5"/>
      <c r="L305" s="5"/>
      <c r="M305" s="5"/>
      <c r="N305" s="5"/>
      <c r="O305" s="5"/>
      <c r="P305" s="57"/>
      <c r="Q305" s="5"/>
      <c r="R305" s="5"/>
      <c r="S305" s="5"/>
      <c r="T305" s="5"/>
      <c r="U305" s="5"/>
      <c r="V305" s="5"/>
      <c r="W305" s="5"/>
      <c r="X305" s="5"/>
      <c r="Y305" s="5"/>
      <c r="Z305" s="5"/>
      <c r="AA305" s="5"/>
    </row>
    <row r="306" spans="1:27" ht="12.75" customHeight="1">
      <c r="A306" s="5"/>
      <c r="B306" s="5"/>
      <c r="C306" s="5"/>
      <c r="D306" s="5"/>
      <c r="E306" s="5"/>
      <c r="F306" s="5"/>
      <c r="G306" s="5"/>
      <c r="H306" s="306"/>
      <c r="I306" s="306"/>
      <c r="J306" s="5"/>
      <c r="K306" s="5"/>
      <c r="L306" s="5"/>
      <c r="M306" s="5"/>
      <c r="N306" s="5"/>
      <c r="O306" s="5"/>
      <c r="P306" s="57"/>
      <c r="Q306" s="5"/>
      <c r="R306" s="5"/>
      <c r="S306" s="5"/>
      <c r="T306" s="5"/>
      <c r="U306" s="5"/>
      <c r="V306" s="5"/>
      <c r="W306" s="5"/>
      <c r="X306" s="5"/>
      <c r="Y306" s="5"/>
      <c r="Z306" s="5"/>
      <c r="AA306" s="5"/>
    </row>
    <row r="307" spans="1:27" ht="12.75" customHeight="1">
      <c r="A307" s="5"/>
      <c r="B307" s="5"/>
      <c r="C307" s="5"/>
      <c r="D307" s="5"/>
      <c r="E307" s="5"/>
      <c r="F307" s="5"/>
      <c r="G307" s="5"/>
      <c r="H307" s="306"/>
      <c r="I307" s="306"/>
      <c r="J307" s="5"/>
      <c r="K307" s="5"/>
      <c r="L307" s="5"/>
      <c r="M307" s="5"/>
      <c r="N307" s="5"/>
      <c r="O307" s="5"/>
      <c r="P307" s="57"/>
      <c r="Q307" s="5"/>
      <c r="R307" s="5"/>
      <c r="S307" s="5"/>
      <c r="T307" s="5"/>
      <c r="U307" s="5"/>
      <c r="V307" s="5"/>
      <c r="W307" s="5"/>
      <c r="X307" s="5"/>
      <c r="Y307" s="5"/>
      <c r="Z307" s="5"/>
      <c r="AA307" s="5"/>
    </row>
    <row r="308" spans="1:27" ht="12.75" customHeight="1">
      <c r="A308" s="5"/>
      <c r="B308" s="5"/>
      <c r="C308" s="5"/>
      <c r="D308" s="5"/>
      <c r="E308" s="5"/>
      <c r="F308" s="5"/>
      <c r="G308" s="5"/>
      <c r="H308" s="306"/>
      <c r="I308" s="306"/>
      <c r="J308" s="5"/>
      <c r="K308" s="5"/>
      <c r="L308" s="5"/>
      <c r="M308" s="5"/>
      <c r="N308" s="5"/>
      <c r="O308" s="5"/>
      <c r="P308" s="57"/>
      <c r="Q308" s="5"/>
      <c r="R308" s="5"/>
      <c r="S308" s="5"/>
      <c r="T308" s="5"/>
      <c r="U308" s="5"/>
      <c r="V308" s="5"/>
      <c r="W308" s="5"/>
      <c r="X308" s="5"/>
      <c r="Y308" s="5"/>
      <c r="Z308" s="5"/>
      <c r="AA308" s="5"/>
    </row>
    <row r="309" spans="1:27" ht="12.75" customHeight="1">
      <c r="A309" s="5"/>
      <c r="B309" s="5"/>
      <c r="C309" s="5"/>
      <c r="D309" s="5"/>
      <c r="E309" s="5"/>
      <c r="F309" s="5"/>
      <c r="G309" s="5"/>
      <c r="H309" s="306"/>
      <c r="I309" s="306"/>
      <c r="J309" s="5"/>
      <c r="K309" s="5"/>
      <c r="L309" s="5"/>
      <c r="M309" s="5"/>
      <c r="N309" s="5"/>
      <c r="O309" s="5"/>
      <c r="P309" s="57"/>
      <c r="Q309" s="5"/>
      <c r="R309" s="5"/>
      <c r="S309" s="5"/>
      <c r="T309" s="5"/>
      <c r="U309" s="5"/>
      <c r="V309" s="5"/>
      <c r="W309" s="5"/>
      <c r="X309" s="5"/>
      <c r="Y309" s="5"/>
      <c r="Z309" s="5"/>
      <c r="AA309" s="5"/>
    </row>
    <row r="310" spans="1:27" ht="12.75" customHeight="1">
      <c r="A310" s="5"/>
      <c r="B310" s="5"/>
      <c r="C310" s="5"/>
      <c r="D310" s="5"/>
      <c r="E310" s="5"/>
      <c r="F310" s="5"/>
      <c r="G310" s="5"/>
      <c r="H310" s="306"/>
      <c r="I310" s="306"/>
      <c r="J310" s="5"/>
      <c r="K310" s="5"/>
      <c r="L310" s="5"/>
      <c r="M310" s="5"/>
      <c r="N310" s="5"/>
      <c r="O310" s="5"/>
      <c r="P310" s="57"/>
      <c r="Q310" s="5"/>
      <c r="R310" s="5"/>
      <c r="S310" s="5"/>
      <c r="T310" s="5"/>
      <c r="U310" s="5"/>
      <c r="V310" s="5"/>
      <c r="W310" s="5"/>
      <c r="X310" s="5"/>
      <c r="Y310" s="5"/>
      <c r="Z310" s="5"/>
      <c r="AA310" s="5"/>
    </row>
    <row r="311" spans="1:27" ht="12.75" customHeight="1">
      <c r="A311" s="5"/>
      <c r="B311" s="5"/>
      <c r="C311" s="5"/>
      <c r="D311" s="5"/>
      <c r="E311" s="5"/>
      <c r="F311" s="5"/>
      <c r="G311" s="5"/>
      <c r="H311" s="306"/>
      <c r="I311" s="306"/>
      <c r="J311" s="5"/>
      <c r="K311" s="5"/>
      <c r="L311" s="5"/>
      <c r="M311" s="5"/>
      <c r="N311" s="5"/>
      <c r="O311" s="5"/>
      <c r="P311" s="57"/>
      <c r="Q311" s="5"/>
      <c r="R311" s="5"/>
      <c r="S311" s="5"/>
      <c r="T311" s="5"/>
      <c r="U311" s="5"/>
      <c r="V311" s="5"/>
      <c r="W311" s="5"/>
      <c r="X311" s="5"/>
      <c r="Y311" s="5"/>
      <c r="Z311" s="5"/>
      <c r="AA311" s="5"/>
    </row>
    <row r="312" spans="1:27" ht="12.75" customHeight="1">
      <c r="A312" s="5"/>
      <c r="B312" s="5"/>
      <c r="C312" s="5"/>
      <c r="D312" s="5"/>
      <c r="E312" s="5"/>
      <c r="F312" s="5"/>
      <c r="G312" s="5"/>
      <c r="H312" s="306"/>
      <c r="I312" s="306"/>
      <c r="J312" s="5"/>
      <c r="K312" s="5"/>
      <c r="L312" s="5"/>
      <c r="M312" s="5"/>
      <c r="N312" s="5"/>
      <c r="O312" s="5"/>
      <c r="P312" s="57"/>
      <c r="Q312" s="5"/>
      <c r="R312" s="5"/>
      <c r="S312" s="5"/>
      <c r="T312" s="5"/>
      <c r="U312" s="5"/>
      <c r="V312" s="5"/>
      <c r="W312" s="5"/>
      <c r="X312" s="5"/>
      <c r="Y312" s="5"/>
      <c r="Z312" s="5"/>
      <c r="AA312" s="5"/>
    </row>
    <row r="313" spans="1:27" ht="12.75" customHeight="1">
      <c r="A313" s="5"/>
      <c r="B313" s="5"/>
      <c r="C313" s="5"/>
      <c r="D313" s="5"/>
      <c r="E313" s="5"/>
      <c r="F313" s="5"/>
      <c r="G313" s="5"/>
      <c r="H313" s="306"/>
      <c r="I313" s="306"/>
      <c r="J313" s="5"/>
      <c r="K313" s="5"/>
      <c r="L313" s="5"/>
      <c r="M313" s="5"/>
      <c r="N313" s="5"/>
      <c r="O313" s="5"/>
      <c r="P313" s="57"/>
      <c r="Q313" s="5"/>
      <c r="R313" s="5"/>
      <c r="S313" s="5"/>
      <c r="T313" s="5"/>
      <c r="U313" s="5"/>
      <c r="V313" s="5"/>
      <c r="W313" s="5"/>
      <c r="X313" s="5"/>
      <c r="Y313" s="5"/>
      <c r="Z313" s="5"/>
      <c r="AA313" s="5"/>
    </row>
    <row r="314" spans="1:27" ht="12.75" customHeight="1">
      <c r="A314" s="5"/>
      <c r="B314" s="5"/>
      <c r="C314" s="5"/>
      <c r="D314" s="5"/>
      <c r="E314" s="5"/>
      <c r="F314" s="5"/>
      <c r="G314" s="5"/>
      <c r="H314" s="306"/>
      <c r="I314" s="306"/>
      <c r="J314" s="5"/>
      <c r="K314" s="5"/>
      <c r="L314" s="5"/>
      <c r="M314" s="5"/>
      <c r="N314" s="5"/>
      <c r="O314" s="5"/>
      <c r="P314" s="57"/>
      <c r="Q314" s="5"/>
      <c r="R314" s="5"/>
      <c r="S314" s="5"/>
      <c r="T314" s="5"/>
      <c r="U314" s="5"/>
      <c r="V314" s="5"/>
      <c r="W314" s="5"/>
      <c r="X314" s="5"/>
      <c r="Y314" s="5"/>
      <c r="Z314" s="5"/>
      <c r="AA314" s="5"/>
    </row>
    <row r="315" spans="1:27" ht="12.75" customHeight="1">
      <c r="A315" s="5"/>
      <c r="B315" s="5"/>
      <c r="C315" s="5"/>
      <c r="D315" s="5"/>
      <c r="E315" s="5"/>
      <c r="F315" s="5"/>
      <c r="G315" s="5"/>
      <c r="H315" s="306"/>
      <c r="I315" s="306"/>
      <c r="J315" s="5"/>
      <c r="K315" s="5"/>
      <c r="L315" s="5"/>
      <c r="M315" s="5"/>
      <c r="N315" s="5"/>
      <c r="O315" s="5"/>
      <c r="P315" s="57"/>
      <c r="Q315" s="5"/>
      <c r="R315" s="5"/>
      <c r="S315" s="5"/>
      <c r="T315" s="5"/>
      <c r="U315" s="5"/>
      <c r="V315" s="5"/>
      <c r="W315" s="5"/>
      <c r="X315" s="5"/>
      <c r="Y315" s="5"/>
      <c r="Z315" s="5"/>
      <c r="AA315" s="5"/>
    </row>
    <row r="316" spans="1:27" ht="12.75" customHeight="1">
      <c r="A316" s="5"/>
      <c r="B316" s="5"/>
      <c r="C316" s="5"/>
      <c r="D316" s="5"/>
      <c r="E316" s="5"/>
      <c r="F316" s="5"/>
      <c r="G316" s="5"/>
      <c r="H316" s="306"/>
      <c r="I316" s="306"/>
      <c r="J316" s="5"/>
      <c r="K316" s="5"/>
      <c r="L316" s="5"/>
      <c r="M316" s="5"/>
      <c r="N316" s="5"/>
      <c r="O316" s="5"/>
      <c r="P316" s="57"/>
      <c r="Q316" s="5"/>
      <c r="R316" s="5"/>
      <c r="S316" s="5"/>
      <c r="T316" s="5"/>
      <c r="U316" s="5"/>
      <c r="V316" s="5"/>
      <c r="W316" s="5"/>
      <c r="X316" s="5"/>
      <c r="Y316" s="5"/>
      <c r="Z316" s="5"/>
      <c r="AA316" s="5"/>
    </row>
    <row r="317" spans="1:27" ht="12.75" customHeight="1">
      <c r="A317" s="5"/>
      <c r="B317" s="5"/>
      <c r="C317" s="5"/>
      <c r="D317" s="5"/>
      <c r="E317" s="5"/>
      <c r="F317" s="5"/>
      <c r="G317" s="5"/>
      <c r="H317" s="306"/>
      <c r="I317" s="306"/>
      <c r="J317" s="5"/>
      <c r="K317" s="5"/>
      <c r="L317" s="5"/>
      <c r="M317" s="5"/>
      <c r="N317" s="5"/>
      <c r="O317" s="5"/>
      <c r="P317" s="57"/>
      <c r="Q317" s="5"/>
      <c r="R317" s="5"/>
      <c r="S317" s="5"/>
      <c r="T317" s="5"/>
      <c r="U317" s="5"/>
      <c r="V317" s="5"/>
      <c r="W317" s="5"/>
      <c r="X317" s="5"/>
      <c r="Y317" s="5"/>
      <c r="Z317" s="5"/>
      <c r="AA317" s="5"/>
    </row>
    <row r="318" spans="1:27" ht="12.75" customHeight="1">
      <c r="A318" s="5"/>
      <c r="B318" s="5"/>
      <c r="C318" s="5"/>
      <c r="D318" s="5"/>
      <c r="E318" s="5"/>
      <c r="F318" s="5"/>
      <c r="G318" s="5"/>
      <c r="H318" s="306"/>
      <c r="I318" s="306"/>
      <c r="J318" s="5"/>
      <c r="K318" s="5"/>
      <c r="L318" s="5"/>
      <c r="M318" s="5"/>
      <c r="N318" s="5"/>
      <c r="O318" s="5"/>
      <c r="P318" s="57"/>
      <c r="Q318" s="5"/>
      <c r="R318" s="5"/>
      <c r="S318" s="5"/>
      <c r="T318" s="5"/>
      <c r="U318" s="5"/>
      <c r="V318" s="5"/>
      <c r="W318" s="5"/>
      <c r="X318" s="5"/>
      <c r="Y318" s="5"/>
      <c r="Z318" s="5"/>
      <c r="AA318" s="5"/>
    </row>
    <row r="319" spans="1:27" ht="12.75" customHeight="1">
      <c r="A319" s="5"/>
      <c r="B319" s="5"/>
      <c r="C319" s="5"/>
      <c r="D319" s="5"/>
      <c r="E319" s="5"/>
      <c r="F319" s="5"/>
      <c r="G319" s="5"/>
      <c r="H319" s="306"/>
      <c r="I319" s="306"/>
      <c r="J319" s="5"/>
      <c r="K319" s="5"/>
      <c r="L319" s="5"/>
      <c r="M319" s="5"/>
      <c r="N319" s="5"/>
      <c r="O319" s="5"/>
      <c r="P319" s="57"/>
      <c r="Q319" s="5"/>
      <c r="R319" s="5"/>
      <c r="S319" s="5"/>
      <c r="T319" s="5"/>
      <c r="U319" s="5"/>
      <c r="V319" s="5"/>
      <c r="W319" s="5"/>
      <c r="X319" s="5"/>
      <c r="Y319" s="5"/>
      <c r="Z319" s="5"/>
      <c r="AA319" s="5"/>
    </row>
    <row r="320" spans="1:27" ht="12.75" customHeight="1">
      <c r="A320" s="5"/>
      <c r="B320" s="5"/>
      <c r="C320" s="5"/>
      <c r="D320" s="5"/>
      <c r="E320" s="5"/>
      <c r="F320" s="5"/>
      <c r="G320" s="5"/>
      <c r="H320" s="306"/>
      <c r="I320" s="306"/>
      <c r="J320" s="5"/>
      <c r="K320" s="5"/>
      <c r="L320" s="5"/>
      <c r="M320" s="5"/>
      <c r="N320" s="5"/>
      <c r="O320" s="5"/>
      <c r="P320" s="57"/>
      <c r="Q320" s="5"/>
      <c r="R320" s="5"/>
      <c r="S320" s="5"/>
      <c r="T320" s="5"/>
      <c r="U320" s="5"/>
      <c r="V320" s="5"/>
      <c r="W320" s="5"/>
      <c r="X320" s="5"/>
      <c r="Y320" s="5"/>
      <c r="Z320" s="5"/>
      <c r="AA320" s="5"/>
    </row>
    <row r="321" spans="1:27" ht="12.75" customHeight="1">
      <c r="A321" s="5"/>
      <c r="B321" s="5"/>
      <c r="C321" s="5"/>
      <c r="D321" s="5"/>
      <c r="E321" s="5"/>
      <c r="F321" s="5"/>
      <c r="G321" s="5"/>
      <c r="H321" s="306"/>
      <c r="I321" s="306"/>
      <c r="J321" s="5"/>
      <c r="K321" s="5"/>
      <c r="L321" s="5"/>
      <c r="M321" s="5"/>
      <c r="N321" s="5"/>
      <c r="O321" s="5"/>
      <c r="P321" s="57"/>
      <c r="Q321" s="5"/>
      <c r="R321" s="5"/>
      <c r="S321" s="5"/>
      <c r="T321" s="5"/>
      <c r="U321" s="5"/>
      <c r="V321" s="5"/>
      <c r="W321" s="5"/>
      <c r="X321" s="5"/>
      <c r="Y321" s="5"/>
      <c r="Z321" s="5"/>
      <c r="AA321" s="5"/>
    </row>
    <row r="322" spans="1:27" ht="12.75" customHeight="1">
      <c r="A322" s="5"/>
      <c r="B322" s="5"/>
      <c r="C322" s="5"/>
      <c r="D322" s="5"/>
      <c r="E322" s="5"/>
      <c r="F322" s="5"/>
      <c r="G322" s="5"/>
      <c r="H322" s="306"/>
      <c r="I322" s="306"/>
      <c r="J322" s="5"/>
      <c r="K322" s="5"/>
      <c r="L322" s="5"/>
      <c r="M322" s="5"/>
      <c r="N322" s="5"/>
      <c r="O322" s="5"/>
      <c r="P322" s="57"/>
      <c r="Q322" s="5"/>
      <c r="R322" s="5"/>
      <c r="S322" s="5"/>
      <c r="T322" s="5"/>
      <c r="U322" s="5"/>
      <c r="V322" s="5"/>
      <c r="W322" s="5"/>
      <c r="X322" s="5"/>
      <c r="Y322" s="5"/>
      <c r="Z322" s="5"/>
      <c r="AA322" s="5"/>
    </row>
    <row r="323" spans="1:27" ht="12.75" customHeight="1">
      <c r="A323" s="5"/>
      <c r="B323" s="5"/>
      <c r="C323" s="5"/>
      <c r="D323" s="5"/>
      <c r="E323" s="5"/>
      <c r="F323" s="5"/>
      <c r="G323" s="5"/>
      <c r="H323" s="306"/>
      <c r="I323" s="306"/>
      <c r="J323" s="5"/>
      <c r="K323" s="5"/>
      <c r="L323" s="5"/>
      <c r="M323" s="5"/>
      <c r="N323" s="5"/>
      <c r="O323" s="5"/>
      <c r="P323" s="57"/>
      <c r="Q323" s="5"/>
      <c r="R323" s="5"/>
      <c r="S323" s="5"/>
      <c r="T323" s="5"/>
      <c r="U323" s="5"/>
      <c r="V323" s="5"/>
      <c r="W323" s="5"/>
      <c r="X323" s="5"/>
      <c r="Y323" s="5"/>
      <c r="Z323" s="5"/>
      <c r="AA323" s="5"/>
    </row>
    <row r="324" spans="1:27" ht="12.75" customHeight="1">
      <c r="A324" s="5"/>
      <c r="B324" s="5"/>
      <c r="C324" s="5"/>
      <c r="D324" s="5"/>
      <c r="E324" s="5"/>
      <c r="F324" s="5"/>
      <c r="G324" s="5"/>
      <c r="H324" s="306"/>
      <c r="I324" s="306"/>
      <c r="J324" s="5"/>
      <c r="K324" s="5"/>
      <c r="L324" s="5"/>
      <c r="M324" s="5"/>
      <c r="N324" s="5"/>
      <c r="O324" s="5"/>
      <c r="P324" s="57"/>
      <c r="Q324" s="5"/>
      <c r="R324" s="5"/>
      <c r="S324" s="5"/>
      <c r="T324" s="5"/>
      <c r="U324" s="5"/>
      <c r="V324" s="5"/>
      <c r="W324" s="5"/>
      <c r="X324" s="5"/>
      <c r="Y324" s="5"/>
      <c r="Z324" s="5"/>
      <c r="AA324" s="5"/>
    </row>
    <row r="325" spans="1:27" ht="12.75" customHeight="1">
      <c r="A325" s="5"/>
      <c r="B325" s="5"/>
      <c r="C325" s="5"/>
      <c r="D325" s="5"/>
      <c r="E325" s="5"/>
      <c r="F325" s="5"/>
      <c r="G325" s="5"/>
      <c r="H325" s="306"/>
      <c r="I325" s="306"/>
      <c r="J325" s="5"/>
      <c r="K325" s="5"/>
      <c r="L325" s="5"/>
      <c r="M325" s="5"/>
      <c r="N325" s="5"/>
      <c r="O325" s="5"/>
      <c r="P325" s="57"/>
      <c r="Q325" s="5"/>
      <c r="R325" s="5"/>
      <c r="S325" s="5"/>
      <c r="T325" s="5"/>
      <c r="U325" s="5"/>
      <c r="V325" s="5"/>
      <c r="W325" s="5"/>
      <c r="X325" s="5"/>
      <c r="Y325" s="5"/>
      <c r="Z325" s="5"/>
      <c r="AA325" s="5"/>
    </row>
    <row r="326" spans="1:27" ht="12.75" customHeight="1">
      <c r="A326" s="5"/>
      <c r="B326" s="5"/>
      <c r="C326" s="5"/>
      <c r="D326" s="5"/>
      <c r="E326" s="5"/>
      <c r="F326" s="5"/>
      <c r="G326" s="5"/>
      <c r="H326" s="306"/>
      <c r="I326" s="306"/>
      <c r="J326" s="5"/>
      <c r="K326" s="5"/>
      <c r="L326" s="5"/>
      <c r="M326" s="5"/>
      <c r="N326" s="5"/>
      <c r="O326" s="5"/>
      <c r="P326" s="57"/>
      <c r="Q326" s="5"/>
      <c r="R326" s="5"/>
      <c r="S326" s="5"/>
      <c r="T326" s="5"/>
      <c r="U326" s="5"/>
      <c r="V326" s="5"/>
      <c r="W326" s="5"/>
      <c r="X326" s="5"/>
      <c r="Y326" s="5"/>
      <c r="Z326" s="5"/>
      <c r="AA326" s="5"/>
    </row>
    <row r="327" spans="1:27" ht="12.75" customHeight="1">
      <c r="A327" s="5"/>
      <c r="B327" s="5"/>
      <c r="C327" s="5"/>
      <c r="D327" s="5"/>
      <c r="E327" s="5"/>
      <c r="F327" s="5"/>
      <c r="G327" s="5"/>
      <c r="H327" s="306"/>
      <c r="I327" s="306"/>
      <c r="J327" s="5"/>
      <c r="K327" s="5"/>
      <c r="L327" s="5"/>
      <c r="M327" s="5"/>
      <c r="N327" s="5"/>
      <c r="O327" s="5"/>
      <c r="P327" s="57"/>
      <c r="Q327" s="5"/>
      <c r="R327" s="5"/>
      <c r="S327" s="5"/>
      <c r="T327" s="5"/>
      <c r="U327" s="5"/>
      <c r="V327" s="5"/>
      <c r="W327" s="5"/>
      <c r="X327" s="5"/>
      <c r="Y327" s="5"/>
      <c r="Z327" s="5"/>
      <c r="AA327" s="5"/>
    </row>
    <row r="328" spans="1:27" ht="12.75" customHeight="1">
      <c r="A328" s="5"/>
      <c r="B328" s="5"/>
      <c r="C328" s="5"/>
      <c r="D328" s="5"/>
      <c r="E328" s="5"/>
      <c r="F328" s="5"/>
      <c r="G328" s="5"/>
      <c r="H328" s="306"/>
      <c r="I328" s="306"/>
      <c r="J328" s="5"/>
      <c r="K328" s="5"/>
      <c r="L328" s="5"/>
      <c r="M328" s="5"/>
      <c r="N328" s="5"/>
      <c r="O328" s="5"/>
      <c r="P328" s="57"/>
      <c r="Q328" s="5"/>
      <c r="R328" s="5"/>
      <c r="S328" s="5"/>
      <c r="T328" s="5"/>
      <c r="U328" s="5"/>
      <c r="V328" s="5"/>
      <c r="W328" s="5"/>
      <c r="X328" s="5"/>
      <c r="Y328" s="5"/>
      <c r="Z328" s="5"/>
      <c r="AA328" s="5"/>
    </row>
    <row r="329" spans="1:27" ht="12.75" customHeight="1">
      <c r="A329" s="5"/>
      <c r="B329" s="5"/>
      <c r="C329" s="5"/>
      <c r="D329" s="5"/>
      <c r="E329" s="5"/>
      <c r="F329" s="5"/>
      <c r="G329" s="5"/>
      <c r="H329" s="306"/>
      <c r="I329" s="306"/>
      <c r="J329" s="5"/>
      <c r="K329" s="5"/>
      <c r="L329" s="5"/>
      <c r="M329" s="5"/>
      <c r="N329" s="5"/>
      <c r="O329" s="5"/>
      <c r="P329" s="57"/>
      <c r="Q329" s="5"/>
      <c r="R329" s="5"/>
      <c r="S329" s="5"/>
      <c r="T329" s="5"/>
      <c r="U329" s="5"/>
      <c r="V329" s="5"/>
      <c r="W329" s="5"/>
      <c r="X329" s="5"/>
      <c r="Y329" s="5"/>
      <c r="Z329" s="5"/>
      <c r="AA329" s="5"/>
    </row>
    <row r="330" spans="1:27" ht="12.75" customHeight="1">
      <c r="A330" s="5"/>
      <c r="B330" s="5"/>
      <c r="C330" s="5"/>
      <c r="D330" s="5"/>
      <c r="E330" s="5"/>
      <c r="F330" s="5"/>
      <c r="G330" s="5"/>
      <c r="H330" s="306"/>
      <c r="I330" s="306"/>
      <c r="J330" s="5"/>
      <c r="K330" s="5"/>
      <c r="L330" s="5"/>
      <c r="M330" s="5"/>
      <c r="N330" s="5"/>
      <c r="O330" s="5"/>
      <c r="P330" s="57"/>
      <c r="Q330" s="5"/>
      <c r="R330" s="5"/>
      <c r="S330" s="5"/>
      <c r="T330" s="5"/>
      <c r="U330" s="5"/>
      <c r="V330" s="5"/>
      <c r="W330" s="5"/>
      <c r="X330" s="5"/>
      <c r="Y330" s="5"/>
      <c r="Z330" s="5"/>
      <c r="AA330" s="5"/>
    </row>
    <row r="331" spans="1:27" ht="12.75" customHeight="1">
      <c r="A331" s="5"/>
      <c r="B331" s="5"/>
      <c r="C331" s="5"/>
      <c r="D331" s="5"/>
      <c r="E331" s="5"/>
      <c r="F331" s="5"/>
      <c r="G331" s="5"/>
      <c r="H331" s="306"/>
      <c r="I331" s="306"/>
      <c r="J331" s="5"/>
      <c r="K331" s="5"/>
      <c r="L331" s="5"/>
      <c r="M331" s="5"/>
      <c r="N331" s="5"/>
      <c r="O331" s="5"/>
      <c r="P331" s="57"/>
      <c r="Q331" s="5"/>
      <c r="R331" s="5"/>
      <c r="S331" s="5"/>
      <c r="T331" s="5"/>
      <c r="U331" s="5"/>
      <c r="V331" s="5"/>
      <c r="W331" s="5"/>
      <c r="X331" s="5"/>
      <c r="Y331" s="5"/>
      <c r="Z331" s="5"/>
      <c r="AA331" s="5"/>
    </row>
    <row r="332" spans="1:27" ht="12.75" customHeight="1">
      <c r="A332" s="5"/>
      <c r="B332" s="5"/>
      <c r="C332" s="5"/>
      <c r="D332" s="5"/>
      <c r="E332" s="5"/>
      <c r="F332" s="5"/>
      <c r="G332" s="5"/>
      <c r="H332" s="306"/>
      <c r="I332" s="306"/>
      <c r="J332" s="5"/>
      <c r="K332" s="5"/>
      <c r="L332" s="5"/>
      <c r="M332" s="5"/>
      <c r="N332" s="5"/>
      <c r="O332" s="5"/>
      <c r="P332" s="57"/>
      <c r="Q332" s="5"/>
      <c r="R332" s="5"/>
      <c r="S332" s="5"/>
      <c r="T332" s="5"/>
      <c r="U332" s="5"/>
      <c r="V332" s="5"/>
      <c r="W332" s="5"/>
      <c r="X332" s="5"/>
      <c r="Y332" s="5"/>
      <c r="Z332" s="5"/>
      <c r="AA332" s="5"/>
    </row>
    <row r="333" spans="1:27" ht="12.75" customHeight="1">
      <c r="A333" s="5"/>
      <c r="B333" s="5"/>
      <c r="C333" s="5"/>
      <c r="D333" s="5"/>
      <c r="E333" s="5"/>
      <c r="F333" s="5"/>
      <c r="G333" s="5"/>
      <c r="H333" s="306"/>
      <c r="I333" s="306"/>
      <c r="J333" s="5"/>
      <c r="K333" s="5"/>
      <c r="L333" s="5"/>
      <c r="M333" s="5"/>
      <c r="N333" s="5"/>
      <c r="O333" s="5"/>
      <c r="P333" s="57"/>
      <c r="Q333" s="5"/>
      <c r="R333" s="5"/>
      <c r="S333" s="5"/>
      <c r="T333" s="5"/>
      <c r="U333" s="5"/>
      <c r="V333" s="5"/>
      <c r="W333" s="5"/>
      <c r="X333" s="5"/>
      <c r="Y333" s="5"/>
      <c r="Z333" s="5"/>
      <c r="AA333" s="5"/>
    </row>
    <row r="334" spans="1:27" ht="12.75" customHeight="1">
      <c r="A334" s="5"/>
      <c r="B334" s="5"/>
      <c r="C334" s="5"/>
      <c r="D334" s="5"/>
      <c r="E334" s="5"/>
      <c r="F334" s="5"/>
      <c r="G334" s="5"/>
      <c r="H334" s="306"/>
      <c r="I334" s="306"/>
      <c r="J334" s="5"/>
      <c r="K334" s="5"/>
      <c r="L334" s="5"/>
      <c r="M334" s="5"/>
      <c r="N334" s="5"/>
      <c r="O334" s="5"/>
      <c r="P334" s="57"/>
      <c r="Q334" s="5"/>
      <c r="R334" s="5"/>
      <c r="S334" s="5"/>
      <c r="T334" s="5"/>
      <c r="U334" s="5"/>
      <c r="V334" s="5"/>
      <c r="W334" s="5"/>
      <c r="X334" s="5"/>
      <c r="Y334" s="5"/>
      <c r="Z334" s="5"/>
      <c r="AA334" s="5"/>
    </row>
    <row r="335" spans="1:27" ht="12.75" customHeight="1">
      <c r="A335" s="5"/>
      <c r="B335" s="5"/>
      <c r="C335" s="5"/>
      <c r="D335" s="5"/>
      <c r="E335" s="5"/>
      <c r="F335" s="5"/>
      <c r="G335" s="5"/>
      <c r="H335" s="306"/>
      <c r="I335" s="306"/>
      <c r="J335" s="5"/>
      <c r="K335" s="5"/>
      <c r="L335" s="5"/>
      <c r="M335" s="5"/>
      <c r="N335" s="5"/>
      <c r="O335" s="5"/>
      <c r="P335" s="57"/>
      <c r="Q335" s="5"/>
      <c r="R335" s="5"/>
      <c r="S335" s="5"/>
      <c r="T335" s="5"/>
      <c r="U335" s="5"/>
      <c r="V335" s="5"/>
      <c r="W335" s="5"/>
      <c r="X335" s="5"/>
      <c r="Y335" s="5"/>
      <c r="Z335" s="5"/>
      <c r="AA335" s="5"/>
    </row>
    <row r="336" spans="1:27" ht="12.75" customHeight="1">
      <c r="A336" s="5"/>
      <c r="B336" s="5"/>
      <c r="C336" s="5"/>
      <c r="D336" s="5"/>
      <c r="E336" s="5"/>
      <c r="F336" s="5"/>
      <c r="G336" s="5"/>
      <c r="H336" s="306"/>
      <c r="I336" s="306"/>
      <c r="J336" s="5"/>
      <c r="K336" s="5"/>
      <c r="L336" s="5"/>
      <c r="M336" s="5"/>
      <c r="N336" s="5"/>
      <c r="O336" s="5"/>
      <c r="P336" s="57"/>
      <c r="Q336" s="5"/>
      <c r="R336" s="5"/>
      <c r="S336" s="5"/>
      <c r="T336" s="5"/>
      <c r="U336" s="5"/>
      <c r="V336" s="5"/>
      <c r="W336" s="5"/>
      <c r="X336" s="5"/>
      <c r="Y336" s="5"/>
      <c r="Z336" s="5"/>
      <c r="AA336" s="5"/>
    </row>
    <row r="337" spans="1:27" ht="12.75" customHeight="1">
      <c r="A337" s="5"/>
      <c r="B337" s="5"/>
      <c r="C337" s="5"/>
      <c r="D337" s="5"/>
      <c r="E337" s="5"/>
      <c r="F337" s="5"/>
      <c r="G337" s="5"/>
      <c r="H337" s="306"/>
      <c r="I337" s="306"/>
      <c r="J337" s="5"/>
      <c r="K337" s="5"/>
      <c r="L337" s="5"/>
      <c r="M337" s="5"/>
      <c r="N337" s="5"/>
      <c r="O337" s="5"/>
      <c r="P337" s="57"/>
      <c r="Q337" s="5"/>
      <c r="R337" s="5"/>
      <c r="S337" s="5"/>
      <c r="T337" s="5"/>
      <c r="U337" s="5"/>
      <c r="V337" s="5"/>
      <c r="W337" s="5"/>
      <c r="X337" s="5"/>
      <c r="Y337" s="5"/>
      <c r="Z337" s="5"/>
      <c r="AA337" s="5"/>
    </row>
    <row r="338" spans="1:27" ht="12.75" customHeight="1">
      <c r="A338" s="5"/>
      <c r="B338" s="5"/>
      <c r="C338" s="5"/>
      <c r="D338" s="5"/>
      <c r="E338" s="5"/>
      <c r="F338" s="5"/>
      <c r="G338" s="5"/>
      <c r="H338" s="306"/>
      <c r="I338" s="306"/>
      <c r="J338" s="5"/>
      <c r="K338" s="5"/>
      <c r="L338" s="5"/>
      <c r="M338" s="5"/>
      <c r="N338" s="5"/>
      <c r="O338" s="5"/>
      <c r="P338" s="57"/>
      <c r="Q338" s="5"/>
      <c r="R338" s="5"/>
      <c r="S338" s="5"/>
      <c r="T338" s="5"/>
      <c r="U338" s="5"/>
      <c r="V338" s="5"/>
      <c r="W338" s="5"/>
      <c r="X338" s="5"/>
      <c r="Y338" s="5"/>
      <c r="Z338" s="5"/>
      <c r="AA338" s="5"/>
    </row>
    <row r="339" spans="1:27" ht="12.75" customHeight="1">
      <c r="A339" s="5"/>
      <c r="B339" s="5"/>
      <c r="C339" s="5"/>
      <c r="D339" s="5"/>
      <c r="E339" s="5"/>
      <c r="F339" s="5"/>
      <c r="G339" s="5"/>
      <c r="H339" s="306"/>
      <c r="I339" s="306"/>
      <c r="J339" s="5"/>
      <c r="K339" s="5"/>
      <c r="L339" s="5"/>
      <c r="M339" s="5"/>
      <c r="N339" s="5"/>
      <c r="O339" s="5"/>
      <c r="P339" s="57"/>
      <c r="Q339" s="5"/>
      <c r="R339" s="5"/>
      <c r="S339" s="5"/>
      <c r="T339" s="5"/>
      <c r="U339" s="5"/>
      <c r="V339" s="5"/>
      <c r="W339" s="5"/>
      <c r="X339" s="5"/>
      <c r="Y339" s="5"/>
      <c r="Z339" s="5"/>
      <c r="AA339" s="5"/>
    </row>
    <row r="340" spans="1:27" ht="12.75" customHeight="1">
      <c r="A340" s="5"/>
      <c r="B340" s="5"/>
      <c r="C340" s="5"/>
      <c r="D340" s="5"/>
      <c r="E340" s="5"/>
      <c r="F340" s="5"/>
      <c r="G340" s="5"/>
      <c r="H340" s="306"/>
      <c r="I340" s="306"/>
      <c r="J340" s="5"/>
      <c r="K340" s="5"/>
      <c r="L340" s="5"/>
      <c r="M340" s="5"/>
      <c r="N340" s="5"/>
      <c r="O340" s="5"/>
      <c r="P340" s="57"/>
      <c r="Q340" s="5"/>
      <c r="R340" s="5"/>
      <c r="S340" s="5"/>
      <c r="T340" s="5"/>
      <c r="U340" s="5"/>
      <c r="V340" s="5"/>
      <c r="W340" s="5"/>
      <c r="X340" s="5"/>
      <c r="Y340" s="5"/>
      <c r="Z340" s="5"/>
      <c r="AA340" s="5"/>
    </row>
    <row r="341" spans="1:27" ht="12.75" customHeight="1">
      <c r="A341" s="5"/>
      <c r="B341" s="5"/>
      <c r="C341" s="5"/>
      <c r="D341" s="5"/>
      <c r="E341" s="5"/>
      <c r="F341" s="5"/>
      <c r="G341" s="5"/>
      <c r="H341" s="306"/>
      <c r="I341" s="306"/>
      <c r="J341" s="5"/>
      <c r="K341" s="5"/>
      <c r="L341" s="5"/>
      <c r="M341" s="5"/>
      <c r="N341" s="5"/>
      <c r="O341" s="5"/>
      <c r="P341" s="57"/>
      <c r="Q341" s="5"/>
      <c r="R341" s="5"/>
      <c r="S341" s="5"/>
      <c r="T341" s="5"/>
      <c r="U341" s="5"/>
      <c r="V341" s="5"/>
      <c r="W341" s="5"/>
      <c r="X341" s="5"/>
      <c r="Y341" s="5"/>
      <c r="Z341" s="5"/>
      <c r="AA341" s="5"/>
    </row>
    <row r="342" spans="1:27" ht="12.75" customHeight="1">
      <c r="A342" s="5"/>
      <c r="B342" s="5"/>
      <c r="C342" s="5"/>
      <c r="D342" s="5"/>
      <c r="E342" s="5"/>
      <c r="F342" s="5"/>
      <c r="G342" s="5"/>
      <c r="H342" s="306"/>
      <c r="I342" s="306"/>
      <c r="J342" s="5"/>
      <c r="K342" s="5"/>
      <c r="L342" s="5"/>
      <c r="M342" s="5"/>
      <c r="N342" s="5"/>
      <c r="O342" s="5"/>
      <c r="P342" s="57"/>
      <c r="Q342" s="5"/>
      <c r="R342" s="5"/>
      <c r="S342" s="5"/>
      <c r="T342" s="5"/>
      <c r="U342" s="5"/>
      <c r="V342" s="5"/>
      <c r="W342" s="5"/>
      <c r="X342" s="5"/>
      <c r="Y342" s="5"/>
      <c r="Z342" s="5"/>
      <c r="AA342" s="5"/>
    </row>
    <row r="343" spans="1:27" ht="12.75" customHeight="1">
      <c r="A343" s="5"/>
      <c r="B343" s="5"/>
      <c r="C343" s="5"/>
      <c r="D343" s="5"/>
      <c r="E343" s="5"/>
      <c r="F343" s="5"/>
      <c r="G343" s="5"/>
      <c r="H343" s="306"/>
      <c r="I343" s="306"/>
      <c r="J343" s="5"/>
      <c r="K343" s="5"/>
      <c r="L343" s="5"/>
      <c r="M343" s="5"/>
      <c r="N343" s="5"/>
      <c r="O343" s="5"/>
      <c r="P343" s="57"/>
      <c r="Q343" s="5"/>
      <c r="R343" s="5"/>
      <c r="S343" s="5"/>
      <c r="T343" s="5"/>
      <c r="U343" s="5"/>
      <c r="V343" s="5"/>
      <c r="W343" s="5"/>
      <c r="X343" s="5"/>
      <c r="Y343" s="5"/>
      <c r="Z343" s="5"/>
      <c r="AA343" s="5"/>
    </row>
    <row r="344" spans="1:27" ht="12.75" customHeight="1">
      <c r="A344" s="5"/>
      <c r="B344" s="5"/>
      <c r="C344" s="5"/>
      <c r="D344" s="5"/>
      <c r="E344" s="5"/>
      <c r="F344" s="5"/>
      <c r="G344" s="5"/>
      <c r="H344" s="306"/>
      <c r="I344" s="306"/>
      <c r="J344" s="5"/>
      <c r="K344" s="5"/>
      <c r="L344" s="5"/>
      <c r="M344" s="5"/>
      <c r="N344" s="5"/>
      <c r="O344" s="5"/>
      <c r="P344" s="57"/>
      <c r="Q344" s="5"/>
      <c r="R344" s="5"/>
      <c r="S344" s="5"/>
      <c r="T344" s="5"/>
      <c r="U344" s="5"/>
      <c r="V344" s="5"/>
      <c r="W344" s="5"/>
      <c r="X344" s="5"/>
      <c r="Y344" s="5"/>
      <c r="Z344" s="5"/>
      <c r="AA344" s="5"/>
    </row>
    <row r="345" spans="1:27" ht="12.75" customHeight="1">
      <c r="A345" s="5"/>
      <c r="B345" s="5"/>
      <c r="C345" s="5"/>
      <c r="D345" s="5"/>
      <c r="E345" s="5"/>
      <c r="F345" s="5"/>
      <c r="G345" s="5"/>
      <c r="H345" s="306"/>
      <c r="I345" s="306"/>
      <c r="J345" s="5"/>
      <c r="K345" s="5"/>
      <c r="L345" s="5"/>
      <c r="M345" s="5"/>
      <c r="N345" s="5"/>
      <c r="O345" s="5"/>
      <c r="P345" s="57"/>
      <c r="Q345" s="5"/>
      <c r="R345" s="5"/>
      <c r="S345" s="5"/>
      <c r="T345" s="5"/>
      <c r="U345" s="5"/>
      <c r="V345" s="5"/>
      <c r="W345" s="5"/>
      <c r="X345" s="5"/>
      <c r="Y345" s="5"/>
      <c r="Z345" s="5"/>
      <c r="AA345" s="5"/>
    </row>
    <row r="346" spans="1:27" ht="12.75" customHeight="1">
      <c r="A346" s="5"/>
      <c r="B346" s="5"/>
      <c r="C346" s="5"/>
      <c r="D346" s="5"/>
      <c r="E346" s="5"/>
      <c r="F346" s="5"/>
      <c r="G346" s="5"/>
      <c r="H346" s="306"/>
      <c r="I346" s="306"/>
      <c r="J346" s="5"/>
      <c r="K346" s="5"/>
      <c r="L346" s="5"/>
      <c r="M346" s="5"/>
      <c r="N346" s="5"/>
      <c r="O346" s="5"/>
      <c r="P346" s="57"/>
      <c r="Q346" s="5"/>
      <c r="R346" s="5"/>
      <c r="S346" s="5"/>
      <c r="T346" s="5"/>
      <c r="U346" s="5"/>
      <c r="V346" s="5"/>
      <c r="W346" s="5"/>
      <c r="X346" s="5"/>
      <c r="Y346" s="5"/>
      <c r="Z346" s="5"/>
      <c r="AA346" s="5"/>
    </row>
    <row r="347" spans="1:27" ht="12.75" customHeight="1">
      <c r="A347" s="5"/>
      <c r="B347" s="5"/>
      <c r="C347" s="5"/>
      <c r="D347" s="5"/>
      <c r="E347" s="5"/>
      <c r="F347" s="5"/>
      <c r="G347" s="5"/>
      <c r="H347" s="306"/>
      <c r="I347" s="306"/>
      <c r="J347" s="5"/>
      <c r="K347" s="5"/>
      <c r="L347" s="5"/>
      <c r="M347" s="5"/>
      <c r="N347" s="5"/>
      <c r="O347" s="5"/>
      <c r="P347" s="57"/>
      <c r="Q347" s="5"/>
      <c r="R347" s="5"/>
      <c r="S347" s="5"/>
      <c r="T347" s="5"/>
      <c r="U347" s="5"/>
      <c r="V347" s="5"/>
      <c r="W347" s="5"/>
      <c r="X347" s="5"/>
      <c r="Y347" s="5"/>
      <c r="Z347" s="5"/>
      <c r="AA347" s="5"/>
    </row>
    <row r="348" spans="1:27" ht="12.75" customHeight="1">
      <c r="A348" s="5"/>
      <c r="B348" s="5"/>
      <c r="C348" s="5"/>
      <c r="D348" s="5"/>
      <c r="E348" s="5"/>
      <c r="F348" s="5"/>
      <c r="G348" s="5"/>
      <c r="H348" s="306"/>
      <c r="I348" s="306"/>
      <c r="J348" s="5"/>
      <c r="K348" s="5"/>
      <c r="L348" s="5"/>
      <c r="M348" s="5"/>
      <c r="N348" s="5"/>
      <c r="O348" s="5"/>
      <c r="P348" s="57"/>
      <c r="Q348" s="5"/>
      <c r="R348" s="5"/>
      <c r="S348" s="5"/>
      <c r="T348" s="5"/>
      <c r="U348" s="5"/>
      <c r="V348" s="5"/>
      <c r="W348" s="5"/>
      <c r="X348" s="5"/>
      <c r="Y348" s="5"/>
      <c r="Z348" s="5"/>
      <c r="AA348" s="5"/>
    </row>
    <row r="349" spans="1:27" ht="12.75" customHeight="1">
      <c r="A349" s="5"/>
      <c r="B349" s="5"/>
      <c r="C349" s="5"/>
      <c r="D349" s="5"/>
      <c r="E349" s="5"/>
      <c r="F349" s="5"/>
      <c r="G349" s="5"/>
      <c r="H349" s="306"/>
      <c r="I349" s="306"/>
      <c r="J349" s="5"/>
      <c r="K349" s="5"/>
      <c r="L349" s="5"/>
      <c r="M349" s="5"/>
      <c r="N349" s="5"/>
      <c r="O349" s="5"/>
      <c r="P349" s="57"/>
      <c r="Q349" s="5"/>
      <c r="R349" s="5"/>
      <c r="S349" s="5"/>
      <c r="T349" s="5"/>
      <c r="U349" s="5"/>
      <c r="V349" s="5"/>
      <c r="W349" s="5"/>
      <c r="X349" s="5"/>
      <c r="Y349" s="5"/>
      <c r="Z349" s="5"/>
      <c r="AA349" s="5"/>
    </row>
    <row r="350" spans="1:27" ht="12.75" customHeight="1">
      <c r="A350" s="5"/>
      <c r="B350" s="5"/>
      <c r="C350" s="5"/>
      <c r="D350" s="5"/>
      <c r="E350" s="5"/>
      <c r="F350" s="5"/>
      <c r="G350" s="5"/>
      <c r="H350" s="306"/>
      <c r="I350" s="306"/>
      <c r="J350" s="5"/>
      <c r="K350" s="5"/>
      <c r="L350" s="5"/>
      <c r="M350" s="5"/>
      <c r="N350" s="5"/>
      <c r="O350" s="5"/>
      <c r="P350" s="57"/>
      <c r="Q350" s="5"/>
      <c r="R350" s="5"/>
      <c r="S350" s="5"/>
      <c r="T350" s="5"/>
      <c r="U350" s="5"/>
      <c r="V350" s="5"/>
      <c r="W350" s="5"/>
      <c r="X350" s="5"/>
      <c r="Y350" s="5"/>
      <c r="Z350" s="5"/>
      <c r="AA350" s="5"/>
    </row>
    <row r="351" spans="1:27" ht="12.75" customHeight="1">
      <c r="A351" s="5"/>
      <c r="B351" s="5"/>
      <c r="C351" s="5"/>
      <c r="D351" s="5"/>
      <c r="E351" s="5"/>
      <c r="F351" s="5"/>
      <c r="G351" s="5"/>
      <c r="H351" s="306"/>
      <c r="I351" s="306"/>
      <c r="J351" s="5"/>
      <c r="K351" s="5"/>
      <c r="L351" s="5"/>
      <c r="M351" s="5"/>
      <c r="N351" s="5"/>
      <c r="O351" s="5"/>
      <c r="P351" s="57"/>
      <c r="Q351" s="5"/>
      <c r="R351" s="5"/>
      <c r="S351" s="5"/>
      <c r="T351" s="5"/>
      <c r="U351" s="5"/>
      <c r="V351" s="5"/>
      <c r="W351" s="5"/>
      <c r="X351" s="5"/>
      <c r="Y351" s="5"/>
      <c r="Z351" s="5"/>
      <c r="AA351" s="5"/>
    </row>
    <row r="352" spans="1:27" ht="12.75" customHeight="1">
      <c r="A352" s="5"/>
      <c r="B352" s="5"/>
      <c r="C352" s="5"/>
      <c r="D352" s="5"/>
      <c r="E352" s="5"/>
      <c r="F352" s="5"/>
      <c r="G352" s="5"/>
      <c r="H352" s="306"/>
      <c r="I352" s="306"/>
      <c r="J352" s="5"/>
      <c r="K352" s="5"/>
      <c r="L352" s="5"/>
      <c r="M352" s="5"/>
      <c r="N352" s="5"/>
      <c r="O352" s="5"/>
      <c r="P352" s="57"/>
      <c r="Q352" s="5"/>
      <c r="R352" s="5"/>
      <c r="S352" s="5"/>
      <c r="T352" s="5"/>
      <c r="U352" s="5"/>
      <c r="V352" s="5"/>
      <c r="W352" s="5"/>
      <c r="X352" s="5"/>
      <c r="Y352" s="5"/>
      <c r="Z352" s="5"/>
      <c r="AA352" s="5"/>
    </row>
    <row r="353" spans="1:27" ht="12.75" customHeight="1">
      <c r="A353" s="5"/>
      <c r="B353" s="5"/>
      <c r="C353" s="5"/>
      <c r="D353" s="5"/>
      <c r="E353" s="5"/>
      <c r="F353" s="5"/>
      <c r="G353" s="5"/>
      <c r="H353" s="306"/>
      <c r="I353" s="306"/>
      <c r="J353" s="5"/>
      <c r="K353" s="5"/>
      <c r="L353" s="5"/>
      <c r="M353" s="5"/>
      <c r="N353" s="5"/>
      <c r="O353" s="5"/>
      <c r="P353" s="57"/>
      <c r="Q353" s="5"/>
      <c r="R353" s="5"/>
      <c r="S353" s="5"/>
      <c r="T353" s="5"/>
      <c r="U353" s="5"/>
      <c r="V353" s="5"/>
      <c r="W353" s="5"/>
      <c r="X353" s="5"/>
      <c r="Y353" s="5"/>
      <c r="Z353" s="5"/>
      <c r="AA353" s="5"/>
    </row>
    <row r="354" spans="1:27" ht="12.75" customHeight="1">
      <c r="A354" s="5"/>
      <c r="B354" s="5"/>
      <c r="C354" s="5"/>
      <c r="D354" s="5"/>
      <c r="E354" s="5"/>
      <c r="F354" s="5"/>
      <c r="G354" s="5"/>
      <c r="H354" s="306"/>
      <c r="I354" s="306"/>
      <c r="J354" s="5"/>
      <c r="K354" s="5"/>
      <c r="L354" s="5"/>
      <c r="M354" s="5"/>
      <c r="N354" s="5"/>
      <c r="O354" s="5"/>
      <c r="P354" s="57"/>
      <c r="Q354" s="5"/>
      <c r="R354" s="5"/>
      <c r="S354" s="5"/>
      <c r="T354" s="5"/>
      <c r="U354" s="5"/>
      <c r="V354" s="5"/>
      <c r="W354" s="5"/>
      <c r="X354" s="5"/>
      <c r="Y354" s="5"/>
      <c r="Z354" s="5"/>
      <c r="AA354" s="5"/>
    </row>
    <row r="355" spans="1:27" ht="12.75" customHeight="1">
      <c r="A355" s="5"/>
      <c r="B355" s="5"/>
      <c r="C355" s="5"/>
      <c r="D355" s="5"/>
      <c r="E355" s="5"/>
      <c r="F355" s="5"/>
      <c r="G355" s="5"/>
      <c r="H355" s="306"/>
      <c r="I355" s="306"/>
      <c r="J355" s="5"/>
      <c r="K355" s="5"/>
      <c r="L355" s="5"/>
      <c r="M355" s="5"/>
      <c r="N355" s="5"/>
      <c r="O355" s="5"/>
      <c r="P355" s="57"/>
      <c r="Q355" s="5"/>
      <c r="R355" s="5"/>
      <c r="S355" s="5"/>
      <c r="T355" s="5"/>
      <c r="U355" s="5"/>
      <c r="V355" s="5"/>
      <c r="W355" s="5"/>
      <c r="X355" s="5"/>
      <c r="Y355" s="5"/>
      <c r="Z355" s="5"/>
      <c r="AA355" s="5"/>
    </row>
    <row r="356" spans="1:27" ht="12.75" customHeight="1">
      <c r="A356" s="5"/>
      <c r="B356" s="5"/>
      <c r="C356" s="5"/>
      <c r="D356" s="5"/>
      <c r="E356" s="5"/>
      <c r="F356" s="5"/>
      <c r="G356" s="5"/>
      <c r="H356" s="306"/>
      <c r="I356" s="306"/>
      <c r="J356" s="5"/>
      <c r="K356" s="5"/>
      <c r="L356" s="5"/>
      <c r="M356" s="5"/>
      <c r="N356" s="5"/>
      <c r="O356" s="5"/>
      <c r="P356" s="57"/>
      <c r="Q356" s="5"/>
      <c r="R356" s="5"/>
      <c r="S356" s="5"/>
      <c r="T356" s="5"/>
      <c r="U356" s="5"/>
      <c r="V356" s="5"/>
      <c r="W356" s="5"/>
      <c r="X356" s="5"/>
      <c r="Y356" s="5"/>
      <c r="Z356" s="5"/>
      <c r="AA356" s="5"/>
    </row>
    <row r="357" spans="1:27" ht="12.75" customHeight="1">
      <c r="A357" s="5"/>
      <c r="B357" s="5"/>
      <c r="C357" s="5"/>
      <c r="D357" s="5"/>
      <c r="E357" s="5"/>
      <c r="F357" s="5"/>
      <c r="G357" s="5"/>
      <c r="H357" s="306"/>
      <c r="I357" s="306"/>
      <c r="J357" s="5"/>
      <c r="K357" s="5"/>
      <c r="L357" s="5"/>
      <c r="M357" s="5"/>
      <c r="N357" s="5"/>
      <c r="O357" s="5"/>
      <c r="P357" s="57"/>
      <c r="Q357" s="5"/>
      <c r="R357" s="5"/>
      <c r="S357" s="5"/>
      <c r="T357" s="5"/>
      <c r="U357" s="5"/>
      <c r="V357" s="5"/>
      <c r="W357" s="5"/>
      <c r="X357" s="5"/>
      <c r="Y357" s="5"/>
      <c r="Z357" s="5"/>
      <c r="AA357" s="5"/>
    </row>
    <row r="358" spans="1:27" ht="12.75" customHeight="1">
      <c r="A358" s="5"/>
      <c r="B358" s="5"/>
      <c r="C358" s="5"/>
      <c r="D358" s="5"/>
      <c r="E358" s="5"/>
      <c r="F358" s="5"/>
      <c r="G358" s="5"/>
      <c r="H358" s="306"/>
      <c r="I358" s="306"/>
      <c r="J358" s="5"/>
      <c r="K358" s="5"/>
      <c r="L358" s="5"/>
      <c r="M358" s="5"/>
      <c r="N358" s="5"/>
      <c r="O358" s="5"/>
      <c r="P358" s="57"/>
      <c r="Q358" s="5"/>
      <c r="R358" s="5"/>
      <c r="S358" s="5"/>
      <c r="T358" s="5"/>
      <c r="U358" s="5"/>
      <c r="V358" s="5"/>
      <c r="W358" s="5"/>
      <c r="X358" s="5"/>
      <c r="Y358" s="5"/>
      <c r="Z358" s="5"/>
      <c r="AA358" s="5"/>
    </row>
    <row r="359" spans="1:27" ht="12.75" customHeight="1">
      <c r="A359" s="5"/>
      <c r="B359" s="5"/>
      <c r="C359" s="5"/>
      <c r="D359" s="5"/>
      <c r="E359" s="5"/>
      <c r="F359" s="5"/>
      <c r="G359" s="5"/>
      <c r="H359" s="306"/>
      <c r="I359" s="306"/>
      <c r="J359" s="5"/>
      <c r="K359" s="5"/>
      <c r="L359" s="5"/>
      <c r="M359" s="5"/>
      <c r="N359" s="5"/>
      <c r="O359" s="5"/>
      <c r="P359" s="57"/>
      <c r="Q359" s="5"/>
      <c r="R359" s="5"/>
      <c r="S359" s="5"/>
      <c r="T359" s="5"/>
      <c r="U359" s="5"/>
      <c r="V359" s="5"/>
      <c r="W359" s="5"/>
      <c r="X359" s="5"/>
      <c r="Y359" s="5"/>
      <c r="Z359" s="5"/>
      <c r="AA359" s="5"/>
    </row>
    <row r="360" spans="1:27" ht="12.75" customHeight="1">
      <c r="A360" s="5"/>
      <c r="B360" s="5"/>
      <c r="C360" s="5"/>
      <c r="D360" s="5"/>
      <c r="E360" s="5"/>
      <c r="F360" s="5"/>
      <c r="G360" s="5"/>
      <c r="H360" s="306"/>
      <c r="I360" s="306"/>
      <c r="J360" s="5"/>
      <c r="K360" s="5"/>
      <c r="L360" s="5"/>
      <c r="M360" s="5"/>
      <c r="N360" s="5"/>
      <c r="O360" s="5"/>
      <c r="P360" s="57"/>
      <c r="Q360" s="5"/>
      <c r="R360" s="5"/>
      <c r="S360" s="5"/>
      <c r="T360" s="5"/>
      <c r="U360" s="5"/>
      <c r="V360" s="5"/>
      <c r="W360" s="5"/>
      <c r="X360" s="5"/>
      <c r="Y360" s="5"/>
      <c r="Z360" s="5"/>
      <c r="AA360" s="5"/>
    </row>
    <row r="361" spans="1:27" ht="12.75" customHeight="1">
      <c r="A361" s="5"/>
      <c r="B361" s="5"/>
      <c r="C361" s="5"/>
      <c r="D361" s="5"/>
      <c r="E361" s="5"/>
      <c r="F361" s="5"/>
      <c r="G361" s="5"/>
      <c r="H361" s="306"/>
      <c r="I361" s="306"/>
      <c r="J361" s="5"/>
      <c r="K361" s="5"/>
      <c r="L361" s="5"/>
      <c r="M361" s="5"/>
      <c r="N361" s="5"/>
      <c r="O361" s="5"/>
      <c r="P361" s="57"/>
      <c r="Q361" s="5"/>
      <c r="R361" s="5"/>
      <c r="S361" s="5"/>
      <c r="T361" s="5"/>
      <c r="U361" s="5"/>
      <c r="V361" s="5"/>
      <c r="W361" s="5"/>
      <c r="X361" s="5"/>
      <c r="Y361" s="5"/>
      <c r="Z361" s="5"/>
      <c r="AA361" s="5"/>
    </row>
    <row r="362" spans="1:27" ht="12.75" customHeight="1">
      <c r="A362" s="5"/>
      <c r="B362" s="5"/>
      <c r="C362" s="5"/>
      <c r="D362" s="5"/>
      <c r="E362" s="5"/>
      <c r="F362" s="5"/>
      <c r="G362" s="5"/>
      <c r="H362" s="306"/>
      <c r="I362" s="306"/>
      <c r="J362" s="5"/>
      <c r="K362" s="5"/>
      <c r="L362" s="5"/>
      <c r="M362" s="5"/>
      <c r="N362" s="5"/>
      <c r="O362" s="5"/>
      <c r="P362" s="57"/>
      <c r="Q362" s="5"/>
      <c r="R362" s="5"/>
      <c r="S362" s="5"/>
      <c r="T362" s="5"/>
      <c r="U362" s="5"/>
      <c r="V362" s="5"/>
      <c r="W362" s="5"/>
      <c r="X362" s="5"/>
      <c r="Y362" s="5"/>
      <c r="Z362" s="5"/>
      <c r="AA362" s="5"/>
    </row>
    <row r="363" spans="1:27" ht="12.75" customHeight="1">
      <c r="A363" s="5"/>
      <c r="B363" s="5"/>
      <c r="C363" s="5"/>
      <c r="D363" s="5"/>
      <c r="E363" s="5"/>
      <c r="F363" s="5"/>
      <c r="G363" s="5"/>
      <c r="H363" s="306"/>
      <c r="I363" s="306"/>
      <c r="J363" s="5"/>
      <c r="K363" s="5"/>
      <c r="L363" s="5"/>
      <c r="M363" s="5"/>
      <c r="N363" s="5"/>
      <c r="O363" s="5"/>
      <c r="P363" s="57"/>
      <c r="Q363" s="5"/>
      <c r="R363" s="5"/>
      <c r="S363" s="5"/>
      <c r="T363" s="5"/>
      <c r="U363" s="5"/>
      <c r="V363" s="5"/>
      <c r="W363" s="5"/>
      <c r="X363" s="5"/>
      <c r="Y363" s="5"/>
      <c r="Z363" s="5"/>
      <c r="AA363" s="5"/>
    </row>
    <row r="364" spans="1:27" ht="12.75" customHeight="1">
      <c r="A364" s="5"/>
      <c r="B364" s="5"/>
      <c r="C364" s="5"/>
      <c r="D364" s="5"/>
      <c r="E364" s="5"/>
      <c r="F364" s="5"/>
      <c r="G364" s="5"/>
      <c r="H364" s="306"/>
      <c r="I364" s="306"/>
      <c r="J364" s="5"/>
      <c r="K364" s="5"/>
      <c r="L364" s="5"/>
      <c r="M364" s="5"/>
      <c r="N364" s="5"/>
      <c r="O364" s="5"/>
      <c r="P364" s="57"/>
      <c r="Q364" s="5"/>
      <c r="R364" s="5"/>
      <c r="S364" s="5"/>
      <c r="T364" s="5"/>
      <c r="U364" s="5"/>
      <c r="V364" s="5"/>
      <c r="W364" s="5"/>
      <c r="X364" s="5"/>
      <c r="Y364" s="5"/>
      <c r="Z364" s="5"/>
      <c r="AA364" s="5"/>
    </row>
    <row r="365" spans="1:27" ht="12.75" customHeight="1">
      <c r="A365" s="5"/>
      <c r="B365" s="5"/>
      <c r="C365" s="5"/>
      <c r="D365" s="5"/>
      <c r="E365" s="5"/>
      <c r="F365" s="5"/>
      <c r="G365" s="5"/>
      <c r="H365" s="306"/>
      <c r="I365" s="306"/>
      <c r="J365" s="5"/>
      <c r="K365" s="5"/>
      <c r="L365" s="5"/>
      <c r="M365" s="5"/>
      <c r="N365" s="5"/>
      <c r="O365" s="5"/>
      <c r="P365" s="57"/>
      <c r="Q365" s="5"/>
      <c r="R365" s="5"/>
      <c r="S365" s="5"/>
      <c r="T365" s="5"/>
      <c r="U365" s="5"/>
      <c r="V365" s="5"/>
      <c r="W365" s="5"/>
      <c r="X365" s="5"/>
      <c r="Y365" s="5"/>
      <c r="Z365" s="5"/>
      <c r="AA365" s="5"/>
    </row>
    <row r="366" spans="1:27" ht="12.75" customHeight="1">
      <c r="A366" s="5"/>
      <c r="B366" s="5"/>
      <c r="C366" s="5"/>
      <c r="D366" s="5"/>
      <c r="E366" s="5"/>
      <c r="F366" s="5"/>
      <c r="G366" s="5"/>
      <c r="H366" s="306"/>
      <c r="I366" s="306"/>
      <c r="J366" s="5"/>
      <c r="K366" s="5"/>
      <c r="L366" s="5"/>
      <c r="M366" s="5"/>
      <c r="N366" s="5"/>
      <c r="O366" s="5"/>
      <c r="P366" s="57"/>
      <c r="Q366" s="5"/>
      <c r="R366" s="5"/>
      <c r="S366" s="5"/>
      <c r="T366" s="5"/>
      <c r="U366" s="5"/>
      <c r="V366" s="5"/>
      <c r="W366" s="5"/>
      <c r="X366" s="5"/>
      <c r="Y366" s="5"/>
      <c r="Z366" s="5"/>
      <c r="AA366" s="5"/>
    </row>
    <row r="367" spans="1:27" ht="12.75" customHeight="1">
      <c r="A367" s="5"/>
      <c r="B367" s="5"/>
      <c r="C367" s="5"/>
      <c r="D367" s="5"/>
      <c r="E367" s="5"/>
      <c r="F367" s="5"/>
      <c r="G367" s="5"/>
      <c r="H367" s="306"/>
      <c r="I367" s="306"/>
      <c r="J367" s="5"/>
      <c r="K367" s="5"/>
      <c r="L367" s="5"/>
      <c r="M367" s="5"/>
      <c r="N367" s="5"/>
      <c r="O367" s="5"/>
      <c r="P367" s="57"/>
      <c r="Q367" s="5"/>
      <c r="R367" s="5"/>
      <c r="S367" s="5"/>
      <c r="T367" s="5"/>
      <c r="U367" s="5"/>
      <c r="V367" s="5"/>
      <c r="W367" s="5"/>
      <c r="X367" s="5"/>
      <c r="Y367" s="5"/>
      <c r="Z367" s="5"/>
      <c r="AA367" s="5"/>
    </row>
    <row r="368" spans="1:27" ht="12.75" customHeight="1">
      <c r="A368" s="5"/>
      <c r="B368" s="5"/>
      <c r="C368" s="5"/>
      <c r="D368" s="5"/>
      <c r="E368" s="5"/>
      <c r="F368" s="5"/>
      <c r="G368" s="5"/>
      <c r="H368" s="306"/>
      <c r="I368" s="306"/>
      <c r="J368" s="5"/>
      <c r="K368" s="5"/>
      <c r="L368" s="5"/>
      <c r="M368" s="5"/>
      <c r="N368" s="5"/>
      <c r="O368" s="5"/>
      <c r="P368" s="57"/>
      <c r="Q368" s="5"/>
      <c r="R368" s="5"/>
      <c r="S368" s="5"/>
      <c r="T368" s="5"/>
      <c r="U368" s="5"/>
      <c r="V368" s="5"/>
      <c r="W368" s="5"/>
      <c r="X368" s="5"/>
      <c r="Y368" s="5"/>
      <c r="Z368" s="5"/>
      <c r="AA368" s="5"/>
    </row>
    <row r="369" spans="1:27" ht="12.75" customHeight="1">
      <c r="A369" s="5"/>
      <c r="B369" s="5"/>
      <c r="C369" s="5"/>
      <c r="D369" s="5"/>
      <c r="E369" s="5"/>
      <c r="F369" s="5"/>
      <c r="G369" s="5"/>
      <c r="H369" s="306"/>
      <c r="I369" s="306"/>
      <c r="J369" s="5"/>
      <c r="K369" s="5"/>
      <c r="L369" s="5"/>
      <c r="M369" s="5"/>
      <c r="N369" s="5"/>
      <c r="O369" s="5"/>
      <c r="P369" s="57"/>
      <c r="Q369" s="5"/>
      <c r="R369" s="5"/>
      <c r="S369" s="5"/>
      <c r="T369" s="5"/>
      <c r="U369" s="5"/>
      <c r="V369" s="5"/>
      <c r="W369" s="5"/>
      <c r="X369" s="5"/>
      <c r="Y369" s="5"/>
      <c r="Z369" s="5"/>
      <c r="AA369" s="5"/>
    </row>
    <row r="370" spans="1:27" ht="12.75" customHeight="1">
      <c r="A370" s="5"/>
      <c r="B370" s="5"/>
      <c r="C370" s="5"/>
      <c r="D370" s="5"/>
      <c r="E370" s="5"/>
      <c r="F370" s="5"/>
      <c r="G370" s="5"/>
      <c r="H370" s="306"/>
      <c r="I370" s="306"/>
      <c r="J370" s="5"/>
      <c r="K370" s="5"/>
      <c r="L370" s="5"/>
      <c r="M370" s="5"/>
      <c r="N370" s="5"/>
      <c r="O370" s="5"/>
      <c r="P370" s="57"/>
      <c r="Q370" s="5"/>
      <c r="R370" s="5"/>
      <c r="S370" s="5"/>
      <c r="T370" s="5"/>
      <c r="U370" s="5"/>
      <c r="V370" s="5"/>
      <c r="W370" s="5"/>
      <c r="X370" s="5"/>
      <c r="Y370" s="5"/>
      <c r="Z370" s="5"/>
      <c r="AA370" s="5"/>
    </row>
    <row r="371" spans="1:27" ht="12.75" customHeight="1">
      <c r="A371" s="5"/>
      <c r="B371" s="5"/>
      <c r="C371" s="5"/>
      <c r="D371" s="5"/>
      <c r="E371" s="5"/>
      <c r="F371" s="5"/>
      <c r="G371" s="5"/>
      <c r="H371" s="306"/>
      <c r="I371" s="306"/>
      <c r="J371" s="5"/>
      <c r="K371" s="5"/>
      <c r="L371" s="5"/>
      <c r="M371" s="5"/>
      <c r="N371" s="5"/>
      <c r="O371" s="5"/>
      <c r="P371" s="57"/>
      <c r="Q371" s="5"/>
      <c r="R371" s="5"/>
      <c r="S371" s="5"/>
      <c r="T371" s="5"/>
      <c r="U371" s="5"/>
      <c r="V371" s="5"/>
      <c r="W371" s="5"/>
      <c r="X371" s="5"/>
      <c r="Y371" s="5"/>
      <c r="Z371" s="5"/>
      <c r="AA371" s="5"/>
    </row>
    <row r="372" spans="1:27" ht="12.75" customHeight="1">
      <c r="A372" s="5"/>
      <c r="B372" s="5"/>
      <c r="C372" s="5"/>
      <c r="D372" s="5"/>
      <c r="E372" s="5"/>
      <c r="F372" s="5"/>
      <c r="G372" s="5"/>
      <c r="H372" s="306"/>
      <c r="I372" s="306"/>
      <c r="J372" s="5"/>
      <c r="K372" s="5"/>
      <c r="L372" s="5"/>
      <c r="M372" s="5"/>
      <c r="N372" s="5"/>
      <c r="O372" s="5"/>
      <c r="P372" s="57"/>
      <c r="Q372" s="5"/>
      <c r="R372" s="5"/>
      <c r="S372" s="5"/>
      <c r="T372" s="5"/>
      <c r="U372" s="5"/>
      <c r="V372" s="5"/>
      <c r="W372" s="5"/>
      <c r="X372" s="5"/>
      <c r="Y372" s="5"/>
      <c r="Z372" s="5"/>
      <c r="AA372" s="5"/>
    </row>
    <row r="373" spans="1:27" ht="12.75" customHeight="1">
      <c r="A373" s="5"/>
      <c r="B373" s="5"/>
      <c r="C373" s="5"/>
      <c r="D373" s="5"/>
      <c r="E373" s="5"/>
      <c r="F373" s="5"/>
      <c r="G373" s="5"/>
      <c r="H373" s="306"/>
      <c r="I373" s="306"/>
      <c r="J373" s="5"/>
      <c r="K373" s="5"/>
      <c r="L373" s="5"/>
      <c r="M373" s="5"/>
      <c r="N373" s="5"/>
      <c r="O373" s="5"/>
      <c r="P373" s="57"/>
      <c r="Q373" s="5"/>
      <c r="R373" s="5"/>
      <c r="S373" s="5"/>
      <c r="T373" s="5"/>
      <c r="U373" s="5"/>
      <c r="V373" s="5"/>
      <c r="W373" s="5"/>
      <c r="X373" s="5"/>
      <c r="Y373" s="5"/>
      <c r="Z373" s="5"/>
      <c r="AA373" s="5"/>
    </row>
    <row r="374" spans="1:27" ht="12.75" customHeight="1">
      <c r="A374" s="5"/>
      <c r="B374" s="5"/>
      <c r="C374" s="5"/>
      <c r="D374" s="5"/>
      <c r="E374" s="5"/>
      <c r="F374" s="5"/>
      <c r="G374" s="5"/>
      <c r="H374" s="306"/>
      <c r="I374" s="306"/>
      <c r="J374" s="5"/>
      <c r="K374" s="5"/>
      <c r="L374" s="5"/>
      <c r="M374" s="5"/>
      <c r="N374" s="5"/>
      <c r="O374" s="5"/>
      <c r="P374" s="57"/>
      <c r="Q374" s="5"/>
      <c r="R374" s="5"/>
      <c r="S374" s="5"/>
      <c r="T374" s="5"/>
      <c r="U374" s="5"/>
      <c r="V374" s="5"/>
      <c r="W374" s="5"/>
      <c r="X374" s="5"/>
      <c r="Y374" s="5"/>
      <c r="Z374" s="5"/>
      <c r="AA374" s="5"/>
    </row>
    <row r="375" spans="1:27" ht="12.75" customHeight="1">
      <c r="A375" s="5"/>
      <c r="B375" s="5"/>
      <c r="C375" s="5"/>
      <c r="D375" s="5"/>
      <c r="E375" s="5"/>
      <c r="F375" s="5"/>
      <c r="G375" s="5"/>
      <c r="H375" s="306"/>
      <c r="I375" s="306"/>
      <c r="J375" s="5"/>
      <c r="K375" s="5"/>
      <c r="L375" s="5"/>
      <c r="M375" s="5"/>
      <c r="N375" s="5"/>
      <c r="O375" s="5"/>
      <c r="P375" s="57"/>
      <c r="Q375" s="5"/>
      <c r="R375" s="5"/>
      <c r="S375" s="5"/>
      <c r="T375" s="5"/>
      <c r="U375" s="5"/>
      <c r="V375" s="5"/>
      <c r="W375" s="5"/>
      <c r="X375" s="5"/>
      <c r="Y375" s="5"/>
      <c r="Z375" s="5"/>
      <c r="AA375" s="5"/>
    </row>
    <row r="376" spans="1:27" ht="12.75" customHeight="1">
      <c r="A376" s="5"/>
      <c r="B376" s="5"/>
      <c r="C376" s="5"/>
      <c r="D376" s="5"/>
      <c r="E376" s="5"/>
      <c r="F376" s="5"/>
      <c r="G376" s="5"/>
      <c r="H376" s="306"/>
      <c r="I376" s="306"/>
      <c r="J376" s="5"/>
      <c r="K376" s="5"/>
      <c r="L376" s="5"/>
      <c r="M376" s="5"/>
      <c r="N376" s="5"/>
      <c r="O376" s="5"/>
      <c r="P376" s="57"/>
      <c r="Q376" s="5"/>
      <c r="R376" s="5"/>
      <c r="S376" s="5"/>
      <c r="T376" s="5"/>
      <c r="U376" s="5"/>
      <c r="V376" s="5"/>
      <c r="W376" s="5"/>
      <c r="X376" s="5"/>
      <c r="Y376" s="5"/>
      <c r="Z376" s="5"/>
      <c r="AA376" s="5"/>
    </row>
    <row r="377" spans="1:27" ht="12.75" customHeight="1">
      <c r="A377" s="5"/>
      <c r="B377" s="5"/>
      <c r="C377" s="5"/>
      <c r="D377" s="5"/>
      <c r="E377" s="5"/>
      <c r="F377" s="5"/>
      <c r="G377" s="5"/>
      <c r="H377" s="306"/>
      <c r="I377" s="306"/>
      <c r="J377" s="5"/>
      <c r="K377" s="5"/>
      <c r="L377" s="5"/>
      <c r="M377" s="5"/>
      <c r="N377" s="5"/>
      <c r="O377" s="5"/>
      <c r="P377" s="57"/>
      <c r="Q377" s="5"/>
      <c r="R377" s="5"/>
      <c r="S377" s="5"/>
      <c r="T377" s="5"/>
      <c r="U377" s="5"/>
      <c r="V377" s="5"/>
      <c r="W377" s="5"/>
      <c r="X377" s="5"/>
      <c r="Y377" s="5"/>
      <c r="Z377" s="5"/>
      <c r="AA377" s="5"/>
    </row>
    <row r="378" spans="1:27" ht="12.75" customHeight="1">
      <c r="A378" s="5"/>
      <c r="B378" s="5"/>
      <c r="C378" s="5"/>
      <c r="D378" s="5"/>
      <c r="E378" s="5"/>
      <c r="F378" s="5"/>
      <c r="G378" s="5"/>
      <c r="H378" s="306"/>
      <c r="I378" s="306"/>
      <c r="J378" s="5"/>
      <c r="K378" s="5"/>
      <c r="L378" s="5"/>
      <c r="M378" s="5"/>
      <c r="N378" s="5"/>
      <c r="O378" s="5"/>
      <c r="P378" s="57"/>
      <c r="Q378" s="5"/>
      <c r="R378" s="5"/>
      <c r="S378" s="5"/>
      <c r="T378" s="5"/>
      <c r="U378" s="5"/>
      <c r="V378" s="5"/>
      <c r="W378" s="5"/>
      <c r="X378" s="5"/>
      <c r="Y378" s="5"/>
      <c r="Z378" s="5"/>
      <c r="AA378" s="5"/>
    </row>
    <row r="379" spans="1:27" ht="12.75" customHeight="1">
      <c r="A379" s="5"/>
      <c r="B379" s="5"/>
      <c r="C379" s="5"/>
      <c r="D379" s="5"/>
      <c r="E379" s="5"/>
      <c r="F379" s="5"/>
      <c r="G379" s="5"/>
      <c r="H379" s="306"/>
      <c r="I379" s="306"/>
      <c r="J379" s="5"/>
      <c r="K379" s="5"/>
      <c r="L379" s="5"/>
      <c r="M379" s="5"/>
      <c r="N379" s="5"/>
      <c r="O379" s="5"/>
      <c r="P379" s="57"/>
      <c r="Q379" s="5"/>
      <c r="R379" s="5"/>
      <c r="S379" s="5"/>
      <c r="T379" s="5"/>
      <c r="U379" s="5"/>
      <c r="V379" s="5"/>
      <c r="W379" s="5"/>
      <c r="X379" s="5"/>
      <c r="Y379" s="5"/>
      <c r="Z379" s="5"/>
      <c r="AA379" s="5"/>
    </row>
    <row r="380" spans="1:27" ht="12.75" customHeight="1">
      <c r="A380" s="5"/>
      <c r="B380" s="5"/>
      <c r="C380" s="5"/>
      <c r="D380" s="5"/>
      <c r="E380" s="5"/>
      <c r="F380" s="5"/>
      <c r="G380" s="5"/>
      <c r="H380" s="306"/>
      <c r="I380" s="306"/>
      <c r="J380" s="5"/>
      <c r="K380" s="5"/>
      <c r="L380" s="5"/>
      <c r="M380" s="5"/>
      <c r="N380" s="5"/>
      <c r="O380" s="5"/>
      <c r="P380" s="57"/>
      <c r="Q380" s="5"/>
      <c r="R380" s="5"/>
      <c r="S380" s="5"/>
      <c r="T380" s="5"/>
      <c r="U380" s="5"/>
      <c r="V380" s="5"/>
      <c r="W380" s="5"/>
      <c r="X380" s="5"/>
      <c r="Y380" s="5"/>
      <c r="Z380" s="5"/>
      <c r="AA380" s="5"/>
    </row>
    <row r="381" spans="1:27" ht="12.75" customHeight="1">
      <c r="A381" s="5"/>
      <c r="B381" s="5"/>
      <c r="C381" s="5"/>
      <c r="D381" s="5"/>
      <c r="E381" s="5"/>
      <c r="F381" s="5"/>
      <c r="G381" s="5"/>
      <c r="H381" s="306"/>
      <c r="I381" s="306"/>
      <c r="J381" s="5"/>
      <c r="K381" s="5"/>
      <c r="L381" s="5"/>
      <c r="M381" s="5"/>
      <c r="N381" s="5"/>
      <c r="O381" s="5"/>
      <c r="P381" s="57"/>
      <c r="Q381" s="5"/>
      <c r="R381" s="5"/>
      <c r="S381" s="5"/>
      <c r="T381" s="5"/>
      <c r="U381" s="5"/>
      <c r="V381" s="5"/>
      <c r="W381" s="5"/>
      <c r="X381" s="5"/>
      <c r="Y381" s="5"/>
      <c r="Z381" s="5"/>
      <c r="AA381" s="5"/>
    </row>
    <row r="382" spans="1:27" ht="12.75" customHeight="1">
      <c r="A382" s="5"/>
      <c r="B382" s="5"/>
      <c r="C382" s="5"/>
      <c r="D382" s="5"/>
      <c r="E382" s="5"/>
      <c r="F382" s="5"/>
      <c r="G382" s="5"/>
      <c r="H382" s="306"/>
      <c r="I382" s="306"/>
      <c r="J382" s="5"/>
      <c r="K382" s="5"/>
      <c r="L382" s="5"/>
      <c r="M382" s="5"/>
      <c r="N382" s="5"/>
      <c r="O382" s="5"/>
      <c r="P382" s="57"/>
      <c r="Q382" s="5"/>
      <c r="R382" s="5"/>
      <c r="S382" s="5"/>
      <c r="T382" s="5"/>
      <c r="U382" s="5"/>
      <c r="V382" s="5"/>
      <c r="W382" s="5"/>
      <c r="X382" s="5"/>
      <c r="Y382" s="5"/>
      <c r="Z382" s="5"/>
      <c r="AA382" s="5"/>
    </row>
    <row r="383" spans="1:27" ht="12.75" customHeight="1">
      <c r="A383" s="5"/>
      <c r="B383" s="5"/>
      <c r="C383" s="5"/>
      <c r="D383" s="5"/>
      <c r="E383" s="5"/>
      <c r="F383" s="5"/>
      <c r="G383" s="5"/>
      <c r="H383" s="306"/>
      <c r="I383" s="306"/>
      <c r="J383" s="5"/>
      <c r="K383" s="5"/>
      <c r="L383" s="5"/>
      <c r="M383" s="5"/>
      <c r="N383" s="5"/>
      <c r="O383" s="5"/>
      <c r="P383" s="57"/>
      <c r="Q383" s="5"/>
      <c r="R383" s="5"/>
      <c r="S383" s="5"/>
      <c r="T383" s="5"/>
      <c r="U383" s="5"/>
      <c r="V383" s="5"/>
      <c r="W383" s="5"/>
      <c r="X383" s="5"/>
      <c r="Y383" s="5"/>
      <c r="Z383" s="5"/>
      <c r="AA383" s="5"/>
    </row>
    <row r="384" spans="1:27" ht="12.75" customHeight="1">
      <c r="A384" s="5"/>
      <c r="B384" s="5"/>
      <c r="C384" s="5"/>
      <c r="D384" s="5"/>
      <c r="E384" s="5"/>
      <c r="F384" s="5"/>
      <c r="G384" s="5"/>
      <c r="H384" s="306"/>
      <c r="I384" s="306"/>
      <c r="J384" s="5"/>
      <c r="K384" s="5"/>
      <c r="L384" s="5"/>
      <c r="M384" s="5"/>
      <c r="N384" s="5"/>
      <c r="O384" s="5"/>
      <c r="P384" s="57"/>
      <c r="Q384" s="5"/>
      <c r="R384" s="5"/>
      <c r="S384" s="5"/>
      <c r="T384" s="5"/>
      <c r="U384" s="5"/>
      <c r="V384" s="5"/>
      <c r="W384" s="5"/>
      <c r="X384" s="5"/>
      <c r="Y384" s="5"/>
      <c r="Z384" s="5"/>
      <c r="AA384" s="5"/>
    </row>
    <row r="385" spans="1:27" ht="12.75" customHeight="1">
      <c r="A385" s="5"/>
      <c r="B385" s="5"/>
      <c r="C385" s="5"/>
      <c r="D385" s="5"/>
      <c r="E385" s="5"/>
      <c r="F385" s="5"/>
      <c r="G385" s="5"/>
      <c r="H385" s="306"/>
      <c r="I385" s="306"/>
      <c r="J385" s="5"/>
      <c r="K385" s="5"/>
      <c r="L385" s="5"/>
      <c r="M385" s="5"/>
      <c r="N385" s="5"/>
      <c r="O385" s="5"/>
      <c r="P385" s="57"/>
      <c r="Q385" s="5"/>
      <c r="R385" s="5"/>
      <c r="S385" s="5"/>
      <c r="T385" s="5"/>
      <c r="U385" s="5"/>
      <c r="V385" s="5"/>
      <c r="W385" s="5"/>
      <c r="X385" s="5"/>
      <c r="Y385" s="5"/>
      <c r="Z385" s="5"/>
      <c r="AA385" s="5"/>
    </row>
    <row r="386" spans="1:27" ht="12.75" customHeight="1">
      <c r="A386" s="5"/>
      <c r="B386" s="5"/>
      <c r="C386" s="5"/>
      <c r="D386" s="5"/>
      <c r="E386" s="5"/>
      <c r="F386" s="5"/>
      <c r="G386" s="5"/>
      <c r="H386" s="306"/>
      <c r="I386" s="306"/>
      <c r="J386" s="5"/>
      <c r="K386" s="5"/>
      <c r="L386" s="5"/>
      <c r="M386" s="5"/>
      <c r="N386" s="5"/>
      <c r="O386" s="5"/>
      <c r="P386" s="57"/>
      <c r="Q386" s="5"/>
      <c r="R386" s="5"/>
      <c r="S386" s="5"/>
      <c r="T386" s="5"/>
      <c r="U386" s="5"/>
      <c r="V386" s="5"/>
      <c r="W386" s="5"/>
      <c r="X386" s="5"/>
      <c r="Y386" s="5"/>
      <c r="Z386" s="5"/>
      <c r="AA386" s="5"/>
    </row>
    <row r="387" spans="1:27" ht="12.75" customHeight="1">
      <c r="A387" s="5"/>
      <c r="B387" s="5"/>
      <c r="C387" s="5"/>
      <c r="D387" s="5"/>
      <c r="E387" s="5"/>
      <c r="F387" s="5"/>
      <c r="G387" s="5"/>
      <c r="H387" s="306"/>
      <c r="I387" s="306"/>
      <c r="J387" s="5"/>
      <c r="K387" s="5"/>
      <c r="L387" s="5"/>
      <c r="M387" s="5"/>
      <c r="N387" s="5"/>
      <c r="O387" s="5"/>
      <c r="P387" s="57"/>
      <c r="Q387" s="5"/>
      <c r="R387" s="5"/>
      <c r="S387" s="5"/>
      <c r="T387" s="5"/>
      <c r="U387" s="5"/>
      <c r="V387" s="5"/>
      <c r="W387" s="5"/>
      <c r="X387" s="5"/>
      <c r="Y387" s="5"/>
      <c r="Z387" s="5"/>
      <c r="AA387" s="5"/>
    </row>
    <row r="388" spans="1:27" ht="12.75" customHeight="1">
      <c r="A388" s="5"/>
      <c r="B388" s="5"/>
      <c r="C388" s="5"/>
      <c r="D388" s="5"/>
      <c r="E388" s="5"/>
      <c r="F388" s="5"/>
      <c r="G388" s="5"/>
      <c r="H388" s="306"/>
      <c r="I388" s="306"/>
      <c r="J388" s="5"/>
      <c r="K388" s="5"/>
      <c r="L388" s="5"/>
      <c r="M388" s="5"/>
      <c r="N388" s="5"/>
      <c r="O388" s="5"/>
      <c r="P388" s="57"/>
      <c r="Q388" s="5"/>
      <c r="R388" s="5"/>
      <c r="S388" s="5"/>
      <c r="T388" s="5"/>
      <c r="U388" s="5"/>
      <c r="V388" s="5"/>
      <c r="W388" s="5"/>
      <c r="X388" s="5"/>
      <c r="Y388" s="5"/>
      <c r="Z388" s="5"/>
      <c r="AA388" s="5"/>
    </row>
    <row r="389" spans="1:27" ht="12.75" customHeight="1">
      <c r="A389" s="5"/>
      <c r="B389" s="5"/>
      <c r="C389" s="5"/>
      <c r="D389" s="5"/>
      <c r="E389" s="5"/>
      <c r="F389" s="5"/>
      <c r="G389" s="5"/>
      <c r="H389" s="306"/>
      <c r="I389" s="306"/>
      <c r="J389" s="5"/>
      <c r="K389" s="5"/>
      <c r="L389" s="5"/>
      <c r="M389" s="5"/>
      <c r="N389" s="5"/>
      <c r="O389" s="5"/>
      <c r="P389" s="57"/>
      <c r="Q389" s="5"/>
      <c r="R389" s="5"/>
      <c r="S389" s="5"/>
      <c r="T389" s="5"/>
      <c r="U389" s="5"/>
      <c r="V389" s="5"/>
      <c r="W389" s="5"/>
      <c r="X389" s="5"/>
      <c r="Y389" s="5"/>
      <c r="Z389" s="5"/>
      <c r="AA389" s="5"/>
    </row>
    <row r="390" spans="1:27" ht="12.75" customHeight="1">
      <c r="A390" s="5"/>
      <c r="B390" s="5"/>
      <c r="C390" s="5"/>
      <c r="D390" s="5"/>
      <c r="E390" s="5"/>
      <c r="F390" s="5"/>
      <c r="G390" s="5"/>
      <c r="H390" s="306"/>
      <c r="I390" s="306"/>
      <c r="J390" s="5"/>
      <c r="K390" s="5"/>
      <c r="L390" s="5"/>
      <c r="M390" s="5"/>
      <c r="N390" s="5"/>
      <c r="O390" s="5"/>
      <c r="P390" s="57"/>
      <c r="Q390" s="5"/>
      <c r="R390" s="5"/>
      <c r="S390" s="5"/>
      <c r="T390" s="5"/>
      <c r="U390" s="5"/>
      <c r="V390" s="5"/>
      <c r="W390" s="5"/>
      <c r="X390" s="5"/>
      <c r="Y390" s="5"/>
      <c r="Z390" s="5"/>
      <c r="AA390" s="5"/>
    </row>
    <row r="391" spans="1:27" ht="12.75" customHeight="1">
      <c r="A391" s="5"/>
      <c r="B391" s="5"/>
      <c r="C391" s="5"/>
      <c r="D391" s="5"/>
      <c r="E391" s="5"/>
      <c r="F391" s="5"/>
      <c r="G391" s="5"/>
      <c r="H391" s="306"/>
      <c r="I391" s="306"/>
      <c r="J391" s="5"/>
      <c r="K391" s="5"/>
      <c r="L391" s="5"/>
      <c r="M391" s="5"/>
      <c r="N391" s="5"/>
      <c r="O391" s="5"/>
      <c r="P391" s="57"/>
      <c r="Q391" s="5"/>
      <c r="R391" s="5"/>
      <c r="S391" s="5"/>
      <c r="T391" s="5"/>
      <c r="U391" s="5"/>
      <c r="V391" s="5"/>
      <c r="W391" s="5"/>
      <c r="X391" s="5"/>
      <c r="Y391" s="5"/>
      <c r="Z391" s="5"/>
      <c r="AA391" s="5"/>
    </row>
    <row r="392" spans="1:27" ht="12.75" customHeight="1">
      <c r="A392" s="5"/>
      <c r="B392" s="5"/>
      <c r="C392" s="5"/>
      <c r="D392" s="5"/>
      <c r="E392" s="5"/>
      <c r="F392" s="5"/>
      <c r="G392" s="5"/>
      <c r="H392" s="306"/>
      <c r="I392" s="306"/>
      <c r="J392" s="5"/>
      <c r="K392" s="5"/>
      <c r="L392" s="5"/>
      <c r="M392" s="5"/>
      <c r="N392" s="5"/>
      <c r="O392" s="5"/>
      <c r="P392" s="57"/>
      <c r="Q392" s="5"/>
      <c r="R392" s="5"/>
      <c r="S392" s="5"/>
      <c r="T392" s="5"/>
      <c r="U392" s="5"/>
      <c r="V392" s="5"/>
      <c r="W392" s="5"/>
      <c r="X392" s="5"/>
      <c r="Y392" s="5"/>
      <c r="Z392" s="5"/>
      <c r="AA392" s="5"/>
    </row>
    <row r="393" spans="1:27" ht="12.75" customHeight="1">
      <c r="A393" s="5"/>
      <c r="B393" s="5"/>
      <c r="C393" s="5"/>
      <c r="D393" s="5"/>
      <c r="E393" s="5"/>
      <c r="F393" s="5"/>
      <c r="G393" s="5"/>
      <c r="H393" s="306"/>
      <c r="I393" s="306"/>
      <c r="J393" s="5"/>
      <c r="K393" s="5"/>
      <c r="L393" s="5"/>
      <c r="M393" s="5"/>
      <c r="N393" s="5"/>
      <c r="O393" s="5"/>
      <c r="P393" s="57"/>
      <c r="Q393" s="5"/>
      <c r="R393" s="5"/>
      <c r="S393" s="5"/>
      <c r="T393" s="5"/>
      <c r="U393" s="5"/>
      <c r="V393" s="5"/>
      <c r="W393" s="5"/>
      <c r="X393" s="5"/>
      <c r="Y393" s="5"/>
      <c r="Z393" s="5"/>
      <c r="AA393" s="5"/>
    </row>
    <row r="394" spans="1:27" ht="12.75" customHeight="1">
      <c r="A394" s="5"/>
      <c r="B394" s="5"/>
      <c r="C394" s="5"/>
      <c r="D394" s="5"/>
      <c r="E394" s="5"/>
      <c r="F394" s="5"/>
      <c r="G394" s="5"/>
      <c r="H394" s="306"/>
      <c r="I394" s="306"/>
      <c r="J394" s="5"/>
      <c r="K394" s="5"/>
      <c r="L394" s="5"/>
      <c r="M394" s="5"/>
      <c r="N394" s="5"/>
      <c r="O394" s="5"/>
      <c r="P394" s="57"/>
      <c r="Q394" s="5"/>
      <c r="R394" s="5"/>
      <c r="S394" s="5"/>
      <c r="T394" s="5"/>
      <c r="U394" s="5"/>
      <c r="V394" s="5"/>
      <c r="W394" s="5"/>
      <c r="X394" s="5"/>
      <c r="Y394" s="5"/>
      <c r="Z394" s="5"/>
      <c r="AA394" s="5"/>
    </row>
    <row r="395" spans="1:27" ht="12.75" customHeight="1">
      <c r="A395" s="5"/>
      <c r="B395" s="5"/>
      <c r="C395" s="5"/>
      <c r="D395" s="5"/>
      <c r="E395" s="5"/>
      <c r="F395" s="5"/>
      <c r="G395" s="5"/>
      <c r="H395" s="306"/>
      <c r="I395" s="306"/>
      <c r="J395" s="5"/>
      <c r="K395" s="5"/>
      <c r="L395" s="5"/>
      <c r="M395" s="5"/>
      <c r="N395" s="5"/>
      <c r="O395" s="5"/>
      <c r="P395" s="57"/>
      <c r="Q395" s="5"/>
      <c r="R395" s="5"/>
      <c r="S395" s="5"/>
      <c r="T395" s="5"/>
      <c r="U395" s="5"/>
      <c r="V395" s="5"/>
      <c r="W395" s="5"/>
      <c r="X395" s="5"/>
      <c r="Y395" s="5"/>
      <c r="Z395" s="5"/>
      <c r="AA395" s="5"/>
    </row>
    <row r="396" spans="1:27" ht="12.75" customHeight="1">
      <c r="A396" s="5"/>
      <c r="B396" s="5"/>
      <c r="C396" s="5"/>
      <c r="D396" s="5"/>
      <c r="E396" s="5"/>
      <c r="F396" s="5"/>
      <c r="G396" s="5"/>
      <c r="H396" s="306"/>
      <c r="I396" s="306"/>
      <c r="J396" s="5"/>
      <c r="K396" s="5"/>
      <c r="L396" s="5"/>
      <c r="M396" s="5"/>
      <c r="N396" s="5"/>
      <c r="O396" s="5"/>
      <c r="P396" s="57"/>
      <c r="Q396" s="5"/>
      <c r="R396" s="5"/>
      <c r="S396" s="5"/>
      <c r="T396" s="5"/>
      <c r="U396" s="5"/>
      <c r="V396" s="5"/>
      <c r="W396" s="5"/>
      <c r="X396" s="5"/>
      <c r="Y396" s="5"/>
      <c r="Z396" s="5"/>
      <c r="AA396" s="5"/>
    </row>
    <row r="397" spans="1:27" ht="12.75" customHeight="1">
      <c r="A397" s="5"/>
      <c r="B397" s="5"/>
      <c r="C397" s="5"/>
      <c r="D397" s="5"/>
      <c r="E397" s="5"/>
      <c r="F397" s="5"/>
      <c r="G397" s="5"/>
      <c r="H397" s="306"/>
      <c r="I397" s="306"/>
      <c r="J397" s="5"/>
      <c r="K397" s="5"/>
      <c r="L397" s="5"/>
      <c r="M397" s="5"/>
      <c r="N397" s="5"/>
      <c r="O397" s="5"/>
      <c r="P397" s="57"/>
      <c r="Q397" s="5"/>
      <c r="R397" s="5"/>
      <c r="S397" s="5"/>
      <c r="T397" s="5"/>
      <c r="U397" s="5"/>
      <c r="V397" s="5"/>
      <c r="W397" s="5"/>
      <c r="X397" s="5"/>
      <c r="Y397" s="5"/>
      <c r="Z397" s="5"/>
      <c r="AA397" s="5"/>
    </row>
    <row r="398" spans="1:27" ht="12.75" customHeight="1">
      <c r="A398" s="5"/>
      <c r="B398" s="5"/>
      <c r="C398" s="5"/>
      <c r="D398" s="5"/>
      <c r="E398" s="5"/>
      <c r="F398" s="5"/>
      <c r="G398" s="5"/>
      <c r="H398" s="306"/>
      <c r="I398" s="306"/>
      <c r="J398" s="5"/>
      <c r="K398" s="5"/>
      <c r="L398" s="5"/>
      <c r="M398" s="5"/>
      <c r="N398" s="5"/>
      <c r="O398" s="5"/>
      <c r="P398" s="57"/>
      <c r="Q398" s="5"/>
      <c r="R398" s="5"/>
      <c r="S398" s="5"/>
      <c r="T398" s="5"/>
      <c r="U398" s="5"/>
      <c r="V398" s="5"/>
      <c r="W398" s="5"/>
      <c r="X398" s="5"/>
      <c r="Y398" s="5"/>
      <c r="Z398" s="5"/>
      <c r="AA398" s="5"/>
    </row>
    <row r="399" spans="1:27" ht="12.75" customHeight="1">
      <c r="A399" s="5"/>
      <c r="B399" s="5"/>
      <c r="C399" s="5"/>
      <c r="D399" s="5"/>
      <c r="E399" s="5"/>
      <c r="F399" s="5"/>
      <c r="G399" s="5"/>
      <c r="H399" s="306"/>
      <c r="I399" s="306"/>
      <c r="J399" s="5"/>
      <c r="K399" s="5"/>
      <c r="L399" s="5"/>
      <c r="M399" s="5"/>
      <c r="N399" s="5"/>
      <c r="O399" s="5"/>
      <c r="P399" s="57"/>
      <c r="Q399" s="5"/>
      <c r="R399" s="5"/>
      <c r="S399" s="5"/>
      <c r="T399" s="5"/>
      <c r="U399" s="5"/>
      <c r="V399" s="5"/>
      <c r="W399" s="5"/>
      <c r="X399" s="5"/>
      <c r="Y399" s="5"/>
      <c r="Z399" s="5"/>
      <c r="AA399" s="5"/>
    </row>
    <row r="400" spans="1:27" ht="12.75" customHeight="1">
      <c r="A400" s="5"/>
      <c r="B400" s="5"/>
      <c r="C400" s="5"/>
      <c r="D400" s="5"/>
      <c r="E400" s="5"/>
      <c r="F400" s="5"/>
      <c r="G400" s="5"/>
      <c r="H400" s="306"/>
      <c r="I400" s="306"/>
      <c r="J400" s="5"/>
      <c r="K400" s="5"/>
      <c r="L400" s="5"/>
      <c r="M400" s="5"/>
      <c r="N400" s="5"/>
      <c r="O400" s="5"/>
      <c r="P400" s="57"/>
      <c r="Q400" s="5"/>
      <c r="R400" s="5"/>
      <c r="S400" s="5"/>
      <c r="T400" s="5"/>
      <c r="U400" s="5"/>
      <c r="V400" s="5"/>
      <c r="W400" s="5"/>
      <c r="X400" s="5"/>
      <c r="Y400" s="5"/>
      <c r="Z400" s="5"/>
      <c r="AA400" s="5"/>
    </row>
    <row r="401" spans="1:27" ht="12.75" customHeight="1">
      <c r="A401" s="5"/>
      <c r="B401" s="5"/>
      <c r="C401" s="5"/>
      <c r="D401" s="5"/>
      <c r="E401" s="5"/>
      <c r="F401" s="5"/>
      <c r="G401" s="5"/>
      <c r="H401" s="306"/>
      <c r="I401" s="306"/>
      <c r="J401" s="5"/>
      <c r="K401" s="5"/>
      <c r="L401" s="5"/>
      <c r="M401" s="5"/>
      <c r="N401" s="5"/>
      <c r="O401" s="5"/>
      <c r="P401" s="57"/>
      <c r="Q401" s="5"/>
      <c r="R401" s="5"/>
      <c r="S401" s="5"/>
      <c r="T401" s="5"/>
      <c r="U401" s="5"/>
      <c r="V401" s="5"/>
      <c r="W401" s="5"/>
      <c r="X401" s="5"/>
      <c r="Y401" s="5"/>
      <c r="Z401" s="5"/>
      <c r="AA401" s="5"/>
    </row>
    <row r="402" spans="1:27" ht="12.75" customHeight="1">
      <c r="A402" s="5"/>
      <c r="B402" s="5"/>
      <c r="C402" s="5"/>
      <c r="D402" s="5"/>
      <c r="E402" s="5"/>
      <c r="F402" s="5"/>
      <c r="G402" s="5"/>
      <c r="H402" s="306"/>
      <c r="I402" s="306"/>
      <c r="J402" s="5"/>
      <c r="K402" s="5"/>
      <c r="L402" s="5"/>
      <c r="M402" s="5"/>
      <c r="N402" s="5"/>
      <c r="O402" s="5"/>
      <c r="P402" s="57"/>
      <c r="Q402" s="5"/>
      <c r="R402" s="5"/>
      <c r="S402" s="5"/>
      <c r="T402" s="5"/>
      <c r="U402" s="5"/>
      <c r="V402" s="5"/>
      <c r="W402" s="5"/>
      <c r="X402" s="5"/>
      <c r="Y402" s="5"/>
      <c r="Z402" s="5"/>
      <c r="AA402" s="5"/>
    </row>
    <row r="403" spans="1:27" ht="12.75" customHeight="1">
      <c r="A403" s="5"/>
      <c r="B403" s="5"/>
      <c r="C403" s="5"/>
      <c r="D403" s="5"/>
      <c r="E403" s="5"/>
      <c r="F403" s="5"/>
      <c r="G403" s="5"/>
      <c r="H403" s="306"/>
      <c r="I403" s="306"/>
      <c r="J403" s="5"/>
      <c r="K403" s="5"/>
      <c r="L403" s="5"/>
      <c r="M403" s="5"/>
      <c r="N403" s="5"/>
      <c r="O403" s="5"/>
      <c r="P403" s="57"/>
      <c r="Q403" s="5"/>
      <c r="R403" s="5"/>
      <c r="S403" s="5"/>
      <c r="T403" s="5"/>
      <c r="U403" s="5"/>
      <c r="V403" s="5"/>
      <c r="W403" s="5"/>
      <c r="X403" s="5"/>
      <c r="Y403" s="5"/>
      <c r="Z403" s="5"/>
      <c r="AA403" s="5"/>
    </row>
    <row r="404" spans="1:27" ht="12.75" customHeight="1">
      <c r="A404" s="5"/>
      <c r="B404" s="5"/>
      <c r="C404" s="5"/>
      <c r="D404" s="5"/>
      <c r="E404" s="5"/>
      <c r="F404" s="5"/>
      <c r="G404" s="5"/>
      <c r="H404" s="306"/>
      <c r="I404" s="306"/>
      <c r="J404" s="5"/>
      <c r="K404" s="5"/>
      <c r="L404" s="5"/>
      <c r="M404" s="5"/>
      <c r="N404" s="5"/>
      <c r="O404" s="5"/>
      <c r="P404" s="57"/>
      <c r="Q404" s="5"/>
      <c r="R404" s="5"/>
      <c r="S404" s="5"/>
      <c r="T404" s="5"/>
      <c r="U404" s="5"/>
      <c r="V404" s="5"/>
      <c r="W404" s="5"/>
      <c r="X404" s="5"/>
      <c r="Y404" s="5"/>
      <c r="Z404" s="5"/>
      <c r="AA404" s="5"/>
    </row>
    <row r="405" spans="1:27" ht="12.75" customHeight="1">
      <c r="A405" s="5"/>
      <c r="B405" s="5"/>
      <c r="C405" s="5"/>
      <c r="D405" s="5"/>
      <c r="E405" s="5"/>
      <c r="F405" s="5"/>
      <c r="G405" s="5"/>
      <c r="H405" s="306"/>
      <c r="I405" s="306"/>
      <c r="J405" s="5"/>
      <c r="K405" s="5"/>
      <c r="L405" s="5"/>
      <c r="M405" s="5"/>
      <c r="N405" s="5"/>
      <c r="O405" s="5"/>
      <c r="P405" s="57"/>
      <c r="Q405" s="5"/>
      <c r="R405" s="5"/>
      <c r="S405" s="5"/>
      <c r="T405" s="5"/>
      <c r="U405" s="5"/>
      <c r="V405" s="5"/>
      <c r="W405" s="5"/>
      <c r="X405" s="5"/>
      <c r="Y405" s="5"/>
      <c r="Z405" s="5"/>
      <c r="AA405" s="5"/>
    </row>
    <row r="406" spans="1:27" ht="12.75" customHeight="1">
      <c r="A406" s="5"/>
      <c r="B406" s="5"/>
      <c r="C406" s="5"/>
      <c r="D406" s="5"/>
      <c r="E406" s="5"/>
      <c r="F406" s="5"/>
      <c r="G406" s="5"/>
      <c r="H406" s="306"/>
      <c r="I406" s="306"/>
      <c r="J406" s="5"/>
      <c r="K406" s="5"/>
      <c r="L406" s="5"/>
      <c r="M406" s="5"/>
      <c r="N406" s="5"/>
      <c r="O406" s="5"/>
      <c r="P406" s="57"/>
      <c r="Q406" s="5"/>
      <c r="R406" s="5"/>
      <c r="S406" s="5"/>
      <c r="T406" s="5"/>
      <c r="U406" s="5"/>
      <c r="V406" s="5"/>
      <c r="W406" s="5"/>
      <c r="X406" s="5"/>
      <c r="Y406" s="5"/>
      <c r="Z406" s="5"/>
      <c r="AA406" s="5"/>
    </row>
    <row r="407" spans="1:27" ht="12.75" customHeight="1">
      <c r="A407" s="5"/>
      <c r="B407" s="5"/>
      <c r="C407" s="5"/>
      <c r="D407" s="5"/>
      <c r="E407" s="5"/>
      <c r="F407" s="5"/>
      <c r="G407" s="5"/>
      <c r="H407" s="306"/>
      <c r="I407" s="306"/>
      <c r="J407" s="5"/>
      <c r="K407" s="5"/>
      <c r="L407" s="5"/>
      <c r="M407" s="5"/>
      <c r="N407" s="5"/>
      <c r="O407" s="5"/>
      <c r="P407" s="57"/>
      <c r="Q407" s="5"/>
      <c r="R407" s="5"/>
      <c r="S407" s="5"/>
      <c r="T407" s="5"/>
      <c r="U407" s="5"/>
      <c r="V407" s="5"/>
      <c r="W407" s="5"/>
      <c r="X407" s="5"/>
      <c r="Y407" s="5"/>
      <c r="Z407" s="5"/>
      <c r="AA407" s="5"/>
    </row>
    <row r="408" spans="1:27" ht="12.75" customHeight="1">
      <c r="A408" s="5"/>
      <c r="B408" s="5"/>
      <c r="C408" s="5"/>
      <c r="D408" s="5"/>
      <c r="E408" s="5"/>
      <c r="F408" s="5"/>
      <c r="G408" s="5"/>
      <c r="H408" s="306"/>
      <c r="I408" s="306"/>
      <c r="J408" s="5"/>
      <c r="K408" s="5"/>
      <c r="L408" s="5"/>
      <c r="M408" s="5"/>
      <c r="N408" s="5"/>
      <c r="O408" s="5"/>
      <c r="P408" s="57"/>
      <c r="Q408" s="5"/>
      <c r="R408" s="5"/>
      <c r="S408" s="5"/>
      <c r="T408" s="5"/>
      <c r="U408" s="5"/>
      <c r="V408" s="5"/>
      <c r="W408" s="5"/>
      <c r="X408" s="5"/>
      <c r="Y408" s="5"/>
      <c r="Z408" s="5"/>
      <c r="AA408" s="5"/>
    </row>
    <row r="409" spans="1:27" ht="12.75" customHeight="1">
      <c r="A409" s="5"/>
      <c r="B409" s="5"/>
      <c r="C409" s="5"/>
      <c r="D409" s="5"/>
      <c r="E409" s="5"/>
      <c r="F409" s="5"/>
      <c r="G409" s="5"/>
      <c r="H409" s="306"/>
      <c r="I409" s="306"/>
      <c r="J409" s="5"/>
      <c r="K409" s="5"/>
      <c r="L409" s="5"/>
      <c r="M409" s="5"/>
      <c r="N409" s="5"/>
      <c r="O409" s="5"/>
      <c r="P409" s="57"/>
      <c r="Q409" s="5"/>
      <c r="R409" s="5"/>
      <c r="S409" s="5"/>
      <c r="T409" s="5"/>
      <c r="U409" s="5"/>
      <c r="V409" s="5"/>
      <c r="W409" s="5"/>
      <c r="X409" s="5"/>
      <c r="Y409" s="5"/>
      <c r="Z409" s="5"/>
      <c r="AA409" s="5"/>
    </row>
    <row r="410" spans="1:27" ht="12.75" customHeight="1">
      <c r="A410" s="5"/>
      <c r="B410" s="5"/>
      <c r="C410" s="5"/>
      <c r="D410" s="5"/>
      <c r="E410" s="5"/>
      <c r="F410" s="5"/>
      <c r="G410" s="5"/>
      <c r="H410" s="306"/>
      <c r="I410" s="306"/>
      <c r="J410" s="5"/>
      <c r="K410" s="5"/>
      <c r="L410" s="5"/>
      <c r="M410" s="5"/>
      <c r="N410" s="5"/>
      <c r="O410" s="5"/>
      <c r="P410" s="57"/>
      <c r="Q410" s="5"/>
      <c r="R410" s="5"/>
      <c r="S410" s="5"/>
      <c r="T410" s="5"/>
      <c r="U410" s="5"/>
      <c r="V410" s="5"/>
      <c r="W410" s="5"/>
      <c r="X410" s="5"/>
      <c r="Y410" s="5"/>
      <c r="Z410" s="5"/>
      <c r="AA410" s="5"/>
    </row>
    <row r="411" spans="1:27" ht="12.75" customHeight="1">
      <c r="A411" s="5"/>
      <c r="B411" s="5"/>
      <c r="C411" s="5"/>
      <c r="D411" s="5"/>
      <c r="E411" s="5"/>
      <c r="F411" s="5"/>
      <c r="G411" s="5"/>
      <c r="H411" s="306"/>
      <c r="I411" s="306"/>
      <c r="J411" s="5"/>
      <c r="K411" s="5"/>
      <c r="L411" s="5"/>
      <c r="M411" s="5"/>
      <c r="N411" s="5"/>
      <c r="O411" s="5"/>
      <c r="P411" s="57"/>
      <c r="Q411" s="5"/>
      <c r="R411" s="5"/>
      <c r="S411" s="5"/>
      <c r="T411" s="5"/>
      <c r="U411" s="5"/>
      <c r="V411" s="5"/>
      <c r="W411" s="5"/>
      <c r="X411" s="5"/>
      <c r="Y411" s="5"/>
      <c r="Z411" s="5"/>
      <c r="AA411" s="5"/>
    </row>
    <row r="412" spans="1:27" ht="12.75" customHeight="1">
      <c r="A412" s="5"/>
      <c r="B412" s="5"/>
      <c r="C412" s="5"/>
      <c r="D412" s="5"/>
      <c r="E412" s="5"/>
      <c r="F412" s="5"/>
      <c r="G412" s="5"/>
      <c r="H412" s="306"/>
      <c r="I412" s="306"/>
      <c r="J412" s="5"/>
      <c r="K412" s="5"/>
      <c r="L412" s="5"/>
      <c r="M412" s="5"/>
      <c r="N412" s="5"/>
      <c r="O412" s="5"/>
      <c r="P412" s="57"/>
      <c r="Q412" s="5"/>
      <c r="R412" s="5"/>
      <c r="S412" s="5"/>
      <c r="T412" s="5"/>
      <c r="U412" s="5"/>
      <c r="V412" s="5"/>
      <c r="W412" s="5"/>
      <c r="X412" s="5"/>
      <c r="Y412" s="5"/>
      <c r="Z412" s="5"/>
      <c r="AA412" s="5"/>
    </row>
    <row r="413" spans="1:27" ht="12.75" customHeight="1">
      <c r="A413" s="5"/>
      <c r="B413" s="5"/>
      <c r="C413" s="5"/>
      <c r="D413" s="5"/>
      <c r="E413" s="5"/>
      <c r="F413" s="5"/>
      <c r="G413" s="5"/>
      <c r="H413" s="306"/>
      <c r="I413" s="306"/>
      <c r="J413" s="5"/>
      <c r="K413" s="5"/>
      <c r="L413" s="5"/>
      <c r="M413" s="5"/>
      <c r="N413" s="5"/>
      <c r="O413" s="5"/>
      <c r="P413" s="57"/>
      <c r="Q413" s="5"/>
      <c r="R413" s="5"/>
      <c r="S413" s="5"/>
      <c r="T413" s="5"/>
      <c r="U413" s="5"/>
      <c r="V413" s="5"/>
      <c r="W413" s="5"/>
      <c r="X413" s="5"/>
      <c r="Y413" s="5"/>
      <c r="Z413" s="5"/>
      <c r="AA413" s="5"/>
    </row>
    <row r="414" spans="1:27" ht="12.75" customHeight="1">
      <c r="A414" s="5"/>
      <c r="B414" s="5"/>
      <c r="C414" s="5"/>
      <c r="D414" s="5"/>
      <c r="E414" s="5"/>
      <c r="F414" s="5"/>
      <c r="G414" s="5"/>
      <c r="H414" s="306"/>
      <c r="I414" s="306"/>
      <c r="J414" s="5"/>
      <c r="K414" s="5"/>
      <c r="L414" s="5"/>
      <c r="M414" s="5"/>
      <c r="N414" s="5"/>
      <c r="O414" s="5"/>
      <c r="P414" s="57"/>
      <c r="Q414" s="5"/>
      <c r="R414" s="5"/>
      <c r="S414" s="5"/>
      <c r="T414" s="5"/>
      <c r="U414" s="5"/>
      <c r="V414" s="5"/>
      <c r="W414" s="5"/>
      <c r="X414" s="5"/>
      <c r="Y414" s="5"/>
      <c r="Z414" s="5"/>
      <c r="AA414" s="5"/>
    </row>
    <row r="415" spans="1:27" ht="12.75" customHeight="1">
      <c r="A415" s="5"/>
      <c r="B415" s="5"/>
      <c r="C415" s="5"/>
      <c r="D415" s="5"/>
      <c r="E415" s="5"/>
      <c r="F415" s="5"/>
      <c r="G415" s="5"/>
      <c r="H415" s="306"/>
      <c r="I415" s="306"/>
      <c r="J415" s="5"/>
      <c r="K415" s="5"/>
      <c r="L415" s="5"/>
      <c r="M415" s="5"/>
      <c r="N415" s="5"/>
      <c r="O415" s="5"/>
      <c r="P415" s="57"/>
      <c r="Q415" s="5"/>
      <c r="R415" s="5"/>
      <c r="S415" s="5"/>
      <c r="T415" s="5"/>
      <c r="U415" s="5"/>
      <c r="V415" s="5"/>
      <c r="W415" s="5"/>
      <c r="X415" s="5"/>
      <c r="Y415" s="5"/>
      <c r="Z415" s="5"/>
      <c r="AA415" s="5"/>
    </row>
    <row r="416" spans="1:27" ht="12.75" customHeight="1">
      <c r="A416" s="5"/>
      <c r="B416" s="5"/>
      <c r="C416" s="5"/>
      <c r="D416" s="5"/>
      <c r="E416" s="5"/>
      <c r="F416" s="5"/>
      <c r="G416" s="5"/>
      <c r="H416" s="306"/>
      <c r="I416" s="306"/>
      <c r="J416" s="5"/>
      <c r="K416" s="5"/>
      <c r="L416" s="5"/>
      <c r="M416" s="5"/>
      <c r="N416" s="5"/>
      <c r="O416" s="5"/>
      <c r="P416" s="57"/>
      <c r="Q416" s="5"/>
      <c r="R416" s="5"/>
      <c r="S416" s="5"/>
      <c r="T416" s="5"/>
      <c r="U416" s="5"/>
      <c r="V416" s="5"/>
      <c r="W416" s="5"/>
      <c r="X416" s="5"/>
      <c r="Y416" s="5"/>
      <c r="Z416" s="5"/>
      <c r="AA416" s="5"/>
    </row>
    <row r="417" spans="1:27" ht="12.75" customHeight="1">
      <c r="A417" s="5"/>
      <c r="B417" s="5"/>
      <c r="C417" s="5"/>
      <c r="D417" s="5"/>
      <c r="E417" s="5"/>
      <c r="F417" s="5"/>
      <c r="G417" s="5"/>
      <c r="H417" s="306"/>
      <c r="I417" s="306"/>
      <c r="J417" s="5"/>
      <c r="K417" s="5"/>
      <c r="L417" s="5"/>
      <c r="M417" s="5"/>
      <c r="N417" s="5"/>
      <c r="O417" s="5"/>
      <c r="P417" s="57"/>
      <c r="Q417" s="5"/>
      <c r="R417" s="5"/>
      <c r="S417" s="5"/>
      <c r="T417" s="5"/>
      <c r="U417" s="5"/>
      <c r="V417" s="5"/>
      <c r="W417" s="5"/>
      <c r="X417" s="5"/>
      <c r="Y417" s="5"/>
      <c r="Z417" s="5"/>
      <c r="AA417" s="5"/>
    </row>
    <row r="418" spans="1:27" ht="12.75" customHeight="1">
      <c r="A418" s="5"/>
      <c r="B418" s="5"/>
      <c r="C418" s="5"/>
      <c r="D418" s="5"/>
      <c r="E418" s="5"/>
      <c r="F418" s="5"/>
      <c r="G418" s="5"/>
      <c r="H418" s="306"/>
      <c r="I418" s="306"/>
      <c r="J418" s="5"/>
      <c r="K418" s="5"/>
      <c r="L418" s="5"/>
      <c r="M418" s="5"/>
      <c r="N418" s="5"/>
      <c r="O418" s="5"/>
      <c r="P418" s="57"/>
      <c r="Q418" s="5"/>
      <c r="R418" s="5"/>
      <c r="S418" s="5"/>
      <c r="T418" s="5"/>
      <c r="U418" s="5"/>
      <c r="V418" s="5"/>
      <c r="W418" s="5"/>
      <c r="X418" s="5"/>
      <c r="Y418" s="5"/>
      <c r="Z418" s="5"/>
      <c r="AA418" s="5"/>
    </row>
    <row r="419" spans="1:27" ht="12.75" customHeight="1">
      <c r="A419" s="5"/>
      <c r="B419" s="5"/>
      <c r="C419" s="5"/>
      <c r="D419" s="5"/>
      <c r="E419" s="5"/>
      <c r="F419" s="5"/>
      <c r="G419" s="5"/>
      <c r="H419" s="306"/>
      <c r="I419" s="306"/>
      <c r="J419" s="5"/>
      <c r="K419" s="5"/>
      <c r="L419" s="5"/>
      <c r="M419" s="5"/>
      <c r="N419" s="5"/>
      <c r="O419" s="5"/>
      <c r="P419" s="57"/>
      <c r="Q419" s="5"/>
      <c r="R419" s="5"/>
      <c r="S419" s="5"/>
      <c r="T419" s="5"/>
      <c r="U419" s="5"/>
      <c r="V419" s="5"/>
      <c r="W419" s="5"/>
      <c r="X419" s="5"/>
      <c r="Y419" s="5"/>
      <c r="Z419" s="5"/>
      <c r="AA419" s="5"/>
    </row>
    <row r="420" spans="1:27" ht="12.75" customHeight="1">
      <c r="A420" s="5"/>
      <c r="B420" s="5"/>
      <c r="C420" s="5"/>
      <c r="D420" s="5"/>
      <c r="E420" s="5"/>
      <c r="F420" s="5"/>
      <c r="G420" s="5"/>
      <c r="H420" s="306"/>
      <c r="I420" s="306"/>
      <c r="J420" s="5"/>
      <c r="K420" s="5"/>
      <c r="L420" s="5"/>
      <c r="M420" s="5"/>
      <c r="N420" s="5"/>
      <c r="O420" s="5"/>
      <c r="P420" s="57"/>
      <c r="Q420" s="5"/>
      <c r="R420" s="5"/>
      <c r="S420" s="5"/>
      <c r="T420" s="5"/>
      <c r="U420" s="5"/>
      <c r="V420" s="5"/>
      <c r="W420" s="5"/>
      <c r="X420" s="5"/>
      <c r="Y420" s="5"/>
      <c r="Z420" s="5"/>
      <c r="AA420" s="5"/>
    </row>
    <row r="421" spans="1:27" ht="12.75" customHeight="1">
      <c r="A421" s="5"/>
      <c r="B421" s="5"/>
      <c r="C421" s="5"/>
      <c r="D421" s="5"/>
      <c r="E421" s="5"/>
      <c r="F421" s="5"/>
      <c r="G421" s="5"/>
      <c r="H421" s="306"/>
      <c r="I421" s="306"/>
      <c r="J421" s="5"/>
      <c r="K421" s="5"/>
      <c r="L421" s="5"/>
      <c r="M421" s="5"/>
      <c r="N421" s="5"/>
      <c r="O421" s="5"/>
      <c r="P421" s="57"/>
      <c r="Q421" s="5"/>
      <c r="R421" s="5"/>
      <c r="S421" s="5"/>
      <c r="T421" s="5"/>
      <c r="U421" s="5"/>
      <c r="V421" s="5"/>
      <c r="W421" s="5"/>
      <c r="X421" s="5"/>
      <c r="Y421" s="5"/>
      <c r="Z421" s="5"/>
      <c r="AA421" s="5"/>
    </row>
    <row r="422" spans="1:27" ht="12.75" customHeight="1">
      <c r="A422" s="5"/>
      <c r="B422" s="5"/>
      <c r="C422" s="5"/>
      <c r="D422" s="5"/>
      <c r="E422" s="5"/>
      <c r="F422" s="5"/>
      <c r="G422" s="5"/>
      <c r="H422" s="306"/>
      <c r="I422" s="306"/>
      <c r="J422" s="5"/>
      <c r="K422" s="5"/>
      <c r="L422" s="5"/>
      <c r="M422" s="5"/>
      <c r="N422" s="5"/>
      <c r="O422" s="5"/>
      <c r="P422" s="57"/>
      <c r="Q422" s="5"/>
      <c r="R422" s="5"/>
      <c r="S422" s="5"/>
      <c r="T422" s="5"/>
      <c r="U422" s="5"/>
      <c r="V422" s="5"/>
      <c r="W422" s="5"/>
      <c r="X422" s="5"/>
      <c r="Y422" s="5"/>
      <c r="Z422" s="5"/>
      <c r="AA422" s="5"/>
    </row>
    <row r="423" spans="1:27" ht="12.75" customHeight="1">
      <c r="A423" s="5"/>
      <c r="B423" s="5"/>
      <c r="C423" s="5"/>
      <c r="D423" s="5"/>
      <c r="E423" s="5"/>
      <c r="F423" s="5"/>
      <c r="G423" s="5"/>
      <c r="H423" s="306"/>
      <c r="I423" s="306"/>
      <c r="J423" s="5"/>
      <c r="K423" s="5"/>
      <c r="L423" s="5"/>
      <c r="M423" s="5"/>
      <c r="N423" s="5"/>
      <c r="O423" s="5"/>
      <c r="P423" s="57"/>
      <c r="Q423" s="5"/>
      <c r="R423" s="5"/>
      <c r="S423" s="5"/>
      <c r="T423" s="5"/>
      <c r="U423" s="5"/>
      <c r="V423" s="5"/>
      <c r="W423" s="5"/>
      <c r="X423" s="5"/>
      <c r="Y423" s="5"/>
      <c r="Z423" s="5"/>
      <c r="AA423" s="5"/>
    </row>
    <row r="424" spans="1:27" ht="12.75" customHeight="1">
      <c r="A424" s="5"/>
      <c r="B424" s="5"/>
      <c r="C424" s="5"/>
      <c r="D424" s="5"/>
      <c r="E424" s="5"/>
      <c r="F424" s="5"/>
      <c r="G424" s="5"/>
      <c r="H424" s="306"/>
      <c r="I424" s="306"/>
      <c r="J424" s="5"/>
      <c r="K424" s="5"/>
      <c r="L424" s="5"/>
      <c r="M424" s="5"/>
      <c r="N424" s="5"/>
      <c r="O424" s="5"/>
      <c r="P424" s="57"/>
      <c r="Q424" s="5"/>
      <c r="R424" s="5"/>
      <c r="S424" s="5"/>
      <c r="T424" s="5"/>
      <c r="U424" s="5"/>
      <c r="V424" s="5"/>
      <c r="W424" s="5"/>
      <c r="X424" s="5"/>
      <c r="Y424" s="5"/>
      <c r="Z424" s="5"/>
      <c r="AA424" s="5"/>
    </row>
    <row r="425" spans="1:27" ht="12.75" customHeight="1">
      <c r="A425" s="5"/>
      <c r="B425" s="5"/>
      <c r="C425" s="5"/>
      <c r="D425" s="5"/>
      <c r="E425" s="5"/>
      <c r="F425" s="5"/>
      <c r="G425" s="5"/>
      <c r="H425" s="306"/>
      <c r="I425" s="306"/>
      <c r="J425" s="5"/>
      <c r="K425" s="5"/>
      <c r="L425" s="5"/>
      <c r="M425" s="5"/>
      <c r="N425" s="5"/>
      <c r="O425" s="5"/>
      <c r="P425" s="57"/>
      <c r="Q425" s="5"/>
      <c r="R425" s="5"/>
      <c r="S425" s="5"/>
      <c r="T425" s="5"/>
      <c r="U425" s="5"/>
      <c r="V425" s="5"/>
      <c r="W425" s="5"/>
      <c r="X425" s="5"/>
      <c r="Y425" s="5"/>
      <c r="Z425" s="5"/>
      <c r="AA425" s="5"/>
    </row>
    <row r="426" spans="1:27" ht="12.75" customHeight="1">
      <c r="A426" s="5"/>
      <c r="B426" s="5"/>
      <c r="C426" s="5"/>
      <c r="D426" s="5"/>
      <c r="E426" s="5"/>
      <c r="F426" s="5"/>
      <c r="G426" s="5"/>
      <c r="H426" s="306"/>
      <c r="I426" s="306"/>
      <c r="J426" s="5"/>
      <c r="K426" s="5"/>
      <c r="L426" s="5"/>
      <c r="M426" s="5"/>
      <c r="N426" s="5"/>
      <c r="O426" s="5"/>
      <c r="P426" s="57"/>
      <c r="Q426" s="5"/>
      <c r="R426" s="5"/>
      <c r="S426" s="5"/>
      <c r="T426" s="5"/>
      <c r="U426" s="5"/>
      <c r="V426" s="5"/>
      <c r="W426" s="5"/>
      <c r="X426" s="5"/>
      <c r="Y426" s="5"/>
      <c r="Z426" s="5"/>
      <c r="AA426" s="5"/>
    </row>
    <row r="427" spans="1:27" ht="12.75" customHeight="1">
      <c r="A427" s="5"/>
      <c r="B427" s="5"/>
      <c r="C427" s="5"/>
      <c r="D427" s="5"/>
      <c r="E427" s="5"/>
      <c r="F427" s="5"/>
      <c r="G427" s="5"/>
      <c r="H427" s="306"/>
      <c r="I427" s="306"/>
      <c r="J427" s="5"/>
      <c r="K427" s="5"/>
      <c r="L427" s="5"/>
      <c r="M427" s="5"/>
      <c r="N427" s="5"/>
      <c r="O427" s="5"/>
      <c r="P427" s="57"/>
      <c r="Q427" s="5"/>
      <c r="R427" s="5"/>
      <c r="S427" s="5"/>
      <c r="T427" s="5"/>
      <c r="U427" s="5"/>
      <c r="V427" s="5"/>
      <c r="W427" s="5"/>
      <c r="X427" s="5"/>
      <c r="Y427" s="5"/>
      <c r="Z427" s="5"/>
      <c r="AA427" s="5"/>
    </row>
    <row r="428" spans="1:27" ht="12.75" customHeight="1">
      <c r="A428" s="5"/>
      <c r="B428" s="5"/>
      <c r="C428" s="5"/>
      <c r="D428" s="5"/>
      <c r="E428" s="5"/>
      <c r="F428" s="5"/>
      <c r="G428" s="5"/>
      <c r="H428" s="306"/>
      <c r="I428" s="306"/>
      <c r="J428" s="5"/>
      <c r="K428" s="5"/>
      <c r="L428" s="5"/>
      <c r="M428" s="5"/>
      <c r="N428" s="5"/>
      <c r="O428" s="5"/>
      <c r="P428" s="57"/>
      <c r="Q428" s="5"/>
      <c r="R428" s="5"/>
      <c r="S428" s="5"/>
      <c r="T428" s="5"/>
      <c r="U428" s="5"/>
      <c r="V428" s="5"/>
      <c r="W428" s="5"/>
      <c r="X428" s="5"/>
      <c r="Y428" s="5"/>
      <c r="Z428" s="5"/>
      <c r="AA428" s="5"/>
    </row>
    <row r="429" spans="1:27" ht="12.75" customHeight="1">
      <c r="A429" s="5"/>
      <c r="B429" s="5"/>
      <c r="C429" s="5"/>
      <c r="D429" s="5"/>
      <c r="E429" s="5"/>
      <c r="F429" s="5"/>
      <c r="G429" s="5"/>
      <c r="H429" s="306"/>
      <c r="I429" s="306"/>
      <c r="J429" s="5"/>
      <c r="K429" s="5"/>
      <c r="L429" s="5"/>
      <c r="M429" s="5"/>
      <c r="N429" s="5"/>
      <c r="O429" s="5"/>
      <c r="P429" s="57"/>
      <c r="Q429" s="5"/>
      <c r="R429" s="5"/>
      <c r="S429" s="5"/>
      <c r="T429" s="5"/>
      <c r="U429" s="5"/>
      <c r="V429" s="5"/>
      <c r="W429" s="5"/>
      <c r="X429" s="5"/>
      <c r="Y429" s="5"/>
      <c r="Z429" s="5"/>
      <c r="AA429" s="5"/>
    </row>
    <row r="430" spans="1:27" ht="12.75" customHeight="1">
      <c r="A430" s="5"/>
      <c r="B430" s="5"/>
      <c r="C430" s="5"/>
      <c r="D430" s="5"/>
      <c r="E430" s="5"/>
      <c r="F430" s="5"/>
      <c r="G430" s="5"/>
      <c r="H430" s="306"/>
      <c r="I430" s="306"/>
      <c r="J430" s="5"/>
      <c r="K430" s="5"/>
      <c r="L430" s="5"/>
      <c r="M430" s="5"/>
      <c r="N430" s="5"/>
      <c r="O430" s="5"/>
      <c r="P430" s="57"/>
      <c r="Q430" s="5"/>
      <c r="R430" s="5"/>
      <c r="S430" s="5"/>
      <c r="T430" s="5"/>
      <c r="U430" s="5"/>
      <c r="V430" s="5"/>
      <c r="W430" s="5"/>
      <c r="X430" s="5"/>
      <c r="Y430" s="5"/>
      <c r="Z430" s="5"/>
      <c r="AA430" s="5"/>
    </row>
    <row r="431" spans="1:27" ht="12.75" customHeight="1">
      <c r="A431" s="5"/>
      <c r="B431" s="5"/>
      <c r="C431" s="5"/>
      <c r="D431" s="5"/>
      <c r="E431" s="5"/>
      <c r="F431" s="5"/>
      <c r="G431" s="5"/>
      <c r="H431" s="306"/>
      <c r="I431" s="306"/>
      <c r="J431" s="5"/>
      <c r="K431" s="5"/>
      <c r="L431" s="5"/>
      <c r="M431" s="5"/>
      <c r="N431" s="5"/>
      <c r="O431" s="5"/>
      <c r="P431" s="57"/>
      <c r="Q431" s="5"/>
      <c r="R431" s="5"/>
      <c r="S431" s="5"/>
      <c r="T431" s="5"/>
      <c r="U431" s="5"/>
      <c r="V431" s="5"/>
      <c r="W431" s="5"/>
      <c r="X431" s="5"/>
      <c r="Y431" s="5"/>
      <c r="Z431" s="5"/>
      <c r="AA431" s="5"/>
    </row>
    <row r="432" spans="1:27" ht="12.75" customHeight="1">
      <c r="A432" s="5"/>
      <c r="B432" s="5"/>
      <c r="C432" s="5"/>
      <c r="D432" s="5"/>
      <c r="E432" s="5"/>
      <c r="F432" s="5"/>
      <c r="G432" s="5"/>
      <c r="H432" s="306"/>
      <c r="I432" s="306"/>
      <c r="J432" s="5"/>
      <c r="K432" s="5"/>
      <c r="L432" s="5"/>
      <c r="M432" s="5"/>
      <c r="N432" s="5"/>
      <c r="O432" s="5"/>
      <c r="P432" s="57"/>
      <c r="Q432" s="5"/>
      <c r="R432" s="5"/>
      <c r="S432" s="5"/>
      <c r="T432" s="5"/>
      <c r="U432" s="5"/>
      <c r="V432" s="5"/>
      <c r="W432" s="5"/>
      <c r="X432" s="5"/>
      <c r="Y432" s="5"/>
      <c r="Z432" s="5"/>
      <c r="AA432" s="5"/>
    </row>
    <row r="433" spans="1:27" ht="12.75" customHeight="1">
      <c r="A433" s="5"/>
      <c r="B433" s="5"/>
      <c r="C433" s="5"/>
      <c r="D433" s="5"/>
      <c r="E433" s="5"/>
      <c r="F433" s="5"/>
      <c r="G433" s="5"/>
      <c r="H433" s="306"/>
      <c r="I433" s="306"/>
      <c r="J433" s="5"/>
      <c r="K433" s="5"/>
      <c r="L433" s="5"/>
      <c r="M433" s="5"/>
      <c r="N433" s="5"/>
      <c r="O433" s="5"/>
      <c r="P433" s="57"/>
      <c r="Q433" s="5"/>
      <c r="R433" s="5"/>
      <c r="S433" s="5"/>
      <c r="T433" s="5"/>
      <c r="U433" s="5"/>
      <c r="V433" s="5"/>
      <c r="W433" s="5"/>
      <c r="X433" s="5"/>
      <c r="Y433" s="5"/>
      <c r="Z433" s="5"/>
      <c r="AA433" s="5"/>
    </row>
    <row r="434" spans="1:27" ht="12.75" customHeight="1">
      <c r="A434" s="5"/>
      <c r="B434" s="5"/>
      <c r="C434" s="5"/>
      <c r="D434" s="5"/>
      <c r="E434" s="5"/>
      <c r="F434" s="5"/>
      <c r="G434" s="5"/>
      <c r="H434" s="306"/>
      <c r="I434" s="306"/>
      <c r="J434" s="5"/>
      <c r="K434" s="5"/>
      <c r="L434" s="5"/>
      <c r="M434" s="5"/>
      <c r="N434" s="5"/>
      <c r="O434" s="5"/>
      <c r="P434" s="57"/>
      <c r="Q434" s="5"/>
      <c r="R434" s="5"/>
      <c r="S434" s="5"/>
      <c r="T434" s="5"/>
      <c r="U434" s="5"/>
      <c r="V434" s="5"/>
      <c r="W434" s="5"/>
      <c r="X434" s="5"/>
      <c r="Y434" s="5"/>
      <c r="Z434" s="5"/>
      <c r="AA434" s="5"/>
    </row>
    <row r="435" spans="1:27" ht="12.75" customHeight="1">
      <c r="A435" s="5"/>
      <c r="B435" s="5"/>
      <c r="C435" s="5"/>
      <c r="D435" s="5"/>
      <c r="E435" s="5"/>
      <c r="F435" s="5"/>
      <c r="G435" s="5"/>
      <c r="H435" s="306"/>
      <c r="I435" s="306"/>
      <c r="J435" s="5"/>
      <c r="K435" s="5"/>
      <c r="L435" s="5"/>
      <c r="M435" s="5"/>
      <c r="N435" s="5"/>
      <c r="O435" s="5"/>
      <c r="P435" s="57"/>
      <c r="Q435" s="5"/>
      <c r="R435" s="5"/>
      <c r="S435" s="5"/>
      <c r="T435" s="5"/>
      <c r="U435" s="5"/>
      <c r="V435" s="5"/>
      <c r="W435" s="5"/>
      <c r="X435" s="5"/>
      <c r="Y435" s="5"/>
      <c r="Z435" s="5"/>
      <c r="AA435" s="5"/>
    </row>
    <row r="436" spans="1:27" ht="12.75" customHeight="1">
      <c r="A436" s="5"/>
      <c r="B436" s="5"/>
      <c r="C436" s="5"/>
      <c r="D436" s="5"/>
      <c r="E436" s="5"/>
      <c r="F436" s="5"/>
      <c r="G436" s="5"/>
      <c r="H436" s="306"/>
      <c r="I436" s="306"/>
      <c r="J436" s="5"/>
      <c r="K436" s="5"/>
      <c r="L436" s="5"/>
      <c r="M436" s="5"/>
      <c r="N436" s="5"/>
      <c r="O436" s="5"/>
      <c r="P436" s="57"/>
      <c r="Q436" s="5"/>
      <c r="R436" s="5"/>
      <c r="S436" s="5"/>
      <c r="T436" s="5"/>
      <c r="U436" s="5"/>
      <c r="V436" s="5"/>
      <c r="W436" s="5"/>
      <c r="X436" s="5"/>
      <c r="Y436" s="5"/>
      <c r="Z436" s="5"/>
      <c r="AA436" s="5"/>
    </row>
    <row r="437" spans="1:27" ht="12.75" customHeight="1">
      <c r="A437" s="5"/>
      <c r="B437" s="5"/>
      <c r="C437" s="5"/>
      <c r="D437" s="5"/>
      <c r="E437" s="5"/>
      <c r="F437" s="5"/>
      <c r="G437" s="5"/>
      <c r="H437" s="306"/>
      <c r="I437" s="306"/>
      <c r="J437" s="5"/>
      <c r="K437" s="5"/>
      <c r="L437" s="5"/>
      <c r="M437" s="5"/>
      <c r="N437" s="5"/>
      <c r="O437" s="5"/>
      <c r="P437" s="57"/>
      <c r="Q437" s="5"/>
      <c r="R437" s="5"/>
      <c r="S437" s="5"/>
      <c r="T437" s="5"/>
      <c r="U437" s="5"/>
      <c r="V437" s="5"/>
      <c r="W437" s="5"/>
      <c r="X437" s="5"/>
      <c r="Y437" s="5"/>
      <c r="Z437" s="5"/>
      <c r="AA437" s="5"/>
    </row>
    <row r="438" spans="1:27" ht="12.75" customHeight="1">
      <c r="A438" s="5"/>
      <c r="B438" s="5"/>
      <c r="C438" s="5"/>
      <c r="D438" s="5"/>
      <c r="E438" s="5"/>
      <c r="F438" s="5"/>
      <c r="G438" s="5"/>
      <c r="H438" s="306"/>
      <c r="I438" s="306"/>
      <c r="J438" s="5"/>
      <c r="K438" s="5"/>
      <c r="L438" s="5"/>
      <c r="M438" s="5"/>
      <c r="N438" s="5"/>
      <c r="O438" s="5"/>
      <c r="P438" s="57"/>
      <c r="Q438" s="5"/>
      <c r="R438" s="5"/>
      <c r="S438" s="5"/>
      <c r="T438" s="5"/>
      <c r="U438" s="5"/>
      <c r="V438" s="5"/>
      <c r="W438" s="5"/>
      <c r="X438" s="5"/>
      <c r="Y438" s="5"/>
      <c r="Z438" s="5"/>
      <c r="AA438" s="5"/>
    </row>
    <row r="439" spans="1:27" ht="12.75" customHeight="1">
      <c r="A439" s="5"/>
      <c r="B439" s="5"/>
      <c r="C439" s="5"/>
      <c r="D439" s="5"/>
      <c r="E439" s="5"/>
      <c r="F439" s="5"/>
      <c r="G439" s="5"/>
      <c r="H439" s="306"/>
      <c r="I439" s="306"/>
      <c r="J439" s="5"/>
      <c r="K439" s="5"/>
      <c r="L439" s="5"/>
      <c r="M439" s="5"/>
      <c r="N439" s="5"/>
      <c r="O439" s="5"/>
      <c r="P439" s="57"/>
      <c r="Q439" s="5"/>
      <c r="R439" s="5"/>
      <c r="S439" s="5"/>
      <c r="T439" s="5"/>
      <c r="U439" s="5"/>
      <c r="V439" s="5"/>
      <c r="W439" s="5"/>
      <c r="X439" s="5"/>
      <c r="Y439" s="5"/>
      <c r="Z439" s="5"/>
      <c r="AA439" s="5"/>
    </row>
    <row r="440" spans="1:27" ht="12.75" customHeight="1">
      <c r="A440" s="5"/>
      <c r="B440" s="5"/>
      <c r="C440" s="5"/>
      <c r="D440" s="5"/>
      <c r="E440" s="5"/>
      <c r="F440" s="5"/>
      <c r="G440" s="5"/>
      <c r="H440" s="306"/>
      <c r="I440" s="306"/>
      <c r="J440" s="5"/>
      <c r="K440" s="5"/>
      <c r="L440" s="5"/>
      <c r="M440" s="5"/>
      <c r="N440" s="5"/>
      <c r="O440" s="5"/>
      <c r="P440" s="57"/>
      <c r="Q440" s="5"/>
      <c r="R440" s="5"/>
      <c r="S440" s="5"/>
      <c r="T440" s="5"/>
      <c r="U440" s="5"/>
      <c r="V440" s="5"/>
      <c r="W440" s="5"/>
      <c r="X440" s="5"/>
      <c r="Y440" s="5"/>
      <c r="Z440" s="5"/>
      <c r="AA440" s="5"/>
    </row>
    <row r="441" spans="1:27" ht="12.75" customHeight="1">
      <c r="A441" s="5"/>
      <c r="B441" s="5"/>
      <c r="C441" s="5"/>
      <c r="D441" s="5"/>
      <c r="E441" s="5"/>
      <c r="F441" s="5"/>
      <c r="G441" s="5"/>
      <c r="H441" s="306"/>
      <c r="I441" s="306"/>
      <c r="J441" s="5"/>
      <c r="K441" s="5"/>
      <c r="L441" s="5"/>
      <c r="M441" s="5"/>
      <c r="N441" s="5"/>
      <c r="O441" s="5"/>
      <c r="P441" s="57"/>
      <c r="Q441" s="5"/>
      <c r="R441" s="5"/>
      <c r="S441" s="5"/>
      <c r="T441" s="5"/>
      <c r="U441" s="5"/>
      <c r="V441" s="5"/>
      <c r="W441" s="5"/>
      <c r="X441" s="5"/>
      <c r="Y441" s="5"/>
      <c r="Z441" s="5"/>
      <c r="AA441" s="5"/>
    </row>
    <row r="442" spans="1:27" ht="12.75" customHeight="1">
      <c r="A442" s="5"/>
      <c r="B442" s="5"/>
      <c r="C442" s="5"/>
      <c r="D442" s="5"/>
      <c r="E442" s="5"/>
      <c r="F442" s="5"/>
      <c r="G442" s="5"/>
      <c r="H442" s="306"/>
      <c r="I442" s="306"/>
      <c r="J442" s="5"/>
      <c r="K442" s="5"/>
      <c r="L442" s="5"/>
      <c r="M442" s="5"/>
      <c r="N442" s="5"/>
      <c r="O442" s="5"/>
      <c r="P442" s="57"/>
      <c r="Q442" s="5"/>
      <c r="R442" s="5"/>
      <c r="S442" s="5"/>
      <c r="T442" s="5"/>
      <c r="U442" s="5"/>
      <c r="V442" s="5"/>
      <c r="W442" s="5"/>
      <c r="X442" s="5"/>
      <c r="Y442" s="5"/>
      <c r="Z442" s="5"/>
      <c r="AA442" s="5"/>
    </row>
    <row r="443" spans="1:27" ht="12.75" customHeight="1">
      <c r="A443" s="5"/>
      <c r="B443" s="5"/>
      <c r="C443" s="5"/>
      <c r="D443" s="5"/>
      <c r="E443" s="5"/>
      <c r="F443" s="5"/>
      <c r="G443" s="5"/>
      <c r="H443" s="306"/>
      <c r="I443" s="306"/>
      <c r="J443" s="5"/>
      <c r="K443" s="5"/>
      <c r="L443" s="5"/>
      <c r="M443" s="5"/>
      <c r="N443" s="5"/>
      <c r="O443" s="5"/>
      <c r="P443" s="57"/>
      <c r="Q443" s="5"/>
      <c r="R443" s="5"/>
      <c r="S443" s="5"/>
      <c r="T443" s="5"/>
      <c r="U443" s="5"/>
      <c r="V443" s="5"/>
      <c r="W443" s="5"/>
      <c r="X443" s="5"/>
      <c r="Y443" s="5"/>
      <c r="Z443" s="5"/>
      <c r="AA443" s="5"/>
    </row>
    <row r="444" spans="1:27" ht="12.75" customHeight="1">
      <c r="A444" s="5"/>
      <c r="B444" s="5"/>
      <c r="C444" s="5"/>
      <c r="D444" s="5"/>
      <c r="E444" s="5"/>
      <c r="F444" s="5"/>
      <c r="G444" s="5"/>
      <c r="H444" s="306"/>
      <c r="I444" s="306"/>
      <c r="J444" s="5"/>
      <c r="K444" s="5"/>
      <c r="L444" s="5"/>
      <c r="M444" s="5"/>
      <c r="N444" s="5"/>
      <c r="O444" s="5"/>
      <c r="P444" s="57"/>
      <c r="Q444" s="5"/>
      <c r="R444" s="5"/>
      <c r="S444" s="5"/>
      <c r="T444" s="5"/>
      <c r="U444" s="5"/>
      <c r="V444" s="5"/>
      <c r="W444" s="5"/>
      <c r="X444" s="5"/>
      <c r="Y444" s="5"/>
      <c r="Z444" s="5"/>
      <c r="AA444" s="5"/>
    </row>
    <row r="445" spans="1:27" ht="12.75" customHeight="1">
      <c r="A445" s="5"/>
      <c r="B445" s="5"/>
      <c r="C445" s="5"/>
      <c r="D445" s="5"/>
      <c r="E445" s="5"/>
      <c r="F445" s="5"/>
      <c r="G445" s="5"/>
      <c r="H445" s="306"/>
      <c r="I445" s="306"/>
      <c r="J445" s="5"/>
      <c r="K445" s="5"/>
      <c r="L445" s="5"/>
      <c r="M445" s="5"/>
      <c r="N445" s="5"/>
      <c r="O445" s="5"/>
      <c r="P445" s="57"/>
      <c r="Q445" s="5"/>
      <c r="R445" s="5"/>
      <c r="S445" s="5"/>
      <c r="T445" s="5"/>
      <c r="U445" s="5"/>
      <c r="V445" s="5"/>
      <c r="W445" s="5"/>
      <c r="X445" s="5"/>
      <c r="Y445" s="5"/>
      <c r="Z445" s="5"/>
      <c r="AA445" s="5"/>
    </row>
    <row r="446" spans="1:27" ht="12.75" customHeight="1">
      <c r="A446" s="5"/>
      <c r="B446" s="5"/>
      <c r="C446" s="5"/>
      <c r="D446" s="5"/>
      <c r="E446" s="5"/>
      <c r="F446" s="5"/>
      <c r="G446" s="5"/>
      <c r="H446" s="306"/>
      <c r="I446" s="306"/>
      <c r="J446" s="5"/>
      <c r="K446" s="5"/>
      <c r="L446" s="5"/>
      <c r="M446" s="5"/>
      <c r="N446" s="5"/>
      <c r="O446" s="5"/>
      <c r="P446" s="57"/>
      <c r="Q446" s="5"/>
      <c r="R446" s="5"/>
      <c r="S446" s="5"/>
      <c r="T446" s="5"/>
      <c r="U446" s="5"/>
      <c r="V446" s="5"/>
      <c r="W446" s="5"/>
      <c r="X446" s="5"/>
      <c r="Y446" s="5"/>
      <c r="Z446" s="5"/>
      <c r="AA446" s="5"/>
    </row>
    <row r="447" spans="1:27" ht="12.75" customHeight="1">
      <c r="A447" s="5"/>
      <c r="B447" s="5"/>
      <c r="C447" s="5"/>
      <c r="D447" s="5"/>
      <c r="E447" s="5"/>
      <c r="F447" s="5"/>
      <c r="G447" s="5"/>
      <c r="H447" s="306"/>
      <c r="I447" s="306"/>
      <c r="J447" s="5"/>
      <c r="K447" s="5"/>
      <c r="L447" s="5"/>
      <c r="M447" s="5"/>
      <c r="N447" s="5"/>
      <c r="O447" s="5"/>
      <c r="P447" s="57"/>
      <c r="Q447" s="5"/>
      <c r="R447" s="5"/>
      <c r="S447" s="5"/>
      <c r="T447" s="5"/>
      <c r="U447" s="5"/>
      <c r="V447" s="5"/>
      <c r="W447" s="5"/>
      <c r="X447" s="5"/>
      <c r="Y447" s="5"/>
      <c r="Z447" s="5"/>
      <c r="AA447" s="5"/>
    </row>
    <row r="448" spans="1:27" ht="12.75" customHeight="1">
      <c r="A448" s="5"/>
      <c r="B448" s="5"/>
      <c r="C448" s="5"/>
      <c r="D448" s="5"/>
      <c r="E448" s="5"/>
      <c r="F448" s="5"/>
      <c r="G448" s="5"/>
      <c r="H448" s="306"/>
      <c r="I448" s="306"/>
      <c r="J448" s="5"/>
      <c r="K448" s="5"/>
      <c r="L448" s="5"/>
      <c r="M448" s="5"/>
      <c r="N448" s="5"/>
      <c r="O448" s="5"/>
      <c r="P448" s="57"/>
      <c r="Q448" s="5"/>
      <c r="R448" s="5"/>
      <c r="S448" s="5"/>
      <c r="T448" s="5"/>
      <c r="U448" s="5"/>
      <c r="V448" s="5"/>
      <c r="W448" s="5"/>
      <c r="X448" s="5"/>
      <c r="Y448" s="5"/>
      <c r="Z448" s="5"/>
      <c r="AA448" s="5"/>
    </row>
    <row r="449" spans="1:27" ht="12.75" customHeight="1">
      <c r="A449" s="5"/>
      <c r="B449" s="5"/>
      <c r="C449" s="5"/>
      <c r="D449" s="5"/>
      <c r="E449" s="5"/>
      <c r="F449" s="5"/>
      <c r="G449" s="5"/>
      <c r="H449" s="306"/>
      <c r="I449" s="306"/>
      <c r="J449" s="5"/>
      <c r="K449" s="5"/>
      <c r="L449" s="5"/>
      <c r="M449" s="5"/>
      <c r="N449" s="5"/>
      <c r="O449" s="5"/>
      <c r="P449" s="57"/>
      <c r="Q449" s="5"/>
      <c r="R449" s="5"/>
      <c r="S449" s="5"/>
      <c r="T449" s="5"/>
      <c r="U449" s="5"/>
      <c r="V449" s="5"/>
      <c r="W449" s="5"/>
      <c r="X449" s="5"/>
      <c r="Y449" s="5"/>
      <c r="Z449" s="5"/>
      <c r="AA449" s="5"/>
    </row>
    <row r="450" spans="1:27" ht="12.75" customHeight="1">
      <c r="A450" s="5"/>
      <c r="B450" s="5"/>
      <c r="C450" s="5"/>
      <c r="D450" s="5"/>
      <c r="E450" s="5"/>
      <c r="F450" s="5"/>
      <c r="G450" s="5"/>
      <c r="H450" s="306"/>
      <c r="I450" s="306"/>
      <c r="J450" s="5"/>
      <c r="K450" s="5"/>
      <c r="L450" s="5"/>
      <c r="M450" s="5"/>
      <c r="N450" s="5"/>
      <c r="O450" s="5"/>
      <c r="P450" s="57"/>
      <c r="Q450" s="5"/>
      <c r="R450" s="5"/>
      <c r="S450" s="5"/>
      <c r="T450" s="5"/>
      <c r="U450" s="5"/>
      <c r="V450" s="5"/>
      <c r="W450" s="5"/>
      <c r="X450" s="5"/>
      <c r="Y450" s="5"/>
      <c r="Z450" s="5"/>
      <c r="AA450" s="5"/>
    </row>
    <row r="451" spans="1:27" ht="12.75" customHeight="1">
      <c r="A451" s="5"/>
      <c r="B451" s="5"/>
      <c r="C451" s="5"/>
      <c r="D451" s="5"/>
      <c r="E451" s="5"/>
      <c r="F451" s="5"/>
      <c r="G451" s="5"/>
      <c r="H451" s="306"/>
      <c r="I451" s="306"/>
      <c r="J451" s="5"/>
      <c r="K451" s="5"/>
      <c r="L451" s="5"/>
      <c r="M451" s="5"/>
      <c r="N451" s="5"/>
      <c r="O451" s="5"/>
      <c r="P451" s="57"/>
      <c r="Q451" s="5"/>
      <c r="R451" s="5"/>
      <c r="S451" s="5"/>
      <c r="T451" s="5"/>
      <c r="U451" s="5"/>
      <c r="V451" s="5"/>
      <c r="W451" s="5"/>
      <c r="X451" s="5"/>
      <c r="Y451" s="5"/>
      <c r="Z451" s="5"/>
      <c r="AA451" s="5"/>
    </row>
    <row r="452" spans="1:27" ht="12.75" customHeight="1">
      <c r="A452" s="5"/>
      <c r="B452" s="5"/>
      <c r="C452" s="5"/>
      <c r="D452" s="5"/>
      <c r="E452" s="5"/>
      <c r="F452" s="5"/>
      <c r="G452" s="5"/>
      <c r="H452" s="306"/>
      <c r="I452" s="306"/>
      <c r="J452" s="5"/>
      <c r="K452" s="5"/>
      <c r="L452" s="5"/>
      <c r="M452" s="5"/>
      <c r="N452" s="5"/>
      <c r="O452" s="5"/>
      <c r="P452" s="57"/>
      <c r="Q452" s="5"/>
      <c r="R452" s="5"/>
      <c r="S452" s="5"/>
      <c r="T452" s="5"/>
      <c r="U452" s="5"/>
      <c r="V452" s="5"/>
      <c r="W452" s="5"/>
      <c r="X452" s="5"/>
      <c r="Y452" s="5"/>
      <c r="Z452" s="5"/>
      <c r="AA452" s="5"/>
    </row>
    <row r="453" spans="1:27" ht="12.75" customHeight="1">
      <c r="A453" s="5"/>
      <c r="B453" s="5"/>
      <c r="C453" s="5"/>
      <c r="D453" s="5"/>
      <c r="E453" s="5"/>
      <c r="F453" s="5"/>
      <c r="G453" s="5"/>
      <c r="H453" s="306"/>
      <c r="I453" s="306"/>
      <c r="J453" s="5"/>
      <c r="K453" s="5"/>
      <c r="L453" s="5"/>
      <c r="M453" s="5"/>
      <c r="N453" s="5"/>
      <c r="O453" s="5"/>
      <c r="P453" s="57"/>
      <c r="Q453" s="5"/>
      <c r="R453" s="5"/>
      <c r="S453" s="5"/>
      <c r="T453" s="5"/>
      <c r="U453" s="5"/>
      <c r="V453" s="5"/>
      <c r="W453" s="5"/>
      <c r="X453" s="5"/>
      <c r="Y453" s="5"/>
      <c r="Z453" s="5"/>
      <c r="AA453" s="5"/>
    </row>
    <row r="454" spans="1:27" ht="12.75" customHeight="1">
      <c r="A454" s="5"/>
      <c r="B454" s="5"/>
      <c r="C454" s="5"/>
      <c r="D454" s="5"/>
      <c r="E454" s="5"/>
      <c r="F454" s="5"/>
      <c r="G454" s="5"/>
      <c r="H454" s="306"/>
      <c r="I454" s="306"/>
      <c r="J454" s="5"/>
      <c r="K454" s="5"/>
      <c r="L454" s="5"/>
      <c r="M454" s="5"/>
      <c r="N454" s="5"/>
      <c r="O454" s="5"/>
      <c r="P454" s="57"/>
      <c r="Q454" s="5"/>
      <c r="R454" s="5"/>
      <c r="S454" s="5"/>
      <c r="T454" s="5"/>
      <c r="U454" s="5"/>
      <c r="V454" s="5"/>
      <c r="W454" s="5"/>
      <c r="X454" s="5"/>
      <c r="Y454" s="5"/>
      <c r="Z454" s="5"/>
      <c r="AA454" s="5"/>
    </row>
    <row r="455" spans="1:27" ht="12.75" customHeight="1">
      <c r="A455" s="5"/>
      <c r="B455" s="5"/>
      <c r="C455" s="5"/>
      <c r="D455" s="5"/>
      <c r="E455" s="5"/>
      <c r="F455" s="5"/>
      <c r="G455" s="5"/>
      <c r="H455" s="306"/>
      <c r="I455" s="306"/>
      <c r="J455" s="5"/>
      <c r="K455" s="5"/>
      <c r="L455" s="5"/>
      <c r="M455" s="5"/>
      <c r="N455" s="5"/>
      <c r="O455" s="5"/>
      <c r="P455" s="57"/>
      <c r="Q455" s="5"/>
      <c r="R455" s="5"/>
      <c r="S455" s="5"/>
      <c r="T455" s="5"/>
      <c r="U455" s="5"/>
      <c r="V455" s="5"/>
      <c r="W455" s="5"/>
      <c r="X455" s="5"/>
      <c r="Y455" s="5"/>
      <c r="Z455" s="5"/>
      <c r="AA455" s="5"/>
    </row>
    <row r="456" spans="1:27" ht="12.75" customHeight="1">
      <c r="A456" s="5"/>
      <c r="B456" s="5"/>
      <c r="C456" s="5"/>
      <c r="D456" s="5"/>
      <c r="E456" s="5"/>
      <c r="F456" s="5"/>
      <c r="G456" s="5"/>
      <c r="H456" s="306"/>
      <c r="I456" s="306"/>
      <c r="J456" s="5"/>
      <c r="K456" s="5"/>
      <c r="L456" s="5"/>
      <c r="M456" s="5"/>
      <c r="N456" s="5"/>
      <c r="O456" s="5"/>
      <c r="P456" s="57"/>
      <c r="Q456" s="5"/>
      <c r="R456" s="5"/>
      <c r="S456" s="5"/>
      <c r="T456" s="5"/>
      <c r="U456" s="5"/>
      <c r="V456" s="5"/>
      <c r="W456" s="5"/>
      <c r="X456" s="5"/>
      <c r="Y456" s="5"/>
      <c r="Z456" s="5"/>
      <c r="AA456" s="5"/>
    </row>
    <row r="457" spans="1:27" ht="12.75" customHeight="1">
      <c r="A457" s="5"/>
      <c r="B457" s="5"/>
      <c r="C457" s="5"/>
      <c r="D457" s="5"/>
      <c r="E457" s="5"/>
      <c r="F457" s="5"/>
      <c r="G457" s="5"/>
      <c r="H457" s="306"/>
      <c r="I457" s="306"/>
      <c r="J457" s="5"/>
      <c r="K457" s="5"/>
      <c r="L457" s="5"/>
      <c r="M457" s="5"/>
      <c r="N457" s="5"/>
      <c r="O457" s="5"/>
      <c r="P457" s="57"/>
      <c r="Q457" s="5"/>
      <c r="R457" s="5"/>
      <c r="S457" s="5"/>
      <c r="T457" s="5"/>
      <c r="U457" s="5"/>
      <c r="V457" s="5"/>
      <c r="W457" s="5"/>
      <c r="X457" s="5"/>
      <c r="Y457" s="5"/>
      <c r="Z457" s="5"/>
      <c r="AA457" s="5"/>
    </row>
    <row r="458" spans="1:27" ht="12.75" customHeight="1">
      <c r="A458" s="5"/>
      <c r="B458" s="5"/>
      <c r="C458" s="5"/>
      <c r="D458" s="5"/>
      <c r="E458" s="5"/>
      <c r="F458" s="5"/>
      <c r="G458" s="5"/>
      <c r="H458" s="306"/>
      <c r="I458" s="306"/>
      <c r="J458" s="5"/>
      <c r="K458" s="5"/>
      <c r="L458" s="5"/>
      <c r="M458" s="5"/>
      <c r="N458" s="5"/>
      <c r="O458" s="5"/>
      <c r="P458" s="57"/>
      <c r="Q458" s="5"/>
      <c r="R458" s="5"/>
      <c r="S458" s="5"/>
      <c r="T458" s="5"/>
      <c r="U458" s="5"/>
      <c r="V458" s="5"/>
      <c r="W458" s="5"/>
      <c r="X458" s="5"/>
      <c r="Y458" s="5"/>
      <c r="Z458" s="5"/>
      <c r="AA458" s="5"/>
    </row>
    <row r="459" spans="1:27" ht="12.75" customHeight="1">
      <c r="A459" s="5"/>
      <c r="B459" s="5"/>
      <c r="C459" s="5"/>
      <c r="D459" s="5"/>
      <c r="E459" s="5"/>
      <c r="F459" s="5"/>
      <c r="G459" s="5"/>
      <c r="H459" s="306"/>
      <c r="I459" s="306"/>
      <c r="J459" s="5"/>
      <c r="K459" s="5"/>
      <c r="L459" s="5"/>
      <c r="M459" s="5"/>
      <c r="N459" s="5"/>
      <c r="O459" s="5"/>
      <c r="P459" s="57"/>
      <c r="Q459" s="5"/>
      <c r="R459" s="5"/>
      <c r="S459" s="5"/>
      <c r="T459" s="5"/>
      <c r="U459" s="5"/>
      <c r="V459" s="5"/>
      <c r="W459" s="5"/>
      <c r="X459" s="5"/>
      <c r="Y459" s="5"/>
      <c r="Z459" s="5"/>
      <c r="AA459" s="5"/>
    </row>
    <row r="460" spans="1:27" ht="12.75" customHeight="1">
      <c r="A460" s="5"/>
      <c r="B460" s="5"/>
      <c r="C460" s="5"/>
      <c r="D460" s="5"/>
      <c r="E460" s="5"/>
      <c r="F460" s="5"/>
      <c r="G460" s="5"/>
      <c r="H460" s="306"/>
      <c r="I460" s="306"/>
      <c r="J460" s="5"/>
      <c r="K460" s="5"/>
      <c r="L460" s="5"/>
      <c r="M460" s="5"/>
      <c r="N460" s="5"/>
      <c r="O460" s="5"/>
      <c r="P460" s="57"/>
      <c r="Q460" s="5"/>
      <c r="R460" s="5"/>
      <c r="S460" s="5"/>
      <c r="T460" s="5"/>
      <c r="U460" s="5"/>
      <c r="V460" s="5"/>
      <c r="W460" s="5"/>
      <c r="X460" s="5"/>
      <c r="Y460" s="5"/>
      <c r="Z460" s="5"/>
      <c r="AA460" s="5"/>
    </row>
    <row r="461" spans="1:27" ht="12.75" customHeight="1">
      <c r="A461" s="5"/>
      <c r="B461" s="5"/>
      <c r="C461" s="5"/>
      <c r="D461" s="5"/>
      <c r="E461" s="5"/>
      <c r="F461" s="5"/>
      <c r="G461" s="5"/>
      <c r="H461" s="306"/>
      <c r="I461" s="306"/>
      <c r="J461" s="5"/>
      <c r="K461" s="5"/>
      <c r="L461" s="5"/>
      <c r="M461" s="5"/>
      <c r="N461" s="5"/>
      <c r="O461" s="5"/>
      <c r="P461" s="57"/>
      <c r="Q461" s="5"/>
      <c r="R461" s="5"/>
      <c r="S461" s="5"/>
      <c r="T461" s="5"/>
      <c r="U461" s="5"/>
      <c r="V461" s="5"/>
      <c r="W461" s="5"/>
      <c r="X461" s="5"/>
      <c r="Y461" s="5"/>
      <c r="Z461" s="5"/>
      <c r="AA461" s="5"/>
    </row>
    <row r="462" spans="1:27" ht="12.75" customHeight="1">
      <c r="A462" s="5"/>
      <c r="B462" s="5"/>
      <c r="C462" s="5"/>
      <c r="D462" s="5"/>
      <c r="E462" s="5"/>
      <c r="F462" s="5"/>
      <c r="G462" s="5"/>
      <c r="H462" s="306"/>
      <c r="I462" s="306"/>
      <c r="J462" s="5"/>
      <c r="K462" s="5"/>
      <c r="L462" s="5"/>
      <c r="M462" s="5"/>
      <c r="N462" s="5"/>
      <c r="O462" s="5"/>
      <c r="P462" s="57"/>
      <c r="Q462" s="5"/>
      <c r="R462" s="5"/>
      <c r="S462" s="5"/>
      <c r="T462" s="5"/>
      <c r="U462" s="5"/>
      <c r="V462" s="5"/>
      <c r="W462" s="5"/>
      <c r="X462" s="5"/>
      <c r="Y462" s="5"/>
      <c r="Z462" s="5"/>
      <c r="AA462" s="5"/>
    </row>
    <row r="463" spans="1:27" ht="12.75" customHeight="1">
      <c r="A463" s="5"/>
      <c r="B463" s="5"/>
      <c r="C463" s="5"/>
      <c r="D463" s="5"/>
      <c r="E463" s="5"/>
      <c r="F463" s="5"/>
      <c r="G463" s="5"/>
      <c r="H463" s="306"/>
      <c r="I463" s="306"/>
      <c r="J463" s="5"/>
      <c r="K463" s="5"/>
      <c r="L463" s="5"/>
      <c r="M463" s="5"/>
      <c r="N463" s="5"/>
      <c r="O463" s="5"/>
      <c r="P463" s="57"/>
      <c r="Q463" s="5"/>
      <c r="R463" s="5"/>
      <c r="S463" s="5"/>
      <c r="T463" s="5"/>
      <c r="U463" s="5"/>
      <c r="V463" s="5"/>
      <c r="W463" s="5"/>
      <c r="X463" s="5"/>
      <c r="Y463" s="5"/>
      <c r="Z463" s="5"/>
      <c r="AA463" s="5"/>
    </row>
    <row r="464" spans="1:27" ht="12.75" customHeight="1">
      <c r="A464" s="5"/>
      <c r="B464" s="5"/>
      <c r="C464" s="5"/>
      <c r="D464" s="5"/>
      <c r="E464" s="5"/>
      <c r="F464" s="5"/>
      <c r="G464" s="5"/>
      <c r="H464" s="306"/>
      <c r="I464" s="306"/>
      <c r="J464" s="5"/>
      <c r="K464" s="5"/>
      <c r="L464" s="5"/>
      <c r="M464" s="5"/>
      <c r="N464" s="5"/>
      <c r="O464" s="5"/>
      <c r="P464" s="57"/>
      <c r="Q464" s="5"/>
      <c r="R464" s="5"/>
      <c r="S464" s="5"/>
      <c r="T464" s="5"/>
      <c r="U464" s="5"/>
      <c r="V464" s="5"/>
      <c r="W464" s="5"/>
      <c r="X464" s="5"/>
      <c r="Y464" s="5"/>
      <c r="Z464" s="5"/>
      <c r="AA464" s="5"/>
    </row>
    <row r="465" spans="1:27" ht="12.75" customHeight="1">
      <c r="A465" s="5"/>
      <c r="B465" s="5"/>
      <c r="C465" s="5"/>
      <c r="D465" s="5"/>
      <c r="E465" s="5"/>
      <c r="F465" s="5"/>
      <c r="G465" s="5"/>
      <c r="H465" s="306"/>
      <c r="I465" s="306"/>
      <c r="J465" s="5"/>
      <c r="K465" s="5"/>
      <c r="L465" s="5"/>
      <c r="M465" s="5"/>
      <c r="N465" s="5"/>
      <c r="O465" s="5"/>
      <c r="P465" s="57"/>
      <c r="Q465" s="5"/>
      <c r="R465" s="5"/>
      <c r="S465" s="5"/>
      <c r="T465" s="5"/>
      <c r="U465" s="5"/>
      <c r="V465" s="5"/>
      <c r="W465" s="5"/>
      <c r="X465" s="5"/>
      <c r="Y465" s="5"/>
      <c r="Z465" s="5"/>
      <c r="AA465" s="5"/>
    </row>
    <row r="466" spans="1:27" ht="12.75" customHeight="1">
      <c r="A466" s="5"/>
      <c r="B466" s="5"/>
      <c r="C466" s="5"/>
      <c r="D466" s="5"/>
      <c r="E466" s="5"/>
      <c r="F466" s="5"/>
      <c r="G466" s="5"/>
      <c r="H466" s="306"/>
      <c r="I466" s="306"/>
      <c r="J466" s="5"/>
      <c r="K466" s="5"/>
      <c r="L466" s="5"/>
      <c r="M466" s="5"/>
      <c r="N466" s="5"/>
      <c r="O466" s="5"/>
      <c r="P466" s="57"/>
      <c r="Q466" s="5"/>
      <c r="R466" s="5"/>
      <c r="S466" s="5"/>
      <c r="T466" s="5"/>
      <c r="U466" s="5"/>
      <c r="V466" s="5"/>
      <c r="W466" s="5"/>
      <c r="X466" s="5"/>
      <c r="Y466" s="5"/>
      <c r="Z466" s="5"/>
      <c r="AA466" s="5"/>
    </row>
    <row r="467" spans="1:27" ht="12.75" customHeight="1">
      <c r="A467" s="5"/>
      <c r="B467" s="5"/>
      <c r="C467" s="5"/>
      <c r="D467" s="5"/>
      <c r="E467" s="5"/>
      <c r="F467" s="5"/>
      <c r="G467" s="5"/>
      <c r="H467" s="306"/>
      <c r="I467" s="306"/>
      <c r="J467" s="5"/>
      <c r="K467" s="5"/>
      <c r="L467" s="5"/>
      <c r="M467" s="5"/>
      <c r="N467" s="5"/>
      <c r="O467" s="5"/>
      <c r="P467" s="57"/>
      <c r="Q467" s="5"/>
      <c r="R467" s="5"/>
      <c r="S467" s="5"/>
      <c r="T467" s="5"/>
      <c r="U467" s="5"/>
      <c r="V467" s="5"/>
      <c r="W467" s="5"/>
      <c r="X467" s="5"/>
      <c r="Y467" s="5"/>
      <c r="Z467" s="5"/>
      <c r="AA467" s="5"/>
    </row>
    <row r="468" spans="1:27" ht="12.75" customHeight="1">
      <c r="A468" s="5"/>
      <c r="B468" s="5"/>
      <c r="C468" s="5"/>
      <c r="D468" s="5"/>
      <c r="E468" s="5"/>
      <c r="F468" s="5"/>
      <c r="G468" s="5"/>
      <c r="H468" s="306"/>
      <c r="I468" s="306"/>
      <c r="J468" s="5"/>
      <c r="K468" s="5"/>
      <c r="L468" s="5"/>
      <c r="M468" s="5"/>
      <c r="N468" s="5"/>
      <c r="O468" s="5"/>
      <c r="P468" s="57"/>
      <c r="Q468" s="5"/>
      <c r="R468" s="5"/>
      <c r="S468" s="5"/>
      <c r="T468" s="5"/>
      <c r="U468" s="5"/>
      <c r="V468" s="5"/>
      <c r="W468" s="5"/>
      <c r="X468" s="5"/>
      <c r="Y468" s="5"/>
      <c r="Z468" s="5"/>
      <c r="AA468" s="5"/>
    </row>
    <row r="469" spans="1:27" ht="12.75" customHeight="1">
      <c r="A469" s="5"/>
      <c r="B469" s="5"/>
      <c r="C469" s="5"/>
      <c r="D469" s="5"/>
      <c r="E469" s="5"/>
      <c r="F469" s="5"/>
      <c r="G469" s="5"/>
      <c r="H469" s="306"/>
      <c r="I469" s="306"/>
      <c r="J469" s="5"/>
      <c r="K469" s="5"/>
      <c r="L469" s="5"/>
      <c r="M469" s="5"/>
      <c r="N469" s="5"/>
      <c r="O469" s="5"/>
      <c r="P469" s="57"/>
      <c r="Q469" s="5"/>
      <c r="R469" s="5"/>
      <c r="S469" s="5"/>
      <c r="T469" s="5"/>
      <c r="U469" s="5"/>
      <c r="V469" s="5"/>
      <c r="W469" s="5"/>
      <c r="X469" s="5"/>
      <c r="Y469" s="5"/>
      <c r="Z469" s="5"/>
      <c r="AA469" s="5"/>
    </row>
    <row r="470" spans="1:27" ht="12.75" customHeight="1">
      <c r="A470" s="5"/>
      <c r="B470" s="5"/>
      <c r="C470" s="5"/>
      <c r="D470" s="5"/>
      <c r="E470" s="5"/>
      <c r="F470" s="5"/>
      <c r="G470" s="5"/>
      <c r="H470" s="306"/>
      <c r="I470" s="306"/>
      <c r="J470" s="5"/>
      <c r="K470" s="5"/>
      <c r="L470" s="5"/>
      <c r="M470" s="5"/>
      <c r="N470" s="5"/>
      <c r="O470" s="5"/>
      <c r="P470" s="57"/>
      <c r="Q470" s="5"/>
      <c r="R470" s="5"/>
      <c r="S470" s="5"/>
      <c r="T470" s="5"/>
      <c r="U470" s="5"/>
      <c r="V470" s="5"/>
      <c r="W470" s="5"/>
      <c r="X470" s="5"/>
      <c r="Y470" s="5"/>
      <c r="Z470" s="5"/>
      <c r="AA470" s="5"/>
    </row>
    <row r="471" spans="1:27" ht="12.75" customHeight="1">
      <c r="A471" s="5"/>
      <c r="B471" s="5"/>
      <c r="C471" s="5"/>
      <c r="D471" s="5"/>
      <c r="E471" s="5"/>
      <c r="F471" s="5"/>
      <c r="G471" s="5"/>
      <c r="H471" s="306"/>
      <c r="I471" s="306"/>
      <c r="J471" s="5"/>
      <c r="K471" s="5"/>
      <c r="L471" s="5"/>
      <c r="M471" s="5"/>
      <c r="N471" s="5"/>
      <c r="O471" s="5"/>
      <c r="P471" s="57"/>
      <c r="Q471" s="5"/>
      <c r="R471" s="5"/>
      <c r="S471" s="5"/>
      <c r="T471" s="5"/>
      <c r="U471" s="5"/>
      <c r="V471" s="5"/>
      <c r="W471" s="5"/>
      <c r="X471" s="5"/>
      <c r="Y471" s="5"/>
      <c r="Z471" s="5"/>
      <c r="AA471" s="5"/>
    </row>
    <row r="472" spans="1:27" ht="12.75" customHeight="1">
      <c r="A472" s="5"/>
      <c r="B472" s="5"/>
      <c r="C472" s="5"/>
      <c r="D472" s="5"/>
      <c r="E472" s="5"/>
      <c r="F472" s="5"/>
      <c r="G472" s="5"/>
      <c r="H472" s="306"/>
      <c r="I472" s="306"/>
      <c r="J472" s="5"/>
      <c r="K472" s="5"/>
      <c r="L472" s="5"/>
      <c r="M472" s="5"/>
      <c r="N472" s="5"/>
      <c r="O472" s="5"/>
      <c r="P472" s="57"/>
      <c r="Q472" s="5"/>
      <c r="R472" s="5"/>
      <c r="S472" s="5"/>
      <c r="T472" s="5"/>
      <c r="U472" s="5"/>
      <c r="V472" s="5"/>
      <c r="W472" s="5"/>
      <c r="X472" s="5"/>
      <c r="Y472" s="5"/>
      <c r="Z472" s="5"/>
      <c r="AA472" s="5"/>
    </row>
    <row r="473" spans="1:27" ht="12.75" customHeight="1">
      <c r="A473" s="5"/>
      <c r="B473" s="5"/>
      <c r="C473" s="5"/>
      <c r="D473" s="5"/>
      <c r="E473" s="5"/>
      <c r="F473" s="5"/>
      <c r="G473" s="5"/>
      <c r="H473" s="306"/>
      <c r="I473" s="306"/>
      <c r="J473" s="5"/>
      <c r="K473" s="5"/>
      <c r="L473" s="5"/>
      <c r="M473" s="5"/>
      <c r="N473" s="5"/>
      <c r="O473" s="5"/>
      <c r="P473" s="57"/>
      <c r="Q473" s="5"/>
      <c r="R473" s="5"/>
      <c r="S473" s="5"/>
      <c r="T473" s="5"/>
      <c r="U473" s="5"/>
      <c r="V473" s="5"/>
      <c r="W473" s="5"/>
      <c r="X473" s="5"/>
      <c r="Y473" s="5"/>
      <c r="Z473" s="5"/>
      <c r="AA473" s="5"/>
    </row>
    <row r="474" spans="1:27" ht="12.75" customHeight="1">
      <c r="A474" s="5"/>
      <c r="B474" s="5"/>
      <c r="C474" s="5"/>
      <c r="D474" s="5"/>
      <c r="E474" s="5"/>
      <c r="F474" s="5"/>
      <c r="G474" s="5"/>
      <c r="H474" s="306"/>
      <c r="I474" s="306"/>
      <c r="J474" s="5"/>
      <c r="K474" s="5"/>
      <c r="L474" s="5"/>
      <c r="M474" s="5"/>
      <c r="N474" s="5"/>
      <c r="O474" s="5"/>
      <c r="P474" s="57"/>
      <c r="Q474" s="5"/>
      <c r="R474" s="5"/>
      <c r="S474" s="5"/>
      <c r="T474" s="5"/>
      <c r="U474" s="5"/>
      <c r="V474" s="5"/>
      <c r="W474" s="5"/>
      <c r="X474" s="5"/>
      <c r="Y474" s="5"/>
      <c r="Z474" s="5"/>
      <c r="AA474" s="5"/>
    </row>
    <row r="475" spans="1:27" ht="12.75" customHeight="1">
      <c r="A475" s="5"/>
      <c r="B475" s="5"/>
      <c r="C475" s="5"/>
      <c r="D475" s="5"/>
      <c r="E475" s="5"/>
      <c r="F475" s="5"/>
      <c r="G475" s="5"/>
      <c r="H475" s="306"/>
      <c r="I475" s="306"/>
      <c r="J475" s="5"/>
      <c r="K475" s="5"/>
      <c r="L475" s="5"/>
      <c r="M475" s="5"/>
      <c r="N475" s="5"/>
      <c r="O475" s="5"/>
      <c r="P475" s="57"/>
      <c r="Q475" s="5"/>
      <c r="R475" s="5"/>
      <c r="S475" s="5"/>
      <c r="T475" s="5"/>
      <c r="U475" s="5"/>
      <c r="V475" s="5"/>
      <c r="W475" s="5"/>
      <c r="X475" s="5"/>
      <c r="Y475" s="5"/>
      <c r="Z475" s="5"/>
      <c r="AA475" s="5"/>
    </row>
    <row r="476" spans="1:27" ht="12.75" customHeight="1">
      <c r="A476" s="5"/>
      <c r="B476" s="5"/>
      <c r="C476" s="5"/>
      <c r="D476" s="5"/>
      <c r="E476" s="5"/>
      <c r="F476" s="5"/>
      <c r="G476" s="5"/>
      <c r="H476" s="306"/>
      <c r="I476" s="306"/>
      <c r="J476" s="5"/>
      <c r="K476" s="5"/>
      <c r="L476" s="5"/>
      <c r="M476" s="5"/>
      <c r="N476" s="5"/>
      <c r="O476" s="5"/>
      <c r="P476" s="57"/>
      <c r="Q476" s="5"/>
      <c r="R476" s="5"/>
      <c r="S476" s="5"/>
      <c r="T476" s="5"/>
      <c r="U476" s="5"/>
      <c r="V476" s="5"/>
      <c r="W476" s="5"/>
      <c r="X476" s="5"/>
      <c r="Y476" s="5"/>
      <c r="Z476" s="5"/>
      <c r="AA476" s="5"/>
    </row>
    <row r="477" spans="1:27" ht="12.75" customHeight="1">
      <c r="A477" s="5"/>
      <c r="B477" s="5"/>
      <c r="C477" s="5"/>
      <c r="D477" s="5"/>
      <c r="E477" s="5"/>
      <c r="F477" s="5"/>
      <c r="G477" s="5"/>
      <c r="H477" s="306"/>
      <c r="I477" s="306"/>
      <c r="J477" s="5"/>
      <c r="K477" s="5"/>
      <c r="L477" s="5"/>
      <c r="M477" s="5"/>
      <c r="N477" s="5"/>
      <c r="O477" s="5"/>
      <c r="P477" s="57"/>
      <c r="Q477" s="5"/>
      <c r="R477" s="5"/>
      <c r="S477" s="5"/>
      <c r="T477" s="5"/>
      <c r="U477" s="5"/>
      <c r="V477" s="5"/>
      <c r="W477" s="5"/>
      <c r="X477" s="5"/>
      <c r="Y477" s="5"/>
      <c r="Z477" s="5"/>
      <c r="AA477" s="5"/>
    </row>
    <row r="478" spans="1:27" ht="12.75" customHeight="1">
      <c r="A478" s="5"/>
      <c r="B478" s="5"/>
      <c r="C478" s="5"/>
      <c r="D478" s="5"/>
      <c r="E478" s="5"/>
      <c r="F478" s="5"/>
      <c r="G478" s="5"/>
      <c r="H478" s="306"/>
      <c r="I478" s="306"/>
      <c r="J478" s="5"/>
      <c r="K478" s="5"/>
      <c r="L478" s="5"/>
      <c r="M478" s="5"/>
      <c r="N478" s="5"/>
      <c r="O478" s="5"/>
      <c r="P478" s="57"/>
      <c r="Q478" s="5"/>
      <c r="R478" s="5"/>
      <c r="S478" s="5"/>
      <c r="T478" s="5"/>
      <c r="U478" s="5"/>
      <c r="V478" s="5"/>
      <c r="W478" s="5"/>
      <c r="X478" s="5"/>
      <c r="Y478" s="5"/>
      <c r="Z478" s="5"/>
      <c r="AA478" s="5"/>
    </row>
    <row r="479" spans="1:27" ht="12.75" customHeight="1">
      <c r="A479" s="5"/>
      <c r="B479" s="5"/>
      <c r="C479" s="5"/>
      <c r="D479" s="5"/>
      <c r="E479" s="5"/>
      <c r="F479" s="5"/>
      <c r="G479" s="5"/>
      <c r="H479" s="306"/>
      <c r="I479" s="306"/>
      <c r="J479" s="5"/>
      <c r="K479" s="5"/>
      <c r="L479" s="5"/>
      <c r="M479" s="5"/>
      <c r="N479" s="5"/>
      <c r="O479" s="5"/>
      <c r="P479" s="57"/>
      <c r="Q479" s="5"/>
      <c r="R479" s="5"/>
      <c r="S479" s="5"/>
      <c r="T479" s="5"/>
      <c r="U479" s="5"/>
      <c r="V479" s="5"/>
      <c r="W479" s="5"/>
      <c r="X479" s="5"/>
      <c r="Y479" s="5"/>
      <c r="Z479" s="5"/>
      <c r="AA479" s="5"/>
    </row>
    <row r="480" spans="1:27" ht="12.75" customHeight="1">
      <c r="A480" s="5"/>
      <c r="B480" s="5"/>
      <c r="C480" s="5"/>
      <c r="D480" s="5"/>
      <c r="E480" s="5"/>
      <c r="F480" s="5"/>
      <c r="G480" s="5"/>
      <c r="H480" s="306"/>
      <c r="I480" s="306"/>
      <c r="J480" s="5"/>
      <c r="K480" s="5"/>
      <c r="L480" s="5"/>
      <c r="M480" s="5"/>
      <c r="N480" s="5"/>
      <c r="O480" s="5"/>
      <c r="P480" s="57"/>
      <c r="Q480" s="5"/>
      <c r="R480" s="5"/>
      <c r="S480" s="5"/>
      <c r="T480" s="5"/>
      <c r="U480" s="5"/>
      <c r="V480" s="5"/>
      <c r="W480" s="5"/>
      <c r="X480" s="5"/>
      <c r="Y480" s="5"/>
      <c r="Z480" s="5"/>
      <c r="AA480" s="5"/>
    </row>
    <row r="481" spans="1:27" ht="12.75" customHeight="1">
      <c r="A481" s="5"/>
      <c r="B481" s="5"/>
      <c r="C481" s="5"/>
      <c r="D481" s="5"/>
      <c r="E481" s="5"/>
      <c r="F481" s="5"/>
      <c r="G481" s="5"/>
      <c r="H481" s="306"/>
      <c r="I481" s="306"/>
      <c r="J481" s="5"/>
      <c r="K481" s="5"/>
      <c r="L481" s="5"/>
      <c r="M481" s="5"/>
      <c r="N481" s="5"/>
      <c r="O481" s="5"/>
      <c r="P481" s="57"/>
      <c r="Q481" s="5"/>
      <c r="R481" s="5"/>
      <c r="S481" s="5"/>
      <c r="T481" s="5"/>
      <c r="U481" s="5"/>
      <c r="V481" s="5"/>
      <c r="W481" s="5"/>
      <c r="X481" s="5"/>
      <c r="Y481" s="5"/>
      <c r="Z481" s="5"/>
      <c r="AA481" s="5"/>
    </row>
    <row r="482" spans="1:27" ht="12.75" customHeight="1">
      <c r="A482" s="5"/>
      <c r="B482" s="5"/>
      <c r="C482" s="5"/>
      <c r="D482" s="5"/>
      <c r="E482" s="5"/>
      <c r="F482" s="5"/>
      <c r="G482" s="5"/>
      <c r="H482" s="306"/>
      <c r="I482" s="306"/>
      <c r="J482" s="5"/>
      <c r="K482" s="5"/>
      <c r="L482" s="5"/>
      <c r="M482" s="5"/>
      <c r="N482" s="5"/>
      <c r="O482" s="5"/>
      <c r="P482" s="57"/>
      <c r="Q482" s="5"/>
      <c r="R482" s="5"/>
      <c r="S482" s="5"/>
      <c r="T482" s="5"/>
      <c r="U482" s="5"/>
      <c r="V482" s="5"/>
      <c r="W482" s="5"/>
      <c r="X482" s="5"/>
      <c r="Y482" s="5"/>
      <c r="Z482" s="5"/>
      <c r="AA482" s="5"/>
    </row>
    <row r="483" spans="1:27" ht="12.75" customHeight="1">
      <c r="A483" s="5"/>
      <c r="B483" s="5"/>
      <c r="C483" s="5"/>
      <c r="D483" s="5"/>
      <c r="E483" s="5"/>
      <c r="F483" s="5"/>
      <c r="G483" s="5"/>
      <c r="H483" s="306"/>
      <c r="I483" s="306"/>
      <c r="J483" s="5"/>
      <c r="K483" s="5"/>
      <c r="L483" s="5"/>
      <c r="M483" s="5"/>
      <c r="N483" s="5"/>
      <c r="O483" s="5"/>
      <c r="P483" s="57"/>
      <c r="Q483" s="5"/>
      <c r="R483" s="5"/>
      <c r="S483" s="5"/>
      <c r="T483" s="5"/>
      <c r="U483" s="5"/>
      <c r="V483" s="5"/>
      <c r="W483" s="5"/>
      <c r="X483" s="5"/>
      <c r="Y483" s="5"/>
      <c r="Z483" s="5"/>
      <c r="AA483" s="5"/>
    </row>
    <row r="484" spans="1:27" ht="12.75" customHeight="1">
      <c r="A484" s="5"/>
      <c r="B484" s="5"/>
      <c r="C484" s="5"/>
      <c r="D484" s="5"/>
      <c r="E484" s="5"/>
      <c r="F484" s="5"/>
      <c r="G484" s="5"/>
      <c r="H484" s="306"/>
      <c r="I484" s="306"/>
      <c r="J484" s="5"/>
      <c r="K484" s="5"/>
      <c r="L484" s="5"/>
      <c r="M484" s="5"/>
      <c r="N484" s="5"/>
      <c r="O484" s="5"/>
      <c r="P484" s="57"/>
      <c r="Q484" s="5"/>
      <c r="R484" s="5"/>
      <c r="S484" s="5"/>
      <c r="T484" s="5"/>
      <c r="U484" s="5"/>
      <c r="V484" s="5"/>
      <c r="W484" s="5"/>
      <c r="X484" s="5"/>
      <c r="Y484" s="5"/>
      <c r="Z484" s="5"/>
      <c r="AA484" s="5"/>
    </row>
    <row r="485" spans="1:27" ht="12.75" customHeight="1">
      <c r="A485" s="5"/>
      <c r="B485" s="5"/>
      <c r="C485" s="5"/>
      <c r="D485" s="5"/>
      <c r="E485" s="5"/>
      <c r="F485" s="5"/>
      <c r="G485" s="5"/>
      <c r="H485" s="306"/>
      <c r="I485" s="306"/>
      <c r="J485" s="5"/>
      <c r="K485" s="5"/>
      <c r="L485" s="5"/>
      <c r="M485" s="5"/>
      <c r="N485" s="5"/>
      <c r="O485" s="5"/>
      <c r="P485" s="57"/>
      <c r="Q485" s="5"/>
      <c r="R485" s="5"/>
      <c r="S485" s="5"/>
      <c r="T485" s="5"/>
      <c r="U485" s="5"/>
      <c r="V485" s="5"/>
      <c r="W485" s="5"/>
      <c r="X485" s="5"/>
      <c r="Y485" s="5"/>
      <c r="Z485" s="5"/>
      <c r="AA485" s="5"/>
    </row>
    <row r="486" spans="1:27" ht="12.75" customHeight="1">
      <c r="A486" s="5"/>
      <c r="B486" s="5"/>
      <c r="C486" s="5"/>
      <c r="D486" s="5"/>
      <c r="E486" s="5"/>
      <c r="F486" s="5"/>
      <c r="G486" s="5"/>
      <c r="H486" s="306"/>
      <c r="I486" s="306"/>
      <c r="J486" s="5"/>
      <c r="K486" s="5"/>
      <c r="L486" s="5"/>
      <c r="M486" s="5"/>
      <c r="N486" s="5"/>
      <c r="O486" s="5"/>
      <c r="P486" s="57"/>
      <c r="Q486" s="5"/>
      <c r="R486" s="5"/>
      <c r="S486" s="5"/>
      <c r="T486" s="5"/>
      <c r="U486" s="5"/>
      <c r="V486" s="5"/>
      <c r="W486" s="5"/>
      <c r="X486" s="5"/>
      <c r="Y486" s="5"/>
      <c r="Z486" s="5"/>
      <c r="AA486" s="5"/>
    </row>
    <row r="487" spans="1:27" ht="12.75" customHeight="1">
      <c r="A487" s="5"/>
      <c r="B487" s="5"/>
      <c r="C487" s="5"/>
      <c r="D487" s="5"/>
      <c r="E487" s="5"/>
      <c r="F487" s="5"/>
      <c r="G487" s="5"/>
      <c r="H487" s="306"/>
      <c r="I487" s="306"/>
      <c r="J487" s="5"/>
      <c r="K487" s="5"/>
      <c r="L487" s="5"/>
      <c r="M487" s="5"/>
      <c r="N487" s="5"/>
      <c r="O487" s="5"/>
      <c r="P487" s="57"/>
      <c r="Q487" s="5"/>
      <c r="R487" s="5"/>
      <c r="S487" s="5"/>
      <c r="T487" s="5"/>
      <c r="U487" s="5"/>
      <c r="V487" s="5"/>
      <c r="W487" s="5"/>
      <c r="X487" s="5"/>
      <c r="Y487" s="5"/>
      <c r="Z487" s="5"/>
      <c r="AA487" s="5"/>
    </row>
    <row r="488" spans="1:27" ht="12.75" customHeight="1">
      <c r="A488" s="5"/>
      <c r="B488" s="5"/>
      <c r="C488" s="5"/>
      <c r="D488" s="5"/>
      <c r="E488" s="5"/>
      <c r="F488" s="5"/>
      <c r="G488" s="5"/>
      <c r="H488" s="306"/>
      <c r="I488" s="306"/>
      <c r="J488" s="5"/>
      <c r="K488" s="5"/>
      <c r="L488" s="5"/>
      <c r="M488" s="5"/>
      <c r="N488" s="5"/>
      <c r="O488" s="5"/>
      <c r="P488" s="57"/>
      <c r="Q488" s="5"/>
      <c r="R488" s="5"/>
      <c r="S488" s="5"/>
      <c r="T488" s="5"/>
      <c r="U488" s="5"/>
      <c r="V488" s="5"/>
      <c r="W488" s="5"/>
      <c r="X488" s="5"/>
      <c r="Y488" s="5"/>
      <c r="Z488" s="5"/>
      <c r="AA488" s="5"/>
    </row>
    <row r="489" spans="1:27" ht="12.75" customHeight="1">
      <c r="A489" s="5"/>
      <c r="B489" s="5"/>
      <c r="C489" s="5"/>
      <c r="D489" s="5"/>
      <c r="E489" s="5"/>
      <c r="F489" s="5"/>
      <c r="G489" s="5"/>
      <c r="H489" s="306"/>
      <c r="I489" s="306"/>
      <c r="J489" s="5"/>
      <c r="K489" s="5"/>
      <c r="L489" s="5"/>
      <c r="M489" s="5"/>
      <c r="N489" s="5"/>
      <c r="O489" s="5"/>
      <c r="P489" s="57"/>
      <c r="Q489" s="5"/>
      <c r="R489" s="5"/>
      <c r="S489" s="5"/>
      <c r="T489" s="5"/>
      <c r="U489" s="5"/>
      <c r="V489" s="5"/>
      <c r="W489" s="5"/>
      <c r="X489" s="5"/>
      <c r="Y489" s="5"/>
      <c r="Z489" s="5"/>
      <c r="AA489" s="5"/>
    </row>
    <row r="490" spans="1:27" ht="12.75" customHeight="1">
      <c r="A490" s="5"/>
      <c r="B490" s="5"/>
      <c r="C490" s="5"/>
      <c r="D490" s="5"/>
      <c r="E490" s="5"/>
      <c r="F490" s="5"/>
      <c r="G490" s="5"/>
      <c r="H490" s="306"/>
      <c r="I490" s="306"/>
      <c r="J490" s="5"/>
      <c r="K490" s="5"/>
      <c r="L490" s="5"/>
      <c r="M490" s="5"/>
      <c r="N490" s="5"/>
      <c r="O490" s="5"/>
      <c r="P490" s="57"/>
      <c r="Q490" s="5"/>
      <c r="R490" s="5"/>
      <c r="S490" s="5"/>
      <c r="T490" s="5"/>
      <c r="U490" s="5"/>
      <c r="V490" s="5"/>
      <c r="W490" s="5"/>
      <c r="X490" s="5"/>
      <c r="Y490" s="5"/>
      <c r="Z490" s="5"/>
      <c r="AA490" s="5"/>
    </row>
    <row r="491" spans="1:27" ht="12.75" customHeight="1">
      <c r="A491" s="5"/>
      <c r="B491" s="5"/>
      <c r="C491" s="5"/>
      <c r="D491" s="5"/>
      <c r="E491" s="5"/>
      <c r="F491" s="5"/>
      <c r="G491" s="5"/>
      <c r="H491" s="306"/>
      <c r="I491" s="306"/>
      <c r="J491" s="5"/>
      <c r="K491" s="5"/>
      <c r="L491" s="5"/>
      <c r="M491" s="5"/>
      <c r="N491" s="5"/>
      <c r="O491" s="5"/>
      <c r="P491" s="57"/>
      <c r="Q491" s="5"/>
      <c r="R491" s="5"/>
      <c r="S491" s="5"/>
      <c r="T491" s="5"/>
      <c r="U491" s="5"/>
      <c r="V491" s="5"/>
      <c r="W491" s="5"/>
      <c r="X491" s="5"/>
      <c r="Y491" s="5"/>
      <c r="Z491" s="5"/>
      <c r="AA491" s="5"/>
    </row>
    <row r="492" spans="1:27" ht="12.75" customHeight="1">
      <c r="A492" s="5"/>
      <c r="B492" s="5"/>
      <c r="C492" s="5"/>
      <c r="D492" s="5"/>
      <c r="E492" s="5"/>
      <c r="F492" s="5"/>
      <c r="G492" s="5"/>
      <c r="H492" s="306"/>
      <c r="I492" s="306"/>
      <c r="J492" s="5"/>
      <c r="K492" s="5"/>
      <c r="L492" s="5"/>
      <c r="M492" s="5"/>
      <c r="N492" s="5"/>
      <c r="O492" s="5"/>
      <c r="P492" s="57"/>
      <c r="Q492" s="5"/>
      <c r="R492" s="5"/>
      <c r="S492" s="5"/>
      <c r="T492" s="5"/>
      <c r="U492" s="5"/>
      <c r="V492" s="5"/>
      <c r="W492" s="5"/>
      <c r="X492" s="5"/>
      <c r="Y492" s="5"/>
      <c r="Z492" s="5"/>
      <c r="AA492" s="5"/>
    </row>
    <row r="493" spans="1:27" ht="12.75" customHeight="1">
      <c r="A493" s="5"/>
      <c r="B493" s="5"/>
      <c r="C493" s="5"/>
      <c r="D493" s="5"/>
      <c r="E493" s="5"/>
      <c r="F493" s="5"/>
      <c r="G493" s="5"/>
      <c r="H493" s="306"/>
      <c r="I493" s="306"/>
      <c r="J493" s="5"/>
      <c r="K493" s="5"/>
      <c r="L493" s="5"/>
      <c r="M493" s="5"/>
      <c r="N493" s="5"/>
      <c r="O493" s="5"/>
      <c r="P493" s="57"/>
      <c r="Q493" s="5"/>
      <c r="R493" s="5"/>
      <c r="S493" s="5"/>
      <c r="T493" s="5"/>
      <c r="U493" s="5"/>
      <c r="V493" s="5"/>
      <c r="W493" s="5"/>
      <c r="X493" s="5"/>
      <c r="Y493" s="5"/>
      <c r="Z493" s="5"/>
      <c r="AA493" s="5"/>
    </row>
    <row r="494" spans="1:27" ht="12.75" customHeight="1">
      <c r="A494" s="5"/>
      <c r="B494" s="5"/>
      <c r="C494" s="5"/>
      <c r="D494" s="5"/>
      <c r="E494" s="5"/>
      <c r="F494" s="5"/>
      <c r="G494" s="5"/>
      <c r="H494" s="306"/>
      <c r="I494" s="306"/>
      <c r="J494" s="5"/>
      <c r="K494" s="5"/>
      <c r="L494" s="5"/>
      <c r="M494" s="5"/>
      <c r="N494" s="5"/>
      <c r="O494" s="5"/>
      <c r="P494" s="57"/>
      <c r="Q494" s="5"/>
      <c r="R494" s="5"/>
      <c r="S494" s="5"/>
      <c r="T494" s="5"/>
      <c r="U494" s="5"/>
      <c r="V494" s="5"/>
      <c r="W494" s="5"/>
      <c r="X494" s="5"/>
      <c r="Y494" s="5"/>
      <c r="Z494" s="5"/>
      <c r="AA494" s="5"/>
    </row>
    <row r="495" spans="1:27" ht="12.75" customHeight="1">
      <c r="A495" s="5"/>
      <c r="B495" s="5"/>
      <c r="C495" s="5"/>
      <c r="D495" s="5"/>
      <c r="E495" s="5"/>
      <c r="F495" s="5"/>
      <c r="G495" s="5"/>
      <c r="H495" s="306"/>
      <c r="I495" s="306"/>
      <c r="J495" s="5"/>
      <c r="K495" s="5"/>
      <c r="L495" s="5"/>
      <c r="M495" s="5"/>
      <c r="N495" s="5"/>
      <c r="O495" s="5"/>
      <c r="P495" s="57"/>
      <c r="Q495" s="5"/>
      <c r="R495" s="5"/>
      <c r="S495" s="5"/>
      <c r="T495" s="5"/>
      <c r="U495" s="5"/>
      <c r="V495" s="5"/>
      <c r="W495" s="5"/>
      <c r="X495" s="5"/>
      <c r="Y495" s="5"/>
      <c r="Z495" s="5"/>
      <c r="AA495" s="5"/>
    </row>
    <row r="496" spans="1:27" ht="12.75" customHeight="1">
      <c r="A496" s="5"/>
      <c r="B496" s="5"/>
      <c r="C496" s="5"/>
      <c r="D496" s="5"/>
      <c r="E496" s="5"/>
      <c r="F496" s="5"/>
      <c r="G496" s="5"/>
      <c r="H496" s="306"/>
      <c r="I496" s="306"/>
      <c r="J496" s="5"/>
      <c r="K496" s="5"/>
      <c r="L496" s="5"/>
      <c r="M496" s="5"/>
      <c r="N496" s="5"/>
      <c r="O496" s="5"/>
      <c r="P496" s="57"/>
      <c r="Q496" s="5"/>
      <c r="R496" s="5"/>
      <c r="S496" s="5"/>
      <c r="T496" s="5"/>
      <c r="U496" s="5"/>
      <c r="V496" s="5"/>
      <c r="W496" s="5"/>
      <c r="X496" s="5"/>
      <c r="Y496" s="5"/>
      <c r="Z496" s="5"/>
      <c r="AA496" s="5"/>
    </row>
    <row r="497" spans="1:27" ht="12.75" customHeight="1">
      <c r="A497" s="5"/>
      <c r="B497" s="5"/>
      <c r="C497" s="5"/>
      <c r="D497" s="5"/>
      <c r="E497" s="5"/>
      <c r="F497" s="5"/>
      <c r="G497" s="5"/>
      <c r="H497" s="306"/>
      <c r="I497" s="306"/>
      <c r="J497" s="5"/>
      <c r="K497" s="5"/>
      <c r="L497" s="5"/>
      <c r="M497" s="5"/>
      <c r="N497" s="5"/>
      <c r="O497" s="5"/>
      <c r="P497" s="57"/>
      <c r="Q497" s="5"/>
      <c r="R497" s="5"/>
      <c r="S497" s="5"/>
      <c r="T497" s="5"/>
      <c r="U497" s="5"/>
      <c r="V497" s="5"/>
      <c r="W497" s="5"/>
      <c r="X497" s="5"/>
      <c r="Y497" s="5"/>
      <c r="Z497" s="5"/>
      <c r="AA497" s="5"/>
    </row>
    <row r="498" spans="1:27" ht="12.75" customHeight="1">
      <c r="A498" s="5"/>
      <c r="B498" s="5"/>
      <c r="C498" s="5"/>
      <c r="D498" s="5"/>
      <c r="E498" s="5"/>
      <c r="F498" s="5"/>
      <c r="G498" s="5"/>
      <c r="H498" s="306"/>
      <c r="I498" s="306"/>
      <c r="J498" s="5"/>
      <c r="K498" s="5"/>
      <c r="L498" s="5"/>
      <c r="M498" s="5"/>
      <c r="N498" s="5"/>
      <c r="O498" s="5"/>
      <c r="P498" s="57"/>
      <c r="Q498" s="5"/>
      <c r="R498" s="5"/>
      <c r="S498" s="5"/>
      <c r="T498" s="5"/>
      <c r="U498" s="5"/>
      <c r="V498" s="5"/>
      <c r="W498" s="5"/>
      <c r="X498" s="5"/>
      <c r="Y498" s="5"/>
      <c r="Z498" s="5"/>
      <c r="AA498" s="5"/>
    </row>
    <row r="499" spans="1:27" ht="12.75" customHeight="1">
      <c r="A499" s="5"/>
      <c r="B499" s="5"/>
      <c r="C499" s="5"/>
      <c r="D499" s="5"/>
      <c r="E499" s="5"/>
      <c r="F499" s="5"/>
      <c r="G499" s="5"/>
      <c r="H499" s="306"/>
      <c r="I499" s="306"/>
      <c r="J499" s="5"/>
      <c r="K499" s="5"/>
      <c r="L499" s="5"/>
      <c r="M499" s="5"/>
      <c r="N499" s="5"/>
      <c r="O499" s="5"/>
      <c r="P499" s="57"/>
      <c r="Q499" s="5"/>
      <c r="R499" s="5"/>
      <c r="S499" s="5"/>
      <c r="T499" s="5"/>
      <c r="U499" s="5"/>
      <c r="V499" s="5"/>
      <c r="W499" s="5"/>
      <c r="X499" s="5"/>
      <c r="Y499" s="5"/>
      <c r="Z499" s="5"/>
      <c r="AA499" s="5"/>
    </row>
    <row r="500" spans="1:27" ht="12.75" customHeight="1">
      <c r="A500" s="5"/>
      <c r="B500" s="5"/>
      <c r="C500" s="5"/>
      <c r="D500" s="5"/>
      <c r="E500" s="5"/>
      <c r="F500" s="5"/>
      <c r="G500" s="5"/>
      <c r="H500" s="306"/>
      <c r="I500" s="306"/>
      <c r="J500" s="5"/>
      <c r="K500" s="5"/>
      <c r="L500" s="5"/>
      <c r="M500" s="5"/>
      <c r="N500" s="5"/>
      <c r="O500" s="5"/>
      <c r="P500" s="57"/>
      <c r="Q500" s="5"/>
      <c r="R500" s="5"/>
      <c r="S500" s="5"/>
      <c r="T500" s="5"/>
      <c r="U500" s="5"/>
      <c r="V500" s="5"/>
      <c r="W500" s="5"/>
      <c r="X500" s="5"/>
      <c r="Y500" s="5"/>
      <c r="Z500" s="5"/>
      <c r="AA500" s="5"/>
    </row>
    <row r="501" spans="1:27" ht="12.75" customHeight="1">
      <c r="A501" s="5"/>
      <c r="B501" s="5"/>
      <c r="C501" s="5"/>
      <c r="D501" s="5"/>
      <c r="E501" s="5"/>
      <c r="F501" s="5"/>
      <c r="G501" s="5"/>
      <c r="H501" s="306"/>
      <c r="I501" s="306"/>
      <c r="J501" s="5"/>
      <c r="K501" s="5"/>
      <c r="L501" s="5"/>
      <c r="M501" s="5"/>
      <c r="N501" s="5"/>
      <c r="O501" s="5"/>
      <c r="P501" s="57"/>
      <c r="Q501" s="5"/>
      <c r="R501" s="5"/>
      <c r="S501" s="5"/>
      <c r="T501" s="5"/>
      <c r="U501" s="5"/>
      <c r="V501" s="5"/>
      <c r="W501" s="5"/>
      <c r="X501" s="5"/>
      <c r="Y501" s="5"/>
      <c r="Z501" s="5"/>
      <c r="AA501" s="5"/>
    </row>
    <row r="502" spans="1:27" ht="12.75" customHeight="1">
      <c r="A502" s="5"/>
      <c r="B502" s="5"/>
      <c r="C502" s="5"/>
      <c r="D502" s="5"/>
      <c r="E502" s="5"/>
      <c r="F502" s="5"/>
      <c r="G502" s="5"/>
      <c r="H502" s="306"/>
      <c r="I502" s="306"/>
      <c r="J502" s="5"/>
      <c r="K502" s="5"/>
      <c r="L502" s="5"/>
      <c r="M502" s="5"/>
      <c r="N502" s="5"/>
      <c r="O502" s="5"/>
      <c r="P502" s="57"/>
      <c r="Q502" s="5"/>
      <c r="R502" s="5"/>
      <c r="S502" s="5"/>
      <c r="T502" s="5"/>
      <c r="U502" s="5"/>
      <c r="V502" s="5"/>
      <c r="W502" s="5"/>
      <c r="X502" s="5"/>
      <c r="Y502" s="5"/>
      <c r="Z502" s="5"/>
      <c r="AA502" s="5"/>
    </row>
    <row r="503" spans="1:27" ht="12.75" customHeight="1">
      <c r="A503" s="5"/>
      <c r="B503" s="5"/>
      <c r="C503" s="5"/>
      <c r="D503" s="5"/>
      <c r="E503" s="5"/>
      <c r="F503" s="5"/>
      <c r="G503" s="5"/>
      <c r="H503" s="306"/>
      <c r="I503" s="306"/>
      <c r="J503" s="5"/>
      <c r="K503" s="5"/>
      <c r="L503" s="5"/>
      <c r="M503" s="5"/>
      <c r="N503" s="5"/>
      <c r="O503" s="5"/>
      <c r="P503" s="57"/>
      <c r="Q503" s="5"/>
      <c r="R503" s="5"/>
      <c r="S503" s="5"/>
      <c r="T503" s="5"/>
      <c r="U503" s="5"/>
      <c r="V503" s="5"/>
      <c r="W503" s="5"/>
      <c r="X503" s="5"/>
      <c r="Y503" s="5"/>
      <c r="Z503" s="5"/>
      <c r="AA503" s="5"/>
    </row>
    <row r="504" spans="1:27" ht="12.75" customHeight="1">
      <c r="A504" s="5"/>
      <c r="B504" s="5"/>
      <c r="C504" s="5"/>
      <c r="D504" s="5"/>
      <c r="E504" s="5"/>
      <c r="F504" s="5"/>
      <c r="G504" s="5"/>
      <c r="H504" s="306"/>
      <c r="I504" s="306"/>
      <c r="J504" s="5"/>
      <c r="K504" s="5"/>
      <c r="L504" s="5"/>
      <c r="M504" s="5"/>
      <c r="N504" s="5"/>
      <c r="O504" s="5"/>
      <c r="P504" s="57"/>
      <c r="Q504" s="5"/>
      <c r="R504" s="5"/>
      <c r="S504" s="5"/>
      <c r="T504" s="5"/>
      <c r="U504" s="5"/>
      <c r="V504" s="5"/>
      <c r="W504" s="5"/>
      <c r="X504" s="5"/>
      <c r="Y504" s="5"/>
      <c r="Z504" s="5"/>
      <c r="AA504" s="5"/>
    </row>
    <row r="505" spans="1:27" ht="12.75" customHeight="1">
      <c r="A505" s="5"/>
      <c r="B505" s="5"/>
      <c r="C505" s="5"/>
      <c r="D505" s="5"/>
      <c r="E505" s="5"/>
      <c r="F505" s="5"/>
      <c r="G505" s="5"/>
      <c r="H505" s="306"/>
      <c r="I505" s="306"/>
      <c r="J505" s="5"/>
      <c r="K505" s="5"/>
      <c r="L505" s="5"/>
      <c r="M505" s="5"/>
      <c r="N505" s="5"/>
      <c r="O505" s="5"/>
      <c r="P505" s="57"/>
      <c r="Q505" s="5"/>
      <c r="R505" s="5"/>
      <c r="S505" s="5"/>
      <c r="T505" s="5"/>
      <c r="U505" s="5"/>
      <c r="V505" s="5"/>
      <c r="W505" s="5"/>
      <c r="X505" s="5"/>
      <c r="Y505" s="5"/>
      <c r="Z505" s="5"/>
      <c r="AA505" s="5"/>
    </row>
    <row r="506" spans="1:27" ht="12.75" customHeight="1">
      <c r="A506" s="5"/>
      <c r="B506" s="5"/>
      <c r="C506" s="5"/>
      <c r="D506" s="5"/>
      <c r="E506" s="5"/>
      <c r="F506" s="5"/>
      <c r="G506" s="5"/>
      <c r="H506" s="306"/>
      <c r="I506" s="306"/>
      <c r="J506" s="5"/>
      <c r="K506" s="5"/>
      <c r="L506" s="5"/>
      <c r="M506" s="5"/>
      <c r="N506" s="5"/>
      <c r="O506" s="5"/>
      <c r="P506" s="57"/>
      <c r="Q506" s="5"/>
      <c r="R506" s="5"/>
      <c r="S506" s="5"/>
      <c r="T506" s="5"/>
      <c r="U506" s="5"/>
      <c r="V506" s="5"/>
      <c r="W506" s="5"/>
      <c r="X506" s="5"/>
      <c r="Y506" s="5"/>
      <c r="Z506" s="5"/>
      <c r="AA506" s="5"/>
    </row>
    <row r="507" spans="1:27" ht="12.75" customHeight="1">
      <c r="A507" s="5"/>
      <c r="B507" s="5"/>
      <c r="C507" s="5"/>
      <c r="D507" s="5"/>
      <c r="E507" s="5"/>
      <c r="F507" s="5"/>
      <c r="G507" s="5"/>
      <c r="H507" s="306"/>
      <c r="I507" s="306"/>
      <c r="J507" s="5"/>
      <c r="K507" s="5"/>
      <c r="L507" s="5"/>
      <c r="M507" s="5"/>
      <c r="N507" s="5"/>
      <c r="O507" s="5"/>
      <c r="P507" s="57"/>
      <c r="Q507" s="5"/>
      <c r="R507" s="5"/>
      <c r="S507" s="5"/>
      <c r="T507" s="5"/>
      <c r="U507" s="5"/>
      <c r="V507" s="5"/>
      <c r="W507" s="5"/>
      <c r="X507" s="5"/>
      <c r="Y507" s="5"/>
      <c r="Z507" s="5"/>
      <c r="AA507" s="5"/>
    </row>
    <row r="508" spans="1:27" ht="12.75" customHeight="1">
      <c r="A508" s="5"/>
      <c r="B508" s="5"/>
      <c r="C508" s="5"/>
      <c r="D508" s="5"/>
      <c r="E508" s="5"/>
      <c r="F508" s="5"/>
      <c r="G508" s="5"/>
      <c r="H508" s="306"/>
      <c r="I508" s="306"/>
      <c r="J508" s="5"/>
      <c r="K508" s="5"/>
      <c r="L508" s="5"/>
      <c r="M508" s="5"/>
      <c r="N508" s="5"/>
      <c r="O508" s="5"/>
      <c r="P508" s="57"/>
      <c r="Q508" s="5"/>
      <c r="R508" s="5"/>
      <c r="S508" s="5"/>
      <c r="T508" s="5"/>
      <c r="U508" s="5"/>
      <c r="V508" s="5"/>
      <c r="W508" s="5"/>
      <c r="X508" s="5"/>
      <c r="Y508" s="5"/>
      <c r="Z508" s="5"/>
      <c r="AA508" s="5"/>
    </row>
    <row r="509" spans="1:27" ht="12.75" customHeight="1">
      <c r="A509" s="5"/>
      <c r="B509" s="5"/>
      <c r="C509" s="5"/>
      <c r="D509" s="5"/>
      <c r="E509" s="5"/>
      <c r="F509" s="5"/>
      <c r="G509" s="5"/>
      <c r="H509" s="306"/>
      <c r="I509" s="306"/>
      <c r="J509" s="5"/>
      <c r="K509" s="5"/>
      <c r="L509" s="5"/>
      <c r="M509" s="5"/>
      <c r="N509" s="5"/>
      <c r="O509" s="5"/>
      <c r="P509" s="57"/>
      <c r="Q509" s="5"/>
      <c r="R509" s="5"/>
      <c r="S509" s="5"/>
      <c r="T509" s="5"/>
      <c r="U509" s="5"/>
      <c r="V509" s="5"/>
      <c r="W509" s="5"/>
      <c r="X509" s="5"/>
      <c r="Y509" s="5"/>
      <c r="Z509" s="5"/>
      <c r="AA509" s="5"/>
    </row>
    <row r="510" spans="1:27" ht="12.75" customHeight="1">
      <c r="A510" s="5"/>
      <c r="B510" s="5"/>
      <c r="C510" s="5"/>
      <c r="D510" s="5"/>
      <c r="E510" s="5"/>
      <c r="F510" s="5"/>
      <c r="G510" s="5"/>
      <c r="H510" s="306"/>
      <c r="I510" s="306"/>
      <c r="J510" s="5"/>
      <c r="K510" s="5"/>
      <c r="L510" s="5"/>
      <c r="M510" s="5"/>
      <c r="N510" s="5"/>
      <c r="O510" s="5"/>
      <c r="P510" s="57"/>
      <c r="Q510" s="5"/>
      <c r="R510" s="5"/>
      <c r="S510" s="5"/>
      <c r="T510" s="5"/>
      <c r="U510" s="5"/>
      <c r="V510" s="5"/>
      <c r="W510" s="5"/>
      <c r="X510" s="5"/>
      <c r="Y510" s="5"/>
      <c r="Z510" s="5"/>
      <c r="AA510" s="5"/>
    </row>
    <row r="511" spans="1:27" ht="12.75" customHeight="1">
      <c r="A511" s="5"/>
      <c r="B511" s="5"/>
      <c r="C511" s="5"/>
      <c r="D511" s="5"/>
      <c r="E511" s="5"/>
      <c r="F511" s="5"/>
      <c r="G511" s="5"/>
      <c r="H511" s="306"/>
      <c r="I511" s="306"/>
      <c r="J511" s="5"/>
      <c r="K511" s="5"/>
      <c r="L511" s="5"/>
      <c r="M511" s="5"/>
      <c r="N511" s="5"/>
      <c r="O511" s="5"/>
      <c r="P511" s="57"/>
      <c r="Q511" s="5"/>
      <c r="R511" s="5"/>
      <c r="S511" s="5"/>
      <c r="T511" s="5"/>
      <c r="U511" s="5"/>
      <c r="V511" s="5"/>
      <c r="W511" s="5"/>
      <c r="X511" s="5"/>
      <c r="Y511" s="5"/>
      <c r="Z511" s="5"/>
      <c r="AA511" s="5"/>
    </row>
    <row r="512" spans="1:27" ht="12.75" customHeight="1">
      <c r="A512" s="5"/>
      <c r="B512" s="5"/>
      <c r="C512" s="5"/>
      <c r="D512" s="5"/>
      <c r="E512" s="5"/>
      <c r="F512" s="5"/>
      <c r="G512" s="5"/>
      <c r="H512" s="306"/>
      <c r="I512" s="306"/>
      <c r="J512" s="5"/>
      <c r="K512" s="5"/>
      <c r="L512" s="5"/>
      <c r="M512" s="5"/>
      <c r="N512" s="5"/>
      <c r="O512" s="5"/>
      <c r="P512" s="57"/>
      <c r="Q512" s="5"/>
      <c r="R512" s="5"/>
      <c r="S512" s="5"/>
      <c r="T512" s="5"/>
      <c r="U512" s="5"/>
      <c r="V512" s="5"/>
      <c r="W512" s="5"/>
      <c r="X512" s="5"/>
      <c r="Y512" s="5"/>
      <c r="Z512" s="5"/>
      <c r="AA512" s="5"/>
    </row>
    <row r="513" spans="1:27" ht="12.75" customHeight="1">
      <c r="A513" s="5"/>
      <c r="B513" s="5"/>
      <c r="C513" s="5"/>
      <c r="D513" s="5"/>
      <c r="E513" s="5"/>
      <c r="F513" s="5"/>
      <c r="G513" s="5"/>
      <c r="H513" s="306"/>
      <c r="I513" s="306"/>
      <c r="J513" s="5"/>
      <c r="K513" s="5"/>
      <c r="L513" s="5"/>
      <c r="M513" s="5"/>
      <c r="N513" s="5"/>
      <c r="O513" s="5"/>
      <c r="P513" s="57"/>
      <c r="Q513" s="5"/>
      <c r="R513" s="5"/>
      <c r="S513" s="5"/>
      <c r="T513" s="5"/>
      <c r="U513" s="5"/>
      <c r="V513" s="5"/>
      <c r="W513" s="5"/>
      <c r="X513" s="5"/>
      <c r="Y513" s="5"/>
      <c r="Z513" s="5"/>
      <c r="AA513" s="5"/>
    </row>
    <row r="514" spans="1:27" ht="12.75" customHeight="1">
      <c r="A514" s="5"/>
      <c r="B514" s="5"/>
      <c r="C514" s="5"/>
      <c r="D514" s="5"/>
      <c r="E514" s="5"/>
      <c r="F514" s="5"/>
      <c r="G514" s="5"/>
      <c r="H514" s="306"/>
      <c r="I514" s="306"/>
      <c r="J514" s="5"/>
      <c r="K514" s="5"/>
      <c r="L514" s="5"/>
      <c r="M514" s="5"/>
      <c r="N514" s="5"/>
      <c r="O514" s="5"/>
      <c r="P514" s="57"/>
      <c r="Q514" s="5"/>
      <c r="R514" s="5"/>
      <c r="S514" s="5"/>
      <c r="T514" s="5"/>
      <c r="U514" s="5"/>
      <c r="V514" s="5"/>
      <c r="W514" s="5"/>
      <c r="X514" s="5"/>
      <c r="Y514" s="5"/>
      <c r="Z514" s="5"/>
      <c r="AA514" s="5"/>
    </row>
    <row r="515" spans="1:27" ht="12.75" customHeight="1">
      <c r="A515" s="5"/>
      <c r="B515" s="5"/>
      <c r="C515" s="5"/>
      <c r="D515" s="5"/>
      <c r="E515" s="5"/>
      <c r="F515" s="5"/>
      <c r="G515" s="5"/>
      <c r="H515" s="306"/>
      <c r="I515" s="306"/>
      <c r="J515" s="5"/>
      <c r="K515" s="5"/>
      <c r="L515" s="5"/>
      <c r="M515" s="5"/>
      <c r="N515" s="5"/>
      <c r="O515" s="5"/>
      <c r="P515" s="57"/>
      <c r="Q515" s="5"/>
      <c r="R515" s="5"/>
      <c r="S515" s="5"/>
      <c r="T515" s="5"/>
      <c r="U515" s="5"/>
      <c r="V515" s="5"/>
      <c r="W515" s="5"/>
      <c r="X515" s="5"/>
      <c r="Y515" s="5"/>
      <c r="Z515" s="5"/>
      <c r="AA515" s="5"/>
    </row>
    <row r="516" spans="1:27" ht="12.75" customHeight="1">
      <c r="A516" s="5"/>
      <c r="B516" s="5"/>
      <c r="C516" s="5"/>
      <c r="D516" s="5"/>
      <c r="E516" s="5"/>
      <c r="F516" s="5"/>
      <c r="G516" s="5"/>
      <c r="H516" s="306"/>
      <c r="I516" s="306"/>
      <c r="J516" s="5"/>
      <c r="K516" s="5"/>
      <c r="L516" s="5"/>
      <c r="M516" s="5"/>
      <c r="N516" s="5"/>
      <c r="O516" s="5"/>
      <c r="P516" s="57"/>
      <c r="Q516" s="5"/>
      <c r="R516" s="5"/>
      <c r="S516" s="5"/>
      <c r="T516" s="5"/>
      <c r="U516" s="5"/>
      <c r="V516" s="5"/>
      <c r="W516" s="5"/>
      <c r="X516" s="5"/>
      <c r="Y516" s="5"/>
      <c r="Z516" s="5"/>
      <c r="AA516" s="5"/>
    </row>
    <row r="517" spans="1:27" ht="12.75" customHeight="1">
      <c r="A517" s="5"/>
      <c r="B517" s="5"/>
      <c r="C517" s="5"/>
      <c r="D517" s="5"/>
      <c r="E517" s="5"/>
      <c r="F517" s="5"/>
      <c r="G517" s="5"/>
      <c r="H517" s="306"/>
      <c r="I517" s="306"/>
      <c r="J517" s="5"/>
      <c r="K517" s="5"/>
      <c r="L517" s="5"/>
      <c r="M517" s="5"/>
      <c r="N517" s="5"/>
      <c r="O517" s="5"/>
      <c r="P517" s="57"/>
      <c r="Q517" s="5"/>
      <c r="R517" s="5"/>
      <c r="S517" s="5"/>
      <c r="T517" s="5"/>
      <c r="U517" s="5"/>
      <c r="V517" s="5"/>
      <c r="W517" s="5"/>
      <c r="X517" s="5"/>
      <c r="Y517" s="5"/>
      <c r="Z517" s="5"/>
      <c r="AA517" s="5"/>
    </row>
    <row r="518" spans="1:27" ht="12.75" customHeight="1">
      <c r="A518" s="5"/>
      <c r="B518" s="5"/>
      <c r="C518" s="5"/>
      <c r="D518" s="5"/>
      <c r="E518" s="5"/>
      <c r="F518" s="5"/>
      <c r="G518" s="5"/>
      <c r="H518" s="306"/>
      <c r="I518" s="306"/>
      <c r="J518" s="5"/>
      <c r="K518" s="5"/>
      <c r="L518" s="5"/>
      <c r="M518" s="5"/>
      <c r="N518" s="5"/>
      <c r="O518" s="5"/>
      <c r="P518" s="57"/>
      <c r="Q518" s="5"/>
      <c r="R518" s="5"/>
      <c r="S518" s="5"/>
      <c r="T518" s="5"/>
      <c r="U518" s="5"/>
      <c r="V518" s="5"/>
      <c r="W518" s="5"/>
      <c r="X518" s="5"/>
      <c r="Y518" s="5"/>
      <c r="Z518" s="5"/>
      <c r="AA518" s="5"/>
    </row>
    <row r="519" spans="1:27" ht="12.75" customHeight="1">
      <c r="A519" s="5"/>
      <c r="B519" s="5"/>
      <c r="C519" s="5"/>
      <c r="D519" s="5"/>
      <c r="E519" s="5"/>
      <c r="F519" s="5"/>
      <c r="G519" s="5"/>
      <c r="H519" s="306"/>
      <c r="I519" s="306"/>
      <c r="J519" s="5"/>
      <c r="K519" s="5"/>
      <c r="L519" s="5"/>
      <c r="M519" s="5"/>
      <c r="N519" s="5"/>
      <c r="O519" s="5"/>
      <c r="P519" s="57"/>
      <c r="Q519" s="5"/>
      <c r="R519" s="5"/>
      <c r="S519" s="5"/>
      <c r="T519" s="5"/>
      <c r="U519" s="5"/>
      <c r="V519" s="5"/>
      <c r="W519" s="5"/>
      <c r="X519" s="5"/>
      <c r="Y519" s="5"/>
      <c r="Z519" s="5"/>
      <c r="AA519" s="5"/>
    </row>
    <row r="520" spans="1:27" ht="12.75" customHeight="1">
      <c r="A520" s="5"/>
      <c r="B520" s="5"/>
      <c r="C520" s="5"/>
      <c r="D520" s="5"/>
      <c r="E520" s="5"/>
      <c r="F520" s="5"/>
      <c r="G520" s="5"/>
      <c r="H520" s="306"/>
      <c r="I520" s="306"/>
      <c r="J520" s="5"/>
      <c r="K520" s="5"/>
      <c r="L520" s="5"/>
      <c r="M520" s="5"/>
      <c r="N520" s="5"/>
      <c r="O520" s="5"/>
      <c r="P520" s="57"/>
      <c r="Q520" s="5"/>
      <c r="R520" s="5"/>
      <c r="S520" s="5"/>
      <c r="T520" s="5"/>
      <c r="U520" s="5"/>
      <c r="V520" s="5"/>
      <c r="W520" s="5"/>
      <c r="X520" s="5"/>
      <c r="Y520" s="5"/>
      <c r="Z520" s="5"/>
      <c r="AA520" s="5"/>
    </row>
    <row r="521" spans="1:27" ht="12.75" customHeight="1">
      <c r="A521" s="5"/>
      <c r="B521" s="5"/>
      <c r="C521" s="5"/>
      <c r="D521" s="5"/>
      <c r="E521" s="5"/>
      <c r="F521" s="5"/>
      <c r="G521" s="5"/>
      <c r="H521" s="306"/>
      <c r="I521" s="306"/>
      <c r="J521" s="5"/>
      <c r="K521" s="5"/>
      <c r="L521" s="5"/>
      <c r="M521" s="5"/>
      <c r="N521" s="5"/>
      <c r="O521" s="5"/>
      <c r="P521" s="57"/>
      <c r="Q521" s="5"/>
      <c r="R521" s="5"/>
      <c r="S521" s="5"/>
      <c r="T521" s="5"/>
      <c r="U521" s="5"/>
      <c r="V521" s="5"/>
      <c r="W521" s="5"/>
      <c r="X521" s="5"/>
      <c r="Y521" s="5"/>
      <c r="Z521" s="5"/>
      <c r="AA521" s="5"/>
    </row>
    <row r="522" spans="1:27" ht="12.75" customHeight="1">
      <c r="A522" s="5"/>
      <c r="B522" s="5"/>
      <c r="C522" s="5"/>
      <c r="D522" s="5"/>
      <c r="E522" s="5"/>
      <c r="F522" s="5"/>
      <c r="G522" s="5"/>
      <c r="H522" s="306"/>
      <c r="I522" s="306"/>
      <c r="J522" s="5"/>
      <c r="K522" s="5"/>
      <c r="L522" s="5"/>
      <c r="M522" s="5"/>
      <c r="N522" s="5"/>
      <c r="O522" s="5"/>
      <c r="P522" s="57"/>
      <c r="Q522" s="5"/>
      <c r="R522" s="5"/>
      <c r="S522" s="5"/>
      <c r="T522" s="5"/>
      <c r="U522" s="5"/>
      <c r="V522" s="5"/>
      <c r="W522" s="5"/>
      <c r="X522" s="5"/>
      <c r="Y522" s="5"/>
      <c r="Z522" s="5"/>
      <c r="AA522" s="5"/>
    </row>
    <row r="523" spans="1:27" ht="12.75" customHeight="1">
      <c r="A523" s="5"/>
      <c r="B523" s="5"/>
      <c r="C523" s="5"/>
      <c r="D523" s="5"/>
      <c r="E523" s="5"/>
      <c r="F523" s="5"/>
      <c r="G523" s="5"/>
      <c r="H523" s="306"/>
      <c r="I523" s="306"/>
      <c r="J523" s="5"/>
      <c r="K523" s="5"/>
      <c r="L523" s="5"/>
      <c r="M523" s="5"/>
      <c r="N523" s="5"/>
      <c r="O523" s="5"/>
      <c r="P523" s="57"/>
      <c r="Q523" s="5"/>
      <c r="R523" s="5"/>
      <c r="S523" s="5"/>
      <c r="T523" s="5"/>
      <c r="U523" s="5"/>
      <c r="V523" s="5"/>
      <c r="W523" s="5"/>
      <c r="X523" s="5"/>
      <c r="Y523" s="5"/>
      <c r="Z523" s="5"/>
      <c r="AA523" s="5"/>
    </row>
    <row r="524" spans="1:27" ht="12.75" customHeight="1">
      <c r="A524" s="5"/>
      <c r="B524" s="5"/>
      <c r="C524" s="5"/>
      <c r="D524" s="5"/>
      <c r="E524" s="5"/>
      <c r="F524" s="5"/>
      <c r="G524" s="5"/>
      <c r="H524" s="306"/>
      <c r="I524" s="306"/>
      <c r="J524" s="5"/>
      <c r="K524" s="5"/>
      <c r="L524" s="5"/>
      <c r="M524" s="5"/>
      <c r="N524" s="5"/>
      <c r="O524" s="5"/>
      <c r="P524" s="57"/>
      <c r="Q524" s="5"/>
      <c r="R524" s="5"/>
      <c r="S524" s="5"/>
      <c r="T524" s="5"/>
      <c r="U524" s="5"/>
      <c r="V524" s="5"/>
      <c r="W524" s="5"/>
      <c r="X524" s="5"/>
      <c r="Y524" s="5"/>
      <c r="Z524" s="5"/>
      <c r="AA524" s="5"/>
    </row>
    <row r="525" spans="1:27" ht="12.75" customHeight="1">
      <c r="A525" s="5"/>
      <c r="B525" s="5"/>
      <c r="C525" s="5"/>
      <c r="D525" s="5"/>
      <c r="E525" s="5"/>
      <c r="F525" s="5"/>
      <c r="G525" s="5"/>
      <c r="H525" s="306"/>
      <c r="I525" s="306"/>
      <c r="J525" s="5"/>
      <c r="K525" s="5"/>
      <c r="L525" s="5"/>
      <c r="M525" s="5"/>
      <c r="N525" s="5"/>
      <c r="O525" s="5"/>
      <c r="P525" s="57"/>
      <c r="Q525" s="5"/>
      <c r="R525" s="5"/>
      <c r="S525" s="5"/>
      <c r="T525" s="5"/>
      <c r="U525" s="5"/>
      <c r="V525" s="5"/>
      <c r="W525" s="5"/>
      <c r="X525" s="5"/>
      <c r="Y525" s="5"/>
      <c r="Z525" s="5"/>
      <c r="AA525" s="5"/>
    </row>
    <row r="526" spans="1:27" ht="12.75" customHeight="1">
      <c r="A526" s="5"/>
      <c r="B526" s="5"/>
      <c r="C526" s="5"/>
      <c r="D526" s="5"/>
      <c r="E526" s="5"/>
      <c r="F526" s="5"/>
      <c r="G526" s="5"/>
      <c r="H526" s="306"/>
      <c r="I526" s="306"/>
      <c r="J526" s="5"/>
      <c r="K526" s="5"/>
      <c r="L526" s="5"/>
      <c r="M526" s="5"/>
      <c r="N526" s="5"/>
      <c r="O526" s="5"/>
      <c r="P526" s="57"/>
      <c r="Q526" s="5"/>
      <c r="R526" s="5"/>
      <c r="S526" s="5"/>
      <c r="T526" s="5"/>
      <c r="U526" s="5"/>
      <c r="V526" s="5"/>
      <c r="W526" s="5"/>
      <c r="X526" s="5"/>
      <c r="Y526" s="5"/>
      <c r="Z526" s="5"/>
      <c r="AA526" s="5"/>
    </row>
    <row r="527" spans="1:27" ht="12.75" customHeight="1">
      <c r="A527" s="5"/>
      <c r="B527" s="5"/>
      <c r="C527" s="5"/>
      <c r="D527" s="5"/>
      <c r="E527" s="5"/>
      <c r="F527" s="5"/>
      <c r="G527" s="5"/>
      <c r="H527" s="306"/>
      <c r="I527" s="306"/>
      <c r="J527" s="5"/>
      <c r="K527" s="5"/>
      <c r="L527" s="5"/>
      <c r="M527" s="5"/>
      <c r="N527" s="5"/>
      <c r="O527" s="5"/>
      <c r="P527" s="57"/>
      <c r="Q527" s="5"/>
      <c r="R527" s="5"/>
      <c r="S527" s="5"/>
      <c r="T527" s="5"/>
      <c r="U527" s="5"/>
      <c r="V527" s="5"/>
      <c r="W527" s="5"/>
      <c r="X527" s="5"/>
      <c r="Y527" s="5"/>
      <c r="Z527" s="5"/>
      <c r="AA527" s="5"/>
    </row>
    <row r="528" spans="1:27" ht="12.75" customHeight="1">
      <c r="A528" s="5"/>
      <c r="B528" s="5"/>
      <c r="C528" s="5"/>
      <c r="D528" s="5"/>
      <c r="E528" s="5"/>
      <c r="F528" s="5"/>
      <c r="G528" s="5"/>
      <c r="H528" s="306"/>
      <c r="I528" s="306"/>
      <c r="J528" s="5"/>
      <c r="K528" s="5"/>
      <c r="L528" s="5"/>
      <c r="M528" s="5"/>
      <c r="N528" s="5"/>
      <c r="O528" s="5"/>
      <c r="P528" s="57"/>
      <c r="Q528" s="5"/>
      <c r="R528" s="5"/>
      <c r="S528" s="5"/>
      <c r="T528" s="5"/>
      <c r="U528" s="5"/>
      <c r="V528" s="5"/>
      <c r="W528" s="5"/>
      <c r="X528" s="5"/>
      <c r="Y528" s="5"/>
      <c r="Z528" s="5"/>
      <c r="AA528" s="5"/>
    </row>
    <row r="529" spans="1:27" ht="12.75" customHeight="1">
      <c r="A529" s="5"/>
      <c r="B529" s="5"/>
      <c r="C529" s="5"/>
      <c r="D529" s="5"/>
      <c r="E529" s="5"/>
      <c r="F529" s="5"/>
      <c r="G529" s="5"/>
      <c r="H529" s="306"/>
      <c r="I529" s="306"/>
      <c r="J529" s="5"/>
      <c r="K529" s="5"/>
      <c r="L529" s="5"/>
      <c r="M529" s="5"/>
      <c r="N529" s="5"/>
      <c r="O529" s="5"/>
      <c r="P529" s="57"/>
      <c r="Q529" s="5"/>
      <c r="R529" s="5"/>
      <c r="S529" s="5"/>
      <c r="T529" s="5"/>
      <c r="U529" s="5"/>
      <c r="V529" s="5"/>
      <c r="W529" s="5"/>
      <c r="X529" s="5"/>
      <c r="Y529" s="5"/>
      <c r="Z529" s="5"/>
      <c r="AA529" s="5"/>
    </row>
    <row r="530" spans="1:27" ht="12.75" customHeight="1">
      <c r="A530" s="5"/>
      <c r="B530" s="5"/>
      <c r="C530" s="5"/>
      <c r="D530" s="5"/>
      <c r="E530" s="5"/>
      <c r="F530" s="5"/>
      <c r="G530" s="5"/>
      <c r="H530" s="306"/>
      <c r="I530" s="306"/>
      <c r="J530" s="5"/>
      <c r="K530" s="5"/>
      <c r="L530" s="5"/>
      <c r="M530" s="5"/>
      <c r="N530" s="5"/>
      <c r="O530" s="5"/>
      <c r="P530" s="57"/>
      <c r="Q530" s="5"/>
      <c r="R530" s="5"/>
      <c r="S530" s="5"/>
      <c r="T530" s="5"/>
      <c r="U530" s="5"/>
      <c r="V530" s="5"/>
      <c r="W530" s="5"/>
      <c r="X530" s="5"/>
      <c r="Y530" s="5"/>
      <c r="Z530" s="5"/>
      <c r="AA530" s="5"/>
    </row>
    <row r="531" spans="1:27" ht="12.75" customHeight="1">
      <c r="A531" s="5"/>
      <c r="B531" s="5"/>
      <c r="C531" s="5"/>
      <c r="D531" s="5"/>
      <c r="E531" s="5"/>
      <c r="F531" s="5"/>
      <c r="G531" s="5"/>
      <c r="H531" s="306"/>
      <c r="I531" s="306"/>
      <c r="J531" s="5"/>
      <c r="K531" s="5"/>
      <c r="L531" s="5"/>
      <c r="M531" s="5"/>
      <c r="N531" s="5"/>
      <c r="O531" s="5"/>
      <c r="P531" s="57"/>
      <c r="Q531" s="5"/>
      <c r="R531" s="5"/>
      <c r="S531" s="5"/>
      <c r="T531" s="5"/>
      <c r="U531" s="5"/>
      <c r="V531" s="5"/>
      <c r="W531" s="5"/>
      <c r="X531" s="5"/>
      <c r="Y531" s="5"/>
      <c r="Z531" s="5"/>
      <c r="AA531" s="5"/>
    </row>
    <row r="532" spans="1:27" ht="12.75" customHeight="1">
      <c r="A532" s="5"/>
      <c r="B532" s="5"/>
      <c r="C532" s="5"/>
      <c r="D532" s="5"/>
      <c r="E532" s="5"/>
      <c r="F532" s="5"/>
      <c r="G532" s="5"/>
      <c r="H532" s="306"/>
      <c r="I532" s="306"/>
      <c r="J532" s="5"/>
      <c r="K532" s="5"/>
      <c r="L532" s="5"/>
      <c r="M532" s="5"/>
      <c r="N532" s="5"/>
      <c r="O532" s="5"/>
      <c r="P532" s="57"/>
      <c r="Q532" s="5"/>
      <c r="R532" s="5"/>
      <c r="S532" s="5"/>
      <c r="T532" s="5"/>
      <c r="U532" s="5"/>
      <c r="V532" s="5"/>
      <c r="W532" s="5"/>
      <c r="X532" s="5"/>
      <c r="Y532" s="5"/>
      <c r="Z532" s="5"/>
      <c r="AA532" s="5"/>
    </row>
    <row r="533" spans="1:27" ht="12.75" customHeight="1">
      <c r="A533" s="5"/>
      <c r="B533" s="5"/>
      <c r="C533" s="5"/>
      <c r="D533" s="5"/>
      <c r="E533" s="5"/>
      <c r="F533" s="5"/>
      <c r="G533" s="5"/>
      <c r="H533" s="306"/>
      <c r="I533" s="306"/>
      <c r="J533" s="5"/>
      <c r="K533" s="5"/>
      <c r="L533" s="5"/>
      <c r="M533" s="5"/>
      <c r="N533" s="5"/>
      <c r="O533" s="5"/>
      <c r="P533" s="57"/>
      <c r="Q533" s="5"/>
      <c r="R533" s="5"/>
      <c r="S533" s="5"/>
      <c r="T533" s="5"/>
      <c r="U533" s="5"/>
      <c r="V533" s="5"/>
      <c r="W533" s="5"/>
      <c r="X533" s="5"/>
      <c r="Y533" s="5"/>
      <c r="Z533" s="5"/>
      <c r="AA533" s="5"/>
    </row>
    <row r="534" spans="1:27" ht="12.75" customHeight="1">
      <c r="A534" s="5"/>
      <c r="B534" s="5"/>
      <c r="C534" s="5"/>
      <c r="D534" s="5"/>
      <c r="E534" s="5"/>
      <c r="F534" s="5"/>
      <c r="G534" s="5"/>
      <c r="H534" s="306"/>
      <c r="I534" s="306"/>
      <c r="J534" s="5"/>
      <c r="K534" s="5"/>
      <c r="L534" s="5"/>
      <c r="M534" s="5"/>
      <c r="N534" s="5"/>
      <c r="O534" s="5"/>
      <c r="P534" s="57"/>
      <c r="Q534" s="5"/>
      <c r="R534" s="5"/>
      <c r="S534" s="5"/>
      <c r="T534" s="5"/>
      <c r="U534" s="5"/>
      <c r="V534" s="5"/>
      <c r="W534" s="5"/>
      <c r="X534" s="5"/>
      <c r="Y534" s="5"/>
      <c r="Z534" s="5"/>
      <c r="AA534" s="5"/>
    </row>
    <row r="535" spans="1:27" ht="12.75" customHeight="1">
      <c r="A535" s="5"/>
      <c r="B535" s="5"/>
      <c r="C535" s="5"/>
      <c r="D535" s="5"/>
      <c r="E535" s="5"/>
      <c r="F535" s="5"/>
      <c r="G535" s="5"/>
      <c r="H535" s="306"/>
      <c r="I535" s="306"/>
      <c r="J535" s="5"/>
      <c r="K535" s="5"/>
      <c r="L535" s="5"/>
      <c r="M535" s="5"/>
      <c r="N535" s="5"/>
      <c r="O535" s="5"/>
      <c r="P535" s="57"/>
      <c r="Q535" s="5"/>
      <c r="R535" s="5"/>
      <c r="S535" s="5"/>
      <c r="T535" s="5"/>
      <c r="U535" s="5"/>
      <c r="V535" s="5"/>
      <c r="W535" s="5"/>
      <c r="X535" s="5"/>
      <c r="Y535" s="5"/>
      <c r="Z535" s="5"/>
      <c r="AA535" s="5"/>
    </row>
    <row r="536" spans="1:27" ht="12.75" customHeight="1">
      <c r="A536" s="5"/>
      <c r="B536" s="5"/>
      <c r="C536" s="5"/>
      <c r="D536" s="5"/>
      <c r="E536" s="5"/>
      <c r="F536" s="5"/>
      <c r="G536" s="5"/>
      <c r="H536" s="306"/>
      <c r="I536" s="306"/>
      <c r="J536" s="5"/>
      <c r="K536" s="5"/>
      <c r="L536" s="5"/>
      <c r="M536" s="5"/>
      <c r="N536" s="5"/>
      <c r="O536" s="5"/>
      <c r="P536" s="57"/>
      <c r="Q536" s="5"/>
      <c r="R536" s="5"/>
      <c r="S536" s="5"/>
      <c r="T536" s="5"/>
      <c r="U536" s="5"/>
      <c r="V536" s="5"/>
      <c r="W536" s="5"/>
      <c r="X536" s="5"/>
      <c r="Y536" s="5"/>
      <c r="Z536" s="5"/>
      <c r="AA536" s="5"/>
    </row>
    <row r="537" spans="1:27" ht="12.75" customHeight="1">
      <c r="A537" s="5"/>
      <c r="B537" s="5"/>
      <c r="C537" s="5"/>
      <c r="D537" s="5"/>
      <c r="E537" s="5"/>
      <c r="F537" s="5"/>
      <c r="G537" s="5"/>
      <c r="H537" s="306"/>
      <c r="I537" s="306"/>
      <c r="J537" s="5"/>
      <c r="K537" s="5"/>
      <c r="L537" s="5"/>
      <c r="M537" s="5"/>
      <c r="N537" s="5"/>
      <c r="O537" s="5"/>
      <c r="P537" s="57"/>
      <c r="Q537" s="5"/>
      <c r="R537" s="5"/>
      <c r="S537" s="5"/>
      <c r="T537" s="5"/>
      <c r="U537" s="5"/>
      <c r="V537" s="5"/>
      <c r="W537" s="5"/>
      <c r="X537" s="5"/>
      <c r="Y537" s="5"/>
      <c r="Z537" s="5"/>
      <c r="AA537" s="5"/>
    </row>
    <row r="538" spans="1:27" ht="12.75" customHeight="1">
      <c r="A538" s="5"/>
      <c r="B538" s="5"/>
      <c r="C538" s="5"/>
      <c r="D538" s="5"/>
      <c r="E538" s="5"/>
      <c r="F538" s="5"/>
      <c r="G538" s="5"/>
      <c r="H538" s="306"/>
      <c r="I538" s="306"/>
      <c r="J538" s="5"/>
      <c r="K538" s="5"/>
      <c r="L538" s="5"/>
      <c r="M538" s="5"/>
      <c r="N538" s="5"/>
      <c r="O538" s="5"/>
      <c r="P538" s="57"/>
      <c r="Q538" s="5"/>
      <c r="R538" s="5"/>
      <c r="S538" s="5"/>
      <c r="T538" s="5"/>
      <c r="U538" s="5"/>
      <c r="V538" s="5"/>
      <c r="W538" s="5"/>
      <c r="X538" s="5"/>
      <c r="Y538" s="5"/>
      <c r="Z538" s="5"/>
      <c r="AA538" s="5"/>
    </row>
    <row r="539" spans="1:27" ht="12.75" customHeight="1">
      <c r="A539" s="5"/>
      <c r="B539" s="5"/>
      <c r="C539" s="5"/>
      <c r="D539" s="5"/>
      <c r="E539" s="5"/>
      <c r="F539" s="5"/>
      <c r="G539" s="5"/>
      <c r="H539" s="306"/>
      <c r="I539" s="306"/>
      <c r="J539" s="5"/>
      <c r="K539" s="5"/>
      <c r="L539" s="5"/>
      <c r="M539" s="5"/>
      <c r="N539" s="5"/>
      <c r="O539" s="5"/>
      <c r="P539" s="57"/>
      <c r="Q539" s="5"/>
      <c r="R539" s="5"/>
      <c r="S539" s="5"/>
      <c r="T539" s="5"/>
      <c r="U539" s="5"/>
      <c r="V539" s="5"/>
      <c r="W539" s="5"/>
      <c r="X539" s="5"/>
      <c r="Y539" s="5"/>
      <c r="Z539" s="5"/>
      <c r="AA539" s="5"/>
    </row>
    <row r="540" spans="1:27" ht="12.75" customHeight="1">
      <c r="A540" s="5"/>
      <c r="B540" s="5"/>
      <c r="C540" s="5"/>
      <c r="D540" s="5"/>
      <c r="E540" s="5"/>
      <c r="F540" s="5"/>
      <c r="G540" s="5"/>
      <c r="H540" s="306"/>
      <c r="I540" s="306"/>
      <c r="J540" s="5"/>
      <c r="K540" s="5"/>
      <c r="L540" s="5"/>
      <c r="M540" s="5"/>
      <c r="N540" s="5"/>
      <c r="O540" s="5"/>
      <c r="P540" s="57"/>
      <c r="Q540" s="5"/>
      <c r="R540" s="5"/>
      <c r="S540" s="5"/>
      <c r="T540" s="5"/>
      <c r="U540" s="5"/>
      <c r="V540" s="5"/>
      <c r="W540" s="5"/>
      <c r="X540" s="5"/>
      <c r="Y540" s="5"/>
      <c r="Z540" s="5"/>
      <c r="AA540" s="5"/>
    </row>
    <row r="541" spans="1:27" ht="12.75" customHeight="1">
      <c r="A541" s="5"/>
      <c r="B541" s="5"/>
      <c r="C541" s="5"/>
      <c r="D541" s="5"/>
      <c r="E541" s="5"/>
      <c r="F541" s="5"/>
      <c r="G541" s="5"/>
      <c r="H541" s="306"/>
      <c r="I541" s="306"/>
      <c r="J541" s="5"/>
      <c r="K541" s="5"/>
      <c r="L541" s="5"/>
      <c r="M541" s="5"/>
      <c r="N541" s="5"/>
      <c r="O541" s="5"/>
      <c r="P541" s="57"/>
      <c r="Q541" s="5"/>
      <c r="R541" s="5"/>
      <c r="S541" s="5"/>
      <c r="T541" s="5"/>
      <c r="U541" s="5"/>
      <c r="V541" s="5"/>
      <c r="W541" s="5"/>
      <c r="X541" s="5"/>
      <c r="Y541" s="5"/>
      <c r="Z541" s="5"/>
      <c r="AA541" s="5"/>
    </row>
    <row r="542" spans="1:27" ht="12.75" customHeight="1">
      <c r="A542" s="5"/>
      <c r="B542" s="5"/>
      <c r="C542" s="5"/>
      <c r="D542" s="5"/>
      <c r="E542" s="5"/>
      <c r="F542" s="5"/>
      <c r="G542" s="5"/>
      <c r="H542" s="306"/>
      <c r="I542" s="306"/>
      <c r="J542" s="5"/>
      <c r="K542" s="5"/>
      <c r="L542" s="5"/>
      <c r="M542" s="5"/>
      <c r="N542" s="5"/>
      <c r="O542" s="5"/>
      <c r="P542" s="57"/>
      <c r="Q542" s="5"/>
      <c r="R542" s="5"/>
      <c r="S542" s="5"/>
      <c r="T542" s="5"/>
      <c r="U542" s="5"/>
      <c r="V542" s="5"/>
      <c r="W542" s="5"/>
      <c r="X542" s="5"/>
      <c r="Y542" s="5"/>
      <c r="Z542" s="5"/>
      <c r="AA542" s="5"/>
    </row>
    <row r="543" spans="1:27" ht="12.75" customHeight="1">
      <c r="A543" s="5"/>
      <c r="B543" s="5"/>
      <c r="C543" s="5"/>
      <c r="D543" s="5"/>
      <c r="E543" s="5"/>
      <c r="F543" s="5"/>
      <c r="G543" s="5"/>
      <c r="H543" s="306"/>
      <c r="I543" s="306"/>
      <c r="J543" s="5"/>
      <c r="K543" s="5"/>
      <c r="L543" s="5"/>
      <c r="M543" s="5"/>
      <c r="N543" s="5"/>
      <c r="O543" s="5"/>
      <c r="P543" s="57"/>
      <c r="Q543" s="5"/>
      <c r="R543" s="5"/>
      <c r="S543" s="5"/>
      <c r="T543" s="5"/>
      <c r="U543" s="5"/>
      <c r="V543" s="5"/>
      <c r="W543" s="5"/>
      <c r="X543" s="5"/>
      <c r="Y543" s="5"/>
      <c r="Z543" s="5"/>
      <c r="AA543" s="5"/>
    </row>
    <row r="544" spans="1:27" ht="12.75" customHeight="1">
      <c r="A544" s="5"/>
      <c r="B544" s="5"/>
      <c r="C544" s="5"/>
      <c r="D544" s="5"/>
      <c r="E544" s="5"/>
      <c r="F544" s="5"/>
      <c r="G544" s="5"/>
      <c r="H544" s="306"/>
      <c r="I544" s="306"/>
      <c r="J544" s="5"/>
      <c r="K544" s="5"/>
      <c r="L544" s="5"/>
      <c r="M544" s="5"/>
      <c r="N544" s="5"/>
      <c r="O544" s="5"/>
      <c r="P544" s="57"/>
      <c r="Q544" s="5"/>
      <c r="R544" s="5"/>
      <c r="S544" s="5"/>
      <c r="T544" s="5"/>
      <c r="U544" s="5"/>
      <c r="V544" s="5"/>
      <c r="W544" s="5"/>
      <c r="X544" s="5"/>
      <c r="Y544" s="5"/>
      <c r="Z544" s="5"/>
      <c r="AA544" s="5"/>
    </row>
    <row r="545" spans="1:27" ht="12.75" customHeight="1">
      <c r="A545" s="5"/>
      <c r="B545" s="5"/>
      <c r="C545" s="5"/>
      <c r="D545" s="5"/>
      <c r="E545" s="5"/>
      <c r="F545" s="5"/>
      <c r="G545" s="5"/>
      <c r="H545" s="306"/>
      <c r="I545" s="306"/>
      <c r="J545" s="5"/>
      <c r="K545" s="5"/>
      <c r="L545" s="5"/>
      <c r="M545" s="5"/>
      <c r="N545" s="5"/>
      <c r="O545" s="5"/>
      <c r="P545" s="57"/>
      <c r="Q545" s="5"/>
      <c r="R545" s="5"/>
      <c r="S545" s="5"/>
      <c r="T545" s="5"/>
      <c r="U545" s="5"/>
      <c r="V545" s="5"/>
      <c r="W545" s="5"/>
      <c r="X545" s="5"/>
      <c r="Y545" s="5"/>
      <c r="Z545" s="5"/>
      <c r="AA545" s="5"/>
    </row>
    <row r="546" spans="1:27" ht="12.75" customHeight="1">
      <c r="A546" s="5"/>
      <c r="B546" s="5"/>
      <c r="C546" s="5"/>
      <c r="D546" s="5"/>
      <c r="E546" s="5"/>
      <c r="F546" s="5"/>
      <c r="G546" s="5"/>
      <c r="H546" s="306"/>
      <c r="I546" s="306"/>
      <c r="J546" s="5"/>
      <c r="K546" s="5"/>
      <c r="L546" s="5"/>
      <c r="M546" s="5"/>
      <c r="N546" s="5"/>
      <c r="O546" s="5"/>
      <c r="P546" s="57"/>
      <c r="Q546" s="5"/>
      <c r="R546" s="5"/>
      <c r="S546" s="5"/>
      <c r="T546" s="5"/>
      <c r="U546" s="5"/>
      <c r="V546" s="5"/>
      <c r="W546" s="5"/>
      <c r="X546" s="5"/>
      <c r="Y546" s="5"/>
      <c r="Z546" s="5"/>
      <c r="AA546" s="5"/>
    </row>
    <row r="547" spans="1:27" ht="12.75" customHeight="1">
      <c r="A547" s="5"/>
      <c r="B547" s="5"/>
      <c r="C547" s="5"/>
      <c r="D547" s="5"/>
      <c r="E547" s="5"/>
      <c r="F547" s="5"/>
      <c r="G547" s="5"/>
      <c r="H547" s="306"/>
      <c r="I547" s="306"/>
      <c r="J547" s="5"/>
      <c r="K547" s="5"/>
      <c r="L547" s="5"/>
      <c r="M547" s="5"/>
      <c r="N547" s="5"/>
      <c r="O547" s="5"/>
      <c r="P547" s="57"/>
      <c r="Q547" s="5"/>
      <c r="R547" s="5"/>
      <c r="S547" s="5"/>
      <c r="T547" s="5"/>
      <c r="U547" s="5"/>
      <c r="V547" s="5"/>
      <c r="W547" s="5"/>
      <c r="X547" s="5"/>
      <c r="Y547" s="5"/>
      <c r="Z547" s="5"/>
      <c r="AA547" s="5"/>
    </row>
    <row r="548" spans="1:27" ht="12.75" customHeight="1">
      <c r="A548" s="5"/>
      <c r="B548" s="5"/>
      <c r="C548" s="5"/>
      <c r="D548" s="5"/>
      <c r="E548" s="5"/>
      <c r="F548" s="5"/>
      <c r="G548" s="5"/>
      <c r="H548" s="306"/>
      <c r="I548" s="306"/>
      <c r="J548" s="5"/>
      <c r="K548" s="5"/>
      <c r="L548" s="5"/>
      <c r="M548" s="5"/>
      <c r="N548" s="5"/>
      <c r="O548" s="5"/>
      <c r="P548" s="57"/>
      <c r="Q548" s="5"/>
      <c r="R548" s="5"/>
      <c r="S548" s="5"/>
      <c r="T548" s="5"/>
      <c r="U548" s="5"/>
      <c r="V548" s="5"/>
      <c r="W548" s="5"/>
      <c r="X548" s="5"/>
      <c r="Y548" s="5"/>
      <c r="Z548" s="5"/>
      <c r="AA548" s="5"/>
    </row>
    <row r="549" spans="1:27" ht="12.75" customHeight="1">
      <c r="A549" s="5"/>
      <c r="B549" s="5"/>
      <c r="C549" s="5"/>
      <c r="D549" s="5"/>
      <c r="E549" s="5"/>
      <c r="F549" s="5"/>
      <c r="G549" s="5"/>
      <c r="H549" s="306"/>
      <c r="I549" s="306"/>
      <c r="J549" s="5"/>
      <c r="K549" s="5"/>
      <c r="L549" s="5"/>
      <c r="M549" s="5"/>
      <c r="N549" s="5"/>
      <c r="O549" s="5"/>
      <c r="P549" s="57"/>
      <c r="Q549" s="5"/>
      <c r="R549" s="5"/>
      <c r="S549" s="5"/>
      <c r="T549" s="5"/>
      <c r="U549" s="5"/>
      <c r="V549" s="5"/>
      <c r="W549" s="5"/>
      <c r="X549" s="5"/>
      <c r="Y549" s="5"/>
      <c r="Z549" s="5"/>
      <c r="AA549" s="5"/>
    </row>
    <row r="550" spans="1:27" ht="12.75" customHeight="1">
      <c r="A550" s="5"/>
      <c r="B550" s="5"/>
      <c r="C550" s="5"/>
      <c r="D550" s="5"/>
      <c r="E550" s="5"/>
      <c r="F550" s="5"/>
      <c r="G550" s="5"/>
      <c r="H550" s="306"/>
      <c r="I550" s="306"/>
      <c r="J550" s="5"/>
      <c r="K550" s="5"/>
      <c r="L550" s="5"/>
      <c r="M550" s="5"/>
      <c r="N550" s="5"/>
      <c r="O550" s="5"/>
      <c r="P550" s="57"/>
      <c r="Q550" s="5"/>
      <c r="R550" s="5"/>
      <c r="S550" s="5"/>
      <c r="T550" s="5"/>
      <c r="U550" s="5"/>
      <c r="V550" s="5"/>
      <c r="W550" s="5"/>
      <c r="X550" s="5"/>
      <c r="Y550" s="5"/>
      <c r="Z550" s="5"/>
      <c r="AA550" s="5"/>
    </row>
    <row r="551" spans="1:27" ht="12.75" customHeight="1">
      <c r="A551" s="5"/>
      <c r="B551" s="5"/>
      <c r="C551" s="5"/>
      <c r="D551" s="5"/>
      <c r="E551" s="5"/>
      <c r="F551" s="5"/>
      <c r="G551" s="5"/>
      <c r="H551" s="306"/>
      <c r="I551" s="306"/>
      <c r="J551" s="5"/>
      <c r="K551" s="5"/>
      <c r="L551" s="5"/>
      <c r="M551" s="5"/>
      <c r="N551" s="5"/>
      <c r="O551" s="5"/>
      <c r="P551" s="57"/>
      <c r="Q551" s="5"/>
      <c r="R551" s="5"/>
      <c r="S551" s="5"/>
      <c r="T551" s="5"/>
      <c r="U551" s="5"/>
      <c r="V551" s="5"/>
      <c r="W551" s="5"/>
      <c r="X551" s="5"/>
      <c r="Y551" s="5"/>
      <c r="Z551" s="5"/>
      <c r="AA551" s="5"/>
    </row>
    <row r="552" spans="1:27" ht="12.75" customHeight="1">
      <c r="A552" s="5"/>
      <c r="B552" s="5"/>
      <c r="C552" s="5"/>
      <c r="D552" s="5"/>
      <c r="E552" s="5"/>
      <c r="F552" s="5"/>
      <c r="G552" s="5"/>
      <c r="H552" s="306"/>
      <c r="I552" s="306"/>
      <c r="J552" s="5"/>
      <c r="K552" s="5"/>
      <c r="L552" s="5"/>
      <c r="M552" s="5"/>
      <c r="N552" s="5"/>
      <c r="O552" s="5"/>
      <c r="P552" s="57"/>
      <c r="Q552" s="5"/>
      <c r="R552" s="5"/>
      <c r="S552" s="5"/>
      <c r="T552" s="5"/>
      <c r="U552" s="5"/>
      <c r="V552" s="5"/>
      <c r="W552" s="5"/>
      <c r="X552" s="5"/>
      <c r="Y552" s="5"/>
      <c r="Z552" s="5"/>
      <c r="AA552" s="5"/>
    </row>
    <row r="553" spans="1:27" ht="12.75" customHeight="1">
      <c r="A553" s="5"/>
      <c r="B553" s="5"/>
      <c r="C553" s="5"/>
      <c r="D553" s="5"/>
      <c r="E553" s="5"/>
      <c r="F553" s="5"/>
      <c r="G553" s="5"/>
      <c r="H553" s="306"/>
      <c r="I553" s="306"/>
      <c r="J553" s="5"/>
      <c r="K553" s="5"/>
      <c r="L553" s="5"/>
      <c r="M553" s="5"/>
      <c r="N553" s="5"/>
      <c r="O553" s="5"/>
      <c r="P553" s="57"/>
      <c r="Q553" s="5"/>
      <c r="R553" s="5"/>
      <c r="S553" s="5"/>
      <c r="T553" s="5"/>
      <c r="U553" s="5"/>
      <c r="V553" s="5"/>
      <c r="W553" s="5"/>
      <c r="X553" s="5"/>
      <c r="Y553" s="5"/>
      <c r="Z553" s="5"/>
      <c r="AA553" s="5"/>
    </row>
    <row r="554" spans="1:27" ht="12.75" customHeight="1">
      <c r="A554" s="5"/>
      <c r="B554" s="5"/>
      <c r="C554" s="5"/>
      <c r="D554" s="5"/>
      <c r="E554" s="5"/>
      <c r="F554" s="5"/>
      <c r="G554" s="5"/>
      <c r="H554" s="306"/>
      <c r="I554" s="306"/>
      <c r="J554" s="5"/>
      <c r="K554" s="5"/>
      <c r="L554" s="5"/>
      <c r="M554" s="5"/>
      <c r="N554" s="5"/>
      <c r="O554" s="5"/>
      <c r="P554" s="57"/>
      <c r="Q554" s="5"/>
      <c r="R554" s="5"/>
      <c r="S554" s="5"/>
      <c r="T554" s="5"/>
      <c r="U554" s="5"/>
      <c r="V554" s="5"/>
      <c r="W554" s="5"/>
      <c r="X554" s="5"/>
      <c r="Y554" s="5"/>
      <c r="Z554" s="5"/>
      <c r="AA554" s="5"/>
    </row>
    <row r="555" spans="1:27" ht="12.75" customHeight="1">
      <c r="A555" s="5"/>
      <c r="B555" s="5"/>
      <c r="C555" s="5"/>
      <c r="D555" s="5"/>
      <c r="E555" s="5"/>
      <c r="F555" s="5"/>
      <c r="G555" s="5"/>
      <c r="H555" s="306"/>
      <c r="I555" s="306"/>
      <c r="J555" s="5"/>
      <c r="K555" s="5"/>
      <c r="L555" s="5"/>
      <c r="M555" s="5"/>
      <c r="N555" s="5"/>
      <c r="O555" s="5"/>
      <c r="P555" s="57"/>
      <c r="Q555" s="5"/>
      <c r="R555" s="5"/>
      <c r="S555" s="5"/>
      <c r="T555" s="5"/>
      <c r="U555" s="5"/>
      <c r="V555" s="5"/>
      <c r="W555" s="5"/>
      <c r="X555" s="5"/>
      <c r="Y555" s="5"/>
      <c r="Z555" s="5"/>
      <c r="AA555" s="5"/>
    </row>
    <row r="556" spans="1:27" ht="12.75" customHeight="1">
      <c r="A556" s="5"/>
      <c r="B556" s="5"/>
      <c r="C556" s="5"/>
      <c r="D556" s="5"/>
      <c r="E556" s="5"/>
      <c r="F556" s="5"/>
      <c r="G556" s="5"/>
      <c r="H556" s="306"/>
      <c r="I556" s="306"/>
      <c r="J556" s="5"/>
      <c r="K556" s="5"/>
      <c r="L556" s="5"/>
      <c r="M556" s="5"/>
      <c r="N556" s="5"/>
      <c r="O556" s="5"/>
      <c r="P556" s="57"/>
      <c r="Q556" s="5"/>
      <c r="R556" s="5"/>
      <c r="S556" s="5"/>
      <c r="T556" s="5"/>
      <c r="U556" s="5"/>
      <c r="V556" s="5"/>
      <c r="W556" s="5"/>
      <c r="X556" s="5"/>
      <c r="Y556" s="5"/>
      <c r="Z556" s="5"/>
      <c r="AA556" s="5"/>
    </row>
    <row r="557" spans="1:27" ht="12.75" customHeight="1">
      <c r="A557" s="5"/>
      <c r="B557" s="5"/>
      <c r="C557" s="5"/>
      <c r="D557" s="5"/>
      <c r="E557" s="5"/>
      <c r="F557" s="5"/>
      <c r="G557" s="5"/>
      <c r="H557" s="306"/>
      <c r="I557" s="306"/>
      <c r="J557" s="5"/>
      <c r="K557" s="5"/>
      <c r="L557" s="5"/>
      <c r="M557" s="5"/>
      <c r="N557" s="5"/>
      <c r="O557" s="5"/>
      <c r="P557" s="57"/>
      <c r="Q557" s="5"/>
      <c r="R557" s="5"/>
      <c r="S557" s="5"/>
      <c r="T557" s="5"/>
      <c r="U557" s="5"/>
      <c r="V557" s="5"/>
      <c r="W557" s="5"/>
      <c r="X557" s="5"/>
      <c r="Y557" s="5"/>
      <c r="Z557" s="5"/>
      <c r="AA557" s="5"/>
    </row>
    <row r="558" spans="1:27" ht="12.75" customHeight="1">
      <c r="A558" s="5"/>
      <c r="B558" s="5"/>
      <c r="C558" s="5"/>
      <c r="D558" s="5"/>
      <c r="E558" s="5"/>
      <c r="F558" s="5"/>
      <c r="G558" s="5"/>
      <c r="H558" s="306"/>
      <c r="I558" s="306"/>
      <c r="J558" s="5"/>
      <c r="K558" s="5"/>
      <c r="L558" s="5"/>
      <c r="M558" s="5"/>
      <c r="N558" s="5"/>
      <c r="O558" s="5"/>
      <c r="P558" s="57"/>
      <c r="Q558" s="5"/>
      <c r="R558" s="5"/>
      <c r="S558" s="5"/>
      <c r="T558" s="5"/>
      <c r="U558" s="5"/>
      <c r="V558" s="5"/>
      <c r="W558" s="5"/>
      <c r="X558" s="5"/>
      <c r="Y558" s="5"/>
      <c r="Z558" s="5"/>
      <c r="AA558" s="5"/>
    </row>
    <row r="559" spans="1:27" ht="12.75" customHeight="1">
      <c r="A559" s="5"/>
      <c r="B559" s="5"/>
      <c r="C559" s="5"/>
      <c r="D559" s="5"/>
      <c r="E559" s="5"/>
      <c r="F559" s="5"/>
      <c r="G559" s="5"/>
      <c r="H559" s="306"/>
      <c r="I559" s="306"/>
      <c r="J559" s="5"/>
      <c r="K559" s="5"/>
      <c r="L559" s="5"/>
      <c r="M559" s="5"/>
      <c r="N559" s="5"/>
      <c r="O559" s="5"/>
      <c r="P559" s="57"/>
      <c r="Q559" s="5"/>
      <c r="R559" s="5"/>
      <c r="S559" s="5"/>
      <c r="T559" s="5"/>
      <c r="U559" s="5"/>
      <c r="V559" s="5"/>
      <c r="W559" s="5"/>
      <c r="X559" s="5"/>
      <c r="Y559" s="5"/>
      <c r="Z559" s="5"/>
      <c r="AA559" s="5"/>
    </row>
    <row r="560" spans="1:27" ht="12.75" customHeight="1">
      <c r="A560" s="5"/>
      <c r="B560" s="5"/>
      <c r="C560" s="5"/>
      <c r="D560" s="5"/>
      <c r="E560" s="5"/>
      <c r="F560" s="5"/>
      <c r="G560" s="5"/>
      <c r="H560" s="306"/>
      <c r="I560" s="306"/>
      <c r="J560" s="5"/>
      <c r="K560" s="5"/>
      <c r="L560" s="5"/>
      <c r="M560" s="5"/>
      <c r="N560" s="5"/>
      <c r="O560" s="5"/>
      <c r="P560" s="57"/>
      <c r="Q560" s="5"/>
      <c r="R560" s="5"/>
      <c r="S560" s="5"/>
      <c r="T560" s="5"/>
      <c r="U560" s="5"/>
      <c r="V560" s="5"/>
      <c r="W560" s="5"/>
      <c r="X560" s="5"/>
      <c r="Y560" s="5"/>
      <c r="Z560" s="5"/>
      <c r="AA560" s="5"/>
    </row>
    <row r="561" spans="1:27" ht="12.75" customHeight="1">
      <c r="A561" s="5"/>
      <c r="B561" s="5"/>
      <c r="C561" s="5"/>
      <c r="D561" s="5"/>
      <c r="E561" s="5"/>
      <c r="F561" s="5"/>
      <c r="G561" s="5"/>
      <c r="H561" s="306"/>
      <c r="I561" s="306"/>
      <c r="J561" s="5"/>
      <c r="K561" s="5"/>
      <c r="L561" s="5"/>
      <c r="M561" s="5"/>
      <c r="N561" s="5"/>
      <c r="O561" s="5"/>
      <c r="P561" s="57"/>
      <c r="Q561" s="5"/>
      <c r="R561" s="5"/>
      <c r="S561" s="5"/>
      <c r="T561" s="5"/>
      <c r="U561" s="5"/>
      <c r="V561" s="5"/>
      <c r="W561" s="5"/>
      <c r="X561" s="5"/>
      <c r="Y561" s="5"/>
      <c r="Z561" s="5"/>
      <c r="AA561" s="5"/>
    </row>
    <row r="562" spans="1:27" ht="12.75" customHeight="1">
      <c r="A562" s="5"/>
      <c r="B562" s="5"/>
      <c r="C562" s="5"/>
      <c r="D562" s="5"/>
      <c r="E562" s="5"/>
      <c r="F562" s="5"/>
      <c r="G562" s="5"/>
      <c r="H562" s="306"/>
      <c r="I562" s="306"/>
      <c r="J562" s="5"/>
      <c r="K562" s="5"/>
      <c r="L562" s="5"/>
      <c r="M562" s="5"/>
      <c r="N562" s="5"/>
      <c r="O562" s="5"/>
      <c r="P562" s="57"/>
      <c r="Q562" s="5"/>
      <c r="R562" s="5"/>
      <c r="S562" s="5"/>
      <c r="T562" s="5"/>
      <c r="U562" s="5"/>
      <c r="V562" s="5"/>
      <c r="W562" s="5"/>
      <c r="X562" s="5"/>
      <c r="Y562" s="5"/>
      <c r="Z562" s="5"/>
      <c r="AA562" s="5"/>
    </row>
    <row r="563" spans="1:27" ht="12.75" customHeight="1">
      <c r="A563" s="5"/>
      <c r="B563" s="5"/>
      <c r="C563" s="5"/>
      <c r="D563" s="5"/>
      <c r="E563" s="5"/>
      <c r="F563" s="5"/>
      <c r="G563" s="5"/>
      <c r="H563" s="306"/>
      <c r="I563" s="306"/>
      <c r="J563" s="5"/>
      <c r="K563" s="5"/>
      <c r="L563" s="5"/>
      <c r="M563" s="5"/>
      <c r="N563" s="5"/>
      <c r="O563" s="5"/>
      <c r="P563" s="57"/>
      <c r="Q563" s="5"/>
      <c r="R563" s="5"/>
      <c r="S563" s="5"/>
      <c r="T563" s="5"/>
      <c r="U563" s="5"/>
      <c r="V563" s="5"/>
      <c r="W563" s="5"/>
      <c r="X563" s="5"/>
      <c r="Y563" s="5"/>
      <c r="Z563" s="5"/>
      <c r="AA563" s="5"/>
    </row>
    <row r="564" spans="1:27" ht="12.75" customHeight="1">
      <c r="A564" s="5"/>
      <c r="B564" s="5"/>
      <c r="C564" s="5"/>
      <c r="D564" s="5"/>
      <c r="E564" s="5"/>
      <c r="F564" s="5"/>
      <c r="G564" s="5"/>
      <c r="H564" s="306"/>
      <c r="I564" s="306"/>
      <c r="J564" s="5"/>
      <c r="K564" s="5"/>
      <c r="L564" s="5"/>
      <c r="M564" s="5"/>
      <c r="N564" s="5"/>
      <c r="O564" s="5"/>
      <c r="P564" s="57"/>
      <c r="Q564" s="5"/>
      <c r="R564" s="5"/>
      <c r="S564" s="5"/>
      <c r="T564" s="5"/>
      <c r="U564" s="5"/>
      <c r="V564" s="5"/>
      <c r="W564" s="5"/>
      <c r="X564" s="5"/>
      <c r="Y564" s="5"/>
      <c r="Z564" s="5"/>
      <c r="AA564" s="5"/>
    </row>
    <row r="565" spans="1:27" ht="12.75" customHeight="1">
      <c r="A565" s="5"/>
      <c r="B565" s="5"/>
      <c r="C565" s="5"/>
      <c r="D565" s="5"/>
      <c r="E565" s="5"/>
      <c r="F565" s="5"/>
      <c r="G565" s="5"/>
      <c r="H565" s="306"/>
      <c r="I565" s="306"/>
      <c r="J565" s="5"/>
      <c r="K565" s="5"/>
      <c r="L565" s="5"/>
      <c r="M565" s="5"/>
      <c r="N565" s="5"/>
      <c r="O565" s="5"/>
      <c r="P565" s="57"/>
      <c r="Q565" s="5"/>
      <c r="R565" s="5"/>
      <c r="S565" s="5"/>
      <c r="T565" s="5"/>
      <c r="U565" s="5"/>
      <c r="V565" s="5"/>
      <c r="W565" s="5"/>
      <c r="X565" s="5"/>
      <c r="Y565" s="5"/>
      <c r="Z565" s="5"/>
      <c r="AA565" s="5"/>
    </row>
    <row r="566" spans="1:27" ht="12.75" customHeight="1">
      <c r="A566" s="5"/>
      <c r="B566" s="5"/>
      <c r="C566" s="5"/>
      <c r="D566" s="5"/>
      <c r="E566" s="5"/>
      <c r="F566" s="5"/>
      <c r="G566" s="5"/>
      <c r="H566" s="306"/>
      <c r="I566" s="306"/>
      <c r="J566" s="5"/>
      <c r="K566" s="5"/>
      <c r="L566" s="5"/>
      <c r="M566" s="5"/>
      <c r="N566" s="5"/>
      <c r="O566" s="5"/>
      <c r="P566" s="57"/>
      <c r="Q566" s="5"/>
      <c r="R566" s="5"/>
      <c r="S566" s="5"/>
      <c r="T566" s="5"/>
      <c r="U566" s="5"/>
      <c r="V566" s="5"/>
      <c r="W566" s="5"/>
      <c r="X566" s="5"/>
      <c r="Y566" s="5"/>
      <c r="Z566" s="5"/>
      <c r="AA566" s="5"/>
    </row>
    <row r="567" spans="1:27" ht="12.75" customHeight="1">
      <c r="A567" s="5"/>
      <c r="B567" s="5"/>
      <c r="C567" s="5"/>
      <c r="D567" s="5"/>
      <c r="E567" s="5"/>
      <c r="F567" s="5"/>
      <c r="G567" s="5"/>
      <c r="H567" s="306"/>
      <c r="I567" s="306"/>
      <c r="J567" s="5"/>
      <c r="K567" s="5"/>
      <c r="L567" s="5"/>
      <c r="M567" s="5"/>
      <c r="N567" s="5"/>
      <c r="O567" s="5"/>
      <c r="P567" s="57"/>
      <c r="Q567" s="5"/>
      <c r="R567" s="5"/>
      <c r="S567" s="5"/>
      <c r="T567" s="5"/>
      <c r="U567" s="5"/>
      <c r="V567" s="5"/>
      <c r="W567" s="5"/>
      <c r="X567" s="5"/>
      <c r="Y567" s="5"/>
      <c r="Z567" s="5"/>
      <c r="AA567" s="5"/>
    </row>
    <row r="568" spans="1:27" ht="12.75" customHeight="1">
      <c r="A568" s="5"/>
      <c r="B568" s="5"/>
      <c r="C568" s="5"/>
      <c r="D568" s="5"/>
      <c r="E568" s="5"/>
      <c r="F568" s="5"/>
      <c r="G568" s="5"/>
      <c r="H568" s="306"/>
      <c r="I568" s="306"/>
      <c r="J568" s="5"/>
      <c r="K568" s="5"/>
      <c r="L568" s="5"/>
      <c r="M568" s="5"/>
      <c r="N568" s="5"/>
      <c r="O568" s="5"/>
      <c r="P568" s="57"/>
      <c r="Q568" s="5"/>
      <c r="R568" s="5"/>
      <c r="S568" s="5"/>
      <c r="T568" s="5"/>
      <c r="U568" s="5"/>
      <c r="V568" s="5"/>
      <c r="W568" s="5"/>
      <c r="X568" s="5"/>
      <c r="Y568" s="5"/>
      <c r="Z568" s="5"/>
      <c r="AA568" s="5"/>
    </row>
    <row r="569" spans="1:27" ht="12.75" customHeight="1">
      <c r="A569" s="5"/>
      <c r="B569" s="5"/>
      <c r="C569" s="5"/>
      <c r="D569" s="5"/>
      <c r="E569" s="5"/>
      <c r="F569" s="5"/>
      <c r="G569" s="5"/>
      <c r="H569" s="306"/>
      <c r="I569" s="306"/>
      <c r="J569" s="5"/>
      <c r="K569" s="5"/>
      <c r="L569" s="5"/>
      <c r="M569" s="5"/>
      <c r="N569" s="5"/>
      <c r="O569" s="5"/>
      <c r="P569" s="57"/>
      <c r="Q569" s="5"/>
      <c r="R569" s="5"/>
      <c r="S569" s="5"/>
      <c r="T569" s="5"/>
      <c r="U569" s="5"/>
      <c r="V569" s="5"/>
      <c r="W569" s="5"/>
      <c r="X569" s="5"/>
      <c r="Y569" s="5"/>
      <c r="Z569" s="5"/>
      <c r="AA569" s="5"/>
    </row>
    <row r="570" spans="1:27" ht="12.75" customHeight="1">
      <c r="A570" s="5"/>
      <c r="B570" s="5"/>
      <c r="C570" s="5"/>
      <c r="D570" s="5"/>
      <c r="E570" s="5"/>
      <c r="F570" s="5"/>
      <c r="G570" s="5"/>
      <c r="H570" s="306"/>
      <c r="I570" s="306"/>
      <c r="J570" s="5"/>
      <c r="K570" s="5"/>
      <c r="L570" s="5"/>
      <c r="M570" s="5"/>
      <c r="N570" s="5"/>
      <c r="O570" s="5"/>
      <c r="P570" s="57"/>
      <c r="Q570" s="5"/>
      <c r="R570" s="5"/>
      <c r="S570" s="5"/>
      <c r="T570" s="5"/>
      <c r="U570" s="5"/>
      <c r="V570" s="5"/>
      <c r="W570" s="5"/>
      <c r="X570" s="5"/>
      <c r="Y570" s="5"/>
      <c r="Z570" s="5"/>
      <c r="AA570" s="5"/>
    </row>
    <row r="571" spans="1:27" ht="12.75" customHeight="1">
      <c r="A571" s="5"/>
      <c r="B571" s="5"/>
      <c r="C571" s="5"/>
      <c r="D571" s="5"/>
      <c r="E571" s="5"/>
      <c r="F571" s="5"/>
      <c r="G571" s="5"/>
      <c r="H571" s="306"/>
      <c r="I571" s="306"/>
      <c r="J571" s="5"/>
      <c r="K571" s="5"/>
      <c r="L571" s="5"/>
      <c r="M571" s="5"/>
      <c r="N571" s="5"/>
      <c r="O571" s="5"/>
      <c r="P571" s="57"/>
      <c r="Q571" s="5"/>
      <c r="R571" s="5"/>
      <c r="S571" s="5"/>
      <c r="T571" s="5"/>
      <c r="U571" s="5"/>
      <c r="V571" s="5"/>
      <c r="W571" s="5"/>
      <c r="X571" s="5"/>
      <c r="Y571" s="5"/>
      <c r="Z571" s="5"/>
      <c r="AA571" s="5"/>
    </row>
    <row r="572" spans="1:27" ht="12.75" customHeight="1">
      <c r="A572" s="5"/>
      <c r="B572" s="5"/>
      <c r="C572" s="5"/>
      <c r="D572" s="5"/>
      <c r="E572" s="5"/>
      <c r="F572" s="5"/>
      <c r="G572" s="5"/>
      <c r="H572" s="306"/>
      <c r="I572" s="306"/>
      <c r="J572" s="5"/>
      <c r="K572" s="5"/>
      <c r="L572" s="5"/>
      <c r="M572" s="5"/>
      <c r="N572" s="5"/>
      <c r="O572" s="5"/>
      <c r="P572" s="57"/>
      <c r="Q572" s="5"/>
      <c r="R572" s="5"/>
      <c r="S572" s="5"/>
      <c r="T572" s="5"/>
      <c r="U572" s="5"/>
      <c r="V572" s="5"/>
      <c r="W572" s="5"/>
      <c r="X572" s="5"/>
      <c r="Y572" s="5"/>
      <c r="Z572" s="5"/>
      <c r="AA572" s="5"/>
    </row>
    <row r="573" spans="1:27" ht="12.75" customHeight="1">
      <c r="A573" s="5"/>
      <c r="B573" s="5"/>
      <c r="C573" s="5"/>
      <c r="D573" s="5"/>
      <c r="E573" s="5"/>
      <c r="F573" s="5"/>
      <c r="G573" s="5"/>
      <c r="H573" s="306"/>
      <c r="I573" s="306"/>
      <c r="J573" s="5"/>
      <c r="K573" s="5"/>
      <c r="L573" s="5"/>
      <c r="M573" s="5"/>
      <c r="N573" s="5"/>
      <c r="O573" s="5"/>
      <c r="P573" s="57"/>
      <c r="Q573" s="5"/>
      <c r="R573" s="5"/>
      <c r="S573" s="5"/>
      <c r="T573" s="5"/>
      <c r="U573" s="5"/>
      <c r="V573" s="5"/>
      <c r="W573" s="5"/>
      <c r="X573" s="5"/>
      <c r="Y573" s="5"/>
      <c r="Z573" s="5"/>
      <c r="AA573" s="5"/>
    </row>
    <row r="574" spans="1:27" ht="12.75" customHeight="1">
      <c r="A574" s="5"/>
      <c r="B574" s="5"/>
      <c r="C574" s="5"/>
      <c r="D574" s="5"/>
      <c r="E574" s="5"/>
      <c r="F574" s="5"/>
      <c r="G574" s="5"/>
      <c r="H574" s="306"/>
      <c r="I574" s="306"/>
      <c r="J574" s="5"/>
      <c r="K574" s="5"/>
      <c r="L574" s="5"/>
      <c r="M574" s="5"/>
      <c r="N574" s="5"/>
      <c r="O574" s="5"/>
      <c r="P574" s="57"/>
      <c r="Q574" s="5"/>
      <c r="R574" s="5"/>
      <c r="S574" s="5"/>
      <c r="T574" s="5"/>
      <c r="U574" s="5"/>
      <c r="V574" s="5"/>
      <c r="W574" s="5"/>
      <c r="X574" s="5"/>
      <c r="Y574" s="5"/>
      <c r="Z574" s="5"/>
      <c r="AA574" s="5"/>
    </row>
    <row r="575" spans="1:27" ht="12.75" customHeight="1">
      <c r="A575" s="5"/>
      <c r="B575" s="5"/>
      <c r="C575" s="5"/>
      <c r="D575" s="5"/>
      <c r="E575" s="5"/>
      <c r="F575" s="5"/>
      <c r="G575" s="5"/>
      <c r="H575" s="306"/>
      <c r="I575" s="306"/>
      <c r="J575" s="5"/>
      <c r="K575" s="5"/>
      <c r="L575" s="5"/>
      <c r="M575" s="5"/>
      <c r="N575" s="5"/>
      <c r="O575" s="5"/>
      <c r="P575" s="57"/>
      <c r="Q575" s="5"/>
      <c r="R575" s="5"/>
      <c r="S575" s="5"/>
      <c r="T575" s="5"/>
      <c r="U575" s="5"/>
      <c r="V575" s="5"/>
      <c r="W575" s="5"/>
      <c r="X575" s="5"/>
      <c r="Y575" s="5"/>
      <c r="Z575" s="5"/>
      <c r="AA575" s="5"/>
    </row>
    <row r="576" spans="1:27" ht="12.75" customHeight="1">
      <c r="A576" s="5"/>
      <c r="B576" s="5"/>
      <c r="C576" s="5"/>
      <c r="D576" s="5"/>
      <c r="E576" s="5"/>
      <c r="F576" s="5"/>
      <c r="G576" s="5"/>
      <c r="H576" s="306"/>
      <c r="I576" s="306"/>
      <c r="J576" s="5"/>
      <c r="K576" s="5"/>
      <c r="L576" s="5"/>
      <c r="M576" s="5"/>
      <c r="N576" s="5"/>
      <c r="O576" s="5"/>
      <c r="P576" s="57"/>
      <c r="Q576" s="5"/>
      <c r="R576" s="5"/>
      <c r="S576" s="5"/>
      <c r="T576" s="5"/>
      <c r="U576" s="5"/>
      <c r="V576" s="5"/>
      <c r="W576" s="5"/>
      <c r="X576" s="5"/>
      <c r="Y576" s="5"/>
      <c r="Z576" s="5"/>
      <c r="AA576" s="5"/>
    </row>
    <row r="577" spans="1:27" ht="12.75" customHeight="1">
      <c r="A577" s="5"/>
      <c r="B577" s="5"/>
      <c r="C577" s="5"/>
      <c r="D577" s="5"/>
      <c r="E577" s="5"/>
      <c r="F577" s="5"/>
      <c r="G577" s="5"/>
      <c r="H577" s="306"/>
      <c r="I577" s="306"/>
      <c r="J577" s="5"/>
      <c r="K577" s="5"/>
      <c r="L577" s="5"/>
      <c r="M577" s="5"/>
      <c r="N577" s="5"/>
      <c r="O577" s="5"/>
      <c r="P577" s="57"/>
      <c r="Q577" s="5"/>
      <c r="R577" s="5"/>
      <c r="S577" s="5"/>
      <c r="T577" s="5"/>
      <c r="U577" s="5"/>
      <c r="V577" s="5"/>
      <c r="W577" s="5"/>
      <c r="X577" s="5"/>
      <c r="Y577" s="5"/>
      <c r="Z577" s="5"/>
      <c r="AA577" s="5"/>
    </row>
    <row r="578" spans="1:27" ht="12.75" customHeight="1">
      <c r="A578" s="5"/>
      <c r="B578" s="5"/>
      <c r="C578" s="5"/>
      <c r="D578" s="5"/>
      <c r="E578" s="5"/>
      <c r="F578" s="5"/>
      <c r="G578" s="5"/>
      <c r="H578" s="306"/>
      <c r="I578" s="306"/>
      <c r="J578" s="5"/>
      <c r="K578" s="5"/>
      <c r="L578" s="5"/>
      <c r="M578" s="5"/>
      <c r="N578" s="5"/>
      <c r="O578" s="5"/>
      <c r="P578" s="57"/>
      <c r="Q578" s="5"/>
      <c r="R578" s="5"/>
      <c r="S578" s="5"/>
      <c r="T578" s="5"/>
      <c r="U578" s="5"/>
      <c r="V578" s="5"/>
      <c r="W578" s="5"/>
      <c r="X578" s="5"/>
      <c r="Y578" s="5"/>
      <c r="Z578" s="5"/>
      <c r="AA578" s="5"/>
    </row>
    <row r="579" spans="1:27" ht="12.75" customHeight="1">
      <c r="A579" s="5"/>
      <c r="B579" s="5"/>
      <c r="C579" s="5"/>
      <c r="D579" s="5"/>
      <c r="E579" s="5"/>
      <c r="F579" s="5"/>
      <c r="G579" s="5"/>
      <c r="H579" s="306"/>
      <c r="I579" s="306"/>
      <c r="J579" s="5"/>
      <c r="K579" s="5"/>
      <c r="L579" s="5"/>
      <c r="M579" s="5"/>
      <c r="N579" s="5"/>
      <c r="O579" s="5"/>
      <c r="P579" s="57"/>
      <c r="Q579" s="5"/>
      <c r="R579" s="5"/>
      <c r="S579" s="5"/>
      <c r="T579" s="5"/>
      <c r="U579" s="5"/>
      <c r="V579" s="5"/>
      <c r="W579" s="5"/>
      <c r="X579" s="5"/>
      <c r="Y579" s="5"/>
      <c r="Z579" s="5"/>
      <c r="AA579" s="5"/>
    </row>
    <row r="580" spans="1:27" ht="12.75" customHeight="1">
      <c r="A580" s="5"/>
      <c r="B580" s="5"/>
      <c r="C580" s="5"/>
      <c r="D580" s="5"/>
      <c r="E580" s="5"/>
      <c r="F580" s="5"/>
      <c r="G580" s="5"/>
      <c r="H580" s="306"/>
      <c r="I580" s="306"/>
      <c r="J580" s="5"/>
      <c r="K580" s="5"/>
      <c r="L580" s="5"/>
      <c r="M580" s="5"/>
      <c r="N580" s="5"/>
      <c r="O580" s="5"/>
      <c r="P580" s="57"/>
      <c r="Q580" s="5"/>
      <c r="R580" s="5"/>
      <c r="S580" s="5"/>
      <c r="T580" s="5"/>
      <c r="U580" s="5"/>
      <c r="V580" s="5"/>
      <c r="W580" s="5"/>
      <c r="X580" s="5"/>
      <c r="Y580" s="5"/>
      <c r="Z580" s="5"/>
      <c r="AA580" s="5"/>
    </row>
    <row r="581" spans="1:27" ht="12.75" customHeight="1">
      <c r="A581" s="5"/>
      <c r="B581" s="5"/>
      <c r="C581" s="5"/>
      <c r="D581" s="5"/>
      <c r="E581" s="5"/>
      <c r="F581" s="5"/>
      <c r="G581" s="5"/>
      <c r="H581" s="306"/>
      <c r="I581" s="306"/>
      <c r="J581" s="5"/>
      <c r="K581" s="5"/>
      <c r="L581" s="5"/>
      <c r="M581" s="5"/>
      <c r="N581" s="5"/>
      <c r="O581" s="5"/>
      <c r="P581" s="57"/>
      <c r="Q581" s="5"/>
      <c r="R581" s="5"/>
      <c r="S581" s="5"/>
      <c r="T581" s="5"/>
      <c r="U581" s="5"/>
      <c r="V581" s="5"/>
      <c r="W581" s="5"/>
      <c r="X581" s="5"/>
      <c r="Y581" s="5"/>
      <c r="Z581" s="5"/>
      <c r="AA581" s="5"/>
    </row>
    <row r="582" spans="1:27" ht="12.75" customHeight="1">
      <c r="A582" s="5"/>
      <c r="B582" s="5"/>
      <c r="C582" s="5"/>
      <c r="D582" s="5"/>
      <c r="E582" s="5"/>
      <c r="F582" s="5"/>
      <c r="G582" s="5"/>
      <c r="H582" s="306"/>
      <c r="I582" s="306"/>
      <c r="J582" s="5"/>
      <c r="K582" s="5"/>
      <c r="L582" s="5"/>
      <c r="M582" s="5"/>
      <c r="N582" s="5"/>
      <c r="O582" s="5"/>
      <c r="P582" s="57"/>
      <c r="Q582" s="5"/>
      <c r="R582" s="5"/>
      <c r="S582" s="5"/>
      <c r="T582" s="5"/>
      <c r="U582" s="5"/>
      <c r="V582" s="5"/>
      <c r="W582" s="5"/>
      <c r="X582" s="5"/>
      <c r="Y582" s="5"/>
      <c r="Z582" s="5"/>
      <c r="AA582" s="5"/>
    </row>
    <row r="583" spans="1:27" ht="12.75" customHeight="1">
      <c r="A583" s="5"/>
      <c r="B583" s="5"/>
      <c r="C583" s="5"/>
      <c r="D583" s="5"/>
      <c r="E583" s="5"/>
      <c r="F583" s="5"/>
      <c r="G583" s="5"/>
      <c r="H583" s="306"/>
      <c r="I583" s="306"/>
      <c r="J583" s="5"/>
      <c r="K583" s="5"/>
      <c r="L583" s="5"/>
      <c r="M583" s="5"/>
      <c r="N583" s="5"/>
      <c r="O583" s="5"/>
      <c r="P583" s="57"/>
      <c r="Q583" s="5"/>
      <c r="R583" s="5"/>
      <c r="S583" s="5"/>
      <c r="T583" s="5"/>
      <c r="U583" s="5"/>
      <c r="V583" s="5"/>
      <c r="W583" s="5"/>
      <c r="X583" s="5"/>
      <c r="Y583" s="5"/>
      <c r="Z583" s="5"/>
      <c r="AA583" s="5"/>
    </row>
    <row r="584" spans="1:27" ht="12.75" customHeight="1">
      <c r="A584" s="5"/>
      <c r="B584" s="5"/>
      <c r="C584" s="5"/>
      <c r="D584" s="5"/>
      <c r="E584" s="5"/>
      <c r="F584" s="5"/>
      <c r="G584" s="5"/>
      <c r="H584" s="306"/>
      <c r="I584" s="306"/>
      <c r="J584" s="5"/>
      <c r="K584" s="5"/>
      <c r="L584" s="5"/>
      <c r="M584" s="5"/>
      <c r="N584" s="5"/>
      <c r="O584" s="5"/>
      <c r="P584" s="57"/>
      <c r="Q584" s="5"/>
      <c r="R584" s="5"/>
      <c r="S584" s="5"/>
      <c r="T584" s="5"/>
      <c r="U584" s="5"/>
      <c r="V584" s="5"/>
      <c r="W584" s="5"/>
      <c r="X584" s="5"/>
      <c r="Y584" s="5"/>
      <c r="Z584" s="5"/>
      <c r="AA584" s="5"/>
    </row>
    <row r="585" spans="1:27" ht="12.75" customHeight="1">
      <c r="A585" s="5"/>
      <c r="B585" s="5"/>
      <c r="C585" s="5"/>
      <c r="D585" s="5"/>
      <c r="E585" s="5"/>
      <c r="F585" s="5"/>
      <c r="G585" s="5"/>
      <c r="H585" s="306"/>
      <c r="I585" s="306"/>
      <c r="J585" s="5"/>
      <c r="K585" s="5"/>
      <c r="L585" s="5"/>
      <c r="M585" s="5"/>
      <c r="N585" s="5"/>
      <c r="O585" s="5"/>
      <c r="P585" s="57"/>
      <c r="Q585" s="5"/>
      <c r="R585" s="5"/>
      <c r="S585" s="5"/>
      <c r="T585" s="5"/>
      <c r="U585" s="5"/>
      <c r="V585" s="5"/>
      <c r="W585" s="5"/>
      <c r="X585" s="5"/>
      <c r="Y585" s="5"/>
      <c r="Z585" s="5"/>
      <c r="AA585" s="5"/>
    </row>
    <row r="586" spans="1:27" ht="12.75" customHeight="1">
      <c r="A586" s="5"/>
      <c r="B586" s="5"/>
      <c r="C586" s="5"/>
      <c r="D586" s="5"/>
      <c r="E586" s="5"/>
      <c r="F586" s="5"/>
      <c r="G586" s="5"/>
      <c r="H586" s="306"/>
      <c r="I586" s="306"/>
      <c r="J586" s="5"/>
      <c r="K586" s="5"/>
      <c r="L586" s="5"/>
      <c r="M586" s="5"/>
      <c r="N586" s="5"/>
      <c r="O586" s="5"/>
      <c r="P586" s="57"/>
      <c r="Q586" s="5"/>
      <c r="R586" s="5"/>
      <c r="S586" s="5"/>
      <c r="T586" s="5"/>
      <c r="U586" s="5"/>
      <c r="V586" s="5"/>
      <c r="W586" s="5"/>
      <c r="X586" s="5"/>
      <c r="Y586" s="5"/>
      <c r="Z586" s="5"/>
      <c r="AA586" s="5"/>
    </row>
    <row r="587" spans="1:27" ht="12.75" customHeight="1">
      <c r="A587" s="5"/>
      <c r="B587" s="5"/>
      <c r="C587" s="5"/>
      <c r="D587" s="5"/>
      <c r="E587" s="5"/>
      <c r="F587" s="5"/>
      <c r="G587" s="5"/>
      <c r="H587" s="306"/>
      <c r="I587" s="306"/>
      <c r="J587" s="5"/>
      <c r="K587" s="5"/>
      <c r="L587" s="5"/>
      <c r="M587" s="5"/>
      <c r="N587" s="5"/>
      <c r="O587" s="5"/>
      <c r="P587" s="57"/>
      <c r="Q587" s="5"/>
      <c r="R587" s="5"/>
      <c r="S587" s="5"/>
      <c r="T587" s="5"/>
      <c r="U587" s="5"/>
      <c r="V587" s="5"/>
      <c r="W587" s="5"/>
      <c r="X587" s="5"/>
      <c r="Y587" s="5"/>
      <c r="Z587" s="5"/>
      <c r="AA587" s="5"/>
    </row>
    <row r="588" spans="1:27" ht="12.75" customHeight="1">
      <c r="A588" s="5"/>
      <c r="B588" s="5"/>
      <c r="C588" s="5"/>
      <c r="D588" s="5"/>
      <c r="E588" s="5"/>
      <c r="F588" s="5"/>
      <c r="G588" s="5"/>
      <c r="H588" s="306"/>
      <c r="I588" s="306"/>
      <c r="J588" s="5"/>
      <c r="K588" s="5"/>
      <c r="L588" s="5"/>
      <c r="M588" s="5"/>
      <c r="N588" s="5"/>
      <c r="O588" s="5"/>
      <c r="P588" s="57"/>
      <c r="Q588" s="5"/>
      <c r="R588" s="5"/>
      <c r="S588" s="5"/>
      <c r="T588" s="5"/>
      <c r="U588" s="5"/>
      <c r="V588" s="5"/>
      <c r="W588" s="5"/>
      <c r="X588" s="5"/>
      <c r="Y588" s="5"/>
      <c r="Z588" s="5"/>
      <c r="AA588" s="5"/>
    </row>
    <row r="589" spans="1:27" ht="12.75" customHeight="1">
      <c r="A589" s="5"/>
      <c r="B589" s="5"/>
      <c r="C589" s="5"/>
      <c r="D589" s="5"/>
      <c r="E589" s="5"/>
      <c r="F589" s="5"/>
      <c r="G589" s="5"/>
      <c r="H589" s="306"/>
      <c r="I589" s="306"/>
      <c r="J589" s="5"/>
      <c r="K589" s="5"/>
      <c r="L589" s="5"/>
      <c r="M589" s="5"/>
      <c r="N589" s="5"/>
      <c r="O589" s="5"/>
      <c r="P589" s="57"/>
      <c r="Q589" s="5"/>
      <c r="R589" s="5"/>
      <c r="S589" s="5"/>
      <c r="T589" s="5"/>
      <c r="U589" s="5"/>
      <c r="V589" s="5"/>
      <c r="W589" s="5"/>
      <c r="X589" s="5"/>
      <c r="Y589" s="5"/>
      <c r="Z589" s="5"/>
      <c r="AA589" s="5"/>
    </row>
    <row r="590" spans="1:27" ht="12.75" customHeight="1">
      <c r="A590" s="5"/>
      <c r="B590" s="5"/>
      <c r="C590" s="5"/>
      <c r="D590" s="5"/>
      <c r="E590" s="5"/>
      <c r="F590" s="5"/>
      <c r="G590" s="5"/>
      <c r="H590" s="306"/>
      <c r="I590" s="306"/>
      <c r="J590" s="5"/>
      <c r="K590" s="5"/>
      <c r="L590" s="5"/>
      <c r="M590" s="5"/>
      <c r="N590" s="5"/>
      <c r="O590" s="5"/>
      <c r="P590" s="57"/>
      <c r="Q590" s="5"/>
      <c r="R590" s="5"/>
      <c r="S590" s="5"/>
      <c r="T590" s="5"/>
      <c r="U590" s="5"/>
      <c r="V590" s="5"/>
      <c r="W590" s="5"/>
      <c r="X590" s="5"/>
      <c r="Y590" s="5"/>
      <c r="Z590" s="5"/>
      <c r="AA590" s="5"/>
    </row>
    <row r="591" spans="1:27" ht="12.75" customHeight="1">
      <c r="A591" s="5"/>
      <c r="B591" s="5"/>
      <c r="C591" s="5"/>
      <c r="D591" s="5"/>
      <c r="E591" s="5"/>
      <c r="F591" s="5"/>
      <c r="G591" s="5"/>
      <c r="H591" s="306"/>
      <c r="I591" s="306"/>
      <c r="J591" s="5"/>
      <c r="K591" s="5"/>
      <c r="L591" s="5"/>
      <c r="M591" s="5"/>
      <c r="N591" s="5"/>
      <c r="O591" s="5"/>
      <c r="P591" s="57"/>
      <c r="Q591" s="5"/>
      <c r="R591" s="5"/>
      <c r="S591" s="5"/>
      <c r="T591" s="5"/>
      <c r="U591" s="5"/>
      <c r="V591" s="5"/>
      <c r="W591" s="5"/>
      <c r="X591" s="5"/>
      <c r="Y591" s="5"/>
      <c r="Z591" s="5"/>
      <c r="AA591" s="5"/>
    </row>
    <row r="592" spans="1:27" ht="12.75" customHeight="1">
      <c r="A592" s="5"/>
      <c r="B592" s="5"/>
      <c r="C592" s="5"/>
      <c r="D592" s="5"/>
      <c r="E592" s="5"/>
      <c r="F592" s="5"/>
      <c r="G592" s="5"/>
      <c r="H592" s="306"/>
      <c r="I592" s="306"/>
      <c r="J592" s="5"/>
      <c r="K592" s="5"/>
      <c r="L592" s="5"/>
      <c r="M592" s="5"/>
      <c r="N592" s="5"/>
      <c r="O592" s="5"/>
      <c r="P592" s="57"/>
      <c r="Q592" s="5"/>
      <c r="R592" s="5"/>
      <c r="S592" s="5"/>
      <c r="T592" s="5"/>
      <c r="U592" s="5"/>
      <c r="V592" s="5"/>
      <c r="W592" s="5"/>
      <c r="X592" s="5"/>
      <c r="Y592" s="5"/>
      <c r="Z592" s="5"/>
      <c r="AA592" s="5"/>
    </row>
    <row r="593" spans="1:27" ht="12.75" customHeight="1">
      <c r="A593" s="5"/>
      <c r="B593" s="5"/>
      <c r="C593" s="5"/>
      <c r="D593" s="5"/>
      <c r="E593" s="5"/>
      <c r="F593" s="5"/>
      <c r="G593" s="5"/>
      <c r="H593" s="306"/>
      <c r="I593" s="306"/>
      <c r="J593" s="5"/>
      <c r="K593" s="5"/>
      <c r="L593" s="5"/>
      <c r="M593" s="5"/>
      <c r="N593" s="5"/>
      <c r="O593" s="5"/>
      <c r="P593" s="57"/>
      <c r="Q593" s="5"/>
      <c r="R593" s="5"/>
      <c r="S593" s="5"/>
      <c r="T593" s="5"/>
      <c r="U593" s="5"/>
      <c r="V593" s="5"/>
      <c r="W593" s="5"/>
      <c r="X593" s="5"/>
      <c r="Y593" s="5"/>
      <c r="Z593" s="5"/>
      <c r="AA593" s="5"/>
    </row>
    <row r="594" spans="1:27" ht="12.75" customHeight="1">
      <c r="A594" s="5"/>
      <c r="B594" s="5"/>
      <c r="C594" s="5"/>
      <c r="D594" s="5"/>
      <c r="E594" s="5"/>
      <c r="F594" s="5"/>
      <c r="G594" s="5"/>
      <c r="H594" s="306"/>
      <c r="I594" s="306"/>
      <c r="J594" s="5"/>
      <c r="K594" s="5"/>
      <c r="L594" s="5"/>
      <c r="M594" s="5"/>
      <c r="N594" s="5"/>
      <c r="O594" s="5"/>
      <c r="P594" s="57"/>
      <c r="Q594" s="5"/>
      <c r="R594" s="5"/>
      <c r="S594" s="5"/>
      <c r="T594" s="5"/>
      <c r="U594" s="5"/>
      <c r="V594" s="5"/>
      <c r="W594" s="5"/>
      <c r="X594" s="5"/>
      <c r="Y594" s="5"/>
      <c r="Z594" s="5"/>
      <c r="AA594" s="5"/>
    </row>
    <row r="595" spans="1:27" ht="12.75" customHeight="1">
      <c r="A595" s="5"/>
      <c r="B595" s="5"/>
      <c r="C595" s="5"/>
      <c r="D595" s="5"/>
      <c r="E595" s="5"/>
      <c r="F595" s="5"/>
      <c r="G595" s="5"/>
      <c r="H595" s="306"/>
      <c r="I595" s="306"/>
      <c r="J595" s="5"/>
      <c r="K595" s="5"/>
      <c r="L595" s="5"/>
      <c r="M595" s="5"/>
      <c r="N595" s="5"/>
      <c r="O595" s="5"/>
      <c r="P595" s="57"/>
      <c r="Q595" s="5"/>
      <c r="R595" s="5"/>
      <c r="S595" s="5"/>
      <c r="T595" s="5"/>
      <c r="U595" s="5"/>
      <c r="V595" s="5"/>
      <c r="W595" s="5"/>
      <c r="X595" s="5"/>
      <c r="Y595" s="5"/>
      <c r="Z595" s="5"/>
      <c r="AA595" s="5"/>
    </row>
    <row r="596" spans="1:27" ht="12.75" customHeight="1">
      <c r="A596" s="5"/>
      <c r="B596" s="5"/>
      <c r="C596" s="5"/>
      <c r="D596" s="5"/>
      <c r="E596" s="5"/>
      <c r="F596" s="5"/>
      <c r="G596" s="5"/>
      <c r="H596" s="306"/>
      <c r="I596" s="306"/>
      <c r="J596" s="5"/>
      <c r="K596" s="5"/>
      <c r="L596" s="5"/>
      <c r="M596" s="5"/>
      <c r="N596" s="5"/>
      <c r="O596" s="5"/>
      <c r="P596" s="57"/>
      <c r="Q596" s="5"/>
      <c r="R596" s="5"/>
      <c r="S596" s="5"/>
      <c r="T596" s="5"/>
      <c r="U596" s="5"/>
      <c r="V596" s="5"/>
      <c r="W596" s="5"/>
      <c r="X596" s="5"/>
      <c r="Y596" s="5"/>
      <c r="Z596" s="5"/>
      <c r="AA596" s="5"/>
    </row>
    <row r="597" spans="1:27" ht="12.75" customHeight="1">
      <c r="A597" s="5"/>
      <c r="B597" s="5"/>
      <c r="C597" s="5"/>
      <c r="D597" s="5"/>
      <c r="E597" s="5"/>
      <c r="F597" s="5"/>
      <c r="G597" s="5"/>
      <c r="H597" s="306"/>
      <c r="I597" s="306"/>
      <c r="J597" s="5"/>
      <c r="K597" s="5"/>
      <c r="L597" s="5"/>
      <c r="M597" s="5"/>
      <c r="N597" s="5"/>
      <c r="O597" s="5"/>
      <c r="P597" s="57"/>
      <c r="Q597" s="5"/>
      <c r="R597" s="5"/>
      <c r="S597" s="5"/>
      <c r="T597" s="5"/>
      <c r="U597" s="5"/>
      <c r="V597" s="5"/>
      <c r="W597" s="5"/>
      <c r="X597" s="5"/>
      <c r="Y597" s="5"/>
      <c r="Z597" s="5"/>
      <c r="AA597" s="5"/>
    </row>
    <row r="598" spans="1:27" ht="12.75" customHeight="1">
      <c r="A598" s="5"/>
      <c r="B598" s="5"/>
      <c r="C598" s="5"/>
      <c r="D598" s="5"/>
      <c r="E598" s="5"/>
      <c r="F598" s="5"/>
      <c r="G598" s="5"/>
      <c r="H598" s="306"/>
      <c r="I598" s="306"/>
      <c r="J598" s="5"/>
      <c r="K598" s="5"/>
      <c r="L598" s="5"/>
      <c r="M598" s="5"/>
      <c r="N598" s="5"/>
      <c r="O598" s="5"/>
      <c r="P598" s="57"/>
      <c r="Q598" s="5"/>
      <c r="R598" s="5"/>
      <c r="S598" s="5"/>
      <c r="T598" s="5"/>
      <c r="U598" s="5"/>
      <c r="V598" s="5"/>
      <c r="W598" s="5"/>
      <c r="X598" s="5"/>
      <c r="Y598" s="5"/>
      <c r="Z598" s="5"/>
      <c r="AA598" s="5"/>
    </row>
    <row r="599" spans="1:27" ht="12.75" customHeight="1">
      <c r="A599" s="5"/>
      <c r="B599" s="5"/>
      <c r="C599" s="5"/>
      <c r="D599" s="5"/>
      <c r="E599" s="5"/>
      <c r="F599" s="5"/>
      <c r="G599" s="5"/>
      <c r="H599" s="306"/>
      <c r="I599" s="306"/>
      <c r="J599" s="5"/>
      <c r="K599" s="5"/>
      <c r="L599" s="5"/>
      <c r="M599" s="5"/>
      <c r="N599" s="5"/>
      <c r="O599" s="5"/>
      <c r="P599" s="57"/>
      <c r="Q599" s="5"/>
      <c r="R599" s="5"/>
      <c r="S599" s="5"/>
      <c r="T599" s="5"/>
      <c r="U599" s="5"/>
      <c r="V599" s="5"/>
      <c r="W599" s="5"/>
      <c r="X599" s="5"/>
      <c r="Y599" s="5"/>
      <c r="Z599" s="5"/>
      <c r="AA599" s="5"/>
    </row>
    <row r="600" spans="1:27" ht="12.75" customHeight="1">
      <c r="A600" s="5"/>
      <c r="B600" s="5"/>
      <c r="C600" s="5"/>
      <c r="D600" s="5"/>
      <c r="E600" s="5"/>
      <c r="F600" s="5"/>
      <c r="G600" s="5"/>
      <c r="H600" s="306"/>
      <c r="I600" s="306"/>
      <c r="J600" s="5"/>
      <c r="K600" s="5"/>
      <c r="L600" s="5"/>
      <c r="M600" s="5"/>
      <c r="N600" s="5"/>
      <c r="O600" s="5"/>
      <c r="P600" s="57"/>
      <c r="Q600" s="5"/>
      <c r="R600" s="5"/>
      <c r="S600" s="5"/>
      <c r="T600" s="5"/>
      <c r="U600" s="5"/>
      <c r="V600" s="5"/>
      <c r="W600" s="5"/>
      <c r="X600" s="5"/>
      <c r="Y600" s="5"/>
      <c r="Z600" s="5"/>
      <c r="AA600" s="5"/>
    </row>
    <row r="601" spans="1:27" ht="12.75" customHeight="1">
      <c r="A601" s="5"/>
      <c r="B601" s="5"/>
      <c r="C601" s="5"/>
      <c r="D601" s="5"/>
      <c r="E601" s="5"/>
      <c r="F601" s="5"/>
      <c r="G601" s="5"/>
      <c r="H601" s="306"/>
      <c r="I601" s="306"/>
      <c r="J601" s="5"/>
      <c r="K601" s="5"/>
      <c r="L601" s="5"/>
      <c r="M601" s="5"/>
      <c r="N601" s="5"/>
      <c r="O601" s="5"/>
      <c r="P601" s="57"/>
      <c r="Q601" s="5"/>
      <c r="R601" s="5"/>
      <c r="S601" s="5"/>
      <c r="T601" s="5"/>
      <c r="U601" s="5"/>
      <c r="V601" s="5"/>
      <c r="W601" s="5"/>
      <c r="X601" s="5"/>
      <c r="Y601" s="5"/>
      <c r="Z601" s="5"/>
      <c r="AA601" s="5"/>
    </row>
    <row r="602" spans="1:27" ht="12.75" customHeight="1">
      <c r="A602" s="5"/>
      <c r="B602" s="5"/>
      <c r="C602" s="5"/>
      <c r="D602" s="5"/>
      <c r="E602" s="5"/>
      <c r="F602" s="5"/>
      <c r="G602" s="5"/>
      <c r="H602" s="306"/>
      <c r="I602" s="306"/>
      <c r="J602" s="5"/>
      <c r="K602" s="5"/>
      <c r="L602" s="5"/>
      <c r="M602" s="5"/>
      <c r="N602" s="5"/>
      <c r="O602" s="5"/>
      <c r="P602" s="57"/>
      <c r="Q602" s="5"/>
      <c r="R602" s="5"/>
      <c r="S602" s="5"/>
      <c r="T602" s="5"/>
      <c r="U602" s="5"/>
      <c r="V602" s="5"/>
      <c r="W602" s="5"/>
      <c r="X602" s="5"/>
      <c r="Y602" s="5"/>
      <c r="Z602" s="5"/>
      <c r="AA602" s="5"/>
    </row>
    <row r="603" spans="1:27" ht="12.75" customHeight="1">
      <c r="A603" s="5"/>
      <c r="B603" s="5"/>
      <c r="C603" s="5"/>
      <c r="D603" s="5"/>
      <c r="E603" s="5"/>
      <c r="F603" s="5"/>
      <c r="G603" s="5"/>
      <c r="H603" s="306"/>
      <c r="I603" s="306"/>
      <c r="J603" s="5"/>
      <c r="K603" s="5"/>
      <c r="L603" s="5"/>
      <c r="M603" s="5"/>
      <c r="N603" s="5"/>
      <c r="O603" s="5"/>
      <c r="P603" s="57"/>
      <c r="Q603" s="5"/>
      <c r="R603" s="5"/>
      <c r="S603" s="5"/>
      <c r="T603" s="5"/>
      <c r="U603" s="5"/>
      <c r="V603" s="5"/>
      <c r="W603" s="5"/>
      <c r="X603" s="5"/>
      <c r="Y603" s="5"/>
      <c r="Z603" s="5"/>
      <c r="AA603" s="5"/>
    </row>
    <row r="604" spans="1:27" ht="12.75" customHeight="1">
      <c r="A604" s="5"/>
      <c r="B604" s="5"/>
      <c r="C604" s="5"/>
      <c r="D604" s="5"/>
      <c r="E604" s="5"/>
      <c r="F604" s="5"/>
      <c r="G604" s="5"/>
      <c r="H604" s="306"/>
      <c r="I604" s="306"/>
      <c r="J604" s="5"/>
      <c r="K604" s="5"/>
      <c r="L604" s="5"/>
      <c r="M604" s="5"/>
      <c r="N604" s="5"/>
      <c r="O604" s="5"/>
      <c r="P604" s="57"/>
      <c r="Q604" s="5"/>
      <c r="R604" s="5"/>
      <c r="S604" s="5"/>
      <c r="T604" s="5"/>
      <c r="U604" s="5"/>
      <c r="V604" s="5"/>
      <c r="W604" s="5"/>
      <c r="X604" s="5"/>
      <c r="Y604" s="5"/>
      <c r="Z604" s="5"/>
      <c r="AA604" s="5"/>
    </row>
    <row r="605" spans="1:27" ht="12.75" customHeight="1">
      <c r="A605" s="5"/>
      <c r="B605" s="5"/>
      <c r="C605" s="5"/>
      <c r="D605" s="5"/>
      <c r="E605" s="5"/>
      <c r="F605" s="5"/>
      <c r="G605" s="5"/>
      <c r="H605" s="306"/>
      <c r="I605" s="306"/>
      <c r="J605" s="5"/>
      <c r="K605" s="5"/>
      <c r="L605" s="5"/>
      <c r="M605" s="5"/>
      <c r="N605" s="5"/>
      <c r="O605" s="5"/>
      <c r="P605" s="57"/>
      <c r="Q605" s="5"/>
      <c r="R605" s="5"/>
      <c r="S605" s="5"/>
      <c r="T605" s="5"/>
      <c r="U605" s="5"/>
      <c r="V605" s="5"/>
      <c r="W605" s="5"/>
      <c r="X605" s="5"/>
      <c r="Y605" s="5"/>
      <c r="Z605" s="5"/>
      <c r="AA605" s="5"/>
    </row>
    <row r="606" spans="1:27" ht="12.75" customHeight="1">
      <c r="A606" s="5"/>
      <c r="B606" s="5"/>
      <c r="C606" s="5"/>
      <c r="D606" s="5"/>
      <c r="E606" s="5"/>
      <c r="F606" s="5"/>
      <c r="G606" s="5"/>
      <c r="H606" s="306"/>
      <c r="I606" s="306"/>
      <c r="J606" s="5"/>
      <c r="K606" s="5"/>
      <c r="L606" s="5"/>
      <c r="M606" s="5"/>
      <c r="N606" s="5"/>
      <c r="O606" s="5"/>
      <c r="P606" s="57"/>
      <c r="Q606" s="5"/>
      <c r="R606" s="5"/>
      <c r="S606" s="5"/>
      <c r="T606" s="5"/>
      <c r="U606" s="5"/>
      <c r="V606" s="5"/>
      <c r="W606" s="5"/>
      <c r="X606" s="5"/>
      <c r="Y606" s="5"/>
      <c r="Z606" s="5"/>
      <c r="AA606" s="5"/>
    </row>
    <row r="607" spans="1:27" ht="12.75" customHeight="1">
      <c r="A607" s="5"/>
      <c r="B607" s="5"/>
      <c r="C607" s="5"/>
      <c r="D607" s="5"/>
      <c r="E607" s="5"/>
      <c r="F607" s="5"/>
      <c r="G607" s="5"/>
      <c r="H607" s="306"/>
      <c r="I607" s="306"/>
      <c r="J607" s="5"/>
      <c r="K607" s="5"/>
      <c r="L607" s="5"/>
      <c r="M607" s="5"/>
      <c r="N607" s="5"/>
      <c r="O607" s="5"/>
      <c r="P607" s="57"/>
      <c r="Q607" s="5"/>
      <c r="R607" s="5"/>
      <c r="S607" s="5"/>
      <c r="T607" s="5"/>
      <c r="U607" s="5"/>
      <c r="V607" s="5"/>
      <c r="W607" s="5"/>
      <c r="X607" s="5"/>
      <c r="Y607" s="5"/>
      <c r="Z607" s="5"/>
      <c r="AA607" s="5"/>
    </row>
    <row r="608" spans="1:27" ht="12.75" customHeight="1">
      <c r="A608" s="5"/>
      <c r="B608" s="5"/>
      <c r="C608" s="5"/>
      <c r="D608" s="5"/>
      <c r="E608" s="5"/>
      <c r="F608" s="5"/>
      <c r="G608" s="5"/>
      <c r="H608" s="306"/>
      <c r="I608" s="306"/>
      <c r="J608" s="5"/>
      <c r="K608" s="5"/>
      <c r="L608" s="5"/>
      <c r="M608" s="5"/>
      <c r="N608" s="5"/>
      <c r="O608" s="5"/>
      <c r="P608" s="57"/>
      <c r="Q608" s="5"/>
      <c r="R608" s="5"/>
      <c r="S608" s="5"/>
      <c r="T608" s="5"/>
      <c r="U608" s="5"/>
      <c r="V608" s="5"/>
      <c r="W608" s="5"/>
      <c r="X608" s="5"/>
      <c r="Y608" s="5"/>
      <c r="Z608" s="5"/>
      <c r="AA608" s="5"/>
    </row>
    <row r="609" spans="1:27" ht="12.75" customHeight="1">
      <c r="A609" s="5"/>
      <c r="B609" s="5"/>
      <c r="C609" s="5"/>
      <c r="D609" s="5"/>
      <c r="E609" s="5"/>
      <c r="F609" s="5"/>
      <c r="G609" s="5"/>
      <c r="H609" s="306"/>
      <c r="I609" s="306"/>
      <c r="J609" s="5"/>
      <c r="K609" s="5"/>
      <c r="L609" s="5"/>
      <c r="M609" s="5"/>
      <c r="N609" s="5"/>
      <c r="O609" s="5"/>
      <c r="P609" s="57"/>
      <c r="Q609" s="5"/>
      <c r="R609" s="5"/>
      <c r="S609" s="5"/>
      <c r="T609" s="5"/>
      <c r="U609" s="5"/>
      <c r="V609" s="5"/>
      <c r="W609" s="5"/>
      <c r="X609" s="5"/>
      <c r="Y609" s="5"/>
      <c r="Z609" s="5"/>
      <c r="AA609" s="5"/>
    </row>
    <row r="610" spans="1:27" ht="12.75" customHeight="1">
      <c r="A610" s="5"/>
      <c r="B610" s="5"/>
      <c r="C610" s="5"/>
      <c r="D610" s="5"/>
      <c r="E610" s="5"/>
      <c r="F610" s="5"/>
      <c r="G610" s="5"/>
      <c r="H610" s="306"/>
      <c r="I610" s="306"/>
      <c r="J610" s="5"/>
      <c r="K610" s="5"/>
      <c r="L610" s="5"/>
      <c r="M610" s="5"/>
      <c r="N610" s="5"/>
      <c r="O610" s="5"/>
      <c r="P610" s="57"/>
      <c r="Q610" s="5"/>
      <c r="R610" s="5"/>
      <c r="S610" s="5"/>
      <c r="T610" s="5"/>
      <c r="U610" s="5"/>
      <c r="V610" s="5"/>
      <c r="W610" s="5"/>
      <c r="X610" s="5"/>
      <c r="Y610" s="5"/>
      <c r="Z610" s="5"/>
      <c r="AA610" s="5"/>
    </row>
    <row r="611" spans="1:27" ht="12.75" customHeight="1">
      <c r="A611" s="5"/>
      <c r="B611" s="5"/>
      <c r="C611" s="5"/>
      <c r="D611" s="5"/>
      <c r="E611" s="5"/>
      <c r="F611" s="5"/>
      <c r="G611" s="5"/>
      <c r="H611" s="306"/>
      <c r="I611" s="306"/>
      <c r="J611" s="5"/>
      <c r="K611" s="5"/>
      <c r="L611" s="5"/>
      <c r="M611" s="5"/>
      <c r="N611" s="5"/>
      <c r="O611" s="5"/>
      <c r="P611" s="57"/>
      <c r="Q611" s="5"/>
      <c r="R611" s="5"/>
      <c r="S611" s="5"/>
      <c r="T611" s="5"/>
      <c r="U611" s="5"/>
      <c r="V611" s="5"/>
      <c r="W611" s="5"/>
      <c r="X611" s="5"/>
      <c r="Y611" s="5"/>
      <c r="Z611" s="5"/>
      <c r="AA611" s="5"/>
    </row>
    <row r="612" spans="1:27" ht="12.75" customHeight="1">
      <c r="A612" s="5"/>
      <c r="B612" s="5"/>
      <c r="C612" s="5"/>
      <c r="D612" s="5"/>
      <c r="E612" s="5"/>
      <c r="F612" s="5"/>
      <c r="G612" s="5"/>
      <c r="H612" s="306"/>
      <c r="I612" s="306"/>
      <c r="J612" s="5"/>
      <c r="K612" s="5"/>
      <c r="L612" s="5"/>
      <c r="M612" s="5"/>
      <c r="N612" s="5"/>
      <c r="O612" s="5"/>
      <c r="P612" s="57"/>
      <c r="Q612" s="5"/>
      <c r="R612" s="5"/>
      <c r="S612" s="5"/>
      <c r="T612" s="5"/>
      <c r="U612" s="5"/>
      <c r="V612" s="5"/>
      <c r="W612" s="5"/>
      <c r="X612" s="5"/>
      <c r="Y612" s="5"/>
      <c r="Z612" s="5"/>
      <c r="AA612" s="5"/>
    </row>
    <row r="613" spans="1:27" ht="12.75" customHeight="1">
      <c r="A613" s="5"/>
      <c r="B613" s="5"/>
      <c r="C613" s="5"/>
      <c r="D613" s="5"/>
      <c r="E613" s="5"/>
      <c r="F613" s="5"/>
      <c r="G613" s="5"/>
      <c r="H613" s="306"/>
      <c r="I613" s="306"/>
      <c r="J613" s="5"/>
      <c r="K613" s="5"/>
      <c r="L613" s="5"/>
      <c r="M613" s="5"/>
      <c r="N613" s="5"/>
      <c r="O613" s="5"/>
      <c r="P613" s="57"/>
      <c r="Q613" s="5"/>
      <c r="R613" s="5"/>
      <c r="S613" s="5"/>
      <c r="T613" s="5"/>
      <c r="U613" s="5"/>
      <c r="V613" s="5"/>
      <c r="W613" s="5"/>
      <c r="X613" s="5"/>
      <c r="Y613" s="5"/>
      <c r="Z613" s="5"/>
      <c r="AA613" s="5"/>
    </row>
    <row r="614" spans="1:27" ht="12.75" customHeight="1">
      <c r="A614" s="5"/>
      <c r="B614" s="5"/>
      <c r="C614" s="5"/>
      <c r="D614" s="5"/>
      <c r="E614" s="5"/>
      <c r="F614" s="5"/>
      <c r="G614" s="5"/>
      <c r="H614" s="306"/>
      <c r="I614" s="306"/>
      <c r="J614" s="5"/>
      <c r="K614" s="5"/>
      <c r="L614" s="5"/>
      <c r="M614" s="5"/>
      <c r="N614" s="5"/>
      <c r="O614" s="5"/>
      <c r="P614" s="57"/>
      <c r="Q614" s="5"/>
      <c r="R614" s="5"/>
      <c r="S614" s="5"/>
      <c r="T614" s="5"/>
      <c r="U614" s="5"/>
      <c r="V614" s="5"/>
      <c r="W614" s="5"/>
      <c r="X614" s="5"/>
      <c r="Y614" s="5"/>
      <c r="Z614" s="5"/>
      <c r="AA614" s="5"/>
    </row>
    <row r="615" spans="1:27" ht="12.75" customHeight="1">
      <c r="A615" s="5"/>
      <c r="B615" s="5"/>
      <c r="C615" s="5"/>
      <c r="D615" s="5"/>
      <c r="E615" s="5"/>
      <c r="F615" s="5"/>
      <c r="G615" s="5"/>
      <c r="H615" s="306"/>
      <c r="I615" s="306"/>
      <c r="J615" s="5"/>
      <c r="K615" s="5"/>
      <c r="L615" s="5"/>
      <c r="M615" s="5"/>
      <c r="N615" s="5"/>
      <c r="O615" s="5"/>
      <c r="P615" s="57"/>
      <c r="Q615" s="5"/>
      <c r="R615" s="5"/>
      <c r="S615" s="5"/>
      <c r="T615" s="5"/>
      <c r="U615" s="5"/>
      <c r="V615" s="5"/>
      <c r="W615" s="5"/>
      <c r="X615" s="5"/>
      <c r="Y615" s="5"/>
      <c r="Z615" s="5"/>
      <c r="AA615" s="5"/>
    </row>
    <row r="616" spans="1:27" ht="12.75" customHeight="1">
      <c r="A616" s="5"/>
      <c r="B616" s="5"/>
      <c r="C616" s="5"/>
      <c r="D616" s="5"/>
      <c r="E616" s="5"/>
      <c r="F616" s="5"/>
      <c r="G616" s="5"/>
      <c r="H616" s="306"/>
      <c r="I616" s="306"/>
      <c r="J616" s="5"/>
      <c r="K616" s="5"/>
      <c r="L616" s="5"/>
      <c r="M616" s="5"/>
      <c r="N616" s="5"/>
      <c r="O616" s="5"/>
      <c r="P616" s="57"/>
      <c r="Q616" s="5"/>
      <c r="R616" s="5"/>
      <c r="S616" s="5"/>
      <c r="T616" s="5"/>
      <c r="U616" s="5"/>
      <c r="V616" s="5"/>
      <c r="W616" s="5"/>
      <c r="X616" s="5"/>
      <c r="Y616" s="5"/>
      <c r="Z616" s="5"/>
      <c r="AA616" s="5"/>
    </row>
    <row r="617" spans="1:27" ht="12.75" customHeight="1">
      <c r="A617" s="5"/>
      <c r="B617" s="5"/>
      <c r="C617" s="5"/>
      <c r="D617" s="5"/>
      <c r="E617" s="5"/>
      <c r="F617" s="5"/>
      <c r="G617" s="5"/>
      <c r="H617" s="306"/>
      <c r="I617" s="306"/>
      <c r="J617" s="5"/>
      <c r="K617" s="5"/>
      <c r="L617" s="5"/>
      <c r="M617" s="5"/>
      <c r="N617" s="5"/>
      <c r="O617" s="5"/>
      <c r="P617" s="57"/>
      <c r="Q617" s="5"/>
      <c r="R617" s="5"/>
      <c r="S617" s="5"/>
      <c r="T617" s="5"/>
      <c r="U617" s="5"/>
      <c r="V617" s="5"/>
      <c r="W617" s="5"/>
      <c r="X617" s="5"/>
      <c r="Y617" s="5"/>
      <c r="Z617" s="5"/>
      <c r="AA617" s="5"/>
    </row>
    <row r="618" spans="1:27" ht="12.75" customHeight="1">
      <c r="A618" s="5"/>
      <c r="B618" s="5"/>
      <c r="C618" s="5"/>
      <c r="D618" s="5"/>
      <c r="E618" s="5"/>
      <c r="F618" s="5"/>
      <c r="G618" s="5"/>
      <c r="H618" s="306"/>
      <c r="I618" s="306"/>
      <c r="J618" s="5"/>
      <c r="K618" s="5"/>
      <c r="L618" s="5"/>
      <c r="M618" s="5"/>
      <c r="N618" s="5"/>
      <c r="O618" s="5"/>
      <c r="P618" s="57"/>
      <c r="Q618" s="5"/>
      <c r="R618" s="5"/>
      <c r="S618" s="5"/>
      <c r="T618" s="5"/>
      <c r="U618" s="5"/>
      <c r="V618" s="5"/>
      <c r="W618" s="5"/>
      <c r="X618" s="5"/>
      <c r="Y618" s="5"/>
      <c r="Z618" s="5"/>
      <c r="AA618" s="5"/>
    </row>
    <row r="619" spans="1:27" ht="12.75" customHeight="1">
      <c r="A619" s="5"/>
      <c r="B619" s="5"/>
      <c r="C619" s="5"/>
      <c r="D619" s="5"/>
      <c r="E619" s="5"/>
      <c r="F619" s="5"/>
      <c r="G619" s="5"/>
      <c r="H619" s="306"/>
      <c r="I619" s="306"/>
      <c r="J619" s="5"/>
      <c r="K619" s="5"/>
      <c r="L619" s="5"/>
      <c r="M619" s="5"/>
      <c r="N619" s="5"/>
      <c r="O619" s="5"/>
      <c r="P619" s="57"/>
      <c r="Q619" s="5"/>
      <c r="R619" s="5"/>
      <c r="S619" s="5"/>
      <c r="T619" s="5"/>
      <c r="U619" s="5"/>
      <c r="V619" s="5"/>
      <c r="W619" s="5"/>
      <c r="X619" s="5"/>
      <c r="Y619" s="5"/>
      <c r="Z619" s="5"/>
      <c r="AA619" s="5"/>
    </row>
    <row r="620" spans="1:27" ht="12.75" customHeight="1">
      <c r="A620" s="5"/>
      <c r="B620" s="5"/>
      <c r="C620" s="5"/>
      <c r="D620" s="5"/>
      <c r="E620" s="5"/>
      <c r="F620" s="5"/>
      <c r="G620" s="5"/>
      <c r="H620" s="306"/>
      <c r="I620" s="306"/>
      <c r="J620" s="5"/>
      <c r="K620" s="5"/>
      <c r="L620" s="5"/>
      <c r="M620" s="5"/>
      <c r="N620" s="5"/>
      <c r="O620" s="5"/>
      <c r="P620" s="57"/>
      <c r="Q620" s="5"/>
      <c r="R620" s="5"/>
      <c r="S620" s="5"/>
      <c r="T620" s="5"/>
      <c r="U620" s="5"/>
      <c r="V620" s="5"/>
      <c r="W620" s="5"/>
      <c r="X620" s="5"/>
      <c r="Y620" s="5"/>
      <c r="Z620" s="5"/>
      <c r="AA620" s="5"/>
    </row>
    <row r="621" spans="1:27" ht="12.75" customHeight="1">
      <c r="A621" s="5"/>
      <c r="B621" s="5"/>
      <c r="C621" s="5"/>
      <c r="D621" s="5"/>
      <c r="E621" s="5"/>
      <c r="F621" s="5"/>
      <c r="G621" s="5"/>
      <c r="H621" s="306"/>
      <c r="I621" s="306"/>
      <c r="J621" s="5"/>
      <c r="K621" s="5"/>
      <c r="L621" s="5"/>
      <c r="M621" s="5"/>
      <c r="N621" s="5"/>
      <c r="O621" s="5"/>
      <c r="P621" s="57"/>
      <c r="Q621" s="5"/>
      <c r="R621" s="5"/>
      <c r="S621" s="5"/>
      <c r="T621" s="5"/>
      <c r="U621" s="5"/>
      <c r="V621" s="5"/>
      <c r="W621" s="5"/>
      <c r="X621" s="5"/>
      <c r="Y621" s="5"/>
      <c r="Z621" s="5"/>
      <c r="AA621" s="5"/>
    </row>
    <row r="622" spans="1:27" ht="12.75" customHeight="1">
      <c r="A622" s="5"/>
      <c r="B622" s="5"/>
      <c r="C622" s="5"/>
      <c r="D622" s="5"/>
      <c r="E622" s="5"/>
      <c r="F622" s="5"/>
      <c r="G622" s="5"/>
      <c r="H622" s="306"/>
      <c r="I622" s="306"/>
      <c r="J622" s="5"/>
      <c r="K622" s="5"/>
      <c r="L622" s="5"/>
      <c r="M622" s="5"/>
      <c r="N622" s="5"/>
      <c r="O622" s="5"/>
      <c r="P622" s="57"/>
      <c r="Q622" s="5"/>
      <c r="R622" s="5"/>
      <c r="S622" s="5"/>
      <c r="T622" s="5"/>
      <c r="U622" s="5"/>
      <c r="V622" s="5"/>
      <c r="W622" s="5"/>
      <c r="X622" s="5"/>
      <c r="Y622" s="5"/>
      <c r="Z622" s="5"/>
      <c r="AA622" s="5"/>
    </row>
    <row r="623" spans="1:27" ht="12.75" customHeight="1">
      <c r="A623" s="5"/>
      <c r="B623" s="5"/>
      <c r="C623" s="5"/>
      <c r="D623" s="5"/>
      <c r="E623" s="5"/>
      <c r="F623" s="5"/>
      <c r="G623" s="5"/>
      <c r="H623" s="306"/>
      <c r="I623" s="306"/>
      <c r="J623" s="5"/>
      <c r="K623" s="5"/>
      <c r="L623" s="5"/>
      <c r="M623" s="5"/>
      <c r="N623" s="5"/>
      <c r="O623" s="5"/>
      <c r="P623" s="57"/>
      <c r="Q623" s="5"/>
      <c r="R623" s="5"/>
      <c r="S623" s="5"/>
      <c r="T623" s="5"/>
      <c r="U623" s="5"/>
      <c r="V623" s="5"/>
      <c r="W623" s="5"/>
      <c r="X623" s="5"/>
      <c r="Y623" s="5"/>
      <c r="Z623" s="5"/>
      <c r="AA623" s="5"/>
    </row>
    <row r="624" spans="1:27" ht="12.75" customHeight="1">
      <c r="A624" s="5"/>
      <c r="B624" s="5"/>
      <c r="C624" s="5"/>
      <c r="D624" s="5"/>
      <c r="E624" s="5"/>
      <c r="F624" s="5"/>
      <c r="G624" s="5"/>
      <c r="H624" s="306"/>
      <c r="I624" s="306"/>
      <c r="J624" s="5"/>
      <c r="K624" s="5"/>
      <c r="L624" s="5"/>
      <c r="M624" s="5"/>
      <c r="N624" s="5"/>
      <c r="O624" s="5"/>
      <c r="P624" s="57"/>
      <c r="Q624" s="5"/>
      <c r="R624" s="5"/>
      <c r="S624" s="5"/>
      <c r="T624" s="5"/>
      <c r="U624" s="5"/>
      <c r="V624" s="5"/>
      <c r="W624" s="5"/>
      <c r="X624" s="5"/>
      <c r="Y624" s="5"/>
      <c r="Z624" s="5"/>
      <c r="AA624" s="5"/>
    </row>
    <row r="625" spans="1:27" ht="12.75" customHeight="1">
      <c r="A625" s="5"/>
      <c r="B625" s="5"/>
      <c r="C625" s="5"/>
      <c r="D625" s="5"/>
      <c r="E625" s="5"/>
      <c r="F625" s="5"/>
      <c r="G625" s="5"/>
      <c r="H625" s="306"/>
      <c r="I625" s="306"/>
      <c r="J625" s="5"/>
      <c r="K625" s="5"/>
      <c r="L625" s="5"/>
      <c r="M625" s="5"/>
      <c r="N625" s="5"/>
      <c r="O625" s="5"/>
      <c r="P625" s="57"/>
      <c r="Q625" s="5"/>
      <c r="R625" s="5"/>
      <c r="S625" s="5"/>
      <c r="T625" s="5"/>
      <c r="U625" s="5"/>
      <c r="V625" s="5"/>
      <c r="W625" s="5"/>
      <c r="X625" s="5"/>
      <c r="Y625" s="5"/>
      <c r="Z625" s="5"/>
      <c r="AA625" s="5"/>
    </row>
    <row r="626" spans="1:27" ht="12.75" customHeight="1">
      <c r="A626" s="5"/>
      <c r="B626" s="5"/>
      <c r="C626" s="5"/>
      <c r="D626" s="5"/>
      <c r="E626" s="5"/>
      <c r="F626" s="5"/>
      <c r="G626" s="5"/>
      <c r="H626" s="306"/>
      <c r="I626" s="306"/>
      <c r="J626" s="5"/>
      <c r="K626" s="5"/>
      <c r="L626" s="5"/>
      <c r="M626" s="5"/>
      <c r="N626" s="5"/>
      <c r="O626" s="5"/>
      <c r="P626" s="57"/>
      <c r="Q626" s="5"/>
      <c r="R626" s="5"/>
      <c r="S626" s="5"/>
      <c r="T626" s="5"/>
      <c r="U626" s="5"/>
      <c r="V626" s="5"/>
      <c r="W626" s="5"/>
      <c r="X626" s="5"/>
      <c r="Y626" s="5"/>
      <c r="Z626" s="5"/>
      <c r="AA626" s="5"/>
    </row>
    <row r="627" spans="1:27" ht="12.75" customHeight="1">
      <c r="A627" s="5"/>
      <c r="B627" s="5"/>
      <c r="C627" s="5"/>
      <c r="D627" s="5"/>
      <c r="E627" s="5"/>
      <c r="F627" s="5"/>
      <c r="G627" s="5"/>
      <c r="H627" s="306"/>
      <c r="I627" s="306"/>
      <c r="J627" s="5"/>
      <c r="K627" s="5"/>
      <c r="L627" s="5"/>
      <c r="M627" s="5"/>
      <c r="N627" s="5"/>
      <c r="O627" s="5"/>
      <c r="P627" s="57"/>
      <c r="Q627" s="5"/>
      <c r="R627" s="5"/>
      <c r="S627" s="5"/>
      <c r="T627" s="5"/>
      <c r="U627" s="5"/>
      <c r="V627" s="5"/>
      <c r="W627" s="5"/>
      <c r="X627" s="5"/>
      <c r="Y627" s="5"/>
      <c r="Z627" s="5"/>
      <c r="AA627" s="5"/>
    </row>
    <row r="628" spans="1:27" ht="12.75" customHeight="1">
      <c r="A628" s="5"/>
      <c r="B628" s="5"/>
      <c r="C628" s="5"/>
      <c r="D628" s="5"/>
      <c r="E628" s="5"/>
      <c r="F628" s="5"/>
      <c r="G628" s="5"/>
      <c r="H628" s="306"/>
      <c r="I628" s="306"/>
      <c r="J628" s="5"/>
      <c r="K628" s="5"/>
      <c r="L628" s="5"/>
      <c r="M628" s="5"/>
      <c r="N628" s="5"/>
      <c r="O628" s="5"/>
      <c r="P628" s="57"/>
      <c r="Q628" s="5"/>
      <c r="R628" s="5"/>
      <c r="S628" s="5"/>
      <c r="T628" s="5"/>
      <c r="U628" s="5"/>
      <c r="V628" s="5"/>
      <c r="W628" s="5"/>
      <c r="X628" s="5"/>
      <c r="Y628" s="5"/>
      <c r="Z628" s="5"/>
      <c r="AA628" s="5"/>
    </row>
    <row r="629" spans="1:27" ht="12.75" customHeight="1">
      <c r="A629" s="5"/>
      <c r="B629" s="5"/>
      <c r="C629" s="5"/>
      <c r="D629" s="5"/>
      <c r="E629" s="5"/>
      <c r="F629" s="5"/>
      <c r="G629" s="5"/>
      <c r="H629" s="306"/>
      <c r="I629" s="306"/>
      <c r="J629" s="5"/>
      <c r="K629" s="5"/>
      <c r="L629" s="5"/>
      <c r="M629" s="5"/>
      <c r="N629" s="5"/>
      <c r="O629" s="5"/>
      <c r="P629" s="57"/>
      <c r="Q629" s="5"/>
      <c r="R629" s="5"/>
      <c r="S629" s="5"/>
      <c r="T629" s="5"/>
      <c r="U629" s="5"/>
      <c r="V629" s="5"/>
      <c r="W629" s="5"/>
      <c r="X629" s="5"/>
      <c r="Y629" s="5"/>
      <c r="Z629" s="5"/>
      <c r="AA629" s="5"/>
    </row>
    <row r="630" spans="1:27" ht="12.75" customHeight="1">
      <c r="A630" s="5"/>
      <c r="B630" s="5"/>
      <c r="C630" s="5"/>
      <c r="D630" s="5"/>
      <c r="E630" s="5"/>
      <c r="F630" s="5"/>
      <c r="G630" s="5"/>
      <c r="H630" s="306"/>
      <c r="I630" s="306"/>
      <c r="J630" s="5"/>
      <c r="K630" s="5"/>
      <c r="L630" s="5"/>
      <c r="M630" s="5"/>
      <c r="N630" s="5"/>
      <c r="O630" s="5"/>
      <c r="P630" s="57"/>
      <c r="Q630" s="5"/>
      <c r="R630" s="5"/>
      <c r="S630" s="5"/>
      <c r="T630" s="5"/>
      <c r="U630" s="5"/>
      <c r="V630" s="5"/>
      <c r="W630" s="5"/>
      <c r="X630" s="5"/>
      <c r="Y630" s="5"/>
      <c r="Z630" s="5"/>
      <c r="AA630" s="5"/>
    </row>
    <row r="631" spans="1:27" ht="12.75" customHeight="1">
      <c r="A631" s="5"/>
      <c r="B631" s="5"/>
      <c r="C631" s="5"/>
      <c r="D631" s="5"/>
      <c r="E631" s="5"/>
      <c r="F631" s="5"/>
      <c r="G631" s="5"/>
      <c r="H631" s="306"/>
      <c r="I631" s="306"/>
      <c r="J631" s="5"/>
      <c r="K631" s="5"/>
      <c r="L631" s="5"/>
      <c r="M631" s="5"/>
      <c r="N631" s="5"/>
      <c r="O631" s="5"/>
      <c r="P631" s="57"/>
      <c r="Q631" s="5"/>
      <c r="R631" s="5"/>
      <c r="S631" s="5"/>
      <c r="T631" s="5"/>
      <c r="U631" s="5"/>
      <c r="V631" s="5"/>
      <c r="W631" s="5"/>
      <c r="X631" s="5"/>
      <c r="Y631" s="5"/>
      <c r="Z631" s="5"/>
      <c r="AA631" s="5"/>
    </row>
    <row r="632" spans="1:27" ht="12.75" customHeight="1">
      <c r="A632" s="5"/>
      <c r="B632" s="5"/>
      <c r="C632" s="5"/>
      <c r="D632" s="5"/>
      <c r="E632" s="5"/>
      <c r="F632" s="5"/>
      <c r="G632" s="5"/>
      <c r="H632" s="306"/>
      <c r="I632" s="306"/>
      <c r="J632" s="5"/>
      <c r="K632" s="5"/>
      <c r="L632" s="5"/>
      <c r="M632" s="5"/>
      <c r="N632" s="5"/>
      <c r="O632" s="5"/>
      <c r="P632" s="57"/>
      <c r="Q632" s="5"/>
      <c r="R632" s="5"/>
      <c r="S632" s="5"/>
      <c r="T632" s="5"/>
      <c r="U632" s="5"/>
      <c r="V632" s="5"/>
      <c r="W632" s="5"/>
      <c r="X632" s="5"/>
      <c r="Y632" s="5"/>
      <c r="Z632" s="5"/>
      <c r="AA632" s="5"/>
    </row>
    <row r="633" spans="1:27" ht="12.75" customHeight="1">
      <c r="A633" s="5"/>
      <c r="B633" s="5"/>
      <c r="C633" s="5"/>
      <c r="D633" s="5"/>
      <c r="E633" s="5"/>
      <c r="F633" s="5"/>
      <c r="G633" s="5"/>
      <c r="H633" s="306"/>
      <c r="I633" s="306"/>
      <c r="J633" s="5"/>
      <c r="K633" s="5"/>
      <c r="L633" s="5"/>
      <c r="M633" s="5"/>
      <c r="N633" s="5"/>
      <c r="O633" s="5"/>
      <c r="P633" s="57"/>
      <c r="Q633" s="5"/>
      <c r="R633" s="5"/>
      <c r="S633" s="5"/>
      <c r="T633" s="5"/>
      <c r="U633" s="5"/>
      <c r="V633" s="5"/>
      <c r="W633" s="5"/>
      <c r="X633" s="5"/>
      <c r="Y633" s="5"/>
      <c r="Z633" s="5"/>
      <c r="AA633" s="5"/>
    </row>
    <row r="634" spans="1:27" ht="12.75" customHeight="1">
      <c r="A634" s="5"/>
      <c r="B634" s="5"/>
      <c r="C634" s="5"/>
      <c r="D634" s="5"/>
      <c r="E634" s="5"/>
      <c r="F634" s="5"/>
      <c r="G634" s="5"/>
      <c r="H634" s="306"/>
      <c r="I634" s="306"/>
      <c r="J634" s="5"/>
      <c r="K634" s="5"/>
      <c r="L634" s="5"/>
      <c r="M634" s="5"/>
      <c r="N634" s="5"/>
      <c r="O634" s="5"/>
      <c r="P634" s="57"/>
      <c r="Q634" s="5"/>
      <c r="R634" s="5"/>
      <c r="S634" s="5"/>
      <c r="T634" s="5"/>
      <c r="U634" s="5"/>
      <c r="V634" s="5"/>
      <c r="W634" s="5"/>
      <c r="X634" s="5"/>
      <c r="Y634" s="5"/>
      <c r="Z634" s="5"/>
      <c r="AA634" s="5"/>
    </row>
    <row r="635" spans="1:27" ht="12.75" customHeight="1">
      <c r="A635" s="5"/>
      <c r="B635" s="5"/>
      <c r="C635" s="5"/>
      <c r="D635" s="5"/>
      <c r="E635" s="5"/>
      <c r="F635" s="5"/>
      <c r="G635" s="5"/>
      <c r="H635" s="306"/>
      <c r="I635" s="306"/>
      <c r="J635" s="5"/>
      <c r="K635" s="5"/>
      <c r="L635" s="5"/>
      <c r="M635" s="5"/>
      <c r="N635" s="5"/>
      <c r="O635" s="5"/>
      <c r="P635" s="57"/>
      <c r="Q635" s="5"/>
      <c r="R635" s="5"/>
      <c r="S635" s="5"/>
      <c r="T635" s="5"/>
      <c r="U635" s="5"/>
      <c r="V635" s="5"/>
      <c r="W635" s="5"/>
      <c r="X635" s="5"/>
      <c r="Y635" s="5"/>
      <c r="Z635" s="5"/>
      <c r="AA635" s="5"/>
    </row>
    <row r="636" spans="1:27" ht="12.75" customHeight="1">
      <c r="A636" s="5"/>
      <c r="B636" s="5"/>
      <c r="C636" s="5"/>
      <c r="D636" s="5"/>
      <c r="E636" s="5"/>
      <c r="F636" s="5"/>
      <c r="G636" s="5"/>
      <c r="H636" s="306"/>
      <c r="I636" s="306"/>
      <c r="J636" s="5"/>
      <c r="K636" s="5"/>
      <c r="L636" s="5"/>
      <c r="M636" s="5"/>
      <c r="N636" s="5"/>
      <c r="O636" s="5"/>
      <c r="P636" s="57"/>
      <c r="Q636" s="5"/>
      <c r="R636" s="5"/>
      <c r="S636" s="5"/>
      <c r="T636" s="5"/>
      <c r="U636" s="5"/>
      <c r="V636" s="5"/>
      <c r="W636" s="5"/>
      <c r="X636" s="5"/>
      <c r="Y636" s="5"/>
      <c r="Z636" s="5"/>
      <c r="AA636" s="5"/>
    </row>
    <row r="637" spans="1:27" ht="12.75" customHeight="1">
      <c r="A637" s="5"/>
      <c r="B637" s="5"/>
      <c r="C637" s="5"/>
      <c r="D637" s="5"/>
      <c r="E637" s="5"/>
      <c r="F637" s="5"/>
      <c r="G637" s="5"/>
      <c r="H637" s="306"/>
      <c r="I637" s="306"/>
      <c r="J637" s="5"/>
      <c r="K637" s="5"/>
      <c r="L637" s="5"/>
      <c r="M637" s="5"/>
      <c r="N637" s="5"/>
      <c r="O637" s="5"/>
      <c r="P637" s="57"/>
      <c r="Q637" s="5"/>
      <c r="R637" s="5"/>
      <c r="S637" s="5"/>
      <c r="T637" s="5"/>
      <c r="U637" s="5"/>
      <c r="V637" s="5"/>
      <c r="W637" s="5"/>
      <c r="X637" s="5"/>
      <c r="Y637" s="5"/>
      <c r="Z637" s="5"/>
      <c r="AA637" s="5"/>
    </row>
    <row r="638" spans="1:27" ht="12.75" customHeight="1">
      <c r="A638" s="5"/>
      <c r="B638" s="5"/>
      <c r="C638" s="5"/>
      <c r="D638" s="5"/>
      <c r="E638" s="5"/>
      <c r="F638" s="5"/>
      <c r="G638" s="5"/>
      <c r="H638" s="306"/>
      <c r="I638" s="306"/>
      <c r="J638" s="5"/>
      <c r="K638" s="5"/>
      <c r="L638" s="5"/>
      <c r="M638" s="5"/>
      <c r="N638" s="5"/>
      <c r="O638" s="5"/>
      <c r="P638" s="57"/>
      <c r="Q638" s="5"/>
      <c r="R638" s="5"/>
      <c r="S638" s="5"/>
      <c r="T638" s="5"/>
      <c r="U638" s="5"/>
      <c r="V638" s="5"/>
      <c r="W638" s="5"/>
      <c r="X638" s="5"/>
      <c r="Y638" s="5"/>
      <c r="Z638" s="5"/>
      <c r="AA638" s="5"/>
    </row>
    <row r="639" spans="1:27" ht="12.75" customHeight="1">
      <c r="A639" s="5"/>
      <c r="B639" s="5"/>
      <c r="C639" s="5"/>
      <c r="D639" s="5"/>
      <c r="E639" s="5"/>
      <c r="F639" s="5"/>
      <c r="G639" s="5"/>
      <c r="H639" s="306"/>
      <c r="I639" s="306"/>
      <c r="J639" s="5"/>
      <c r="K639" s="5"/>
      <c r="L639" s="5"/>
      <c r="M639" s="5"/>
      <c r="N639" s="5"/>
      <c r="O639" s="5"/>
      <c r="P639" s="57"/>
      <c r="Q639" s="5"/>
      <c r="R639" s="5"/>
      <c r="S639" s="5"/>
      <c r="T639" s="5"/>
      <c r="U639" s="5"/>
      <c r="V639" s="5"/>
      <c r="W639" s="5"/>
      <c r="X639" s="5"/>
      <c r="Y639" s="5"/>
      <c r="Z639" s="5"/>
      <c r="AA639" s="5"/>
    </row>
    <row r="640" spans="1:27" ht="12.75" customHeight="1">
      <c r="A640" s="5"/>
      <c r="B640" s="5"/>
      <c r="C640" s="5"/>
      <c r="D640" s="5"/>
      <c r="E640" s="5"/>
      <c r="F640" s="5"/>
      <c r="G640" s="5"/>
      <c r="H640" s="306"/>
      <c r="I640" s="306"/>
      <c r="J640" s="5"/>
      <c r="K640" s="5"/>
      <c r="L640" s="5"/>
      <c r="M640" s="5"/>
      <c r="N640" s="5"/>
      <c r="O640" s="5"/>
      <c r="P640" s="57"/>
      <c r="Q640" s="5"/>
      <c r="R640" s="5"/>
      <c r="S640" s="5"/>
      <c r="T640" s="5"/>
      <c r="U640" s="5"/>
      <c r="V640" s="5"/>
      <c r="W640" s="5"/>
      <c r="X640" s="5"/>
      <c r="Y640" s="5"/>
      <c r="Z640" s="5"/>
      <c r="AA640" s="5"/>
    </row>
    <row r="641" spans="1:27" ht="12.75" customHeight="1">
      <c r="A641" s="5"/>
      <c r="B641" s="5"/>
      <c r="C641" s="5"/>
      <c r="D641" s="5"/>
      <c r="E641" s="5"/>
      <c r="F641" s="5"/>
      <c r="G641" s="5"/>
      <c r="H641" s="306"/>
      <c r="I641" s="306"/>
      <c r="J641" s="5"/>
      <c r="K641" s="5"/>
      <c r="L641" s="5"/>
      <c r="M641" s="5"/>
      <c r="N641" s="5"/>
      <c r="O641" s="5"/>
      <c r="P641" s="57"/>
      <c r="Q641" s="5"/>
      <c r="R641" s="5"/>
      <c r="S641" s="5"/>
      <c r="T641" s="5"/>
      <c r="U641" s="5"/>
      <c r="V641" s="5"/>
      <c r="W641" s="5"/>
      <c r="X641" s="5"/>
      <c r="Y641" s="5"/>
      <c r="Z641" s="5"/>
      <c r="AA641" s="5"/>
    </row>
    <row r="642" spans="1:27" ht="12.75" customHeight="1">
      <c r="A642" s="5"/>
      <c r="B642" s="5"/>
      <c r="C642" s="5"/>
      <c r="D642" s="5"/>
      <c r="E642" s="5"/>
      <c r="F642" s="5"/>
      <c r="G642" s="5"/>
      <c r="H642" s="306"/>
      <c r="I642" s="306"/>
      <c r="J642" s="5"/>
      <c r="K642" s="5"/>
      <c r="L642" s="5"/>
      <c r="M642" s="5"/>
      <c r="N642" s="5"/>
      <c r="O642" s="5"/>
      <c r="P642" s="57"/>
      <c r="Q642" s="5"/>
      <c r="R642" s="5"/>
      <c r="S642" s="5"/>
      <c r="T642" s="5"/>
      <c r="U642" s="5"/>
      <c r="V642" s="5"/>
      <c r="W642" s="5"/>
      <c r="X642" s="5"/>
      <c r="Y642" s="5"/>
      <c r="Z642" s="5"/>
      <c r="AA642" s="5"/>
    </row>
    <row r="643" spans="1:27" ht="12.75" customHeight="1">
      <c r="A643" s="5"/>
      <c r="B643" s="5"/>
      <c r="C643" s="5"/>
      <c r="D643" s="5"/>
      <c r="E643" s="5"/>
      <c r="F643" s="5"/>
      <c r="G643" s="5"/>
      <c r="H643" s="306"/>
      <c r="I643" s="306"/>
      <c r="J643" s="5"/>
      <c r="K643" s="5"/>
      <c r="L643" s="5"/>
      <c r="M643" s="5"/>
      <c r="N643" s="5"/>
      <c r="O643" s="5"/>
      <c r="P643" s="57"/>
      <c r="Q643" s="5"/>
      <c r="R643" s="5"/>
      <c r="S643" s="5"/>
      <c r="T643" s="5"/>
      <c r="U643" s="5"/>
      <c r="V643" s="5"/>
      <c r="W643" s="5"/>
      <c r="X643" s="5"/>
      <c r="Y643" s="5"/>
      <c r="Z643" s="5"/>
      <c r="AA643" s="5"/>
    </row>
    <row r="644" spans="1:27" ht="12.75" customHeight="1">
      <c r="A644" s="5"/>
      <c r="B644" s="5"/>
      <c r="C644" s="5"/>
      <c r="D644" s="5"/>
      <c r="E644" s="5"/>
      <c r="F644" s="5"/>
      <c r="G644" s="5"/>
      <c r="H644" s="306"/>
      <c r="I644" s="306"/>
      <c r="J644" s="5"/>
      <c r="K644" s="5"/>
      <c r="L644" s="5"/>
      <c r="M644" s="5"/>
      <c r="N644" s="5"/>
      <c r="O644" s="5"/>
      <c r="P644" s="57"/>
      <c r="Q644" s="5"/>
      <c r="R644" s="5"/>
      <c r="S644" s="5"/>
      <c r="T644" s="5"/>
      <c r="U644" s="5"/>
      <c r="V644" s="5"/>
      <c r="W644" s="5"/>
      <c r="X644" s="5"/>
      <c r="Y644" s="5"/>
      <c r="Z644" s="5"/>
      <c r="AA644" s="5"/>
    </row>
    <row r="645" spans="1:27" ht="12.75" customHeight="1">
      <c r="A645" s="5"/>
      <c r="B645" s="5"/>
      <c r="C645" s="5"/>
      <c r="D645" s="5"/>
      <c r="E645" s="5"/>
      <c r="F645" s="5"/>
      <c r="G645" s="5"/>
      <c r="H645" s="306"/>
      <c r="I645" s="306"/>
      <c r="J645" s="5"/>
      <c r="K645" s="5"/>
      <c r="L645" s="5"/>
      <c r="M645" s="5"/>
      <c r="N645" s="5"/>
      <c r="O645" s="5"/>
      <c r="P645" s="57"/>
      <c r="Q645" s="5"/>
      <c r="R645" s="5"/>
      <c r="S645" s="5"/>
      <c r="T645" s="5"/>
      <c r="U645" s="5"/>
      <c r="V645" s="5"/>
      <c r="W645" s="5"/>
      <c r="X645" s="5"/>
      <c r="Y645" s="5"/>
      <c r="Z645" s="5"/>
      <c r="AA645" s="5"/>
    </row>
    <row r="646" spans="1:27" ht="12.75" customHeight="1">
      <c r="A646" s="5"/>
      <c r="B646" s="5"/>
      <c r="C646" s="5"/>
      <c r="D646" s="5"/>
      <c r="E646" s="5"/>
      <c r="F646" s="5"/>
      <c r="G646" s="5"/>
      <c r="H646" s="306"/>
      <c r="I646" s="306"/>
      <c r="J646" s="5"/>
      <c r="K646" s="5"/>
      <c r="L646" s="5"/>
      <c r="M646" s="5"/>
      <c r="N646" s="5"/>
      <c r="O646" s="5"/>
      <c r="P646" s="57"/>
      <c r="Q646" s="5"/>
      <c r="R646" s="5"/>
      <c r="S646" s="5"/>
      <c r="T646" s="5"/>
      <c r="U646" s="5"/>
      <c r="V646" s="5"/>
      <c r="W646" s="5"/>
      <c r="X646" s="5"/>
      <c r="Y646" s="5"/>
      <c r="Z646" s="5"/>
      <c r="AA646" s="5"/>
    </row>
    <row r="647" spans="1:27" ht="12.75" customHeight="1">
      <c r="A647" s="5"/>
      <c r="B647" s="5"/>
      <c r="C647" s="5"/>
      <c r="D647" s="5"/>
      <c r="E647" s="5"/>
      <c r="F647" s="5"/>
      <c r="G647" s="5"/>
      <c r="H647" s="306"/>
      <c r="I647" s="306"/>
      <c r="J647" s="5"/>
      <c r="K647" s="5"/>
      <c r="L647" s="5"/>
      <c r="M647" s="5"/>
      <c r="N647" s="5"/>
      <c r="O647" s="5"/>
      <c r="P647" s="57"/>
      <c r="Q647" s="5"/>
      <c r="R647" s="5"/>
      <c r="S647" s="5"/>
      <c r="T647" s="5"/>
      <c r="U647" s="5"/>
      <c r="V647" s="5"/>
      <c r="W647" s="5"/>
      <c r="X647" s="5"/>
      <c r="Y647" s="5"/>
      <c r="Z647" s="5"/>
      <c r="AA647" s="5"/>
    </row>
    <row r="648" spans="1:27" ht="12.75" customHeight="1">
      <c r="A648" s="5"/>
      <c r="B648" s="5"/>
      <c r="C648" s="5"/>
      <c r="D648" s="5"/>
      <c r="E648" s="5"/>
      <c r="F648" s="5"/>
      <c r="G648" s="5"/>
      <c r="H648" s="306"/>
      <c r="I648" s="306"/>
      <c r="J648" s="5"/>
      <c r="K648" s="5"/>
      <c r="L648" s="5"/>
      <c r="M648" s="5"/>
      <c r="N648" s="5"/>
      <c r="O648" s="5"/>
      <c r="P648" s="57"/>
      <c r="Q648" s="5"/>
      <c r="R648" s="5"/>
      <c r="S648" s="5"/>
      <c r="T648" s="5"/>
      <c r="U648" s="5"/>
      <c r="V648" s="5"/>
      <c r="W648" s="5"/>
      <c r="X648" s="5"/>
      <c r="Y648" s="5"/>
      <c r="Z648" s="5"/>
      <c r="AA648" s="5"/>
    </row>
    <row r="649" spans="1:27" ht="12.75" customHeight="1">
      <c r="A649" s="5"/>
      <c r="B649" s="5"/>
      <c r="C649" s="5"/>
      <c r="D649" s="5"/>
      <c r="E649" s="5"/>
      <c r="F649" s="5"/>
      <c r="G649" s="5"/>
      <c r="H649" s="306"/>
      <c r="I649" s="306"/>
      <c r="J649" s="5"/>
      <c r="K649" s="5"/>
      <c r="L649" s="5"/>
      <c r="M649" s="5"/>
      <c r="N649" s="5"/>
      <c r="O649" s="5"/>
      <c r="P649" s="57"/>
      <c r="Q649" s="5"/>
      <c r="R649" s="5"/>
      <c r="S649" s="5"/>
      <c r="T649" s="5"/>
      <c r="U649" s="5"/>
      <c r="V649" s="5"/>
      <c r="W649" s="5"/>
      <c r="X649" s="5"/>
      <c r="Y649" s="5"/>
      <c r="Z649" s="5"/>
      <c r="AA649" s="5"/>
    </row>
    <row r="650" spans="1:27" ht="12.75" customHeight="1">
      <c r="A650" s="5"/>
      <c r="B650" s="5"/>
      <c r="C650" s="5"/>
      <c r="D650" s="5"/>
      <c r="E650" s="5"/>
      <c r="F650" s="5"/>
      <c r="G650" s="5"/>
      <c r="H650" s="306"/>
      <c r="I650" s="306"/>
      <c r="J650" s="5"/>
      <c r="K650" s="5"/>
      <c r="L650" s="5"/>
      <c r="M650" s="5"/>
      <c r="N650" s="5"/>
      <c r="O650" s="5"/>
      <c r="P650" s="57"/>
      <c r="Q650" s="5"/>
      <c r="R650" s="5"/>
      <c r="S650" s="5"/>
      <c r="T650" s="5"/>
      <c r="U650" s="5"/>
      <c r="V650" s="5"/>
      <c r="W650" s="5"/>
      <c r="X650" s="5"/>
      <c r="Y650" s="5"/>
      <c r="Z650" s="5"/>
      <c r="AA650" s="5"/>
    </row>
    <row r="651" spans="1:27" ht="12.75" customHeight="1">
      <c r="A651" s="5"/>
      <c r="B651" s="5"/>
      <c r="C651" s="5"/>
      <c r="D651" s="5"/>
      <c r="E651" s="5"/>
      <c r="F651" s="5"/>
      <c r="G651" s="5"/>
      <c r="H651" s="306"/>
      <c r="I651" s="306"/>
      <c r="J651" s="5"/>
      <c r="K651" s="5"/>
      <c r="L651" s="5"/>
      <c r="M651" s="5"/>
      <c r="N651" s="5"/>
      <c r="O651" s="5"/>
      <c r="P651" s="57"/>
      <c r="Q651" s="5"/>
      <c r="R651" s="5"/>
      <c r="S651" s="5"/>
      <c r="T651" s="5"/>
      <c r="U651" s="5"/>
      <c r="V651" s="5"/>
      <c r="W651" s="5"/>
      <c r="X651" s="5"/>
      <c r="Y651" s="5"/>
      <c r="Z651" s="5"/>
      <c r="AA651" s="5"/>
    </row>
    <row r="652" spans="1:27" ht="12.75" customHeight="1">
      <c r="A652" s="5"/>
      <c r="B652" s="5"/>
      <c r="C652" s="5"/>
      <c r="D652" s="5"/>
      <c r="E652" s="5"/>
      <c r="F652" s="5"/>
      <c r="G652" s="5"/>
      <c r="H652" s="306"/>
      <c r="I652" s="306"/>
      <c r="J652" s="5"/>
      <c r="K652" s="5"/>
      <c r="L652" s="5"/>
      <c r="M652" s="5"/>
      <c r="N652" s="5"/>
      <c r="O652" s="5"/>
      <c r="P652" s="57"/>
      <c r="Q652" s="5"/>
      <c r="R652" s="5"/>
      <c r="S652" s="5"/>
      <c r="T652" s="5"/>
      <c r="U652" s="5"/>
      <c r="V652" s="5"/>
      <c r="W652" s="5"/>
      <c r="X652" s="5"/>
      <c r="Y652" s="5"/>
      <c r="Z652" s="5"/>
      <c r="AA652" s="5"/>
    </row>
    <row r="653" spans="1:27" ht="12.75" customHeight="1">
      <c r="A653" s="5"/>
      <c r="B653" s="5"/>
      <c r="C653" s="5"/>
      <c r="D653" s="5"/>
      <c r="E653" s="5"/>
      <c r="F653" s="5"/>
      <c r="G653" s="5"/>
      <c r="H653" s="306"/>
      <c r="I653" s="306"/>
      <c r="J653" s="5"/>
      <c r="K653" s="5"/>
      <c r="L653" s="5"/>
      <c r="M653" s="5"/>
      <c r="N653" s="5"/>
      <c r="O653" s="5"/>
      <c r="P653" s="57"/>
      <c r="Q653" s="5"/>
      <c r="R653" s="5"/>
      <c r="S653" s="5"/>
      <c r="T653" s="5"/>
      <c r="U653" s="5"/>
      <c r="V653" s="5"/>
      <c r="W653" s="5"/>
      <c r="X653" s="5"/>
      <c r="Y653" s="5"/>
      <c r="Z653" s="5"/>
      <c r="AA653" s="5"/>
    </row>
    <row r="654" spans="1:27" ht="12.75" customHeight="1">
      <c r="A654" s="5"/>
      <c r="B654" s="5"/>
      <c r="C654" s="5"/>
      <c r="D654" s="5"/>
      <c r="E654" s="5"/>
      <c r="F654" s="5"/>
      <c r="G654" s="5"/>
      <c r="H654" s="306"/>
      <c r="I654" s="306"/>
      <c r="J654" s="5"/>
      <c r="K654" s="5"/>
      <c r="L654" s="5"/>
      <c r="M654" s="5"/>
      <c r="N654" s="5"/>
      <c r="O654" s="5"/>
      <c r="P654" s="57"/>
      <c r="Q654" s="5"/>
      <c r="R654" s="5"/>
      <c r="S654" s="5"/>
      <c r="T654" s="5"/>
      <c r="U654" s="5"/>
      <c r="V654" s="5"/>
      <c r="W654" s="5"/>
      <c r="X654" s="5"/>
      <c r="Y654" s="5"/>
      <c r="Z654" s="5"/>
      <c r="AA654" s="5"/>
    </row>
    <row r="655" spans="1:27" ht="12.75" customHeight="1">
      <c r="A655" s="5"/>
      <c r="B655" s="5"/>
      <c r="C655" s="5"/>
      <c r="D655" s="5"/>
      <c r="E655" s="5"/>
      <c r="F655" s="5"/>
      <c r="G655" s="5"/>
      <c r="H655" s="306"/>
      <c r="I655" s="306"/>
      <c r="J655" s="5"/>
      <c r="K655" s="5"/>
      <c r="L655" s="5"/>
      <c r="M655" s="5"/>
      <c r="N655" s="5"/>
      <c r="O655" s="5"/>
      <c r="P655" s="57"/>
      <c r="Q655" s="5"/>
      <c r="R655" s="5"/>
      <c r="S655" s="5"/>
      <c r="T655" s="5"/>
      <c r="U655" s="5"/>
      <c r="V655" s="5"/>
      <c r="W655" s="5"/>
      <c r="X655" s="5"/>
      <c r="Y655" s="5"/>
      <c r="Z655" s="5"/>
      <c r="AA655" s="5"/>
    </row>
    <row r="656" spans="1:27" ht="12.75" customHeight="1">
      <c r="A656" s="5"/>
      <c r="B656" s="5"/>
      <c r="C656" s="5"/>
      <c r="D656" s="5"/>
      <c r="E656" s="5"/>
      <c r="F656" s="5"/>
      <c r="G656" s="5"/>
      <c r="H656" s="306"/>
      <c r="I656" s="306"/>
      <c r="J656" s="5"/>
      <c r="K656" s="5"/>
      <c r="L656" s="5"/>
      <c r="M656" s="5"/>
      <c r="N656" s="5"/>
      <c r="O656" s="5"/>
      <c r="P656" s="57"/>
      <c r="Q656" s="5"/>
      <c r="R656" s="5"/>
      <c r="S656" s="5"/>
      <c r="T656" s="5"/>
      <c r="U656" s="5"/>
      <c r="V656" s="5"/>
      <c r="W656" s="5"/>
      <c r="X656" s="5"/>
      <c r="Y656" s="5"/>
      <c r="Z656" s="5"/>
      <c r="AA656" s="5"/>
    </row>
    <row r="657" spans="1:27" ht="12.75" customHeight="1">
      <c r="A657" s="5"/>
      <c r="B657" s="5"/>
      <c r="C657" s="5"/>
      <c r="D657" s="5"/>
      <c r="E657" s="5"/>
      <c r="F657" s="5"/>
      <c r="G657" s="5"/>
      <c r="H657" s="306"/>
      <c r="I657" s="306"/>
      <c r="J657" s="5"/>
      <c r="K657" s="5"/>
      <c r="L657" s="5"/>
      <c r="M657" s="5"/>
      <c r="N657" s="5"/>
      <c r="O657" s="5"/>
      <c r="P657" s="57"/>
      <c r="Q657" s="5"/>
      <c r="R657" s="5"/>
      <c r="S657" s="5"/>
      <c r="T657" s="5"/>
      <c r="U657" s="5"/>
      <c r="V657" s="5"/>
      <c r="W657" s="5"/>
      <c r="X657" s="5"/>
      <c r="Y657" s="5"/>
      <c r="Z657" s="5"/>
      <c r="AA657" s="5"/>
    </row>
    <row r="658" spans="1:27" ht="12.75" customHeight="1">
      <c r="A658" s="5"/>
      <c r="B658" s="5"/>
      <c r="C658" s="5"/>
      <c r="D658" s="5"/>
      <c r="E658" s="5"/>
      <c r="F658" s="5"/>
      <c r="G658" s="5"/>
      <c r="H658" s="306"/>
      <c r="I658" s="306"/>
      <c r="J658" s="5"/>
      <c r="K658" s="5"/>
      <c r="L658" s="5"/>
      <c r="M658" s="5"/>
      <c r="N658" s="5"/>
      <c r="O658" s="5"/>
      <c r="P658" s="57"/>
      <c r="Q658" s="5"/>
      <c r="R658" s="5"/>
      <c r="S658" s="5"/>
      <c r="T658" s="5"/>
      <c r="U658" s="5"/>
      <c r="V658" s="5"/>
      <c r="W658" s="5"/>
      <c r="X658" s="5"/>
      <c r="Y658" s="5"/>
      <c r="Z658" s="5"/>
      <c r="AA658" s="5"/>
    </row>
    <row r="659" spans="1:27" ht="12.75" customHeight="1">
      <c r="A659" s="5"/>
      <c r="B659" s="5"/>
      <c r="C659" s="5"/>
      <c r="D659" s="5"/>
      <c r="E659" s="5"/>
      <c r="F659" s="5"/>
      <c r="G659" s="5"/>
      <c r="H659" s="306"/>
      <c r="I659" s="306"/>
      <c r="J659" s="5"/>
      <c r="K659" s="5"/>
      <c r="L659" s="5"/>
      <c r="M659" s="5"/>
      <c r="N659" s="5"/>
      <c r="O659" s="5"/>
      <c r="P659" s="57"/>
      <c r="Q659" s="5"/>
      <c r="R659" s="5"/>
      <c r="S659" s="5"/>
      <c r="T659" s="5"/>
      <c r="U659" s="5"/>
      <c r="V659" s="5"/>
      <c r="W659" s="5"/>
      <c r="X659" s="5"/>
      <c r="Y659" s="5"/>
      <c r="Z659" s="5"/>
      <c r="AA659" s="5"/>
    </row>
    <row r="660" spans="1:27" ht="12.75" customHeight="1">
      <c r="A660" s="5"/>
      <c r="B660" s="5"/>
      <c r="C660" s="5"/>
      <c r="D660" s="5"/>
      <c r="E660" s="5"/>
      <c r="F660" s="5"/>
      <c r="G660" s="5"/>
      <c r="H660" s="306"/>
      <c r="I660" s="306"/>
      <c r="J660" s="5"/>
      <c r="K660" s="5"/>
      <c r="L660" s="5"/>
      <c r="M660" s="5"/>
      <c r="N660" s="5"/>
      <c r="O660" s="5"/>
      <c r="P660" s="57"/>
      <c r="Q660" s="5"/>
      <c r="R660" s="5"/>
      <c r="S660" s="5"/>
      <c r="T660" s="5"/>
      <c r="U660" s="5"/>
      <c r="V660" s="5"/>
      <c r="W660" s="5"/>
      <c r="X660" s="5"/>
      <c r="Y660" s="5"/>
      <c r="Z660" s="5"/>
      <c r="AA660" s="5"/>
    </row>
    <row r="661" spans="1:27" ht="12.75" customHeight="1">
      <c r="A661" s="5"/>
      <c r="B661" s="5"/>
      <c r="C661" s="5"/>
      <c r="D661" s="5"/>
      <c r="E661" s="5"/>
      <c r="F661" s="5"/>
      <c r="G661" s="5"/>
      <c r="H661" s="306"/>
      <c r="I661" s="306"/>
      <c r="J661" s="5"/>
      <c r="K661" s="5"/>
      <c r="L661" s="5"/>
      <c r="M661" s="5"/>
      <c r="N661" s="5"/>
      <c r="O661" s="5"/>
      <c r="P661" s="57"/>
      <c r="Q661" s="5"/>
      <c r="R661" s="5"/>
      <c r="S661" s="5"/>
      <c r="T661" s="5"/>
      <c r="U661" s="5"/>
      <c r="V661" s="5"/>
      <c r="W661" s="5"/>
      <c r="X661" s="5"/>
      <c r="Y661" s="5"/>
      <c r="Z661" s="5"/>
      <c r="AA661" s="5"/>
    </row>
    <row r="662" spans="1:27" ht="12.75" customHeight="1">
      <c r="A662" s="5"/>
      <c r="B662" s="5"/>
      <c r="C662" s="5"/>
      <c r="D662" s="5"/>
      <c r="E662" s="5"/>
      <c r="F662" s="5"/>
      <c r="G662" s="5"/>
      <c r="H662" s="306"/>
      <c r="I662" s="306"/>
      <c r="J662" s="5"/>
      <c r="K662" s="5"/>
      <c r="L662" s="5"/>
      <c r="M662" s="5"/>
      <c r="N662" s="5"/>
      <c r="O662" s="5"/>
      <c r="P662" s="57"/>
      <c r="Q662" s="5"/>
      <c r="R662" s="5"/>
      <c r="S662" s="5"/>
      <c r="T662" s="5"/>
      <c r="U662" s="5"/>
      <c r="V662" s="5"/>
      <c r="W662" s="5"/>
      <c r="X662" s="5"/>
      <c r="Y662" s="5"/>
      <c r="Z662" s="5"/>
      <c r="AA662" s="5"/>
    </row>
    <row r="663" spans="1:27" ht="12.75" customHeight="1">
      <c r="A663" s="5"/>
      <c r="B663" s="5"/>
      <c r="C663" s="5"/>
      <c r="D663" s="5"/>
      <c r="E663" s="5"/>
      <c r="F663" s="5"/>
      <c r="G663" s="5"/>
      <c r="H663" s="306"/>
      <c r="I663" s="306"/>
      <c r="J663" s="5"/>
      <c r="K663" s="5"/>
      <c r="L663" s="5"/>
      <c r="M663" s="5"/>
      <c r="N663" s="5"/>
      <c r="O663" s="5"/>
      <c r="P663" s="57"/>
      <c r="Q663" s="5"/>
      <c r="R663" s="5"/>
      <c r="S663" s="5"/>
      <c r="T663" s="5"/>
      <c r="U663" s="5"/>
      <c r="V663" s="5"/>
      <c r="W663" s="5"/>
      <c r="X663" s="5"/>
      <c r="Y663" s="5"/>
      <c r="Z663" s="5"/>
      <c r="AA663" s="5"/>
    </row>
    <row r="664" spans="1:27" ht="12.75" customHeight="1">
      <c r="A664" s="5"/>
      <c r="B664" s="5"/>
      <c r="C664" s="5"/>
      <c r="D664" s="5"/>
      <c r="E664" s="5"/>
      <c r="F664" s="5"/>
      <c r="G664" s="5"/>
      <c r="H664" s="306"/>
      <c r="I664" s="306"/>
      <c r="J664" s="5"/>
      <c r="K664" s="5"/>
      <c r="L664" s="5"/>
      <c r="M664" s="5"/>
      <c r="N664" s="5"/>
      <c r="O664" s="5"/>
      <c r="P664" s="57"/>
      <c r="Q664" s="5"/>
      <c r="R664" s="5"/>
      <c r="S664" s="5"/>
      <c r="T664" s="5"/>
      <c r="U664" s="5"/>
      <c r="V664" s="5"/>
      <c r="W664" s="5"/>
      <c r="X664" s="5"/>
      <c r="Y664" s="5"/>
      <c r="Z664" s="5"/>
      <c r="AA664" s="5"/>
    </row>
    <row r="665" spans="1:27" ht="12.75" customHeight="1">
      <c r="A665" s="5"/>
      <c r="B665" s="5"/>
      <c r="C665" s="5"/>
      <c r="D665" s="5"/>
      <c r="E665" s="5"/>
      <c r="F665" s="5"/>
      <c r="G665" s="5"/>
      <c r="H665" s="306"/>
      <c r="I665" s="306"/>
      <c r="J665" s="5"/>
      <c r="K665" s="5"/>
      <c r="L665" s="5"/>
      <c r="M665" s="5"/>
      <c r="N665" s="5"/>
      <c r="O665" s="5"/>
      <c r="P665" s="57"/>
      <c r="Q665" s="5"/>
      <c r="R665" s="5"/>
      <c r="S665" s="5"/>
      <c r="T665" s="5"/>
      <c r="U665" s="5"/>
      <c r="V665" s="5"/>
      <c r="W665" s="5"/>
      <c r="X665" s="5"/>
      <c r="Y665" s="5"/>
      <c r="Z665" s="5"/>
      <c r="AA665" s="5"/>
    </row>
    <row r="666" spans="1:27" ht="12.75" customHeight="1">
      <c r="A666" s="5"/>
      <c r="B666" s="5"/>
      <c r="C666" s="5"/>
      <c r="D666" s="5"/>
      <c r="E666" s="5"/>
      <c r="F666" s="5"/>
      <c r="G666" s="5"/>
      <c r="H666" s="306"/>
      <c r="I666" s="306"/>
      <c r="J666" s="5"/>
      <c r="K666" s="5"/>
      <c r="L666" s="5"/>
      <c r="M666" s="5"/>
      <c r="N666" s="5"/>
      <c r="O666" s="5"/>
      <c r="P666" s="57"/>
      <c r="Q666" s="5"/>
      <c r="R666" s="5"/>
      <c r="S666" s="5"/>
      <c r="T666" s="5"/>
      <c r="U666" s="5"/>
      <c r="V666" s="5"/>
      <c r="W666" s="5"/>
      <c r="X666" s="5"/>
      <c r="Y666" s="5"/>
      <c r="Z666" s="5"/>
      <c r="AA666" s="5"/>
    </row>
    <row r="667" spans="1:27" ht="12.75" customHeight="1">
      <c r="A667" s="5"/>
      <c r="B667" s="5"/>
      <c r="C667" s="5"/>
      <c r="D667" s="5"/>
      <c r="E667" s="5"/>
      <c r="F667" s="5"/>
      <c r="G667" s="5"/>
      <c r="H667" s="306"/>
      <c r="I667" s="306"/>
      <c r="J667" s="5"/>
      <c r="K667" s="5"/>
      <c r="L667" s="5"/>
      <c r="M667" s="5"/>
      <c r="N667" s="5"/>
      <c r="O667" s="5"/>
      <c r="P667" s="57"/>
      <c r="Q667" s="5"/>
      <c r="R667" s="5"/>
      <c r="S667" s="5"/>
      <c r="T667" s="5"/>
      <c r="U667" s="5"/>
      <c r="V667" s="5"/>
      <c r="W667" s="5"/>
      <c r="X667" s="5"/>
      <c r="Y667" s="5"/>
      <c r="Z667" s="5"/>
      <c r="AA667" s="5"/>
    </row>
    <row r="668" spans="1:27" ht="12.75" customHeight="1">
      <c r="A668" s="5"/>
      <c r="B668" s="5"/>
      <c r="C668" s="5"/>
      <c r="D668" s="5"/>
      <c r="E668" s="5"/>
      <c r="F668" s="5"/>
      <c r="G668" s="5"/>
      <c r="H668" s="306"/>
      <c r="I668" s="306"/>
      <c r="J668" s="5"/>
      <c r="K668" s="5"/>
      <c r="L668" s="5"/>
      <c r="M668" s="5"/>
      <c r="N668" s="5"/>
      <c r="O668" s="5"/>
      <c r="P668" s="57"/>
      <c r="Q668" s="5"/>
      <c r="R668" s="5"/>
      <c r="S668" s="5"/>
      <c r="T668" s="5"/>
      <c r="U668" s="5"/>
      <c r="V668" s="5"/>
      <c r="W668" s="5"/>
      <c r="X668" s="5"/>
      <c r="Y668" s="5"/>
      <c r="Z668" s="5"/>
      <c r="AA668" s="5"/>
    </row>
    <row r="669" spans="1:27" ht="12.75" customHeight="1">
      <c r="A669" s="5"/>
      <c r="B669" s="5"/>
      <c r="C669" s="5"/>
      <c r="D669" s="5"/>
      <c r="E669" s="5"/>
      <c r="F669" s="5"/>
      <c r="G669" s="5"/>
      <c r="H669" s="306"/>
      <c r="I669" s="306"/>
      <c r="J669" s="5"/>
      <c r="K669" s="5"/>
      <c r="L669" s="5"/>
      <c r="M669" s="5"/>
      <c r="N669" s="5"/>
      <c r="O669" s="5"/>
      <c r="P669" s="57"/>
      <c r="Q669" s="5"/>
      <c r="R669" s="5"/>
      <c r="S669" s="5"/>
      <c r="T669" s="5"/>
      <c r="U669" s="5"/>
      <c r="V669" s="5"/>
      <c r="W669" s="5"/>
      <c r="X669" s="5"/>
      <c r="Y669" s="5"/>
      <c r="Z669" s="5"/>
      <c r="AA669" s="5"/>
    </row>
    <row r="670" spans="1:27" ht="12.75" customHeight="1">
      <c r="A670" s="5"/>
      <c r="B670" s="5"/>
      <c r="C670" s="5"/>
      <c r="D670" s="5"/>
      <c r="E670" s="5"/>
      <c r="F670" s="5"/>
      <c r="G670" s="5"/>
      <c r="H670" s="306"/>
      <c r="I670" s="306"/>
      <c r="J670" s="5"/>
      <c r="K670" s="5"/>
      <c r="L670" s="5"/>
      <c r="M670" s="5"/>
      <c r="N670" s="5"/>
      <c r="O670" s="5"/>
      <c r="P670" s="57"/>
      <c r="Q670" s="5"/>
      <c r="R670" s="5"/>
      <c r="S670" s="5"/>
      <c r="T670" s="5"/>
      <c r="U670" s="5"/>
      <c r="V670" s="5"/>
      <c r="W670" s="5"/>
      <c r="X670" s="5"/>
      <c r="Y670" s="5"/>
      <c r="Z670" s="5"/>
      <c r="AA670" s="5"/>
    </row>
    <row r="671" spans="1:27" ht="12.75" customHeight="1">
      <c r="A671" s="5"/>
      <c r="B671" s="5"/>
      <c r="C671" s="5"/>
      <c r="D671" s="5"/>
      <c r="E671" s="5"/>
      <c r="F671" s="5"/>
      <c r="G671" s="5"/>
      <c r="H671" s="306"/>
      <c r="I671" s="306"/>
      <c r="J671" s="5"/>
      <c r="K671" s="5"/>
      <c r="L671" s="5"/>
      <c r="M671" s="5"/>
      <c r="N671" s="5"/>
      <c r="O671" s="5"/>
      <c r="P671" s="57"/>
      <c r="Q671" s="5"/>
      <c r="R671" s="5"/>
      <c r="S671" s="5"/>
      <c r="T671" s="5"/>
      <c r="U671" s="5"/>
      <c r="V671" s="5"/>
      <c r="W671" s="5"/>
      <c r="X671" s="5"/>
      <c r="Y671" s="5"/>
      <c r="Z671" s="5"/>
      <c r="AA671" s="5"/>
    </row>
    <row r="672" spans="1:27" ht="12.75" customHeight="1">
      <c r="A672" s="5"/>
      <c r="B672" s="5"/>
      <c r="C672" s="5"/>
      <c r="D672" s="5"/>
      <c r="E672" s="5"/>
      <c r="F672" s="5"/>
      <c r="G672" s="5"/>
      <c r="H672" s="306"/>
      <c r="I672" s="306"/>
      <c r="J672" s="5"/>
      <c r="K672" s="5"/>
      <c r="L672" s="5"/>
      <c r="M672" s="5"/>
      <c r="N672" s="5"/>
      <c r="O672" s="5"/>
      <c r="P672" s="57"/>
      <c r="Q672" s="5"/>
      <c r="R672" s="5"/>
      <c r="S672" s="5"/>
      <c r="T672" s="5"/>
      <c r="U672" s="5"/>
      <c r="V672" s="5"/>
      <c r="W672" s="5"/>
      <c r="X672" s="5"/>
      <c r="Y672" s="5"/>
      <c r="Z672" s="5"/>
      <c r="AA672" s="5"/>
    </row>
    <row r="673" spans="1:27" ht="12.75" customHeight="1">
      <c r="A673" s="5"/>
      <c r="B673" s="5"/>
      <c r="C673" s="5"/>
      <c r="D673" s="5"/>
      <c r="E673" s="5"/>
      <c r="F673" s="5"/>
      <c r="G673" s="5"/>
      <c r="H673" s="306"/>
      <c r="I673" s="306"/>
      <c r="J673" s="5"/>
      <c r="K673" s="5"/>
      <c r="L673" s="5"/>
      <c r="M673" s="5"/>
      <c r="N673" s="5"/>
      <c r="O673" s="5"/>
      <c r="P673" s="57"/>
      <c r="Q673" s="5"/>
      <c r="R673" s="5"/>
      <c r="S673" s="5"/>
      <c r="T673" s="5"/>
      <c r="U673" s="5"/>
      <c r="V673" s="5"/>
      <c r="W673" s="5"/>
      <c r="X673" s="5"/>
      <c r="Y673" s="5"/>
      <c r="Z673" s="5"/>
      <c r="AA673" s="5"/>
    </row>
    <row r="674" spans="1:27" ht="12.75" customHeight="1">
      <c r="A674" s="5"/>
      <c r="B674" s="5"/>
      <c r="C674" s="5"/>
      <c r="D674" s="5"/>
      <c r="E674" s="5"/>
      <c r="F674" s="5"/>
      <c r="G674" s="5"/>
      <c r="H674" s="306"/>
      <c r="I674" s="306"/>
      <c r="J674" s="5"/>
      <c r="K674" s="5"/>
      <c r="L674" s="5"/>
      <c r="M674" s="5"/>
      <c r="N674" s="5"/>
      <c r="O674" s="5"/>
      <c r="P674" s="57"/>
      <c r="Q674" s="5"/>
      <c r="R674" s="5"/>
      <c r="S674" s="5"/>
      <c r="T674" s="5"/>
      <c r="U674" s="5"/>
      <c r="V674" s="5"/>
      <c r="W674" s="5"/>
      <c r="X674" s="5"/>
      <c r="Y674" s="5"/>
      <c r="Z674" s="5"/>
      <c r="AA674" s="5"/>
    </row>
    <row r="675" spans="1:27" ht="12.75" customHeight="1">
      <c r="A675" s="5"/>
      <c r="B675" s="5"/>
      <c r="C675" s="5"/>
      <c r="D675" s="5"/>
      <c r="E675" s="5"/>
      <c r="F675" s="5"/>
      <c r="G675" s="5"/>
      <c r="H675" s="306"/>
      <c r="I675" s="306"/>
      <c r="J675" s="5"/>
      <c r="K675" s="5"/>
      <c r="L675" s="5"/>
      <c r="M675" s="5"/>
      <c r="N675" s="5"/>
      <c r="O675" s="5"/>
      <c r="P675" s="57"/>
      <c r="Q675" s="5"/>
      <c r="R675" s="5"/>
      <c r="S675" s="5"/>
      <c r="T675" s="5"/>
      <c r="U675" s="5"/>
      <c r="V675" s="5"/>
      <c r="W675" s="5"/>
      <c r="X675" s="5"/>
      <c r="Y675" s="5"/>
      <c r="Z675" s="5"/>
      <c r="AA675" s="5"/>
    </row>
    <row r="676" spans="1:27" ht="12.75" customHeight="1">
      <c r="A676" s="5"/>
      <c r="B676" s="5"/>
      <c r="C676" s="5"/>
      <c r="D676" s="5"/>
      <c r="E676" s="5"/>
      <c r="F676" s="5"/>
      <c r="G676" s="5"/>
      <c r="H676" s="306"/>
      <c r="I676" s="306"/>
      <c r="J676" s="5"/>
      <c r="K676" s="5"/>
      <c r="L676" s="5"/>
      <c r="M676" s="5"/>
      <c r="N676" s="5"/>
      <c r="O676" s="5"/>
      <c r="P676" s="57"/>
      <c r="Q676" s="5"/>
      <c r="R676" s="5"/>
      <c r="S676" s="5"/>
      <c r="T676" s="5"/>
      <c r="U676" s="5"/>
      <c r="V676" s="5"/>
      <c r="W676" s="5"/>
      <c r="X676" s="5"/>
      <c r="Y676" s="5"/>
      <c r="Z676" s="5"/>
      <c r="AA676" s="5"/>
    </row>
    <row r="677" spans="1:27" ht="12.75" customHeight="1">
      <c r="A677" s="5"/>
      <c r="B677" s="5"/>
      <c r="C677" s="5"/>
      <c r="D677" s="5"/>
      <c r="E677" s="5"/>
      <c r="F677" s="5"/>
      <c r="G677" s="5"/>
      <c r="H677" s="306"/>
      <c r="I677" s="306"/>
      <c r="J677" s="5"/>
      <c r="K677" s="5"/>
      <c r="L677" s="5"/>
      <c r="M677" s="5"/>
      <c r="N677" s="5"/>
      <c r="O677" s="5"/>
      <c r="P677" s="57"/>
      <c r="Q677" s="5"/>
      <c r="R677" s="5"/>
      <c r="S677" s="5"/>
      <c r="T677" s="5"/>
      <c r="U677" s="5"/>
      <c r="V677" s="5"/>
      <c r="W677" s="5"/>
      <c r="X677" s="5"/>
      <c r="Y677" s="5"/>
      <c r="Z677" s="5"/>
      <c r="AA677" s="5"/>
    </row>
    <row r="678" spans="1:27" ht="12.75" customHeight="1">
      <c r="A678" s="5"/>
      <c r="B678" s="5"/>
      <c r="C678" s="5"/>
      <c r="D678" s="5"/>
      <c r="E678" s="5"/>
      <c r="F678" s="5"/>
      <c r="G678" s="5"/>
      <c r="H678" s="306"/>
      <c r="I678" s="306"/>
      <c r="J678" s="5"/>
      <c r="K678" s="5"/>
      <c r="L678" s="5"/>
      <c r="M678" s="5"/>
      <c r="N678" s="5"/>
      <c r="O678" s="5"/>
      <c r="P678" s="57"/>
      <c r="Q678" s="5"/>
      <c r="R678" s="5"/>
      <c r="S678" s="5"/>
      <c r="T678" s="5"/>
      <c r="U678" s="5"/>
      <c r="V678" s="5"/>
      <c r="W678" s="5"/>
      <c r="X678" s="5"/>
      <c r="Y678" s="5"/>
      <c r="Z678" s="5"/>
      <c r="AA678" s="5"/>
    </row>
    <row r="679" spans="1:27" ht="12.75" customHeight="1">
      <c r="A679" s="5"/>
      <c r="B679" s="5"/>
      <c r="C679" s="5"/>
      <c r="D679" s="5"/>
      <c r="E679" s="5"/>
      <c r="F679" s="5"/>
      <c r="G679" s="5"/>
      <c r="H679" s="306"/>
      <c r="I679" s="306"/>
      <c r="J679" s="5"/>
      <c r="K679" s="5"/>
      <c r="L679" s="5"/>
      <c r="M679" s="5"/>
      <c r="N679" s="5"/>
      <c r="O679" s="5"/>
      <c r="P679" s="57"/>
      <c r="Q679" s="5"/>
      <c r="R679" s="5"/>
      <c r="S679" s="5"/>
      <c r="T679" s="5"/>
      <c r="U679" s="5"/>
      <c r="V679" s="5"/>
      <c r="W679" s="5"/>
      <c r="X679" s="5"/>
      <c r="Y679" s="5"/>
      <c r="Z679" s="5"/>
      <c r="AA679" s="5"/>
    </row>
    <row r="680" spans="1:27" ht="12.75" customHeight="1">
      <c r="A680" s="5"/>
      <c r="B680" s="5"/>
      <c r="C680" s="5"/>
      <c r="D680" s="5"/>
      <c r="E680" s="5"/>
      <c r="F680" s="5"/>
      <c r="G680" s="5"/>
      <c r="H680" s="306"/>
      <c r="I680" s="306"/>
      <c r="J680" s="5"/>
      <c r="K680" s="5"/>
      <c r="L680" s="5"/>
      <c r="M680" s="5"/>
      <c r="N680" s="5"/>
      <c r="O680" s="5"/>
      <c r="P680" s="57"/>
      <c r="Q680" s="5"/>
      <c r="R680" s="5"/>
      <c r="S680" s="5"/>
      <c r="T680" s="5"/>
      <c r="U680" s="5"/>
      <c r="V680" s="5"/>
      <c r="W680" s="5"/>
      <c r="X680" s="5"/>
      <c r="Y680" s="5"/>
      <c r="Z680" s="5"/>
      <c r="AA680" s="5"/>
    </row>
    <row r="681" spans="1:27" ht="12.75" customHeight="1">
      <c r="A681" s="5"/>
      <c r="B681" s="5"/>
      <c r="C681" s="5"/>
      <c r="D681" s="5"/>
      <c r="E681" s="5"/>
      <c r="F681" s="5"/>
      <c r="G681" s="5"/>
      <c r="H681" s="306"/>
      <c r="I681" s="306"/>
      <c r="J681" s="5"/>
      <c r="K681" s="5"/>
      <c r="L681" s="5"/>
      <c r="M681" s="5"/>
      <c r="N681" s="5"/>
      <c r="O681" s="5"/>
      <c r="P681" s="57"/>
      <c r="Q681" s="5"/>
      <c r="R681" s="5"/>
      <c r="S681" s="5"/>
      <c r="T681" s="5"/>
      <c r="U681" s="5"/>
      <c r="V681" s="5"/>
      <c r="W681" s="5"/>
      <c r="X681" s="5"/>
      <c r="Y681" s="5"/>
      <c r="Z681" s="5"/>
      <c r="AA681" s="5"/>
    </row>
    <row r="682" spans="1:27" ht="12.75" customHeight="1">
      <c r="A682" s="5"/>
      <c r="B682" s="5"/>
      <c r="C682" s="5"/>
      <c r="D682" s="5"/>
      <c r="E682" s="5"/>
      <c r="F682" s="5"/>
      <c r="G682" s="5"/>
      <c r="H682" s="306"/>
      <c r="I682" s="306"/>
      <c r="J682" s="5"/>
      <c r="K682" s="5"/>
      <c r="L682" s="5"/>
      <c r="M682" s="5"/>
      <c r="N682" s="5"/>
      <c r="O682" s="5"/>
      <c r="P682" s="57"/>
      <c r="Q682" s="5"/>
      <c r="R682" s="5"/>
      <c r="S682" s="5"/>
      <c r="T682" s="5"/>
      <c r="U682" s="5"/>
      <c r="V682" s="5"/>
      <c r="W682" s="5"/>
      <c r="X682" s="5"/>
      <c r="Y682" s="5"/>
      <c r="Z682" s="5"/>
      <c r="AA682" s="5"/>
    </row>
    <row r="683" spans="1:27" ht="12.75" customHeight="1">
      <c r="A683" s="5"/>
      <c r="B683" s="5"/>
      <c r="C683" s="5"/>
      <c r="D683" s="5"/>
      <c r="E683" s="5"/>
      <c r="F683" s="5"/>
      <c r="G683" s="5"/>
      <c r="H683" s="306"/>
      <c r="I683" s="306"/>
      <c r="J683" s="5"/>
      <c r="K683" s="5"/>
      <c r="L683" s="5"/>
      <c r="M683" s="5"/>
      <c r="N683" s="5"/>
      <c r="O683" s="5"/>
      <c r="P683" s="57"/>
      <c r="Q683" s="5"/>
      <c r="R683" s="5"/>
      <c r="S683" s="5"/>
      <c r="T683" s="5"/>
      <c r="U683" s="5"/>
      <c r="V683" s="5"/>
      <c r="W683" s="5"/>
      <c r="X683" s="5"/>
      <c r="Y683" s="5"/>
      <c r="Z683" s="5"/>
      <c r="AA683" s="5"/>
    </row>
    <row r="684" spans="1:27" ht="12.75" customHeight="1">
      <c r="A684" s="5"/>
      <c r="B684" s="5"/>
      <c r="C684" s="5"/>
      <c r="D684" s="5"/>
      <c r="E684" s="5"/>
      <c r="F684" s="5"/>
      <c r="G684" s="5"/>
      <c r="H684" s="306"/>
      <c r="I684" s="306"/>
      <c r="J684" s="5"/>
      <c r="K684" s="5"/>
      <c r="L684" s="5"/>
      <c r="M684" s="5"/>
      <c r="N684" s="5"/>
      <c r="O684" s="5"/>
      <c r="P684" s="57"/>
      <c r="Q684" s="5"/>
      <c r="R684" s="5"/>
      <c r="S684" s="5"/>
      <c r="T684" s="5"/>
      <c r="U684" s="5"/>
      <c r="V684" s="5"/>
      <c r="W684" s="5"/>
      <c r="X684" s="5"/>
      <c r="Y684" s="5"/>
      <c r="Z684" s="5"/>
      <c r="AA684" s="5"/>
    </row>
    <row r="685" spans="1:27" ht="12.75" customHeight="1">
      <c r="A685" s="5"/>
      <c r="B685" s="5"/>
      <c r="C685" s="5"/>
      <c r="D685" s="5"/>
      <c r="E685" s="5"/>
      <c r="F685" s="5"/>
      <c r="G685" s="5"/>
      <c r="H685" s="306"/>
      <c r="I685" s="306"/>
      <c r="J685" s="5"/>
      <c r="K685" s="5"/>
      <c r="L685" s="5"/>
      <c r="M685" s="5"/>
      <c r="N685" s="5"/>
      <c r="O685" s="5"/>
      <c r="P685" s="57"/>
      <c r="Q685" s="5"/>
      <c r="R685" s="5"/>
      <c r="S685" s="5"/>
      <c r="T685" s="5"/>
      <c r="U685" s="5"/>
      <c r="V685" s="5"/>
      <c r="W685" s="5"/>
      <c r="X685" s="5"/>
      <c r="Y685" s="5"/>
      <c r="Z685" s="5"/>
      <c r="AA685" s="5"/>
    </row>
    <row r="686" spans="1:27" ht="12.75" customHeight="1">
      <c r="A686" s="5"/>
      <c r="B686" s="5"/>
      <c r="C686" s="5"/>
      <c r="D686" s="5"/>
      <c r="E686" s="5"/>
      <c r="F686" s="5"/>
      <c r="G686" s="5"/>
      <c r="H686" s="306"/>
      <c r="I686" s="306"/>
      <c r="J686" s="5"/>
      <c r="K686" s="5"/>
      <c r="L686" s="5"/>
      <c r="M686" s="5"/>
      <c r="N686" s="5"/>
      <c r="O686" s="5"/>
      <c r="P686" s="57"/>
      <c r="Q686" s="5"/>
      <c r="R686" s="5"/>
      <c r="S686" s="5"/>
      <c r="T686" s="5"/>
      <c r="U686" s="5"/>
      <c r="V686" s="5"/>
      <c r="W686" s="5"/>
      <c r="X686" s="5"/>
      <c r="Y686" s="5"/>
      <c r="Z686" s="5"/>
      <c r="AA686" s="5"/>
    </row>
    <row r="687" spans="1:27" ht="12.75" customHeight="1">
      <c r="A687" s="5"/>
      <c r="B687" s="5"/>
      <c r="C687" s="5"/>
      <c r="D687" s="5"/>
      <c r="E687" s="5"/>
      <c r="F687" s="5"/>
      <c r="G687" s="5"/>
      <c r="H687" s="306"/>
      <c r="I687" s="306"/>
      <c r="J687" s="5"/>
      <c r="K687" s="5"/>
      <c r="L687" s="5"/>
      <c r="M687" s="5"/>
      <c r="N687" s="5"/>
      <c r="O687" s="5"/>
      <c r="P687" s="57"/>
      <c r="Q687" s="5"/>
      <c r="R687" s="5"/>
      <c r="S687" s="5"/>
      <c r="T687" s="5"/>
      <c r="U687" s="5"/>
      <c r="V687" s="5"/>
      <c r="W687" s="5"/>
      <c r="X687" s="5"/>
      <c r="Y687" s="5"/>
      <c r="Z687" s="5"/>
      <c r="AA687" s="5"/>
    </row>
    <row r="688" spans="1:27" ht="12.75" customHeight="1">
      <c r="A688" s="5"/>
      <c r="B688" s="5"/>
      <c r="C688" s="5"/>
      <c r="D688" s="5"/>
      <c r="E688" s="5"/>
      <c r="F688" s="5"/>
      <c r="G688" s="5"/>
      <c r="H688" s="306"/>
      <c r="I688" s="306"/>
      <c r="J688" s="5"/>
      <c r="K688" s="5"/>
      <c r="L688" s="5"/>
      <c r="M688" s="5"/>
      <c r="N688" s="5"/>
      <c r="O688" s="5"/>
      <c r="P688" s="57"/>
      <c r="Q688" s="5"/>
      <c r="R688" s="5"/>
      <c r="S688" s="5"/>
      <c r="T688" s="5"/>
      <c r="U688" s="5"/>
      <c r="V688" s="5"/>
      <c r="W688" s="5"/>
      <c r="X688" s="5"/>
      <c r="Y688" s="5"/>
      <c r="Z688" s="5"/>
      <c r="AA688" s="5"/>
    </row>
    <row r="689" spans="1:27" ht="12.75" customHeight="1">
      <c r="A689" s="5"/>
      <c r="B689" s="5"/>
      <c r="C689" s="5"/>
      <c r="D689" s="5"/>
      <c r="E689" s="5"/>
      <c r="F689" s="5"/>
      <c r="G689" s="5"/>
      <c r="H689" s="306"/>
      <c r="I689" s="306"/>
      <c r="J689" s="5"/>
      <c r="K689" s="5"/>
      <c r="L689" s="5"/>
      <c r="M689" s="5"/>
      <c r="N689" s="5"/>
      <c r="O689" s="5"/>
      <c r="P689" s="57"/>
      <c r="Q689" s="5"/>
      <c r="R689" s="5"/>
      <c r="S689" s="5"/>
      <c r="T689" s="5"/>
      <c r="U689" s="5"/>
      <c r="V689" s="5"/>
      <c r="W689" s="5"/>
      <c r="X689" s="5"/>
      <c r="Y689" s="5"/>
      <c r="Z689" s="5"/>
      <c r="AA689" s="5"/>
    </row>
    <row r="690" spans="1:27" ht="12.75" customHeight="1">
      <c r="A690" s="5"/>
      <c r="B690" s="5"/>
      <c r="C690" s="5"/>
      <c r="D690" s="5"/>
      <c r="E690" s="5"/>
      <c r="F690" s="5"/>
      <c r="G690" s="5"/>
      <c r="H690" s="306"/>
      <c r="I690" s="306"/>
      <c r="J690" s="5"/>
      <c r="K690" s="5"/>
      <c r="L690" s="5"/>
      <c r="M690" s="5"/>
      <c r="N690" s="5"/>
      <c r="O690" s="5"/>
      <c r="P690" s="57"/>
      <c r="Q690" s="5"/>
      <c r="R690" s="5"/>
      <c r="S690" s="5"/>
      <c r="T690" s="5"/>
      <c r="U690" s="5"/>
      <c r="V690" s="5"/>
      <c r="W690" s="5"/>
      <c r="X690" s="5"/>
      <c r="Y690" s="5"/>
      <c r="Z690" s="5"/>
      <c r="AA690" s="5"/>
    </row>
    <row r="691" spans="1:27" ht="12.75" customHeight="1">
      <c r="A691" s="5"/>
      <c r="B691" s="5"/>
      <c r="C691" s="5"/>
      <c r="D691" s="5"/>
      <c r="E691" s="5"/>
      <c r="F691" s="5"/>
      <c r="G691" s="5"/>
      <c r="H691" s="306"/>
      <c r="I691" s="306"/>
      <c r="J691" s="5"/>
      <c r="K691" s="5"/>
      <c r="L691" s="5"/>
      <c r="M691" s="5"/>
      <c r="N691" s="5"/>
      <c r="O691" s="5"/>
      <c r="P691" s="57"/>
      <c r="Q691" s="5"/>
      <c r="R691" s="5"/>
      <c r="S691" s="5"/>
      <c r="T691" s="5"/>
      <c r="U691" s="5"/>
      <c r="V691" s="5"/>
      <c r="W691" s="5"/>
      <c r="X691" s="5"/>
      <c r="Y691" s="5"/>
      <c r="Z691" s="5"/>
      <c r="AA691" s="5"/>
    </row>
    <row r="692" spans="1:27" ht="12.75" customHeight="1">
      <c r="A692" s="5"/>
      <c r="B692" s="5"/>
      <c r="C692" s="5"/>
      <c r="D692" s="5"/>
      <c r="E692" s="5"/>
      <c r="F692" s="5"/>
      <c r="G692" s="5"/>
      <c r="H692" s="306"/>
      <c r="I692" s="306"/>
      <c r="J692" s="5"/>
      <c r="K692" s="5"/>
      <c r="L692" s="5"/>
      <c r="M692" s="5"/>
      <c r="N692" s="5"/>
      <c r="O692" s="5"/>
      <c r="P692" s="57"/>
      <c r="Q692" s="5"/>
      <c r="R692" s="5"/>
      <c r="S692" s="5"/>
      <c r="T692" s="5"/>
      <c r="U692" s="5"/>
      <c r="V692" s="5"/>
      <c r="W692" s="5"/>
      <c r="X692" s="5"/>
      <c r="Y692" s="5"/>
      <c r="Z692" s="5"/>
      <c r="AA692" s="5"/>
    </row>
    <row r="693" spans="1:27" ht="12.75" customHeight="1">
      <c r="A693" s="5"/>
      <c r="B693" s="5"/>
      <c r="C693" s="5"/>
      <c r="D693" s="5"/>
      <c r="E693" s="5"/>
      <c r="F693" s="5"/>
      <c r="G693" s="5"/>
      <c r="H693" s="306"/>
      <c r="I693" s="306"/>
      <c r="J693" s="5"/>
      <c r="K693" s="5"/>
      <c r="L693" s="5"/>
      <c r="M693" s="5"/>
      <c r="N693" s="5"/>
      <c r="O693" s="5"/>
      <c r="P693" s="57"/>
      <c r="Q693" s="5"/>
      <c r="R693" s="5"/>
      <c r="S693" s="5"/>
      <c r="T693" s="5"/>
      <c r="U693" s="5"/>
      <c r="V693" s="5"/>
      <c r="W693" s="5"/>
      <c r="X693" s="5"/>
      <c r="Y693" s="5"/>
      <c r="Z693" s="5"/>
      <c r="AA693" s="5"/>
    </row>
    <row r="694" spans="1:27" ht="12.75" customHeight="1">
      <c r="A694" s="5"/>
      <c r="B694" s="5"/>
      <c r="C694" s="5"/>
      <c r="D694" s="5"/>
      <c r="E694" s="5"/>
      <c r="F694" s="5"/>
      <c r="G694" s="5"/>
      <c r="H694" s="306"/>
      <c r="I694" s="306"/>
      <c r="J694" s="5"/>
      <c r="K694" s="5"/>
      <c r="L694" s="5"/>
      <c r="M694" s="5"/>
      <c r="N694" s="5"/>
      <c r="O694" s="5"/>
      <c r="P694" s="57"/>
      <c r="Q694" s="5"/>
      <c r="R694" s="5"/>
      <c r="S694" s="5"/>
      <c r="T694" s="5"/>
      <c r="U694" s="5"/>
      <c r="V694" s="5"/>
      <c r="W694" s="5"/>
      <c r="X694" s="5"/>
      <c r="Y694" s="5"/>
      <c r="Z694" s="5"/>
      <c r="AA694" s="5"/>
    </row>
    <row r="695" spans="1:27" ht="12.75" customHeight="1">
      <c r="A695" s="5"/>
      <c r="B695" s="5"/>
      <c r="C695" s="5"/>
      <c r="D695" s="5"/>
      <c r="E695" s="5"/>
      <c r="F695" s="5"/>
      <c r="G695" s="5"/>
      <c r="H695" s="306"/>
      <c r="I695" s="306"/>
      <c r="J695" s="5"/>
      <c r="K695" s="5"/>
      <c r="L695" s="5"/>
      <c r="M695" s="5"/>
      <c r="N695" s="5"/>
      <c r="O695" s="5"/>
      <c r="P695" s="57"/>
      <c r="Q695" s="5"/>
      <c r="R695" s="5"/>
      <c r="S695" s="5"/>
      <c r="T695" s="5"/>
      <c r="U695" s="5"/>
      <c r="V695" s="5"/>
      <c r="W695" s="5"/>
      <c r="X695" s="5"/>
      <c r="Y695" s="5"/>
      <c r="Z695" s="5"/>
      <c r="AA695" s="5"/>
    </row>
    <row r="696" spans="1:27" ht="12.75" customHeight="1">
      <c r="A696" s="5"/>
      <c r="B696" s="5"/>
      <c r="C696" s="5"/>
      <c r="D696" s="5"/>
      <c r="E696" s="5"/>
      <c r="F696" s="5"/>
      <c r="G696" s="5"/>
      <c r="H696" s="306"/>
      <c r="I696" s="306"/>
      <c r="J696" s="5"/>
      <c r="K696" s="5"/>
      <c r="L696" s="5"/>
      <c r="M696" s="5"/>
      <c r="N696" s="5"/>
      <c r="O696" s="5"/>
      <c r="P696" s="57"/>
      <c r="Q696" s="5"/>
      <c r="R696" s="5"/>
      <c r="S696" s="5"/>
      <c r="T696" s="5"/>
      <c r="U696" s="5"/>
      <c r="V696" s="5"/>
      <c r="W696" s="5"/>
      <c r="X696" s="5"/>
      <c r="Y696" s="5"/>
      <c r="Z696" s="5"/>
      <c r="AA696" s="5"/>
    </row>
    <row r="697" spans="1:27" ht="12.75" customHeight="1">
      <c r="A697" s="5"/>
      <c r="B697" s="5"/>
      <c r="C697" s="5"/>
      <c r="D697" s="5"/>
      <c r="E697" s="5"/>
      <c r="F697" s="5"/>
      <c r="G697" s="5"/>
      <c r="H697" s="306"/>
      <c r="I697" s="306"/>
      <c r="J697" s="5"/>
      <c r="K697" s="5"/>
      <c r="L697" s="5"/>
      <c r="M697" s="5"/>
      <c r="N697" s="5"/>
      <c r="O697" s="5"/>
      <c r="P697" s="57"/>
      <c r="Q697" s="5"/>
      <c r="R697" s="5"/>
      <c r="S697" s="5"/>
      <c r="T697" s="5"/>
      <c r="U697" s="5"/>
      <c r="V697" s="5"/>
      <c r="W697" s="5"/>
      <c r="X697" s="5"/>
      <c r="Y697" s="5"/>
      <c r="Z697" s="5"/>
      <c r="AA697" s="5"/>
    </row>
    <row r="698" spans="1:27" ht="12.75" customHeight="1">
      <c r="A698" s="5"/>
      <c r="B698" s="5"/>
      <c r="C698" s="5"/>
      <c r="D698" s="5"/>
      <c r="E698" s="5"/>
      <c r="F698" s="5"/>
      <c r="G698" s="5"/>
      <c r="H698" s="306"/>
      <c r="I698" s="306"/>
      <c r="J698" s="5"/>
      <c r="K698" s="5"/>
      <c r="L698" s="5"/>
      <c r="M698" s="5"/>
      <c r="N698" s="5"/>
      <c r="O698" s="5"/>
      <c r="P698" s="57"/>
      <c r="Q698" s="5"/>
      <c r="R698" s="5"/>
      <c r="S698" s="5"/>
      <c r="T698" s="5"/>
      <c r="U698" s="5"/>
      <c r="V698" s="5"/>
      <c r="W698" s="5"/>
      <c r="X698" s="5"/>
      <c r="Y698" s="5"/>
      <c r="Z698" s="5"/>
      <c r="AA698" s="5"/>
    </row>
    <row r="699" spans="1:27" ht="12.75" customHeight="1">
      <c r="A699" s="5"/>
      <c r="B699" s="5"/>
      <c r="C699" s="5"/>
      <c r="D699" s="5"/>
      <c r="E699" s="5"/>
      <c r="F699" s="5"/>
      <c r="G699" s="5"/>
      <c r="H699" s="306"/>
      <c r="I699" s="306"/>
      <c r="J699" s="5"/>
      <c r="K699" s="5"/>
      <c r="L699" s="5"/>
      <c r="M699" s="5"/>
      <c r="N699" s="5"/>
      <c r="O699" s="5"/>
      <c r="P699" s="57"/>
      <c r="Q699" s="5"/>
      <c r="R699" s="5"/>
      <c r="S699" s="5"/>
      <c r="T699" s="5"/>
      <c r="U699" s="5"/>
      <c r="V699" s="5"/>
      <c r="W699" s="5"/>
      <c r="X699" s="5"/>
      <c r="Y699" s="5"/>
      <c r="Z699" s="5"/>
      <c r="AA699" s="5"/>
    </row>
    <row r="700" spans="1:27" ht="12.75" customHeight="1">
      <c r="A700" s="5"/>
      <c r="B700" s="5"/>
      <c r="C700" s="5"/>
      <c r="D700" s="5"/>
      <c r="E700" s="5"/>
      <c r="F700" s="5"/>
      <c r="G700" s="5"/>
      <c r="H700" s="306"/>
      <c r="I700" s="306"/>
      <c r="J700" s="5"/>
      <c r="K700" s="5"/>
      <c r="L700" s="5"/>
      <c r="M700" s="5"/>
      <c r="N700" s="5"/>
      <c r="O700" s="5"/>
      <c r="P700" s="57"/>
      <c r="Q700" s="5"/>
      <c r="R700" s="5"/>
      <c r="S700" s="5"/>
      <c r="T700" s="5"/>
      <c r="U700" s="5"/>
      <c r="V700" s="5"/>
      <c r="W700" s="5"/>
      <c r="X700" s="5"/>
      <c r="Y700" s="5"/>
      <c r="Z700" s="5"/>
      <c r="AA700" s="5"/>
    </row>
    <row r="701" spans="1:27" ht="12.75" customHeight="1">
      <c r="A701" s="5"/>
      <c r="B701" s="5"/>
      <c r="C701" s="5"/>
      <c r="D701" s="5"/>
      <c r="E701" s="5"/>
      <c r="F701" s="5"/>
      <c r="G701" s="5"/>
      <c r="H701" s="306"/>
      <c r="I701" s="306"/>
      <c r="J701" s="5"/>
      <c r="K701" s="5"/>
      <c r="L701" s="5"/>
      <c r="M701" s="5"/>
      <c r="N701" s="5"/>
      <c r="O701" s="5"/>
      <c r="P701" s="57"/>
      <c r="Q701" s="5"/>
      <c r="R701" s="5"/>
      <c r="S701" s="5"/>
      <c r="T701" s="5"/>
      <c r="U701" s="5"/>
      <c r="V701" s="5"/>
      <c r="W701" s="5"/>
      <c r="X701" s="5"/>
      <c r="Y701" s="5"/>
      <c r="Z701" s="5"/>
      <c r="AA701" s="5"/>
    </row>
    <row r="702" spans="1:27" ht="12.75" customHeight="1">
      <c r="A702" s="5"/>
      <c r="B702" s="5"/>
      <c r="C702" s="5"/>
      <c r="D702" s="5"/>
      <c r="E702" s="5"/>
      <c r="F702" s="5"/>
      <c r="G702" s="5"/>
      <c r="H702" s="306"/>
      <c r="I702" s="306"/>
      <c r="J702" s="5"/>
      <c r="K702" s="5"/>
      <c r="L702" s="5"/>
      <c r="M702" s="5"/>
      <c r="N702" s="5"/>
      <c r="O702" s="5"/>
      <c r="P702" s="57"/>
      <c r="Q702" s="5"/>
      <c r="R702" s="5"/>
      <c r="S702" s="5"/>
      <c r="T702" s="5"/>
      <c r="U702" s="5"/>
      <c r="V702" s="5"/>
      <c r="W702" s="5"/>
      <c r="X702" s="5"/>
      <c r="Y702" s="5"/>
      <c r="Z702" s="5"/>
      <c r="AA702" s="5"/>
    </row>
    <row r="703" spans="1:27" ht="12.75" customHeight="1">
      <c r="A703" s="5"/>
      <c r="B703" s="5"/>
      <c r="C703" s="5"/>
      <c r="D703" s="5"/>
      <c r="E703" s="5"/>
      <c r="F703" s="5"/>
      <c r="G703" s="5"/>
      <c r="H703" s="306"/>
      <c r="I703" s="306"/>
      <c r="J703" s="5"/>
      <c r="K703" s="5"/>
      <c r="L703" s="5"/>
      <c r="M703" s="5"/>
      <c r="N703" s="5"/>
      <c r="O703" s="5"/>
      <c r="P703" s="57"/>
      <c r="Q703" s="5"/>
      <c r="R703" s="5"/>
      <c r="S703" s="5"/>
      <c r="T703" s="5"/>
      <c r="U703" s="5"/>
      <c r="V703" s="5"/>
      <c r="W703" s="5"/>
      <c r="X703" s="5"/>
      <c r="Y703" s="5"/>
      <c r="Z703" s="5"/>
      <c r="AA703" s="5"/>
    </row>
    <row r="704" spans="1:27" ht="12.75" customHeight="1">
      <c r="A704" s="5"/>
      <c r="B704" s="5"/>
      <c r="C704" s="5"/>
      <c r="D704" s="5"/>
      <c r="E704" s="5"/>
      <c r="F704" s="5"/>
      <c r="G704" s="5"/>
      <c r="H704" s="306"/>
      <c r="I704" s="306"/>
      <c r="J704" s="5"/>
      <c r="K704" s="5"/>
      <c r="L704" s="5"/>
      <c r="M704" s="5"/>
      <c r="N704" s="5"/>
      <c r="O704" s="5"/>
      <c r="P704" s="57"/>
      <c r="Q704" s="5"/>
      <c r="R704" s="5"/>
      <c r="S704" s="5"/>
      <c r="T704" s="5"/>
      <c r="U704" s="5"/>
      <c r="V704" s="5"/>
      <c r="W704" s="5"/>
      <c r="X704" s="5"/>
      <c r="Y704" s="5"/>
      <c r="Z704" s="5"/>
      <c r="AA704" s="5"/>
    </row>
    <row r="705" spans="1:27" ht="12.75" customHeight="1">
      <c r="A705" s="5"/>
      <c r="B705" s="5"/>
      <c r="C705" s="5"/>
      <c r="D705" s="5"/>
      <c r="E705" s="5"/>
      <c r="F705" s="5"/>
      <c r="G705" s="5"/>
      <c r="H705" s="306"/>
      <c r="I705" s="306"/>
      <c r="J705" s="5"/>
      <c r="K705" s="5"/>
      <c r="L705" s="5"/>
      <c r="M705" s="5"/>
      <c r="N705" s="5"/>
      <c r="O705" s="5"/>
      <c r="P705" s="57"/>
      <c r="Q705" s="5"/>
      <c r="R705" s="5"/>
      <c r="S705" s="5"/>
      <c r="T705" s="5"/>
      <c r="U705" s="5"/>
      <c r="V705" s="5"/>
      <c r="W705" s="5"/>
      <c r="X705" s="5"/>
      <c r="Y705" s="5"/>
      <c r="Z705" s="5"/>
      <c r="AA705" s="5"/>
    </row>
    <row r="706" spans="1:27" ht="12.75" customHeight="1">
      <c r="A706" s="5"/>
      <c r="B706" s="5"/>
      <c r="C706" s="5"/>
      <c r="D706" s="5"/>
      <c r="E706" s="5"/>
      <c r="F706" s="5"/>
      <c r="G706" s="5"/>
      <c r="H706" s="306"/>
      <c r="I706" s="306"/>
      <c r="J706" s="5"/>
      <c r="K706" s="5"/>
      <c r="L706" s="5"/>
      <c r="M706" s="5"/>
      <c r="N706" s="5"/>
      <c r="O706" s="5"/>
      <c r="P706" s="57"/>
      <c r="Q706" s="5"/>
      <c r="R706" s="5"/>
      <c r="S706" s="5"/>
      <c r="T706" s="5"/>
      <c r="U706" s="5"/>
      <c r="V706" s="5"/>
      <c r="W706" s="5"/>
      <c r="X706" s="5"/>
      <c r="Y706" s="5"/>
      <c r="Z706" s="5"/>
      <c r="AA706" s="5"/>
    </row>
    <row r="707" spans="1:27" ht="12.75" customHeight="1">
      <c r="A707" s="5"/>
      <c r="B707" s="5"/>
      <c r="C707" s="5"/>
      <c r="D707" s="5"/>
      <c r="E707" s="5"/>
      <c r="F707" s="5"/>
      <c r="G707" s="5"/>
      <c r="H707" s="306"/>
      <c r="I707" s="306"/>
      <c r="J707" s="5"/>
      <c r="K707" s="5"/>
      <c r="L707" s="5"/>
      <c r="M707" s="5"/>
      <c r="N707" s="5"/>
      <c r="O707" s="5"/>
      <c r="P707" s="57"/>
      <c r="Q707" s="5"/>
      <c r="R707" s="5"/>
      <c r="S707" s="5"/>
      <c r="T707" s="5"/>
      <c r="U707" s="5"/>
      <c r="V707" s="5"/>
      <c r="W707" s="5"/>
      <c r="X707" s="5"/>
      <c r="Y707" s="5"/>
      <c r="Z707" s="5"/>
      <c r="AA707" s="5"/>
    </row>
    <row r="708" spans="1:27" ht="12.75" customHeight="1">
      <c r="A708" s="5"/>
      <c r="B708" s="5"/>
      <c r="C708" s="5"/>
      <c r="D708" s="5"/>
      <c r="E708" s="5"/>
      <c r="F708" s="5"/>
      <c r="G708" s="5"/>
      <c r="H708" s="306"/>
      <c r="I708" s="306"/>
      <c r="J708" s="5"/>
      <c r="K708" s="5"/>
      <c r="L708" s="5"/>
      <c r="M708" s="5"/>
      <c r="N708" s="5"/>
      <c r="O708" s="5"/>
      <c r="P708" s="57"/>
      <c r="Q708" s="5"/>
      <c r="R708" s="5"/>
      <c r="S708" s="5"/>
      <c r="T708" s="5"/>
      <c r="U708" s="5"/>
      <c r="V708" s="5"/>
      <c r="W708" s="5"/>
      <c r="X708" s="5"/>
      <c r="Y708" s="5"/>
      <c r="Z708" s="5"/>
      <c r="AA708" s="5"/>
    </row>
    <row r="709" spans="1:27" ht="12.75" customHeight="1">
      <c r="A709" s="5"/>
      <c r="B709" s="5"/>
      <c r="C709" s="5"/>
      <c r="D709" s="5"/>
      <c r="E709" s="5"/>
      <c r="F709" s="5"/>
      <c r="G709" s="5"/>
      <c r="H709" s="306"/>
      <c r="I709" s="306"/>
      <c r="J709" s="5"/>
      <c r="K709" s="5"/>
      <c r="L709" s="5"/>
      <c r="M709" s="5"/>
      <c r="N709" s="5"/>
      <c r="O709" s="5"/>
      <c r="P709" s="57"/>
      <c r="Q709" s="5"/>
      <c r="R709" s="5"/>
      <c r="S709" s="5"/>
      <c r="T709" s="5"/>
      <c r="U709" s="5"/>
      <c r="V709" s="5"/>
      <c r="W709" s="5"/>
      <c r="X709" s="5"/>
      <c r="Y709" s="5"/>
      <c r="Z709" s="5"/>
      <c r="AA709" s="5"/>
    </row>
    <row r="710" spans="1:27" ht="12.75" customHeight="1">
      <c r="A710" s="5"/>
      <c r="B710" s="5"/>
      <c r="C710" s="5"/>
      <c r="D710" s="5"/>
      <c r="E710" s="5"/>
      <c r="F710" s="5"/>
      <c r="G710" s="5"/>
      <c r="H710" s="306"/>
      <c r="I710" s="306"/>
      <c r="J710" s="5"/>
      <c r="K710" s="5"/>
      <c r="L710" s="5"/>
      <c r="M710" s="5"/>
      <c r="N710" s="5"/>
      <c r="O710" s="5"/>
      <c r="P710" s="57"/>
      <c r="Q710" s="5"/>
      <c r="R710" s="5"/>
      <c r="S710" s="5"/>
      <c r="T710" s="5"/>
      <c r="U710" s="5"/>
      <c r="V710" s="5"/>
      <c r="W710" s="5"/>
      <c r="X710" s="5"/>
      <c r="Y710" s="5"/>
      <c r="Z710" s="5"/>
      <c r="AA710" s="5"/>
    </row>
    <row r="711" spans="1:27" ht="12.75" customHeight="1">
      <c r="A711" s="5"/>
      <c r="B711" s="5"/>
      <c r="C711" s="5"/>
      <c r="D711" s="5"/>
      <c r="E711" s="5"/>
      <c r="F711" s="5"/>
      <c r="G711" s="5"/>
      <c r="H711" s="306"/>
      <c r="I711" s="306"/>
      <c r="J711" s="5"/>
      <c r="K711" s="5"/>
      <c r="L711" s="5"/>
      <c r="M711" s="5"/>
      <c r="N711" s="5"/>
      <c r="O711" s="5"/>
      <c r="P711" s="57"/>
      <c r="Q711" s="5"/>
      <c r="R711" s="5"/>
      <c r="S711" s="5"/>
      <c r="T711" s="5"/>
      <c r="U711" s="5"/>
      <c r="V711" s="5"/>
      <c r="W711" s="5"/>
      <c r="X711" s="5"/>
      <c r="Y711" s="5"/>
      <c r="Z711" s="5"/>
      <c r="AA711" s="5"/>
    </row>
    <row r="712" spans="1:27" ht="12.75" customHeight="1">
      <c r="A712" s="5"/>
      <c r="B712" s="5"/>
      <c r="C712" s="5"/>
      <c r="D712" s="5"/>
      <c r="E712" s="5"/>
      <c r="F712" s="5"/>
      <c r="G712" s="5"/>
      <c r="H712" s="306"/>
      <c r="I712" s="306"/>
      <c r="J712" s="5"/>
      <c r="K712" s="5"/>
      <c r="L712" s="5"/>
      <c r="M712" s="5"/>
      <c r="N712" s="5"/>
      <c r="O712" s="5"/>
      <c r="P712" s="57"/>
      <c r="Q712" s="5"/>
      <c r="R712" s="5"/>
      <c r="S712" s="5"/>
      <c r="T712" s="5"/>
      <c r="U712" s="5"/>
      <c r="V712" s="5"/>
      <c r="W712" s="5"/>
      <c r="X712" s="5"/>
      <c r="Y712" s="5"/>
      <c r="Z712" s="5"/>
      <c r="AA712" s="5"/>
    </row>
    <row r="713" spans="1:27" ht="12.75" customHeight="1">
      <c r="A713" s="5"/>
      <c r="B713" s="5"/>
      <c r="C713" s="5"/>
      <c r="D713" s="5"/>
      <c r="E713" s="5"/>
      <c r="F713" s="5"/>
      <c r="G713" s="5"/>
      <c r="H713" s="306"/>
      <c r="I713" s="306"/>
      <c r="J713" s="5"/>
      <c r="K713" s="5"/>
      <c r="L713" s="5"/>
      <c r="M713" s="5"/>
      <c r="N713" s="5"/>
      <c r="O713" s="5"/>
      <c r="P713" s="57"/>
      <c r="Q713" s="5"/>
      <c r="R713" s="5"/>
      <c r="S713" s="5"/>
      <c r="T713" s="5"/>
      <c r="U713" s="5"/>
      <c r="V713" s="5"/>
      <c r="W713" s="5"/>
      <c r="X713" s="5"/>
      <c r="Y713" s="5"/>
      <c r="Z713" s="5"/>
      <c r="AA713" s="5"/>
    </row>
    <row r="714" spans="1:27" ht="12.75" customHeight="1">
      <c r="A714" s="5"/>
      <c r="B714" s="5"/>
      <c r="C714" s="5"/>
      <c r="D714" s="5"/>
      <c r="E714" s="5"/>
      <c r="F714" s="5"/>
      <c r="G714" s="5"/>
      <c r="H714" s="306"/>
      <c r="I714" s="306"/>
      <c r="J714" s="5"/>
      <c r="K714" s="5"/>
      <c r="L714" s="5"/>
      <c r="M714" s="5"/>
      <c r="N714" s="5"/>
      <c r="O714" s="5"/>
      <c r="P714" s="57"/>
      <c r="Q714" s="5"/>
      <c r="R714" s="5"/>
      <c r="S714" s="5"/>
      <c r="T714" s="5"/>
      <c r="U714" s="5"/>
      <c r="V714" s="5"/>
      <c r="W714" s="5"/>
      <c r="X714" s="5"/>
      <c r="Y714" s="5"/>
      <c r="Z714" s="5"/>
      <c r="AA714" s="5"/>
    </row>
    <row r="715" spans="1:27" ht="12.75" customHeight="1">
      <c r="A715" s="5"/>
      <c r="B715" s="5"/>
      <c r="C715" s="5"/>
      <c r="D715" s="5"/>
      <c r="E715" s="5"/>
      <c r="F715" s="5"/>
      <c r="G715" s="5"/>
      <c r="H715" s="306"/>
      <c r="I715" s="306"/>
      <c r="J715" s="5"/>
      <c r="K715" s="5"/>
      <c r="L715" s="5"/>
      <c r="M715" s="5"/>
      <c r="N715" s="5"/>
      <c r="O715" s="5"/>
      <c r="P715" s="57"/>
      <c r="Q715" s="5"/>
      <c r="R715" s="5"/>
      <c r="S715" s="5"/>
      <c r="T715" s="5"/>
      <c r="U715" s="5"/>
      <c r="V715" s="5"/>
      <c r="W715" s="5"/>
      <c r="X715" s="5"/>
      <c r="Y715" s="5"/>
      <c r="Z715" s="5"/>
      <c r="AA715" s="5"/>
    </row>
    <row r="716" spans="1:27" ht="12.75" customHeight="1">
      <c r="A716" s="5"/>
      <c r="B716" s="5"/>
      <c r="C716" s="5"/>
      <c r="D716" s="5"/>
      <c r="E716" s="5"/>
      <c r="F716" s="5"/>
      <c r="G716" s="5"/>
      <c r="H716" s="306"/>
      <c r="I716" s="306"/>
      <c r="J716" s="5"/>
      <c r="K716" s="5"/>
      <c r="L716" s="5"/>
      <c r="M716" s="5"/>
      <c r="N716" s="5"/>
      <c r="O716" s="5"/>
      <c r="P716" s="57"/>
      <c r="Q716" s="5"/>
      <c r="R716" s="5"/>
      <c r="S716" s="5"/>
      <c r="T716" s="5"/>
      <c r="U716" s="5"/>
      <c r="V716" s="5"/>
      <c r="W716" s="5"/>
      <c r="X716" s="5"/>
      <c r="Y716" s="5"/>
      <c r="Z716" s="5"/>
      <c r="AA716" s="5"/>
    </row>
    <row r="717" spans="1:27" ht="12.75" customHeight="1">
      <c r="A717" s="5"/>
      <c r="B717" s="5"/>
      <c r="C717" s="5"/>
      <c r="D717" s="5"/>
      <c r="E717" s="5"/>
      <c r="F717" s="5"/>
      <c r="G717" s="5"/>
      <c r="H717" s="306"/>
      <c r="I717" s="306"/>
      <c r="J717" s="5"/>
      <c r="K717" s="5"/>
      <c r="L717" s="5"/>
      <c r="M717" s="5"/>
      <c r="N717" s="5"/>
      <c r="O717" s="5"/>
      <c r="P717" s="57"/>
      <c r="Q717" s="5"/>
      <c r="R717" s="5"/>
      <c r="S717" s="5"/>
      <c r="T717" s="5"/>
      <c r="U717" s="5"/>
      <c r="V717" s="5"/>
      <c r="W717" s="5"/>
      <c r="X717" s="5"/>
      <c r="Y717" s="5"/>
      <c r="Z717" s="5"/>
      <c r="AA717" s="5"/>
    </row>
    <row r="718" spans="1:27" ht="12.75" customHeight="1">
      <c r="A718" s="5"/>
      <c r="B718" s="5"/>
      <c r="C718" s="5"/>
      <c r="D718" s="5"/>
      <c r="E718" s="5"/>
      <c r="F718" s="5"/>
      <c r="G718" s="5"/>
      <c r="H718" s="306"/>
      <c r="I718" s="306"/>
      <c r="J718" s="5"/>
      <c r="K718" s="5"/>
      <c r="L718" s="5"/>
      <c r="M718" s="5"/>
      <c r="N718" s="5"/>
      <c r="O718" s="5"/>
      <c r="P718" s="57"/>
      <c r="Q718" s="5"/>
      <c r="R718" s="5"/>
      <c r="S718" s="5"/>
      <c r="T718" s="5"/>
      <c r="U718" s="5"/>
      <c r="V718" s="5"/>
      <c r="W718" s="5"/>
      <c r="X718" s="5"/>
      <c r="Y718" s="5"/>
      <c r="Z718" s="5"/>
      <c r="AA718" s="5"/>
    </row>
    <row r="719" spans="1:27" ht="12.75" customHeight="1">
      <c r="A719" s="5"/>
      <c r="B719" s="5"/>
      <c r="C719" s="5"/>
      <c r="D719" s="5"/>
      <c r="E719" s="5"/>
      <c r="F719" s="5"/>
      <c r="G719" s="5"/>
      <c r="H719" s="306"/>
      <c r="I719" s="306"/>
      <c r="J719" s="5"/>
      <c r="K719" s="5"/>
      <c r="L719" s="5"/>
      <c r="M719" s="5"/>
      <c r="N719" s="5"/>
      <c r="O719" s="5"/>
      <c r="P719" s="57"/>
      <c r="Q719" s="5"/>
      <c r="R719" s="5"/>
      <c r="S719" s="5"/>
      <c r="T719" s="5"/>
      <c r="U719" s="5"/>
      <c r="V719" s="5"/>
      <c r="W719" s="5"/>
      <c r="X719" s="5"/>
      <c r="Y719" s="5"/>
      <c r="Z719" s="5"/>
      <c r="AA719" s="5"/>
    </row>
    <row r="720" spans="1:27" ht="12.75" customHeight="1">
      <c r="A720" s="5"/>
      <c r="B720" s="5"/>
      <c r="C720" s="5"/>
      <c r="D720" s="5"/>
      <c r="E720" s="5"/>
      <c r="F720" s="5"/>
      <c r="G720" s="5"/>
      <c r="H720" s="306"/>
      <c r="I720" s="306"/>
      <c r="J720" s="5"/>
      <c r="K720" s="5"/>
      <c r="L720" s="5"/>
      <c r="M720" s="5"/>
      <c r="N720" s="5"/>
      <c r="O720" s="5"/>
      <c r="P720" s="57"/>
      <c r="Q720" s="5"/>
      <c r="R720" s="5"/>
      <c r="S720" s="5"/>
      <c r="T720" s="5"/>
      <c r="U720" s="5"/>
      <c r="V720" s="5"/>
      <c r="W720" s="5"/>
      <c r="X720" s="5"/>
      <c r="Y720" s="5"/>
      <c r="Z720" s="5"/>
      <c r="AA720" s="5"/>
    </row>
    <row r="721" spans="1:27" ht="12.75" customHeight="1">
      <c r="A721" s="5"/>
      <c r="B721" s="5"/>
      <c r="C721" s="5"/>
      <c r="D721" s="5"/>
      <c r="E721" s="5"/>
      <c r="F721" s="5"/>
      <c r="G721" s="5"/>
      <c r="H721" s="306"/>
      <c r="I721" s="306"/>
      <c r="J721" s="5"/>
      <c r="K721" s="5"/>
      <c r="L721" s="5"/>
      <c r="M721" s="5"/>
      <c r="N721" s="5"/>
      <c r="O721" s="5"/>
      <c r="P721" s="57"/>
      <c r="Q721" s="5"/>
      <c r="R721" s="5"/>
      <c r="S721" s="5"/>
      <c r="T721" s="5"/>
      <c r="U721" s="5"/>
      <c r="V721" s="5"/>
      <c r="W721" s="5"/>
      <c r="X721" s="5"/>
      <c r="Y721" s="5"/>
      <c r="Z721" s="5"/>
      <c r="AA721" s="5"/>
    </row>
    <row r="722" spans="1:27" ht="12.75" customHeight="1">
      <c r="A722" s="5"/>
      <c r="B722" s="5"/>
      <c r="C722" s="5"/>
      <c r="D722" s="5"/>
      <c r="E722" s="5"/>
      <c r="F722" s="5"/>
      <c r="G722" s="5"/>
      <c r="H722" s="306"/>
      <c r="I722" s="306"/>
      <c r="J722" s="5"/>
      <c r="K722" s="5"/>
      <c r="L722" s="5"/>
      <c r="M722" s="5"/>
      <c r="N722" s="5"/>
      <c r="O722" s="5"/>
      <c r="P722" s="57"/>
      <c r="Q722" s="5"/>
      <c r="R722" s="5"/>
      <c r="S722" s="5"/>
      <c r="T722" s="5"/>
      <c r="U722" s="5"/>
      <c r="V722" s="5"/>
      <c r="W722" s="5"/>
      <c r="X722" s="5"/>
      <c r="Y722" s="5"/>
      <c r="Z722" s="5"/>
      <c r="AA722" s="5"/>
    </row>
    <row r="723" spans="1:27" ht="12.75" customHeight="1">
      <c r="A723" s="5"/>
      <c r="B723" s="5"/>
      <c r="C723" s="5"/>
      <c r="D723" s="5"/>
      <c r="E723" s="5"/>
      <c r="F723" s="5"/>
      <c r="G723" s="5"/>
      <c r="H723" s="306"/>
      <c r="I723" s="306"/>
      <c r="J723" s="5"/>
      <c r="K723" s="5"/>
      <c r="L723" s="5"/>
      <c r="M723" s="5"/>
      <c r="N723" s="5"/>
      <c r="O723" s="5"/>
      <c r="P723" s="57"/>
      <c r="Q723" s="5"/>
      <c r="R723" s="5"/>
      <c r="S723" s="5"/>
      <c r="T723" s="5"/>
      <c r="U723" s="5"/>
      <c r="V723" s="5"/>
      <c r="W723" s="5"/>
      <c r="X723" s="5"/>
      <c r="Y723" s="5"/>
      <c r="Z723" s="5"/>
      <c r="AA723" s="5"/>
    </row>
    <row r="724" spans="1:27" ht="12.75" customHeight="1">
      <c r="A724" s="5"/>
      <c r="B724" s="5"/>
      <c r="C724" s="5"/>
      <c r="D724" s="5"/>
      <c r="E724" s="5"/>
      <c r="F724" s="5"/>
      <c r="G724" s="5"/>
      <c r="H724" s="306"/>
      <c r="I724" s="306"/>
      <c r="J724" s="5"/>
      <c r="K724" s="5"/>
      <c r="L724" s="5"/>
      <c r="M724" s="5"/>
      <c r="N724" s="5"/>
      <c r="O724" s="5"/>
      <c r="P724" s="57"/>
      <c r="Q724" s="5"/>
      <c r="R724" s="5"/>
      <c r="S724" s="5"/>
      <c r="T724" s="5"/>
      <c r="U724" s="5"/>
      <c r="V724" s="5"/>
      <c r="W724" s="5"/>
      <c r="X724" s="5"/>
      <c r="Y724" s="5"/>
      <c r="Z724" s="5"/>
      <c r="AA724" s="5"/>
    </row>
    <row r="725" spans="1:27" ht="12.75" customHeight="1">
      <c r="A725" s="5"/>
      <c r="B725" s="5"/>
      <c r="C725" s="5"/>
      <c r="D725" s="5"/>
      <c r="E725" s="5"/>
      <c r="F725" s="5"/>
      <c r="G725" s="5"/>
      <c r="H725" s="306"/>
      <c r="I725" s="306"/>
      <c r="J725" s="5"/>
      <c r="K725" s="5"/>
      <c r="L725" s="5"/>
      <c r="M725" s="5"/>
      <c r="N725" s="5"/>
      <c r="O725" s="5"/>
      <c r="P725" s="57"/>
      <c r="Q725" s="5"/>
      <c r="R725" s="5"/>
      <c r="S725" s="5"/>
      <c r="T725" s="5"/>
      <c r="U725" s="5"/>
      <c r="V725" s="5"/>
      <c r="W725" s="5"/>
      <c r="X725" s="5"/>
      <c r="Y725" s="5"/>
      <c r="Z725" s="5"/>
      <c r="AA725" s="5"/>
    </row>
    <row r="726" spans="1:27" ht="12.75" customHeight="1">
      <c r="A726" s="5"/>
      <c r="B726" s="5"/>
      <c r="C726" s="5"/>
      <c r="D726" s="5"/>
      <c r="E726" s="5"/>
      <c r="F726" s="5"/>
      <c r="G726" s="5"/>
      <c r="H726" s="306"/>
      <c r="I726" s="306"/>
      <c r="J726" s="5"/>
      <c r="K726" s="5"/>
      <c r="L726" s="5"/>
      <c r="M726" s="5"/>
      <c r="N726" s="5"/>
      <c r="O726" s="5"/>
      <c r="P726" s="57"/>
      <c r="Q726" s="5"/>
      <c r="R726" s="5"/>
      <c r="S726" s="5"/>
      <c r="T726" s="5"/>
      <c r="U726" s="5"/>
      <c r="V726" s="5"/>
      <c r="W726" s="5"/>
      <c r="X726" s="5"/>
      <c r="Y726" s="5"/>
      <c r="Z726" s="5"/>
      <c r="AA726" s="5"/>
    </row>
    <row r="727" spans="1:27" ht="12.75" customHeight="1">
      <c r="A727" s="5"/>
      <c r="B727" s="5"/>
      <c r="C727" s="5"/>
      <c r="D727" s="5"/>
      <c r="E727" s="5"/>
      <c r="F727" s="5"/>
      <c r="G727" s="5"/>
      <c r="H727" s="306"/>
      <c r="I727" s="306"/>
      <c r="J727" s="5"/>
      <c r="K727" s="5"/>
      <c r="L727" s="5"/>
      <c r="M727" s="5"/>
      <c r="N727" s="5"/>
      <c r="O727" s="5"/>
      <c r="P727" s="57"/>
      <c r="Q727" s="5"/>
      <c r="R727" s="5"/>
      <c r="S727" s="5"/>
      <c r="T727" s="5"/>
      <c r="U727" s="5"/>
      <c r="V727" s="5"/>
      <c r="W727" s="5"/>
      <c r="X727" s="5"/>
      <c r="Y727" s="5"/>
      <c r="Z727" s="5"/>
      <c r="AA727" s="5"/>
    </row>
    <row r="728" spans="1:27" ht="12.75" customHeight="1">
      <c r="A728" s="5"/>
      <c r="B728" s="5"/>
      <c r="C728" s="5"/>
      <c r="D728" s="5"/>
      <c r="E728" s="5"/>
      <c r="F728" s="5"/>
      <c r="G728" s="5"/>
      <c r="H728" s="306"/>
      <c r="I728" s="306"/>
      <c r="J728" s="5"/>
      <c r="K728" s="5"/>
      <c r="L728" s="5"/>
      <c r="M728" s="5"/>
      <c r="N728" s="5"/>
      <c r="O728" s="5"/>
      <c r="P728" s="57"/>
      <c r="Q728" s="5"/>
      <c r="R728" s="5"/>
      <c r="S728" s="5"/>
      <c r="T728" s="5"/>
      <c r="U728" s="5"/>
      <c r="V728" s="5"/>
      <c r="W728" s="5"/>
      <c r="X728" s="5"/>
      <c r="Y728" s="5"/>
      <c r="Z728" s="5"/>
      <c r="AA728" s="5"/>
    </row>
    <row r="729" spans="1:27" ht="12.75" customHeight="1">
      <c r="A729" s="5"/>
      <c r="B729" s="5"/>
      <c r="C729" s="5"/>
      <c r="D729" s="5"/>
      <c r="E729" s="5"/>
      <c r="F729" s="5"/>
      <c r="G729" s="5"/>
      <c r="H729" s="306"/>
      <c r="I729" s="306"/>
      <c r="J729" s="5"/>
      <c r="K729" s="5"/>
      <c r="L729" s="5"/>
      <c r="M729" s="5"/>
      <c r="N729" s="5"/>
      <c r="O729" s="5"/>
      <c r="P729" s="57"/>
      <c r="Q729" s="5"/>
      <c r="R729" s="5"/>
      <c r="S729" s="5"/>
      <c r="T729" s="5"/>
      <c r="U729" s="5"/>
      <c r="V729" s="5"/>
      <c r="W729" s="5"/>
      <c r="X729" s="5"/>
      <c r="Y729" s="5"/>
      <c r="Z729" s="5"/>
      <c r="AA729" s="5"/>
    </row>
    <row r="730" spans="1:27" ht="12.75" customHeight="1">
      <c r="A730" s="5"/>
      <c r="B730" s="5"/>
      <c r="C730" s="5"/>
      <c r="D730" s="5"/>
      <c r="E730" s="5"/>
      <c r="F730" s="5"/>
      <c r="G730" s="5"/>
      <c r="H730" s="306"/>
      <c r="I730" s="306"/>
      <c r="J730" s="5"/>
      <c r="K730" s="5"/>
      <c r="L730" s="5"/>
      <c r="M730" s="5"/>
      <c r="N730" s="5"/>
      <c r="O730" s="5"/>
      <c r="P730" s="57"/>
      <c r="Q730" s="5"/>
      <c r="R730" s="5"/>
      <c r="S730" s="5"/>
      <c r="T730" s="5"/>
      <c r="U730" s="5"/>
      <c r="V730" s="5"/>
      <c r="W730" s="5"/>
      <c r="X730" s="5"/>
      <c r="Y730" s="5"/>
      <c r="Z730" s="5"/>
      <c r="AA730" s="5"/>
    </row>
    <row r="731" spans="1:27" ht="12.75" customHeight="1">
      <c r="A731" s="5"/>
      <c r="B731" s="5"/>
      <c r="C731" s="5"/>
      <c r="D731" s="5"/>
      <c r="E731" s="5"/>
      <c r="F731" s="5"/>
      <c r="G731" s="5"/>
      <c r="H731" s="306"/>
      <c r="I731" s="306"/>
      <c r="J731" s="5"/>
      <c r="K731" s="5"/>
      <c r="L731" s="5"/>
      <c r="M731" s="5"/>
      <c r="N731" s="5"/>
      <c r="O731" s="5"/>
      <c r="P731" s="57"/>
      <c r="Q731" s="5"/>
      <c r="R731" s="5"/>
      <c r="S731" s="5"/>
      <c r="T731" s="5"/>
      <c r="U731" s="5"/>
      <c r="V731" s="5"/>
      <c r="W731" s="5"/>
      <c r="X731" s="5"/>
      <c r="Y731" s="5"/>
      <c r="Z731" s="5"/>
      <c r="AA731" s="5"/>
    </row>
    <row r="732" spans="1:27" ht="12.75" customHeight="1">
      <c r="A732" s="5"/>
      <c r="B732" s="5"/>
      <c r="C732" s="5"/>
      <c r="D732" s="5"/>
      <c r="E732" s="5"/>
      <c r="F732" s="5"/>
      <c r="G732" s="5"/>
      <c r="H732" s="306"/>
      <c r="I732" s="306"/>
      <c r="J732" s="5"/>
      <c r="K732" s="5"/>
      <c r="L732" s="5"/>
      <c r="M732" s="5"/>
      <c r="N732" s="5"/>
      <c r="O732" s="5"/>
      <c r="P732" s="57"/>
      <c r="Q732" s="5"/>
      <c r="R732" s="5"/>
      <c r="S732" s="5"/>
      <c r="T732" s="5"/>
      <c r="U732" s="5"/>
      <c r="V732" s="5"/>
      <c r="W732" s="5"/>
      <c r="X732" s="5"/>
      <c r="Y732" s="5"/>
      <c r="Z732" s="5"/>
      <c r="AA732" s="5"/>
    </row>
    <row r="733" spans="1:27" ht="12.75" customHeight="1">
      <c r="A733" s="5"/>
      <c r="B733" s="5"/>
      <c r="C733" s="5"/>
      <c r="D733" s="5"/>
      <c r="E733" s="5"/>
      <c r="F733" s="5"/>
      <c r="G733" s="5"/>
      <c r="H733" s="306"/>
      <c r="I733" s="306"/>
      <c r="J733" s="5"/>
      <c r="K733" s="5"/>
      <c r="L733" s="5"/>
      <c r="M733" s="5"/>
      <c r="N733" s="5"/>
      <c r="O733" s="5"/>
      <c r="P733" s="57"/>
      <c r="Q733" s="5"/>
      <c r="R733" s="5"/>
      <c r="S733" s="5"/>
      <c r="T733" s="5"/>
      <c r="U733" s="5"/>
      <c r="V733" s="5"/>
      <c r="W733" s="5"/>
      <c r="X733" s="5"/>
      <c r="Y733" s="5"/>
      <c r="Z733" s="5"/>
      <c r="AA733" s="5"/>
    </row>
    <row r="734" spans="1:27" ht="12.75" customHeight="1">
      <c r="A734" s="5"/>
      <c r="B734" s="5"/>
      <c r="C734" s="5"/>
      <c r="D734" s="5"/>
      <c r="E734" s="5"/>
      <c r="F734" s="5"/>
      <c r="G734" s="5"/>
      <c r="H734" s="306"/>
      <c r="I734" s="306"/>
      <c r="J734" s="5"/>
      <c r="K734" s="5"/>
      <c r="L734" s="5"/>
      <c r="M734" s="5"/>
      <c r="N734" s="5"/>
      <c r="O734" s="5"/>
      <c r="P734" s="57"/>
      <c r="Q734" s="5"/>
      <c r="R734" s="5"/>
      <c r="S734" s="5"/>
      <c r="T734" s="5"/>
      <c r="U734" s="5"/>
      <c r="V734" s="5"/>
      <c r="W734" s="5"/>
      <c r="X734" s="5"/>
      <c r="Y734" s="5"/>
      <c r="Z734" s="5"/>
      <c r="AA734" s="5"/>
    </row>
    <row r="735" spans="1:27" ht="12.75" customHeight="1">
      <c r="A735" s="5"/>
      <c r="B735" s="5"/>
      <c r="C735" s="5"/>
      <c r="D735" s="5"/>
      <c r="E735" s="5"/>
      <c r="F735" s="5"/>
      <c r="G735" s="5"/>
      <c r="H735" s="306"/>
      <c r="I735" s="306"/>
      <c r="J735" s="5"/>
      <c r="K735" s="5"/>
      <c r="L735" s="5"/>
      <c r="M735" s="5"/>
      <c r="N735" s="5"/>
      <c r="O735" s="5"/>
      <c r="P735" s="57"/>
      <c r="Q735" s="5"/>
      <c r="R735" s="5"/>
      <c r="S735" s="5"/>
      <c r="T735" s="5"/>
      <c r="U735" s="5"/>
      <c r="V735" s="5"/>
      <c r="W735" s="5"/>
      <c r="X735" s="5"/>
      <c r="Y735" s="5"/>
      <c r="Z735" s="5"/>
      <c r="AA735" s="5"/>
    </row>
    <row r="736" spans="1:27" ht="12.75" customHeight="1">
      <c r="A736" s="5"/>
      <c r="B736" s="5"/>
      <c r="C736" s="5"/>
      <c r="D736" s="5"/>
      <c r="E736" s="5"/>
      <c r="F736" s="5"/>
      <c r="G736" s="5"/>
      <c r="H736" s="306"/>
      <c r="I736" s="306"/>
      <c r="J736" s="5"/>
      <c r="K736" s="5"/>
      <c r="L736" s="5"/>
      <c r="M736" s="5"/>
      <c r="N736" s="5"/>
      <c r="O736" s="5"/>
      <c r="P736" s="57"/>
      <c r="Q736" s="5"/>
      <c r="R736" s="5"/>
      <c r="S736" s="5"/>
      <c r="T736" s="5"/>
      <c r="U736" s="5"/>
      <c r="V736" s="5"/>
      <c r="W736" s="5"/>
      <c r="X736" s="5"/>
      <c r="Y736" s="5"/>
      <c r="Z736" s="5"/>
      <c r="AA736" s="5"/>
    </row>
    <row r="737" spans="1:27" ht="12.75" customHeight="1">
      <c r="A737" s="5"/>
      <c r="B737" s="5"/>
      <c r="C737" s="5"/>
      <c r="D737" s="5"/>
      <c r="E737" s="5"/>
      <c r="F737" s="5"/>
      <c r="G737" s="5"/>
      <c r="H737" s="306"/>
      <c r="I737" s="306"/>
      <c r="J737" s="5"/>
      <c r="K737" s="5"/>
      <c r="L737" s="5"/>
      <c r="M737" s="5"/>
      <c r="N737" s="5"/>
      <c r="O737" s="5"/>
      <c r="P737" s="57"/>
      <c r="Q737" s="5"/>
      <c r="R737" s="5"/>
      <c r="S737" s="5"/>
      <c r="T737" s="5"/>
      <c r="U737" s="5"/>
      <c r="V737" s="5"/>
      <c r="W737" s="5"/>
      <c r="X737" s="5"/>
      <c r="Y737" s="5"/>
      <c r="Z737" s="5"/>
      <c r="AA737" s="5"/>
    </row>
    <row r="738" spans="1:27" ht="12.75" customHeight="1">
      <c r="A738" s="5"/>
      <c r="B738" s="5"/>
      <c r="C738" s="5"/>
      <c r="D738" s="5"/>
      <c r="E738" s="5"/>
      <c r="F738" s="5"/>
      <c r="G738" s="5"/>
      <c r="H738" s="306"/>
      <c r="I738" s="306"/>
      <c r="J738" s="5"/>
      <c r="K738" s="5"/>
      <c r="L738" s="5"/>
      <c r="M738" s="5"/>
      <c r="N738" s="5"/>
      <c r="O738" s="5"/>
      <c r="P738" s="57"/>
      <c r="Q738" s="5"/>
      <c r="R738" s="5"/>
      <c r="S738" s="5"/>
      <c r="T738" s="5"/>
      <c r="U738" s="5"/>
      <c r="V738" s="5"/>
      <c r="W738" s="5"/>
      <c r="X738" s="5"/>
      <c r="Y738" s="5"/>
      <c r="Z738" s="5"/>
      <c r="AA738" s="5"/>
    </row>
    <row r="739" spans="1:27" ht="12.75" customHeight="1">
      <c r="A739" s="5"/>
      <c r="B739" s="5"/>
      <c r="C739" s="5"/>
      <c r="D739" s="5"/>
      <c r="E739" s="5"/>
      <c r="F739" s="5"/>
      <c r="G739" s="5"/>
      <c r="H739" s="306"/>
      <c r="I739" s="306"/>
      <c r="J739" s="5"/>
      <c r="K739" s="5"/>
      <c r="L739" s="5"/>
      <c r="M739" s="5"/>
      <c r="N739" s="5"/>
      <c r="O739" s="5"/>
      <c r="P739" s="57"/>
      <c r="Q739" s="5"/>
      <c r="R739" s="5"/>
      <c r="S739" s="5"/>
      <c r="T739" s="5"/>
      <c r="U739" s="5"/>
      <c r="V739" s="5"/>
      <c r="W739" s="5"/>
      <c r="X739" s="5"/>
      <c r="Y739" s="5"/>
      <c r="Z739" s="5"/>
      <c r="AA739" s="5"/>
    </row>
    <row r="740" spans="1:27" ht="12.75" customHeight="1">
      <c r="A740" s="5"/>
      <c r="B740" s="5"/>
      <c r="C740" s="5"/>
      <c r="D740" s="5"/>
      <c r="E740" s="5"/>
      <c r="F740" s="5"/>
      <c r="G740" s="5"/>
      <c r="H740" s="306"/>
      <c r="I740" s="306"/>
      <c r="J740" s="5"/>
      <c r="K740" s="5"/>
      <c r="L740" s="5"/>
      <c r="M740" s="5"/>
      <c r="N740" s="5"/>
      <c r="O740" s="5"/>
      <c r="P740" s="57"/>
      <c r="Q740" s="5"/>
      <c r="R740" s="5"/>
      <c r="S740" s="5"/>
      <c r="T740" s="5"/>
      <c r="U740" s="5"/>
      <c r="V740" s="5"/>
      <c r="W740" s="5"/>
      <c r="X740" s="5"/>
      <c r="Y740" s="5"/>
      <c r="Z740" s="5"/>
      <c r="AA740" s="5"/>
    </row>
    <row r="741" spans="1:27" ht="12.75" customHeight="1">
      <c r="A741" s="5"/>
      <c r="B741" s="5"/>
      <c r="C741" s="5"/>
      <c r="D741" s="5"/>
      <c r="E741" s="5"/>
      <c r="F741" s="5"/>
      <c r="G741" s="5"/>
      <c r="H741" s="306"/>
      <c r="I741" s="306"/>
      <c r="J741" s="5"/>
      <c r="K741" s="5"/>
      <c r="L741" s="5"/>
      <c r="M741" s="5"/>
      <c r="N741" s="5"/>
      <c r="O741" s="5"/>
      <c r="P741" s="57"/>
      <c r="Q741" s="5"/>
      <c r="R741" s="5"/>
      <c r="S741" s="5"/>
      <c r="T741" s="5"/>
      <c r="U741" s="5"/>
      <c r="V741" s="5"/>
      <c r="W741" s="5"/>
      <c r="X741" s="5"/>
      <c r="Y741" s="5"/>
      <c r="Z741" s="5"/>
      <c r="AA741" s="5"/>
    </row>
    <row r="742" spans="1:27" ht="12.75" customHeight="1">
      <c r="A742" s="5"/>
      <c r="B742" s="5"/>
      <c r="C742" s="5"/>
      <c r="D742" s="5"/>
      <c r="E742" s="5"/>
      <c r="F742" s="5"/>
      <c r="G742" s="5"/>
      <c r="H742" s="306"/>
      <c r="I742" s="306"/>
      <c r="J742" s="5"/>
      <c r="K742" s="5"/>
      <c r="L742" s="5"/>
      <c r="M742" s="5"/>
      <c r="N742" s="5"/>
      <c r="O742" s="5"/>
      <c r="P742" s="57"/>
      <c r="Q742" s="5"/>
      <c r="R742" s="5"/>
      <c r="S742" s="5"/>
      <c r="T742" s="5"/>
      <c r="U742" s="5"/>
      <c r="V742" s="5"/>
      <c r="W742" s="5"/>
      <c r="X742" s="5"/>
      <c r="Y742" s="5"/>
      <c r="Z742" s="5"/>
      <c r="AA742" s="5"/>
    </row>
    <row r="743" spans="1:27" ht="12.75" customHeight="1">
      <c r="A743" s="5"/>
      <c r="B743" s="5"/>
      <c r="C743" s="5"/>
      <c r="D743" s="5"/>
      <c r="E743" s="5"/>
      <c r="F743" s="5"/>
      <c r="G743" s="5"/>
      <c r="H743" s="306"/>
      <c r="I743" s="306"/>
      <c r="J743" s="5"/>
      <c r="K743" s="5"/>
      <c r="L743" s="5"/>
      <c r="M743" s="5"/>
      <c r="N743" s="5"/>
      <c r="O743" s="5"/>
      <c r="P743" s="57"/>
      <c r="Q743" s="5"/>
      <c r="R743" s="5"/>
      <c r="S743" s="5"/>
      <c r="T743" s="5"/>
      <c r="U743" s="5"/>
      <c r="V743" s="5"/>
      <c r="W743" s="5"/>
      <c r="X743" s="5"/>
      <c r="Y743" s="5"/>
      <c r="Z743" s="5"/>
      <c r="AA743" s="5"/>
    </row>
    <row r="744" spans="1:27" ht="12.75" customHeight="1">
      <c r="A744" s="5"/>
      <c r="B744" s="5"/>
      <c r="C744" s="5"/>
      <c r="D744" s="5"/>
      <c r="E744" s="5"/>
      <c r="F744" s="5"/>
      <c r="G744" s="5"/>
      <c r="H744" s="306"/>
      <c r="I744" s="306"/>
      <c r="J744" s="5"/>
      <c r="K744" s="5"/>
      <c r="L744" s="5"/>
      <c r="M744" s="5"/>
      <c r="N744" s="5"/>
      <c r="O744" s="5"/>
      <c r="P744" s="57"/>
      <c r="Q744" s="5"/>
      <c r="R744" s="5"/>
      <c r="S744" s="5"/>
      <c r="T744" s="5"/>
      <c r="U744" s="5"/>
      <c r="V744" s="5"/>
      <c r="W744" s="5"/>
      <c r="X744" s="5"/>
      <c r="Y744" s="5"/>
      <c r="Z744" s="5"/>
      <c r="AA744" s="5"/>
    </row>
    <row r="745" spans="1:27" ht="12.75" customHeight="1">
      <c r="A745" s="5"/>
      <c r="B745" s="5"/>
      <c r="C745" s="5"/>
      <c r="D745" s="5"/>
      <c r="E745" s="5"/>
      <c r="F745" s="5"/>
      <c r="G745" s="5"/>
      <c r="H745" s="306"/>
      <c r="I745" s="306"/>
      <c r="J745" s="5"/>
      <c r="K745" s="5"/>
      <c r="L745" s="5"/>
      <c r="M745" s="5"/>
      <c r="N745" s="5"/>
      <c r="O745" s="5"/>
      <c r="P745" s="57"/>
      <c r="Q745" s="5"/>
      <c r="R745" s="5"/>
      <c r="S745" s="5"/>
      <c r="T745" s="5"/>
      <c r="U745" s="5"/>
      <c r="V745" s="5"/>
      <c r="W745" s="5"/>
      <c r="X745" s="5"/>
      <c r="Y745" s="5"/>
      <c r="Z745" s="5"/>
      <c r="AA745" s="5"/>
    </row>
    <row r="746" spans="1:27" ht="12.75" customHeight="1">
      <c r="A746" s="5"/>
      <c r="B746" s="5"/>
      <c r="C746" s="5"/>
      <c r="D746" s="5"/>
      <c r="E746" s="5"/>
      <c r="F746" s="5"/>
      <c r="G746" s="5"/>
      <c r="H746" s="306"/>
      <c r="I746" s="306"/>
      <c r="J746" s="5"/>
      <c r="K746" s="5"/>
      <c r="L746" s="5"/>
      <c r="M746" s="5"/>
      <c r="N746" s="5"/>
      <c r="O746" s="5"/>
      <c r="P746" s="57"/>
      <c r="Q746" s="5"/>
      <c r="R746" s="5"/>
      <c r="S746" s="5"/>
      <c r="T746" s="5"/>
      <c r="U746" s="5"/>
      <c r="V746" s="5"/>
      <c r="W746" s="5"/>
      <c r="X746" s="5"/>
      <c r="Y746" s="5"/>
      <c r="Z746" s="5"/>
      <c r="AA746" s="5"/>
    </row>
    <row r="747" spans="1:27" ht="12.75" customHeight="1">
      <c r="A747" s="5"/>
      <c r="B747" s="5"/>
      <c r="C747" s="5"/>
      <c r="D747" s="5"/>
      <c r="E747" s="5"/>
      <c r="F747" s="5"/>
      <c r="G747" s="5"/>
      <c r="H747" s="306"/>
      <c r="I747" s="306"/>
      <c r="J747" s="5"/>
      <c r="K747" s="5"/>
      <c r="L747" s="5"/>
      <c r="M747" s="5"/>
      <c r="N747" s="5"/>
      <c r="O747" s="5"/>
      <c r="P747" s="57"/>
      <c r="Q747" s="5"/>
      <c r="R747" s="5"/>
      <c r="S747" s="5"/>
      <c r="T747" s="5"/>
      <c r="U747" s="5"/>
      <c r="V747" s="5"/>
      <c r="W747" s="5"/>
      <c r="X747" s="5"/>
      <c r="Y747" s="5"/>
      <c r="Z747" s="5"/>
      <c r="AA747" s="5"/>
    </row>
    <row r="748" spans="1:27" ht="12.75" customHeight="1">
      <c r="A748" s="5"/>
      <c r="B748" s="5"/>
      <c r="C748" s="5"/>
      <c r="D748" s="5"/>
      <c r="E748" s="5"/>
      <c r="F748" s="5"/>
      <c r="G748" s="5"/>
      <c r="H748" s="306"/>
      <c r="I748" s="306"/>
      <c r="J748" s="5"/>
      <c r="K748" s="5"/>
      <c r="L748" s="5"/>
      <c r="M748" s="5"/>
      <c r="N748" s="5"/>
      <c r="O748" s="5"/>
      <c r="P748" s="57"/>
      <c r="Q748" s="5"/>
      <c r="R748" s="5"/>
      <c r="S748" s="5"/>
      <c r="T748" s="5"/>
      <c r="U748" s="5"/>
      <c r="V748" s="5"/>
      <c r="W748" s="5"/>
      <c r="X748" s="5"/>
      <c r="Y748" s="5"/>
      <c r="Z748" s="5"/>
      <c r="AA748" s="5"/>
    </row>
    <row r="749" spans="1:27" ht="12.75" customHeight="1">
      <c r="A749" s="5"/>
      <c r="B749" s="5"/>
      <c r="C749" s="5"/>
      <c r="D749" s="5"/>
      <c r="E749" s="5"/>
      <c r="F749" s="5"/>
      <c r="G749" s="5"/>
      <c r="H749" s="306"/>
      <c r="I749" s="306"/>
      <c r="J749" s="5"/>
      <c r="K749" s="5"/>
      <c r="L749" s="5"/>
      <c r="M749" s="5"/>
      <c r="N749" s="5"/>
      <c r="O749" s="5"/>
      <c r="P749" s="57"/>
      <c r="Q749" s="5"/>
      <c r="R749" s="5"/>
      <c r="S749" s="5"/>
      <c r="T749" s="5"/>
      <c r="U749" s="5"/>
      <c r="V749" s="5"/>
      <c r="W749" s="5"/>
      <c r="X749" s="5"/>
      <c r="Y749" s="5"/>
      <c r="Z749" s="5"/>
      <c r="AA749" s="5"/>
    </row>
    <row r="750" spans="1:27" ht="12.75" customHeight="1">
      <c r="A750" s="5"/>
      <c r="B750" s="5"/>
      <c r="C750" s="5"/>
      <c r="D750" s="5"/>
      <c r="E750" s="5"/>
      <c r="F750" s="5"/>
      <c r="G750" s="5"/>
      <c r="H750" s="306"/>
      <c r="I750" s="306"/>
      <c r="J750" s="5"/>
      <c r="K750" s="5"/>
      <c r="L750" s="5"/>
      <c r="M750" s="5"/>
      <c r="N750" s="5"/>
      <c r="O750" s="5"/>
      <c r="P750" s="57"/>
      <c r="Q750" s="5"/>
      <c r="R750" s="5"/>
      <c r="S750" s="5"/>
      <c r="T750" s="5"/>
      <c r="U750" s="5"/>
      <c r="V750" s="5"/>
      <c r="W750" s="5"/>
      <c r="X750" s="5"/>
      <c r="Y750" s="5"/>
      <c r="Z750" s="5"/>
      <c r="AA750" s="5"/>
    </row>
    <row r="751" spans="1:27" ht="12.75" customHeight="1">
      <c r="A751" s="5"/>
      <c r="B751" s="5"/>
      <c r="C751" s="5"/>
      <c r="D751" s="5"/>
      <c r="E751" s="5"/>
      <c r="F751" s="5"/>
      <c r="G751" s="5"/>
      <c r="H751" s="306"/>
      <c r="I751" s="306"/>
      <c r="J751" s="5"/>
      <c r="K751" s="5"/>
      <c r="L751" s="5"/>
      <c r="M751" s="5"/>
      <c r="N751" s="5"/>
      <c r="O751" s="5"/>
      <c r="P751" s="57"/>
      <c r="Q751" s="5"/>
      <c r="R751" s="5"/>
      <c r="S751" s="5"/>
      <c r="T751" s="5"/>
      <c r="U751" s="5"/>
      <c r="V751" s="5"/>
      <c r="W751" s="5"/>
      <c r="X751" s="5"/>
      <c r="Y751" s="5"/>
      <c r="Z751" s="5"/>
      <c r="AA751" s="5"/>
    </row>
    <row r="752" spans="1:27" ht="12.75" customHeight="1">
      <c r="A752" s="5"/>
      <c r="B752" s="5"/>
      <c r="C752" s="5"/>
      <c r="D752" s="5"/>
      <c r="E752" s="5"/>
      <c r="F752" s="5"/>
      <c r="G752" s="5"/>
      <c r="H752" s="306"/>
      <c r="I752" s="306"/>
      <c r="J752" s="5"/>
      <c r="K752" s="5"/>
      <c r="L752" s="5"/>
      <c r="M752" s="5"/>
      <c r="N752" s="5"/>
      <c r="O752" s="5"/>
      <c r="P752" s="57"/>
      <c r="Q752" s="5"/>
      <c r="R752" s="5"/>
      <c r="S752" s="5"/>
      <c r="T752" s="5"/>
      <c r="U752" s="5"/>
      <c r="V752" s="5"/>
      <c r="W752" s="5"/>
      <c r="X752" s="5"/>
      <c r="Y752" s="5"/>
      <c r="Z752" s="5"/>
      <c r="AA752" s="5"/>
    </row>
    <row r="753" spans="1:27" ht="12.75" customHeight="1">
      <c r="A753" s="5"/>
      <c r="B753" s="5"/>
      <c r="C753" s="5"/>
      <c r="D753" s="5"/>
      <c r="E753" s="5"/>
      <c r="F753" s="5"/>
      <c r="G753" s="5"/>
      <c r="H753" s="306"/>
      <c r="I753" s="306"/>
      <c r="J753" s="5"/>
      <c r="K753" s="5"/>
      <c r="L753" s="5"/>
      <c r="M753" s="5"/>
      <c r="N753" s="5"/>
      <c r="O753" s="5"/>
      <c r="P753" s="57"/>
      <c r="Q753" s="5"/>
      <c r="R753" s="5"/>
      <c r="S753" s="5"/>
      <c r="T753" s="5"/>
      <c r="U753" s="5"/>
      <c r="V753" s="5"/>
      <c r="W753" s="5"/>
      <c r="X753" s="5"/>
      <c r="Y753" s="5"/>
      <c r="Z753" s="5"/>
      <c r="AA753" s="5"/>
    </row>
    <row r="754" spans="1:27" ht="12.75" customHeight="1">
      <c r="A754" s="5"/>
      <c r="B754" s="5"/>
      <c r="C754" s="5"/>
      <c r="D754" s="5"/>
      <c r="E754" s="5"/>
      <c r="F754" s="5"/>
      <c r="G754" s="5"/>
      <c r="H754" s="306"/>
      <c r="I754" s="306"/>
      <c r="J754" s="5"/>
      <c r="K754" s="5"/>
      <c r="L754" s="5"/>
      <c r="M754" s="5"/>
      <c r="N754" s="5"/>
      <c r="O754" s="5"/>
      <c r="P754" s="57"/>
      <c r="Q754" s="5"/>
      <c r="R754" s="5"/>
      <c r="S754" s="5"/>
      <c r="T754" s="5"/>
      <c r="U754" s="5"/>
      <c r="V754" s="5"/>
      <c r="W754" s="5"/>
      <c r="X754" s="5"/>
      <c r="Y754" s="5"/>
      <c r="Z754" s="5"/>
      <c r="AA754" s="5"/>
    </row>
    <row r="755" spans="1:27" ht="12.75" customHeight="1">
      <c r="A755" s="5"/>
      <c r="B755" s="5"/>
      <c r="C755" s="5"/>
      <c r="D755" s="5"/>
      <c r="E755" s="5"/>
      <c r="F755" s="5"/>
      <c r="G755" s="5"/>
      <c r="H755" s="306"/>
      <c r="I755" s="306"/>
      <c r="J755" s="5"/>
      <c r="K755" s="5"/>
      <c r="L755" s="5"/>
      <c r="M755" s="5"/>
      <c r="N755" s="5"/>
      <c r="O755" s="5"/>
      <c r="P755" s="57"/>
      <c r="Q755" s="5"/>
      <c r="R755" s="5"/>
      <c r="S755" s="5"/>
      <c r="T755" s="5"/>
      <c r="U755" s="5"/>
      <c r="V755" s="5"/>
      <c r="W755" s="5"/>
      <c r="X755" s="5"/>
      <c r="Y755" s="5"/>
      <c r="Z755" s="5"/>
      <c r="AA755" s="5"/>
    </row>
    <row r="756" spans="1:27" ht="12.75" customHeight="1">
      <c r="A756" s="5"/>
      <c r="B756" s="5"/>
      <c r="C756" s="5"/>
      <c r="D756" s="5"/>
      <c r="E756" s="5"/>
      <c r="F756" s="5"/>
      <c r="G756" s="5"/>
      <c r="H756" s="306"/>
      <c r="I756" s="306"/>
      <c r="J756" s="5"/>
      <c r="K756" s="5"/>
      <c r="L756" s="5"/>
      <c r="M756" s="5"/>
      <c r="N756" s="5"/>
      <c r="O756" s="5"/>
      <c r="P756" s="57"/>
      <c r="Q756" s="5"/>
      <c r="R756" s="5"/>
      <c r="S756" s="5"/>
      <c r="T756" s="5"/>
      <c r="U756" s="5"/>
      <c r="V756" s="5"/>
      <c r="W756" s="5"/>
      <c r="X756" s="5"/>
      <c r="Y756" s="5"/>
      <c r="Z756" s="5"/>
      <c r="AA756" s="5"/>
    </row>
    <row r="757" spans="1:27" ht="12.75" customHeight="1">
      <c r="A757" s="5"/>
      <c r="B757" s="5"/>
      <c r="C757" s="5"/>
      <c r="D757" s="5"/>
      <c r="E757" s="5"/>
      <c r="F757" s="5"/>
      <c r="G757" s="5"/>
      <c r="H757" s="306"/>
      <c r="I757" s="306"/>
      <c r="J757" s="5"/>
      <c r="K757" s="5"/>
      <c r="L757" s="5"/>
      <c r="M757" s="5"/>
      <c r="N757" s="5"/>
      <c r="O757" s="5"/>
      <c r="P757" s="57"/>
      <c r="Q757" s="5"/>
      <c r="R757" s="5"/>
      <c r="S757" s="5"/>
      <c r="T757" s="5"/>
      <c r="U757" s="5"/>
      <c r="V757" s="5"/>
      <c r="W757" s="5"/>
      <c r="X757" s="5"/>
      <c r="Y757" s="5"/>
      <c r="Z757" s="5"/>
      <c r="AA757" s="5"/>
    </row>
    <row r="758" spans="1:27" ht="12.75" customHeight="1">
      <c r="A758" s="5"/>
      <c r="B758" s="5"/>
      <c r="C758" s="5"/>
      <c r="D758" s="5"/>
      <c r="E758" s="5"/>
      <c r="F758" s="5"/>
      <c r="G758" s="5"/>
      <c r="H758" s="306"/>
      <c r="I758" s="306"/>
      <c r="J758" s="5"/>
      <c r="K758" s="5"/>
      <c r="L758" s="5"/>
      <c r="M758" s="5"/>
      <c r="N758" s="5"/>
      <c r="O758" s="5"/>
      <c r="P758" s="57"/>
      <c r="Q758" s="5"/>
      <c r="R758" s="5"/>
      <c r="S758" s="5"/>
      <c r="T758" s="5"/>
      <c r="U758" s="5"/>
      <c r="V758" s="5"/>
      <c r="W758" s="5"/>
      <c r="X758" s="5"/>
      <c r="Y758" s="5"/>
      <c r="Z758" s="5"/>
      <c r="AA758" s="5"/>
    </row>
    <row r="759" spans="1:27" ht="12.75" customHeight="1">
      <c r="A759" s="5"/>
      <c r="B759" s="5"/>
      <c r="C759" s="5"/>
      <c r="D759" s="5"/>
      <c r="E759" s="5"/>
      <c r="F759" s="5"/>
      <c r="G759" s="5"/>
      <c r="H759" s="306"/>
      <c r="I759" s="306"/>
      <c r="J759" s="5"/>
      <c r="K759" s="5"/>
      <c r="L759" s="5"/>
      <c r="M759" s="5"/>
      <c r="N759" s="5"/>
      <c r="O759" s="5"/>
      <c r="P759" s="57"/>
      <c r="Q759" s="5"/>
      <c r="R759" s="5"/>
      <c r="S759" s="5"/>
      <c r="T759" s="5"/>
      <c r="U759" s="5"/>
      <c r="V759" s="5"/>
      <c r="W759" s="5"/>
      <c r="X759" s="5"/>
      <c r="Y759" s="5"/>
      <c r="Z759" s="5"/>
      <c r="AA759" s="5"/>
    </row>
    <row r="760" spans="1:27" ht="12.75" customHeight="1">
      <c r="A760" s="5"/>
      <c r="B760" s="5"/>
      <c r="C760" s="5"/>
      <c r="D760" s="5"/>
      <c r="E760" s="5"/>
      <c r="F760" s="5"/>
      <c r="G760" s="5"/>
      <c r="H760" s="306"/>
      <c r="I760" s="306"/>
      <c r="J760" s="5"/>
      <c r="K760" s="5"/>
      <c r="L760" s="5"/>
      <c r="M760" s="5"/>
      <c r="N760" s="5"/>
      <c r="O760" s="5"/>
      <c r="P760" s="57"/>
      <c r="Q760" s="5"/>
      <c r="R760" s="5"/>
      <c r="S760" s="5"/>
      <c r="T760" s="5"/>
      <c r="U760" s="5"/>
      <c r="V760" s="5"/>
      <c r="W760" s="5"/>
      <c r="X760" s="5"/>
      <c r="Y760" s="5"/>
      <c r="Z760" s="5"/>
      <c r="AA760" s="5"/>
    </row>
    <row r="761" spans="1:27" ht="12.75" customHeight="1">
      <c r="A761" s="5"/>
      <c r="B761" s="5"/>
      <c r="C761" s="5"/>
      <c r="D761" s="5"/>
      <c r="E761" s="5"/>
      <c r="F761" s="5"/>
      <c r="G761" s="5"/>
      <c r="H761" s="306"/>
      <c r="I761" s="306"/>
      <c r="J761" s="5"/>
      <c r="K761" s="5"/>
      <c r="L761" s="5"/>
      <c r="M761" s="5"/>
      <c r="N761" s="5"/>
      <c r="O761" s="5"/>
      <c r="P761" s="57"/>
      <c r="Q761" s="5"/>
      <c r="R761" s="5"/>
      <c r="S761" s="5"/>
      <c r="T761" s="5"/>
      <c r="U761" s="5"/>
      <c r="V761" s="5"/>
      <c r="W761" s="5"/>
      <c r="X761" s="5"/>
      <c r="Y761" s="5"/>
      <c r="Z761" s="5"/>
      <c r="AA761" s="5"/>
    </row>
    <row r="762" spans="1:27" ht="12.75" customHeight="1">
      <c r="A762" s="5"/>
      <c r="B762" s="5"/>
      <c r="C762" s="5"/>
      <c r="D762" s="5"/>
      <c r="E762" s="5"/>
      <c r="F762" s="5"/>
      <c r="G762" s="5"/>
      <c r="H762" s="306"/>
      <c r="I762" s="306"/>
      <c r="J762" s="5"/>
      <c r="K762" s="5"/>
      <c r="L762" s="5"/>
      <c r="M762" s="5"/>
      <c r="N762" s="5"/>
      <c r="O762" s="5"/>
      <c r="P762" s="57"/>
      <c r="Q762" s="5"/>
      <c r="R762" s="5"/>
      <c r="S762" s="5"/>
      <c r="T762" s="5"/>
      <c r="U762" s="5"/>
      <c r="V762" s="5"/>
      <c r="W762" s="5"/>
      <c r="X762" s="5"/>
      <c r="Y762" s="5"/>
      <c r="Z762" s="5"/>
      <c r="AA762" s="5"/>
    </row>
    <row r="763" spans="1:27" ht="12.75" customHeight="1">
      <c r="A763" s="5"/>
      <c r="B763" s="5"/>
      <c r="C763" s="5"/>
      <c r="D763" s="5"/>
      <c r="E763" s="5"/>
      <c r="F763" s="5"/>
      <c r="G763" s="5"/>
      <c r="H763" s="306"/>
      <c r="I763" s="306"/>
      <c r="J763" s="5"/>
      <c r="K763" s="5"/>
      <c r="L763" s="5"/>
      <c r="M763" s="5"/>
      <c r="N763" s="5"/>
      <c r="O763" s="5"/>
      <c r="P763" s="57"/>
      <c r="Q763" s="5"/>
      <c r="R763" s="5"/>
      <c r="S763" s="5"/>
      <c r="T763" s="5"/>
      <c r="U763" s="5"/>
      <c r="V763" s="5"/>
      <c r="W763" s="5"/>
      <c r="X763" s="5"/>
      <c r="Y763" s="5"/>
      <c r="Z763" s="5"/>
      <c r="AA763" s="5"/>
    </row>
    <row r="764" spans="1:27" ht="12.75" customHeight="1">
      <c r="A764" s="5"/>
      <c r="B764" s="5"/>
      <c r="C764" s="5"/>
      <c r="D764" s="5"/>
      <c r="E764" s="5"/>
      <c r="F764" s="5"/>
      <c r="G764" s="5"/>
      <c r="H764" s="306"/>
      <c r="I764" s="306"/>
      <c r="J764" s="5"/>
      <c r="K764" s="5"/>
      <c r="L764" s="5"/>
      <c r="M764" s="5"/>
      <c r="N764" s="5"/>
      <c r="O764" s="5"/>
      <c r="P764" s="57"/>
      <c r="Q764" s="5"/>
      <c r="R764" s="5"/>
      <c r="S764" s="5"/>
      <c r="T764" s="5"/>
      <c r="U764" s="5"/>
      <c r="V764" s="5"/>
      <c r="W764" s="5"/>
      <c r="X764" s="5"/>
      <c r="Y764" s="5"/>
      <c r="Z764" s="5"/>
      <c r="AA764" s="5"/>
    </row>
    <row r="765" spans="1:27" ht="12.75" customHeight="1">
      <c r="A765" s="5"/>
      <c r="B765" s="5"/>
      <c r="C765" s="5"/>
      <c r="D765" s="5"/>
      <c r="E765" s="5"/>
      <c r="F765" s="5"/>
      <c r="G765" s="5"/>
      <c r="H765" s="306"/>
      <c r="I765" s="306"/>
      <c r="J765" s="5"/>
      <c r="K765" s="5"/>
      <c r="L765" s="5"/>
      <c r="M765" s="5"/>
      <c r="N765" s="5"/>
      <c r="O765" s="5"/>
      <c r="P765" s="57"/>
      <c r="Q765" s="5"/>
      <c r="R765" s="5"/>
      <c r="S765" s="5"/>
      <c r="T765" s="5"/>
      <c r="U765" s="5"/>
      <c r="V765" s="5"/>
      <c r="W765" s="5"/>
      <c r="X765" s="5"/>
      <c r="Y765" s="5"/>
      <c r="Z765" s="5"/>
      <c r="AA765" s="5"/>
    </row>
    <row r="766" spans="1:27" ht="12.75" customHeight="1">
      <c r="A766" s="5"/>
      <c r="B766" s="5"/>
      <c r="C766" s="5"/>
      <c r="D766" s="5"/>
      <c r="E766" s="5"/>
      <c r="F766" s="5"/>
      <c r="G766" s="5"/>
      <c r="H766" s="306"/>
      <c r="I766" s="306"/>
      <c r="J766" s="5"/>
      <c r="K766" s="5"/>
      <c r="L766" s="5"/>
      <c r="M766" s="5"/>
      <c r="N766" s="5"/>
      <c r="O766" s="5"/>
      <c r="P766" s="57"/>
      <c r="Q766" s="5"/>
      <c r="R766" s="5"/>
      <c r="S766" s="5"/>
      <c r="T766" s="5"/>
      <c r="U766" s="5"/>
      <c r="V766" s="5"/>
      <c r="W766" s="5"/>
      <c r="X766" s="5"/>
      <c r="Y766" s="5"/>
      <c r="Z766" s="5"/>
      <c r="AA766" s="5"/>
    </row>
    <row r="767" spans="1:27" ht="12.75" customHeight="1">
      <c r="A767" s="5"/>
      <c r="B767" s="5"/>
      <c r="C767" s="5"/>
      <c r="D767" s="5"/>
      <c r="E767" s="5"/>
      <c r="F767" s="5"/>
      <c r="G767" s="5"/>
      <c r="H767" s="306"/>
      <c r="I767" s="306"/>
      <c r="J767" s="5"/>
      <c r="K767" s="5"/>
      <c r="L767" s="5"/>
      <c r="M767" s="5"/>
      <c r="N767" s="5"/>
      <c r="O767" s="5"/>
      <c r="P767" s="57"/>
      <c r="Q767" s="5"/>
      <c r="R767" s="5"/>
      <c r="S767" s="5"/>
      <c r="T767" s="5"/>
      <c r="U767" s="5"/>
      <c r="V767" s="5"/>
      <c r="W767" s="5"/>
      <c r="X767" s="5"/>
      <c r="Y767" s="5"/>
      <c r="Z767" s="5"/>
      <c r="AA767" s="5"/>
    </row>
    <row r="768" spans="1:27" ht="12.75" customHeight="1">
      <c r="A768" s="5"/>
      <c r="B768" s="5"/>
      <c r="C768" s="5"/>
      <c r="D768" s="5"/>
      <c r="E768" s="5"/>
      <c r="F768" s="5"/>
      <c r="G768" s="5"/>
      <c r="H768" s="306"/>
      <c r="I768" s="306"/>
      <c r="J768" s="5"/>
      <c r="K768" s="5"/>
      <c r="L768" s="5"/>
      <c r="M768" s="5"/>
      <c r="N768" s="5"/>
      <c r="O768" s="5"/>
      <c r="P768" s="57"/>
      <c r="Q768" s="5"/>
      <c r="R768" s="5"/>
      <c r="S768" s="5"/>
      <c r="T768" s="5"/>
      <c r="U768" s="5"/>
      <c r="V768" s="5"/>
      <c r="W768" s="5"/>
      <c r="X768" s="5"/>
      <c r="Y768" s="5"/>
      <c r="Z768" s="5"/>
      <c r="AA768" s="5"/>
    </row>
    <row r="769" spans="1:27" ht="12.75" customHeight="1">
      <c r="A769" s="5"/>
      <c r="B769" s="5"/>
      <c r="C769" s="5"/>
      <c r="D769" s="5"/>
      <c r="E769" s="5"/>
      <c r="F769" s="5"/>
      <c r="G769" s="5"/>
      <c r="H769" s="306"/>
      <c r="I769" s="306"/>
      <c r="J769" s="5"/>
      <c r="K769" s="5"/>
      <c r="L769" s="5"/>
      <c r="M769" s="5"/>
      <c r="N769" s="5"/>
      <c r="O769" s="5"/>
      <c r="P769" s="57"/>
      <c r="Q769" s="5"/>
      <c r="R769" s="5"/>
      <c r="S769" s="5"/>
      <c r="T769" s="5"/>
      <c r="U769" s="5"/>
      <c r="V769" s="5"/>
      <c r="W769" s="5"/>
      <c r="X769" s="5"/>
      <c r="Y769" s="5"/>
      <c r="Z769" s="5"/>
      <c r="AA769" s="5"/>
    </row>
    <row r="770" spans="1:27" ht="12.75" customHeight="1">
      <c r="A770" s="5"/>
      <c r="B770" s="5"/>
      <c r="C770" s="5"/>
      <c r="D770" s="5"/>
      <c r="E770" s="5"/>
      <c r="F770" s="5"/>
      <c r="G770" s="5"/>
      <c r="H770" s="306"/>
      <c r="I770" s="306"/>
      <c r="J770" s="5"/>
      <c r="K770" s="5"/>
      <c r="L770" s="5"/>
      <c r="M770" s="5"/>
      <c r="N770" s="5"/>
      <c r="O770" s="5"/>
      <c r="P770" s="57"/>
      <c r="Q770" s="5"/>
      <c r="R770" s="5"/>
      <c r="S770" s="5"/>
      <c r="T770" s="5"/>
      <c r="U770" s="5"/>
      <c r="V770" s="5"/>
      <c r="W770" s="5"/>
      <c r="X770" s="5"/>
      <c r="Y770" s="5"/>
      <c r="Z770" s="5"/>
      <c r="AA770" s="5"/>
    </row>
    <row r="771" spans="1:27" ht="12.75" customHeight="1">
      <c r="A771" s="5"/>
      <c r="B771" s="5"/>
      <c r="C771" s="5"/>
      <c r="D771" s="5"/>
      <c r="E771" s="5"/>
      <c r="F771" s="5"/>
      <c r="G771" s="5"/>
      <c r="H771" s="306"/>
      <c r="I771" s="306"/>
      <c r="J771" s="5"/>
      <c r="K771" s="5"/>
      <c r="L771" s="5"/>
      <c r="M771" s="5"/>
      <c r="N771" s="5"/>
      <c r="O771" s="5"/>
      <c r="P771" s="57"/>
      <c r="Q771" s="5"/>
      <c r="R771" s="5"/>
      <c r="S771" s="5"/>
      <c r="T771" s="5"/>
      <c r="U771" s="5"/>
      <c r="V771" s="5"/>
      <c r="W771" s="5"/>
      <c r="X771" s="5"/>
      <c r="Y771" s="5"/>
      <c r="Z771" s="5"/>
      <c r="AA771" s="5"/>
    </row>
    <row r="772" spans="1:27" ht="12.75" customHeight="1">
      <c r="A772" s="5"/>
      <c r="B772" s="5"/>
      <c r="C772" s="5"/>
      <c r="D772" s="5"/>
      <c r="E772" s="5"/>
      <c r="F772" s="5"/>
      <c r="G772" s="5"/>
      <c r="H772" s="306"/>
      <c r="I772" s="306"/>
      <c r="J772" s="5"/>
      <c r="K772" s="5"/>
      <c r="L772" s="5"/>
      <c r="M772" s="5"/>
      <c r="N772" s="5"/>
      <c r="O772" s="5"/>
      <c r="P772" s="57"/>
      <c r="Q772" s="5"/>
      <c r="R772" s="5"/>
      <c r="S772" s="5"/>
      <c r="T772" s="5"/>
      <c r="U772" s="5"/>
      <c r="V772" s="5"/>
      <c r="W772" s="5"/>
      <c r="X772" s="5"/>
      <c r="Y772" s="5"/>
      <c r="Z772" s="5"/>
      <c r="AA772" s="5"/>
    </row>
    <row r="773" spans="1:27" ht="12.75" customHeight="1">
      <c r="A773" s="5"/>
      <c r="B773" s="5"/>
      <c r="C773" s="5"/>
      <c r="D773" s="5"/>
      <c r="E773" s="5"/>
      <c r="F773" s="5"/>
      <c r="G773" s="5"/>
      <c r="H773" s="306"/>
      <c r="I773" s="306"/>
      <c r="J773" s="5"/>
      <c r="K773" s="5"/>
      <c r="L773" s="5"/>
      <c r="M773" s="5"/>
      <c r="N773" s="5"/>
      <c r="O773" s="5"/>
      <c r="P773" s="57"/>
      <c r="Q773" s="5"/>
      <c r="R773" s="5"/>
      <c r="S773" s="5"/>
      <c r="T773" s="5"/>
      <c r="U773" s="5"/>
      <c r="V773" s="5"/>
      <c r="W773" s="5"/>
      <c r="X773" s="5"/>
      <c r="Y773" s="5"/>
      <c r="Z773" s="5"/>
      <c r="AA773" s="5"/>
    </row>
    <row r="774" spans="1:27" ht="12.75" customHeight="1">
      <c r="A774" s="5"/>
      <c r="B774" s="5"/>
      <c r="C774" s="5"/>
      <c r="D774" s="5"/>
      <c r="E774" s="5"/>
      <c r="F774" s="5"/>
      <c r="G774" s="5"/>
      <c r="H774" s="306"/>
      <c r="I774" s="306"/>
      <c r="J774" s="5"/>
      <c r="K774" s="5"/>
      <c r="L774" s="5"/>
      <c r="M774" s="5"/>
      <c r="N774" s="5"/>
      <c r="O774" s="5"/>
      <c r="P774" s="57"/>
      <c r="Q774" s="5"/>
      <c r="R774" s="5"/>
      <c r="S774" s="5"/>
      <c r="T774" s="5"/>
      <c r="U774" s="5"/>
      <c r="V774" s="5"/>
      <c r="W774" s="5"/>
      <c r="X774" s="5"/>
      <c r="Y774" s="5"/>
      <c r="Z774" s="5"/>
      <c r="AA774" s="5"/>
    </row>
    <row r="775" spans="1:27" ht="12.75" customHeight="1">
      <c r="A775" s="5"/>
      <c r="B775" s="5"/>
      <c r="C775" s="5"/>
      <c r="D775" s="5"/>
      <c r="E775" s="5"/>
      <c r="F775" s="5"/>
      <c r="G775" s="5"/>
      <c r="H775" s="306"/>
      <c r="I775" s="306"/>
      <c r="J775" s="5"/>
      <c r="K775" s="5"/>
      <c r="L775" s="5"/>
      <c r="M775" s="5"/>
      <c r="N775" s="5"/>
      <c r="O775" s="5"/>
      <c r="P775" s="57"/>
      <c r="Q775" s="5"/>
      <c r="R775" s="5"/>
      <c r="S775" s="5"/>
      <c r="T775" s="5"/>
      <c r="U775" s="5"/>
      <c r="V775" s="5"/>
      <c r="W775" s="5"/>
      <c r="X775" s="5"/>
      <c r="Y775" s="5"/>
      <c r="Z775" s="5"/>
      <c r="AA775" s="5"/>
    </row>
    <row r="776" spans="1:27" ht="12.75" customHeight="1">
      <c r="A776" s="5"/>
      <c r="B776" s="5"/>
      <c r="C776" s="5"/>
      <c r="D776" s="5"/>
      <c r="E776" s="5"/>
      <c r="F776" s="5"/>
      <c r="G776" s="5"/>
      <c r="H776" s="306"/>
      <c r="I776" s="306"/>
      <c r="J776" s="5"/>
      <c r="K776" s="5"/>
      <c r="L776" s="5"/>
      <c r="M776" s="5"/>
      <c r="N776" s="5"/>
      <c r="O776" s="5"/>
      <c r="P776" s="57"/>
      <c r="Q776" s="5"/>
      <c r="R776" s="5"/>
      <c r="S776" s="5"/>
      <c r="T776" s="5"/>
      <c r="U776" s="5"/>
      <c r="V776" s="5"/>
      <c r="W776" s="5"/>
      <c r="X776" s="5"/>
      <c r="Y776" s="5"/>
      <c r="Z776" s="5"/>
      <c r="AA776" s="5"/>
    </row>
    <row r="777" spans="1:27" ht="12.75" customHeight="1">
      <c r="A777" s="5"/>
      <c r="B777" s="5"/>
      <c r="C777" s="5"/>
      <c r="D777" s="5"/>
      <c r="E777" s="5"/>
      <c r="F777" s="5"/>
      <c r="G777" s="5"/>
      <c r="H777" s="306"/>
      <c r="I777" s="306"/>
      <c r="J777" s="5"/>
      <c r="K777" s="5"/>
      <c r="L777" s="5"/>
      <c r="M777" s="5"/>
      <c r="N777" s="5"/>
      <c r="O777" s="5"/>
      <c r="P777" s="57"/>
      <c r="Q777" s="5"/>
      <c r="R777" s="5"/>
      <c r="S777" s="5"/>
      <c r="T777" s="5"/>
      <c r="U777" s="5"/>
      <c r="V777" s="5"/>
      <c r="W777" s="5"/>
      <c r="X777" s="5"/>
      <c r="Y777" s="5"/>
      <c r="Z777" s="5"/>
      <c r="AA777" s="5"/>
    </row>
    <row r="778" spans="1:27" ht="12.75" customHeight="1">
      <c r="A778" s="5"/>
      <c r="B778" s="5"/>
      <c r="C778" s="5"/>
      <c r="D778" s="5"/>
      <c r="E778" s="5"/>
      <c r="F778" s="5"/>
      <c r="G778" s="5"/>
      <c r="H778" s="306"/>
      <c r="I778" s="306"/>
      <c r="J778" s="5"/>
      <c r="K778" s="5"/>
      <c r="L778" s="5"/>
      <c r="M778" s="5"/>
      <c r="N778" s="5"/>
      <c r="O778" s="5"/>
      <c r="P778" s="57"/>
      <c r="Q778" s="5"/>
      <c r="R778" s="5"/>
      <c r="S778" s="5"/>
      <c r="T778" s="5"/>
      <c r="U778" s="5"/>
      <c r="V778" s="5"/>
      <c r="W778" s="5"/>
      <c r="X778" s="5"/>
      <c r="Y778" s="5"/>
      <c r="Z778" s="5"/>
      <c r="AA778" s="5"/>
    </row>
    <row r="779" spans="1:27" ht="12.75" customHeight="1">
      <c r="A779" s="5"/>
      <c r="B779" s="5"/>
      <c r="C779" s="5"/>
      <c r="D779" s="5"/>
      <c r="E779" s="5"/>
      <c r="F779" s="5"/>
      <c r="G779" s="5"/>
      <c r="H779" s="306"/>
      <c r="I779" s="306"/>
      <c r="J779" s="5"/>
      <c r="K779" s="5"/>
      <c r="L779" s="5"/>
      <c r="M779" s="5"/>
      <c r="N779" s="5"/>
      <c r="O779" s="5"/>
      <c r="P779" s="57"/>
      <c r="Q779" s="5"/>
      <c r="R779" s="5"/>
      <c r="S779" s="5"/>
      <c r="T779" s="5"/>
      <c r="U779" s="5"/>
      <c r="V779" s="5"/>
      <c r="W779" s="5"/>
      <c r="X779" s="5"/>
      <c r="Y779" s="5"/>
      <c r="Z779" s="5"/>
      <c r="AA779" s="5"/>
    </row>
    <row r="780" spans="1:27" ht="12.75" customHeight="1">
      <c r="A780" s="5"/>
      <c r="B780" s="5"/>
      <c r="C780" s="5"/>
      <c r="D780" s="5"/>
      <c r="E780" s="5"/>
      <c r="F780" s="5"/>
      <c r="G780" s="5"/>
      <c r="H780" s="306"/>
      <c r="I780" s="306"/>
      <c r="J780" s="5"/>
      <c r="K780" s="5"/>
      <c r="L780" s="5"/>
      <c r="M780" s="5"/>
      <c r="N780" s="5"/>
      <c r="O780" s="5"/>
      <c r="P780" s="57"/>
      <c r="Q780" s="5"/>
      <c r="R780" s="5"/>
      <c r="S780" s="5"/>
      <c r="T780" s="5"/>
      <c r="U780" s="5"/>
      <c r="V780" s="5"/>
      <c r="W780" s="5"/>
      <c r="X780" s="5"/>
      <c r="Y780" s="5"/>
      <c r="Z780" s="5"/>
      <c r="AA780" s="5"/>
    </row>
    <row r="781" spans="1:27" ht="12.75" customHeight="1">
      <c r="A781" s="5"/>
      <c r="B781" s="5"/>
      <c r="C781" s="5"/>
      <c r="D781" s="5"/>
      <c r="E781" s="5"/>
      <c r="F781" s="5"/>
      <c r="G781" s="5"/>
      <c r="H781" s="306"/>
      <c r="I781" s="306"/>
      <c r="J781" s="5"/>
      <c r="K781" s="5"/>
      <c r="L781" s="5"/>
      <c r="M781" s="5"/>
      <c r="N781" s="5"/>
      <c r="O781" s="5"/>
      <c r="P781" s="57"/>
      <c r="Q781" s="5"/>
      <c r="R781" s="5"/>
      <c r="S781" s="5"/>
      <c r="T781" s="5"/>
      <c r="U781" s="5"/>
      <c r="V781" s="5"/>
      <c r="W781" s="5"/>
      <c r="X781" s="5"/>
      <c r="Y781" s="5"/>
      <c r="Z781" s="5"/>
      <c r="AA781" s="5"/>
    </row>
    <row r="782" spans="1:27" ht="12.75" customHeight="1">
      <c r="A782" s="5"/>
      <c r="B782" s="5"/>
      <c r="C782" s="5"/>
      <c r="D782" s="5"/>
      <c r="E782" s="5"/>
      <c r="F782" s="5"/>
      <c r="G782" s="5"/>
      <c r="H782" s="306"/>
      <c r="I782" s="306"/>
      <c r="J782" s="5"/>
      <c r="K782" s="5"/>
      <c r="L782" s="5"/>
      <c r="M782" s="5"/>
      <c r="N782" s="5"/>
      <c r="O782" s="5"/>
      <c r="P782" s="57"/>
      <c r="Q782" s="5"/>
      <c r="R782" s="5"/>
      <c r="S782" s="5"/>
      <c r="T782" s="5"/>
      <c r="U782" s="5"/>
      <c r="V782" s="5"/>
      <c r="W782" s="5"/>
      <c r="X782" s="5"/>
      <c r="Y782" s="5"/>
      <c r="Z782" s="5"/>
      <c r="AA782" s="5"/>
    </row>
    <row r="783" spans="1:27" ht="12.75" customHeight="1">
      <c r="A783" s="5"/>
      <c r="B783" s="5"/>
      <c r="C783" s="5"/>
      <c r="D783" s="5"/>
      <c r="E783" s="5"/>
      <c r="F783" s="5"/>
      <c r="G783" s="5"/>
      <c r="H783" s="306"/>
      <c r="I783" s="306"/>
      <c r="J783" s="5"/>
      <c r="K783" s="5"/>
      <c r="L783" s="5"/>
      <c r="M783" s="5"/>
      <c r="N783" s="5"/>
      <c r="O783" s="5"/>
      <c r="P783" s="57"/>
      <c r="Q783" s="5"/>
      <c r="R783" s="5"/>
      <c r="S783" s="5"/>
      <c r="T783" s="5"/>
      <c r="U783" s="5"/>
      <c r="V783" s="5"/>
      <c r="W783" s="5"/>
      <c r="X783" s="5"/>
      <c r="Y783" s="5"/>
      <c r="Z783" s="5"/>
      <c r="AA783" s="5"/>
    </row>
    <row r="784" spans="1:27" ht="12.75" customHeight="1">
      <c r="A784" s="5"/>
      <c r="B784" s="5"/>
      <c r="C784" s="5"/>
      <c r="D784" s="5"/>
      <c r="E784" s="5"/>
      <c r="F784" s="5"/>
      <c r="G784" s="5"/>
      <c r="H784" s="306"/>
      <c r="I784" s="306"/>
      <c r="J784" s="5"/>
      <c r="K784" s="5"/>
      <c r="L784" s="5"/>
      <c r="M784" s="5"/>
      <c r="N784" s="5"/>
      <c r="O784" s="5"/>
      <c r="P784" s="57"/>
      <c r="Q784" s="5"/>
      <c r="R784" s="5"/>
      <c r="S784" s="5"/>
      <c r="T784" s="5"/>
      <c r="U784" s="5"/>
      <c r="V784" s="5"/>
      <c r="W784" s="5"/>
      <c r="X784" s="5"/>
      <c r="Y784" s="5"/>
      <c r="Z784" s="5"/>
      <c r="AA784" s="5"/>
    </row>
    <row r="785" spans="1:27" ht="12.75" customHeight="1">
      <c r="A785" s="5"/>
      <c r="B785" s="5"/>
      <c r="C785" s="5"/>
      <c r="D785" s="5"/>
      <c r="E785" s="5"/>
      <c r="F785" s="5"/>
      <c r="G785" s="5"/>
      <c r="H785" s="306"/>
      <c r="I785" s="306"/>
      <c r="J785" s="5"/>
      <c r="K785" s="5"/>
      <c r="L785" s="5"/>
      <c r="M785" s="5"/>
      <c r="N785" s="5"/>
      <c r="O785" s="5"/>
      <c r="P785" s="57"/>
      <c r="Q785" s="5"/>
      <c r="R785" s="5"/>
      <c r="S785" s="5"/>
      <c r="T785" s="5"/>
      <c r="U785" s="5"/>
      <c r="V785" s="5"/>
      <c r="W785" s="5"/>
      <c r="X785" s="5"/>
      <c r="Y785" s="5"/>
      <c r="Z785" s="5"/>
      <c r="AA785" s="5"/>
    </row>
    <row r="786" spans="1:27" ht="12.75" customHeight="1">
      <c r="A786" s="5"/>
      <c r="B786" s="5"/>
      <c r="C786" s="5"/>
      <c r="D786" s="5"/>
      <c r="E786" s="5"/>
      <c r="F786" s="5"/>
      <c r="G786" s="5"/>
      <c r="H786" s="306"/>
      <c r="I786" s="306"/>
      <c r="J786" s="5"/>
      <c r="K786" s="5"/>
      <c r="L786" s="5"/>
      <c r="M786" s="5"/>
      <c r="N786" s="5"/>
      <c r="O786" s="5"/>
      <c r="P786" s="57"/>
      <c r="Q786" s="5"/>
      <c r="R786" s="5"/>
      <c r="S786" s="5"/>
      <c r="T786" s="5"/>
      <c r="U786" s="5"/>
      <c r="V786" s="5"/>
      <c r="W786" s="5"/>
      <c r="X786" s="5"/>
      <c r="Y786" s="5"/>
      <c r="Z786" s="5"/>
      <c r="AA786" s="5"/>
    </row>
    <row r="787" spans="1:27" ht="12.75" customHeight="1">
      <c r="A787" s="5"/>
      <c r="B787" s="5"/>
      <c r="C787" s="5"/>
      <c r="D787" s="5"/>
      <c r="E787" s="5"/>
      <c r="F787" s="5"/>
      <c r="G787" s="5"/>
      <c r="H787" s="306"/>
      <c r="I787" s="306"/>
      <c r="J787" s="5"/>
      <c r="K787" s="5"/>
      <c r="L787" s="5"/>
      <c r="M787" s="5"/>
      <c r="N787" s="5"/>
      <c r="O787" s="5"/>
      <c r="P787" s="57"/>
      <c r="Q787" s="5"/>
      <c r="R787" s="5"/>
      <c r="S787" s="5"/>
      <c r="T787" s="5"/>
      <c r="U787" s="5"/>
      <c r="V787" s="5"/>
      <c r="W787" s="5"/>
      <c r="X787" s="5"/>
      <c r="Y787" s="5"/>
      <c r="Z787" s="5"/>
      <c r="AA787" s="5"/>
    </row>
    <row r="788" spans="1:27" ht="12.75" customHeight="1">
      <c r="A788" s="5"/>
      <c r="B788" s="5"/>
      <c r="C788" s="5"/>
      <c r="D788" s="5"/>
      <c r="E788" s="5"/>
      <c r="F788" s="5"/>
      <c r="G788" s="5"/>
      <c r="H788" s="306"/>
      <c r="I788" s="306"/>
      <c r="J788" s="5"/>
      <c r="K788" s="5"/>
      <c r="L788" s="5"/>
      <c r="M788" s="5"/>
      <c r="N788" s="5"/>
      <c r="O788" s="5"/>
      <c r="P788" s="57"/>
      <c r="Q788" s="5"/>
      <c r="R788" s="5"/>
      <c r="S788" s="5"/>
      <c r="T788" s="5"/>
      <c r="U788" s="5"/>
      <c r="V788" s="5"/>
      <c r="W788" s="5"/>
      <c r="X788" s="5"/>
      <c r="Y788" s="5"/>
      <c r="Z788" s="5"/>
      <c r="AA788" s="5"/>
    </row>
    <row r="789" spans="1:27" ht="12.75" customHeight="1">
      <c r="A789" s="5"/>
      <c r="B789" s="5"/>
      <c r="C789" s="5"/>
      <c r="D789" s="5"/>
      <c r="E789" s="5"/>
      <c r="F789" s="5"/>
      <c r="G789" s="5"/>
      <c r="H789" s="306"/>
      <c r="I789" s="306"/>
      <c r="J789" s="5"/>
      <c r="K789" s="5"/>
      <c r="L789" s="5"/>
      <c r="M789" s="5"/>
      <c r="N789" s="5"/>
      <c r="O789" s="5"/>
      <c r="P789" s="57"/>
      <c r="Q789" s="5"/>
      <c r="R789" s="5"/>
      <c r="S789" s="5"/>
      <c r="T789" s="5"/>
      <c r="U789" s="5"/>
      <c r="V789" s="5"/>
      <c r="W789" s="5"/>
      <c r="X789" s="5"/>
      <c r="Y789" s="5"/>
      <c r="Z789" s="5"/>
      <c r="AA789" s="5"/>
    </row>
    <row r="790" spans="1:27" ht="12.75" customHeight="1">
      <c r="A790" s="5"/>
      <c r="B790" s="5"/>
      <c r="C790" s="5"/>
      <c r="D790" s="5"/>
      <c r="E790" s="5"/>
      <c r="F790" s="5"/>
      <c r="G790" s="5"/>
      <c r="H790" s="306"/>
      <c r="I790" s="306"/>
      <c r="J790" s="5"/>
      <c r="K790" s="5"/>
      <c r="L790" s="5"/>
      <c r="M790" s="5"/>
      <c r="N790" s="5"/>
      <c r="O790" s="5"/>
      <c r="P790" s="57"/>
      <c r="Q790" s="5"/>
      <c r="R790" s="5"/>
      <c r="S790" s="5"/>
      <c r="T790" s="5"/>
      <c r="U790" s="5"/>
      <c r="V790" s="5"/>
      <c r="W790" s="5"/>
      <c r="X790" s="5"/>
      <c r="Y790" s="5"/>
      <c r="Z790" s="5"/>
      <c r="AA790" s="5"/>
    </row>
    <row r="791" spans="1:27" ht="12.75" customHeight="1">
      <c r="A791" s="5"/>
      <c r="B791" s="5"/>
      <c r="C791" s="5"/>
      <c r="D791" s="5"/>
      <c r="E791" s="5"/>
      <c r="F791" s="5"/>
      <c r="G791" s="5"/>
      <c r="H791" s="306"/>
      <c r="I791" s="306"/>
      <c r="J791" s="5"/>
      <c r="K791" s="5"/>
      <c r="L791" s="5"/>
      <c r="M791" s="5"/>
      <c r="N791" s="5"/>
      <c r="O791" s="5"/>
      <c r="P791" s="57"/>
      <c r="Q791" s="5"/>
      <c r="R791" s="5"/>
      <c r="S791" s="5"/>
      <c r="T791" s="5"/>
      <c r="U791" s="5"/>
      <c r="V791" s="5"/>
      <c r="W791" s="5"/>
      <c r="X791" s="5"/>
      <c r="Y791" s="5"/>
      <c r="Z791" s="5"/>
      <c r="AA791" s="5"/>
    </row>
    <row r="792" spans="1:27" ht="12.75" customHeight="1">
      <c r="A792" s="5"/>
      <c r="B792" s="5"/>
      <c r="C792" s="5"/>
      <c r="D792" s="5"/>
      <c r="E792" s="5"/>
      <c r="F792" s="5"/>
      <c r="G792" s="5"/>
      <c r="H792" s="306"/>
      <c r="I792" s="306"/>
      <c r="J792" s="5"/>
      <c r="K792" s="5"/>
      <c r="L792" s="5"/>
      <c r="M792" s="5"/>
      <c r="N792" s="5"/>
      <c r="O792" s="5"/>
      <c r="P792" s="57"/>
      <c r="Q792" s="5"/>
      <c r="R792" s="5"/>
      <c r="S792" s="5"/>
      <c r="T792" s="5"/>
      <c r="U792" s="5"/>
      <c r="V792" s="5"/>
      <c r="W792" s="5"/>
      <c r="X792" s="5"/>
      <c r="Y792" s="5"/>
      <c r="Z792" s="5"/>
      <c r="AA792" s="5"/>
    </row>
    <row r="793" spans="1:27" ht="12.75" customHeight="1">
      <c r="A793" s="5"/>
      <c r="B793" s="5"/>
      <c r="C793" s="5"/>
      <c r="D793" s="5"/>
      <c r="E793" s="5"/>
      <c r="F793" s="5"/>
      <c r="G793" s="5"/>
      <c r="H793" s="306"/>
      <c r="I793" s="306"/>
      <c r="J793" s="5"/>
      <c r="K793" s="5"/>
      <c r="L793" s="5"/>
      <c r="M793" s="5"/>
      <c r="N793" s="5"/>
      <c r="O793" s="5"/>
      <c r="P793" s="57"/>
      <c r="Q793" s="5"/>
      <c r="R793" s="5"/>
      <c r="S793" s="5"/>
      <c r="T793" s="5"/>
      <c r="U793" s="5"/>
      <c r="V793" s="5"/>
      <c r="W793" s="5"/>
      <c r="X793" s="5"/>
      <c r="Y793" s="5"/>
      <c r="Z793" s="5"/>
      <c r="AA793" s="5"/>
    </row>
    <row r="794" spans="1:27" ht="12.75" customHeight="1">
      <c r="A794" s="5"/>
      <c r="B794" s="5"/>
      <c r="C794" s="5"/>
      <c r="D794" s="5"/>
      <c r="E794" s="5"/>
      <c r="F794" s="5"/>
      <c r="G794" s="5"/>
      <c r="H794" s="306"/>
      <c r="I794" s="306"/>
      <c r="J794" s="5"/>
      <c r="K794" s="5"/>
      <c r="L794" s="5"/>
      <c r="M794" s="5"/>
      <c r="N794" s="5"/>
      <c r="O794" s="5"/>
      <c r="P794" s="57"/>
      <c r="Q794" s="5"/>
      <c r="R794" s="5"/>
      <c r="S794" s="5"/>
      <c r="T794" s="5"/>
      <c r="U794" s="5"/>
      <c r="V794" s="5"/>
      <c r="W794" s="5"/>
      <c r="X794" s="5"/>
      <c r="Y794" s="5"/>
      <c r="Z794" s="5"/>
      <c r="AA794" s="5"/>
    </row>
    <row r="795" spans="1:27" ht="12.75" customHeight="1">
      <c r="A795" s="5"/>
      <c r="B795" s="5"/>
      <c r="C795" s="5"/>
      <c r="D795" s="5"/>
      <c r="E795" s="5"/>
      <c r="F795" s="5"/>
      <c r="G795" s="5"/>
      <c r="H795" s="306"/>
      <c r="I795" s="306"/>
      <c r="J795" s="5"/>
      <c r="K795" s="5"/>
      <c r="L795" s="5"/>
      <c r="M795" s="5"/>
      <c r="N795" s="5"/>
      <c r="O795" s="5"/>
      <c r="P795" s="57"/>
      <c r="Q795" s="5"/>
      <c r="R795" s="5"/>
      <c r="S795" s="5"/>
      <c r="T795" s="5"/>
      <c r="U795" s="5"/>
      <c r="V795" s="5"/>
      <c r="W795" s="5"/>
      <c r="X795" s="5"/>
      <c r="Y795" s="5"/>
      <c r="Z795" s="5"/>
      <c r="AA795" s="5"/>
    </row>
    <row r="796" spans="1:27" ht="12.75" customHeight="1">
      <c r="A796" s="5"/>
      <c r="B796" s="5"/>
      <c r="C796" s="5"/>
      <c r="D796" s="5"/>
      <c r="E796" s="5"/>
      <c r="F796" s="5"/>
      <c r="G796" s="5"/>
      <c r="H796" s="306"/>
      <c r="I796" s="306"/>
      <c r="J796" s="5"/>
      <c r="K796" s="5"/>
      <c r="L796" s="5"/>
      <c r="M796" s="5"/>
      <c r="N796" s="5"/>
      <c r="O796" s="5"/>
      <c r="P796" s="57"/>
      <c r="Q796" s="5"/>
      <c r="R796" s="5"/>
      <c r="S796" s="5"/>
      <c r="T796" s="5"/>
      <c r="U796" s="5"/>
      <c r="V796" s="5"/>
      <c r="W796" s="5"/>
      <c r="X796" s="5"/>
      <c r="Y796" s="5"/>
      <c r="Z796" s="5"/>
      <c r="AA796" s="5"/>
    </row>
    <row r="797" spans="1:27" ht="12.75" customHeight="1">
      <c r="A797" s="5"/>
      <c r="B797" s="5"/>
      <c r="C797" s="5"/>
      <c r="D797" s="5"/>
      <c r="E797" s="5"/>
      <c r="F797" s="5"/>
      <c r="G797" s="5"/>
      <c r="H797" s="306"/>
      <c r="I797" s="306"/>
      <c r="J797" s="5"/>
      <c r="K797" s="5"/>
      <c r="L797" s="5"/>
      <c r="M797" s="5"/>
      <c r="N797" s="5"/>
      <c r="O797" s="5"/>
      <c r="P797" s="57"/>
      <c r="Q797" s="5"/>
      <c r="R797" s="5"/>
      <c r="S797" s="5"/>
      <c r="T797" s="5"/>
      <c r="U797" s="5"/>
      <c r="V797" s="5"/>
      <c r="W797" s="5"/>
      <c r="X797" s="5"/>
      <c r="Y797" s="5"/>
      <c r="Z797" s="5"/>
      <c r="AA797" s="5"/>
    </row>
    <row r="798" spans="1:27" ht="12.75" customHeight="1">
      <c r="A798" s="5"/>
      <c r="B798" s="5"/>
      <c r="C798" s="5"/>
      <c r="D798" s="5"/>
      <c r="E798" s="5"/>
      <c r="F798" s="5"/>
      <c r="G798" s="5"/>
      <c r="H798" s="306"/>
      <c r="I798" s="306"/>
      <c r="J798" s="5"/>
      <c r="K798" s="5"/>
      <c r="L798" s="5"/>
      <c r="M798" s="5"/>
      <c r="N798" s="5"/>
      <c r="O798" s="5"/>
      <c r="P798" s="57"/>
      <c r="Q798" s="5"/>
      <c r="R798" s="5"/>
      <c r="S798" s="5"/>
      <c r="T798" s="5"/>
      <c r="U798" s="5"/>
      <c r="V798" s="5"/>
      <c r="W798" s="5"/>
      <c r="X798" s="5"/>
      <c r="Y798" s="5"/>
      <c r="Z798" s="5"/>
      <c r="AA798" s="5"/>
    </row>
    <row r="799" spans="1:27" ht="12.75" customHeight="1">
      <c r="A799" s="5"/>
      <c r="B799" s="5"/>
      <c r="C799" s="5"/>
      <c r="D799" s="5"/>
      <c r="E799" s="5"/>
      <c r="F799" s="5"/>
      <c r="G799" s="5"/>
      <c r="H799" s="306"/>
      <c r="I799" s="306"/>
      <c r="J799" s="5"/>
      <c r="K799" s="5"/>
      <c r="L799" s="5"/>
      <c r="M799" s="5"/>
      <c r="N799" s="5"/>
      <c r="O799" s="5"/>
      <c r="P799" s="57"/>
      <c r="Q799" s="5"/>
      <c r="R799" s="5"/>
      <c r="S799" s="5"/>
      <c r="T799" s="5"/>
      <c r="U799" s="5"/>
      <c r="V799" s="5"/>
      <c r="W799" s="5"/>
      <c r="X799" s="5"/>
      <c r="Y799" s="5"/>
      <c r="Z799" s="5"/>
      <c r="AA799" s="5"/>
    </row>
    <row r="800" spans="1:27" ht="12.75" customHeight="1">
      <c r="A800" s="5"/>
      <c r="B800" s="5"/>
      <c r="C800" s="5"/>
      <c r="D800" s="5"/>
      <c r="E800" s="5"/>
      <c r="F800" s="5"/>
      <c r="G800" s="5"/>
      <c r="H800" s="306"/>
      <c r="I800" s="306"/>
      <c r="J800" s="5"/>
      <c r="K800" s="5"/>
      <c r="L800" s="5"/>
      <c r="M800" s="5"/>
      <c r="N800" s="5"/>
      <c r="O800" s="5"/>
      <c r="P800" s="57"/>
      <c r="Q800" s="5"/>
      <c r="R800" s="5"/>
      <c r="S800" s="5"/>
      <c r="T800" s="5"/>
      <c r="U800" s="5"/>
      <c r="V800" s="5"/>
      <c r="W800" s="5"/>
      <c r="X800" s="5"/>
      <c r="Y800" s="5"/>
      <c r="Z800" s="5"/>
      <c r="AA800" s="5"/>
    </row>
    <row r="801" spans="1:27" ht="12.75" customHeight="1">
      <c r="A801" s="5"/>
      <c r="B801" s="5"/>
      <c r="C801" s="5"/>
      <c r="D801" s="5"/>
      <c r="E801" s="5"/>
      <c r="F801" s="5"/>
      <c r="G801" s="5"/>
      <c r="H801" s="306"/>
      <c r="I801" s="306"/>
      <c r="J801" s="5"/>
      <c r="K801" s="5"/>
      <c r="L801" s="5"/>
      <c r="M801" s="5"/>
      <c r="N801" s="5"/>
      <c r="O801" s="5"/>
      <c r="P801" s="57"/>
      <c r="Q801" s="5"/>
      <c r="R801" s="5"/>
      <c r="S801" s="5"/>
      <c r="T801" s="5"/>
      <c r="U801" s="5"/>
      <c r="V801" s="5"/>
      <c r="W801" s="5"/>
      <c r="X801" s="5"/>
      <c r="Y801" s="5"/>
      <c r="Z801" s="5"/>
      <c r="AA801" s="5"/>
    </row>
    <row r="802" spans="1:27" ht="12.75" customHeight="1">
      <c r="A802" s="5"/>
      <c r="B802" s="5"/>
      <c r="C802" s="5"/>
      <c r="D802" s="5"/>
      <c r="E802" s="5"/>
      <c r="F802" s="5"/>
      <c r="G802" s="5"/>
      <c r="H802" s="306"/>
      <c r="I802" s="306"/>
      <c r="J802" s="5"/>
      <c r="K802" s="5"/>
      <c r="L802" s="5"/>
      <c r="M802" s="5"/>
      <c r="N802" s="5"/>
      <c r="O802" s="5"/>
      <c r="P802" s="57"/>
      <c r="Q802" s="5"/>
      <c r="R802" s="5"/>
      <c r="S802" s="5"/>
      <c r="T802" s="5"/>
      <c r="U802" s="5"/>
      <c r="V802" s="5"/>
      <c r="W802" s="5"/>
      <c r="X802" s="5"/>
      <c r="Y802" s="5"/>
      <c r="Z802" s="5"/>
      <c r="AA802" s="5"/>
    </row>
    <row r="803" spans="1:27" ht="12.75" customHeight="1">
      <c r="A803" s="5"/>
      <c r="B803" s="5"/>
      <c r="C803" s="5"/>
      <c r="D803" s="5"/>
      <c r="E803" s="5"/>
      <c r="F803" s="5"/>
      <c r="G803" s="5"/>
      <c r="H803" s="306"/>
      <c r="I803" s="306"/>
      <c r="J803" s="5"/>
      <c r="K803" s="5"/>
      <c r="L803" s="5"/>
      <c r="M803" s="5"/>
      <c r="N803" s="5"/>
      <c r="O803" s="5"/>
      <c r="P803" s="57"/>
      <c r="Q803" s="5"/>
      <c r="R803" s="5"/>
      <c r="S803" s="5"/>
      <c r="T803" s="5"/>
      <c r="U803" s="5"/>
      <c r="V803" s="5"/>
      <c r="W803" s="5"/>
      <c r="X803" s="5"/>
      <c r="Y803" s="5"/>
      <c r="Z803" s="5"/>
      <c r="AA803" s="5"/>
    </row>
    <row r="804" spans="1:27" ht="12.75" customHeight="1">
      <c r="A804" s="5"/>
      <c r="B804" s="5"/>
      <c r="C804" s="5"/>
      <c r="D804" s="5"/>
      <c r="E804" s="5"/>
      <c r="F804" s="5"/>
      <c r="G804" s="5"/>
      <c r="H804" s="306"/>
      <c r="I804" s="306"/>
      <c r="J804" s="5"/>
      <c r="K804" s="5"/>
      <c r="L804" s="5"/>
      <c r="M804" s="5"/>
      <c r="N804" s="5"/>
      <c r="O804" s="5"/>
      <c r="P804" s="57"/>
      <c r="Q804" s="5"/>
      <c r="R804" s="5"/>
      <c r="S804" s="5"/>
      <c r="T804" s="5"/>
      <c r="U804" s="5"/>
      <c r="V804" s="5"/>
      <c r="W804" s="5"/>
      <c r="X804" s="5"/>
      <c r="Y804" s="5"/>
      <c r="Z804" s="5"/>
      <c r="AA804" s="5"/>
    </row>
    <row r="805" spans="1:27" ht="12.75" customHeight="1">
      <c r="A805" s="5"/>
      <c r="B805" s="5"/>
      <c r="C805" s="5"/>
      <c r="D805" s="5"/>
      <c r="E805" s="5"/>
      <c r="F805" s="5"/>
      <c r="G805" s="5"/>
      <c r="H805" s="306"/>
      <c r="I805" s="306"/>
      <c r="J805" s="5"/>
      <c r="K805" s="5"/>
      <c r="L805" s="5"/>
      <c r="M805" s="5"/>
      <c r="N805" s="5"/>
      <c r="O805" s="5"/>
      <c r="P805" s="57"/>
      <c r="Q805" s="5"/>
      <c r="R805" s="5"/>
      <c r="S805" s="5"/>
      <c r="T805" s="5"/>
      <c r="U805" s="5"/>
      <c r="V805" s="5"/>
      <c r="W805" s="5"/>
      <c r="X805" s="5"/>
      <c r="Y805" s="5"/>
      <c r="Z805" s="5"/>
      <c r="AA805" s="5"/>
    </row>
    <row r="806" spans="1:27" ht="12.75" customHeight="1">
      <c r="A806" s="5"/>
      <c r="B806" s="5"/>
      <c r="C806" s="5"/>
      <c r="D806" s="5"/>
      <c r="E806" s="5"/>
      <c r="F806" s="5"/>
      <c r="G806" s="5"/>
      <c r="H806" s="306"/>
      <c r="I806" s="306"/>
      <c r="J806" s="5"/>
      <c r="K806" s="5"/>
      <c r="L806" s="5"/>
      <c r="M806" s="5"/>
      <c r="N806" s="5"/>
      <c r="O806" s="5"/>
      <c r="P806" s="57"/>
      <c r="Q806" s="5"/>
      <c r="R806" s="5"/>
      <c r="S806" s="5"/>
      <c r="T806" s="5"/>
      <c r="U806" s="5"/>
      <c r="V806" s="5"/>
      <c r="W806" s="5"/>
      <c r="X806" s="5"/>
      <c r="Y806" s="5"/>
      <c r="Z806" s="5"/>
      <c r="AA806" s="5"/>
    </row>
    <row r="807" spans="1:27" ht="12.75" customHeight="1">
      <c r="A807" s="5"/>
      <c r="B807" s="5"/>
      <c r="C807" s="5"/>
      <c r="D807" s="5"/>
      <c r="E807" s="5"/>
      <c r="F807" s="5"/>
      <c r="G807" s="5"/>
      <c r="H807" s="306"/>
      <c r="I807" s="306"/>
      <c r="J807" s="5"/>
      <c r="K807" s="5"/>
      <c r="L807" s="5"/>
      <c r="M807" s="5"/>
      <c r="N807" s="5"/>
      <c r="O807" s="5"/>
      <c r="P807" s="57"/>
      <c r="Q807" s="5"/>
      <c r="R807" s="5"/>
      <c r="S807" s="5"/>
      <c r="T807" s="5"/>
      <c r="U807" s="5"/>
      <c r="V807" s="5"/>
      <c r="W807" s="5"/>
      <c r="X807" s="5"/>
      <c r="Y807" s="5"/>
      <c r="Z807" s="5"/>
      <c r="AA807" s="5"/>
    </row>
    <row r="808" spans="1:27" ht="12.75" customHeight="1">
      <c r="A808" s="5"/>
      <c r="B808" s="5"/>
      <c r="C808" s="5"/>
      <c r="D808" s="5"/>
      <c r="E808" s="5"/>
      <c r="F808" s="5"/>
      <c r="G808" s="5"/>
      <c r="H808" s="306"/>
      <c r="I808" s="306"/>
      <c r="J808" s="5"/>
      <c r="K808" s="5"/>
      <c r="L808" s="5"/>
      <c r="M808" s="5"/>
      <c r="N808" s="5"/>
      <c r="O808" s="5"/>
      <c r="P808" s="57"/>
      <c r="Q808" s="5"/>
      <c r="R808" s="5"/>
      <c r="S808" s="5"/>
      <c r="T808" s="5"/>
      <c r="U808" s="5"/>
      <c r="V808" s="5"/>
      <c r="W808" s="5"/>
      <c r="X808" s="5"/>
      <c r="Y808" s="5"/>
      <c r="Z808" s="5"/>
      <c r="AA808" s="5"/>
    </row>
    <row r="809" spans="1:27" ht="12.75" customHeight="1">
      <c r="A809" s="5"/>
      <c r="B809" s="5"/>
      <c r="C809" s="5"/>
      <c r="D809" s="5"/>
      <c r="E809" s="5"/>
      <c r="F809" s="5"/>
      <c r="G809" s="5"/>
      <c r="H809" s="306"/>
      <c r="I809" s="306"/>
      <c r="J809" s="5"/>
      <c r="K809" s="5"/>
      <c r="L809" s="5"/>
      <c r="M809" s="5"/>
      <c r="N809" s="5"/>
      <c r="O809" s="5"/>
      <c r="P809" s="57"/>
      <c r="Q809" s="5"/>
      <c r="R809" s="5"/>
      <c r="S809" s="5"/>
      <c r="T809" s="5"/>
      <c r="U809" s="5"/>
      <c r="V809" s="5"/>
      <c r="W809" s="5"/>
      <c r="X809" s="5"/>
      <c r="Y809" s="5"/>
      <c r="Z809" s="5"/>
      <c r="AA809" s="5"/>
    </row>
    <row r="810" spans="1:27" ht="12.75" customHeight="1">
      <c r="A810" s="5"/>
      <c r="B810" s="5"/>
      <c r="C810" s="5"/>
      <c r="D810" s="5"/>
      <c r="E810" s="5"/>
      <c r="F810" s="5"/>
      <c r="G810" s="5"/>
      <c r="H810" s="306"/>
      <c r="I810" s="306"/>
      <c r="J810" s="5"/>
      <c r="K810" s="5"/>
      <c r="L810" s="5"/>
      <c r="M810" s="5"/>
      <c r="N810" s="5"/>
      <c r="O810" s="5"/>
      <c r="P810" s="57"/>
      <c r="Q810" s="5"/>
      <c r="R810" s="5"/>
      <c r="S810" s="5"/>
      <c r="T810" s="5"/>
      <c r="U810" s="5"/>
      <c r="V810" s="5"/>
      <c r="W810" s="5"/>
      <c r="X810" s="5"/>
      <c r="Y810" s="5"/>
      <c r="Z810" s="5"/>
      <c r="AA810" s="5"/>
    </row>
    <row r="811" spans="1:27" ht="12.75" customHeight="1">
      <c r="A811" s="5"/>
      <c r="B811" s="5"/>
      <c r="C811" s="5"/>
      <c r="D811" s="5"/>
      <c r="E811" s="5"/>
      <c r="F811" s="5"/>
      <c r="G811" s="5"/>
      <c r="H811" s="306"/>
      <c r="I811" s="306"/>
      <c r="J811" s="5"/>
      <c r="K811" s="5"/>
      <c r="L811" s="5"/>
      <c r="M811" s="5"/>
      <c r="N811" s="5"/>
      <c r="O811" s="5"/>
      <c r="P811" s="57"/>
      <c r="Q811" s="5"/>
      <c r="R811" s="5"/>
      <c r="S811" s="5"/>
      <c r="T811" s="5"/>
      <c r="U811" s="5"/>
      <c r="V811" s="5"/>
      <c r="W811" s="5"/>
      <c r="X811" s="5"/>
      <c r="Y811" s="5"/>
      <c r="Z811" s="5"/>
      <c r="AA811" s="5"/>
    </row>
    <row r="812" spans="1:27" ht="12.75" customHeight="1">
      <c r="A812" s="5"/>
      <c r="B812" s="5"/>
      <c r="C812" s="5"/>
      <c r="D812" s="5"/>
      <c r="E812" s="5"/>
      <c r="F812" s="5"/>
      <c r="G812" s="5"/>
      <c r="H812" s="306"/>
      <c r="I812" s="306"/>
      <c r="J812" s="5"/>
      <c r="K812" s="5"/>
      <c r="L812" s="5"/>
      <c r="M812" s="5"/>
      <c r="N812" s="5"/>
      <c r="O812" s="5"/>
      <c r="P812" s="57"/>
      <c r="Q812" s="5"/>
      <c r="R812" s="5"/>
      <c r="S812" s="5"/>
      <c r="T812" s="5"/>
      <c r="U812" s="5"/>
      <c r="V812" s="5"/>
      <c r="W812" s="5"/>
      <c r="X812" s="5"/>
      <c r="Y812" s="5"/>
      <c r="Z812" s="5"/>
      <c r="AA812" s="5"/>
    </row>
    <row r="813" spans="1:27" ht="12.75" customHeight="1">
      <c r="A813" s="5"/>
      <c r="B813" s="5"/>
      <c r="C813" s="5"/>
      <c r="D813" s="5"/>
      <c r="E813" s="5"/>
      <c r="F813" s="5"/>
      <c r="G813" s="5"/>
      <c r="H813" s="306"/>
      <c r="I813" s="306"/>
      <c r="J813" s="5"/>
      <c r="K813" s="5"/>
      <c r="L813" s="5"/>
      <c r="M813" s="5"/>
      <c r="N813" s="5"/>
      <c r="O813" s="5"/>
      <c r="P813" s="57"/>
      <c r="Q813" s="5"/>
      <c r="R813" s="5"/>
      <c r="S813" s="5"/>
      <c r="T813" s="5"/>
      <c r="U813" s="5"/>
      <c r="V813" s="5"/>
      <c r="W813" s="5"/>
      <c r="X813" s="5"/>
      <c r="Y813" s="5"/>
      <c r="Z813" s="5"/>
      <c r="AA813" s="5"/>
    </row>
    <row r="814" spans="1:27" ht="12.75" customHeight="1">
      <c r="A814" s="5"/>
      <c r="B814" s="5"/>
      <c r="C814" s="5"/>
      <c r="D814" s="5"/>
      <c r="E814" s="5"/>
      <c r="F814" s="5"/>
      <c r="G814" s="5"/>
      <c r="H814" s="306"/>
      <c r="I814" s="306"/>
      <c r="J814" s="5"/>
      <c r="K814" s="5"/>
      <c r="L814" s="5"/>
      <c r="M814" s="5"/>
      <c r="N814" s="5"/>
      <c r="O814" s="5"/>
      <c r="P814" s="57"/>
      <c r="Q814" s="5"/>
      <c r="R814" s="5"/>
      <c r="S814" s="5"/>
      <c r="T814" s="5"/>
      <c r="U814" s="5"/>
      <c r="V814" s="5"/>
      <c r="W814" s="5"/>
      <c r="X814" s="5"/>
      <c r="Y814" s="5"/>
      <c r="Z814" s="5"/>
      <c r="AA814" s="5"/>
    </row>
    <row r="815" spans="1:27" ht="12.75" customHeight="1">
      <c r="A815" s="5"/>
      <c r="B815" s="5"/>
      <c r="C815" s="5"/>
      <c r="D815" s="5"/>
      <c r="E815" s="5"/>
      <c r="F815" s="5"/>
      <c r="G815" s="5"/>
      <c r="H815" s="306"/>
      <c r="I815" s="306"/>
      <c r="J815" s="5"/>
      <c r="K815" s="5"/>
      <c r="L815" s="5"/>
      <c r="M815" s="5"/>
      <c r="N815" s="5"/>
      <c r="O815" s="5"/>
      <c r="P815" s="57"/>
      <c r="Q815" s="5"/>
      <c r="R815" s="5"/>
      <c r="S815" s="5"/>
      <c r="T815" s="5"/>
      <c r="U815" s="5"/>
      <c r="V815" s="5"/>
      <c r="W815" s="5"/>
      <c r="X815" s="5"/>
      <c r="Y815" s="5"/>
      <c r="Z815" s="5"/>
      <c r="AA815" s="5"/>
    </row>
    <row r="816" spans="1:27" ht="12.75" customHeight="1">
      <c r="A816" s="5"/>
      <c r="B816" s="5"/>
      <c r="C816" s="5"/>
      <c r="D816" s="5"/>
      <c r="E816" s="5"/>
      <c r="F816" s="5"/>
      <c r="G816" s="5"/>
      <c r="H816" s="306"/>
      <c r="I816" s="306"/>
      <c r="J816" s="5"/>
      <c r="K816" s="5"/>
      <c r="L816" s="5"/>
      <c r="M816" s="5"/>
      <c r="N816" s="5"/>
      <c r="O816" s="5"/>
      <c r="P816" s="57"/>
      <c r="Q816" s="5"/>
      <c r="R816" s="5"/>
      <c r="S816" s="5"/>
      <c r="T816" s="5"/>
      <c r="U816" s="5"/>
      <c r="V816" s="5"/>
      <c r="W816" s="5"/>
      <c r="X816" s="5"/>
      <c r="Y816" s="5"/>
      <c r="Z816" s="5"/>
      <c r="AA816" s="5"/>
    </row>
    <row r="817" spans="1:27" ht="12.75" customHeight="1">
      <c r="A817" s="5"/>
      <c r="B817" s="5"/>
      <c r="C817" s="5"/>
      <c r="D817" s="5"/>
      <c r="E817" s="5"/>
      <c r="F817" s="5"/>
      <c r="G817" s="5"/>
      <c r="H817" s="306"/>
      <c r="I817" s="306"/>
      <c r="J817" s="5"/>
      <c r="K817" s="5"/>
      <c r="L817" s="5"/>
      <c r="M817" s="5"/>
      <c r="N817" s="5"/>
      <c r="O817" s="5"/>
      <c r="P817" s="57"/>
      <c r="Q817" s="5"/>
      <c r="R817" s="5"/>
      <c r="S817" s="5"/>
      <c r="T817" s="5"/>
      <c r="U817" s="5"/>
      <c r="V817" s="5"/>
      <c r="W817" s="5"/>
      <c r="X817" s="5"/>
      <c r="Y817" s="5"/>
      <c r="Z817" s="5"/>
      <c r="AA817" s="5"/>
    </row>
    <row r="818" spans="1:27" ht="12.75" customHeight="1">
      <c r="A818" s="5"/>
      <c r="B818" s="5"/>
      <c r="C818" s="5"/>
      <c r="D818" s="5"/>
      <c r="E818" s="5"/>
      <c r="F818" s="5"/>
      <c r="G818" s="5"/>
      <c r="H818" s="306"/>
      <c r="I818" s="306"/>
      <c r="J818" s="5"/>
      <c r="K818" s="5"/>
      <c r="L818" s="5"/>
      <c r="M818" s="5"/>
      <c r="N818" s="5"/>
      <c r="O818" s="5"/>
      <c r="P818" s="57"/>
      <c r="Q818" s="5"/>
      <c r="R818" s="5"/>
      <c r="S818" s="5"/>
      <c r="T818" s="5"/>
      <c r="U818" s="5"/>
      <c r="V818" s="5"/>
      <c r="W818" s="5"/>
      <c r="X818" s="5"/>
      <c r="Y818" s="5"/>
      <c r="Z818" s="5"/>
      <c r="AA818" s="5"/>
    </row>
    <row r="819" spans="1:27" ht="12.75" customHeight="1">
      <c r="A819" s="5"/>
      <c r="B819" s="5"/>
      <c r="C819" s="5"/>
      <c r="D819" s="5"/>
      <c r="E819" s="5"/>
      <c r="F819" s="5"/>
      <c r="G819" s="5"/>
      <c r="H819" s="306"/>
      <c r="I819" s="306"/>
      <c r="J819" s="5"/>
      <c r="K819" s="5"/>
      <c r="L819" s="5"/>
      <c r="M819" s="5"/>
      <c r="N819" s="5"/>
      <c r="O819" s="5"/>
      <c r="P819" s="57"/>
      <c r="Q819" s="5"/>
      <c r="R819" s="5"/>
      <c r="S819" s="5"/>
      <c r="T819" s="5"/>
      <c r="U819" s="5"/>
      <c r="V819" s="5"/>
      <c r="W819" s="5"/>
      <c r="X819" s="5"/>
      <c r="Y819" s="5"/>
      <c r="Z819" s="5"/>
      <c r="AA819" s="5"/>
    </row>
    <row r="820" spans="1:27" ht="12.75" customHeight="1">
      <c r="A820" s="5"/>
      <c r="B820" s="5"/>
      <c r="C820" s="5"/>
      <c r="D820" s="5"/>
      <c r="E820" s="5"/>
      <c r="F820" s="5"/>
      <c r="G820" s="5"/>
      <c r="H820" s="306"/>
      <c r="I820" s="306"/>
      <c r="J820" s="5"/>
      <c r="K820" s="5"/>
      <c r="L820" s="5"/>
      <c r="M820" s="5"/>
      <c r="N820" s="5"/>
      <c r="O820" s="5"/>
      <c r="P820" s="57"/>
      <c r="Q820" s="5"/>
      <c r="R820" s="5"/>
      <c r="S820" s="5"/>
      <c r="T820" s="5"/>
      <c r="U820" s="5"/>
      <c r="V820" s="5"/>
      <c r="W820" s="5"/>
      <c r="X820" s="5"/>
      <c r="Y820" s="5"/>
      <c r="Z820" s="5"/>
      <c r="AA820" s="5"/>
    </row>
    <row r="821" spans="1:27" ht="12.75" customHeight="1">
      <c r="A821" s="5"/>
      <c r="B821" s="5"/>
      <c r="C821" s="5"/>
      <c r="D821" s="5"/>
      <c r="E821" s="5"/>
      <c r="F821" s="5"/>
      <c r="G821" s="5"/>
      <c r="H821" s="306"/>
      <c r="I821" s="306"/>
      <c r="J821" s="5"/>
      <c r="K821" s="5"/>
      <c r="L821" s="5"/>
      <c r="M821" s="5"/>
      <c r="N821" s="5"/>
      <c r="O821" s="5"/>
      <c r="P821" s="57"/>
      <c r="Q821" s="5"/>
      <c r="R821" s="5"/>
      <c r="S821" s="5"/>
      <c r="T821" s="5"/>
      <c r="U821" s="5"/>
      <c r="V821" s="5"/>
      <c r="W821" s="5"/>
      <c r="X821" s="5"/>
      <c r="Y821" s="5"/>
      <c r="Z821" s="5"/>
      <c r="AA821" s="5"/>
    </row>
    <row r="822" spans="1:27" ht="12.75" customHeight="1">
      <c r="A822" s="5"/>
      <c r="B822" s="5"/>
      <c r="C822" s="5"/>
      <c r="D822" s="5"/>
      <c r="E822" s="5"/>
      <c r="F822" s="5"/>
      <c r="G822" s="5"/>
      <c r="H822" s="306"/>
      <c r="I822" s="306"/>
      <c r="J822" s="5"/>
      <c r="K822" s="5"/>
      <c r="L822" s="5"/>
      <c r="M822" s="5"/>
      <c r="N822" s="5"/>
      <c r="O822" s="5"/>
      <c r="P822" s="57"/>
      <c r="Q822" s="5"/>
      <c r="R822" s="5"/>
      <c r="S822" s="5"/>
      <c r="T822" s="5"/>
      <c r="U822" s="5"/>
      <c r="V822" s="5"/>
      <c r="W822" s="5"/>
      <c r="X822" s="5"/>
      <c r="Y822" s="5"/>
      <c r="Z822" s="5"/>
      <c r="AA822" s="5"/>
    </row>
    <row r="823" spans="1:27" ht="12.75" customHeight="1">
      <c r="A823" s="5"/>
      <c r="B823" s="5"/>
      <c r="C823" s="5"/>
      <c r="D823" s="5"/>
      <c r="E823" s="5"/>
      <c r="F823" s="5"/>
      <c r="G823" s="5"/>
      <c r="H823" s="306"/>
      <c r="I823" s="306"/>
      <c r="J823" s="5"/>
      <c r="K823" s="5"/>
      <c r="L823" s="5"/>
      <c r="M823" s="5"/>
      <c r="N823" s="5"/>
      <c r="O823" s="5"/>
      <c r="P823" s="57"/>
      <c r="Q823" s="5"/>
      <c r="R823" s="5"/>
      <c r="S823" s="5"/>
      <c r="T823" s="5"/>
      <c r="U823" s="5"/>
      <c r="V823" s="5"/>
      <c r="W823" s="5"/>
      <c r="X823" s="5"/>
      <c r="Y823" s="5"/>
      <c r="Z823" s="5"/>
      <c r="AA823" s="5"/>
    </row>
    <row r="824" spans="1:27" ht="12.75" customHeight="1">
      <c r="A824" s="5"/>
      <c r="B824" s="5"/>
      <c r="C824" s="5"/>
      <c r="D824" s="5"/>
      <c r="E824" s="5"/>
      <c r="F824" s="5"/>
      <c r="G824" s="5"/>
      <c r="H824" s="306"/>
      <c r="I824" s="306"/>
      <c r="J824" s="5"/>
      <c r="K824" s="5"/>
      <c r="L824" s="5"/>
      <c r="M824" s="5"/>
      <c r="N824" s="5"/>
      <c r="O824" s="5"/>
      <c r="P824" s="57"/>
      <c r="Q824" s="5"/>
      <c r="R824" s="5"/>
      <c r="S824" s="5"/>
      <c r="T824" s="5"/>
      <c r="U824" s="5"/>
      <c r="V824" s="5"/>
      <c r="W824" s="5"/>
      <c r="X824" s="5"/>
      <c r="Y824" s="5"/>
      <c r="Z824" s="5"/>
      <c r="AA824" s="5"/>
    </row>
    <row r="825" spans="1:27" ht="12.75" customHeight="1">
      <c r="A825" s="5"/>
      <c r="B825" s="5"/>
      <c r="C825" s="5"/>
      <c r="D825" s="5"/>
      <c r="E825" s="5"/>
      <c r="F825" s="5"/>
      <c r="G825" s="5"/>
      <c r="H825" s="306"/>
      <c r="I825" s="306"/>
      <c r="J825" s="5"/>
      <c r="K825" s="5"/>
      <c r="L825" s="5"/>
      <c r="M825" s="5"/>
      <c r="N825" s="5"/>
      <c r="O825" s="5"/>
      <c r="P825" s="57"/>
      <c r="Q825" s="5"/>
      <c r="R825" s="5"/>
      <c r="S825" s="5"/>
      <c r="T825" s="5"/>
      <c r="U825" s="5"/>
      <c r="V825" s="5"/>
      <c r="W825" s="5"/>
      <c r="X825" s="5"/>
      <c r="Y825" s="5"/>
      <c r="Z825" s="5"/>
      <c r="AA825" s="5"/>
    </row>
    <row r="826" spans="1:27" ht="12.75" customHeight="1">
      <c r="A826" s="5"/>
      <c r="B826" s="5"/>
      <c r="C826" s="5"/>
      <c r="D826" s="5"/>
      <c r="E826" s="5"/>
      <c r="F826" s="5"/>
      <c r="G826" s="5"/>
      <c r="H826" s="306"/>
      <c r="I826" s="306"/>
      <c r="J826" s="5"/>
      <c r="K826" s="5"/>
      <c r="L826" s="5"/>
      <c r="M826" s="5"/>
      <c r="N826" s="5"/>
      <c r="O826" s="5"/>
      <c r="P826" s="57"/>
      <c r="Q826" s="5"/>
      <c r="R826" s="5"/>
      <c r="S826" s="5"/>
      <c r="T826" s="5"/>
      <c r="U826" s="5"/>
      <c r="V826" s="5"/>
      <c r="W826" s="5"/>
      <c r="X826" s="5"/>
      <c r="Y826" s="5"/>
      <c r="Z826" s="5"/>
      <c r="AA826" s="5"/>
    </row>
    <row r="827" spans="1:27" ht="12.75" customHeight="1">
      <c r="A827" s="5"/>
      <c r="B827" s="5"/>
      <c r="C827" s="5"/>
      <c r="D827" s="5"/>
      <c r="E827" s="5"/>
      <c r="F827" s="5"/>
      <c r="G827" s="5"/>
      <c r="H827" s="306"/>
      <c r="I827" s="306"/>
      <c r="J827" s="5"/>
      <c r="K827" s="5"/>
      <c r="L827" s="5"/>
      <c r="M827" s="5"/>
      <c r="N827" s="5"/>
      <c r="O827" s="5"/>
      <c r="P827" s="57"/>
      <c r="Q827" s="5"/>
      <c r="R827" s="5"/>
      <c r="S827" s="5"/>
      <c r="T827" s="5"/>
      <c r="U827" s="5"/>
      <c r="V827" s="5"/>
      <c r="W827" s="5"/>
      <c r="X827" s="5"/>
      <c r="Y827" s="5"/>
      <c r="Z827" s="5"/>
      <c r="AA827" s="5"/>
    </row>
    <row r="828" spans="1:27" ht="12.75" customHeight="1">
      <c r="A828" s="5"/>
      <c r="B828" s="5"/>
      <c r="C828" s="5"/>
      <c r="D828" s="5"/>
      <c r="E828" s="5"/>
      <c r="F828" s="5"/>
      <c r="G828" s="5"/>
      <c r="H828" s="306"/>
      <c r="I828" s="306"/>
      <c r="J828" s="5"/>
      <c r="K828" s="5"/>
      <c r="L828" s="5"/>
      <c r="M828" s="5"/>
      <c r="N828" s="5"/>
      <c r="O828" s="5"/>
      <c r="P828" s="57"/>
      <c r="Q828" s="5"/>
      <c r="R828" s="5"/>
      <c r="S828" s="5"/>
      <c r="T828" s="5"/>
      <c r="U828" s="5"/>
      <c r="V828" s="5"/>
      <c r="W828" s="5"/>
      <c r="X828" s="5"/>
      <c r="Y828" s="5"/>
      <c r="Z828" s="5"/>
      <c r="AA828" s="5"/>
    </row>
    <row r="829" spans="1:27" ht="12.75" customHeight="1">
      <c r="A829" s="5"/>
      <c r="B829" s="5"/>
      <c r="C829" s="5"/>
      <c r="D829" s="5"/>
      <c r="E829" s="5"/>
      <c r="F829" s="5"/>
      <c r="G829" s="5"/>
      <c r="H829" s="306"/>
      <c r="I829" s="306"/>
      <c r="J829" s="5"/>
      <c r="K829" s="5"/>
      <c r="L829" s="5"/>
      <c r="M829" s="5"/>
      <c r="N829" s="5"/>
      <c r="O829" s="5"/>
      <c r="P829" s="57"/>
      <c r="Q829" s="5"/>
      <c r="R829" s="5"/>
      <c r="S829" s="5"/>
      <c r="T829" s="5"/>
      <c r="U829" s="5"/>
      <c r="V829" s="5"/>
      <c r="W829" s="5"/>
      <c r="X829" s="5"/>
      <c r="Y829" s="5"/>
      <c r="Z829" s="5"/>
      <c r="AA829" s="5"/>
    </row>
    <row r="830" spans="1:27" ht="12.75" customHeight="1">
      <c r="A830" s="5"/>
      <c r="B830" s="5"/>
      <c r="C830" s="5"/>
      <c r="D830" s="5"/>
      <c r="E830" s="5"/>
      <c r="F830" s="5"/>
      <c r="G830" s="5"/>
      <c r="H830" s="306"/>
      <c r="I830" s="306"/>
      <c r="J830" s="5"/>
      <c r="K830" s="5"/>
      <c r="L830" s="5"/>
      <c r="M830" s="5"/>
      <c r="N830" s="5"/>
      <c r="O830" s="5"/>
      <c r="P830" s="57"/>
      <c r="Q830" s="5"/>
      <c r="R830" s="5"/>
      <c r="S830" s="5"/>
      <c r="T830" s="5"/>
      <c r="U830" s="5"/>
      <c r="V830" s="5"/>
      <c r="W830" s="5"/>
      <c r="X830" s="5"/>
      <c r="Y830" s="5"/>
      <c r="Z830" s="5"/>
      <c r="AA830" s="5"/>
    </row>
    <row r="831" spans="1:27" ht="12.75" customHeight="1">
      <c r="A831" s="5"/>
      <c r="B831" s="5"/>
      <c r="C831" s="5"/>
      <c r="D831" s="5"/>
      <c r="E831" s="5"/>
      <c r="F831" s="5"/>
      <c r="G831" s="5"/>
      <c r="H831" s="306"/>
      <c r="I831" s="306"/>
      <c r="J831" s="5"/>
      <c r="K831" s="5"/>
      <c r="L831" s="5"/>
      <c r="M831" s="5"/>
      <c r="N831" s="5"/>
      <c r="O831" s="5"/>
      <c r="P831" s="57"/>
      <c r="Q831" s="5"/>
      <c r="R831" s="5"/>
      <c r="S831" s="5"/>
      <c r="T831" s="5"/>
      <c r="U831" s="5"/>
      <c r="V831" s="5"/>
      <c r="W831" s="5"/>
      <c r="X831" s="5"/>
      <c r="Y831" s="5"/>
      <c r="Z831" s="5"/>
      <c r="AA831" s="5"/>
    </row>
    <row r="832" spans="1:27" ht="12.75" customHeight="1">
      <c r="A832" s="5"/>
      <c r="B832" s="5"/>
      <c r="C832" s="5"/>
      <c r="D832" s="5"/>
      <c r="E832" s="5"/>
      <c r="F832" s="5"/>
      <c r="G832" s="5"/>
      <c r="H832" s="306"/>
      <c r="I832" s="306"/>
      <c r="J832" s="5"/>
      <c r="K832" s="5"/>
      <c r="L832" s="5"/>
      <c r="M832" s="5"/>
      <c r="N832" s="5"/>
      <c r="O832" s="5"/>
      <c r="P832" s="57"/>
      <c r="Q832" s="5"/>
      <c r="R832" s="5"/>
      <c r="S832" s="5"/>
      <c r="T832" s="5"/>
      <c r="U832" s="5"/>
      <c r="V832" s="5"/>
      <c r="W832" s="5"/>
      <c r="X832" s="5"/>
      <c r="Y832" s="5"/>
      <c r="Z832" s="5"/>
      <c r="AA832" s="5"/>
    </row>
    <row r="833" spans="1:27" ht="12.75" customHeight="1">
      <c r="A833" s="5"/>
      <c r="B833" s="5"/>
      <c r="C833" s="5"/>
      <c r="D833" s="5"/>
      <c r="E833" s="5"/>
      <c r="F833" s="5"/>
      <c r="G833" s="5"/>
      <c r="H833" s="306"/>
      <c r="I833" s="306"/>
      <c r="J833" s="5"/>
      <c r="K833" s="5"/>
      <c r="L833" s="5"/>
      <c r="M833" s="5"/>
      <c r="N833" s="5"/>
      <c r="O833" s="5"/>
      <c r="P833" s="57"/>
      <c r="Q833" s="5"/>
      <c r="R833" s="5"/>
      <c r="S833" s="5"/>
      <c r="T833" s="5"/>
      <c r="U833" s="5"/>
      <c r="V833" s="5"/>
      <c r="W833" s="5"/>
      <c r="X833" s="5"/>
      <c r="Y833" s="5"/>
      <c r="Z833" s="5"/>
      <c r="AA833" s="5"/>
    </row>
    <row r="834" spans="1:27" ht="12.75" customHeight="1">
      <c r="A834" s="5"/>
      <c r="B834" s="5"/>
      <c r="C834" s="5"/>
      <c r="D834" s="5"/>
      <c r="E834" s="5"/>
      <c r="F834" s="5"/>
      <c r="G834" s="5"/>
      <c r="H834" s="306"/>
      <c r="I834" s="306"/>
      <c r="J834" s="5"/>
      <c r="K834" s="5"/>
      <c r="L834" s="5"/>
      <c r="M834" s="5"/>
      <c r="N834" s="5"/>
      <c r="O834" s="5"/>
      <c r="P834" s="57"/>
      <c r="Q834" s="5"/>
      <c r="R834" s="5"/>
      <c r="S834" s="5"/>
      <c r="T834" s="5"/>
      <c r="U834" s="5"/>
      <c r="V834" s="5"/>
      <c r="W834" s="5"/>
      <c r="X834" s="5"/>
      <c r="Y834" s="5"/>
      <c r="Z834" s="5"/>
      <c r="AA834" s="5"/>
    </row>
    <row r="835" spans="1:27" ht="12.75" customHeight="1">
      <c r="A835" s="5"/>
      <c r="B835" s="5"/>
      <c r="C835" s="5"/>
      <c r="D835" s="5"/>
      <c r="E835" s="5"/>
      <c r="F835" s="5"/>
      <c r="G835" s="5"/>
      <c r="H835" s="306"/>
      <c r="I835" s="306"/>
      <c r="J835" s="5"/>
      <c r="K835" s="5"/>
      <c r="L835" s="5"/>
      <c r="M835" s="5"/>
      <c r="N835" s="5"/>
      <c r="O835" s="5"/>
      <c r="P835" s="57"/>
      <c r="Q835" s="5"/>
      <c r="R835" s="5"/>
      <c r="S835" s="5"/>
      <c r="T835" s="5"/>
      <c r="U835" s="5"/>
      <c r="V835" s="5"/>
      <c r="W835" s="5"/>
      <c r="X835" s="5"/>
      <c r="Y835" s="5"/>
      <c r="Z835" s="5"/>
      <c r="AA835" s="5"/>
    </row>
    <row r="836" spans="1:27" ht="12.75" customHeight="1">
      <c r="A836" s="5"/>
      <c r="B836" s="5"/>
      <c r="C836" s="5"/>
      <c r="D836" s="5"/>
      <c r="E836" s="5"/>
      <c r="F836" s="5"/>
      <c r="G836" s="5"/>
      <c r="H836" s="306"/>
      <c r="I836" s="306"/>
      <c r="J836" s="5"/>
      <c r="K836" s="5"/>
      <c r="L836" s="5"/>
      <c r="M836" s="5"/>
      <c r="N836" s="5"/>
      <c r="O836" s="5"/>
      <c r="P836" s="57"/>
      <c r="Q836" s="5"/>
      <c r="R836" s="5"/>
      <c r="S836" s="5"/>
      <c r="T836" s="5"/>
      <c r="U836" s="5"/>
      <c r="V836" s="5"/>
      <c r="W836" s="5"/>
      <c r="X836" s="5"/>
      <c r="Y836" s="5"/>
      <c r="Z836" s="5"/>
      <c r="AA836" s="5"/>
    </row>
    <row r="837" spans="1:27" ht="12.75" customHeight="1">
      <c r="A837" s="5"/>
      <c r="B837" s="5"/>
      <c r="C837" s="5"/>
      <c r="D837" s="5"/>
      <c r="E837" s="5"/>
      <c r="F837" s="5"/>
      <c r="G837" s="5"/>
      <c r="H837" s="306"/>
      <c r="I837" s="306"/>
      <c r="J837" s="5"/>
      <c r="K837" s="5"/>
      <c r="L837" s="5"/>
      <c r="M837" s="5"/>
      <c r="N837" s="5"/>
      <c r="O837" s="5"/>
      <c r="P837" s="57"/>
      <c r="Q837" s="5"/>
      <c r="R837" s="5"/>
      <c r="S837" s="5"/>
      <c r="T837" s="5"/>
      <c r="U837" s="5"/>
      <c r="V837" s="5"/>
      <c r="W837" s="5"/>
      <c r="X837" s="5"/>
      <c r="Y837" s="5"/>
      <c r="Z837" s="5"/>
      <c r="AA837" s="5"/>
    </row>
    <row r="838" spans="1:27" ht="12.75" customHeight="1">
      <c r="A838" s="5"/>
      <c r="B838" s="5"/>
      <c r="C838" s="5"/>
      <c r="D838" s="5"/>
      <c r="E838" s="5"/>
      <c r="F838" s="5"/>
      <c r="G838" s="5"/>
      <c r="H838" s="306"/>
      <c r="I838" s="306"/>
      <c r="J838" s="5"/>
      <c r="K838" s="5"/>
      <c r="L838" s="5"/>
      <c r="M838" s="5"/>
      <c r="N838" s="5"/>
      <c r="O838" s="5"/>
      <c r="P838" s="57"/>
      <c r="Q838" s="5"/>
      <c r="R838" s="5"/>
      <c r="S838" s="5"/>
      <c r="T838" s="5"/>
      <c r="U838" s="5"/>
      <c r="V838" s="5"/>
      <c r="W838" s="5"/>
      <c r="X838" s="5"/>
      <c r="Y838" s="5"/>
      <c r="Z838" s="5"/>
      <c r="AA838" s="5"/>
    </row>
    <row r="839" spans="1:27" ht="12.75" customHeight="1">
      <c r="A839" s="5"/>
      <c r="B839" s="5"/>
      <c r="C839" s="5"/>
      <c r="D839" s="5"/>
      <c r="E839" s="5"/>
      <c r="F839" s="5"/>
      <c r="G839" s="5"/>
      <c r="H839" s="306"/>
      <c r="I839" s="306"/>
      <c r="J839" s="5"/>
      <c r="K839" s="5"/>
      <c r="L839" s="5"/>
      <c r="M839" s="5"/>
      <c r="N839" s="5"/>
      <c r="O839" s="5"/>
      <c r="P839" s="57"/>
      <c r="Q839" s="5"/>
      <c r="R839" s="5"/>
      <c r="S839" s="5"/>
      <c r="T839" s="5"/>
      <c r="U839" s="5"/>
      <c r="V839" s="5"/>
      <c r="W839" s="5"/>
      <c r="X839" s="5"/>
      <c r="Y839" s="5"/>
      <c r="Z839" s="5"/>
      <c r="AA839" s="5"/>
    </row>
    <row r="840" spans="1:27" ht="12.75" customHeight="1">
      <c r="A840" s="5"/>
      <c r="B840" s="5"/>
      <c r="C840" s="5"/>
      <c r="D840" s="5"/>
      <c r="E840" s="5"/>
      <c r="F840" s="5"/>
      <c r="G840" s="5"/>
      <c r="H840" s="306"/>
      <c r="I840" s="306"/>
      <c r="J840" s="5"/>
      <c r="K840" s="5"/>
      <c r="L840" s="5"/>
      <c r="M840" s="5"/>
      <c r="N840" s="5"/>
      <c r="O840" s="5"/>
      <c r="P840" s="57"/>
      <c r="Q840" s="5"/>
      <c r="R840" s="5"/>
      <c r="S840" s="5"/>
      <c r="T840" s="5"/>
      <c r="U840" s="5"/>
      <c r="V840" s="5"/>
      <c r="W840" s="5"/>
      <c r="X840" s="5"/>
      <c r="Y840" s="5"/>
      <c r="Z840" s="5"/>
      <c r="AA840" s="5"/>
    </row>
    <row r="841" spans="1:27" ht="12.75" customHeight="1">
      <c r="A841" s="5"/>
      <c r="B841" s="5"/>
      <c r="C841" s="5"/>
      <c r="D841" s="5"/>
      <c r="E841" s="5"/>
      <c r="F841" s="5"/>
      <c r="G841" s="5"/>
      <c r="H841" s="306"/>
      <c r="I841" s="306"/>
      <c r="J841" s="5"/>
      <c r="K841" s="5"/>
      <c r="L841" s="5"/>
      <c r="M841" s="5"/>
      <c r="N841" s="5"/>
      <c r="O841" s="5"/>
      <c r="P841" s="57"/>
      <c r="Q841" s="5"/>
      <c r="R841" s="5"/>
      <c r="S841" s="5"/>
      <c r="T841" s="5"/>
      <c r="U841" s="5"/>
      <c r="V841" s="5"/>
      <c r="W841" s="5"/>
      <c r="X841" s="5"/>
      <c r="Y841" s="5"/>
      <c r="Z841" s="5"/>
      <c r="AA841" s="5"/>
    </row>
    <row r="842" spans="1:27" ht="12.75" customHeight="1">
      <c r="A842" s="5"/>
      <c r="B842" s="5"/>
      <c r="C842" s="5"/>
      <c r="D842" s="5"/>
      <c r="E842" s="5"/>
      <c r="F842" s="5"/>
      <c r="G842" s="5"/>
      <c r="H842" s="306"/>
      <c r="I842" s="306"/>
      <c r="J842" s="5"/>
      <c r="K842" s="5"/>
      <c r="L842" s="5"/>
      <c r="M842" s="5"/>
      <c r="N842" s="5"/>
      <c r="O842" s="5"/>
      <c r="P842" s="57"/>
      <c r="Q842" s="5"/>
      <c r="R842" s="5"/>
      <c r="S842" s="5"/>
      <c r="T842" s="5"/>
      <c r="U842" s="5"/>
      <c r="V842" s="5"/>
      <c r="W842" s="5"/>
      <c r="X842" s="5"/>
      <c r="Y842" s="5"/>
      <c r="Z842" s="5"/>
      <c r="AA842" s="5"/>
    </row>
    <row r="843" spans="1:27" ht="12.75" customHeight="1">
      <c r="A843" s="5"/>
      <c r="B843" s="5"/>
      <c r="C843" s="5"/>
      <c r="D843" s="5"/>
      <c r="E843" s="5"/>
      <c r="F843" s="5"/>
      <c r="G843" s="5"/>
      <c r="H843" s="306"/>
      <c r="I843" s="306"/>
      <c r="J843" s="5"/>
      <c r="K843" s="5"/>
      <c r="L843" s="5"/>
      <c r="M843" s="5"/>
      <c r="N843" s="5"/>
      <c r="O843" s="5"/>
      <c r="P843" s="57"/>
      <c r="Q843" s="5"/>
      <c r="R843" s="5"/>
      <c r="S843" s="5"/>
      <c r="T843" s="5"/>
      <c r="U843" s="5"/>
      <c r="V843" s="5"/>
      <c r="W843" s="5"/>
      <c r="X843" s="5"/>
      <c r="Y843" s="5"/>
      <c r="Z843" s="5"/>
      <c r="AA843" s="5"/>
    </row>
    <row r="844" spans="1:27" ht="12.75" customHeight="1">
      <c r="A844" s="5"/>
      <c r="B844" s="5"/>
      <c r="C844" s="5"/>
      <c r="D844" s="5"/>
      <c r="E844" s="5"/>
      <c r="F844" s="5"/>
      <c r="G844" s="5"/>
      <c r="H844" s="306"/>
      <c r="I844" s="306"/>
      <c r="J844" s="5"/>
      <c r="K844" s="5"/>
      <c r="L844" s="5"/>
      <c r="M844" s="5"/>
      <c r="N844" s="5"/>
      <c r="O844" s="5"/>
      <c r="P844" s="57"/>
      <c r="Q844" s="5"/>
      <c r="R844" s="5"/>
      <c r="S844" s="5"/>
      <c r="T844" s="5"/>
      <c r="U844" s="5"/>
      <c r="V844" s="5"/>
      <c r="W844" s="5"/>
      <c r="X844" s="5"/>
      <c r="Y844" s="5"/>
      <c r="Z844" s="5"/>
      <c r="AA844" s="5"/>
    </row>
    <row r="845" spans="1:27" ht="12.75" customHeight="1">
      <c r="A845" s="5"/>
      <c r="B845" s="5"/>
      <c r="C845" s="5"/>
      <c r="D845" s="5"/>
      <c r="E845" s="5"/>
      <c r="F845" s="5"/>
      <c r="G845" s="5"/>
      <c r="H845" s="306"/>
      <c r="I845" s="306"/>
      <c r="J845" s="5"/>
      <c r="K845" s="5"/>
      <c r="L845" s="5"/>
      <c r="M845" s="5"/>
      <c r="N845" s="5"/>
      <c r="O845" s="5"/>
      <c r="P845" s="57"/>
      <c r="Q845" s="5"/>
      <c r="R845" s="5"/>
      <c r="S845" s="5"/>
      <c r="T845" s="5"/>
      <c r="U845" s="5"/>
      <c r="V845" s="5"/>
      <c r="W845" s="5"/>
      <c r="X845" s="5"/>
      <c r="Y845" s="5"/>
      <c r="Z845" s="5"/>
      <c r="AA845" s="5"/>
    </row>
    <row r="846" spans="1:27" ht="12.75" customHeight="1">
      <c r="A846" s="5"/>
      <c r="B846" s="5"/>
      <c r="C846" s="5"/>
      <c r="D846" s="5"/>
      <c r="E846" s="5"/>
      <c r="F846" s="5"/>
      <c r="G846" s="5"/>
      <c r="H846" s="306"/>
      <c r="I846" s="306"/>
      <c r="J846" s="5"/>
      <c r="K846" s="5"/>
      <c r="L846" s="5"/>
      <c r="M846" s="5"/>
      <c r="N846" s="5"/>
      <c r="O846" s="5"/>
      <c r="P846" s="57"/>
      <c r="Q846" s="5"/>
      <c r="R846" s="5"/>
      <c r="S846" s="5"/>
      <c r="T846" s="5"/>
      <c r="U846" s="5"/>
      <c r="V846" s="5"/>
      <c r="W846" s="5"/>
      <c r="X846" s="5"/>
      <c r="Y846" s="5"/>
      <c r="Z846" s="5"/>
      <c r="AA846" s="5"/>
    </row>
    <row r="847" spans="1:27" ht="12.75" customHeight="1">
      <c r="A847" s="5"/>
      <c r="B847" s="5"/>
      <c r="C847" s="5"/>
      <c r="D847" s="5"/>
      <c r="E847" s="5"/>
      <c r="F847" s="5"/>
      <c r="G847" s="5"/>
      <c r="H847" s="306"/>
      <c r="I847" s="306"/>
      <c r="J847" s="5"/>
      <c r="K847" s="5"/>
      <c r="L847" s="5"/>
      <c r="M847" s="5"/>
      <c r="N847" s="5"/>
      <c r="O847" s="5"/>
      <c r="P847" s="57"/>
      <c r="Q847" s="5"/>
      <c r="R847" s="5"/>
      <c r="S847" s="5"/>
      <c r="T847" s="5"/>
      <c r="U847" s="5"/>
      <c r="V847" s="5"/>
      <c r="W847" s="5"/>
      <c r="X847" s="5"/>
      <c r="Y847" s="5"/>
      <c r="Z847" s="5"/>
      <c r="AA847" s="5"/>
    </row>
    <row r="848" spans="1:27" ht="12.75" customHeight="1">
      <c r="A848" s="5"/>
      <c r="B848" s="5"/>
      <c r="C848" s="5"/>
      <c r="D848" s="5"/>
      <c r="E848" s="5"/>
      <c r="F848" s="5"/>
      <c r="G848" s="5"/>
      <c r="H848" s="306"/>
      <c r="I848" s="306"/>
      <c r="J848" s="5"/>
      <c r="K848" s="5"/>
      <c r="L848" s="5"/>
      <c r="M848" s="5"/>
      <c r="N848" s="5"/>
      <c r="O848" s="5"/>
      <c r="P848" s="57"/>
      <c r="Q848" s="5"/>
      <c r="R848" s="5"/>
      <c r="S848" s="5"/>
      <c r="T848" s="5"/>
      <c r="U848" s="5"/>
      <c r="V848" s="5"/>
      <c r="W848" s="5"/>
      <c r="X848" s="5"/>
      <c r="Y848" s="5"/>
      <c r="Z848" s="5"/>
      <c r="AA848" s="5"/>
    </row>
    <row r="849" spans="1:27" ht="12.75" customHeight="1">
      <c r="A849" s="5"/>
      <c r="B849" s="5"/>
      <c r="C849" s="5"/>
      <c r="D849" s="5"/>
      <c r="E849" s="5"/>
      <c r="F849" s="5"/>
      <c r="G849" s="5"/>
      <c r="H849" s="306"/>
      <c r="I849" s="306"/>
      <c r="J849" s="5"/>
      <c r="K849" s="5"/>
      <c r="L849" s="5"/>
      <c r="M849" s="5"/>
      <c r="N849" s="5"/>
      <c r="O849" s="5"/>
      <c r="P849" s="57"/>
      <c r="Q849" s="5"/>
      <c r="R849" s="5"/>
      <c r="S849" s="5"/>
      <c r="T849" s="5"/>
      <c r="U849" s="5"/>
      <c r="V849" s="5"/>
      <c r="W849" s="5"/>
      <c r="X849" s="5"/>
      <c r="Y849" s="5"/>
      <c r="Z849" s="5"/>
      <c r="AA849" s="5"/>
    </row>
    <row r="850" spans="1:27" ht="12.75" customHeight="1">
      <c r="A850" s="5"/>
      <c r="B850" s="5"/>
      <c r="C850" s="5"/>
      <c r="D850" s="5"/>
      <c r="E850" s="5"/>
      <c r="F850" s="5"/>
      <c r="G850" s="5"/>
      <c r="H850" s="306"/>
      <c r="I850" s="306"/>
      <c r="J850" s="5"/>
      <c r="K850" s="5"/>
      <c r="L850" s="5"/>
      <c r="M850" s="5"/>
      <c r="N850" s="5"/>
      <c r="O850" s="5"/>
      <c r="P850" s="57"/>
      <c r="Q850" s="5"/>
      <c r="R850" s="5"/>
      <c r="S850" s="5"/>
      <c r="T850" s="5"/>
      <c r="U850" s="5"/>
      <c r="V850" s="5"/>
      <c r="W850" s="5"/>
      <c r="X850" s="5"/>
      <c r="Y850" s="5"/>
      <c r="Z850" s="5"/>
      <c r="AA850" s="5"/>
    </row>
    <row r="851" spans="1:27" ht="12.75" customHeight="1">
      <c r="A851" s="5"/>
      <c r="B851" s="5"/>
      <c r="C851" s="5"/>
      <c r="D851" s="5"/>
      <c r="E851" s="5"/>
      <c r="F851" s="5"/>
      <c r="G851" s="5"/>
      <c r="H851" s="306"/>
      <c r="I851" s="306"/>
      <c r="J851" s="5"/>
      <c r="K851" s="5"/>
      <c r="L851" s="5"/>
      <c r="M851" s="5"/>
      <c r="N851" s="5"/>
      <c r="O851" s="5"/>
      <c r="P851" s="57"/>
      <c r="Q851" s="5"/>
      <c r="R851" s="5"/>
      <c r="S851" s="5"/>
      <c r="T851" s="5"/>
      <c r="U851" s="5"/>
      <c r="V851" s="5"/>
      <c r="W851" s="5"/>
      <c r="X851" s="5"/>
      <c r="Y851" s="5"/>
      <c r="Z851" s="5"/>
      <c r="AA851" s="5"/>
    </row>
    <row r="852" spans="1:27" ht="12.75" customHeight="1">
      <c r="A852" s="5"/>
      <c r="B852" s="5"/>
      <c r="C852" s="5"/>
      <c r="D852" s="5"/>
      <c r="E852" s="5"/>
      <c r="F852" s="5"/>
      <c r="G852" s="5"/>
      <c r="H852" s="306"/>
      <c r="I852" s="306"/>
      <c r="J852" s="5"/>
      <c r="K852" s="5"/>
      <c r="L852" s="5"/>
      <c r="M852" s="5"/>
      <c r="N852" s="5"/>
      <c r="O852" s="5"/>
      <c r="P852" s="57"/>
      <c r="Q852" s="5"/>
      <c r="R852" s="5"/>
      <c r="S852" s="5"/>
      <c r="T852" s="5"/>
      <c r="U852" s="5"/>
      <c r="V852" s="5"/>
      <c r="W852" s="5"/>
      <c r="X852" s="5"/>
      <c r="Y852" s="5"/>
      <c r="Z852" s="5"/>
      <c r="AA852" s="5"/>
    </row>
    <row r="853" spans="1:27" ht="12.75" customHeight="1">
      <c r="A853" s="5"/>
      <c r="B853" s="5"/>
      <c r="C853" s="5"/>
      <c r="D853" s="5"/>
      <c r="E853" s="5"/>
      <c r="F853" s="5"/>
      <c r="G853" s="5"/>
      <c r="H853" s="306"/>
      <c r="I853" s="306"/>
      <c r="J853" s="5"/>
      <c r="K853" s="5"/>
      <c r="L853" s="5"/>
      <c r="M853" s="5"/>
      <c r="N853" s="5"/>
      <c r="O853" s="5"/>
      <c r="P853" s="57"/>
      <c r="Q853" s="5"/>
      <c r="R853" s="5"/>
      <c r="S853" s="5"/>
      <c r="T853" s="5"/>
      <c r="U853" s="5"/>
      <c r="V853" s="5"/>
      <c r="W853" s="5"/>
      <c r="X853" s="5"/>
      <c r="Y853" s="5"/>
      <c r="Z853" s="5"/>
      <c r="AA853" s="5"/>
    </row>
    <row r="854" spans="1:27" ht="12.75" customHeight="1">
      <c r="A854" s="5"/>
      <c r="B854" s="5"/>
      <c r="C854" s="5"/>
      <c r="D854" s="5"/>
      <c r="E854" s="5"/>
      <c r="F854" s="5"/>
      <c r="G854" s="5"/>
      <c r="H854" s="306"/>
      <c r="I854" s="306"/>
      <c r="J854" s="5"/>
      <c r="K854" s="5"/>
      <c r="L854" s="5"/>
      <c r="M854" s="5"/>
      <c r="N854" s="5"/>
      <c r="O854" s="5"/>
      <c r="P854" s="57"/>
      <c r="Q854" s="5"/>
      <c r="R854" s="5"/>
      <c r="S854" s="5"/>
      <c r="T854" s="5"/>
      <c r="U854" s="5"/>
      <c r="V854" s="5"/>
      <c r="W854" s="5"/>
      <c r="X854" s="5"/>
      <c r="Y854" s="5"/>
      <c r="Z854" s="5"/>
      <c r="AA854" s="5"/>
    </row>
    <row r="855" spans="1:27" ht="12.75" customHeight="1">
      <c r="A855" s="5"/>
      <c r="B855" s="5"/>
      <c r="C855" s="5"/>
      <c r="D855" s="5"/>
      <c r="E855" s="5"/>
      <c r="F855" s="5"/>
      <c r="G855" s="5"/>
      <c r="H855" s="306"/>
      <c r="I855" s="306"/>
      <c r="J855" s="5"/>
      <c r="K855" s="5"/>
      <c r="L855" s="5"/>
      <c r="M855" s="5"/>
      <c r="N855" s="5"/>
      <c r="O855" s="5"/>
      <c r="P855" s="57"/>
      <c r="Q855" s="5"/>
      <c r="R855" s="5"/>
      <c r="S855" s="5"/>
      <c r="T855" s="5"/>
      <c r="U855" s="5"/>
      <c r="V855" s="5"/>
      <c r="W855" s="5"/>
      <c r="X855" s="5"/>
      <c r="Y855" s="5"/>
      <c r="Z855" s="5"/>
      <c r="AA855" s="5"/>
    </row>
    <row r="856" spans="1:27" ht="12.75" customHeight="1">
      <c r="A856" s="5"/>
      <c r="B856" s="5"/>
      <c r="C856" s="5"/>
      <c r="D856" s="5"/>
      <c r="E856" s="5"/>
      <c r="F856" s="5"/>
      <c r="G856" s="5"/>
      <c r="H856" s="306"/>
      <c r="I856" s="306"/>
      <c r="J856" s="5"/>
      <c r="K856" s="5"/>
      <c r="L856" s="5"/>
      <c r="M856" s="5"/>
      <c r="N856" s="5"/>
      <c r="O856" s="5"/>
      <c r="P856" s="57"/>
      <c r="Q856" s="5"/>
      <c r="R856" s="5"/>
      <c r="S856" s="5"/>
      <c r="T856" s="5"/>
      <c r="U856" s="5"/>
      <c r="V856" s="5"/>
      <c r="W856" s="5"/>
      <c r="X856" s="5"/>
      <c r="Y856" s="5"/>
      <c r="Z856" s="5"/>
      <c r="AA856" s="5"/>
    </row>
    <row r="857" spans="1:27" ht="12.75" customHeight="1">
      <c r="A857" s="5"/>
      <c r="B857" s="5"/>
      <c r="C857" s="5"/>
      <c r="D857" s="5"/>
      <c r="E857" s="5"/>
      <c r="F857" s="5"/>
      <c r="G857" s="5"/>
      <c r="H857" s="306"/>
      <c r="I857" s="306"/>
      <c r="J857" s="5"/>
      <c r="K857" s="5"/>
      <c r="L857" s="5"/>
      <c r="M857" s="5"/>
      <c r="N857" s="5"/>
      <c r="O857" s="5"/>
      <c r="P857" s="57"/>
      <c r="Q857" s="5"/>
      <c r="R857" s="5"/>
      <c r="S857" s="5"/>
      <c r="T857" s="5"/>
      <c r="U857" s="5"/>
      <c r="V857" s="5"/>
      <c r="W857" s="5"/>
      <c r="X857" s="5"/>
      <c r="Y857" s="5"/>
      <c r="Z857" s="5"/>
      <c r="AA857" s="5"/>
    </row>
    <row r="858" spans="1:27" ht="12.75" customHeight="1">
      <c r="A858" s="5"/>
      <c r="B858" s="5"/>
      <c r="C858" s="5"/>
      <c r="D858" s="5"/>
      <c r="E858" s="5"/>
      <c r="F858" s="5"/>
      <c r="G858" s="5"/>
      <c r="H858" s="306"/>
      <c r="I858" s="306"/>
      <c r="J858" s="5"/>
      <c r="K858" s="5"/>
      <c r="L858" s="5"/>
      <c r="M858" s="5"/>
      <c r="N858" s="5"/>
      <c r="O858" s="5"/>
      <c r="P858" s="57"/>
      <c r="Q858" s="5"/>
      <c r="R858" s="5"/>
      <c r="S858" s="5"/>
      <c r="T858" s="5"/>
      <c r="U858" s="5"/>
      <c r="V858" s="5"/>
      <c r="W858" s="5"/>
      <c r="X858" s="5"/>
      <c r="Y858" s="5"/>
      <c r="Z858" s="5"/>
      <c r="AA858" s="5"/>
    </row>
    <row r="859" spans="1:27" ht="12.75" customHeight="1">
      <c r="A859" s="5"/>
      <c r="B859" s="5"/>
      <c r="C859" s="5"/>
      <c r="D859" s="5"/>
      <c r="E859" s="5"/>
      <c r="F859" s="5"/>
      <c r="G859" s="5"/>
      <c r="H859" s="306"/>
      <c r="I859" s="306"/>
      <c r="J859" s="5"/>
      <c r="K859" s="5"/>
      <c r="L859" s="5"/>
      <c r="M859" s="5"/>
      <c r="N859" s="5"/>
      <c r="O859" s="5"/>
      <c r="P859" s="57"/>
      <c r="Q859" s="5"/>
      <c r="R859" s="5"/>
      <c r="S859" s="5"/>
      <c r="T859" s="5"/>
      <c r="U859" s="5"/>
      <c r="V859" s="5"/>
      <c r="W859" s="5"/>
      <c r="X859" s="5"/>
      <c r="Y859" s="5"/>
      <c r="Z859" s="5"/>
      <c r="AA859" s="5"/>
    </row>
    <row r="860" spans="1:27" ht="12.75" customHeight="1">
      <c r="A860" s="5"/>
      <c r="B860" s="5"/>
      <c r="C860" s="5"/>
      <c r="D860" s="5"/>
      <c r="E860" s="5"/>
      <c r="F860" s="5"/>
      <c r="G860" s="5"/>
      <c r="H860" s="306"/>
      <c r="I860" s="306"/>
      <c r="J860" s="5"/>
      <c r="K860" s="5"/>
      <c r="L860" s="5"/>
      <c r="M860" s="5"/>
      <c r="N860" s="5"/>
      <c r="O860" s="5"/>
      <c r="P860" s="57"/>
      <c r="Q860" s="5"/>
      <c r="R860" s="5"/>
      <c r="S860" s="5"/>
      <c r="T860" s="5"/>
      <c r="U860" s="5"/>
      <c r="V860" s="5"/>
      <c r="W860" s="5"/>
      <c r="X860" s="5"/>
      <c r="Y860" s="5"/>
      <c r="Z860" s="5"/>
      <c r="AA860" s="5"/>
    </row>
    <row r="861" spans="1:27" ht="12.75" customHeight="1">
      <c r="A861" s="5"/>
      <c r="B861" s="5"/>
      <c r="C861" s="5"/>
      <c r="D861" s="5"/>
      <c r="E861" s="5"/>
      <c r="F861" s="5"/>
      <c r="G861" s="5"/>
      <c r="H861" s="306"/>
      <c r="I861" s="306"/>
      <c r="J861" s="5"/>
      <c r="K861" s="5"/>
      <c r="L861" s="5"/>
      <c r="M861" s="5"/>
      <c r="N861" s="5"/>
      <c r="O861" s="5"/>
      <c r="P861" s="57"/>
      <c r="Q861" s="5"/>
      <c r="R861" s="5"/>
      <c r="S861" s="5"/>
      <c r="T861" s="5"/>
      <c r="U861" s="5"/>
      <c r="V861" s="5"/>
      <c r="W861" s="5"/>
      <c r="X861" s="5"/>
      <c r="Y861" s="5"/>
      <c r="Z861" s="5"/>
      <c r="AA861" s="5"/>
    </row>
    <row r="862" spans="1:27" ht="12.75" customHeight="1">
      <c r="A862" s="5"/>
      <c r="B862" s="5"/>
      <c r="C862" s="5"/>
      <c r="D862" s="5"/>
      <c r="E862" s="5"/>
      <c r="F862" s="5"/>
      <c r="G862" s="5"/>
      <c r="H862" s="306"/>
      <c r="I862" s="306"/>
      <c r="J862" s="5"/>
      <c r="K862" s="5"/>
      <c r="L862" s="5"/>
      <c r="M862" s="5"/>
      <c r="N862" s="5"/>
      <c r="O862" s="5"/>
      <c r="P862" s="57"/>
      <c r="Q862" s="5"/>
      <c r="R862" s="5"/>
      <c r="S862" s="5"/>
      <c r="T862" s="5"/>
      <c r="U862" s="5"/>
      <c r="V862" s="5"/>
      <c r="W862" s="5"/>
      <c r="X862" s="5"/>
      <c r="Y862" s="5"/>
      <c r="Z862" s="5"/>
      <c r="AA862" s="5"/>
    </row>
    <row r="863" spans="1:27" ht="12.75" customHeight="1">
      <c r="A863" s="5"/>
      <c r="B863" s="5"/>
      <c r="C863" s="5"/>
      <c r="D863" s="5"/>
      <c r="E863" s="5"/>
      <c r="F863" s="5"/>
      <c r="G863" s="5"/>
      <c r="H863" s="306"/>
      <c r="I863" s="306"/>
      <c r="J863" s="5"/>
      <c r="K863" s="5"/>
      <c r="L863" s="5"/>
      <c r="M863" s="5"/>
      <c r="N863" s="5"/>
      <c r="O863" s="5"/>
      <c r="P863" s="57"/>
      <c r="Q863" s="5"/>
      <c r="R863" s="5"/>
      <c r="S863" s="5"/>
      <c r="T863" s="5"/>
      <c r="U863" s="5"/>
      <c r="V863" s="5"/>
      <c r="W863" s="5"/>
      <c r="X863" s="5"/>
      <c r="Y863" s="5"/>
      <c r="Z863" s="5"/>
      <c r="AA863" s="5"/>
    </row>
    <row r="864" spans="1:27" ht="12.75" customHeight="1">
      <c r="A864" s="5"/>
      <c r="B864" s="5"/>
      <c r="C864" s="5"/>
      <c r="D864" s="5"/>
      <c r="E864" s="5"/>
      <c r="F864" s="5"/>
      <c r="G864" s="5"/>
      <c r="H864" s="306"/>
      <c r="I864" s="306"/>
      <c r="J864" s="5"/>
      <c r="K864" s="5"/>
      <c r="L864" s="5"/>
      <c r="M864" s="5"/>
      <c r="N864" s="5"/>
      <c r="O864" s="5"/>
      <c r="P864" s="57"/>
      <c r="Q864" s="5"/>
      <c r="R864" s="5"/>
      <c r="S864" s="5"/>
      <c r="T864" s="5"/>
      <c r="U864" s="5"/>
      <c r="V864" s="5"/>
      <c r="W864" s="5"/>
      <c r="X864" s="5"/>
      <c r="Y864" s="5"/>
      <c r="Z864" s="5"/>
      <c r="AA864" s="5"/>
    </row>
    <row r="865" spans="1:27" ht="12.75" customHeight="1">
      <c r="A865" s="5"/>
      <c r="B865" s="5"/>
      <c r="C865" s="5"/>
      <c r="D865" s="5"/>
      <c r="E865" s="5"/>
      <c r="F865" s="5"/>
      <c r="G865" s="5"/>
      <c r="H865" s="306"/>
      <c r="I865" s="306"/>
      <c r="J865" s="5"/>
      <c r="K865" s="5"/>
      <c r="L865" s="5"/>
      <c r="M865" s="5"/>
      <c r="N865" s="5"/>
      <c r="O865" s="5"/>
      <c r="P865" s="57"/>
      <c r="Q865" s="5"/>
      <c r="R865" s="5"/>
      <c r="S865" s="5"/>
      <c r="T865" s="5"/>
      <c r="U865" s="5"/>
      <c r="V865" s="5"/>
      <c r="W865" s="5"/>
      <c r="X865" s="5"/>
      <c r="Y865" s="5"/>
      <c r="Z865" s="5"/>
      <c r="AA865" s="5"/>
    </row>
    <row r="866" spans="1:27" ht="12.75" customHeight="1">
      <c r="A866" s="5"/>
      <c r="B866" s="5"/>
      <c r="C866" s="5"/>
      <c r="D866" s="5"/>
      <c r="E866" s="5"/>
      <c r="F866" s="5"/>
      <c r="G866" s="5"/>
      <c r="H866" s="306"/>
      <c r="I866" s="306"/>
      <c r="J866" s="5"/>
      <c r="K866" s="5"/>
      <c r="L866" s="5"/>
      <c r="M866" s="5"/>
      <c r="N866" s="5"/>
      <c r="O866" s="5"/>
      <c r="P866" s="57"/>
      <c r="Q866" s="5"/>
      <c r="R866" s="5"/>
      <c r="S866" s="5"/>
      <c r="T866" s="5"/>
      <c r="U866" s="5"/>
      <c r="V866" s="5"/>
      <c r="W866" s="5"/>
      <c r="X866" s="5"/>
      <c r="Y866" s="5"/>
      <c r="Z866" s="5"/>
      <c r="AA866" s="5"/>
    </row>
    <row r="867" spans="1:27" ht="12.75" customHeight="1">
      <c r="A867" s="5"/>
      <c r="B867" s="5"/>
      <c r="C867" s="5"/>
      <c r="D867" s="5"/>
      <c r="E867" s="5"/>
      <c r="F867" s="5"/>
      <c r="G867" s="5"/>
      <c r="H867" s="306"/>
      <c r="I867" s="306"/>
      <c r="J867" s="5"/>
      <c r="K867" s="5"/>
      <c r="L867" s="5"/>
      <c r="M867" s="5"/>
      <c r="N867" s="5"/>
      <c r="O867" s="5"/>
      <c r="P867" s="57"/>
      <c r="Q867" s="5"/>
      <c r="R867" s="5"/>
      <c r="S867" s="5"/>
      <c r="T867" s="5"/>
      <c r="U867" s="5"/>
      <c r="V867" s="5"/>
      <c r="W867" s="5"/>
      <c r="X867" s="5"/>
      <c r="Y867" s="5"/>
      <c r="Z867" s="5"/>
      <c r="AA867" s="5"/>
    </row>
    <row r="868" spans="1:27" ht="12.75" customHeight="1">
      <c r="A868" s="5"/>
      <c r="B868" s="5"/>
      <c r="C868" s="5"/>
      <c r="D868" s="5"/>
      <c r="E868" s="5"/>
      <c r="F868" s="5"/>
      <c r="G868" s="5"/>
      <c r="H868" s="306"/>
      <c r="I868" s="306"/>
      <c r="J868" s="5"/>
      <c r="K868" s="5"/>
      <c r="L868" s="5"/>
      <c r="M868" s="5"/>
      <c r="N868" s="5"/>
      <c r="O868" s="5"/>
      <c r="P868" s="57"/>
      <c r="Q868" s="5"/>
      <c r="R868" s="5"/>
      <c r="S868" s="5"/>
      <c r="T868" s="5"/>
      <c r="U868" s="5"/>
      <c r="V868" s="5"/>
      <c r="W868" s="5"/>
      <c r="X868" s="5"/>
      <c r="Y868" s="5"/>
      <c r="Z868" s="5"/>
      <c r="AA868" s="5"/>
    </row>
    <row r="869" spans="1:27" ht="12.75" customHeight="1">
      <c r="A869" s="5"/>
      <c r="B869" s="5"/>
      <c r="C869" s="5"/>
      <c r="D869" s="5"/>
      <c r="E869" s="5"/>
      <c r="F869" s="5"/>
      <c r="G869" s="5"/>
      <c r="H869" s="306"/>
      <c r="I869" s="306"/>
      <c r="J869" s="5"/>
      <c r="K869" s="5"/>
      <c r="L869" s="5"/>
      <c r="M869" s="5"/>
      <c r="N869" s="5"/>
      <c r="O869" s="5"/>
      <c r="P869" s="57"/>
      <c r="Q869" s="5"/>
      <c r="R869" s="5"/>
      <c r="S869" s="5"/>
      <c r="T869" s="5"/>
      <c r="U869" s="5"/>
      <c r="V869" s="5"/>
      <c r="W869" s="5"/>
      <c r="X869" s="5"/>
      <c r="Y869" s="5"/>
      <c r="Z869" s="5"/>
      <c r="AA869" s="5"/>
    </row>
    <row r="870" spans="1:27" ht="12.75" customHeight="1">
      <c r="A870" s="5"/>
      <c r="B870" s="5"/>
      <c r="C870" s="5"/>
      <c r="D870" s="5"/>
      <c r="E870" s="5"/>
      <c r="F870" s="5"/>
      <c r="G870" s="5"/>
      <c r="H870" s="306"/>
      <c r="I870" s="306"/>
      <c r="J870" s="5"/>
      <c r="K870" s="5"/>
      <c r="L870" s="5"/>
      <c r="M870" s="5"/>
      <c r="N870" s="5"/>
      <c r="O870" s="5"/>
      <c r="P870" s="57"/>
      <c r="Q870" s="5"/>
      <c r="R870" s="5"/>
      <c r="S870" s="5"/>
      <c r="T870" s="5"/>
      <c r="U870" s="5"/>
      <c r="V870" s="5"/>
      <c r="W870" s="5"/>
      <c r="X870" s="5"/>
      <c r="Y870" s="5"/>
      <c r="Z870" s="5"/>
      <c r="AA870" s="5"/>
    </row>
    <row r="871" spans="1:27" ht="12.75" customHeight="1">
      <c r="A871" s="5"/>
      <c r="B871" s="5"/>
      <c r="C871" s="5"/>
      <c r="D871" s="5"/>
      <c r="E871" s="5"/>
      <c r="F871" s="5"/>
      <c r="G871" s="5"/>
      <c r="H871" s="306"/>
      <c r="I871" s="306"/>
      <c r="J871" s="5"/>
      <c r="K871" s="5"/>
      <c r="L871" s="5"/>
      <c r="M871" s="5"/>
      <c r="N871" s="5"/>
      <c r="O871" s="5"/>
      <c r="P871" s="57"/>
      <c r="Q871" s="5"/>
      <c r="R871" s="5"/>
      <c r="S871" s="5"/>
      <c r="T871" s="5"/>
      <c r="U871" s="5"/>
      <c r="V871" s="5"/>
      <c r="W871" s="5"/>
      <c r="X871" s="5"/>
      <c r="Y871" s="5"/>
      <c r="Z871" s="5"/>
      <c r="AA871" s="5"/>
    </row>
    <row r="872" spans="1:27" ht="12.75" customHeight="1">
      <c r="A872" s="5"/>
      <c r="B872" s="5"/>
      <c r="C872" s="5"/>
      <c r="D872" s="5"/>
      <c r="E872" s="5"/>
      <c r="F872" s="5"/>
      <c r="G872" s="5"/>
      <c r="H872" s="306"/>
      <c r="I872" s="306"/>
      <c r="J872" s="5"/>
      <c r="K872" s="5"/>
      <c r="L872" s="5"/>
      <c r="M872" s="5"/>
      <c r="N872" s="5"/>
      <c r="O872" s="5"/>
      <c r="P872" s="57"/>
      <c r="Q872" s="5"/>
      <c r="R872" s="5"/>
      <c r="S872" s="5"/>
      <c r="T872" s="5"/>
      <c r="U872" s="5"/>
      <c r="V872" s="5"/>
      <c r="W872" s="5"/>
      <c r="X872" s="5"/>
      <c r="Y872" s="5"/>
      <c r="Z872" s="5"/>
      <c r="AA872" s="5"/>
    </row>
    <row r="873" spans="1:27" ht="12.75" customHeight="1">
      <c r="A873" s="5"/>
      <c r="B873" s="5"/>
      <c r="C873" s="5"/>
      <c r="D873" s="5"/>
      <c r="E873" s="5"/>
      <c r="F873" s="5"/>
      <c r="G873" s="5"/>
      <c r="H873" s="306"/>
      <c r="I873" s="306"/>
      <c r="J873" s="5"/>
      <c r="K873" s="5"/>
      <c r="L873" s="5"/>
      <c r="M873" s="5"/>
      <c r="N873" s="5"/>
      <c r="O873" s="5"/>
      <c r="P873" s="57"/>
      <c r="Q873" s="5"/>
      <c r="R873" s="5"/>
      <c r="S873" s="5"/>
      <c r="T873" s="5"/>
      <c r="U873" s="5"/>
      <c r="V873" s="5"/>
      <c r="W873" s="5"/>
      <c r="X873" s="5"/>
      <c r="Y873" s="5"/>
      <c r="Z873" s="5"/>
      <c r="AA873" s="5"/>
    </row>
    <row r="874" spans="1:27" ht="12.75" customHeight="1">
      <c r="A874" s="5"/>
      <c r="B874" s="5"/>
      <c r="C874" s="5"/>
      <c r="D874" s="5"/>
      <c r="E874" s="5"/>
      <c r="F874" s="5"/>
      <c r="G874" s="5"/>
      <c r="H874" s="306"/>
      <c r="I874" s="306"/>
      <c r="J874" s="5"/>
      <c r="K874" s="5"/>
      <c r="L874" s="5"/>
      <c r="M874" s="5"/>
      <c r="N874" s="5"/>
      <c r="O874" s="5"/>
      <c r="P874" s="57"/>
      <c r="Q874" s="5"/>
      <c r="R874" s="5"/>
      <c r="S874" s="5"/>
      <c r="T874" s="5"/>
      <c r="U874" s="5"/>
      <c r="V874" s="5"/>
      <c r="W874" s="5"/>
      <c r="X874" s="5"/>
      <c r="Y874" s="5"/>
      <c r="Z874" s="5"/>
      <c r="AA874" s="5"/>
    </row>
    <row r="875" spans="1:27" ht="12.75" customHeight="1">
      <c r="A875" s="5"/>
      <c r="B875" s="5"/>
      <c r="C875" s="5"/>
      <c r="D875" s="5"/>
      <c r="E875" s="5"/>
      <c r="F875" s="5"/>
      <c r="G875" s="5"/>
      <c r="H875" s="306"/>
      <c r="I875" s="306"/>
      <c r="J875" s="5"/>
      <c r="K875" s="5"/>
      <c r="L875" s="5"/>
      <c r="M875" s="5"/>
      <c r="N875" s="5"/>
      <c r="O875" s="5"/>
      <c r="P875" s="57"/>
      <c r="Q875" s="5"/>
      <c r="R875" s="5"/>
      <c r="S875" s="5"/>
      <c r="T875" s="5"/>
      <c r="U875" s="5"/>
      <c r="V875" s="5"/>
      <c r="W875" s="5"/>
      <c r="X875" s="5"/>
      <c r="Y875" s="5"/>
      <c r="Z875" s="5"/>
      <c r="AA875" s="5"/>
    </row>
    <row r="876" spans="1:27" ht="12.75" customHeight="1">
      <c r="A876" s="5"/>
      <c r="B876" s="5"/>
      <c r="C876" s="5"/>
      <c r="D876" s="5"/>
      <c r="E876" s="5"/>
      <c r="F876" s="5"/>
      <c r="G876" s="5"/>
      <c r="H876" s="306"/>
      <c r="I876" s="306"/>
      <c r="J876" s="5"/>
      <c r="K876" s="5"/>
      <c r="L876" s="5"/>
      <c r="M876" s="5"/>
      <c r="N876" s="5"/>
      <c r="O876" s="5"/>
      <c r="P876" s="57"/>
      <c r="Q876" s="5"/>
      <c r="R876" s="5"/>
      <c r="S876" s="5"/>
      <c r="T876" s="5"/>
      <c r="U876" s="5"/>
      <c r="V876" s="5"/>
      <c r="W876" s="5"/>
      <c r="X876" s="5"/>
      <c r="Y876" s="5"/>
      <c r="Z876" s="5"/>
      <c r="AA876" s="5"/>
    </row>
    <row r="877" spans="1:27" ht="12.75" customHeight="1">
      <c r="A877" s="5"/>
      <c r="B877" s="5"/>
      <c r="C877" s="5"/>
      <c r="D877" s="5"/>
      <c r="E877" s="5"/>
      <c r="F877" s="5"/>
      <c r="G877" s="5"/>
      <c r="H877" s="306"/>
      <c r="I877" s="306"/>
      <c r="J877" s="5"/>
      <c r="K877" s="5"/>
      <c r="L877" s="5"/>
      <c r="M877" s="5"/>
      <c r="N877" s="5"/>
      <c r="O877" s="5"/>
      <c r="P877" s="57"/>
      <c r="Q877" s="5"/>
      <c r="R877" s="5"/>
      <c r="S877" s="5"/>
      <c r="T877" s="5"/>
      <c r="U877" s="5"/>
      <c r="V877" s="5"/>
      <c r="W877" s="5"/>
      <c r="X877" s="5"/>
      <c r="Y877" s="5"/>
      <c r="Z877" s="5"/>
      <c r="AA877" s="5"/>
    </row>
    <row r="878" spans="1:27" ht="12.75" customHeight="1">
      <c r="A878" s="5"/>
      <c r="B878" s="5"/>
      <c r="C878" s="5"/>
      <c r="D878" s="5"/>
      <c r="E878" s="5"/>
      <c r="F878" s="5"/>
      <c r="G878" s="5"/>
      <c r="H878" s="306"/>
      <c r="I878" s="306"/>
      <c r="J878" s="5"/>
      <c r="K878" s="5"/>
      <c r="L878" s="5"/>
      <c r="M878" s="5"/>
      <c r="N878" s="5"/>
      <c r="O878" s="5"/>
      <c r="P878" s="57"/>
      <c r="Q878" s="5"/>
      <c r="R878" s="5"/>
      <c r="S878" s="5"/>
      <c r="T878" s="5"/>
      <c r="U878" s="5"/>
      <c r="V878" s="5"/>
      <c r="W878" s="5"/>
      <c r="X878" s="5"/>
      <c r="Y878" s="5"/>
      <c r="Z878" s="5"/>
      <c r="AA878" s="5"/>
    </row>
    <row r="879" spans="1:27" ht="12.75" customHeight="1">
      <c r="A879" s="5"/>
      <c r="B879" s="5"/>
      <c r="C879" s="5"/>
      <c r="D879" s="5"/>
      <c r="E879" s="5"/>
      <c r="F879" s="5"/>
      <c r="G879" s="5"/>
      <c r="H879" s="306"/>
      <c r="I879" s="306"/>
      <c r="J879" s="5"/>
      <c r="K879" s="5"/>
      <c r="L879" s="5"/>
      <c r="M879" s="5"/>
      <c r="N879" s="5"/>
      <c r="O879" s="5"/>
      <c r="P879" s="57"/>
      <c r="Q879" s="5"/>
      <c r="R879" s="5"/>
      <c r="S879" s="5"/>
      <c r="T879" s="5"/>
      <c r="U879" s="5"/>
      <c r="V879" s="5"/>
      <c r="W879" s="5"/>
      <c r="X879" s="5"/>
      <c r="Y879" s="5"/>
      <c r="Z879" s="5"/>
      <c r="AA879" s="5"/>
    </row>
    <row r="880" spans="1:27" ht="12.75" customHeight="1">
      <c r="A880" s="5"/>
      <c r="B880" s="5"/>
      <c r="C880" s="5"/>
      <c r="D880" s="5"/>
      <c r="E880" s="5"/>
      <c r="F880" s="5"/>
      <c r="G880" s="5"/>
      <c r="H880" s="306"/>
      <c r="I880" s="306"/>
      <c r="J880" s="5"/>
      <c r="K880" s="5"/>
      <c r="L880" s="5"/>
      <c r="M880" s="5"/>
      <c r="N880" s="5"/>
      <c r="O880" s="5"/>
      <c r="P880" s="57"/>
      <c r="Q880" s="5"/>
      <c r="R880" s="5"/>
      <c r="S880" s="5"/>
      <c r="T880" s="5"/>
      <c r="U880" s="5"/>
      <c r="V880" s="5"/>
      <c r="W880" s="5"/>
      <c r="X880" s="5"/>
      <c r="Y880" s="5"/>
      <c r="Z880" s="5"/>
      <c r="AA880" s="5"/>
    </row>
    <row r="881" spans="1:27" ht="12.75" customHeight="1">
      <c r="A881" s="5"/>
      <c r="B881" s="5"/>
      <c r="C881" s="5"/>
      <c r="D881" s="5"/>
      <c r="E881" s="5"/>
      <c r="F881" s="5"/>
      <c r="G881" s="5"/>
      <c r="H881" s="306"/>
      <c r="I881" s="306"/>
      <c r="J881" s="5"/>
      <c r="K881" s="5"/>
      <c r="L881" s="5"/>
      <c r="M881" s="5"/>
      <c r="N881" s="5"/>
      <c r="O881" s="5"/>
      <c r="P881" s="57"/>
      <c r="Q881" s="5"/>
      <c r="R881" s="5"/>
      <c r="S881" s="5"/>
      <c r="T881" s="5"/>
      <c r="U881" s="5"/>
      <c r="V881" s="5"/>
      <c r="W881" s="5"/>
      <c r="X881" s="5"/>
      <c r="Y881" s="5"/>
      <c r="Z881" s="5"/>
      <c r="AA881" s="5"/>
    </row>
    <row r="882" spans="1:27" ht="12.75" customHeight="1">
      <c r="A882" s="5"/>
      <c r="B882" s="5"/>
      <c r="C882" s="5"/>
      <c r="D882" s="5"/>
      <c r="E882" s="5"/>
      <c r="F882" s="5"/>
      <c r="G882" s="5"/>
      <c r="H882" s="306"/>
      <c r="I882" s="306"/>
      <c r="J882" s="5"/>
      <c r="K882" s="5"/>
      <c r="L882" s="5"/>
      <c r="M882" s="5"/>
      <c r="N882" s="5"/>
      <c r="O882" s="5"/>
      <c r="P882" s="57"/>
      <c r="Q882" s="5"/>
      <c r="R882" s="5"/>
      <c r="S882" s="5"/>
      <c r="T882" s="5"/>
      <c r="U882" s="5"/>
      <c r="V882" s="5"/>
      <c r="W882" s="5"/>
      <c r="X882" s="5"/>
      <c r="Y882" s="5"/>
      <c r="Z882" s="5"/>
      <c r="AA882" s="5"/>
    </row>
    <row r="883" spans="1:27" ht="12.75" customHeight="1">
      <c r="A883" s="5"/>
      <c r="B883" s="5"/>
      <c r="C883" s="5"/>
      <c r="D883" s="5"/>
      <c r="E883" s="5"/>
      <c r="F883" s="5"/>
      <c r="G883" s="5"/>
      <c r="H883" s="306"/>
      <c r="I883" s="306"/>
      <c r="J883" s="5"/>
      <c r="K883" s="5"/>
      <c r="L883" s="5"/>
      <c r="M883" s="5"/>
      <c r="N883" s="5"/>
      <c r="O883" s="5"/>
      <c r="P883" s="57"/>
      <c r="Q883" s="5"/>
      <c r="R883" s="5"/>
      <c r="S883" s="5"/>
      <c r="T883" s="5"/>
      <c r="U883" s="5"/>
      <c r="V883" s="5"/>
      <c r="W883" s="5"/>
      <c r="X883" s="5"/>
      <c r="Y883" s="5"/>
      <c r="Z883" s="5"/>
      <c r="AA883" s="5"/>
    </row>
    <row r="884" spans="1:27" ht="12.75" customHeight="1">
      <c r="A884" s="5"/>
      <c r="B884" s="5"/>
      <c r="C884" s="5"/>
      <c r="D884" s="5"/>
      <c r="E884" s="5"/>
      <c r="F884" s="5"/>
      <c r="G884" s="5"/>
      <c r="H884" s="306"/>
      <c r="I884" s="306"/>
      <c r="J884" s="5"/>
      <c r="K884" s="5"/>
      <c r="L884" s="5"/>
      <c r="M884" s="5"/>
      <c r="N884" s="5"/>
      <c r="O884" s="5"/>
      <c r="P884" s="57"/>
      <c r="Q884" s="5"/>
      <c r="R884" s="5"/>
      <c r="S884" s="5"/>
      <c r="T884" s="5"/>
      <c r="U884" s="5"/>
      <c r="V884" s="5"/>
      <c r="W884" s="5"/>
      <c r="X884" s="5"/>
      <c r="Y884" s="5"/>
      <c r="Z884" s="5"/>
      <c r="AA884" s="5"/>
    </row>
    <row r="885" spans="1:27" ht="12.75" customHeight="1">
      <c r="A885" s="5"/>
      <c r="B885" s="5"/>
      <c r="C885" s="5"/>
      <c r="D885" s="5"/>
      <c r="E885" s="5"/>
      <c r="F885" s="5"/>
      <c r="G885" s="5"/>
      <c r="H885" s="306"/>
      <c r="I885" s="306"/>
      <c r="J885" s="5"/>
      <c r="K885" s="5"/>
      <c r="L885" s="5"/>
      <c r="M885" s="5"/>
      <c r="N885" s="5"/>
      <c r="O885" s="5"/>
      <c r="P885" s="57"/>
      <c r="Q885" s="5"/>
      <c r="R885" s="5"/>
      <c r="S885" s="5"/>
      <c r="T885" s="5"/>
      <c r="U885" s="5"/>
      <c r="V885" s="5"/>
      <c r="W885" s="5"/>
      <c r="X885" s="5"/>
      <c r="Y885" s="5"/>
      <c r="Z885" s="5"/>
      <c r="AA885" s="5"/>
    </row>
    <row r="886" spans="1:27" ht="12.75" customHeight="1">
      <c r="A886" s="5"/>
      <c r="B886" s="5"/>
      <c r="C886" s="5"/>
      <c r="D886" s="5"/>
      <c r="E886" s="5"/>
      <c r="F886" s="5"/>
      <c r="G886" s="5"/>
      <c r="H886" s="306"/>
      <c r="I886" s="306"/>
      <c r="J886" s="5"/>
      <c r="K886" s="5"/>
      <c r="L886" s="5"/>
      <c r="M886" s="5"/>
      <c r="N886" s="5"/>
      <c r="O886" s="5"/>
      <c r="P886" s="57"/>
      <c r="Q886" s="5"/>
      <c r="R886" s="5"/>
      <c r="S886" s="5"/>
      <c r="T886" s="5"/>
      <c r="U886" s="5"/>
      <c r="V886" s="5"/>
      <c r="W886" s="5"/>
      <c r="X886" s="5"/>
      <c r="Y886" s="5"/>
      <c r="Z886" s="5"/>
      <c r="AA886" s="5"/>
    </row>
    <row r="887" spans="1:27" ht="12.75" customHeight="1">
      <c r="A887" s="5"/>
      <c r="B887" s="5"/>
      <c r="C887" s="5"/>
      <c r="D887" s="5"/>
      <c r="E887" s="5"/>
      <c r="F887" s="5"/>
      <c r="G887" s="5"/>
      <c r="H887" s="306"/>
      <c r="I887" s="306"/>
      <c r="J887" s="5"/>
      <c r="K887" s="5"/>
      <c r="L887" s="5"/>
      <c r="M887" s="5"/>
      <c r="N887" s="5"/>
      <c r="O887" s="5"/>
      <c r="P887" s="57"/>
      <c r="Q887" s="5"/>
      <c r="R887" s="5"/>
      <c r="S887" s="5"/>
      <c r="T887" s="5"/>
      <c r="U887" s="5"/>
      <c r="V887" s="5"/>
      <c r="W887" s="5"/>
      <c r="X887" s="5"/>
      <c r="Y887" s="5"/>
      <c r="Z887" s="5"/>
      <c r="AA887" s="5"/>
    </row>
    <row r="888" spans="1:27" ht="12.75" customHeight="1">
      <c r="A888" s="5"/>
      <c r="B888" s="5"/>
      <c r="C888" s="5"/>
      <c r="D888" s="5"/>
      <c r="E888" s="5"/>
      <c r="F888" s="5"/>
      <c r="G888" s="5"/>
      <c r="H888" s="306"/>
      <c r="I888" s="306"/>
      <c r="J888" s="5"/>
      <c r="K888" s="5"/>
      <c r="L888" s="5"/>
      <c r="M888" s="5"/>
      <c r="N888" s="5"/>
      <c r="O888" s="5"/>
      <c r="P888" s="57"/>
      <c r="Q888" s="5"/>
      <c r="R888" s="5"/>
      <c r="S888" s="5"/>
      <c r="T888" s="5"/>
      <c r="U888" s="5"/>
      <c r="V888" s="5"/>
      <c r="W888" s="5"/>
      <c r="X888" s="5"/>
      <c r="Y888" s="5"/>
      <c r="Z888" s="5"/>
      <c r="AA888" s="5"/>
    </row>
    <row r="889" spans="1:27" ht="12.75" customHeight="1">
      <c r="A889" s="5"/>
      <c r="B889" s="5"/>
      <c r="C889" s="5"/>
      <c r="D889" s="5"/>
      <c r="E889" s="5"/>
      <c r="F889" s="5"/>
      <c r="G889" s="5"/>
      <c r="H889" s="306"/>
      <c r="I889" s="306"/>
      <c r="J889" s="5"/>
      <c r="K889" s="5"/>
      <c r="L889" s="5"/>
      <c r="M889" s="5"/>
      <c r="N889" s="5"/>
      <c r="O889" s="5"/>
      <c r="P889" s="57"/>
      <c r="Q889" s="5"/>
      <c r="R889" s="5"/>
      <c r="S889" s="5"/>
      <c r="T889" s="5"/>
      <c r="U889" s="5"/>
      <c r="V889" s="5"/>
      <c r="W889" s="5"/>
      <c r="X889" s="5"/>
      <c r="Y889" s="5"/>
      <c r="Z889" s="5"/>
      <c r="AA889" s="5"/>
    </row>
    <row r="890" spans="1:27" ht="12.75" customHeight="1">
      <c r="A890" s="5"/>
      <c r="B890" s="5"/>
      <c r="C890" s="5"/>
      <c r="D890" s="5"/>
      <c r="E890" s="5"/>
      <c r="F890" s="5"/>
      <c r="G890" s="5"/>
      <c r="H890" s="306"/>
      <c r="I890" s="306"/>
      <c r="J890" s="5"/>
      <c r="K890" s="5"/>
      <c r="L890" s="5"/>
      <c r="M890" s="5"/>
      <c r="N890" s="5"/>
      <c r="O890" s="5"/>
      <c r="P890" s="57"/>
      <c r="Q890" s="5"/>
      <c r="R890" s="5"/>
      <c r="S890" s="5"/>
      <c r="T890" s="5"/>
      <c r="U890" s="5"/>
      <c r="V890" s="5"/>
      <c r="W890" s="5"/>
      <c r="X890" s="5"/>
      <c r="Y890" s="5"/>
      <c r="Z890" s="5"/>
      <c r="AA890" s="5"/>
    </row>
    <row r="891" spans="1:27" ht="12.75" customHeight="1">
      <c r="A891" s="5"/>
      <c r="B891" s="5"/>
      <c r="C891" s="5"/>
      <c r="D891" s="5"/>
      <c r="E891" s="5"/>
      <c r="F891" s="5"/>
      <c r="G891" s="5"/>
      <c r="H891" s="306"/>
      <c r="I891" s="306"/>
      <c r="J891" s="5"/>
      <c r="K891" s="5"/>
      <c r="L891" s="5"/>
      <c r="M891" s="5"/>
      <c r="N891" s="5"/>
      <c r="O891" s="5"/>
      <c r="P891" s="57"/>
      <c r="Q891" s="5"/>
      <c r="R891" s="5"/>
      <c r="S891" s="5"/>
      <c r="T891" s="5"/>
      <c r="U891" s="5"/>
      <c r="V891" s="5"/>
      <c r="W891" s="5"/>
      <c r="X891" s="5"/>
      <c r="Y891" s="5"/>
      <c r="Z891" s="5"/>
      <c r="AA891" s="5"/>
    </row>
    <row r="892" spans="1:27" ht="12.75" customHeight="1">
      <c r="A892" s="5"/>
      <c r="B892" s="5"/>
      <c r="C892" s="5"/>
      <c r="D892" s="5"/>
      <c r="E892" s="5"/>
      <c r="F892" s="5"/>
      <c r="G892" s="5"/>
      <c r="H892" s="306"/>
      <c r="I892" s="306"/>
      <c r="J892" s="5"/>
      <c r="K892" s="5"/>
      <c r="L892" s="5"/>
      <c r="M892" s="5"/>
      <c r="N892" s="5"/>
      <c r="O892" s="5"/>
      <c r="P892" s="57"/>
      <c r="Q892" s="5"/>
      <c r="R892" s="5"/>
      <c r="S892" s="5"/>
      <c r="T892" s="5"/>
      <c r="U892" s="5"/>
      <c r="V892" s="5"/>
      <c r="W892" s="5"/>
      <c r="X892" s="5"/>
      <c r="Y892" s="5"/>
      <c r="Z892" s="5"/>
      <c r="AA892" s="5"/>
    </row>
    <row r="893" spans="1:27" ht="12.75" customHeight="1">
      <c r="A893" s="5"/>
      <c r="B893" s="5"/>
      <c r="C893" s="5"/>
      <c r="D893" s="5"/>
      <c r="E893" s="5"/>
      <c r="F893" s="5"/>
      <c r="G893" s="5"/>
      <c r="H893" s="306"/>
      <c r="I893" s="306"/>
      <c r="J893" s="5"/>
      <c r="K893" s="5"/>
      <c r="L893" s="5"/>
      <c r="M893" s="5"/>
      <c r="N893" s="5"/>
      <c r="O893" s="5"/>
      <c r="P893" s="57"/>
      <c r="Q893" s="5"/>
      <c r="R893" s="5"/>
      <c r="S893" s="5"/>
      <c r="T893" s="5"/>
      <c r="U893" s="5"/>
      <c r="V893" s="5"/>
      <c r="W893" s="5"/>
      <c r="X893" s="5"/>
      <c r="Y893" s="5"/>
      <c r="Z893" s="5"/>
      <c r="AA893" s="5"/>
    </row>
    <row r="894" spans="1:27" ht="12.75" customHeight="1">
      <c r="A894" s="5"/>
      <c r="B894" s="5"/>
      <c r="C894" s="5"/>
      <c r="D894" s="5"/>
      <c r="E894" s="5"/>
      <c r="F894" s="5"/>
      <c r="G894" s="5"/>
      <c r="H894" s="306"/>
      <c r="I894" s="306"/>
      <c r="J894" s="5"/>
      <c r="K894" s="5"/>
      <c r="L894" s="5"/>
      <c r="M894" s="5"/>
      <c r="N894" s="5"/>
      <c r="O894" s="5"/>
      <c r="P894" s="57"/>
      <c r="Q894" s="5"/>
      <c r="R894" s="5"/>
      <c r="S894" s="5"/>
      <c r="T894" s="5"/>
      <c r="U894" s="5"/>
      <c r="V894" s="5"/>
      <c r="W894" s="5"/>
      <c r="X894" s="5"/>
      <c r="Y894" s="5"/>
      <c r="Z894" s="5"/>
      <c r="AA894" s="5"/>
    </row>
    <row r="895" spans="1:27" ht="12.75" customHeight="1">
      <c r="A895" s="5"/>
      <c r="B895" s="5"/>
      <c r="C895" s="5"/>
      <c r="D895" s="5"/>
      <c r="E895" s="5"/>
      <c r="F895" s="5"/>
      <c r="G895" s="5"/>
      <c r="H895" s="306"/>
      <c r="I895" s="306"/>
      <c r="J895" s="5"/>
      <c r="K895" s="5"/>
      <c r="L895" s="5"/>
      <c r="M895" s="5"/>
      <c r="N895" s="5"/>
      <c r="O895" s="5"/>
      <c r="P895" s="57"/>
      <c r="Q895" s="5"/>
      <c r="R895" s="5"/>
      <c r="S895" s="5"/>
      <c r="T895" s="5"/>
      <c r="U895" s="5"/>
      <c r="V895" s="5"/>
      <c r="W895" s="5"/>
      <c r="X895" s="5"/>
      <c r="Y895" s="5"/>
      <c r="Z895" s="5"/>
      <c r="AA895" s="5"/>
    </row>
    <row r="896" spans="1:27" ht="12.75" customHeight="1">
      <c r="A896" s="5"/>
      <c r="B896" s="5"/>
      <c r="C896" s="5"/>
      <c r="D896" s="5"/>
      <c r="E896" s="5"/>
      <c r="F896" s="5"/>
      <c r="G896" s="5"/>
      <c r="H896" s="306"/>
      <c r="I896" s="306"/>
      <c r="J896" s="5"/>
      <c r="K896" s="5"/>
      <c r="L896" s="5"/>
      <c r="M896" s="5"/>
      <c r="N896" s="5"/>
      <c r="O896" s="5"/>
      <c r="P896" s="57"/>
      <c r="Q896" s="5"/>
      <c r="R896" s="5"/>
      <c r="S896" s="5"/>
      <c r="T896" s="5"/>
      <c r="U896" s="5"/>
      <c r="V896" s="5"/>
      <c r="W896" s="5"/>
      <c r="X896" s="5"/>
      <c r="Y896" s="5"/>
      <c r="Z896" s="5"/>
      <c r="AA896" s="5"/>
    </row>
    <row r="897" spans="1:27" ht="12.75" customHeight="1">
      <c r="A897" s="5"/>
      <c r="B897" s="5"/>
      <c r="C897" s="5"/>
      <c r="D897" s="5"/>
      <c r="E897" s="5"/>
      <c r="F897" s="5"/>
      <c r="G897" s="5"/>
      <c r="H897" s="306"/>
      <c r="I897" s="306"/>
      <c r="J897" s="5"/>
      <c r="K897" s="5"/>
      <c r="L897" s="5"/>
      <c r="M897" s="5"/>
      <c r="N897" s="5"/>
      <c r="O897" s="5"/>
      <c r="P897" s="57"/>
      <c r="Q897" s="5"/>
      <c r="R897" s="5"/>
      <c r="S897" s="5"/>
      <c r="T897" s="5"/>
      <c r="U897" s="5"/>
      <c r="V897" s="5"/>
      <c r="W897" s="5"/>
      <c r="X897" s="5"/>
      <c r="Y897" s="5"/>
      <c r="Z897" s="5"/>
      <c r="AA897" s="5"/>
    </row>
    <row r="898" spans="1:27" ht="12.75" customHeight="1">
      <c r="A898" s="5"/>
      <c r="B898" s="5"/>
      <c r="C898" s="5"/>
      <c r="D898" s="5"/>
      <c r="E898" s="5"/>
      <c r="F898" s="5"/>
      <c r="G898" s="5"/>
      <c r="H898" s="306"/>
      <c r="I898" s="306"/>
      <c r="J898" s="5"/>
      <c r="K898" s="5"/>
      <c r="L898" s="5"/>
      <c r="M898" s="5"/>
      <c r="N898" s="5"/>
      <c r="O898" s="5"/>
      <c r="P898" s="57"/>
      <c r="Q898" s="5"/>
      <c r="R898" s="5"/>
      <c r="S898" s="5"/>
      <c r="T898" s="5"/>
      <c r="U898" s="5"/>
      <c r="V898" s="5"/>
      <c r="W898" s="5"/>
      <c r="X898" s="5"/>
      <c r="Y898" s="5"/>
      <c r="Z898" s="5"/>
      <c r="AA898" s="5"/>
    </row>
    <row r="899" spans="1:27" ht="12.75" customHeight="1">
      <c r="A899" s="5"/>
      <c r="B899" s="5"/>
      <c r="C899" s="5"/>
      <c r="D899" s="5"/>
      <c r="E899" s="5"/>
      <c r="F899" s="5"/>
      <c r="G899" s="5"/>
      <c r="H899" s="306"/>
      <c r="I899" s="306"/>
      <c r="J899" s="5"/>
      <c r="K899" s="5"/>
      <c r="L899" s="5"/>
      <c r="M899" s="5"/>
      <c r="N899" s="5"/>
      <c r="O899" s="5"/>
      <c r="P899" s="57"/>
      <c r="Q899" s="5"/>
      <c r="R899" s="5"/>
      <c r="S899" s="5"/>
      <c r="T899" s="5"/>
      <c r="U899" s="5"/>
      <c r="V899" s="5"/>
      <c r="W899" s="5"/>
      <c r="X899" s="5"/>
      <c r="Y899" s="5"/>
      <c r="Z899" s="5"/>
      <c r="AA899" s="5"/>
    </row>
    <row r="900" spans="1:27" ht="12.75" customHeight="1">
      <c r="A900" s="5"/>
      <c r="B900" s="5"/>
      <c r="C900" s="5"/>
      <c r="D900" s="5"/>
      <c r="E900" s="5"/>
      <c r="F900" s="5"/>
      <c r="G900" s="5"/>
      <c r="H900" s="306"/>
      <c r="I900" s="306"/>
      <c r="J900" s="5"/>
      <c r="K900" s="5"/>
      <c r="L900" s="5"/>
      <c r="M900" s="5"/>
      <c r="N900" s="5"/>
      <c r="O900" s="5"/>
      <c r="P900" s="57"/>
      <c r="Q900" s="5"/>
      <c r="R900" s="5"/>
      <c r="S900" s="5"/>
      <c r="T900" s="5"/>
      <c r="U900" s="5"/>
      <c r="V900" s="5"/>
      <c r="W900" s="5"/>
      <c r="X900" s="5"/>
      <c r="Y900" s="5"/>
      <c r="Z900" s="5"/>
      <c r="AA900" s="5"/>
    </row>
    <row r="901" spans="1:27" ht="12.75" customHeight="1">
      <c r="A901" s="5"/>
      <c r="B901" s="5"/>
      <c r="C901" s="5"/>
      <c r="D901" s="5"/>
      <c r="E901" s="5"/>
      <c r="F901" s="5"/>
      <c r="G901" s="5"/>
      <c r="H901" s="306"/>
      <c r="I901" s="306"/>
      <c r="J901" s="5"/>
      <c r="K901" s="5"/>
      <c r="L901" s="5"/>
      <c r="M901" s="5"/>
      <c r="N901" s="5"/>
      <c r="O901" s="5"/>
      <c r="P901" s="57"/>
      <c r="Q901" s="5"/>
      <c r="R901" s="5"/>
      <c r="S901" s="5"/>
      <c r="T901" s="5"/>
      <c r="U901" s="5"/>
      <c r="V901" s="5"/>
      <c r="W901" s="5"/>
      <c r="X901" s="5"/>
      <c r="Y901" s="5"/>
      <c r="Z901" s="5"/>
      <c r="AA901" s="5"/>
    </row>
    <row r="902" spans="1:27" ht="12.75" customHeight="1">
      <c r="A902" s="5"/>
      <c r="B902" s="5"/>
      <c r="C902" s="5"/>
      <c r="D902" s="5"/>
      <c r="E902" s="5"/>
      <c r="F902" s="5"/>
      <c r="G902" s="5"/>
      <c r="H902" s="306"/>
      <c r="I902" s="306"/>
      <c r="J902" s="5"/>
      <c r="K902" s="5"/>
      <c r="L902" s="5"/>
      <c r="M902" s="5"/>
      <c r="N902" s="5"/>
      <c r="O902" s="5"/>
      <c r="P902" s="57"/>
      <c r="Q902" s="5"/>
      <c r="R902" s="5"/>
      <c r="S902" s="5"/>
      <c r="T902" s="5"/>
      <c r="U902" s="5"/>
      <c r="V902" s="5"/>
      <c r="W902" s="5"/>
      <c r="X902" s="5"/>
      <c r="Y902" s="5"/>
      <c r="Z902" s="5"/>
      <c r="AA902" s="5"/>
    </row>
    <row r="903" spans="1:27" ht="12.75" customHeight="1">
      <c r="A903" s="5"/>
      <c r="B903" s="5"/>
      <c r="C903" s="5"/>
      <c r="D903" s="5"/>
      <c r="E903" s="5"/>
      <c r="F903" s="5"/>
      <c r="G903" s="5"/>
      <c r="H903" s="306"/>
      <c r="I903" s="306"/>
      <c r="J903" s="5"/>
      <c r="K903" s="5"/>
      <c r="L903" s="5"/>
      <c r="M903" s="5"/>
      <c r="N903" s="5"/>
      <c r="O903" s="5"/>
      <c r="P903" s="57"/>
      <c r="Q903" s="5"/>
      <c r="R903" s="5"/>
      <c r="S903" s="5"/>
      <c r="T903" s="5"/>
      <c r="U903" s="5"/>
      <c r="V903" s="5"/>
      <c r="W903" s="5"/>
      <c r="X903" s="5"/>
      <c r="Y903" s="5"/>
      <c r="Z903" s="5"/>
      <c r="AA903" s="5"/>
    </row>
    <row r="904" spans="1:27" ht="12.75" customHeight="1">
      <c r="A904" s="5"/>
      <c r="B904" s="5"/>
      <c r="C904" s="5"/>
      <c r="D904" s="5"/>
      <c r="E904" s="5"/>
      <c r="F904" s="5"/>
      <c r="G904" s="5"/>
      <c r="H904" s="306"/>
      <c r="I904" s="306"/>
      <c r="J904" s="5"/>
      <c r="K904" s="5"/>
      <c r="L904" s="5"/>
      <c r="M904" s="5"/>
      <c r="N904" s="5"/>
      <c r="O904" s="5"/>
      <c r="P904" s="57"/>
      <c r="Q904" s="5"/>
      <c r="R904" s="5"/>
      <c r="S904" s="5"/>
      <c r="T904" s="5"/>
      <c r="U904" s="5"/>
      <c r="V904" s="5"/>
      <c r="W904" s="5"/>
      <c r="X904" s="5"/>
      <c r="Y904" s="5"/>
      <c r="Z904" s="5"/>
      <c r="AA904" s="5"/>
    </row>
    <row r="905" spans="1:27" ht="12.75" customHeight="1">
      <c r="A905" s="5"/>
      <c r="B905" s="5"/>
      <c r="C905" s="5"/>
      <c r="D905" s="5"/>
      <c r="E905" s="5"/>
      <c r="F905" s="5"/>
      <c r="G905" s="5"/>
      <c r="H905" s="306"/>
      <c r="I905" s="306"/>
      <c r="J905" s="5"/>
      <c r="K905" s="5"/>
      <c r="L905" s="5"/>
      <c r="M905" s="5"/>
      <c r="N905" s="5"/>
      <c r="O905" s="5"/>
      <c r="P905" s="57"/>
      <c r="Q905" s="5"/>
      <c r="R905" s="5"/>
      <c r="S905" s="5"/>
      <c r="T905" s="5"/>
      <c r="U905" s="5"/>
      <c r="V905" s="5"/>
      <c r="W905" s="5"/>
      <c r="X905" s="5"/>
      <c r="Y905" s="5"/>
      <c r="Z905" s="5"/>
      <c r="AA905" s="5"/>
    </row>
    <row r="906" spans="1:27" ht="12.75" customHeight="1">
      <c r="A906" s="5"/>
      <c r="B906" s="5"/>
      <c r="C906" s="5"/>
      <c r="D906" s="5"/>
      <c r="E906" s="5"/>
      <c r="F906" s="5"/>
      <c r="G906" s="5"/>
      <c r="H906" s="306"/>
      <c r="I906" s="306"/>
      <c r="J906" s="5"/>
      <c r="K906" s="5"/>
      <c r="L906" s="5"/>
      <c r="M906" s="5"/>
      <c r="N906" s="5"/>
      <c r="O906" s="5"/>
      <c r="P906" s="57"/>
      <c r="Q906" s="5"/>
      <c r="R906" s="5"/>
      <c r="S906" s="5"/>
      <c r="T906" s="5"/>
      <c r="U906" s="5"/>
      <c r="V906" s="5"/>
      <c r="W906" s="5"/>
      <c r="X906" s="5"/>
      <c r="Y906" s="5"/>
      <c r="Z906" s="5"/>
      <c r="AA906" s="5"/>
    </row>
    <row r="907" spans="1:27" ht="12.75" customHeight="1">
      <c r="A907" s="5"/>
      <c r="B907" s="5"/>
      <c r="C907" s="5"/>
      <c r="D907" s="5"/>
      <c r="E907" s="5"/>
      <c r="F907" s="5"/>
      <c r="G907" s="5"/>
      <c r="H907" s="306"/>
      <c r="I907" s="306"/>
      <c r="J907" s="5"/>
      <c r="K907" s="5"/>
      <c r="L907" s="5"/>
      <c r="M907" s="5"/>
      <c r="N907" s="5"/>
      <c r="O907" s="5"/>
      <c r="P907" s="57"/>
      <c r="Q907" s="5"/>
      <c r="R907" s="5"/>
      <c r="S907" s="5"/>
      <c r="T907" s="5"/>
      <c r="U907" s="5"/>
      <c r="V907" s="5"/>
      <c r="W907" s="5"/>
      <c r="X907" s="5"/>
      <c r="Y907" s="5"/>
      <c r="Z907" s="5"/>
      <c r="AA907" s="5"/>
    </row>
    <row r="908" spans="1:27" ht="12.75" customHeight="1">
      <c r="A908" s="5"/>
      <c r="B908" s="5"/>
      <c r="C908" s="5"/>
      <c r="D908" s="5"/>
      <c r="E908" s="5"/>
      <c r="F908" s="5"/>
      <c r="G908" s="5"/>
      <c r="H908" s="306"/>
      <c r="I908" s="306"/>
      <c r="J908" s="5"/>
      <c r="K908" s="5"/>
      <c r="L908" s="5"/>
      <c r="M908" s="5"/>
      <c r="N908" s="5"/>
      <c r="O908" s="5"/>
      <c r="P908" s="57"/>
      <c r="Q908" s="5"/>
      <c r="R908" s="5"/>
      <c r="S908" s="5"/>
      <c r="T908" s="5"/>
      <c r="U908" s="5"/>
      <c r="V908" s="5"/>
      <c r="W908" s="5"/>
      <c r="X908" s="5"/>
      <c r="Y908" s="5"/>
      <c r="Z908" s="5"/>
      <c r="AA908" s="5"/>
    </row>
    <row r="909" spans="1:27" ht="12.75" customHeight="1">
      <c r="A909" s="5"/>
      <c r="B909" s="5"/>
      <c r="C909" s="5"/>
      <c r="D909" s="5"/>
      <c r="E909" s="5"/>
      <c r="F909" s="5"/>
      <c r="G909" s="5"/>
      <c r="H909" s="306"/>
      <c r="I909" s="306"/>
      <c r="J909" s="5"/>
      <c r="K909" s="5"/>
      <c r="L909" s="5"/>
      <c r="M909" s="5"/>
      <c r="N909" s="5"/>
      <c r="O909" s="5"/>
      <c r="P909" s="57"/>
      <c r="Q909" s="5"/>
      <c r="R909" s="5"/>
      <c r="S909" s="5"/>
      <c r="T909" s="5"/>
      <c r="U909" s="5"/>
      <c r="V909" s="5"/>
      <c r="W909" s="5"/>
      <c r="X909" s="5"/>
      <c r="Y909" s="5"/>
      <c r="Z909" s="5"/>
      <c r="AA909" s="5"/>
    </row>
    <row r="910" spans="1:27" ht="12.75" customHeight="1">
      <c r="A910" s="5"/>
      <c r="B910" s="5"/>
      <c r="C910" s="5"/>
      <c r="D910" s="5"/>
      <c r="E910" s="5"/>
      <c r="F910" s="5"/>
      <c r="G910" s="5"/>
      <c r="H910" s="306"/>
      <c r="I910" s="306"/>
      <c r="J910" s="5"/>
      <c r="K910" s="5"/>
      <c r="L910" s="5"/>
      <c r="M910" s="5"/>
      <c r="N910" s="5"/>
      <c r="O910" s="5"/>
      <c r="P910" s="57"/>
      <c r="Q910" s="5"/>
      <c r="R910" s="5"/>
      <c r="S910" s="5"/>
      <c r="T910" s="5"/>
      <c r="U910" s="5"/>
      <c r="V910" s="5"/>
      <c r="W910" s="5"/>
      <c r="X910" s="5"/>
      <c r="Y910" s="5"/>
      <c r="Z910" s="5"/>
      <c r="AA910" s="5"/>
    </row>
    <row r="911" spans="1:27" ht="12.75" customHeight="1">
      <c r="A911" s="5"/>
      <c r="B911" s="5"/>
      <c r="C911" s="5"/>
      <c r="D911" s="5"/>
      <c r="E911" s="5"/>
      <c r="F911" s="5"/>
      <c r="G911" s="5"/>
      <c r="H911" s="306"/>
      <c r="I911" s="306"/>
      <c r="J911" s="5"/>
      <c r="K911" s="5"/>
      <c r="L911" s="5"/>
      <c r="M911" s="5"/>
      <c r="N911" s="5"/>
      <c r="O911" s="5"/>
      <c r="P911" s="57"/>
      <c r="Q911" s="5"/>
      <c r="R911" s="5"/>
      <c r="S911" s="5"/>
      <c r="T911" s="5"/>
      <c r="U911" s="5"/>
      <c r="V911" s="5"/>
      <c r="W911" s="5"/>
      <c r="X911" s="5"/>
      <c r="Y911" s="5"/>
      <c r="Z911" s="5"/>
      <c r="AA911" s="5"/>
    </row>
    <row r="912" spans="1:27" ht="12.75" customHeight="1">
      <c r="A912" s="5"/>
      <c r="B912" s="5"/>
      <c r="C912" s="5"/>
      <c r="D912" s="5"/>
      <c r="E912" s="5"/>
      <c r="F912" s="5"/>
      <c r="G912" s="5"/>
      <c r="H912" s="306"/>
      <c r="I912" s="306"/>
      <c r="J912" s="5"/>
      <c r="K912" s="5"/>
      <c r="L912" s="5"/>
      <c r="M912" s="5"/>
      <c r="N912" s="5"/>
      <c r="O912" s="5"/>
      <c r="P912" s="57"/>
      <c r="Q912" s="5"/>
      <c r="R912" s="5"/>
      <c r="S912" s="5"/>
      <c r="T912" s="5"/>
      <c r="U912" s="5"/>
      <c r="V912" s="5"/>
      <c r="W912" s="5"/>
      <c r="X912" s="5"/>
      <c r="Y912" s="5"/>
      <c r="Z912" s="5"/>
      <c r="AA912" s="5"/>
    </row>
    <row r="913" spans="1:27" ht="12.75" customHeight="1">
      <c r="A913" s="5"/>
      <c r="B913" s="5"/>
      <c r="C913" s="5"/>
      <c r="D913" s="5"/>
      <c r="E913" s="5"/>
      <c r="F913" s="5"/>
      <c r="G913" s="5"/>
      <c r="H913" s="306"/>
      <c r="I913" s="306"/>
      <c r="J913" s="5"/>
      <c r="K913" s="5"/>
      <c r="L913" s="5"/>
      <c r="M913" s="5"/>
      <c r="N913" s="5"/>
      <c r="O913" s="5"/>
      <c r="P913" s="57"/>
      <c r="Q913" s="5"/>
      <c r="R913" s="5"/>
      <c r="S913" s="5"/>
      <c r="T913" s="5"/>
      <c r="U913" s="5"/>
      <c r="V913" s="5"/>
      <c r="W913" s="5"/>
      <c r="X913" s="5"/>
      <c r="Y913" s="5"/>
      <c r="Z913" s="5"/>
      <c r="AA913" s="5"/>
    </row>
    <row r="914" spans="1:27" ht="12.75" customHeight="1">
      <c r="A914" s="5"/>
      <c r="B914" s="5"/>
      <c r="C914" s="5"/>
      <c r="D914" s="5"/>
      <c r="E914" s="5"/>
      <c r="F914" s="5"/>
      <c r="G914" s="5"/>
      <c r="H914" s="306"/>
      <c r="I914" s="306"/>
      <c r="J914" s="5"/>
      <c r="K914" s="5"/>
      <c r="L914" s="5"/>
      <c r="M914" s="5"/>
      <c r="N914" s="5"/>
      <c r="O914" s="5"/>
      <c r="P914" s="57"/>
      <c r="Q914" s="5"/>
      <c r="R914" s="5"/>
      <c r="S914" s="5"/>
      <c r="T914" s="5"/>
      <c r="U914" s="5"/>
      <c r="V914" s="5"/>
      <c r="W914" s="5"/>
      <c r="X914" s="5"/>
      <c r="Y914" s="5"/>
      <c r="Z914" s="5"/>
      <c r="AA914" s="5"/>
    </row>
    <row r="915" spans="1:27" ht="12.75" customHeight="1">
      <c r="A915" s="5"/>
      <c r="B915" s="5"/>
      <c r="C915" s="5"/>
      <c r="D915" s="5"/>
      <c r="E915" s="5"/>
      <c r="F915" s="5"/>
      <c r="G915" s="5"/>
      <c r="H915" s="306"/>
      <c r="I915" s="306"/>
      <c r="J915" s="5"/>
      <c r="K915" s="5"/>
      <c r="L915" s="5"/>
      <c r="M915" s="5"/>
      <c r="N915" s="5"/>
      <c r="O915" s="5"/>
      <c r="P915" s="57"/>
      <c r="Q915" s="5"/>
      <c r="R915" s="5"/>
      <c r="S915" s="5"/>
      <c r="T915" s="5"/>
      <c r="U915" s="5"/>
      <c r="V915" s="5"/>
      <c r="W915" s="5"/>
      <c r="X915" s="5"/>
      <c r="Y915" s="5"/>
      <c r="Z915" s="5"/>
      <c r="AA915" s="5"/>
    </row>
    <row r="916" spans="1:27" ht="12.75" customHeight="1">
      <c r="A916" s="5"/>
      <c r="B916" s="5"/>
      <c r="C916" s="5"/>
      <c r="D916" s="5"/>
      <c r="E916" s="5"/>
      <c r="F916" s="5"/>
      <c r="G916" s="5"/>
      <c r="H916" s="306"/>
      <c r="I916" s="306"/>
      <c r="J916" s="5"/>
      <c r="K916" s="5"/>
      <c r="L916" s="5"/>
      <c r="M916" s="5"/>
      <c r="N916" s="5"/>
      <c r="O916" s="5"/>
      <c r="P916" s="57"/>
      <c r="Q916" s="5"/>
      <c r="R916" s="5"/>
      <c r="S916" s="5"/>
      <c r="T916" s="5"/>
      <c r="U916" s="5"/>
      <c r="V916" s="5"/>
      <c r="W916" s="5"/>
      <c r="X916" s="5"/>
      <c r="Y916" s="5"/>
      <c r="Z916" s="5"/>
      <c r="AA916" s="5"/>
    </row>
    <row r="917" spans="1:27" ht="12.75" customHeight="1">
      <c r="A917" s="5"/>
      <c r="B917" s="5"/>
      <c r="C917" s="5"/>
      <c r="D917" s="5"/>
      <c r="E917" s="5"/>
      <c r="F917" s="5"/>
      <c r="G917" s="5"/>
      <c r="H917" s="306"/>
      <c r="I917" s="306"/>
      <c r="J917" s="5"/>
      <c r="K917" s="5"/>
      <c r="L917" s="5"/>
      <c r="M917" s="5"/>
      <c r="N917" s="5"/>
      <c r="O917" s="5"/>
      <c r="P917" s="57"/>
      <c r="Q917" s="5"/>
      <c r="R917" s="5"/>
      <c r="S917" s="5"/>
      <c r="T917" s="5"/>
      <c r="U917" s="5"/>
      <c r="V917" s="5"/>
      <c r="W917" s="5"/>
      <c r="X917" s="5"/>
      <c r="Y917" s="5"/>
      <c r="Z917" s="5"/>
      <c r="AA917" s="5"/>
    </row>
    <row r="918" spans="1:27" ht="12.75" customHeight="1">
      <c r="A918" s="5"/>
      <c r="B918" s="5"/>
      <c r="C918" s="5"/>
      <c r="D918" s="5"/>
      <c r="E918" s="5"/>
      <c r="F918" s="5"/>
      <c r="G918" s="5"/>
      <c r="H918" s="306"/>
      <c r="I918" s="306"/>
      <c r="J918" s="5"/>
      <c r="K918" s="5"/>
      <c r="L918" s="5"/>
      <c r="M918" s="5"/>
      <c r="N918" s="5"/>
      <c r="O918" s="5"/>
      <c r="P918" s="57"/>
      <c r="Q918" s="5"/>
      <c r="R918" s="5"/>
      <c r="S918" s="5"/>
      <c r="T918" s="5"/>
      <c r="U918" s="5"/>
      <c r="V918" s="5"/>
      <c r="W918" s="5"/>
      <c r="X918" s="5"/>
      <c r="Y918" s="5"/>
      <c r="Z918" s="5"/>
      <c r="AA918" s="5"/>
    </row>
    <row r="919" spans="1:27" ht="12.75" customHeight="1">
      <c r="A919" s="5"/>
      <c r="B919" s="5"/>
      <c r="C919" s="5"/>
      <c r="D919" s="5"/>
      <c r="E919" s="5"/>
      <c r="F919" s="5"/>
      <c r="G919" s="5"/>
      <c r="H919" s="306"/>
      <c r="I919" s="306"/>
      <c r="J919" s="5"/>
      <c r="K919" s="5"/>
      <c r="L919" s="5"/>
      <c r="M919" s="5"/>
      <c r="N919" s="5"/>
      <c r="O919" s="5"/>
      <c r="P919" s="57"/>
      <c r="Q919" s="5"/>
      <c r="R919" s="5"/>
      <c r="S919" s="5"/>
      <c r="T919" s="5"/>
      <c r="U919" s="5"/>
      <c r="V919" s="5"/>
      <c r="W919" s="5"/>
      <c r="X919" s="5"/>
      <c r="Y919" s="5"/>
      <c r="Z919" s="5"/>
      <c r="AA919" s="5"/>
    </row>
    <row r="920" spans="1:27" ht="12.75" customHeight="1">
      <c r="A920" s="5"/>
      <c r="B920" s="5"/>
      <c r="C920" s="5"/>
      <c r="D920" s="5"/>
      <c r="E920" s="5"/>
      <c r="F920" s="5"/>
      <c r="G920" s="5"/>
      <c r="H920" s="306"/>
      <c r="I920" s="306"/>
      <c r="J920" s="5"/>
      <c r="K920" s="5"/>
      <c r="L920" s="5"/>
      <c r="M920" s="5"/>
      <c r="N920" s="5"/>
      <c r="O920" s="5"/>
      <c r="P920" s="57"/>
      <c r="Q920" s="5"/>
      <c r="R920" s="5"/>
      <c r="S920" s="5"/>
      <c r="T920" s="5"/>
      <c r="U920" s="5"/>
      <c r="V920" s="5"/>
      <c r="W920" s="5"/>
      <c r="X920" s="5"/>
      <c r="Y920" s="5"/>
      <c r="Z920" s="5"/>
      <c r="AA920" s="5"/>
    </row>
    <row r="921" spans="1:27" ht="12.75" customHeight="1">
      <c r="A921" s="5"/>
      <c r="B921" s="5"/>
      <c r="C921" s="5"/>
      <c r="D921" s="5"/>
      <c r="E921" s="5"/>
      <c r="F921" s="5"/>
      <c r="G921" s="5"/>
      <c r="H921" s="306"/>
      <c r="I921" s="306"/>
      <c r="J921" s="5"/>
      <c r="K921" s="5"/>
      <c r="L921" s="5"/>
      <c r="M921" s="5"/>
      <c r="N921" s="5"/>
      <c r="O921" s="5"/>
      <c r="P921" s="57"/>
      <c r="Q921" s="5"/>
      <c r="R921" s="5"/>
      <c r="S921" s="5"/>
      <c r="T921" s="5"/>
      <c r="U921" s="5"/>
      <c r="V921" s="5"/>
      <c r="W921" s="5"/>
      <c r="X921" s="5"/>
      <c r="Y921" s="5"/>
      <c r="Z921" s="5"/>
      <c r="AA921" s="5"/>
    </row>
    <row r="922" spans="1:27" ht="12.75" customHeight="1">
      <c r="A922" s="5"/>
      <c r="B922" s="5"/>
      <c r="C922" s="5"/>
      <c r="D922" s="5"/>
      <c r="E922" s="5"/>
      <c r="F922" s="5"/>
      <c r="G922" s="5"/>
      <c r="H922" s="306"/>
      <c r="I922" s="306"/>
      <c r="J922" s="5"/>
      <c r="K922" s="5"/>
      <c r="L922" s="5"/>
      <c r="M922" s="5"/>
      <c r="N922" s="5"/>
      <c r="O922" s="5"/>
      <c r="P922" s="57"/>
      <c r="Q922" s="5"/>
      <c r="R922" s="5"/>
      <c r="S922" s="5"/>
      <c r="T922" s="5"/>
      <c r="U922" s="5"/>
      <c r="V922" s="5"/>
      <c r="W922" s="5"/>
      <c r="X922" s="5"/>
      <c r="Y922" s="5"/>
      <c r="Z922" s="5"/>
      <c r="AA922" s="5"/>
    </row>
    <row r="923" spans="1:27" ht="12.75" customHeight="1">
      <c r="A923" s="5"/>
      <c r="B923" s="5"/>
      <c r="C923" s="5"/>
      <c r="D923" s="5"/>
      <c r="E923" s="5"/>
      <c r="F923" s="5"/>
      <c r="G923" s="5"/>
      <c r="H923" s="306"/>
      <c r="I923" s="306"/>
      <c r="J923" s="5"/>
      <c r="K923" s="5"/>
      <c r="L923" s="5"/>
      <c r="M923" s="5"/>
      <c r="N923" s="5"/>
      <c r="O923" s="5"/>
      <c r="P923" s="57"/>
      <c r="Q923" s="5"/>
      <c r="R923" s="5"/>
      <c r="S923" s="5"/>
      <c r="T923" s="5"/>
      <c r="U923" s="5"/>
      <c r="V923" s="5"/>
      <c r="W923" s="5"/>
      <c r="X923" s="5"/>
      <c r="Y923" s="5"/>
      <c r="Z923" s="5"/>
      <c r="AA923" s="5"/>
    </row>
    <row r="924" spans="1:27" ht="12.75" customHeight="1">
      <c r="A924" s="5"/>
      <c r="B924" s="5"/>
      <c r="C924" s="5"/>
      <c r="D924" s="5"/>
      <c r="E924" s="5"/>
      <c r="F924" s="5"/>
      <c r="G924" s="5"/>
      <c r="H924" s="306"/>
      <c r="I924" s="306"/>
      <c r="J924" s="5"/>
      <c r="K924" s="5"/>
      <c r="L924" s="5"/>
      <c r="M924" s="5"/>
      <c r="N924" s="5"/>
      <c r="O924" s="5"/>
      <c r="P924" s="57"/>
      <c r="Q924" s="5"/>
      <c r="R924" s="5"/>
      <c r="S924" s="5"/>
      <c r="T924" s="5"/>
      <c r="U924" s="5"/>
      <c r="V924" s="5"/>
      <c r="W924" s="5"/>
      <c r="X924" s="5"/>
      <c r="Y924" s="5"/>
      <c r="Z924" s="5"/>
      <c r="AA924" s="5"/>
    </row>
    <row r="925" spans="1:27" ht="12.75" customHeight="1">
      <c r="A925" s="5"/>
      <c r="B925" s="5"/>
      <c r="C925" s="5"/>
      <c r="D925" s="5"/>
      <c r="E925" s="5"/>
      <c r="F925" s="5"/>
      <c r="G925" s="5"/>
      <c r="H925" s="306"/>
      <c r="I925" s="306"/>
      <c r="J925" s="5"/>
      <c r="K925" s="5"/>
      <c r="L925" s="5"/>
      <c r="M925" s="5"/>
      <c r="N925" s="5"/>
      <c r="O925" s="5"/>
      <c r="P925" s="57"/>
      <c r="Q925" s="5"/>
      <c r="R925" s="5"/>
      <c r="S925" s="5"/>
      <c r="T925" s="5"/>
      <c r="U925" s="5"/>
      <c r="V925" s="5"/>
      <c r="W925" s="5"/>
      <c r="X925" s="5"/>
      <c r="Y925" s="5"/>
      <c r="Z925" s="5"/>
      <c r="AA925" s="5"/>
    </row>
    <row r="926" spans="1:27" ht="12.75" customHeight="1">
      <c r="A926" s="5"/>
      <c r="B926" s="5"/>
      <c r="C926" s="5"/>
      <c r="D926" s="5"/>
      <c r="E926" s="5"/>
      <c r="F926" s="5"/>
      <c r="G926" s="5"/>
      <c r="H926" s="306"/>
      <c r="I926" s="306"/>
      <c r="J926" s="5"/>
      <c r="K926" s="5"/>
      <c r="L926" s="5"/>
      <c r="M926" s="5"/>
      <c r="N926" s="5"/>
      <c r="O926" s="5"/>
      <c r="P926" s="57"/>
      <c r="Q926" s="5"/>
      <c r="R926" s="5"/>
      <c r="S926" s="5"/>
      <c r="T926" s="5"/>
      <c r="U926" s="5"/>
      <c r="V926" s="5"/>
      <c r="W926" s="5"/>
      <c r="X926" s="5"/>
      <c r="Y926" s="5"/>
      <c r="Z926" s="5"/>
      <c r="AA926" s="5"/>
    </row>
    <row r="927" spans="1:27" ht="12.75" customHeight="1">
      <c r="A927" s="5"/>
      <c r="B927" s="5"/>
      <c r="C927" s="5"/>
      <c r="D927" s="5"/>
      <c r="E927" s="5"/>
      <c r="F927" s="5"/>
      <c r="G927" s="5"/>
      <c r="H927" s="306"/>
      <c r="I927" s="306"/>
      <c r="J927" s="5"/>
      <c r="K927" s="5"/>
      <c r="L927" s="5"/>
      <c r="M927" s="5"/>
      <c r="N927" s="5"/>
      <c r="O927" s="5"/>
      <c r="P927" s="57"/>
      <c r="Q927" s="5"/>
      <c r="R927" s="5"/>
      <c r="S927" s="5"/>
      <c r="T927" s="5"/>
      <c r="U927" s="5"/>
      <c r="V927" s="5"/>
      <c r="W927" s="5"/>
      <c r="X927" s="5"/>
      <c r="Y927" s="5"/>
      <c r="Z927" s="5"/>
      <c r="AA927" s="5"/>
    </row>
    <row r="928" spans="1:27" ht="12.75" customHeight="1">
      <c r="A928" s="5"/>
      <c r="B928" s="5"/>
      <c r="C928" s="5"/>
      <c r="D928" s="5"/>
      <c r="E928" s="5"/>
      <c r="F928" s="5"/>
      <c r="G928" s="5"/>
      <c r="H928" s="306"/>
      <c r="I928" s="306"/>
      <c r="J928" s="5"/>
      <c r="K928" s="5"/>
      <c r="L928" s="5"/>
      <c r="M928" s="5"/>
      <c r="N928" s="5"/>
      <c r="O928" s="5"/>
      <c r="P928" s="57"/>
      <c r="Q928" s="5"/>
      <c r="R928" s="5"/>
      <c r="S928" s="5"/>
      <c r="T928" s="5"/>
      <c r="U928" s="5"/>
      <c r="V928" s="5"/>
      <c r="W928" s="5"/>
      <c r="X928" s="5"/>
      <c r="Y928" s="5"/>
      <c r="Z928" s="5"/>
      <c r="AA928" s="5"/>
    </row>
    <row r="929" spans="1:27" ht="12.75" customHeight="1">
      <c r="A929" s="5"/>
      <c r="B929" s="5"/>
      <c r="C929" s="5"/>
      <c r="D929" s="5"/>
      <c r="E929" s="5"/>
      <c r="F929" s="5"/>
      <c r="G929" s="5"/>
      <c r="H929" s="306"/>
      <c r="I929" s="306"/>
      <c r="J929" s="5"/>
      <c r="K929" s="5"/>
      <c r="L929" s="5"/>
      <c r="M929" s="5"/>
      <c r="N929" s="5"/>
      <c r="O929" s="5"/>
      <c r="P929" s="57"/>
      <c r="Q929" s="5"/>
      <c r="R929" s="5"/>
      <c r="S929" s="5"/>
      <c r="T929" s="5"/>
      <c r="U929" s="5"/>
      <c r="V929" s="5"/>
      <c r="W929" s="5"/>
      <c r="X929" s="5"/>
      <c r="Y929" s="5"/>
      <c r="Z929" s="5"/>
      <c r="AA929" s="5"/>
    </row>
    <row r="930" spans="1:27" ht="12.75" customHeight="1">
      <c r="A930" s="5"/>
      <c r="B930" s="5"/>
      <c r="C930" s="5"/>
      <c r="D930" s="5"/>
      <c r="E930" s="5"/>
      <c r="F930" s="5"/>
      <c r="G930" s="5"/>
      <c r="H930" s="306"/>
      <c r="I930" s="306"/>
      <c r="J930" s="5"/>
      <c r="K930" s="5"/>
      <c r="L930" s="5"/>
      <c r="M930" s="5"/>
      <c r="N930" s="5"/>
      <c r="O930" s="5"/>
      <c r="P930" s="57"/>
      <c r="Q930" s="5"/>
      <c r="R930" s="5"/>
      <c r="S930" s="5"/>
      <c r="T930" s="5"/>
      <c r="U930" s="5"/>
      <c r="V930" s="5"/>
      <c r="W930" s="5"/>
      <c r="X930" s="5"/>
      <c r="Y930" s="5"/>
      <c r="Z930" s="5"/>
      <c r="AA930" s="5"/>
    </row>
    <row r="931" spans="1:27" ht="12.75" customHeight="1">
      <c r="A931" s="5"/>
      <c r="B931" s="5"/>
      <c r="C931" s="5"/>
      <c r="D931" s="5"/>
      <c r="E931" s="5"/>
      <c r="F931" s="5"/>
      <c r="G931" s="5"/>
      <c r="H931" s="306"/>
      <c r="I931" s="306"/>
      <c r="J931" s="5"/>
      <c r="K931" s="5"/>
      <c r="L931" s="5"/>
      <c r="M931" s="5"/>
      <c r="N931" s="5"/>
      <c r="O931" s="5"/>
      <c r="P931" s="57"/>
      <c r="Q931" s="5"/>
      <c r="R931" s="5"/>
      <c r="S931" s="5"/>
      <c r="T931" s="5"/>
      <c r="U931" s="5"/>
      <c r="V931" s="5"/>
      <c r="W931" s="5"/>
      <c r="X931" s="5"/>
      <c r="Y931" s="5"/>
      <c r="Z931" s="5"/>
      <c r="AA931" s="5"/>
    </row>
    <row r="932" spans="1:27" ht="12.75" customHeight="1">
      <c r="A932" s="5"/>
      <c r="B932" s="5"/>
      <c r="C932" s="5"/>
      <c r="D932" s="5"/>
      <c r="E932" s="5"/>
      <c r="F932" s="5"/>
      <c r="G932" s="5"/>
      <c r="H932" s="306"/>
      <c r="I932" s="306"/>
      <c r="J932" s="5"/>
      <c r="K932" s="5"/>
      <c r="L932" s="5"/>
      <c r="M932" s="5"/>
      <c r="N932" s="5"/>
      <c r="O932" s="5"/>
      <c r="P932" s="57"/>
      <c r="Q932" s="5"/>
      <c r="R932" s="5"/>
      <c r="S932" s="5"/>
      <c r="T932" s="5"/>
      <c r="U932" s="5"/>
      <c r="V932" s="5"/>
      <c r="W932" s="5"/>
      <c r="X932" s="5"/>
      <c r="Y932" s="5"/>
      <c r="Z932" s="5"/>
      <c r="AA932" s="5"/>
    </row>
    <row r="933" spans="1:27" ht="12.75" customHeight="1">
      <c r="A933" s="5"/>
      <c r="B933" s="5"/>
      <c r="C933" s="5"/>
      <c r="D933" s="5"/>
      <c r="E933" s="5"/>
      <c r="F933" s="5"/>
      <c r="G933" s="5"/>
      <c r="H933" s="306"/>
      <c r="I933" s="306"/>
      <c r="J933" s="5"/>
      <c r="K933" s="5"/>
      <c r="L933" s="5"/>
      <c r="M933" s="5"/>
      <c r="N933" s="5"/>
      <c r="O933" s="5"/>
      <c r="P933" s="57"/>
      <c r="Q933" s="5"/>
      <c r="R933" s="5"/>
      <c r="S933" s="5"/>
      <c r="T933" s="5"/>
      <c r="U933" s="5"/>
      <c r="V933" s="5"/>
      <c r="W933" s="5"/>
      <c r="X933" s="5"/>
      <c r="Y933" s="5"/>
      <c r="Z933" s="5"/>
      <c r="AA933" s="5"/>
    </row>
    <row r="934" spans="1:27" ht="12.75" customHeight="1">
      <c r="A934" s="5"/>
      <c r="B934" s="5"/>
      <c r="C934" s="5"/>
      <c r="D934" s="5"/>
      <c r="E934" s="5"/>
      <c r="F934" s="5"/>
      <c r="G934" s="5"/>
      <c r="H934" s="306"/>
      <c r="I934" s="306"/>
      <c r="J934" s="5"/>
      <c r="K934" s="5"/>
      <c r="L934" s="5"/>
      <c r="M934" s="5"/>
      <c r="N934" s="5"/>
      <c r="O934" s="5"/>
      <c r="P934" s="57"/>
      <c r="Q934" s="5"/>
      <c r="R934" s="5"/>
      <c r="S934" s="5"/>
      <c r="T934" s="5"/>
      <c r="U934" s="5"/>
      <c r="V934" s="5"/>
      <c r="W934" s="5"/>
      <c r="X934" s="5"/>
      <c r="Y934" s="5"/>
      <c r="Z934" s="5"/>
      <c r="AA934" s="5"/>
    </row>
    <row r="935" spans="1:27" ht="12.75" customHeight="1">
      <c r="A935" s="5"/>
      <c r="B935" s="5"/>
      <c r="C935" s="5"/>
      <c r="D935" s="5"/>
      <c r="E935" s="5"/>
      <c r="F935" s="5"/>
      <c r="G935" s="5"/>
      <c r="H935" s="306"/>
      <c r="I935" s="306"/>
      <c r="J935" s="5"/>
      <c r="K935" s="5"/>
      <c r="L935" s="5"/>
      <c r="M935" s="5"/>
      <c r="N935" s="5"/>
      <c r="O935" s="5"/>
      <c r="P935" s="57"/>
      <c r="Q935" s="5"/>
      <c r="R935" s="5"/>
      <c r="S935" s="5"/>
      <c r="T935" s="5"/>
      <c r="U935" s="5"/>
      <c r="V935" s="5"/>
      <c r="W935" s="5"/>
      <c r="X935" s="5"/>
      <c r="Y935" s="5"/>
      <c r="Z935" s="5"/>
      <c r="AA935" s="5"/>
    </row>
    <row r="936" spans="1:27" ht="12.75" customHeight="1">
      <c r="A936" s="5"/>
      <c r="B936" s="5"/>
      <c r="C936" s="5"/>
      <c r="D936" s="5"/>
      <c r="E936" s="5"/>
      <c r="F936" s="5"/>
      <c r="G936" s="5"/>
      <c r="H936" s="306"/>
      <c r="I936" s="306"/>
      <c r="J936" s="5"/>
      <c r="K936" s="5"/>
      <c r="L936" s="5"/>
      <c r="M936" s="5"/>
      <c r="N936" s="5"/>
      <c r="O936" s="5"/>
      <c r="P936" s="57"/>
      <c r="Q936" s="5"/>
      <c r="R936" s="5"/>
      <c r="S936" s="5"/>
      <c r="T936" s="5"/>
      <c r="U936" s="5"/>
      <c r="V936" s="5"/>
      <c r="W936" s="5"/>
      <c r="X936" s="5"/>
      <c r="Y936" s="5"/>
      <c r="Z936" s="5"/>
      <c r="AA936" s="5"/>
    </row>
    <row r="937" spans="1:27" ht="12.75" customHeight="1">
      <c r="A937" s="5"/>
      <c r="B937" s="5"/>
      <c r="C937" s="5"/>
      <c r="D937" s="5"/>
      <c r="E937" s="5"/>
      <c r="F937" s="5"/>
      <c r="G937" s="5"/>
      <c r="H937" s="306"/>
      <c r="I937" s="306"/>
      <c r="J937" s="5"/>
      <c r="K937" s="5"/>
      <c r="L937" s="5"/>
      <c r="M937" s="5"/>
      <c r="N937" s="5"/>
      <c r="O937" s="5"/>
      <c r="P937" s="57"/>
      <c r="Q937" s="5"/>
      <c r="R937" s="5"/>
      <c r="S937" s="5"/>
      <c r="T937" s="5"/>
      <c r="U937" s="5"/>
      <c r="V937" s="5"/>
      <c r="W937" s="5"/>
      <c r="X937" s="5"/>
      <c r="Y937" s="5"/>
      <c r="Z937" s="5"/>
      <c r="AA937" s="5"/>
    </row>
    <row r="938" spans="1:27" ht="12.75" customHeight="1">
      <c r="A938" s="5"/>
      <c r="B938" s="5"/>
      <c r="C938" s="5"/>
      <c r="D938" s="5"/>
      <c r="E938" s="5"/>
      <c r="F938" s="5"/>
      <c r="G938" s="5"/>
      <c r="H938" s="306"/>
      <c r="I938" s="306"/>
      <c r="J938" s="5"/>
      <c r="K938" s="5"/>
      <c r="L938" s="5"/>
      <c r="M938" s="5"/>
      <c r="N938" s="5"/>
      <c r="O938" s="5"/>
      <c r="P938" s="57"/>
      <c r="Q938" s="5"/>
      <c r="R938" s="5"/>
      <c r="S938" s="5"/>
      <c r="T938" s="5"/>
      <c r="U938" s="5"/>
      <c r="V938" s="5"/>
      <c r="W938" s="5"/>
      <c r="X938" s="5"/>
      <c r="Y938" s="5"/>
      <c r="Z938" s="5"/>
      <c r="AA938" s="5"/>
    </row>
    <row r="939" spans="1:27" ht="12.75" customHeight="1">
      <c r="A939" s="5"/>
      <c r="B939" s="5"/>
      <c r="C939" s="5"/>
      <c r="D939" s="5"/>
      <c r="E939" s="5"/>
      <c r="F939" s="5"/>
      <c r="G939" s="5"/>
      <c r="H939" s="306"/>
      <c r="I939" s="306"/>
      <c r="J939" s="5"/>
      <c r="K939" s="5"/>
      <c r="L939" s="5"/>
      <c r="M939" s="5"/>
      <c r="N939" s="5"/>
      <c r="O939" s="5"/>
      <c r="P939" s="57"/>
      <c r="Q939" s="5"/>
      <c r="R939" s="5"/>
      <c r="S939" s="5"/>
      <c r="T939" s="5"/>
      <c r="U939" s="5"/>
      <c r="V939" s="5"/>
      <c r="W939" s="5"/>
      <c r="X939" s="5"/>
      <c r="Y939" s="5"/>
      <c r="Z939" s="5"/>
      <c r="AA939" s="5"/>
    </row>
    <row r="940" spans="1:27" ht="12.75" customHeight="1">
      <c r="A940" s="5"/>
      <c r="B940" s="5"/>
      <c r="C940" s="5"/>
      <c r="D940" s="5"/>
      <c r="E940" s="5"/>
      <c r="F940" s="5"/>
      <c r="G940" s="5"/>
      <c r="H940" s="306"/>
      <c r="I940" s="306"/>
      <c r="J940" s="5"/>
      <c r="K940" s="5"/>
      <c r="L940" s="5"/>
      <c r="M940" s="5"/>
      <c r="N940" s="5"/>
      <c r="O940" s="5"/>
      <c r="P940" s="57"/>
      <c r="Q940" s="5"/>
      <c r="R940" s="5"/>
      <c r="S940" s="5"/>
      <c r="T940" s="5"/>
      <c r="U940" s="5"/>
      <c r="V940" s="5"/>
      <c r="W940" s="5"/>
      <c r="X940" s="5"/>
      <c r="Y940" s="5"/>
      <c r="Z940" s="5"/>
      <c r="AA940" s="5"/>
    </row>
    <row r="941" spans="1:27" ht="12.75" customHeight="1">
      <c r="A941" s="5"/>
      <c r="B941" s="5"/>
      <c r="C941" s="5"/>
      <c r="D941" s="5"/>
      <c r="E941" s="5"/>
      <c r="F941" s="5"/>
      <c r="G941" s="5"/>
      <c r="H941" s="306"/>
      <c r="I941" s="306"/>
      <c r="J941" s="5"/>
      <c r="K941" s="5"/>
      <c r="L941" s="5"/>
      <c r="M941" s="5"/>
      <c r="N941" s="5"/>
      <c r="O941" s="5"/>
      <c r="P941" s="57"/>
      <c r="Q941" s="5"/>
      <c r="R941" s="5"/>
      <c r="S941" s="5"/>
      <c r="T941" s="5"/>
      <c r="U941" s="5"/>
      <c r="V941" s="5"/>
      <c r="W941" s="5"/>
      <c r="X941" s="5"/>
      <c r="Y941" s="5"/>
      <c r="Z941" s="5"/>
      <c r="AA941" s="5"/>
    </row>
    <row r="942" spans="1:27" ht="12.75" customHeight="1">
      <c r="A942" s="5"/>
      <c r="B942" s="5"/>
      <c r="C942" s="5"/>
      <c r="D942" s="5"/>
      <c r="E942" s="5"/>
      <c r="F942" s="5"/>
      <c r="G942" s="5"/>
      <c r="H942" s="306"/>
      <c r="I942" s="306"/>
      <c r="J942" s="5"/>
      <c r="K942" s="5"/>
      <c r="L942" s="5"/>
      <c r="M942" s="5"/>
      <c r="N942" s="5"/>
      <c r="O942" s="5"/>
      <c r="P942" s="57"/>
      <c r="Q942" s="5"/>
      <c r="R942" s="5"/>
      <c r="S942" s="5"/>
      <c r="T942" s="5"/>
      <c r="U942" s="5"/>
      <c r="V942" s="5"/>
      <c r="W942" s="5"/>
      <c r="X942" s="5"/>
      <c r="Y942" s="5"/>
      <c r="Z942" s="5"/>
      <c r="AA942" s="5"/>
    </row>
    <row r="943" spans="1:27" ht="12.75" customHeight="1">
      <c r="A943" s="5"/>
      <c r="B943" s="5"/>
      <c r="C943" s="5"/>
      <c r="D943" s="5"/>
      <c r="E943" s="5"/>
      <c r="F943" s="5"/>
      <c r="G943" s="5"/>
      <c r="H943" s="306"/>
      <c r="I943" s="306"/>
      <c r="J943" s="5"/>
      <c r="K943" s="5"/>
      <c r="L943" s="5"/>
      <c r="M943" s="5"/>
      <c r="N943" s="5"/>
      <c r="O943" s="5"/>
      <c r="P943" s="57"/>
      <c r="Q943" s="5"/>
      <c r="R943" s="5"/>
      <c r="S943" s="5"/>
      <c r="T943" s="5"/>
      <c r="U943" s="5"/>
      <c r="V943" s="5"/>
      <c r="W943" s="5"/>
      <c r="X943" s="5"/>
      <c r="Y943" s="5"/>
      <c r="Z943" s="5"/>
      <c r="AA943" s="5"/>
    </row>
    <row r="944" spans="1:27" ht="12.75" customHeight="1">
      <c r="A944" s="5"/>
      <c r="B944" s="5"/>
      <c r="C944" s="5"/>
      <c r="D944" s="5"/>
      <c r="E944" s="5"/>
      <c r="F944" s="5"/>
      <c r="G944" s="5"/>
      <c r="H944" s="306"/>
      <c r="I944" s="306"/>
      <c r="J944" s="5"/>
      <c r="K944" s="5"/>
      <c r="L944" s="5"/>
      <c r="M944" s="5"/>
      <c r="N944" s="5"/>
      <c r="O944" s="5"/>
      <c r="P944" s="57"/>
      <c r="Q944" s="5"/>
      <c r="R944" s="5"/>
      <c r="S944" s="5"/>
      <c r="T944" s="5"/>
      <c r="U944" s="5"/>
      <c r="V944" s="5"/>
      <c r="W944" s="5"/>
      <c r="X944" s="5"/>
      <c r="Y944" s="5"/>
      <c r="Z944" s="5"/>
      <c r="AA944" s="5"/>
    </row>
    <row r="945" spans="1:27" ht="12.75" customHeight="1">
      <c r="A945" s="5"/>
      <c r="B945" s="5"/>
      <c r="C945" s="5"/>
      <c r="D945" s="5"/>
      <c r="E945" s="5"/>
      <c r="F945" s="5"/>
      <c r="G945" s="5"/>
      <c r="H945" s="306"/>
      <c r="I945" s="306"/>
      <c r="J945" s="5"/>
      <c r="K945" s="5"/>
      <c r="L945" s="5"/>
      <c r="M945" s="5"/>
      <c r="N945" s="5"/>
      <c r="O945" s="5"/>
      <c r="P945" s="57"/>
      <c r="Q945" s="5"/>
      <c r="R945" s="5"/>
      <c r="S945" s="5"/>
      <c r="T945" s="5"/>
      <c r="U945" s="5"/>
      <c r="V945" s="5"/>
      <c r="W945" s="5"/>
      <c r="X945" s="5"/>
      <c r="Y945" s="5"/>
      <c r="Z945" s="5"/>
      <c r="AA945" s="5"/>
    </row>
    <row r="946" spans="1:27" ht="12.75" customHeight="1">
      <c r="A946" s="5"/>
      <c r="B946" s="5"/>
      <c r="C946" s="5"/>
      <c r="D946" s="5"/>
      <c r="E946" s="5"/>
      <c r="F946" s="5"/>
      <c r="G946" s="5"/>
      <c r="H946" s="306"/>
      <c r="I946" s="306"/>
      <c r="J946" s="5"/>
      <c r="K946" s="5"/>
      <c r="L946" s="5"/>
      <c r="M946" s="5"/>
      <c r="N946" s="5"/>
      <c r="O946" s="5"/>
      <c r="P946" s="57"/>
      <c r="Q946" s="5"/>
      <c r="R946" s="5"/>
      <c r="S946" s="5"/>
      <c r="T946" s="5"/>
      <c r="U946" s="5"/>
      <c r="V946" s="5"/>
      <c r="W946" s="5"/>
      <c r="X946" s="5"/>
      <c r="Y946" s="5"/>
      <c r="Z946" s="5"/>
      <c r="AA946" s="5"/>
    </row>
    <row r="947" spans="1:27" ht="12.75" customHeight="1">
      <c r="A947" s="5"/>
      <c r="B947" s="5"/>
      <c r="C947" s="5"/>
      <c r="D947" s="5"/>
      <c r="E947" s="5"/>
      <c r="F947" s="5"/>
      <c r="G947" s="5"/>
      <c r="H947" s="306"/>
      <c r="I947" s="306"/>
      <c r="J947" s="5"/>
      <c r="K947" s="5"/>
      <c r="L947" s="5"/>
      <c r="M947" s="5"/>
      <c r="N947" s="5"/>
      <c r="O947" s="5"/>
      <c r="P947" s="57"/>
      <c r="Q947" s="5"/>
      <c r="R947" s="5"/>
      <c r="S947" s="5"/>
      <c r="T947" s="5"/>
      <c r="U947" s="5"/>
      <c r="V947" s="5"/>
      <c r="W947" s="5"/>
      <c r="X947" s="5"/>
      <c r="Y947" s="5"/>
      <c r="Z947" s="5"/>
      <c r="AA947" s="5"/>
    </row>
    <row r="948" spans="1:27" ht="12.75" customHeight="1">
      <c r="A948" s="5"/>
      <c r="B948" s="5"/>
      <c r="C948" s="5"/>
      <c r="D948" s="5"/>
      <c r="E948" s="5"/>
      <c r="F948" s="5"/>
      <c r="G948" s="5"/>
      <c r="H948" s="306"/>
      <c r="I948" s="306"/>
      <c r="J948" s="5"/>
      <c r="K948" s="5"/>
      <c r="L948" s="5"/>
      <c r="M948" s="5"/>
      <c r="N948" s="5"/>
      <c r="O948" s="5"/>
      <c r="P948" s="57"/>
      <c r="Q948" s="5"/>
      <c r="R948" s="5"/>
      <c r="S948" s="5"/>
      <c r="T948" s="5"/>
      <c r="U948" s="5"/>
      <c r="V948" s="5"/>
      <c r="W948" s="5"/>
      <c r="X948" s="5"/>
      <c r="Y948" s="5"/>
      <c r="Z948" s="5"/>
      <c r="AA948" s="5"/>
    </row>
    <row r="949" spans="1:27" ht="12.75" customHeight="1">
      <c r="A949" s="5"/>
      <c r="B949" s="5"/>
      <c r="C949" s="5"/>
      <c r="D949" s="5"/>
      <c r="E949" s="5"/>
      <c r="F949" s="5"/>
      <c r="G949" s="5"/>
      <c r="H949" s="306"/>
      <c r="I949" s="306"/>
      <c r="J949" s="5"/>
      <c r="K949" s="5"/>
      <c r="L949" s="5"/>
      <c r="M949" s="5"/>
      <c r="N949" s="5"/>
      <c r="O949" s="5"/>
      <c r="P949" s="57"/>
      <c r="Q949" s="5"/>
      <c r="R949" s="5"/>
      <c r="S949" s="5"/>
      <c r="T949" s="5"/>
      <c r="U949" s="5"/>
      <c r="V949" s="5"/>
      <c r="W949" s="5"/>
      <c r="X949" s="5"/>
      <c r="Y949" s="5"/>
      <c r="Z949" s="5"/>
      <c r="AA949" s="5"/>
    </row>
    <row r="950" spans="1:27" ht="12.75" customHeight="1">
      <c r="A950" s="5"/>
      <c r="B950" s="5"/>
      <c r="C950" s="5"/>
      <c r="D950" s="5"/>
      <c r="E950" s="5"/>
      <c r="F950" s="5"/>
      <c r="G950" s="5"/>
      <c r="H950" s="306"/>
      <c r="I950" s="306"/>
      <c r="J950" s="5"/>
      <c r="K950" s="5"/>
      <c r="L950" s="5"/>
      <c r="M950" s="5"/>
      <c r="N950" s="5"/>
      <c r="O950" s="5"/>
      <c r="P950" s="57"/>
      <c r="Q950" s="5"/>
      <c r="R950" s="5"/>
      <c r="S950" s="5"/>
      <c r="T950" s="5"/>
      <c r="U950" s="5"/>
      <c r="V950" s="5"/>
      <c r="W950" s="5"/>
      <c r="X950" s="5"/>
      <c r="Y950" s="5"/>
      <c r="Z950" s="5"/>
      <c r="AA950" s="5"/>
    </row>
    <row r="951" spans="1:27" ht="12.75" customHeight="1">
      <c r="A951" s="5"/>
      <c r="B951" s="5"/>
      <c r="C951" s="5"/>
      <c r="D951" s="5"/>
      <c r="E951" s="5"/>
      <c r="F951" s="5"/>
      <c r="G951" s="5"/>
      <c r="H951" s="306"/>
      <c r="I951" s="306"/>
      <c r="J951" s="5"/>
      <c r="K951" s="5"/>
      <c r="L951" s="5"/>
      <c r="M951" s="5"/>
      <c r="N951" s="5"/>
      <c r="O951" s="5"/>
      <c r="P951" s="57"/>
      <c r="Q951" s="5"/>
      <c r="R951" s="5"/>
      <c r="S951" s="5"/>
      <c r="T951" s="5"/>
      <c r="U951" s="5"/>
      <c r="V951" s="5"/>
      <c r="W951" s="5"/>
      <c r="X951" s="5"/>
      <c r="Y951" s="5"/>
      <c r="Z951" s="5"/>
      <c r="AA951" s="5"/>
    </row>
    <row r="952" spans="1:27" ht="12.75" customHeight="1">
      <c r="A952" s="5"/>
      <c r="B952" s="5"/>
      <c r="C952" s="5"/>
      <c r="D952" s="5"/>
      <c r="E952" s="5"/>
      <c r="F952" s="5"/>
      <c r="G952" s="5"/>
      <c r="H952" s="306"/>
      <c r="I952" s="306"/>
      <c r="J952" s="5"/>
      <c r="K952" s="5"/>
      <c r="L952" s="5"/>
      <c r="M952" s="5"/>
      <c r="N952" s="5"/>
      <c r="O952" s="5"/>
      <c r="P952" s="57"/>
      <c r="Q952" s="5"/>
      <c r="R952" s="5"/>
      <c r="S952" s="5"/>
      <c r="T952" s="5"/>
      <c r="U952" s="5"/>
      <c r="V952" s="5"/>
      <c r="W952" s="5"/>
      <c r="X952" s="5"/>
      <c r="Y952" s="5"/>
      <c r="Z952" s="5"/>
      <c r="AA952" s="5"/>
    </row>
    <row r="953" spans="1:27" ht="12.75" customHeight="1">
      <c r="A953" s="5"/>
      <c r="B953" s="5"/>
      <c r="C953" s="5"/>
      <c r="D953" s="5"/>
      <c r="E953" s="5"/>
      <c r="F953" s="5"/>
      <c r="G953" s="5"/>
      <c r="H953" s="306"/>
      <c r="I953" s="306"/>
      <c r="J953" s="5"/>
      <c r="K953" s="5"/>
      <c r="L953" s="5"/>
      <c r="M953" s="5"/>
      <c r="N953" s="5"/>
      <c r="O953" s="5"/>
      <c r="P953" s="57"/>
      <c r="Q953" s="5"/>
      <c r="R953" s="5"/>
      <c r="S953" s="5"/>
      <c r="T953" s="5"/>
      <c r="U953" s="5"/>
      <c r="V953" s="5"/>
      <c r="W953" s="5"/>
      <c r="X953" s="5"/>
      <c r="Y953" s="5"/>
      <c r="Z953" s="5"/>
      <c r="AA953" s="5"/>
    </row>
    <row r="954" spans="1:27" ht="12.75" customHeight="1">
      <c r="A954" s="5"/>
      <c r="B954" s="5"/>
      <c r="C954" s="5"/>
      <c r="D954" s="5"/>
      <c r="E954" s="5"/>
      <c r="F954" s="5"/>
      <c r="G954" s="5"/>
      <c r="H954" s="306"/>
      <c r="I954" s="306"/>
      <c r="J954" s="5"/>
      <c r="K954" s="5"/>
      <c r="L954" s="5"/>
      <c r="M954" s="5"/>
      <c r="N954" s="5"/>
      <c r="O954" s="5"/>
      <c r="P954" s="57"/>
      <c r="Q954" s="5"/>
      <c r="R954" s="5"/>
      <c r="S954" s="5"/>
      <c r="T954" s="5"/>
      <c r="U954" s="5"/>
      <c r="V954" s="5"/>
      <c r="W954" s="5"/>
      <c r="X954" s="5"/>
      <c r="Y954" s="5"/>
      <c r="Z954" s="5"/>
      <c r="AA954" s="5"/>
    </row>
    <row r="955" spans="1:27" ht="12.75" customHeight="1">
      <c r="A955" s="5"/>
      <c r="B955" s="5"/>
      <c r="C955" s="5"/>
      <c r="D955" s="5"/>
      <c r="E955" s="5"/>
      <c r="F955" s="5"/>
      <c r="G955" s="5"/>
      <c r="H955" s="306"/>
      <c r="I955" s="306"/>
      <c r="J955" s="5"/>
      <c r="K955" s="5"/>
      <c r="L955" s="5"/>
      <c r="M955" s="5"/>
      <c r="N955" s="5"/>
      <c r="O955" s="5"/>
      <c r="P955" s="57"/>
      <c r="Q955" s="5"/>
      <c r="R955" s="5"/>
      <c r="S955" s="5"/>
      <c r="T955" s="5"/>
      <c r="U955" s="5"/>
      <c r="V955" s="5"/>
      <c r="W955" s="5"/>
      <c r="X955" s="5"/>
      <c r="Y955" s="5"/>
      <c r="Z955" s="5"/>
      <c r="AA955" s="5"/>
    </row>
    <row r="956" spans="1:27" ht="12.75" customHeight="1">
      <c r="A956" s="5"/>
      <c r="B956" s="5"/>
      <c r="C956" s="5"/>
      <c r="D956" s="5"/>
      <c r="E956" s="5"/>
      <c r="F956" s="5"/>
      <c r="G956" s="5"/>
      <c r="H956" s="306"/>
      <c r="I956" s="306"/>
      <c r="J956" s="5"/>
      <c r="K956" s="5"/>
      <c r="L956" s="5"/>
      <c r="M956" s="5"/>
      <c r="N956" s="5"/>
      <c r="O956" s="5"/>
      <c r="P956" s="57"/>
      <c r="Q956" s="5"/>
      <c r="R956" s="5"/>
      <c r="S956" s="5"/>
      <c r="T956" s="5"/>
      <c r="U956" s="5"/>
      <c r="V956" s="5"/>
      <c r="W956" s="5"/>
      <c r="X956" s="5"/>
      <c r="Y956" s="5"/>
      <c r="Z956" s="5"/>
      <c r="AA956" s="5"/>
    </row>
    <row r="957" spans="1:27" ht="12.75" customHeight="1">
      <c r="A957" s="5"/>
      <c r="B957" s="5"/>
      <c r="C957" s="5"/>
      <c r="D957" s="5"/>
      <c r="E957" s="5"/>
      <c r="F957" s="5"/>
      <c r="G957" s="5"/>
      <c r="H957" s="306"/>
      <c r="I957" s="306"/>
      <c r="J957" s="5"/>
      <c r="K957" s="5"/>
      <c r="L957" s="5"/>
      <c r="M957" s="5"/>
      <c r="N957" s="5"/>
      <c r="O957" s="5"/>
      <c r="P957" s="57"/>
      <c r="Q957" s="5"/>
      <c r="R957" s="5"/>
      <c r="S957" s="5"/>
      <c r="T957" s="5"/>
      <c r="U957" s="5"/>
      <c r="V957" s="5"/>
      <c r="W957" s="5"/>
      <c r="X957" s="5"/>
      <c r="Y957" s="5"/>
      <c r="Z957" s="5"/>
      <c r="AA957" s="5"/>
    </row>
    <row r="958" spans="1:27" ht="12.75" customHeight="1">
      <c r="A958" s="5"/>
      <c r="B958" s="5"/>
      <c r="C958" s="5"/>
      <c r="D958" s="5"/>
      <c r="E958" s="5"/>
      <c r="F958" s="5"/>
      <c r="G958" s="5"/>
      <c r="H958" s="306"/>
      <c r="I958" s="306"/>
      <c r="J958" s="5"/>
      <c r="K958" s="5"/>
      <c r="L958" s="5"/>
      <c r="M958" s="5"/>
      <c r="N958" s="5"/>
      <c r="O958" s="5"/>
      <c r="P958" s="57"/>
      <c r="Q958" s="5"/>
      <c r="R958" s="5"/>
      <c r="S958" s="5"/>
      <c r="T958" s="5"/>
      <c r="U958" s="5"/>
      <c r="V958" s="5"/>
      <c r="W958" s="5"/>
      <c r="X958" s="5"/>
      <c r="Y958" s="5"/>
      <c r="Z958" s="5"/>
      <c r="AA958" s="5"/>
    </row>
    <row r="959" spans="1:27" ht="12.75" customHeight="1">
      <c r="A959" s="5"/>
      <c r="B959" s="5"/>
      <c r="C959" s="5"/>
      <c r="D959" s="5"/>
      <c r="E959" s="5"/>
      <c r="F959" s="5"/>
      <c r="G959" s="5"/>
      <c r="H959" s="306"/>
      <c r="I959" s="306"/>
      <c r="J959" s="5"/>
      <c r="K959" s="5"/>
      <c r="L959" s="5"/>
      <c r="M959" s="5"/>
      <c r="N959" s="5"/>
      <c r="O959" s="5"/>
      <c r="P959" s="57"/>
      <c r="Q959" s="5"/>
      <c r="R959" s="5"/>
      <c r="S959" s="5"/>
      <c r="T959" s="5"/>
      <c r="U959" s="5"/>
      <c r="V959" s="5"/>
      <c r="W959" s="5"/>
      <c r="X959" s="5"/>
      <c r="Y959" s="5"/>
      <c r="Z959" s="5"/>
      <c r="AA959" s="5"/>
    </row>
    <row r="960" spans="1:27" ht="12.75" customHeight="1">
      <c r="A960" s="5"/>
      <c r="B960" s="5"/>
      <c r="C960" s="5"/>
      <c r="D960" s="5"/>
      <c r="E960" s="5"/>
      <c r="F960" s="5"/>
      <c r="G960" s="5"/>
      <c r="H960" s="306"/>
      <c r="I960" s="306"/>
      <c r="J960" s="5"/>
      <c r="K960" s="5"/>
      <c r="L960" s="5"/>
      <c r="M960" s="5"/>
      <c r="N960" s="5"/>
      <c r="O960" s="5"/>
      <c r="P960" s="57"/>
      <c r="Q960" s="5"/>
      <c r="R960" s="5"/>
      <c r="S960" s="5"/>
      <c r="T960" s="5"/>
      <c r="U960" s="5"/>
      <c r="V960" s="5"/>
      <c r="W960" s="5"/>
      <c r="X960" s="5"/>
      <c r="Y960" s="5"/>
      <c r="Z960" s="5"/>
      <c r="AA960" s="5"/>
    </row>
    <row r="961" spans="1:27" ht="12.75" customHeight="1">
      <c r="A961" s="5"/>
      <c r="B961" s="5"/>
      <c r="C961" s="5"/>
      <c r="D961" s="5"/>
      <c r="E961" s="5"/>
      <c r="F961" s="5"/>
      <c r="G961" s="5"/>
      <c r="H961" s="306"/>
      <c r="I961" s="306"/>
      <c r="J961" s="5"/>
      <c r="K961" s="5"/>
      <c r="L961" s="5"/>
      <c r="M961" s="5"/>
      <c r="N961" s="5"/>
      <c r="O961" s="5"/>
      <c r="P961" s="57"/>
      <c r="Q961" s="5"/>
      <c r="R961" s="5"/>
      <c r="S961" s="5"/>
      <c r="T961" s="5"/>
      <c r="U961" s="5"/>
      <c r="V961" s="5"/>
      <c r="W961" s="5"/>
      <c r="X961" s="5"/>
      <c r="Y961" s="5"/>
      <c r="Z961" s="5"/>
      <c r="AA961" s="5"/>
    </row>
    <row r="962" spans="1:27" ht="12.75" customHeight="1">
      <c r="A962" s="5"/>
      <c r="B962" s="5"/>
      <c r="C962" s="5"/>
      <c r="D962" s="5"/>
      <c r="E962" s="5"/>
      <c r="F962" s="5"/>
      <c r="G962" s="5"/>
      <c r="H962" s="306"/>
      <c r="I962" s="306"/>
      <c r="J962" s="5"/>
      <c r="K962" s="5"/>
      <c r="L962" s="5"/>
      <c r="M962" s="5"/>
      <c r="N962" s="5"/>
      <c r="O962" s="5"/>
      <c r="P962" s="57"/>
      <c r="Q962" s="5"/>
      <c r="R962" s="5"/>
      <c r="S962" s="5"/>
      <c r="T962" s="5"/>
      <c r="U962" s="5"/>
      <c r="V962" s="5"/>
      <c r="W962" s="5"/>
      <c r="X962" s="5"/>
      <c r="Y962" s="5"/>
      <c r="Z962" s="5"/>
      <c r="AA962" s="5"/>
    </row>
    <row r="963" spans="1:27" ht="12.75" customHeight="1">
      <c r="A963" s="5"/>
      <c r="B963" s="5"/>
      <c r="C963" s="5"/>
      <c r="D963" s="5"/>
      <c r="E963" s="5"/>
      <c r="F963" s="5"/>
      <c r="G963" s="5"/>
      <c r="H963" s="306"/>
      <c r="I963" s="306"/>
      <c r="J963" s="5"/>
      <c r="K963" s="5"/>
      <c r="L963" s="5"/>
      <c r="M963" s="5"/>
      <c r="N963" s="5"/>
      <c r="O963" s="5"/>
      <c r="P963" s="57"/>
      <c r="Q963" s="5"/>
      <c r="R963" s="5"/>
      <c r="S963" s="5"/>
      <c r="T963" s="5"/>
      <c r="U963" s="5"/>
      <c r="V963" s="5"/>
      <c r="W963" s="5"/>
      <c r="X963" s="5"/>
      <c r="Y963" s="5"/>
      <c r="Z963" s="5"/>
      <c r="AA963" s="5"/>
    </row>
    <row r="964" spans="1:27" ht="12.75" customHeight="1">
      <c r="A964" s="5"/>
      <c r="B964" s="5"/>
      <c r="C964" s="5"/>
      <c r="D964" s="5"/>
      <c r="E964" s="5"/>
      <c r="F964" s="5"/>
      <c r="G964" s="5"/>
      <c r="H964" s="306"/>
      <c r="I964" s="306"/>
      <c r="J964" s="5"/>
      <c r="K964" s="5"/>
      <c r="L964" s="5"/>
      <c r="M964" s="5"/>
      <c r="N964" s="5"/>
      <c r="O964" s="5"/>
      <c r="P964" s="57"/>
      <c r="Q964" s="5"/>
      <c r="R964" s="5"/>
      <c r="S964" s="5"/>
      <c r="T964" s="5"/>
      <c r="U964" s="5"/>
      <c r="V964" s="5"/>
      <c r="W964" s="5"/>
      <c r="X964" s="5"/>
      <c r="Y964" s="5"/>
      <c r="Z964" s="5"/>
      <c r="AA964" s="5"/>
    </row>
    <row r="965" spans="1:27" ht="12.75" customHeight="1">
      <c r="A965" s="5"/>
      <c r="B965" s="5"/>
      <c r="C965" s="5"/>
      <c r="D965" s="5"/>
      <c r="E965" s="5"/>
      <c r="F965" s="5"/>
      <c r="G965" s="5"/>
      <c r="H965" s="306"/>
      <c r="I965" s="306"/>
      <c r="J965" s="5"/>
      <c r="K965" s="5"/>
      <c r="L965" s="5"/>
      <c r="M965" s="5"/>
      <c r="N965" s="5"/>
      <c r="O965" s="5"/>
      <c r="P965" s="57"/>
      <c r="Q965" s="5"/>
      <c r="R965" s="5"/>
      <c r="S965" s="5"/>
      <c r="T965" s="5"/>
      <c r="U965" s="5"/>
      <c r="V965" s="5"/>
      <c r="W965" s="5"/>
      <c r="X965" s="5"/>
      <c r="Y965" s="5"/>
      <c r="Z965" s="5"/>
      <c r="AA965" s="5"/>
    </row>
    <row r="966" spans="1:27" ht="12.75" customHeight="1">
      <c r="A966" s="5"/>
      <c r="B966" s="5"/>
      <c r="C966" s="5"/>
      <c r="D966" s="5"/>
      <c r="E966" s="5"/>
      <c r="F966" s="5"/>
      <c r="G966" s="5"/>
      <c r="H966" s="306"/>
      <c r="I966" s="306"/>
      <c r="J966" s="5"/>
      <c r="K966" s="5"/>
      <c r="L966" s="5"/>
      <c r="M966" s="5"/>
      <c r="N966" s="5"/>
      <c r="O966" s="5"/>
      <c r="P966" s="57"/>
      <c r="Q966" s="5"/>
      <c r="R966" s="5"/>
      <c r="S966" s="5"/>
      <c r="T966" s="5"/>
      <c r="U966" s="5"/>
      <c r="V966" s="5"/>
      <c r="W966" s="5"/>
      <c r="X966" s="5"/>
      <c r="Y966" s="5"/>
      <c r="Z966" s="5"/>
      <c r="AA966" s="5"/>
    </row>
    <row r="967" spans="1:27" ht="12.75" customHeight="1">
      <c r="A967" s="5"/>
      <c r="B967" s="5"/>
      <c r="C967" s="5"/>
      <c r="D967" s="5"/>
      <c r="E967" s="5"/>
      <c r="F967" s="5"/>
      <c r="G967" s="5"/>
      <c r="H967" s="306"/>
      <c r="I967" s="306"/>
      <c r="J967" s="5"/>
      <c r="K967" s="5"/>
      <c r="L967" s="5"/>
      <c r="M967" s="5"/>
      <c r="N967" s="5"/>
      <c r="O967" s="5"/>
      <c r="P967" s="57"/>
      <c r="Q967" s="5"/>
      <c r="R967" s="5"/>
      <c r="S967" s="5"/>
      <c r="T967" s="5"/>
      <c r="U967" s="5"/>
      <c r="V967" s="5"/>
      <c r="W967" s="5"/>
      <c r="X967" s="5"/>
      <c r="Y967" s="5"/>
      <c r="Z967" s="5"/>
      <c r="AA967" s="5"/>
    </row>
    <row r="968" spans="1:27" ht="12.75" customHeight="1">
      <c r="A968" s="5"/>
      <c r="B968" s="5"/>
      <c r="C968" s="5"/>
      <c r="D968" s="5"/>
      <c r="E968" s="5"/>
      <c r="F968" s="5"/>
      <c r="G968" s="5"/>
      <c r="H968" s="306"/>
      <c r="I968" s="306"/>
      <c r="J968" s="5"/>
      <c r="K968" s="5"/>
      <c r="L968" s="5"/>
      <c r="M968" s="5"/>
      <c r="N968" s="5"/>
      <c r="O968" s="5"/>
      <c r="P968" s="57"/>
      <c r="Q968" s="5"/>
      <c r="R968" s="5"/>
      <c r="S968" s="5"/>
      <c r="T968" s="5"/>
      <c r="U968" s="5"/>
      <c r="V968" s="5"/>
      <c r="W968" s="5"/>
      <c r="X968" s="5"/>
      <c r="Y968" s="5"/>
      <c r="Z968" s="5"/>
      <c r="AA968" s="5"/>
    </row>
    <row r="969" spans="1:27" ht="12.75" customHeight="1">
      <c r="A969" s="5"/>
      <c r="B969" s="5"/>
      <c r="C969" s="5"/>
      <c r="D969" s="5"/>
      <c r="E969" s="5"/>
      <c r="F969" s="5"/>
      <c r="G969" s="5"/>
      <c r="H969" s="306"/>
      <c r="I969" s="306"/>
      <c r="J969" s="5"/>
      <c r="K969" s="5"/>
      <c r="L969" s="5"/>
      <c r="M969" s="5"/>
      <c r="N969" s="5"/>
      <c r="O969" s="5"/>
      <c r="P969" s="57"/>
      <c r="Q969" s="5"/>
      <c r="R969" s="5"/>
      <c r="S969" s="5"/>
      <c r="T969" s="5"/>
      <c r="U969" s="5"/>
      <c r="V969" s="5"/>
      <c r="W969" s="5"/>
      <c r="X969" s="5"/>
      <c r="Y969" s="5"/>
      <c r="Z969" s="5"/>
      <c r="AA969" s="5"/>
    </row>
    <row r="970" spans="1:27" ht="12.75" customHeight="1">
      <c r="A970" s="5"/>
      <c r="B970" s="5"/>
      <c r="C970" s="5"/>
      <c r="D970" s="5"/>
      <c r="E970" s="5"/>
      <c r="F970" s="5"/>
      <c r="G970" s="5"/>
      <c r="H970" s="306"/>
      <c r="I970" s="306"/>
      <c r="J970" s="5"/>
      <c r="K970" s="5"/>
      <c r="L970" s="5"/>
      <c r="M970" s="5"/>
      <c r="N970" s="5"/>
      <c r="O970" s="5"/>
      <c r="P970" s="57"/>
      <c r="Q970" s="5"/>
      <c r="R970" s="5"/>
      <c r="S970" s="5"/>
      <c r="T970" s="5"/>
      <c r="U970" s="5"/>
      <c r="V970" s="5"/>
      <c r="W970" s="5"/>
      <c r="X970" s="5"/>
      <c r="Y970" s="5"/>
      <c r="Z970" s="5"/>
      <c r="AA970" s="5"/>
    </row>
    <row r="971" spans="1:27" ht="12.75" customHeight="1">
      <c r="A971" s="5"/>
      <c r="B971" s="5"/>
      <c r="C971" s="5"/>
      <c r="D971" s="5"/>
      <c r="E971" s="5"/>
      <c r="F971" s="5"/>
      <c r="G971" s="5"/>
      <c r="H971" s="306"/>
      <c r="I971" s="306"/>
      <c r="J971" s="5"/>
      <c r="K971" s="5"/>
      <c r="L971" s="5"/>
      <c r="M971" s="5"/>
      <c r="N971" s="5"/>
      <c r="O971" s="5"/>
      <c r="P971" s="57"/>
      <c r="Q971" s="5"/>
      <c r="R971" s="5"/>
      <c r="S971" s="5"/>
      <c r="T971" s="5"/>
      <c r="U971" s="5"/>
      <c r="V971" s="5"/>
      <c r="W971" s="5"/>
      <c r="X971" s="5"/>
      <c r="Y971" s="5"/>
      <c r="Z971" s="5"/>
      <c r="AA971" s="5"/>
    </row>
    <row r="972" spans="1:27" ht="12.75" customHeight="1">
      <c r="A972" s="5"/>
      <c r="B972" s="5"/>
      <c r="C972" s="5"/>
      <c r="D972" s="5"/>
      <c r="E972" s="5"/>
      <c r="F972" s="5"/>
      <c r="G972" s="5"/>
      <c r="H972" s="306"/>
      <c r="I972" s="306"/>
      <c r="J972" s="5"/>
      <c r="K972" s="5"/>
      <c r="L972" s="5"/>
      <c r="M972" s="5"/>
      <c r="N972" s="5"/>
      <c r="O972" s="5"/>
      <c r="P972" s="57"/>
      <c r="Q972" s="5"/>
      <c r="R972" s="5"/>
      <c r="S972" s="5"/>
      <c r="T972" s="5"/>
      <c r="U972" s="5"/>
      <c r="V972" s="5"/>
      <c r="W972" s="5"/>
      <c r="X972" s="5"/>
      <c r="Y972" s="5"/>
      <c r="Z972" s="5"/>
      <c r="AA972" s="5"/>
    </row>
    <row r="973" spans="1:27" ht="12.75" customHeight="1">
      <c r="A973" s="5"/>
      <c r="B973" s="5"/>
      <c r="C973" s="5"/>
      <c r="D973" s="5"/>
      <c r="E973" s="5"/>
      <c r="F973" s="5"/>
      <c r="G973" s="5"/>
      <c r="H973" s="306"/>
      <c r="I973" s="306"/>
      <c r="J973" s="5"/>
      <c r="K973" s="5"/>
      <c r="L973" s="5"/>
      <c r="M973" s="5"/>
      <c r="N973" s="5"/>
      <c r="O973" s="5"/>
      <c r="P973" s="57"/>
      <c r="Q973" s="5"/>
      <c r="R973" s="5"/>
      <c r="S973" s="5"/>
      <c r="T973" s="5"/>
      <c r="U973" s="5"/>
      <c r="V973" s="5"/>
      <c r="W973" s="5"/>
      <c r="X973" s="5"/>
      <c r="Y973" s="5"/>
      <c r="Z973" s="5"/>
      <c r="AA973" s="5"/>
    </row>
    <row r="974" spans="1:27" ht="12.75" customHeight="1">
      <c r="A974" s="5"/>
      <c r="B974" s="5"/>
      <c r="C974" s="5"/>
      <c r="D974" s="5"/>
      <c r="E974" s="5"/>
      <c r="F974" s="5"/>
      <c r="G974" s="5"/>
      <c r="H974" s="306"/>
      <c r="I974" s="306"/>
      <c r="J974" s="5"/>
      <c r="K974" s="5"/>
      <c r="L974" s="5"/>
      <c r="M974" s="5"/>
      <c r="N974" s="5"/>
      <c r="O974" s="5"/>
      <c r="P974" s="57"/>
      <c r="Q974" s="5"/>
      <c r="R974" s="5"/>
      <c r="S974" s="5"/>
      <c r="T974" s="5"/>
      <c r="U974" s="5"/>
      <c r="V974" s="5"/>
      <c r="W974" s="5"/>
      <c r="X974" s="5"/>
      <c r="Y974" s="5"/>
      <c r="Z974" s="5"/>
      <c r="AA974" s="5"/>
    </row>
    <row r="975" spans="1:27" ht="12.75" customHeight="1">
      <c r="A975" s="5"/>
      <c r="B975" s="5"/>
      <c r="C975" s="5"/>
      <c r="D975" s="5"/>
      <c r="E975" s="5"/>
      <c r="F975" s="5"/>
      <c r="G975" s="5"/>
      <c r="H975" s="306"/>
      <c r="I975" s="306"/>
      <c r="J975" s="5"/>
      <c r="K975" s="5"/>
      <c r="L975" s="5"/>
      <c r="M975" s="5"/>
      <c r="N975" s="5"/>
      <c r="O975" s="5"/>
      <c r="P975" s="57"/>
      <c r="Q975" s="5"/>
      <c r="R975" s="5"/>
      <c r="S975" s="5"/>
      <c r="T975" s="5"/>
      <c r="U975" s="5"/>
      <c r="V975" s="5"/>
      <c r="W975" s="5"/>
      <c r="X975" s="5"/>
      <c r="Y975" s="5"/>
      <c r="Z975" s="5"/>
      <c r="AA975" s="5"/>
    </row>
    <row r="976" spans="1:27" ht="12.75" customHeight="1">
      <c r="A976" s="5"/>
      <c r="B976" s="5"/>
      <c r="C976" s="5"/>
      <c r="D976" s="5"/>
      <c r="E976" s="5"/>
      <c r="F976" s="5"/>
      <c r="G976" s="5"/>
      <c r="H976" s="306"/>
      <c r="I976" s="306"/>
      <c r="J976" s="5"/>
      <c r="K976" s="5"/>
      <c r="L976" s="5"/>
      <c r="M976" s="5"/>
      <c r="N976" s="5"/>
      <c r="O976" s="5"/>
      <c r="P976" s="57"/>
      <c r="Q976" s="5"/>
      <c r="R976" s="5"/>
      <c r="S976" s="5"/>
      <c r="T976" s="5"/>
      <c r="U976" s="5"/>
      <c r="V976" s="5"/>
      <c r="W976" s="5"/>
      <c r="X976" s="5"/>
      <c r="Y976" s="5"/>
      <c r="Z976" s="5"/>
      <c r="AA976" s="5"/>
    </row>
    <row r="977" spans="1:27" ht="12.75" customHeight="1">
      <c r="A977" s="5"/>
      <c r="B977" s="5"/>
      <c r="C977" s="5"/>
      <c r="D977" s="5"/>
      <c r="E977" s="5"/>
      <c r="F977" s="5"/>
      <c r="G977" s="5"/>
      <c r="H977" s="306"/>
      <c r="I977" s="306"/>
      <c r="J977" s="5"/>
      <c r="K977" s="5"/>
      <c r="L977" s="5"/>
      <c r="M977" s="5"/>
      <c r="N977" s="5"/>
      <c r="O977" s="5"/>
      <c r="P977" s="57"/>
      <c r="Q977" s="5"/>
      <c r="R977" s="5"/>
      <c r="S977" s="5"/>
      <c r="T977" s="5"/>
      <c r="U977" s="5"/>
      <c r="V977" s="5"/>
      <c r="W977" s="5"/>
      <c r="X977" s="5"/>
      <c r="Y977" s="5"/>
      <c r="Z977" s="5"/>
      <c r="AA977" s="5"/>
    </row>
    <row r="978" spans="1:27" ht="12.75" customHeight="1">
      <c r="A978" s="5"/>
      <c r="B978" s="5"/>
      <c r="C978" s="5"/>
      <c r="D978" s="5"/>
      <c r="E978" s="5"/>
      <c r="F978" s="5"/>
      <c r="G978" s="5"/>
      <c r="H978" s="306"/>
      <c r="I978" s="306"/>
      <c r="J978" s="5"/>
      <c r="K978" s="5"/>
      <c r="L978" s="5"/>
      <c r="M978" s="5"/>
      <c r="N978" s="5"/>
      <c r="O978" s="5"/>
      <c r="P978" s="57"/>
      <c r="Q978" s="5"/>
      <c r="R978" s="5"/>
      <c r="S978" s="5"/>
      <c r="T978" s="5"/>
      <c r="U978" s="5"/>
      <c r="V978" s="5"/>
      <c r="W978" s="5"/>
      <c r="X978" s="5"/>
      <c r="Y978" s="5"/>
      <c r="Z978" s="5"/>
      <c r="AA978" s="5"/>
    </row>
    <row r="979" spans="1:27" ht="12.75" customHeight="1">
      <c r="A979" s="5"/>
      <c r="B979" s="5"/>
      <c r="C979" s="5"/>
      <c r="D979" s="5"/>
      <c r="E979" s="5"/>
      <c r="F979" s="5"/>
      <c r="G979" s="5"/>
      <c r="H979" s="306"/>
      <c r="I979" s="306"/>
      <c r="J979" s="5"/>
      <c r="K979" s="5"/>
      <c r="L979" s="5"/>
      <c r="M979" s="5"/>
      <c r="N979" s="5"/>
      <c r="O979" s="5"/>
      <c r="P979" s="57"/>
      <c r="Q979" s="5"/>
      <c r="R979" s="5"/>
      <c r="S979" s="5"/>
      <c r="T979" s="5"/>
      <c r="U979" s="5"/>
      <c r="V979" s="5"/>
      <c r="W979" s="5"/>
      <c r="X979" s="5"/>
      <c r="Y979" s="5"/>
      <c r="Z979" s="5"/>
      <c r="AA979" s="5"/>
    </row>
    <row r="980" spans="1:27" ht="12.75" customHeight="1">
      <c r="A980" s="5"/>
      <c r="B980" s="5"/>
      <c r="C980" s="5"/>
      <c r="D980" s="5"/>
      <c r="E980" s="5"/>
      <c r="F980" s="5"/>
      <c r="G980" s="5"/>
      <c r="H980" s="306"/>
      <c r="I980" s="306"/>
      <c r="J980" s="5"/>
      <c r="K980" s="5"/>
      <c r="L980" s="5"/>
      <c r="M980" s="5"/>
      <c r="N980" s="5"/>
      <c r="O980" s="5"/>
      <c r="P980" s="57"/>
      <c r="Q980" s="5"/>
      <c r="R980" s="5"/>
      <c r="S980" s="5"/>
      <c r="T980" s="5"/>
      <c r="U980" s="5"/>
      <c r="V980" s="5"/>
      <c r="W980" s="5"/>
      <c r="X980" s="5"/>
      <c r="Y980" s="5"/>
      <c r="Z980" s="5"/>
      <c r="AA980" s="5"/>
    </row>
    <row r="981" spans="1:27" ht="12.75" customHeight="1">
      <c r="A981" s="5"/>
      <c r="B981" s="5"/>
      <c r="C981" s="5"/>
      <c r="D981" s="5"/>
      <c r="E981" s="5"/>
      <c r="F981" s="5"/>
      <c r="G981" s="5"/>
      <c r="H981" s="306"/>
      <c r="I981" s="306"/>
      <c r="J981" s="5"/>
      <c r="K981" s="5"/>
      <c r="L981" s="5"/>
      <c r="M981" s="5"/>
      <c r="N981" s="5"/>
      <c r="O981" s="5"/>
      <c r="P981" s="57"/>
      <c r="Q981" s="5"/>
      <c r="R981" s="5"/>
      <c r="S981" s="5"/>
      <c r="T981" s="5"/>
      <c r="U981" s="5"/>
      <c r="V981" s="5"/>
      <c r="W981" s="5"/>
      <c r="X981" s="5"/>
      <c r="Y981" s="5"/>
      <c r="Z981" s="5"/>
      <c r="AA981" s="5"/>
    </row>
    <row r="982" spans="1:27" ht="12.75" customHeight="1">
      <c r="A982" s="5"/>
      <c r="B982" s="5"/>
      <c r="C982" s="5"/>
      <c r="D982" s="5"/>
      <c r="E982" s="5"/>
      <c r="F982" s="5"/>
      <c r="G982" s="5"/>
      <c r="H982" s="306"/>
      <c r="I982" s="306"/>
      <c r="J982" s="5"/>
      <c r="K982" s="5"/>
      <c r="L982" s="5"/>
      <c r="M982" s="5"/>
      <c r="N982" s="5"/>
      <c r="O982" s="5"/>
      <c r="P982" s="57"/>
      <c r="Q982" s="5"/>
      <c r="R982" s="5"/>
      <c r="S982" s="5"/>
      <c r="T982" s="5"/>
      <c r="U982" s="5"/>
      <c r="V982" s="5"/>
      <c r="W982" s="5"/>
      <c r="X982" s="5"/>
      <c r="Y982" s="5"/>
      <c r="Z982" s="5"/>
      <c r="AA982" s="5"/>
    </row>
    <row r="983" spans="1:27" ht="12.75" customHeight="1">
      <c r="A983" s="5"/>
      <c r="B983" s="5"/>
      <c r="C983" s="5"/>
      <c r="D983" s="5"/>
      <c r="E983" s="5"/>
      <c r="F983" s="5"/>
      <c r="G983" s="5"/>
      <c r="H983" s="306"/>
      <c r="I983" s="306"/>
      <c r="J983" s="5"/>
      <c r="K983" s="5"/>
      <c r="L983" s="5"/>
      <c r="M983" s="5"/>
      <c r="N983" s="5"/>
      <c r="O983" s="5"/>
      <c r="P983" s="57"/>
      <c r="Q983" s="5"/>
      <c r="R983" s="5"/>
      <c r="S983" s="5"/>
      <c r="T983" s="5"/>
      <c r="U983" s="5"/>
      <c r="V983" s="5"/>
      <c r="W983" s="5"/>
      <c r="X983" s="5"/>
      <c r="Y983" s="5"/>
      <c r="Z983" s="5"/>
      <c r="AA983" s="5"/>
    </row>
    <row r="984" spans="1:27" ht="12.75" customHeight="1">
      <c r="A984" s="5"/>
      <c r="B984" s="5"/>
      <c r="C984" s="5"/>
      <c r="D984" s="5"/>
      <c r="E984" s="5"/>
      <c r="F984" s="5"/>
      <c r="G984" s="5"/>
      <c r="H984" s="306"/>
      <c r="I984" s="306"/>
      <c r="J984" s="5"/>
      <c r="K984" s="5"/>
      <c r="L984" s="5"/>
      <c r="M984" s="5"/>
      <c r="N984" s="5"/>
      <c r="O984" s="5"/>
      <c r="P984" s="57"/>
      <c r="Q984" s="5"/>
      <c r="R984" s="5"/>
      <c r="S984" s="5"/>
      <c r="T984" s="5"/>
      <c r="U984" s="5"/>
      <c r="V984" s="5"/>
      <c r="W984" s="5"/>
      <c r="X984" s="5"/>
      <c r="Y984" s="5"/>
      <c r="Z984" s="5"/>
      <c r="AA984" s="5"/>
    </row>
    <row r="985" spans="1:27" ht="12.75" customHeight="1">
      <c r="A985" s="5"/>
      <c r="B985" s="5"/>
      <c r="C985" s="5"/>
      <c r="D985" s="5"/>
      <c r="E985" s="5"/>
      <c r="F985" s="5"/>
      <c r="G985" s="5"/>
      <c r="H985" s="306"/>
      <c r="I985" s="306"/>
      <c r="J985" s="5"/>
      <c r="K985" s="5"/>
      <c r="L985" s="5"/>
      <c r="M985" s="5"/>
      <c r="N985" s="5"/>
      <c r="O985" s="5"/>
      <c r="P985" s="57"/>
      <c r="Q985" s="5"/>
      <c r="R985" s="5"/>
      <c r="S985" s="5"/>
      <c r="T985" s="5"/>
      <c r="U985" s="5"/>
      <c r="V985" s="5"/>
      <c r="W985" s="5"/>
      <c r="X985" s="5"/>
      <c r="Y985" s="5"/>
      <c r="Z985" s="5"/>
      <c r="AA985" s="5"/>
    </row>
    <row r="986" spans="1:27" ht="12.75" customHeight="1">
      <c r="A986" s="5"/>
      <c r="B986" s="5"/>
      <c r="C986" s="5"/>
      <c r="D986" s="5"/>
      <c r="E986" s="5"/>
      <c r="F986" s="5"/>
      <c r="G986" s="5"/>
      <c r="H986" s="306"/>
      <c r="I986" s="306"/>
      <c r="J986" s="5"/>
      <c r="K986" s="5"/>
      <c r="L986" s="5"/>
      <c r="M986" s="5"/>
      <c r="N986" s="5"/>
      <c r="O986" s="5"/>
      <c r="P986" s="57"/>
      <c r="Q986" s="5"/>
      <c r="R986" s="5"/>
      <c r="S986" s="5"/>
      <c r="T986" s="5"/>
      <c r="U986" s="5"/>
      <c r="V986" s="5"/>
      <c r="W986" s="5"/>
      <c r="X986" s="5"/>
      <c r="Y986" s="5"/>
      <c r="Z986" s="5"/>
      <c r="AA986" s="5"/>
    </row>
    <row r="987" spans="1:27" ht="12.75" customHeight="1">
      <c r="A987" s="5"/>
      <c r="B987" s="5"/>
      <c r="C987" s="5"/>
      <c r="D987" s="5"/>
      <c r="E987" s="5"/>
      <c r="F987" s="5"/>
      <c r="G987" s="5"/>
      <c r="H987" s="306"/>
      <c r="I987" s="306"/>
      <c r="J987" s="5"/>
      <c r="K987" s="5"/>
      <c r="L987" s="5"/>
      <c r="M987" s="5"/>
      <c r="N987" s="5"/>
      <c r="O987" s="5"/>
      <c r="P987" s="57"/>
      <c r="Q987" s="5"/>
      <c r="R987" s="5"/>
      <c r="S987" s="5"/>
      <c r="T987" s="5"/>
      <c r="U987" s="5"/>
      <c r="V987" s="5"/>
      <c r="W987" s="5"/>
      <c r="X987" s="5"/>
      <c r="Y987" s="5"/>
      <c r="Z987" s="5"/>
      <c r="AA987" s="5"/>
    </row>
    <row r="988" spans="1:27" ht="12.75" customHeight="1">
      <c r="A988" s="5"/>
      <c r="B988" s="5"/>
      <c r="C988" s="5"/>
      <c r="D988" s="5"/>
      <c r="E988" s="5"/>
      <c r="F988" s="5"/>
      <c r="G988" s="5"/>
      <c r="H988" s="306"/>
      <c r="I988" s="306"/>
      <c r="J988" s="5"/>
      <c r="K988" s="5"/>
      <c r="L988" s="5"/>
      <c r="M988" s="5"/>
      <c r="N988" s="5"/>
      <c r="O988" s="5"/>
      <c r="P988" s="57"/>
      <c r="Q988" s="5"/>
      <c r="R988" s="5"/>
      <c r="S988" s="5"/>
      <c r="T988" s="5"/>
      <c r="U988" s="5"/>
      <c r="V988" s="5"/>
      <c r="W988" s="5"/>
      <c r="X988" s="5"/>
      <c r="Y988" s="5"/>
      <c r="Z988" s="5"/>
      <c r="AA988" s="5"/>
    </row>
    <row r="989" spans="1:27" ht="12.75" customHeight="1">
      <c r="A989" s="5"/>
      <c r="B989" s="5"/>
      <c r="C989" s="5"/>
      <c r="D989" s="5"/>
      <c r="E989" s="5"/>
      <c r="F989" s="5"/>
      <c r="G989" s="5"/>
      <c r="H989" s="306"/>
      <c r="I989" s="306"/>
      <c r="J989" s="5"/>
      <c r="K989" s="5"/>
      <c r="L989" s="5"/>
      <c r="M989" s="5"/>
      <c r="N989" s="5"/>
      <c r="O989" s="5"/>
      <c r="P989" s="57"/>
      <c r="Q989" s="5"/>
      <c r="R989" s="5"/>
      <c r="S989" s="5"/>
      <c r="T989" s="5"/>
      <c r="U989" s="5"/>
      <c r="V989" s="5"/>
      <c r="W989" s="5"/>
      <c r="X989" s="5"/>
      <c r="Y989" s="5"/>
      <c r="Z989" s="5"/>
      <c r="AA989" s="5"/>
    </row>
    <row r="990" spans="1:27" ht="12.75" customHeight="1">
      <c r="A990" s="5"/>
      <c r="B990" s="5"/>
      <c r="C990" s="5"/>
      <c r="D990" s="5"/>
      <c r="E990" s="5"/>
      <c r="F990" s="5"/>
      <c r="G990" s="5"/>
      <c r="H990" s="306"/>
      <c r="I990" s="306"/>
      <c r="J990" s="5"/>
      <c r="K990" s="5"/>
      <c r="L990" s="5"/>
      <c r="M990" s="5"/>
      <c r="N990" s="5"/>
      <c r="O990" s="5"/>
      <c r="P990" s="57"/>
      <c r="Q990" s="5"/>
      <c r="R990" s="5"/>
      <c r="S990" s="5"/>
      <c r="T990" s="5"/>
      <c r="U990" s="5"/>
      <c r="V990" s="5"/>
      <c r="W990" s="5"/>
      <c r="X990" s="5"/>
      <c r="Y990" s="5"/>
      <c r="Z990" s="5"/>
      <c r="AA990" s="5"/>
    </row>
    <row r="991" spans="1:27" ht="12.75" customHeight="1">
      <c r="A991" s="5"/>
      <c r="B991" s="5"/>
      <c r="C991" s="5"/>
      <c r="D991" s="5"/>
      <c r="E991" s="5"/>
      <c r="F991" s="5"/>
      <c r="G991" s="5"/>
      <c r="H991" s="306"/>
      <c r="I991" s="306"/>
      <c r="J991" s="5"/>
      <c r="K991" s="5"/>
      <c r="L991" s="5"/>
      <c r="M991" s="5"/>
      <c r="N991" s="5"/>
      <c r="O991" s="5"/>
      <c r="P991" s="57"/>
      <c r="Q991" s="5"/>
      <c r="R991" s="5"/>
      <c r="S991" s="5"/>
      <c r="T991" s="5"/>
      <c r="U991" s="5"/>
      <c r="V991" s="5"/>
      <c r="W991" s="5"/>
      <c r="X991" s="5"/>
      <c r="Y991" s="5"/>
      <c r="Z991" s="5"/>
      <c r="AA991" s="5"/>
    </row>
    <row r="992" spans="1:27" ht="12.75" customHeight="1">
      <c r="A992" s="5"/>
      <c r="B992" s="5"/>
      <c r="C992" s="5"/>
      <c r="D992" s="5"/>
      <c r="E992" s="5"/>
      <c r="F992" s="5"/>
      <c r="G992" s="5"/>
      <c r="H992" s="306"/>
      <c r="I992" s="306"/>
      <c r="J992" s="5"/>
      <c r="K992" s="5"/>
      <c r="L992" s="5"/>
      <c r="M992" s="5"/>
      <c r="N992" s="5"/>
      <c r="O992" s="5"/>
      <c r="P992" s="57"/>
      <c r="Q992" s="5"/>
      <c r="R992" s="5"/>
      <c r="S992" s="5"/>
      <c r="T992" s="5"/>
      <c r="U992" s="5"/>
      <c r="V992" s="5"/>
      <c r="W992" s="5"/>
      <c r="X992" s="5"/>
      <c r="Y992" s="5"/>
      <c r="Z992" s="5"/>
      <c r="AA992" s="5"/>
    </row>
    <row r="993" spans="1:27" ht="12.75" customHeight="1">
      <c r="A993" s="5"/>
      <c r="B993" s="5"/>
      <c r="C993" s="5"/>
      <c r="D993" s="5"/>
      <c r="E993" s="5"/>
      <c r="F993" s="5"/>
      <c r="G993" s="5"/>
      <c r="H993" s="306"/>
      <c r="I993" s="306"/>
      <c r="J993" s="5"/>
      <c r="K993" s="5"/>
      <c r="L993" s="5"/>
      <c r="M993" s="5"/>
      <c r="N993" s="5"/>
      <c r="O993" s="5"/>
      <c r="P993" s="57"/>
      <c r="Q993" s="5"/>
      <c r="R993" s="5"/>
      <c r="S993" s="5"/>
      <c r="T993" s="5"/>
      <c r="U993" s="5"/>
      <c r="V993" s="5"/>
      <c r="W993" s="5"/>
      <c r="X993" s="5"/>
      <c r="Y993" s="5"/>
      <c r="Z993" s="5"/>
      <c r="AA993" s="5"/>
    </row>
    <row r="994" spans="1:27" ht="12.75" customHeight="1">
      <c r="A994" s="5"/>
      <c r="B994" s="5"/>
      <c r="C994" s="5"/>
      <c r="D994" s="5"/>
      <c r="E994" s="5"/>
      <c r="F994" s="5"/>
      <c r="G994" s="5"/>
      <c r="H994" s="306"/>
      <c r="I994" s="306"/>
      <c r="J994" s="5"/>
      <c r="K994" s="5"/>
      <c r="L994" s="5"/>
      <c r="M994" s="5"/>
      <c r="N994" s="5"/>
      <c r="O994" s="5"/>
      <c r="P994" s="57"/>
      <c r="Q994" s="5"/>
      <c r="R994" s="5"/>
      <c r="S994" s="5"/>
      <c r="T994" s="5"/>
      <c r="U994" s="5"/>
      <c r="V994" s="5"/>
      <c r="W994" s="5"/>
      <c r="X994" s="5"/>
      <c r="Y994" s="5"/>
      <c r="Z994" s="5"/>
      <c r="AA994" s="5"/>
    </row>
    <row r="995" spans="1:27" ht="12.75" customHeight="1">
      <c r="A995" s="5"/>
      <c r="B995" s="5"/>
      <c r="C995" s="5"/>
      <c r="D995" s="5"/>
      <c r="E995" s="5"/>
      <c r="F995" s="5"/>
      <c r="G995" s="5"/>
      <c r="H995" s="306"/>
      <c r="I995" s="306"/>
      <c r="J995" s="5"/>
      <c r="K995" s="5"/>
      <c r="L995" s="5"/>
      <c r="M995" s="5"/>
      <c r="N995" s="5"/>
      <c r="O995" s="5"/>
      <c r="P995" s="57"/>
      <c r="Q995" s="5"/>
      <c r="R995" s="5"/>
      <c r="S995" s="5"/>
      <c r="T995" s="5"/>
      <c r="U995" s="5"/>
      <c r="V995" s="5"/>
      <c r="W995" s="5"/>
      <c r="X995" s="5"/>
      <c r="Y995" s="5"/>
      <c r="Z995" s="5"/>
      <c r="AA995" s="5"/>
    </row>
    <row r="996" spans="1:27" ht="12.75" customHeight="1">
      <c r="A996" s="5"/>
      <c r="B996" s="5"/>
      <c r="C996" s="5"/>
      <c r="D996" s="5"/>
      <c r="E996" s="5"/>
      <c r="F996" s="5"/>
      <c r="G996" s="5"/>
      <c r="H996" s="306"/>
      <c r="I996" s="306"/>
      <c r="J996" s="5"/>
      <c r="K996" s="5"/>
      <c r="L996" s="5"/>
      <c r="M996" s="5"/>
      <c r="N996" s="5"/>
      <c r="O996" s="5"/>
      <c r="P996" s="57"/>
      <c r="Q996" s="5"/>
      <c r="R996" s="5"/>
      <c r="S996" s="5"/>
      <c r="T996" s="5"/>
      <c r="U996" s="5"/>
      <c r="V996" s="5"/>
      <c r="W996" s="5"/>
      <c r="X996" s="5"/>
      <c r="Y996" s="5"/>
      <c r="Z996" s="5"/>
      <c r="AA996" s="5"/>
    </row>
    <row r="997" spans="1:27" ht="12.75" customHeight="1">
      <c r="A997" s="5"/>
      <c r="B997" s="5"/>
      <c r="C997" s="5"/>
      <c r="D997" s="5"/>
      <c r="E997" s="5"/>
      <c r="F997" s="5"/>
      <c r="G997" s="5"/>
      <c r="H997" s="306"/>
      <c r="I997" s="306"/>
      <c r="J997" s="5"/>
      <c r="K997" s="5"/>
      <c r="L997" s="5"/>
      <c r="M997" s="5"/>
      <c r="N997" s="5"/>
      <c r="O997" s="5"/>
      <c r="P997" s="57"/>
      <c r="Q997" s="5"/>
      <c r="R997" s="5"/>
      <c r="S997" s="5"/>
      <c r="T997" s="5"/>
      <c r="U997" s="5"/>
      <c r="V997" s="5"/>
      <c r="W997" s="5"/>
      <c r="X997" s="5"/>
      <c r="Y997" s="5"/>
      <c r="Z997" s="5"/>
      <c r="AA997" s="5"/>
    </row>
    <row r="998" spans="1:27" ht="12.75" customHeight="1">
      <c r="A998" s="5"/>
      <c r="B998" s="5"/>
      <c r="C998" s="5"/>
      <c r="D998" s="5"/>
      <c r="E998" s="5"/>
      <c r="F998" s="5"/>
      <c r="G998" s="5"/>
      <c r="H998" s="306"/>
      <c r="I998" s="306"/>
      <c r="J998" s="5"/>
      <c r="K998" s="5"/>
      <c r="L998" s="5"/>
      <c r="M998" s="5"/>
      <c r="N998" s="5"/>
      <c r="O998" s="5"/>
      <c r="P998" s="57"/>
      <c r="Q998" s="5"/>
      <c r="R998" s="5"/>
      <c r="S998" s="5"/>
      <c r="T998" s="5"/>
      <c r="U998" s="5"/>
      <c r="V998" s="5"/>
      <c r="W998" s="5"/>
      <c r="X998" s="5"/>
      <c r="Y998" s="5"/>
      <c r="Z998" s="5"/>
      <c r="AA998" s="5"/>
    </row>
    <row r="999" spans="1:27" ht="12.75" customHeight="1">
      <c r="O999" s="5"/>
      <c r="P999" s="57"/>
      <c r="Q999" s="5"/>
      <c r="R999" s="5"/>
      <c r="S999" s="5"/>
      <c r="T999" s="5"/>
      <c r="U999" s="5"/>
      <c r="V999" s="5"/>
      <c r="W999" s="5"/>
      <c r="X999" s="5"/>
      <c r="Y999" s="5"/>
      <c r="Z999" s="5"/>
      <c r="AA999" s="5"/>
    </row>
  </sheetData>
  <mergeCells count="8">
    <mergeCell ref="M60:N60"/>
    <mergeCell ref="B1:O1"/>
    <mergeCell ref="B2:O2"/>
    <mergeCell ref="B3:O3"/>
    <mergeCell ref="D5:L5"/>
    <mergeCell ref="M5:N5"/>
    <mergeCell ref="D6:G6"/>
    <mergeCell ref="I6:L6"/>
  </mergeCells>
  <conditionalFormatting sqref="B51">
    <cfRule type="containsText" dxfId="223" priority="49" operator="containsText" text="Buy">
      <formula>NOT(ISERROR(SEARCH(("Buy"),(B51))))</formula>
    </cfRule>
    <cfRule type="containsText" dxfId="222" priority="50" operator="containsText" text="Sell">
      <formula>NOT(ISERROR(SEARCH(("Sell"),(B51))))</formula>
    </cfRule>
  </conditionalFormatting>
  <conditionalFormatting sqref="I65:I67">
    <cfRule type="cellIs" dxfId="221" priority="1" operator="greaterThan">
      <formula>0</formula>
    </cfRule>
    <cfRule type="cellIs" dxfId="220" priority="2" operator="greaterThan">
      <formula>0</formula>
    </cfRule>
  </conditionalFormatting>
  <conditionalFormatting sqref="J60:J63 J66">
    <cfRule type="cellIs" dxfId="219" priority="201" stopIfTrue="1" operator="lessThanOrEqual">
      <formula>$M$72</formula>
    </cfRule>
    <cfRule type="cellIs" dxfId="218" priority="199" stopIfTrue="1" operator="greaterThan">
      <formula>$M$72</formula>
    </cfRule>
    <cfRule type="cellIs" dxfId="217" priority="191" stopIfTrue="1" operator="greaterThan">
      <formula>$N$77</formula>
    </cfRule>
    <cfRule type="cellIs" dxfId="216" priority="193" stopIfTrue="1" operator="lessThanOrEqual">
      <formula>$N$77</formula>
    </cfRule>
  </conditionalFormatting>
  <conditionalFormatting sqref="J60:J66">
    <cfRule type="cellIs" dxfId="215" priority="32" stopIfTrue="1" operator="lessThanOrEqual">
      <formula>$M$70</formula>
    </cfRule>
    <cfRule type="cellIs" dxfId="214" priority="31" stopIfTrue="1" operator="greaterThan">
      <formula>$M$70</formula>
    </cfRule>
  </conditionalFormatting>
  <conditionalFormatting sqref="J64:J65">
    <cfRule type="cellIs" dxfId="213" priority="33" stopIfTrue="1" operator="greaterThan">
      <formula>$O$77</formula>
    </cfRule>
    <cfRule type="cellIs" dxfId="212" priority="34" stopIfTrue="1" operator="lessThanOrEqual">
      <formula>$O$77</formula>
    </cfRule>
    <cfRule type="cellIs" dxfId="211" priority="35" stopIfTrue="1" operator="greaterThan">
      <formula>$M$72</formula>
    </cfRule>
    <cfRule type="cellIs" dxfId="210" priority="36" stopIfTrue="1" operator="lessThanOrEqual">
      <formula>$M$72</formula>
    </cfRule>
  </conditionalFormatting>
  <conditionalFormatting sqref="J65 N20:N43 N47 N51:N55">
    <cfRule type="cellIs" dxfId="209" priority="59" stopIfTrue="1" operator="greaterThan">
      <formula>$M$69</formula>
    </cfRule>
  </conditionalFormatting>
  <conditionalFormatting sqref="J65">
    <cfRule type="cellIs" dxfId="208" priority="286" stopIfTrue="1" operator="greaterThan">
      <formula>$N$74</formula>
    </cfRule>
    <cfRule type="cellIs" dxfId="207" priority="288" stopIfTrue="1" operator="lessThanOrEqual">
      <formula>$N$74</formula>
    </cfRule>
  </conditionalFormatting>
  <conditionalFormatting sqref="J67 O67">
    <cfRule type="cellIs" dxfId="204" priority="10" stopIfTrue="1" operator="lessThanOrEqual">
      <formula>#REF!</formula>
    </cfRule>
  </conditionalFormatting>
  <conditionalFormatting sqref="J67">
    <cfRule type="cellIs" dxfId="203" priority="12" stopIfTrue="1" operator="lessThanOrEqual">
      <formula>$N$72</formula>
    </cfRule>
    <cfRule type="cellIs" dxfId="202" priority="11" stopIfTrue="1" operator="greaterThan">
      <formula>$N$72</formula>
    </cfRule>
  </conditionalFormatting>
  <conditionalFormatting sqref="M9:M50">
    <cfRule type="cellIs" dxfId="201" priority="57" stopIfTrue="1" operator="greaterThanOrEqual">
      <formula>0</formula>
    </cfRule>
    <cfRule type="cellIs" dxfId="200" priority="58" stopIfTrue="1" operator="lessThan">
      <formula>0</formula>
    </cfRule>
  </conditionalFormatting>
  <conditionalFormatting sqref="M47">
    <cfRule type="cellIs" dxfId="199" priority="48" stopIfTrue="1" operator="lessThanOrEqual">
      <formula>#REF!</formula>
    </cfRule>
    <cfRule type="cellIs" dxfId="198" priority="47" stopIfTrue="1" operator="greaterThan">
      <formula>#REF!</formula>
    </cfRule>
  </conditionalFormatting>
  <conditionalFormatting sqref="M51:M53">
    <cfRule type="cellIs" dxfId="197" priority="44" stopIfTrue="1" operator="lessThanOrEqual">
      <formula>#REF!</formula>
    </cfRule>
    <cfRule type="cellIs" dxfId="196" priority="43" stopIfTrue="1" operator="greaterThan">
      <formula>#REF!</formula>
    </cfRule>
  </conditionalFormatting>
  <conditionalFormatting sqref="M51:M57">
    <cfRule type="cellIs" dxfId="195" priority="37" stopIfTrue="1" operator="greaterThanOrEqual">
      <formula>0</formula>
    </cfRule>
    <cfRule type="cellIs" dxfId="194" priority="38" stopIfTrue="1" operator="lessThan">
      <formula>0</formula>
    </cfRule>
  </conditionalFormatting>
  <conditionalFormatting sqref="M55">
    <cfRule type="cellIs" dxfId="193" priority="39" stopIfTrue="1" operator="greaterThan">
      <formula>#REF!</formula>
    </cfRule>
    <cfRule type="cellIs" dxfId="192" priority="40" stopIfTrue="1" operator="lessThanOrEqual">
      <formula>#REF!</formula>
    </cfRule>
  </conditionalFormatting>
  <conditionalFormatting sqref="N9">
    <cfRule type="cellIs" dxfId="191" priority="68" stopIfTrue="1" operator="lessThanOrEqual">
      <formula>$M$69</formula>
    </cfRule>
    <cfRule type="cellIs" dxfId="190" priority="67" stopIfTrue="1" operator="greaterThan">
      <formula>$M$69</formula>
    </cfRule>
  </conditionalFormatting>
  <conditionalFormatting sqref="N9:N17">
    <cfRule type="cellIs" dxfId="189" priority="17" stopIfTrue="1" operator="greaterThan">
      <formula>$M$69</formula>
    </cfRule>
    <cfRule type="cellIs" dxfId="188" priority="18" stopIfTrue="1" operator="lessThanOrEqual">
      <formula>$M$69</formula>
    </cfRule>
    <cfRule type="cellIs" dxfId="187" priority="19" stopIfTrue="1" operator="greaterThan">
      <formula>#REF!</formula>
    </cfRule>
    <cfRule type="cellIs" dxfId="186" priority="20" stopIfTrue="1" operator="lessThanOrEqual">
      <formula>#REF!</formula>
    </cfRule>
  </conditionalFormatting>
  <conditionalFormatting sqref="N9:N43 N47 O47:O48 N51:N55 O56">
    <cfRule type="cellIs" dxfId="185" priority="76" stopIfTrue="1" operator="lessThanOrEqual">
      <formula>#REF!</formula>
    </cfRule>
  </conditionalFormatting>
  <conditionalFormatting sqref="N11">
    <cfRule type="cellIs" dxfId="184" priority="63" stopIfTrue="1" operator="greaterThan">
      <formula>$M$69</formula>
    </cfRule>
    <cfRule type="cellIs" dxfId="183" priority="64" stopIfTrue="1" operator="lessThanOrEqual">
      <formula>$M$69</formula>
    </cfRule>
  </conditionalFormatting>
  <conditionalFormatting sqref="N14">
    <cfRule type="cellIs" dxfId="182" priority="94" stopIfTrue="1" operator="lessThanOrEqual">
      <formula>$M$69</formula>
    </cfRule>
    <cfRule type="cellIs" dxfId="181" priority="93" stopIfTrue="1" operator="greaterThan">
      <formula>$M$69</formula>
    </cfRule>
  </conditionalFormatting>
  <conditionalFormatting sqref="N15">
    <cfRule type="cellIs" dxfId="180" priority="51" stopIfTrue="1" operator="greaterThan">
      <formula>$M$70</formula>
    </cfRule>
    <cfRule type="cellIs" dxfId="179" priority="52" stopIfTrue="1" operator="lessThanOrEqual">
      <formula>$M$70</formula>
    </cfRule>
  </conditionalFormatting>
  <conditionalFormatting sqref="N15:N19">
    <cfRule type="cellIs" dxfId="178" priority="53" stopIfTrue="1" operator="greaterThan">
      <formula>#REF!</formula>
    </cfRule>
    <cfRule type="cellIs" dxfId="177" priority="54" stopIfTrue="1" operator="lessThanOrEqual">
      <formula>#REF!</formula>
    </cfRule>
  </conditionalFormatting>
  <conditionalFormatting sqref="N16:N19">
    <cfRule type="cellIs" dxfId="176" priority="84" stopIfTrue="1" operator="lessThanOrEqual">
      <formula>$M$70</formula>
    </cfRule>
    <cfRule type="cellIs" dxfId="175" priority="83" stopIfTrue="1" operator="greaterThan">
      <formula>$M$70</formula>
    </cfRule>
  </conditionalFormatting>
  <conditionalFormatting sqref="N17">
    <cfRule type="cellIs" dxfId="174" priority="21" stopIfTrue="1" operator="greaterThan">
      <formula>$M$79</formula>
    </cfRule>
    <cfRule type="cellIs" dxfId="173" priority="22" stopIfTrue="1" operator="lessThanOrEqual">
      <formula>$M$79</formula>
    </cfRule>
  </conditionalFormatting>
  <conditionalFormatting sqref="N20:N43 M54:N54 M11:M43 M44:N46 O9:O56">
    <cfRule type="cellIs" dxfId="172" priority="61" stopIfTrue="1" operator="greaterThan">
      <formula>#REF!</formula>
    </cfRule>
  </conditionalFormatting>
  <conditionalFormatting sqref="N20:N43 N47 N51:N55 J65">
    <cfRule type="cellIs" dxfId="171" priority="60" stopIfTrue="1" operator="lessThanOrEqual">
      <formula>$M$69</formula>
    </cfRule>
  </conditionalFormatting>
  <conditionalFormatting sqref="N24 N27:N31 N33:N34 N41:N43">
    <cfRule type="cellIs" dxfId="170" priority="213" stopIfTrue="1" operator="greaterThan">
      <formula>$M$79</formula>
    </cfRule>
    <cfRule type="cellIs" dxfId="169" priority="217" stopIfTrue="1" operator="lessThanOrEqual">
      <formula>$M$79</formula>
    </cfRule>
  </conditionalFormatting>
  <conditionalFormatting sqref="N47 M48:N50 N51:N53 N55 M56:N66">
    <cfRule type="cellIs" dxfId="168" priority="74" stopIfTrue="1" operator="lessThanOrEqual">
      <formula>#REF!</formula>
    </cfRule>
  </conditionalFormatting>
  <conditionalFormatting sqref="N47 N51:N53 N55 M48:N50 M56:N66">
    <cfRule type="cellIs" dxfId="167" priority="73" stopIfTrue="1" operator="greaterThan">
      <formula>#REF!</formula>
    </cfRule>
  </conditionalFormatting>
  <conditionalFormatting sqref="N47 N51:N55 N9:N43 O47:O48 O56">
    <cfRule type="cellIs" dxfId="166" priority="75" stopIfTrue="1" operator="greaterThan">
      <formula>#REF!</formula>
    </cfRule>
  </conditionalFormatting>
  <conditionalFormatting sqref="O9:O56 M11:M43 N20:N43 M44:N46 M54:N54">
    <cfRule type="cellIs" dxfId="165" priority="62" stopIfTrue="1" operator="lessThanOrEqual">
      <formula>#REF!</formula>
    </cfRule>
  </conditionalFormatting>
  <conditionalFormatting sqref="O56">
    <cfRule type="cellIs" dxfId="164" priority="77" stopIfTrue="1" operator="greaterThan">
      <formula>#REF!</formula>
    </cfRule>
    <cfRule type="cellIs" dxfId="163" priority="78" stopIfTrue="1" operator="lessThanOrEqual">
      <formula>#REF!</formula>
    </cfRule>
  </conditionalFormatting>
  <conditionalFormatting sqref="O67 J67">
    <cfRule type="cellIs" dxfId="162" priority="9" stopIfTrue="1" operator="greaterThan">
      <formula>#REF!</formula>
    </cfRule>
  </conditionalFormatting>
  <conditionalFormatting sqref="O67">
    <cfRule type="cellIs" dxfId="161" priority="5" stopIfTrue="1" operator="greaterThan">
      <formula>#REF!</formula>
    </cfRule>
    <cfRule type="cellIs" dxfId="160" priority="8" stopIfTrue="1" operator="lessThanOrEqual">
      <formula>#REF!</formula>
    </cfRule>
    <cfRule type="cellIs" dxfId="159" priority="7" stopIfTrue="1" operator="greaterThan">
      <formula>#REF!</formula>
    </cfRule>
    <cfRule type="cellIs" dxfId="158" priority="6" stopIfTrue="1" operator="lessThanOrEqual">
      <formula>#REF!</formula>
    </cfRule>
  </conditionalFormatting>
  <conditionalFormatting sqref="P79">
    <cfRule type="cellIs" dxfId="157" priority="79" stopIfTrue="1" operator="greaterThan">
      <formula>#REF!</formula>
    </cfRule>
    <cfRule type="cellIs" dxfId="156" priority="80" stopIfTrue="1" operator="lessThanOrEqual">
      <formula>#REF!</formula>
    </cfRule>
  </conditionalFormatting>
  <hyperlinks>
    <hyperlink ref="B80" r:id="rId1" xr:uid="{00000000-0004-0000-1200-000000000000}"/>
  </hyperlinks>
  <pageMargins left="0.7" right="0.7" top="0.75" bottom="0.75" header="0.3" footer="0.3"/>
  <pageSetup orientation="portrait" r:id="rId2"/>
  <extLst>
    <ext xmlns:x14="http://schemas.microsoft.com/office/spreadsheetml/2009/9/main" uri="{78C0D931-6437-407d-A8EE-F0AAD7539E65}">
      <x14:conditionalFormattings>
        <x14:conditionalFormatting xmlns:xm="http://schemas.microsoft.com/office/excel/2006/main">
          <x14:cfRule type="cellIs" priority="316" stopIfTrue="1" operator="greaterThan" id="{00000000-000E-0000-1100-00000D000000}">
            <xm:f>'2022'!#REF!</xm:f>
            <x14:dxf>
              <font>
                <color rgb="FF0000FF"/>
              </font>
              <fill>
                <patternFill patternType="none"/>
              </fill>
            </x14:dxf>
          </x14:cfRule>
          <x14:cfRule type="cellIs" priority="317" stopIfTrue="1" operator="lessThanOrEqual" id="{00000000-000E-0000-1100-00000E000000}">
            <xm:f>'2022'!#REF!</xm:f>
            <x14:dxf>
              <font>
                <color rgb="FFFF0000"/>
              </font>
              <fill>
                <patternFill patternType="none"/>
              </fill>
            </x14:dxf>
          </x14:cfRule>
          <xm:sqref>J65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C4A74-C0CE-45C6-8220-C0F40CB4EEDC}">
  <dimension ref="A1:N103"/>
  <sheetViews>
    <sheetView topLeftCell="B1" workbookViewId="0">
      <selection activeCell="N13" sqref="N13"/>
    </sheetView>
  </sheetViews>
  <sheetFormatPr defaultRowHeight="12.75"/>
  <cols>
    <col min="1" max="1" width="2.42578125" bestFit="1" customWidth="1"/>
    <col min="2" max="2" width="81" bestFit="1" customWidth="1"/>
    <col min="3" max="3" width="6.28515625" bestFit="1" customWidth="1"/>
    <col min="4" max="4" width="6.7109375" bestFit="1" customWidth="1"/>
    <col min="5" max="5" width="10.5703125" bestFit="1" customWidth="1"/>
    <col min="6" max="6" width="14.7109375" bestFit="1" customWidth="1"/>
    <col min="7" max="7" width="14.28515625" bestFit="1" customWidth="1"/>
    <col min="8" max="8" width="10.28515625" bestFit="1" customWidth="1"/>
    <col min="9" max="9" width="10.85546875" bestFit="1" customWidth="1"/>
    <col min="10" max="10" width="10.7109375" customWidth="1"/>
    <col min="11" max="11" width="14.42578125" customWidth="1"/>
    <col min="12" max="12" width="12.7109375" bestFit="1" customWidth="1"/>
    <col min="13" max="13" width="7.7109375" bestFit="1" customWidth="1"/>
    <col min="14" max="14" width="9" bestFit="1" customWidth="1"/>
  </cols>
  <sheetData>
    <row r="1" spans="1:14" ht="20.25">
      <c r="A1" s="309"/>
      <c r="B1" s="1984" t="s">
        <v>0</v>
      </c>
      <c r="C1" s="1985"/>
      <c r="D1" s="1985"/>
      <c r="E1" s="1985"/>
      <c r="F1" s="1985"/>
      <c r="G1" s="1985"/>
      <c r="H1" s="1985"/>
      <c r="I1" s="1985"/>
      <c r="J1" s="1985"/>
      <c r="K1" s="1985"/>
      <c r="L1" s="1985"/>
      <c r="M1" s="1985"/>
      <c r="N1" s="1985"/>
    </row>
    <row r="2" spans="1:14">
      <c r="A2" s="309"/>
      <c r="B2" s="1986" t="s">
        <v>672</v>
      </c>
      <c r="C2" s="1985"/>
      <c r="D2" s="1985"/>
      <c r="E2" s="1985"/>
      <c r="F2" s="1985"/>
      <c r="G2" s="1985"/>
      <c r="H2" s="1985"/>
      <c r="I2" s="1985"/>
      <c r="J2" s="1985"/>
      <c r="K2" s="1985"/>
      <c r="L2" s="1985"/>
      <c r="M2" s="1985"/>
      <c r="N2" s="1985"/>
    </row>
    <row r="3" spans="1:14">
      <c r="A3" s="309"/>
      <c r="B3" s="2001"/>
      <c r="C3" s="1985"/>
      <c r="D3" s="1985"/>
      <c r="E3" s="1985"/>
      <c r="F3" s="1985"/>
      <c r="G3" s="1985"/>
      <c r="H3" s="1985"/>
      <c r="I3" s="1985"/>
      <c r="J3" s="1985"/>
      <c r="K3" s="1985"/>
      <c r="L3" s="1985"/>
      <c r="M3" s="1985"/>
      <c r="N3" s="1985"/>
    </row>
    <row r="4" spans="1:14">
      <c r="A4" s="309"/>
      <c r="B4" s="894"/>
      <c r="C4" s="894"/>
      <c r="D4" s="894"/>
      <c r="E4" s="894"/>
      <c r="F4" s="894"/>
      <c r="G4" s="894"/>
      <c r="H4" s="894"/>
      <c r="I4" s="894"/>
      <c r="J4" s="1275"/>
      <c r="K4" s="894"/>
      <c r="L4" s="894"/>
      <c r="M4" s="894"/>
      <c r="N4" s="894"/>
    </row>
    <row r="5" spans="1:14" ht="18.75" thickBot="1">
      <c r="A5" s="897"/>
      <c r="B5" s="897"/>
      <c r="C5" s="1175"/>
      <c r="D5" s="1988" t="s">
        <v>3</v>
      </c>
      <c r="E5" s="1989"/>
      <c r="F5" s="1989"/>
      <c r="G5" s="1989"/>
      <c r="H5" s="1989"/>
      <c r="I5" s="1989"/>
      <c r="J5" s="1989"/>
      <c r="K5" s="1989"/>
      <c r="L5" s="1989"/>
      <c r="M5" s="2024"/>
      <c r="N5" s="2025"/>
    </row>
    <row r="6" spans="1:14">
      <c r="A6" s="1584"/>
      <c r="B6" s="900"/>
      <c r="C6" s="901"/>
      <c r="D6" s="2008">
        <v>44196</v>
      </c>
      <c r="E6" s="1981"/>
      <c r="F6" s="1981"/>
      <c r="G6" s="1981"/>
      <c r="H6" s="1276"/>
      <c r="I6" s="2003">
        <v>44561</v>
      </c>
      <c r="J6" s="1981"/>
      <c r="K6" s="1981"/>
      <c r="L6" s="1981"/>
      <c r="M6" s="111" t="s">
        <v>5</v>
      </c>
      <c r="N6" s="855" t="s">
        <v>6</v>
      </c>
    </row>
    <row r="7" spans="1:14" ht="13.5" thickBot="1">
      <c r="A7" s="1585"/>
      <c r="B7" s="905" t="s">
        <v>7</v>
      </c>
      <c r="C7" s="1176" t="s">
        <v>8</v>
      </c>
      <c r="D7" s="893" t="s">
        <v>9</v>
      </c>
      <c r="E7" s="113" t="s">
        <v>10</v>
      </c>
      <c r="F7" s="113" t="s">
        <v>11</v>
      </c>
      <c r="G7" s="113" t="s">
        <v>12</v>
      </c>
      <c r="H7" s="113"/>
      <c r="I7" s="113" t="s">
        <v>9</v>
      </c>
      <c r="J7" s="113" t="s">
        <v>10</v>
      </c>
      <c r="K7" s="114" t="s">
        <v>11</v>
      </c>
      <c r="L7" s="115" t="s">
        <v>12</v>
      </c>
      <c r="M7" s="893" t="s">
        <v>15</v>
      </c>
      <c r="N7" s="115" t="s">
        <v>15</v>
      </c>
    </row>
    <row r="8" spans="1:14">
      <c r="A8" s="1586"/>
      <c r="B8" s="900" t="s">
        <v>360</v>
      </c>
      <c r="C8" s="1178"/>
      <c r="D8" s="1277"/>
      <c r="E8" s="71"/>
      <c r="F8" s="71"/>
      <c r="G8" s="71"/>
      <c r="H8" s="116"/>
      <c r="I8" s="544"/>
      <c r="J8" s="544"/>
      <c r="K8" s="1179"/>
      <c r="L8" s="855"/>
      <c r="M8" s="62"/>
      <c r="N8" s="1180"/>
    </row>
    <row r="9" spans="1:14">
      <c r="A9" s="1587">
        <v>1</v>
      </c>
      <c r="B9" s="374" t="s">
        <v>230</v>
      </c>
      <c r="C9" s="375" t="s">
        <v>231</v>
      </c>
      <c r="D9" s="351">
        <v>25</v>
      </c>
      <c r="E9" s="350">
        <v>174.79</v>
      </c>
      <c r="F9" s="352">
        <f>D9*E9</f>
        <v>4369.75</v>
      </c>
      <c r="G9" s="357">
        <f>F9/$F$89</f>
        <v>1.6486609536307855E-2</v>
      </c>
      <c r="H9" s="351"/>
      <c r="I9" s="351">
        <v>19</v>
      </c>
      <c r="J9" s="350">
        <v>177.63</v>
      </c>
      <c r="K9" s="352">
        <f>J9*I9</f>
        <v>3374.97</v>
      </c>
      <c r="L9" s="353">
        <f t="shared" ref="L9:L48" si="0">K9/$K$89</f>
        <v>1.0415600344029564E-2</v>
      </c>
      <c r="M9" s="495">
        <f>(J9-E9)/E9</f>
        <v>1.6248069111505257E-2</v>
      </c>
      <c r="N9" s="329">
        <f>(K9-Transactions!G1395)/Transactions!G1395</f>
        <v>1.2796340881206978</v>
      </c>
    </row>
    <row r="10" spans="1:14">
      <c r="A10" s="1587">
        <v>2</v>
      </c>
      <c r="B10" s="374" t="s">
        <v>673</v>
      </c>
      <c r="C10" s="375" t="s">
        <v>362</v>
      </c>
      <c r="H10" s="351"/>
      <c r="I10" s="351">
        <v>37</v>
      </c>
      <c r="J10" s="350">
        <v>135.4</v>
      </c>
      <c r="K10" s="352">
        <f>I10*J10</f>
        <v>5009.8</v>
      </c>
      <c r="L10" s="353">
        <f t="shared" si="0"/>
        <v>1.5460900275711877E-2</v>
      </c>
      <c r="M10" s="495">
        <f>N10</f>
        <v>0.22934447067368813</v>
      </c>
      <c r="N10" s="329">
        <f>(K10-Transactions!E261)/Transactions!E261</f>
        <v>0.22934447067368813</v>
      </c>
    </row>
    <row r="11" spans="1:14">
      <c r="A11" s="1587">
        <v>3</v>
      </c>
      <c r="B11" s="374" t="s">
        <v>395</v>
      </c>
      <c r="C11" s="375" t="s">
        <v>396</v>
      </c>
      <c r="D11" s="351">
        <v>40</v>
      </c>
      <c r="E11" s="350">
        <v>261.20999999999998</v>
      </c>
      <c r="F11" s="352">
        <f t="shared" ref="F11:F46" si="1">D11*E11</f>
        <v>10448.4</v>
      </c>
      <c r="G11" s="357">
        <f>F11/$F$89</f>
        <v>3.9420719967769087E-2</v>
      </c>
      <c r="H11" s="351"/>
      <c r="I11" s="351">
        <v>40</v>
      </c>
      <c r="J11" s="350">
        <v>414.55</v>
      </c>
      <c r="K11" s="352">
        <f t="shared" ref="K11:K47" si="2">I11*J11</f>
        <v>16582</v>
      </c>
      <c r="L11" s="353">
        <f t="shared" si="0"/>
        <v>5.1174228187124103E-2</v>
      </c>
      <c r="M11" s="495">
        <f>(J11-E11)/E11</f>
        <v>0.58703724972244575</v>
      </c>
      <c r="N11" s="329">
        <f>(K11-Transactions!E937)/Transactions!E937</f>
        <v>4.2118267166623182</v>
      </c>
    </row>
    <row r="12" spans="1:14">
      <c r="A12" s="1587">
        <v>4</v>
      </c>
      <c r="B12" s="374" t="s">
        <v>674</v>
      </c>
      <c r="C12" s="375" t="s">
        <v>675</v>
      </c>
      <c r="D12" s="351"/>
      <c r="E12" s="350"/>
      <c r="F12" s="352"/>
      <c r="G12" s="357"/>
      <c r="H12" s="351"/>
      <c r="I12" s="351">
        <v>3</v>
      </c>
      <c r="J12" s="350">
        <v>2893.59</v>
      </c>
      <c r="K12" s="352">
        <f t="shared" si="2"/>
        <v>8680.77</v>
      </c>
      <c r="L12" s="353">
        <f t="shared" si="0"/>
        <v>2.6789995466164597E-2</v>
      </c>
      <c r="M12" s="495">
        <f>N12</f>
        <v>-3.1032127142311811E-2</v>
      </c>
      <c r="N12" s="329">
        <f>(K12-Transactions!E185)/Transactions!E185</f>
        <v>-3.1032127142311811E-2</v>
      </c>
    </row>
    <row r="13" spans="1:14">
      <c r="A13" s="1587">
        <v>5</v>
      </c>
      <c r="B13" s="374" t="s">
        <v>539</v>
      </c>
      <c r="C13" s="375" t="s">
        <v>540</v>
      </c>
      <c r="D13" s="351">
        <v>8</v>
      </c>
      <c r="E13" s="350">
        <v>3256.93</v>
      </c>
      <c r="F13" s="352">
        <f t="shared" si="1"/>
        <v>26055.439999999999</v>
      </c>
      <c r="G13" s="357">
        <f>F13/$F$89</f>
        <v>9.8304448899066782E-2</v>
      </c>
      <c r="H13" s="351"/>
      <c r="I13" s="351">
        <v>5</v>
      </c>
      <c r="J13" s="350">
        <v>3334.34</v>
      </c>
      <c r="K13" s="352">
        <f t="shared" si="2"/>
        <v>16671.7</v>
      </c>
      <c r="L13" s="353">
        <f t="shared" si="0"/>
        <v>5.1451054159165177E-2</v>
      </c>
      <c r="M13" s="495">
        <f>(J13-E13)/E13</f>
        <v>2.3767781315533434E-2</v>
      </c>
      <c r="N13" s="329">
        <f>(K13-Transactions!G711)/Transactions!G711</f>
        <v>4.5161723255847628</v>
      </c>
    </row>
    <row r="14" spans="1:14">
      <c r="A14" s="1587">
        <v>6</v>
      </c>
      <c r="B14" s="374" t="s">
        <v>398</v>
      </c>
      <c r="C14" s="375" t="s">
        <v>399</v>
      </c>
      <c r="D14" s="351">
        <v>20</v>
      </c>
      <c r="E14" s="350">
        <v>224.46</v>
      </c>
      <c r="F14" s="352">
        <f t="shared" si="1"/>
        <v>4489.2</v>
      </c>
      <c r="G14" s="357">
        <f>F14/$F$89</f>
        <v>1.6937281888069845E-2</v>
      </c>
      <c r="H14" s="351"/>
      <c r="I14" s="351">
        <v>20</v>
      </c>
      <c r="J14" s="350">
        <v>292.5</v>
      </c>
      <c r="K14" s="352">
        <f t="shared" si="2"/>
        <v>5850</v>
      </c>
      <c r="L14" s="353">
        <f t="shared" si="0"/>
        <v>1.8053867741808949E-2</v>
      </c>
      <c r="M14" s="495">
        <f t="shared" ref="M14:M46" si="3">(J14-E14)/E14</f>
        <v>0.30312750601443461</v>
      </c>
      <c r="N14" s="329">
        <f>(K14-Transactions!E884)/Transactions!E884</f>
        <v>1.8667898324520611</v>
      </c>
    </row>
    <row r="15" spans="1:14">
      <c r="A15" s="1587">
        <v>7</v>
      </c>
      <c r="B15" s="374" t="s">
        <v>401</v>
      </c>
      <c r="C15" s="375" t="s">
        <v>402</v>
      </c>
      <c r="D15" s="351">
        <v>21</v>
      </c>
      <c r="E15" s="350">
        <v>229.92</v>
      </c>
      <c r="F15" s="352">
        <f t="shared" si="1"/>
        <v>4828.32</v>
      </c>
      <c r="G15" s="357">
        <f>F15/$F$89</f>
        <v>1.821674616542043E-2</v>
      </c>
      <c r="H15" s="351"/>
      <c r="I15" s="351">
        <v>21</v>
      </c>
      <c r="J15" s="350">
        <v>224.97</v>
      </c>
      <c r="K15" s="352">
        <f t="shared" si="2"/>
        <v>4724.37</v>
      </c>
      <c r="L15" s="353">
        <f t="shared" si="0"/>
        <v>1.4580025836473496E-2</v>
      </c>
      <c r="M15" s="495">
        <f t="shared" si="3"/>
        <v>-2.1529227557411226E-2</v>
      </c>
      <c r="N15" s="329">
        <f>(K15-Transactions!G793)/Transactions!G793</f>
        <v>0.39195651213152416</v>
      </c>
    </row>
    <row r="16" spans="1:14">
      <c r="A16" s="1587">
        <v>8</v>
      </c>
      <c r="B16" s="374" t="s">
        <v>206</v>
      </c>
      <c r="C16" s="375" t="s">
        <v>207</v>
      </c>
      <c r="D16" s="351">
        <v>168</v>
      </c>
      <c r="E16" s="350">
        <v>132.69</v>
      </c>
      <c r="F16" s="352">
        <f t="shared" si="1"/>
        <v>22291.919999999998</v>
      </c>
      <c r="G16" s="357">
        <f>F16/$F$89</f>
        <v>8.4105081721977629E-2</v>
      </c>
      <c r="H16" s="351"/>
      <c r="I16" s="351">
        <v>118</v>
      </c>
      <c r="J16" s="350">
        <v>177.57</v>
      </c>
      <c r="K16" s="352">
        <f t="shared" si="2"/>
        <v>20953.259999999998</v>
      </c>
      <c r="L16" s="353">
        <f t="shared" si="0"/>
        <v>6.4664510222177063E-2</v>
      </c>
      <c r="M16" s="495">
        <f t="shared" si="3"/>
        <v>0.33823196925163912</v>
      </c>
      <c r="N16" s="329">
        <f>(K16-Transactions!G1026)/Transactions!G1026</f>
        <v>27.090169491525419</v>
      </c>
    </row>
    <row r="17" spans="1:14">
      <c r="A17" s="1587">
        <v>9</v>
      </c>
      <c r="B17" s="374" t="s">
        <v>22</v>
      </c>
      <c r="C17" s="375" t="s">
        <v>23</v>
      </c>
      <c r="D17" s="351">
        <v>148</v>
      </c>
      <c r="E17" s="350">
        <v>30.31</v>
      </c>
      <c r="F17" s="352">
        <f t="shared" si="1"/>
        <v>4485.88</v>
      </c>
      <c r="G17" s="357">
        <f>F17/$F$89</f>
        <v>1.6924755875446576E-2</v>
      </c>
      <c r="H17" s="351"/>
      <c r="I17" s="351">
        <v>148</v>
      </c>
      <c r="J17" s="350">
        <v>44.49</v>
      </c>
      <c r="K17" s="352">
        <f t="shared" si="2"/>
        <v>6584.52</v>
      </c>
      <c r="L17" s="353">
        <f t="shared" si="0"/>
        <v>2.0320692858683057E-2</v>
      </c>
      <c r="M17" s="495">
        <f t="shared" si="3"/>
        <v>0.46783239854833403</v>
      </c>
      <c r="N17" s="356">
        <f>(K17-Transactions!E695)/Transactions!E695</f>
        <v>1.1790131015060612</v>
      </c>
    </row>
    <row r="18" spans="1:14">
      <c r="A18" s="1587">
        <v>10</v>
      </c>
      <c r="B18" s="374" t="s">
        <v>676</v>
      </c>
      <c r="C18" s="375" t="s">
        <v>602</v>
      </c>
      <c r="D18" s="351"/>
      <c r="E18" s="350"/>
      <c r="F18" s="352"/>
      <c r="G18" s="357"/>
      <c r="H18" s="351"/>
      <c r="I18" s="351">
        <v>7</v>
      </c>
      <c r="J18" s="350">
        <v>915.56</v>
      </c>
      <c r="K18" s="352">
        <f t="shared" si="2"/>
        <v>6408.92</v>
      </c>
      <c r="L18" s="353">
        <f t="shared" si="0"/>
        <v>1.9778768213304994E-2</v>
      </c>
      <c r="M18" s="495">
        <f>N18</f>
        <v>9.0224937186677678E-2</v>
      </c>
      <c r="N18" s="329">
        <f>(K18-Transactions!E273)/Transactions!E273</f>
        <v>9.0224937186677678E-2</v>
      </c>
    </row>
    <row r="19" spans="1:14">
      <c r="A19" s="1587">
        <v>11</v>
      </c>
      <c r="B19" s="374" t="s">
        <v>648</v>
      </c>
      <c r="C19" s="375" t="s">
        <v>649</v>
      </c>
      <c r="D19" s="351">
        <v>30</v>
      </c>
      <c r="E19" s="350">
        <v>43.15</v>
      </c>
      <c r="F19" s="352">
        <f t="shared" si="1"/>
        <v>1294.5</v>
      </c>
      <c r="G19" s="357">
        <f>F19/$F$89</f>
        <v>4.8840130544654768E-3</v>
      </c>
      <c r="H19" s="351"/>
      <c r="I19" s="351">
        <v>30</v>
      </c>
      <c r="J19" s="350">
        <v>35.79</v>
      </c>
      <c r="K19" s="352">
        <f t="shared" si="2"/>
        <v>1073.7</v>
      </c>
      <c r="L19" s="353">
        <f t="shared" si="0"/>
        <v>3.3135791101504735E-3</v>
      </c>
      <c r="M19" s="495">
        <f t="shared" si="3"/>
        <v>-0.17056778679026652</v>
      </c>
      <c r="N19" s="329">
        <f>(K19-Transactions!E329)/Transactions!E329</f>
        <v>-1.0215873122204882E-3</v>
      </c>
    </row>
    <row r="20" spans="1:14">
      <c r="A20" s="1587">
        <v>12</v>
      </c>
      <c r="B20" s="374" t="s">
        <v>621</v>
      </c>
      <c r="C20" s="375" t="s">
        <v>622</v>
      </c>
      <c r="D20" s="351">
        <v>30</v>
      </c>
      <c r="E20" s="350">
        <v>62.03</v>
      </c>
      <c r="F20" s="352">
        <f t="shared" si="1"/>
        <v>1860.9</v>
      </c>
      <c r="G20" s="357">
        <f>F20/$F$89</f>
        <v>7.0209809911585984E-3</v>
      </c>
      <c r="H20" s="351"/>
      <c r="I20" s="351">
        <v>30</v>
      </c>
      <c r="J20" s="350">
        <v>62.35</v>
      </c>
      <c r="K20" s="352">
        <f t="shared" si="2"/>
        <v>1870.5</v>
      </c>
      <c r="L20" s="353">
        <f t="shared" si="0"/>
        <v>5.7726084805219896E-3</v>
      </c>
      <c r="M20" s="495">
        <f>(J20-E20)/E20</f>
        <v>5.1587941318716798E-3</v>
      </c>
      <c r="N20" s="356">
        <f>(K20-Transactions!G353)/(Transactions!G353)</f>
        <v>0.11664308612568719</v>
      </c>
    </row>
    <row r="21" spans="1:14">
      <c r="A21" s="1587">
        <v>13</v>
      </c>
      <c r="B21" s="374" t="s">
        <v>451</v>
      </c>
      <c r="C21" s="375" t="s">
        <v>452</v>
      </c>
      <c r="D21" s="351">
        <v>50</v>
      </c>
      <c r="E21" s="350">
        <v>98.85</v>
      </c>
      <c r="F21" s="352">
        <f t="shared" si="1"/>
        <v>4942.5</v>
      </c>
      <c r="G21" s="357">
        <f>F21/$F$89</f>
        <v>1.8647535358590667E-2</v>
      </c>
      <c r="H21" s="351"/>
      <c r="I21" s="351">
        <v>50</v>
      </c>
      <c r="J21" s="350">
        <v>145.09</v>
      </c>
      <c r="K21" s="352">
        <f t="shared" si="2"/>
        <v>7254.5</v>
      </c>
      <c r="L21" s="353">
        <f t="shared" si="0"/>
        <v>2.2388339065462056E-2</v>
      </c>
      <c r="M21" s="495">
        <f t="shared" si="3"/>
        <v>0.46777946383409219</v>
      </c>
      <c r="N21" s="356">
        <f>(K21-Transactions!E458)/Transactions!E458</f>
        <v>0.54011582978795691</v>
      </c>
    </row>
    <row r="22" spans="1:14">
      <c r="A22" s="1587">
        <v>14</v>
      </c>
      <c r="B22" s="374" t="s">
        <v>623</v>
      </c>
      <c r="C22" s="375" t="s">
        <v>624</v>
      </c>
      <c r="D22" s="351">
        <v>20</v>
      </c>
      <c r="E22" s="350">
        <v>60.03</v>
      </c>
      <c r="F22" s="352">
        <f t="shared" si="1"/>
        <v>1200.5999999999999</v>
      </c>
      <c r="G22" s="357">
        <f>F22/$F$89</f>
        <v>4.5297381793675167E-3</v>
      </c>
      <c r="H22" s="351"/>
      <c r="I22" s="351">
        <v>20</v>
      </c>
      <c r="J22" s="350">
        <v>101.42</v>
      </c>
      <c r="K22" s="352">
        <f t="shared" si="2"/>
        <v>2028.4</v>
      </c>
      <c r="L22" s="353">
        <f t="shared" si="0"/>
        <v>6.2599086029889364E-3</v>
      </c>
      <c r="M22" s="495">
        <f t="shared" si="3"/>
        <v>0.68948858903881394</v>
      </c>
      <c r="N22" s="356">
        <f>(K22-Transactions!G361)/Transactions!G361</f>
        <v>0.58493514611658082</v>
      </c>
    </row>
    <row r="23" spans="1:14">
      <c r="A23" s="1587">
        <v>15</v>
      </c>
      <c r="B23" s="361" t="s">
        <v>677</v>
      </c>
      <c r="C23" s="375" t="s">
        <v>678</v>
      </c>
      <c r="D23" s="351"/>
      <c r="E23" s="350"/>
      <c r="F23" s="352"/>
      <c r="G23" s="357"/>
      <c r="H23" s="351"/>
      <c r="I23" s="351">
        <v>35</v>
      </c>
      <c r="J23" s="350">
        <v>98.94</v>
      </c>
      <c r="K23" s="352">
        <f t="shared" si="2"/>
        <v>3462.9</v>
      </c>
      <c r="L23" s="353">
        <f t="shared" si="0"/>
        <v>1.0686963863779524E-2</v>
      </c>
      <c r="M23" s="495">
        <f>N23</f>
        <v>6.6291334416077818E-2</v>
      </c>
      <c r="N23" s="356">
        <f>(K23-Transactions!E233)/Transactions!E233</f>
        <v>6.6291334416077818E-2</v>
      </c>
    </row>
    <row r="24" spans="1:14">
      <c r="A24" s="1587">
        <v>16</v>
      </c>
      <c r="B24" s="361" t="s">
        <v>576</v>
      </c>
      <c r="C24" s="375" t="s">
        <v>456</v>
      </c>
      <c r="D24" s="351"/>
      <c r="E24" s="350"/>
      <c r="F24" s="352"/>
      <c r="G24" s="357"/>
      <c r="H24" s="351"/>
      <c r="I24" s="351">
        <v>30</v>
      </c>
      <c r="J24" s="350">
        <v>103.16</v>
      </c>
      <c r="K24" s="352">
        <f t="shared" si="2"/>
        <v>3094.7999999999997</v>
      </c>
      <c r="L24" s="353">
        <f t="shared" si="0"/>
        <v>9.550958955102622E-3</v>
      </c>
      <c r="M24" s="495">
        <f>N24</f>
        <v>0.1379405438199767</v>
      </c>
      <c r="N24" s="356">
        <f>(K24-Transactions!E237)/Transactions!E237</f>
        <v>0.1379405438199767</v>
      </c>
    </row>
    <row r="25" spans="1:14">
      <c r="A25" s="1587">
        <v>17</v>
      </c>
      <c r="B25" s="361" t="s">
        <v>651</v>
      </c>
      <c r="C25" s="362" t="s">
        <v>652</v>
      </c>
      <c r="D25" s="363">
        <v>6</v>
      </c>
      <c r="E25" s="350">
        <v>383.46</v>
      </c>
      <c r="F25" s="352">
        <f t="shared" si="1"/>
        <v>2300.7599999999998</v>
      </c>
      <c r="G25" s="357">
        <f>F25/$F$89</f>
        <v>8.6805267479273772E-3</v>
      </c>
      <c r="H25" s="363"/>
      <c r="I25" s="363">
        <v>6</v>
      </c>
      <c r="J25" s="350">
        <v>564.33000000000004</v>
      </c>
      <c r="K25" s="352">
        <f>I25*J25</f>
        <v>3385.9800000000005</v>
      </c>
      <c r="L25" s="353">
        <f t="shared" si="0"/>
        <v>1.0449578648959021E-2</v>
      </c>
      <c r="M25" s="495">
        <f t="shared" si="3"/>
        <v>0.47167892348615259</v>
      </c>
      <c r="N25" s="329">
        <f>(K25-Transactions!E333)/Transactions!E333</f>
        <v>0.43566195176554412</v>
      </c>
    </row>
    <row r="26" spans="1:14">
      <c r="A26" s="1587">
        <v>18</v>
      </c>
      <c r="B26" s="374" t="s">
        <v>543</v>
      </c>
      <c r="C26" s="375" t="s">
        <v>544</v>
      </c>
      <c r="D26" s="351">
        <v>17</v>
      </c>
      <c r="E26" s="350">
        <v>273.16000000000003</v>
      </c>
      <c r="F26" s="352">
        <f t="shared" si="1"/>
        <v>4643.72</v>
      </c>
      <c r="G26" s="357">
        <f>F26/$F$89</f>
        <v>1.7520269680403572E-2</v>
      </c>
      <c r="H26" s="351"/>
      <c r="I26" s="351">
        <v>17</v>
      </c>
      <c r="J26" s="350">
        <v>336.35</v>
      </c>
      <c r="K26" s="352">
        <f t="shared" si="2"/>
        <v>5717.9500000000007</v>
      </c>
      <c r="L26" s="353">
        <f t="shared" si="0"/>
        <v>1.7646344111842138E-2</v>
      </c>
      <c r="M26" s="495">
        <f t="shared" si="3"/>
        <v>0.23132962366378676</v>
      </c>
      <c r="N26" s="329">
        <f>(K26-Transactions!E635)/Transactions!E635</f>
        <v>1.2642566655182932</v>
      </c>
    </row>
    <row r="27" spans="1:14">
      <c r="A27" s="1587">
        <v>19</v>
      </c>
      <c r="B27" s="374" t="s">
        <v>653</v>
      </c>
      <c r="C27" s="375" t="s">
        <v>546</v>
      </c>
      <c r="D27" s="351">
        <v>57</v>
      </c>
      <c r="E27" s="350">
        <v>125.33</v>
      </c>
      <c r="F27" s="352">
        <f t="shared" si="1"/>
        <v>7143.8099999999995</v>
      </c>
      <c r="G27" s="357">
        <f>F27/$F$89</f>
        <v>2.6952847662125155E-2</v>
      </c>
      <c r="H27" s="351"/>
      <c r="I27" s="351">
        <v>22</v>
      </c>
      <c r="J27" s="350">
        <v>138.29</v>
      </c>
      <c r="K27" s="352">
        <f t="shared" si="2"/>
        <v>3042.3799999999997</v>
      </c>
      <c r="L27" s="353">
        <f t="shared" si="0"/>
        <v>9.3891839556110614E-3</v>
      </c>
      <c r="M27" s="495">
        <f t="shared" si="3"/>
        <v>0.10340700550546553</v>
      </c>
      <c r="N27" s="329">
        <f>(K27-Transactions!G654)/Transactions!G654</f>
        <v>0.97457671699219173</v>
      </c>
    </row>
    <row r="28" spans="1:14">
      <c r="A28" s="1587">
        <v>20</v>
      </c>
      <c r="B28" s="361" t="s">
        <v>679</v>
      </c>
      <c r="C28" s="375" t="s">
        <v>680</v>
      </c>
      <c r="D28" s="351"/>
      <c r="E28" s="350"/>
      <c r="F28" s="352"/>
      <c r="G28" s="357"/>
      <c r="H28" s="351"/>
      <c r="I28" s="351">
        <v>62</v>
      </c>
      <c r="J28" s="350">
        <v>58.63</v>
      </c>
      <c r="K28" s="352">
        <f t="shared" si="2"/>
        <v>3635.06</v>
      </c>
      <c r="L28" s="353">
        <f t="shared" si="0"/>
        <v>1.1218272217699152E-2</v>
      </c>
      <c r="M28" s="495">
        <f>N28</f>
        <v>-9.2749111008637711E-2</v>
      </c>
      <c r="N28" s="329">
        <f>(K28-Transactions!E189)/Transactions!E189</f>
        <v>-9.2749111008637711E-2</v>
      </c>
    </row>
    <row r="29" spans="1:14">
      <c r="A29" s="1587">
        <v>21</v>
      </c>
      <c r="B29" s="361" t="s">
        <v>627</v>
      </c>
      <c r="C29" s="362" t="s">
        <v>628</v>
      </c>
      <c r="D29" s="363">
        <v>20</v>
      </c>
      <c r="E29" s="350">
        <v>212.7</v>
      </c>
      <c r="F29" s="352">
        <f t="shared" si="1"/>
        <v>4254</v>
      </c>
      <c r="G29" s="357">
        <f>F29/$F$89</f>
        <v>1.6049896897409145E-2</v>
      </c>
      <c r="H29" s="363"/>
      <c r="I29" s="363">
        <v>20</v>
      </c>
      <c r="J29" s="350">
        <v>208.51</v>
      </c>
      <c r="K29" s="352">
        <f t="shared" si="2"/>
        <v>4170.2</v>
      </c>
      <c r="L29" s="353">
        <f t="shared" si="0"/>
        <v>1.2869784488357553E-2</v>
      </c>
      <c r="M29" s="495">
        <f t="shared" si="3"/>
        <v>-1.9699106723084146E-2</v>
      </c>
      <c r="N29" s="329">
        <f>(K29-Transactions!E426)/Transactions!E426</f>
        <v>0.14792491554760812</v>
      </c>
    </row>
    <row r="30" spans="1:14">
      <c r="A30" s="1587">
        <v>22</v>
      </c>
      <c r="B30" s="361" t="s">
        <v>654</v>
      </c>
      <c r="C30" s="362" t="s">
        <v>655</v>
      </c>
      <c r="D30" s="363">
        <v>200</v>
      </c>
      <c r="E30" s="350">
        <v>13.24</v>
      </c>
      <c r="F30" s="352">
        <f t="shared" si="1"/>
        <v>2648</v>
      </c>
      <c r="G30" s="357">
        <f>F30/$F$89</f>
        <v>9.9906269356698201E-3</v>
      </c>
      <c r="H30" s="363"/>
      <c r="I30" s="363">
        <v>200</v>
      </c>
      <c r="J30" s="350">
        <v>15.92</v>
      </c>
      <c r="K30" s="352">
        <f t="shared" si="2"/>
        <v>3184</v>
      </c>
      <c r="L30" s="353">
        <f t="shared" si="0"/>
        <v>9.8262418615247347E-3</v>
      </c>
      <c r="M30" s="495">
        <f t="shared" si="3"/>
        <v>0.202416918429003</v>
      </c>
      <c r="N30" s="329">
        <f>(K30-Transactions!E365)/Transactions!E365</f>
        <v>0.27360000000000001</v>
      </c>
    </row>
    <row r="31" spans="1:14">
      <c r="A31" s="1587">
        <v>23</v>
      </c>
      <c r="B31" s="361" t="s">
        <v>547</v>
      </c>
      <c r="C31" s="362" t="s">
        <v>548</v>
      </c>
      <c r="D31" s="363">
        <v>25</v>
      </c>
      <c r="E31" s="350">
        <v>157.38</v>
      </c>
      <c r="F31" s="352">
        <f t="shared" si="1"/>
        <v>3934.5</v>
      </c>
      <c r="G31" s="357">
        <f>F31/$F$89</f>
        <v>1.4844456827187654E-2</v>
      </c>
      <c r="H31" s="363"/>
      <c r="I31" s="363">
        <v>25</v>
      </c>
      <c r="J31" s="350">
        <v>171.07</v>
      </c>
      <c r="K31" s="352">
        <f t="shared" si="2"/>
        <v>4276.75</v>
      </c>
      <c r="L31" s="353">
        <f t="shared" si="0"/>
        <v>1.3198611771757509E-2</v>
      </c>
      <c r="M31" s="495">
        <f t="shared" si="3"/>
        <v>8.6986910662091743E-2</v>
      </c>
      <c r="N31" s="329">
        <f>(K31-Transactions!E626)/Transactions!E626</f>
        <v>1.0190110657904679</v>
      </c>
    </row>
    <row r="32" spans="1:14">
      <c r="A32" s="1587">
        <v>24</v>
      </c>
      <c r="B32" s="39" t="s">
        <v>656</v>
      </c>
      <c r="C32" s="362" t="s">
        <v>550</v>
      </c>
      <c r="D32" s="363">
        <v>9</v>
      </c>
      <c r="E32" s="350">
        <v>354.98</v>
      </c>
      <c r="F32" s="352">
        <f t="shared" si="1"/>
        <v>3194.82</v>
      </c>
      <c r="G32" s="357">
        <f>F32/$F$89</f>
        <v>1.2053721581048586E-2</v>
      </c>
      <c r="H32" s="363"/>
      <c r="I32" s="363">
        <v>9</v>
      </c>
      <c r="J32" s="350">
        <v>355.41</v>
      </c>
      <c r="K32" s="352">
        <f t="shared" si="2"/>
        <v>3198.69</v>
      </c>
      <c r="L32" s="353">
        <f t="shared" si="0"/>
        <v>9.871577129409722E-3</v>
      </c>
      <c r="M32" s="495">
        <f t="shared" si="3"/>
        <v>1.2113358499070562E-3</v>
      </c>
      <c r="N32" s="329">
        <f>(K32-Transactions!E657)/Transactions!E657</f>
        <v>0.30819346289752658</v>
      </c>
    </row>
    <row r="33" spans="1:14">
      <c r="A33" s="1587">
        <v>25</v>
      </c>
      <c r="B33" s="39" t="s">
        <v>681</v>
      </c>
      <c r="C33" s="362" t="s">
        <v>682</v>
      </c>
      <c r="D33" s="363"/>
      <c r="E33" s="350"/>
      <c r="F33" s="352"/>
      <c r="G33" s="357"/>
      <c r="H33" s="363"/>
      <c r="I33" s="363">
        <v>37</v>
      </c>
      <c r="J33" s="350">
        <v>63.99</v>
      </c>
      <c r="K33" s="352">
        <f t="shared" si="2"/>
        <v>2367.63</v>
      </c>
      <c r="L33" s="353">
        <f t="shared" si="0"/>
        <v>7.3068169028272009E-3</v>
      </c>
      <c r="M33" s="355">
        <f>N33</f>
        <v>-5.8901389808074099E-2</v>
      </c>
      <c r="N33" s="356">
        <f>(K33-Transactions!E245)/Transactions!E245</f>
        <v>-5.8901389808074099E-2</v>
      </c>
    </row>
    <row r="34" spans="1:14">
      <c r="A34" s="1587">
        <v>26</v>
      </c>
      <c r="B34" s="126" t="s">
        <v>551</v>
      </c>
      <c r="C34" s="362" t="s">
        <v>552</v>
      </c>
      <c r="D34" s="363">
        <v>7</v>
      </c>
      <c r="E34" s="350">
        <v>283.97000000000003</v>
      </c>
      <c r="F34" s="352">
        <f t="shared" si="1"/>
        <v>1987.7900000000002</v>
      </c>
      <c r="G34" s="357">
        <f t="shared" ref="G34:G39" si="4">F34/$F$89</f>
        <v>7.499723684461901E-3</v>
      </c>
      <c r="H34" s="363"/>
      <c r="I34" s="363">
        <v>7</v>
      </c>
      <c r="J34" s="350">
        <v>440.52</v>
      </c>
      <c r="K34" s="352">
        <f t="shared" si="2"/>
        <v>3083.64</v>
      </c>
      <c r="L34" s="353">
        <f t="shared" si="0"/>
        <v>9.5165177304874782E-3</v>
      </c>
      <c r="M34" s="495">
        <f t="shared" si="3"/>
        <v>0.55129062929182637</v>
      </c>
      <c r="N34" s="329">
        <f>(K34-Transactions!E610)/Transactions!E610</f>
        <v>1.0794238433371772</v>
      </c>
    </row>
    <row r="35" spans="1:14">
      <c r="A35" s="1587">
        <v>27</v>
      </c>
      <c r="B35" s="374" t="s">
        <v>40</v>
      </c>
      <c r="C35" s="362" t="s">
        <v>41</v>
      </c>
      <c r="D35" s="363">
        <v>75</v>
      </c>
      <c r="E35" s="350">
        <v>222.42</v>
      </c>
      <c r="F35" s="352">
        <f t="shared" si="1"/>
        <v>16681.5</v>
      </c>
      <c r="G35" s="357">
        <f t="shared" si="4"/>
        <v>6.2937554088888251E-2</v>
      </c>
      <c r="H35" s="363"/>
      <c r="I35" s="363">
        <v>75</v>
      </c>
      <c r="J35" s="350">
        <v>336.32</v>
      </c>
      <c r="K35" s="352">
        <f t="shared" si="2"/>
        <v>25224</v>
      </c>
      <c r="L35" s="353">
        <f t="shared" si="0"/>
        <v>7.7844574345194692E-2</v>
      </c>
      <c r="M35" s="495">
        <f t="shared" si="3"/>
        <v>0.5120942361298445</v>
      </c>
      <c r="N35" s="329">
        <f>(K35-Transactions!G1663)/Transactions!G1663</f>
        <v>12.209740769835035</v>
      </c>
    </row>
    <row r="36" spans="1:14">
      <c r="A36" s="1587">
        <v>28</v>
      </c>
      <c r="B36" s="361" t="s">
        <v>629</v>
      </c>
      <c r="C36" s="362" t="s">
        <v>194</v>
      </c>
      <c r="D36" s="363">
        <v>100</v>
      </c>
      <c r="E36" s="350">
        <v>130.55000000000001</v>
      </c>
      <c r="F36" s="352">
        <f t="shared" si="1"/>
        <v>13055.000000000002</v>
      </c>
      <c r="G36" s="357">
        <f t="shared" si="4"/>
        <v>4.925514903518486E-2</v>
      </c>
      <c r="H36" s="363"/>
      <c r="I36" s="363">
        <v>100</v>
      </c>
      <c r="J36" s="350">
        <v>294.11</v>
      </c>
      <c r="K36" s="352">
        <f t="shared" si="2"/>
        <v>29411</v>
      </c>
      <c r="L36" s="353">
        <f t="shared" si="0"/>
        <v>9.076620583834924E-2</v>
      </c>
      <c r="M36" s="495">
        <f t="shared" si="3"/>
        <v>1.2528533129069321</v>
      </c>
      <c r="N36" s="329">
        <f>(K36-Transactions!E410-Transactions!E494)/(Transactions!E494+Transactions!E410)</f>
        <v>5.1831980826640871</v>
      </c>
    </row>
    <row r="37" spans="1:14">
      <c r="A37" s="1587">
        <v>29</v>
      </c>
      <c r="B37" s="374" t="s">
        <v>658</v>
      </c>
      <c r="C37" s="362" t="s">
        <v>257</v>
      </c>
      <c r="D37" s="363">
        <v>60</v>
      </c>
      <c r="E37" s="350">
        <v>139.13999999999999</v>
      </c>
      <c r="F37" s="352">
        <f t="shared" si="1"/>
        <v>8348.4</v>
      </c>
      <c r="G37" s="357">
        <f t="shared" si="4"/>
        <v>3.1497639694012813E-2</v>
      </c>
      <c r="H37" s="363"/>
      <c r="I37" s="363">
        <v>60</v>
      </c>
      <c r="J37" s="350">
        <v>163.58000000000001</v>
      </c>
      <c r="K37" s="352">
        <f t="shared" si="2"/>
        <v>9814.8000000000011</v>
      </c>
      <c r="L37" s="353">
        <f t="shared" si="0"/>
        <v>3.028976087389855E-2</v>
      </c>
      <c r="M37" s="495">
        <f t="shared" si="3"/>
        <v>0.17565042403334791</v>
      </c>
      <c r="N37" s="329">
        <f>(K37-Transactions!E709)/Transactions!E709</f>
        <v>2.2112394033483955</v>
      </c>
    </row>
    <row r="38" spans="1:14">
      <c r="A38" s="1587">
        <v>30</v>
      </c>
      <c r="B38" s="374" t="s">
        <v>365</v>
      </c>
      <c r="C38" s="362" t="s">
        <v>80</v>
      </c>
      <c r="D38" s="363">
        <v>60</v>
      </c>
      <c r="E38" s="350">
        <v>58.3</v>
      </c>
      <c r="F38" s="352">
        <f t="shared" si="1"/>
        <v>3498</v>
      </c>
      <c r="G38" s="357">
        <f t="shared" si="4"/>
        <v>1.3197587998856885E-2</v>
      </c>
      <c r="H38" s="363"/>
      <c r="I38" s="363">
        <v>60</v>
      </c>
      <c r="J38" s="350">
        <v>66.73</v>
      </c>
      <c r="K38" s="352">
        <f t="shared" si="2"/>
        <v>4003.8</v>
      </c>
      <c r="L38" s="353">
        <f t="shared" si="0"/>
        <v>1.2356252250368321E-2</v>
      </c>
      <c r="M38" s="495">
        <f t="shared" si="3"/>
        <v>0.14459691252144094</v>
      </c>
      <c r="N38" s="329">
        <f>(K38-Transactions!E953)/Transactions!E953</f>
        <v>1.021294318990716</v>
      </c>
    </row>
    <row r="39" spans="1:14">
      <c r="A39" s="1587">
        <v>31</v>
      </c>
      <c r="B39" s="374" t="s">
        <v>659</v>
      </c>
      <c r="C39" s="362" t="s">
        <v>660</v>
      </c>
      <c r="D39" s="363">
        <v>6</v>
      </c>
      <c r="E39" s="350">
        <v>431.09</v>
      </c>
      <c r="F39" s="352">
        <f t="shared" si="1"/>
        <v>2586.54</v>
      </c>
      <c r="G39" s="357">
        <f t="shared" si="4"/>
        <v>9.7587447863245521E-3</v>
      </c>
      <c r="H39" s="363"/>
      <c r="I39" s="363">
        <v>6</v>
      </c>
      <c r="J39" s="350">
        <v>491.86</v>
      </c>
      <c r="K39" s="352">
        <f t="shared" si="2"/>
        <v>2951.16</v>
      </c>
      <c r="L39" s="353">
        <f t="shared" si="0"/>
        <v>9.1076670640883595E-3</v>
      </c>
      <c r="M39" s="495">
        <f>(J39-E39)/E39</f>
        <v>0.14096824329026431</v>
      </c>
      <c r="N39" s="329">
        <f>(K39-Transactions!E321)/Transactions!E321</f>
        <v>0.25059750826341198</v>
      </c>
    </row>
    <row r="40" spans="1:14">
      <c r="A40" s="1587">
        <v>32</v>
      </c>
      <c r="B40" s="374" t="s">
        <v>683</v>
      </c>
      <c r="C40" s="362" t="s">
        <v>684</v>
      </c>
      <c r="D40" s="363"/>
      <c r="E40" s="350"/>
      <c r="F40" s="352"/>
      <c r="G40" s="357"/>
      <c r="H40" s="363"/>
      <c r="I40" s="363">
        <v>35</v>
      </c>
      <c r="J40" s="350">
        <v>115.98</v>
      </c>
      <c r="K40" s="352">
        <f t="shared" si="2"/>
        <v>4059.3</v>
      </c>
      <c r="L40" s="353">
        <f t="shared" si="0"/>
        <v>1.2527532534072662E-2</v>
      </c>
      <c r="M40" s="495">
        <f>N40</f>
        <v>-1.8932874354560655E-3</v>
      </c>
      <c r="N40" s="329">
        <f>(K40-Transactions!E249)/Transactions!E249</f>
        <v>-1.8932874354560655E-3</v>
      </c>
    </row>
    <row r="41" spans="1:14">
      <c r="A41" s="1587">
        <v>33</v>
      </c>
      <c r="B41" s="374" t="s">
        <v>685</v>
      </c>
      <c r="C41" s="362" t="s">
        <v>686</v>
      </c>
      <c r="D41" s="363"/>
      <c r="E41" s="350"/>
      <c r="F41" s="352"/>
      <c r="G41" s="357"/>
      <c r="H41" s="363"/>
      <c r="I41" s="363">
        <v>30</v>
      </c>
      <c r="J41" s="350">
        <v>120.31</v>
      </c>
      <c r="K41" s="352">
        <f t="shared" si="2"/>
        <v>3609.3</v>
      </c>
      <c r="L41" s="353">
        <f t="shared" si="0"/>
        <v>1.1138773477010436E-2</v>
      </c>
      <c r="M41" s="495">
        <f>N41</f>
        <v>4.5946533362312594E-2</v>
      </c>
      <c r="N41" s="329">
        <f>(K41-Transactions!E286)/Transactions!E286</f>
        <v>4.5946533362312594E-2</v>
      </c>
    </row>
    <row r="42" spans="1:14">
      <c r="A42" s="1587">
        <v>34</v>
      </c>
      <c r="B42" s="374" t="s">
        <v>630</v>
      </c>
      <c r="C42" s="362" t="s">
        <v>124</v>
      </c>
      <c r="D42" s="363">
        <v>43</v>
      </c>
      <c r="E42" s="350">
        <v>68.290000000000006</v>
      </c>
      <c r="F42" s="352">
        <f t="shared" si="1"/>
        <v>2936.4700000000003</v>
      </c>
      <c r="G42" s="357">
        <f t="shared" ref="G42:G48" si="5">F42/$F$89</f>
        <v>1.1078994062608141E-2</v>
      </c>
      <c r="H42" s="363"/>
      <c r="I42" s="363">
        <v>43</v>
      </c>
      <c r="J42" s="350">
        <v>75.92</v>
      </c>
      <c r="K42" s="352">
        <f t="shared" si="2"/>
        <v>3264.56</v>
      </c>
      <c r="L42" s="353">
        <f t="shared" si="0"/>
        <v>1.0074860594051252E-2</v>
      </c>
      <c r="M42" s="495">
        <f t="shared" si="3"/>
        <v>0.11172938936886799</v>
      </c>
      <c r="N42" s="329">
        <f>(K42-Transactions!E510)/Transactions!E510</f>
        <v>0.39158160818607507</v>
      </c>
    </row>
    <row r="43" spans="1:14">
      <c r="A43" s="1587">
        <v>35</v>
      </c>
      <c r="B43" s="374" t="s">
        <v>631</v>
      </c>
      <c r="C43" s="362" t="s">
        <v>611</v>
      </c>
      <c r="D43" s="363">
        <v>94</v>
      </c>
      <c r="E43" s="350">
        <v>40.72</v>
      </c>
      <c r="F43" s="352">
        <f t="shared" si="1"/>
        <v>3827.68</v>
      </c>
      <c r="G43" s="357">
        <f t="shared" si="5"/>
        <v>1.4441436143929251E-2</v>
      </c>
      <c r="H43" s="363"/>
      <c r="I43" s="363">
        <v>94</v>
      </c>
      <c r="J43" s="350">
        <v>46.54</v>
      </c>
      <c r="K43" s="352">
        <f t="shared" si="2"/>
        <v>4374.76</v>
      </c>
      <c r="L43" s="353">
        <f t="shared" si="0"/>
        <v>1.3501083494385663E-2</v>
      </c>
      <c r="M43" s="495">
        <f t="shared" si="3"/>
        <v>0.14292730844793713</v>
      </c>
      <c r="N43" s="329">
        <f>(K43-Transactions!E554)/Transactions!E554</f>
        <v>8.6875291919663783E-2</v>
      </c>
    </row>
    <row r="44" spans="1:14">
      <c r="A44" s="1587">
        <v>36</v>
      </c>
      <c r="B44" s="361" t="s">
        <v>632</v>
      </c>
      <c r="C44" s="362" t="s">
        <v>633</v>
      </c>
      <c r="D44" s="363">
        <v>20</v>
      </c>
      <c r="E44" s="350">
        <v>152.33000000000001</v>
      </c>
      <c r="F44" s="352">
        <f t="shared" si="1"/>
        <v>3046.6000000000004</v>
      </c>
      <c r="G44" s="357">
        <f t="shared" si="5"/>
        <v>1.1494503029536132E-2</v>
      </c>
      <c r="H44" s="363"/>
      <c r="I44" s="363">
        <v>20</v>
      </c>
      <c r="J44" s="350">
        <v>193.47</v>
      </c>
      <c r="K44" s="352">
        <f t="shared" si="2"/>
        <v>3869.4</v>
      </c>
      <c r="L44" s="353">
        <f t="shared" si="0"/>
        <v>1.1941476211992402E-2</v>
      </c>
      <c r="M44" s="495">
        <f t="shared" si="3"/>
        <v>0.27007155517626197</v>
      </c>
      <c r="N44" s="538">
        <f>(K44-Transactions!E418)/(Transactions!E418)</f>
        <v>0.3213927385210536</v>
      </c>
    </row>
    <row r="45" spans="1:14">
      <c r="A45" s="1587">
        <v>37</v>
      </c>
      <c r="B45" s="361" t="s">
        <v>469</v>
      </c>
      <c r="C45" s="362" t="s">
        <v>470</v>
      </c>
      <c r="D45" s="363">
        <v>60</v>
      </c>
      <c r="E45" s="350">
        <v>181.18</v>
      </c>
      <c r="F45" s="352">
        <f t="shared" si="1"/>
        <v>10870.800000000001</v>
      </c>
      <c r="G45" s="357">
        <f t="shared" si="5"/>
        <v>4.1014390971404642E-2</v>
      </c>
      <c r="H45" s="363"/>
      <c r="I45" s="363">
        <v>60</v>
      </c>
      <c r="J45" s="350">
        <v>154.88999999999999</v>
      </c>
      <c r="K45" s="352">
        <f t="shared" si="2"/>
        <v>9293.4</v>
      </c>
      <c r="L45" s="353">
        <f t="shared" si="0"/>
        <v>2.8680652046449109E-2</v>
      </c>
      <c r="M45" s="495">
        <f t="shared" si="3"/>
        <v>-0.1451043161496855</v>
      </c>
      <c r="N45" s="1280">
        <f>(K45-Transactions!G349)/(Transactions!G349)</f>
        <v>0.29206259203099327</v>
      </c>
    </row>
    <row r="46" spans="1:14">
      <c r="A46" s="1587">
        <v>38</v>
      </c>
      <c r="B46" s="374" t="s">
        <v>661</v>
      </c>
      <c r="C46" s="362" t="s">
        <v>173</v>
      </c>
      <c r="D46" s="363">
        <v>40</v>
      </c>
      <c r="E46" s="350">
        <v>350.68</v>
      </c>
      <c r="F46" s="352">
        <f t="shared" si="1"/>
        <v>14027.2</v>
      </c>
      <c r="G46" s="357">
        <f t="shared" si="5"/>
        <v>5.292315791239717E-2</v>
      </c>
      <c r="H46" s="363"/>
      <c r="I46" s="363">
        <v>40</v>
      </c>
      <c r="J46" s="350">
        <v>502.14</v>
      </c>
      <c r="K46" s="352">
        <f t="shared" si="2"/>
        <v>20085.599999999999</v>
      </c>
      <c r="L46" s="353">
        <f t="shared" si="0"/>
        <v>6.1986797592286806E-2</v>
      </c>
      <c r="M46" s="495">
        <f t="shared" si="3"/>
        <v>0.43190372989620157</v>
      </c>
      <c r="N46" s="329">
        <f>(K46-Transactions!G669)/Transactions!G669</f>
        <v>7.5572597137014315</v>
      </c>
    </row>
    <row r="47" spans="1:14">
      <c r="A47" s="1587">
        <v>39</v>
      </c>
      <c r="B47" s="374" t="s">
        <v>467</v>
      </c>
      <c r="C47" s="362" t="s">
        <v>468</v>
      </c>
      <c r="D47" s="363">
        <v>40</v>
      </c>
      <c r="E47" s="350">
        <v>218.73</v>
      </c>
      <c r="F47" s="352">
        <f>D47*E47</f>
        <v>8749.1999999999989</v>
      </c>
      <c r="G47" s="357">
        <f t="shared" si="5"/>
        <v>3.300981615768972E-2</v>
      </c>
      <c r="H47" s="363"/>
      <c r="I47" s="363">
        <v>40</v>
      </c>
      <c r="J47" s="350">
        <v>216.71</v>
      </c>
      <c r="K47" s="352">
        <f t="shared" si="2"/>
        <v>8668.4</v>
      </c>
      <c r="L47" s="353">
        <f t="shared" si="0"/>
        <v>2.6751820022751574E-2</v>
      </c>
      <c r="M47" s="495">
        <f>(J47-E47)/E47</f>
        <v>-9.2351300690347998E-3</v>
      </c>
      <c r="N47" s="329">
        <f>(K47-Transactions!E853)/Transactions!E853</f>
        <v>2.2884798500753041</v>
      </c>
    </row>
    <row r="48" spans="1:14">
      <c r="A48" s="1587"/>
      <c r="B48" s="1345" t="s">
        <v>375</v>
      </c>
      <c r="C48" s="362"/>
      <c r="D48" s="1283"/>
      <c r="E48" s="350"/>
      <c r="F48" s="120">
        <v>221215.5</v>
      </c>
      <c r="G48" s="417">
        <f t="shared" si="5"/>
        <v>0.83462293538053889</v>
      </c>
      <c r="H48" s="363"/>
      <c r="I48" s="363"/>
      <c r="J48" s="350"/>
      <c r="K48" s="581">
        <f>SUM(K9:K47)</f>
        <v>278316.87</v>
      </c>
      <c r="L48" s="407">
        <f t="shared" si="0"/>
        <v>0.85892238654602315</v>
      </c>
      <c r="M48" s="495"/>
      <c r="N48" s="1284"/>
    </row>
    <row r="49" spans="1:14">
      <c r="A49" s="1587"/>
      <c r="B49" s="1346"/>
      <c r="C49" s="362"/>
      <c r="D49" s="1283"/>
      <c r="E49" s="74"/>
      <c r="F49" s="89"/>
      <c r="G49" s="357"/>
      <c r="H49" s="363"/>
      <c r="I49" s="363"/>
      <c r="J49" s="350"/>
      <c r="K49" s="352"/>
      <c r="L49" s="353"/>
      <c r="M49" s="495"/>
      <c r="N49" s="1284"/>
    </row>
    <row r="50" spans="1:14" ht="18" customHeight="1">
      <c r="A50" s="1587"/>
      <c r="B50" s="1345" t="s">
        <v>563</v>
      </c>
      <c r="C50" s="362"/>
      <c r="D50" s="1283"/>
      <c r="E50" s="74"/>
      <c r="F50" s="89"/>
      <c r="G50" s="357"/>
      <c r="H50" s="363"/>
      <c r="I50" s="363"/>
      <c r="J50" s="350"/>
      <c r="K50" s="352"/>
      <c r="L50" s="353"/>
      <c r="M50" s="495"/>
      <c r="N50" s="1284"/>
    </row>
    <row r="51" spans="1:14" ht="9" customHeight="1">
      <c r="A51" s="1587"/>
      <c r="B51" s="1345" t="s">
        <v>375</v>
      </c>
      <c r="C51" s="362"/>
      <c r="D51" s="1283"/>
      <c r="E51" s="74"/>
      <c r="F51" s="120">
        <v>7412.31</v>
      </c>
      <c r="G51" s="417">
        <f>F51/$F$89</f>
        <v>2.7965870068555426E-2</v>
      </c>
      <c r="H51" s="130"/>
      <c r="I51" s="363"/>
      <c r="J51" s="350"/>
      <c r="K51" s="581">
        <v>0</v>
      </c>
      <c r="L51" s="407">
        <f>K51/$K$89</f>
        <v>0</v>
      </c>
      <c r="M51" s="495"/>
      <c r="N51" s="1284"/>
    </row>
    <row r="52" spans="1:14">
      <c r="A52" s="1587"/>
      <c r="B52" s="1346"/>
      <c r="C52" s="362"/>
      <c r="D52" s="1283"/>
      <c r="E52" s="74"/>
      <c r="F52" s="89"/>
      <c r="G52" s="121"/>
      <c r="H52" s="130"/>
      <c r="I52" s="363"/>
      <c r="J52" s="350"/>
      <c r="K52" s="352"/>
      <c r="L52" s="353"/>
      <c r="M52" s="495"/>
      <c r="N52" s="1284"/>
    </row>
    <row r="53" spans="1:14">
      <c r="A53" s="1587"/>
      <c r="B53" s="1345" t="s">
        <v>567</v>
      </c>
      <c r="C53" s="362"/>
      <c r="D53" s="1283"/>
      <c r="E53" s="74"/>
      <c r="F53" s="89"/>
      <c r="G53" s="121"/>
      <c r="H53" s="130"/>
      <c r="I53" s="363"/>
      <c r="J53" s="350"/>
      <c r="K53" s="352"/>
      <c r="L53" s="353"/>
      <c r="M53" s="495"/>
      <c r="N53" s="1284"/>
    </row>
    <row r="54" spans="1:14">
      <c r="A54" s="1587">
        <v>40</v>
      </c>
      <c r="B54" s="374" t="s">
        <v>687</v>
      </c>
      <c r="C54" s="362" t="s">
        <v>688</v>
      </c>
      <c r="D54" s="363"/>
      <c r="E54" s="350"/>
      <c r="F54" s="352"/>
      <c r="G54" s="357"/>
      <c r="H54" s="130"/>
      <c r="I54" s="363">
        <v>128</v>
      </c>
      <c r="J54" s="350">
        <v>39.43</v>
      </c>
      <c r="K54" s="352">
        <f>I54*J54</f>
        <v>5047.04</v>
      </c>
      <c r="L54" s="353">
        <f t="shared" ref="L54:L62" si="6">K54/$K$89</f>
        <v>1.5575827803011871E-2</v>
      </c>
      <c r="M54" s="495"/>
      <c r="N54" s="329">
        <f>(K54-Transactions!E306)/Transactions!E306</f>
        <v>1.519052523171978E-2</v>
      </c>
    </row>
    <row r="55" spans="1:14">
      <c r="A55" s="1587">
        <v>41</v>
      </c>
      <c r="B55" s="374" t="s">
        <v>689</v>
      </c>
      <c r="C55" s="362" t="s">
        <v>690</v>
      </c>
      <c r="D55" s="363"/>
      <c r="E55" s="350"/>
      <c r="F55" s="352"/>
      <c r="G55" s="357"/>
      <c r="H55" s="130"/>
      <c r="I55" s="363">
        <v>330</v>
      </c>
      <c r="J55" s="350">
        <v>15</v>
      </c>
      <c r="K55" s="352">
        <f t="shared" ref="K55:K61" si="7">I55*J55</f>
        <v>4950</v>
      </c>
      <c r="L55" s="353">
        <f t="shared" si="6"/>
        <v>1.5276349627684496E-2</v>
      </c>
      <c r="M55" s="495"/>
      <c r="N55" s="329">
        <f>(K55-Transactions!E302)/Transactions!E302</f>
        <v>-1.1206328279499083E-2</v>
      </c>
    </row>
    <row r="56" spans="1:14">
      <c r="A56" s="1587">
        <v>42</v>
      </c>
      <c r="B56" s="374" t="s">
        <v>691</v>
      </c>
      <c r="C56" s="362" t="s">
        <v>692</v>
      </c>
      <c r="D56" s="363"/>
      <c r="E56" s="350"/>
      <c r="F56" s="352"/>
      <c r="G56" s="357"/>
      <c r="H56" s="130"/>
      <c r="I56" s="363">
        <v>96</v>
      </c>
      <c r="J56" s="350">
        <v>51.4</v>
      </c>
      <c r="K56" s="352">
        <f t="shared" si="7"/>
        <v>4934.3999999999996</v>
      </c>
      <c r="L56" s="353">
        <f t="shared" si="6"/>
        <v>1.5228205980373005E-2</v>
      </c>
      <c r="M56" s="495"/>
      <c r="N56" s="538">
        <f>(K56-Transactions!E298)/Transactions!E298</f>
        <v>-6.7632850241546626E-3</v>
      </c>
    </row>
    <row r="57" spans="1:14">
      <c r="A57" s="1587">
        <v>43</v>
      </c>
      <c r="B57" s="1618" t="s">
        <v>693</v>
      </c>
      <c r="C57" s="362" t="s">
        <v>694</v>
      </c>
      <c r="D57" s="363"/>
      <c r="E57" s="350"/>
      <c r="F57" s="352"/>
      <c r="G57" s="357"/>
      <c r="H57" s="130"/>
      <c r="I57" s="363">
        <v>79</v>
      </c>
      <c r="J57" s="350">
        <v>62.89</v>
      </c>
      <c r="K57" s="352">
        <f t="shared" si="7"/>
        <v>4968.3100000000004</v>
      </c>
      <c r="L57" s="353">
        <f t="shared" si="6"/>
        <v>1.533285669065074E-2</v>
      </c>
      <c r="M57" s="495"/>
      <c r="N57" s="538">
        <f>(K57-Transactions!E213)/Transactions!E213</f>
        <v>-1.2474012474012277E-2</v>
      </c>
    </row>
    <row r="58" spans="1:14">
      <c r="A58" s="1587">
        <v>44</v>
      </c>
      <c r="B58" s="1618" t="s">
        <v>695</v>
      </c>
      <c r="C58" s="362" t="s">
        <v>696</v>
      </c>
      <c r="D58" s="363"/>
      <c r="E58" s="350"/>
      <c r="F58" s="352"/>
      <c r="G58" s="357"/>
      <c r="H58" s="130"/>
      <c r="I58" s="363">
        <v>47</v>
      </c>
      <c r="J58" s="350">
        <v>105.88</v>
      </c>
      <c r="K58" s="352">
        <f t="shared" si="7"/>
        <v>4976.3599999999997</v>
      </c>
      <c r="L58" s="353">
        <f t="shared" si="6"/>
        <v>1.5357700047115962E-2</v>
      </c>
      <c r="M58" s="495"/>
      <c r="N58" s="538">
        <f>(K58-Transactions!E209)/Transactions!E209</f>
        <v>-5.5881662362057116E-3</v>
      </c>
    </row>
    <row r="59" spans="1:14">
      <c r="A59" s="1587">
        <v>45</v>
      </c>
      <c r="B59" s="1618" t="s">
        <v>697</v>
      </c>
      <c r="C59" s="362" t="s">
        <v>698</v>
      </c>
      <c r="D59" s="363"/>
      <c r="E59" s="350"/>
      <c r="F59" s="352"/>
      <c r="G59" s="357"/>
      <c r="H59" s="130"/>
      <c r="I59" s="363">
        <v>97</v>
      </c>
      <c r="J59" s="350">
        <v>51.05</v>
      </c>
      <c r="K59" s="352">
        <f t="shared" si="7"/>
        <v>4951.8499999999995</v>
      </c>
      <c r="L59" s="353">
        <f t="shared" si="6"/>
        <v>1.5282058970474639E-2</v>
      </c>
      <c r="M59" s="495"/>
      <c r="N59" s="538">
        <f>(K59-Transactions!E205)/Transactions!E205</f>
        <v>-4.7685331399408516E-3</v>
      </c>
    </row>
    <row r="60" spans="1:14">
      <c r="A60" s="1587">
        <v>46</v>
      </c>
      <c r="B60" s="1618" t="s">
        <v>699</v>
      </c>
      <c r="C60" s="362" t="s">
        <v>700</v>
      </c>
      <c r="D60" s="363"/>
      <c r="E60" s="350"/>
      <c r="F60" s="352"/>
      <c r="G60" s="357"/>
      <c r="H60" s="130"/>
      <c r="I60" s="363">
        <v>177</v>
      </c>
      <c r="J60" s="350">
        <v>28.04</v>
      </c>
      <c r="K60" s="352">
        <f t="shared" si="7"/>
        <v>4963.08</v>
      </c>
      <c r="L60" s="353">
        <f t="shared" si="6"/>
        <v>1.5316716224276439E-2</v>
      </c>
      <c r="M60" s="495"/>
      <c r="N60" s="538">
        <f>(K60-Transactions!E201)/Transactions!E201</f>
        <v>-7.9603750221121164E-3</v>
      </c>
    </row>
    <row r="61" spans="1:14">
      <c r="A61" s="1587">
        <v>47</v>
      </c>
      <c r="B61" s="1618" t="s">
        <v>701</v>
      </c>
      <c r="C61" s="362" t="s">
        <v>702</v>
      </c>
      <c r="D61" s="363"/>
      <c r="E61" s="350"/>
      <c r="F61" s="352"/>
      <c r="G61" s="357"/>
      <c r="H61" s="130"/>
      <c r="I61" s="363">
        <v>61</v>
      </c>
      <c r="J61" s="350">
        <v>81.260000000000005</v>
      </c>
      <c r="K61" s="352">
        <f t="shared" si="7"/>
        <v>4956.8600000000006</v>
      </c>
      <c r="L61" s="353">
        <f t="shared" si="6"/>
        <v>1.5297520487976602E-2</v>
      </c>
      <c r="M61" s="495"/>
      <c r="N61" s="538">
        <f>(K61-Transactions!E197)/Transactions!E197</f>
        <v>-5.6289769946156589E-3</v>
      </c>
    </row>
    <row r="62" spans="1:14">
      <c r="A62" s="1587"/>
      <c r="B62" s="1345" t="s">
        <v>375</v>
      </c>
      <c r="C62" s="362"/>
      <c r="D62" s="1283"/>
      <c r="E62" s="74"/>
      <c r="F62" s="75"/>
      <c r="G62" s="417"/>
      <c r="H62" s="130"/>
      <c r="I62" s="363"/>
      <c r="J62" s="350"/>
      <c r="K62" s="581">
        <f>SUM(K54:K61)</f>
        <v>39747.9</v>
      </c>
      <c r="L62" s="407">
        <f t="shared" si="6"/>
        <v>0.12266723583156376</v>
      </c>
      <c r="M62" s="495"/>
      <c r="N62" s="1284"/>
    </row>
    <row r="63" spans="1:14">
      <c r="A63" s="1587"/>
      <c r="B63" s="361"/>
      <c r="C63" s="361"/>
      <c r="D63" s="379"/>
      <c r="E63" s="380"/>
      <c r="F63" s="381"/>
      <c r="G63" s="382"/>
      <c r="H63" s="383"/>
      <c r="I63" s="383"/>
      <c r="J63" s="384"/>
      <c r="K63" s="385"/>
      <c r="L63" s="386"/>
      <c r="M63" s="495"/>
      <c r="N63" s="329"/>
    </row>
    <row r="64" spans="1:14">
      <c r="A64" s="1588"/>
      <c r="B64" s="418" t="s">
        <v>52</v>
      </c>
      <c r="C64" s="419"/>
      <c r="D64" s="379"/>
      <c r="E64" s="380"/>
      <c r="F64" s="381"/>
      <c r="G64" s="382"/>
      <c r="H64" s="383"/>
      <c r="I64" s="383"/>
      <c r="J64" s="384"/>
      <c r="K64" s="385"/>
      <c r="L64" s="386"/>
      <c r="M64" s="895"/>
      <c r="N64" s="332"/>
    </row>
    <row r="65" spans="1:14" ht="24">
      <c r="A65" s="1589"/>
      <c r="B65" s="630" t="s">
        <v>7</v>
      </c>
      <c r="C65" s="631" t="s">
        <v>8</v>
      </c>
      <c r="D65" s="632" t="s">
        <v>9</v>
      </c>
      <c r="E65" s="633" t="s">
        <v>436</v>
      </c>
      <c r="F65" s="633" t="s">
        <v>437</v>
      </c>
      <c r="G65" s="633" t="s">
        <v>438</v>
      </c>
      <c r="H65" s="634" t="s">
        <v>439</v>
      </c>
      <c r="I65" s="635" t="s">
        <v>440</v>
      </c>
      <c r="J65" s="635" t="s">
        <v>15</v>
      </c>
      <c r="K65" s="636" t="s">
        <v>508</v>
      </c>
      <c r="L65" s="320"/>
      <c r="M65" s="132"/>
      <c r="N65" s="1492"/>
    </row>
    <row r="66" spans="1:14">
      <c r="A66" s="1587">
        <v>1</v>
      </c>
      <c r="B66" s="533" t="s">
        <v>634</v>
      </c>
      <c r="C66" s="1594" t="s">
        <v>358</v>
      </c>
      <c r="D66" s="130">
        <v>80</v>
      </c>
      <c r="E66" s="74">
        <v>114.41</v>
      </c>
      <c r="F66" s="350">
        <v>112.7593</v>
      </c>
      <c r="G66" s="366">
        <f t="shared" ref="G66:G82" si="8">D66*E66</f>
        <v>9152.7999999999993</v>
      </c>
      <c r="H66" s="350">
        <f>D66*F66</f>
        <v>9020.7439999999988</v>
      </c>
      <c r="I66" s="537">
        <f>G66-H66</f>
        <v>132.05600000000049</v>
      </c>
      <c r="J66" s="580">
        <f>(G66-H66)/H66</f>
        <v>1.4639147280978211E-2</v>
      </c>
      <c r="K66" s="349">
        <v>44300</v>
      </c>
      <c r="L66" s="309"/>
      <c r="M66" s="1542"/>
      <c r="N66" s="589"/>
    </row>
    <row r="67" spans="1:14">
      <c r="A67" s="1537">
        <v>2</v>
      </c>
      <c r="B67" s="361" t="s">
        <v>635</v>
      </c>
      <c r="C67" s="1594" t="s">
        <v>636</v>
      </c>
      <c r="D67" s="130">
        <v>65</v>
      </c>
      <c r="E67" s="74">
        <v>85.1</v>
      </c>
      <c r="F67" s="350">
        <v>84.084100000000007</v>
      </c>
      <c r="G67" s="366">
        <f t="shared" si="8"/>
        <v>5531.5</v>
      </c>
      <c r="H67" s="350">
        <f>D67*F67</f>
        <v>5465.4665000000005</v>
      </c>
      <c r="I67" s="531">
        <f>G67-H67</f>
        <v>66.033499999999549</v>
      </c>
      <c r="J67" s="580">
        <f>(G67-H67)/H67</f>
        <v>1.2081951284487708E-2</v>
      </c>
      <c r="K67" s="349">
        <v>44300</v>
      </c>
      <c r="L67" s="309"/>
      <c r="M67" s="1542"/>
      <c r="N67" s="589"/>
    </row>
    <row r="68" spans="1:14">
      <c r="A68" s="1537">
        <v>3</v>
      </c>
      <c r="B68" s="361" t="s">
        <v>637</v>
      </c>
      <c r="C68" s="1594" t="s">
        <v>638</v>
      </c>
      <c r="D68" s="130">
        <v>200</v>
      </c>
      <c r="E68" s="74">
        <v>29.79</v>
      </c>
      <c r="F68" s="350">
        <v>29.548100000000002</v>
      </c>
      <c r="G68" s="366">
        <f t="shared" si="8"/>
        <v>5958</v>
      </c>
      <c r="H68" s="350">
        <f>D68*F68</f>
        <v>5909.62</v>
      </c>
      <c r="I68" s="531">
        <f>G68-H68</f>
        <v>48.380000000000109</v>
      </c>
      <c r="J68" s="580">
        <f>(G68-H68)/H68</f>
        <v>8.1866515951956494E-3</v>
      </c>
      <c r="K68" s="349">
        <v>44300</v>
      </c>
      <c r="L68" s="1595"/>
      <c r="M68" s="137"/>
      <c r="N68" s="589"/>
    </row>
    <row r="69" spans="1:14">
      <c r="A69" s="1593">
        <v>4</v>
      </c>
      <c r="B69" s="361" t="s">
        <v>662</v>
      </c>
      <c r="C69" s="1594" t="s">
        <v>431</v>
      </c>
      <c r="D69" s="363">
        <v>30</v>
      </c>
      <c r="E69" s="350">
        <v>138.02000000000001</v>
      </c>
      <c r="F69" s="350">
        <v>167.34</v>
      </c>
      <c r="G69" s="366">
        <f t="shared" si="8"/>
        <v>4140.6000000000004</v>
      </c>
      <c r="H69" s="350">
        <f>D69*F69</f>
        <v>5020.2</v>
      </c>
      <c r="I69" s="531">
        <f>G69-H69</f>
        <v>-879.59999999999945</v>
      </c>
      <c r="J69" s="580">
        <f>(G69-H69)/H69</f>
        <v>-0.17521214294251214</v>
      </c>
      <c r="K69" s="349">
        <v>44300</v>
      </c>
      <c r="L69" s="1595"/>
      <c r="M69" s="137"/>
      <c r="N69" s="589"/>
    </row>
    <row r="70" spans="1:14">
      <c r="A70" s="1593">
        <v>5</v>
      </c>
      <c r="B70" s="361" t="s">
        <v>404</v>
      </c>
      <c r="C70" s="1594" t="s">
        <v>405</v>
      </c>
      <c r="D70" s="363">
        <v>50</v>
      </c>
      <c r="E70" s="350">
        <v>73</v>
      </c>
      <c r="F70" s="350">
        <v>58.42</v>
      </c>
      <c r="G70" s="366">
        <f t="shared" si="8"/>
        <v>3650</v>
      </c>
      <c r="H70" s="350">
        <f t="shared" ref="H70:H82" si="9">D70*F70</f>
        <v>2921</v>
      </c>
      <c r="I70" s="531">
        <f t="shared" ref="I70:I82" si="10">G70-H70</f>
        <v>729</v>
      </c>
      <c r="J70" s="580">
        <f t="shared" ref="J70:J82" si="11">(G70-H70)/H70</f>
        <v>0.24957206436152002</v>
      </c>
      <c r="K70" s="349">
        <v>44321</v>
      </c>
      <c r="L70" s="1595"/>
      <c r="M70" s="137"/>
      <c r="N70" s="589"/>
    </row>
    <row r="71" spans="1:14">
      <c r="A71" s="1537">
        <v>6</v>
      </c>
      <c r="B71" s="361" t="s">
        <v>650</v>
      </c>
      <c r="C71" s="1596" t="s">
        <v>607</v>
      </c>
      <c r="D71" s="363">
        <v>30</v>
      </c>
      <c r="E71" s="350">
        <v>79.25</v>
      </c>
      <c r="F71" s="350">
        <v>66.604500000000002</v>
      </c>
      <c r="G71" s="366">
        <f t="shared" si="8"/>
        <v>2377.5</v>
      </c>
      <c r="H71" s="350">
        <f t="shared" si="9"/>
        <v>1998.135</v>
      </c>
      <c r="I71" s="531">
        <f t="shared" si="10"/>
        <v>379.36500000000001</v>
      </c>
      <c r="J71" s="580">
        <f t="shared" si="11"/>
        <v>0.18985954402480312</v>
      </c>
      <c r="K71" s="349">
        <v>44321</v>
      </c>
      <c r="L71" s="1595"/>
      <c r="M71" s="137"/>
      <c r="N71" s="589"/>
    </row>
    <row r="72" spans="1:14">
      <c r="A72" s="1593">
        <v>7</v>
      </c>
      <c r="B72" s="361" t="s">
        <v>647</v>
      </c>
      <c r="C72" s="1594" t="s">
        <v>448</v>
      </c>
      <c r="D72" s="363">
        <v>100</v>
      </c>
      <c r="E72" s="350">
        <v>32.354999999999997</v>
      </c>
      <c r="F72" s="350">
        <f>(Transactions!E393+Transactions!E542)/100</f>
        <v>34.132999999999996</v>
      </c>
      <c r="G72" s="366">
        <f t="shared" si="8"/>
        <v>3235.4999999999995</v>
      </c>
      <c r="H72" s="350">
        <f t="shared" si="9"/>
        <v>3413.2999999999997</v>
      </c>
      <c r="I72" s="531">
        <f>G72-H72</f>
        <v>-177.80000000000018</v>
      </c>
      <c r="J72" s="580">
        <f t="shared" si="11"/>
        <v>-5.2090352444848151E-2</v>
      </c>
      <c r="K72" s="349">
        <v>44322</v>
      </c>
      <c r="L72" s="1595"/>
      <c r="M72" s="137"/>
      <c r="N72" s="589"/>
    </row>
    <row r="73" spans="1:14">
      <c r="A73" s="1593">
        <v>8</v>
      </c>
      <c r="B73" s="361" t="s">
        <v>703</v>
      </c>
      <c r="C73" s="351" t="s">
        <v>154</v>
      </c>
      <c r="D73" s="1613">
        <v>70</v>
      </c>
      <c r="E73" s="350">
        <v>56.26</v>
      </c>
      <c r="F73" s="350">
        <v>21.92</v>
      </c>
      <c r="G73" s="366">
        <f t="shared" si="8"/>
        <v>3938.2</v>
      </c>
      <c r="H73" s="350">
        <f t="shared" si="9"/>
        <v>1534.4</v>
      </c>
      <c r="I73" s="531">
        <f t="shared" si="10"/>
        <v>2403.7999999999997</v>
      </c>
      <c r="J73" s="580">
        <f t="shared" si="11"/>
        <v>1.566605839416058</v>
      </c>
      <c r="K73" s="349">
        <v>44448</v>
      </c>
      <c r="L73" s="1595"/>
      <c r="M73" s="137"/>
      <c r="N73" s="589"/>
    </row>
    <row r="74" spans="1:14">
      <c r="A74" s="1593">
        <v>9</v>
      </c>
      <c r="B74" s="361" t="s">
        <v>704</v>
      </c>
      <c r="C74" s="1596" t="s">
        <v>546</v>
      </c>
      <c r="D74" s="363">
        <v>35</v>
      </c>
      <c r="E74" s="350">
        <v>144.48500000000001</v>
      </c>
      <c r="F74" s="350">
        <v>69.86</v>
      </c>
      <c r="G74" s="366">
        <f t="shared" si="8"/>
        <v>5056.9750000000004</v>
      </c>
      <c r="H74" s="350">
        <f t="shared" si="9"/>
        <v>2445.1</v>
      </c>
      <c r="I74" s="531">
        <f t="shared" si="10"/>
        <v>2611.8750000000005</v>
      </c>
      <c r="J74" s="580">
        <f t="shared" si="11"/>
        <v>1.0682078442599487</v>
      </c>
      <c r="K74" s="349">
        <v>44494</v>
      </c>
      <c r="L74" s="1595"/>
      <c r="M74" s="137"/>
      <c r="N74" s="589"/>
    </row>
    <row r="75" spans="1:14">
      <c r="A75" s="1593">
        <v>10</v>
      </c>
      <c r="B75" s="361" t="s">
        <v>539</v>
      </c>
      <c r="C75" s="1596" t="s">
        <v>540</v>
      </c>
      <c r="D75" s="363">
        <v>3</v>
      </c>
      <c r="E75" s="350">
        <v>3318.1550000000002</v>
      </c>
      <c r="F75" s="350">
        <v>580.05999999999995</v>
      </c>
      <c r="G75" s="366">
        <f t="shared" si="8"/>
        <v>9954.4650000000001</v>
      </c>
      <c r="H75" s="350">
        <f t="shared" si="9"/>
        <v>1740.1799999999998</v>
      </c>
      <c r="I75" s="531">
        <f t="shared" si="10"/>
        <v>8214.2849999999999</v>
      </c>
      <c r="J75" s="580">
        <f t="shared" si="11"/>
        <v>4.7203651346412441</v>
      </c>
      <c r="K75" s="349">
        <v>44494</v>
      </c>
      <c r="L75" s="1595"/>
      <c r="M75" s="137"/>
      <c r="N75" s="589"/>
    </row>
    <row r="76" spans="1:14">
      <c r="A76" s="1593">
        <v>11</v>
      </c>
      <c r="B76" s="361" t="s">
        <v>206</v>
      </c>
      <c r="C76" s="1596" t="s">
        <v>207</v>
      </c>
      <c r="D76" s="363">
        <v>50</v>
      </c>
      <c r="E76" s="350">
        <v>149.1557</v>
      </c>
      <c r="F76" s="350">
        <v>6.33</v>
      </c>
      <c r="G76" s="366">
        <f t="shared" si="8"/>
        <v>7457.7849999999999</v>
      </c>
      <c r="H76" s="350">
        <f t="shared" si="9"/>
        <v>316.5</v>
      </c>
      <c r="I76" s="531">
        <f t="shared" si="10"/>
        <v>7141.2849999999999</v>
      </c>
      <c r="J76" s="580">
        <f t="shared" si="11"/>
        <v>22.563301737756714</v>
      </c>
      <c r="K76" s="349">
        <v>44496</v>
      </c>
      <c r="L76" s="1595"/>
      <c r="M76" s="137"/>
      <c r="N76" s="589"/>
    </row>
    <row r="77" spans="1:14">
      <c r="A77" s="1593">
        <v>12</v>
      </c>
      <c r="B77" s="374" t="s">
        <v>371</v>
      </c>
      <c r="C77" s="362" t="s">
        <v>372</v>
      </c>
      <c r="D77" s="363">
        <v>81</v>
      </c>
      <c r="E77" s="350">
        <v>110.22</v>
      </c>
      <c r="F77" s="350">
        <v>61.62</v>
      </c>
      <c r="G77" s="366">
        <f t="shared" si="8"/>
        <v>8927.82</v>
      </c>
      <c r="H77" s="350">
        <f t="shared" si="9"/>
        <v>4991.2199999999993</v>
      </c>
      <c r="I77" s="531">
        <f t="shared" si="10"/>
        <v>3936.6000000000004</v>
      </c>
      <c r="J77" s="580">
        <f t="shared" si="11"/>
        <v>0.78870496592015593</v>
      </c>
      <c r="K77" s="349">
        <v>44508</v>
      </c>
      <c r="L77" s="1595"/>
      <c r="M77" s="137"/>
      <c r="N77" s="589"/>
    </row>
    <row r="78" spans="1:14">
      <c r="A78" s="1593">
        <v>13</v>
      </c>
      <c r="B78" s="361" t="s">
        <v>705</v>
      </c>
      <c r="C78" s="362" t="s">
        <v>706</v>
      </c>
      <c r="D78" s="363">
        <v>19</v>
      </c>
      <c r="E78" s="350">
        <v>398.87</v>
      </c>
      <c r="F78" s="350">
        <v>323.33999999999997</v>
      </c>
      <c r="G78" s="366">
        <f t="shared" si="8"/>
        <v>7578.53</v>
      </c>
      <c r="H78" s="350">
        <f t="shared" si="9"/>
        <v>6143.4599999999991</v>
      </c>
      <c r="I78" s="531">
        <f t="shared" si="10"/>
        <v>1435.0700000000006</v>
      </c>
      <c r="J78" s="580">
        <f t="shared" si="11"/>
        <v>0.2335931217913034</v>
      </c>
      <c r="K78" s="349">
        <v>44508</v>
      </c>
      <c r="L78" s="1595"/>
      <c r="M78" s="137"/>
      <c r="N78" s="589"/>
    </row>
    <row r="79" spans="1:14">
      <c r="A79" s="1593">
        <v>14</v>
      </c>
      <c r="B79" s="374" t="s">
        <v>707</v>
      </c>
      <c r="C79" s="362" t="s">
        <v>708</v>
      </c>
      <c r="D79" s="363">
        <v>204</v>
      </c>
      <c r="E79" s="350">
        <v>25.25</v>
      </c>
      <c r="F79" s="350">
        <v>24.5</v>
      </c>
      <c r="G79" s="366">
        <f t="shared" si="8"/>
        <v>5151</v>
      </c>
      <c r="H79" s="350">
        <f t="shared" si="9"/>
        <v>4998</v>
      </c>
      <c r="I79" s="531">
        <f t="shared" si="10"/>
        <v>153</v>
      </c>
      <c r="J79" s="580">
        <f t="shared" si="11"/>
        <v>3.0612244897959183E-2</v>
      </c>
      <c r="K79" s="349">
        <v>44508</v>
      </c>
      <c r="L79" s="1595"/>
      <c r="M79" s="137"/>
      <c r="N79" s="589"/>
    </row>
    <row r="80" spans="1:14">
      <c r="A80" s="1593">
        <v>15</v>
      </c>
      <c r="B80" s="374" t="s">
        <v>709</v>
      </c>
      <c r="C80" s="362" t="s">
        <v>710</v>
      </c>
      <c r="D80" s="363">
        <v>236</v>
      </c>
      <c r="E80" s="350">
        <v>21.76</v>
      </c>
      <c r="F80" s="350">
        <v>21.19</v>
      </c>
      <c r="G80" s="366">
        <f t="shared" si="8"/>
        <v>5135.3600000000006</v>
      </c>
      <c r="H80" s="350">
        <f t="shared" si="9"/>
        <v>5000.84</v>
      </c>
      <c r="I80" s="531">
        <f t="shared" si="10"/>
        <v>134.52000000000044</v>
      </c>
      <c r="J80" s="580">
        <f t="shared" si="11"/>
        <v>2.6899480887211034E-2</v>
      </c>
      <c r="K80" s="349">
        <v>44508</v>
      </c>
      <c r="L80" s="1595"/>
      <c r="M80" s="137"/>
      <c r="N80" s="589"/>
    </row>
    <row r="81" spans="1:14">
      <c r="A81" s="1593">
        <v>16</v>
      </c>
      <c r="B81" s="361" t="s">
        <v>657</v>
      </c>
      <c r="C81" s="1620" t="s">
        <v>163</v>
      </c>
      <c r="D81" s="363">
        <v>50</v>
      </c>
      <c r="E81" s="350">
        <v>55.09</v>
      </c>
      <c r="F81" s="350">
        <v>36.840000000000003</v>
      </c>
      <c r="G81" s="366">
        <f t="shared" si="8"/>
        <v>2754.5</v>
      </c>
      <c r="H81" s="350">
        <f t="shared" si="9"/>
        <v>1842.0000000000002</v>
      </c>
      <c r="I81" s="531">
        <f t="shared" si="10"/>
        <v>912.49999999999977</v>
      </c>
      <c r="J81" s="580">
        <f t="shared" si="11"/>
        <v>0.49538545059717681</v>
      </c>
      <c r="K81" s="349">
        <v>44517</v>
      </c>
      <c r="L81" s="1595"/>
      <c r="M81" s="137"/>
      <c r="N81" s="589"/>
    </row>
    <row r="82" spans="1:14">
      <c r="A82" s="1593">
        <v>17</v>
      </c>
      <c r="B82" s="361" t="s">
        <v>230</v>
      </c>
      <c r="C82" s="1619" t="s">
        <v>231</v>
      </c>
      <c r="D82" s="363">
        <v>6</v>
      </c>
      <c r="E82" s="350">
        <v>180.85</v>
      </c>
      <c r="F82" s="350">
        <v>78.319999999999993</v>
      </c>
      <c r="G82" s="366">
        <f t="shared" si="8"/>
        <v>1085.0999999999999</v>
      </c>
      <c r="H82" s="350">
        <f t="shared" si="9"/>
        <v>469.91999999999996</v>
      </c>
      <c r="I82" s="531">
        <f t="shared" si="10"/>
        <v>615.17999999999995</v>
      </c>
      <c r="J82" s="580">
        <f t="shared" si="11"/>
        <v>1.3091164453524005</v>
      </c>
      <c r="K82" s="349">
        <v>44522</v>
      </c>
      <c r="L82" s="1595"/>
      <c r="M82" s="137"/>
      <c r="N82" s="589"/>
    </row>
    <row r="83" spans="1:14">
      <c r="A83" s="1614"/>
      <c r="B83" s="1615"/>
      <c r="C83" s="1576"/>
      <c r="D83" s="1577"/>
      <c r="E83" s="1578"/>
      <c r="F83" s="390"/>
      <c r="G83" s="389"/>
      <c r="H83" s="390"/>
      <c r="I83" s="1579"/>
      <c r="J83" s="1580"/>
      <c r="K83" s="1581"/>
      <c r="L83" s="1576"/>
      <c r="M83" s="578"/>
      <c r="N83" s="575"/>
    </row>
    <row r="84" spans="1:14">
      <c r="A84" s="1508"/>
      <c r="B84" s="345" t="s">
        <v>63</v>
      </c>
      <c r="C84" s="345"/>
      <c r="D84" s="346"/>
      <c r="E84" s="782"/>
      <c r="F84" s="403">
        <v>254716.30160000001</v>
      </c>
      <c r="G84" s="783">
        <f>F84/$F$89</f>
        <v>0.96101795457672123</v>
      </c>
      <c r="H84" s="405"/>
      <c r="I84" s="405"/>
      <c r="J84" s="406"/>
      <c r="K84" s="581">
        <f>K48+K51+K62</f>
        <v>318064.77</v>
      </c>
      <c r="L84" s="417">
        <f>K84/$K$89</f>
        <v>0.98158962237758696</v>
      </c>
      <c r="M84" s="576"/>
      <c r="N84" s="589"/>
    </row>
    <row r="85" spans="1:14">
      <c r="A85" s="1508"/>
      <c r="B85" s="345"/>
      <c r="C85" s="345"/>
      <c r="D85" s="346"/>
      <c r="E85" s="347"/>
      <c r="F85" s="5"/>
      <c r="G85" s="783"/>
      <c r="H85" s="405"/>
      <c r="I85" s="405"/>
      <c r="J85" s="406"/>
      <c r="K85" s="581"/>
      <c r="L85" s="571"/>
      <c r="M85" s="576"/>
      <c r="N85" s="573"/>
    </row>
    <row r="86" spans="1:14">
      <c r="A86" s="1508"/>
      <c r="B86" s="1324" t="s">
        <v>616</v>
      </c>
      <c r="C86" s="345"/>
      <c r="D86" s="346"/>
      <c r="E86" s="347"/>
      <c r="F86" s="729">
        <v>10332.129999999999</v>
      </c>
      <c r="G86" s="783">
        <f>F86/$F$89</f>
        <v>3.898204542327878E-2</v>
      </c>
      <c r="H86" s="405"/>
      <c r="I86" s="405"/>
      <c r="J86" s="406"/>
      <c r="K86" s="729">
        <v>5965.52</v>
      </c>
      <c r="L86" s="417">
        <f>K86/$K$89</f>
        <v>1.8410377622413016E-2</v>
      </c>
      <c r="M86" s="577"/>
      <c r="N86" s="574"/>
    </row>
    <row r="87" spans="1:14">
      <c r="A87" s="1508"/>
      <c r="B87" s="345"/>
      <c r="C87" s="345"/>
      <c r="D87" s="346"/>
      <c r="E87" s="347"/>
      <c r="F87" s="403"/>
      <c r="G87" s="404"/>
      <c r="H87" s="405"/>
      <c r="I87" s="405"/>
      <c r="J87" s="406"/>
      <c r="K87" s="75"/>
      <c r="L87" s="417"/>
      <c r="M87" s="577"/>
      <c r="N87" s="574"/>
    </row>
    <row r="88" spans="1:14" ht="13.5" thickBot="1">
      <c r="A88" s="1590"/>
      <c r="B88" s="924"/>
      <c r="C88" s="924"/>
      <c r="D88" s="34"/>
      <c r="E88" s="1099"/>
      <c r="F88" s="1326"/>
      <c r="G88" s="1327"/>
      <c r="H88" s="1328"/>
      <c r="I88" s="1328"/>
      <c r="J88" s="94"/>
      <c r="K88" s="96"/>
      <c r="L88" s="571"/>
      <c r="M88" s="578"/>
      <c r="N88" s="575"/>
    </row>
    <row r="89" spans="1:14" ht="13.5" thickTop="1">
      <c r="A89" s="309"/>
      <c r="B89" s="345" t="s">
        <v>667</v>
      </c>
      <c r="C89" s="345"/>
      <c r="D89" s="1105"/>
      <c r="E89" s="1106"/>
      <c r="F89" s="412">
        <v>265048.43160000001</v>
      </c>
      <c r="G89" s="1331">
        <f>G84+G86</f>
        <v>1</v>
      </c>
      <c r="H89" s="1332"/>
      <c r="I89" s="1332"/>
      <c r="J89" s="1333"/>
      <c r="K89" s="1270">
        <f>SUM(K84:K88)</f>
        <v>324030.29000000004</v>
      </c>
      <c r="L89" s="413">
        <f>SUM(L84:L88)</f>
        <v>1</v>
      </c>
      <c r="M89" s="147">
        <f>(265914.6/F89)*(K89/(265914.6-5000))-1</f>
        <v>0.24596020658047579</v>
      </c>
      <c r="N89" s="882"/>
    </row>
    <row r="90" spans="1:14">
      <c r="A90" s="309"/>
      <c r="B90" s="309"/>
      <c r="C90" s="985"/>
      <c r="D90" s="1024"/>
      <c r="E90" s="1024"/>
      <c r="F90" s="1024"/>
      <c r="G90" s="1024"/>
      <c r="H90" s="546"/>
      <c r="I90" s="546"/>
      <c r="J90" s="940"/>
      <c r="K90" s="940"/>
      <c r="L90" s="1147"/>
      <c r="M90" s="949"/>
      <c r="N90" s="882"/>
    </row>
    <row r="91" spans="1:14">
      <c r="A91" s="309"/>
      <c r="B91" s="309" t="s">
        <v>711</v>
      </c>
      <c r="C91" s="873"/>
      <c r="D91" s="874"/>
      <c r="E91" s="875"/>
      <c r="F91" s="876"/>
      <c r="G91" s="877"/>
      <c r="H91" s="878"/>
      <c r="I91" s="878" t="s">
        <v>564</v>
      </c>
      <c r="J91" s="879"/>
      <c r="K91" s="1168">
        <v>5000</v>
      </c>
      <c r="L91" s="880"/>
      <c r="M91" s="881"/>
      <c r="N91" s="882"/>
    </row>
    <row r="92" spans="1:14">
      <c r="A92" s="309"/>
      <c r="B92" s="872"/>
      <c r="C92" s="873"/>
      <c r="D92" s="874"/>
      <c r="E92" s="875"/>
      <c r="F92" s="876"/>
      <c r="G92" s="877"/>
      <c r="H92" s="878"/>
      <c r="I92" s="878"/>
      <c r="J92" s="879"/>
      <c r="K92" s="879"/>
      <c r="L92" s="880"/>
      <c r="M92" s="881"/>
      <c r="N92" s="882"/>
    </row>
    <row r="93" spans="1:14">
      <c r="A93" s="309"/>
      <c r="B93" s="345" t="s">
        <v>390</v>
      </c>
      <c r="C93" s="309"/>
      <c r="D93" s="323"/>
      <c r="E93" s="323"/>
      <c r="F93" s="1114"/>
      <c r="G93" s="323"/>
      <c r="H93" s="546"/>
      <c r="I93" s="546"/>
      <c r="J93" s="309"/>
      <c r="K93" s="309"/>
      <c r="L93" s="324"/>
      <c r="M93" s="309"/>
      <c r="N93" s="5"/>
    </row>
    <row r="94" spans="1:14">
      <c r="A94" s="309"/>
      <c r="B94" s="309" t="s">
        <v>272</v>
      </c>
      <c r="C94" s="309"/>
      <c r="D94" s="323"/>
      <c r="E94" s="323"/>
      <c r="F94" s="1336">
        <v>3756.07</v>
      </c>
      <c r="G94" s="361"/>
      <c r="H94" s="500"/>
      <c r="I94" s="500"/>
      <c r="J94" s="359"/>
      <c r="K94" s="1336">
        <v>4766.18</v>
      </c>
      <c r="L94" s="1336"/>
      <c r="M94" s="1334">
        <f>(K94-F94)/F94</f>
        <v>0.268927362908572</v>
      </c>
    </row>
    <row r="95" spans="1:14">
      <c r="A95" s="309"/>
      <c r="B95" s="309" t="s">
        <v>273</v>
      </c>
      <c r="C95" s="309"/>
      <c r="D95" s="309"/>
      <c r="E95" s="309"/>
      <c r="F95" s="1351"/>
      <c r="G95" s="359"/>
      <c r="H95" s="500"/>
      <c r="I95" s="500"/>
      <c r="J95" s="359"/>
      <c r="K95" s="1352"/>
      <c r="L95" s="395"/>
      <c r="M95" s="579">
        <v>1.8200000000000001E-2</v>
      </c>
    </row>
    <row r="96" spans="1:14">
      <c r="A96" s="309"/>
      <c r="B96" s="1235" t="s">
        <v>228</v>
      </c>
      <c r="C96" s="309"/>
      <c r="D96" s="309"/>
      <c r="E96" s="309"/>
      <c r="F96" s="1351"/>
      <c r="G96" s="359"/>
      <c r="H96" s="500"/>
      <c r="I96" s="500"/>
      <c r="J96" s="359"/>
      <c r="K96" s="1352"/>
      <c r="L96" s="431"/>
      <c r="M96" s="1334">
        <f>M94+M95</f>
        <v>0.28712736290857199</v>
      </c>
    </row>
    <row r="97" spans="1:14">
      <c r="A97" s="309"/>
      <c r="B97" s="1304"/>
      <c r="C97" s="309"/>
      <c r="D97" s="309"/>
      <c r="E97" s="309"/>
      <c r="F97" s="1352"/>
      <c r="G97" s="359"/>
      <c r="H97" s="500"/>
      <c r="I97" s="500"/>
      <c r="J97" s="359"/>
      <c r="K97" s="1352"/>
      <c r="L97" s="431"/>
      <c r="M97" s="1348"/>
    </row>
    <row r="98" spans="1:14">
      <c r="A98" s="309"/>
      <c r="B98" s="591" t="s">
        <v>669</v>
      </c>
      <c r="C98" s="309"/>
      <c r="D98" s="309"/>
      <c r="E98" s="309"/>
      <c r="F98" s="505"/>
      <c r="G98" s="5"/>
      <c r="H98" s="306"/>
      <c r="I98" s="500"/>
      <c r="J98" s="359"/>
      <c r="K98" s="1336"/>
      <c r="L98" s="431"/>
      <c r="M98" s="1353">
        <v>-1.54E-2</v>
      </c>
    </row>
    <row r="99" spans="1:14">
      <c r="A99" s="309"/>
    </row>
    <row r="100" spans="1:14">
      <c r="A100" s="309"/>
      <c r="B100" s="309" t="s">
        <v>670</v>
      </c>
      <c r="C100" s="309"/>
      <c r="D100" s="309"/>
      <c r="E100" s="309"/>
      <c r="F100" s="309"/>
      <c r="G100" s="309"/>
      <c r="H100" s="546"/>
      <c r="I100" s="546"/>
      <c r="J100" s="309"/>
      <c r="K100" s="309"/>
      <c r="L100" s="1020"/>
      <c r="M100" s="882">
        <f>0.8*M96+0.2*M98</f>
        <v>0.22662189032685762</v>
      </c>
    </row>
    <row r="101" spans="1:14">
      <c r="A101" s="5"/>
      <c r="B101" s="309"/>
      <c r="C101" s="5"/>
      <c r="D101" s="5"/>
      <c r="E101" s="5"/>
      <c r="F101" s="5"/>
      <c r="G101" s="5"/>
      <c r="H101" s="68"/>
      <c r="I101" s="68"/>
      <c r="J101" s="5"/>
      <c r="K101" s="5"/>
      <c r="L101" s="5" t="s">
        <v>618</v>
      </c>
      <c r="M101" s="61">
        <f>M89-M100</f>
        <v>1.9338316253618176E-2</v>
      </c>
    </row>
    <row r="102" spans="1:14">
      <c r="A102" s="5"/>
      <c r="B102" s="5"/>
      <c r="C102" s="5"/>
      <c r="D102" s="5"/>
      <c r="E102" s="5"/>
      <c r="F102" s="5"/>
      <c r="G102" s="5"/>
      <c r="H102" s="306"/>
      <c r="I102" s="306"/>
      <c r="J102" s="5"/>
      <c r="K102" s="5"/>
      <c r="L102" s="5"/>
      <c r="M102" s="5" t="s">
        <v>564</v>
      </c>
      <c r="N102" s="5"/>
    </row>
    <row r="103" spans="1:14">
      <c r="A103" s="5"/>
      <c r="B103" s="5"/>
      <c r="C103" s="5"/>
      <c r="D103" s="5"/>
      <c r="E103" s="5"/>
      <c r="F103" s="5"/>
      <c r="G103" s="5"/>
      <c r="H103" s="306"/>
      <c r="I103" s="306"/>
      <c r="K103" s="5" t="s">
        <v>671</v>
      </c>
      <c r="L103" s="5"/>
      <c r="M103" s="5"/>
      <c r="N103" s="5"/>
    </row>
  </sheetData>
  <mergeCells count="7">
    <mergeCell ref="D6:G6"/>
    <mergeCell ref="I6:L6"/>
    <mergeCell ref="B1:N1"/>
    <mergeCell ref="B2:N2"/>
    <mergeCell ref="B3:N3"/>
    <mergeCell ref="D5:L5"/>
    <mergeCell ref="M5:N5"/>
  </mergeCells>
  <conditionalFormatting sqref="B57:B61">
    <cfRule type="containsText" dxfId="155" priority="1" operator="containsText" text="Buy">
      <formula>NOT(ISERROR(SEARCH(("Buy"),(B57))))</formula>
    </cfRule>
    <cfRule type="containsText" dxfId="154" priority="2" operator="containsText" text="Sell">
      <formula>NOT(ISERROR(SEARCH(("Sell"),(B57))))</formula>
    </cfRule>
  </conditionalFormatting>
  <conditionalFormatting sqref="B66">
    <cfRule type="containsText" dxfId="153" priority="11" operator="containsText" text="Buy">
      <formula>NOT(ISERROR(SEARCH(("Buy"),(B66))))</formula>
    </cfRule>
    <cfRule type="containsText" dxfId="152" priority="12" operator="containsText" text="Sell">
      <formula>NOT(ISERROR(SEARCH(("Sell"),(B66))))</formula>
    </cfRule>
  </conditionalFormatting>
  <conditionalFormatting sqref="I67:I68 I70:I83">
    <cfRule type="cellIs" dxfId="151" priority="13" operator="greaterThan">
      <formula>0</formula>
    </cfRule>
    <cfRule type="cellIs" dxfId="150" priority="14" operator="greaterThan">
      <formula>0</formula>
    </cfRule>
  </conditionalFormatting>
  <conditionalFormatting sqref="J66:J82">
    <cfRule type="cellIs" dxfId="149" priority="55" stopIfTrue="1" operator="greaterThan">
      <formula>#REF!</formula>
    </cfRule>
    <cfRule type="cellIs" dxfId="148" priority="56" stopIfTrue="1" operator="lessThanOrEqual">
      <formula>#REF!</formula>
    </cfRule>
    <cfRule type="cellIs" dxfId="147" priority="57" stopIfTrue="1" operator="greaterThan">
      <formula>$M$88</formula>
    </cfRule>
    <cfRule type="cellIs" dxfId="146" priority="58" stopIfTrue="1" operator="lessThanOrEqual">
      <formula>$M$88</formula>
    </cfRule>
    <cfRule type="cellIs" dxfId="145" priority="59" stopIfTrue="1" operator="greaterThan">
      <formula>$N$93</formula>
    </cfRule>
    <cfRule type="cellIs" dxfId="144" priority="60" stopIfTrue="1" operator="lessThanOrEqual">
      <formula>$N$93</formula>
    </cfRule>
  </conditionalFormatting>
  <conditionalFormatting sqref="J83">
    <cfRule type="cellIs" dxfId="143" priority="51" stopIfTrue="1" operator="greaterThan">
      <formula>#REF!</formula>
    </cfRule>
    <cfRule type="cellIs" dxfId="142" priority="52" stopIfTrue="1" operator="lessThanOrEqual">
      <formula>#REF!</formula>
    </cfRule>
    <cfRule type="cellIs" dxfId="141" priority="53" stopIfTrue="1" operator="greaterThan">
      <formula>$N$90</formula>
    </cfRule>
    <cfRule type="cellIs" dxfId="140" priority="54" stopIfTrue="1" operator="lessThanOrEqual">
      <formula>$N$90</formula>
    </cfRule>
  </conditionalFormatting>
  <conditionalFormatting sqref="M9:M63">
    <cfRule type="cellIs" dxfId="139" priority="27" stopIfTrue="1" operator="greaterThanOrEqual">
      <formula>0</formula>
    </cfRule>
    <cfRule type="cellIs" dxfId="138" priority="28" stopIfTrue="1" operator="lessThan">
      <formula>0</formula>
    </cfRule>
  </conditionalFormatting>
  <conditionalFormatting sqref="M51:M63">
    <cfRule type="cellIs" dxfId="137" priority="23" stopIfTrue="1" operator="greaterThan">
      <formula>#REF!</formula>
    </cfRule>
    <cfRule type="cellIs" dxfId="136" priority="24" stopIfTrue="1" operator="lessThanOrEqual">
      <formula>#REF!</formula>
    </cfRule>
  </conditionalFormatting>
  <conditionalFormatting sqref="M64:N65">
    <cfRule type="cellIs" dxfId="135" priority="37" stopIfTrue="1" operator="greaterThan">
      <formula>#REF!</formula>
    </cfRule>
    <cfRule type="cellIs" dxfId="134" priority="38" stopIfTrue="1" operator="lessThanOrEqual">
      <formula>#REF!</formula>
    </cfRule>
  </conditionalFormatting>
  <conditionalFormatting sqref="N9:N10">
    <cfRule type="cellIs" dxfId="133" priority="35" stopIfTrue="1" operator="greaterThan">
      <formula>$M$85</formula>
    </cfRule>
    <cfRule type="cellIs" dxfId="132" priority="36" stopIfTrue="1" operator="lessThanOrEqual">
      <formula>$M$85</formula>
    </cfRule>
  </conditionalFormatting>
  <conditionalFormatting sqref="N9:N12 N14:N15 N18 N22:N47 N54:N61 J83">
    <cfRule type="cellIs" dxfId="131" priority="30" stopIfTrue="1" operator="lessThanOrEqual">
      <formula>$M$85</formula>
    </cfRule>
  </conditionalFormatting>
  <conditionalFormatting sqref="N9:N16 M13:M21 N18 M22:N50 M51:M54 N51:N63 M56:M62">
    <cfRule type="cellIs" dxfId="130" priority="32" stopIfTrue="1" operator="lessThanOrEqual">
      <formula>#REF!</formula>
    </cfRule>
  </conditionalFormatting>
  <conditionalFormatting sqref="N9:N16 N18 M22:N50 N51:N63 M13:M21 M51:M54 M56:M62">
    <cfRule type="cellIs" dxfId="129" priority="31" stopIfTrue="1" operator="greaterThan">
      <formula>#REF!</formula>
    </cfRule>
  </conditionalFormatting>
  <conditionalFormatting sqref="N9:N47 N54:N61">
    <cfRule type="cellIs" dxfId="128" priority="40" stopIfTrue="1" operator="lessThanOrEqual">
      <formula>#REF!</formula>
    </cfRule>
    <cfRule type="cellIs" dxfId="127" priority="39" stopIfTrue="1" operator="greaterThan">
      <formula>#REF!</formula>
    </cfRule>
  </conditionalFormatting>
  <conditionalFormatting sqref="N13">
    <cfRule type="cellIs" dxfId="126" priority="33" stopIfTrue="1" operator="greaterThan">
      <formula>$M$85</formula>
    </cfRule>
    <cfRule type="cellIs" dxfId="125" priority="34" stopIfTrue="1" operator="lessThanOrEqual">
      <formula>$M$85</formula>
    </cfRule>
  </conditionalFormatting>
  <conditionalFormatting sqref="N16">
    <cfRule type="cellIs" dxfId="124" priority="47" stopIfTrue="1" operator="greaterThan">
      <formula>$M$85</formula>
    </cfRule>
    <cfRule type="cellIs" dxfId="123" priority="48" stopIfTrue="1" operator="lessThanOrEqual">
      <formula>$M$85</formula>
    </cfRule>
  </conditionalFormatting>
  <conditionalFormatting sqref="N17:N21">
    <cfRule type="cellIs" dxfId="122" priority="25" stopIfTrue="1" operator="greaterThan">
      <formula>#REF!</formula>
    </cfRule>
    <cfRule type="cellIs" dxfId="121" priority="26" stopIfTrue="1" operator="lessThanOrEqual">
      <formula>#REF!</formula>
    </cfRule>
    <cfRule type="cellIs" dxfId="120" priority="45" stopIfTrue="1" operator="greaterThan">
      <formula>$M$86</formula>
    </cfRule>
    <cfRule type="cellIs" dxfId="119" priority="46" stopIfTrue="1" operator="lessThanOrEqual">
      <formula>$M$86</formula>
    </cfRule>
  </conditionalFormatting>
  <conditionalFormatting sqref="N18 N9:N12 N14:N15 N22:N47 N54:N61 J83">
    <cfRule type="cellIs" dxfId="118" priority="29" stopIfTrue="1" operator="greaterThan">
      <formula>$M$85</formula>
    </cfRule>
  </conditionalFormatting>
  <conditionalFormatting sqref="N19">
    <cfRule type="cellIs" dxfId="117" priority="18" stopIfTrue="1" operator="lessThanOrEqual">
      <formula>#REF!</formula>
    </cfRule>
    <cfRule type="cellIs" dxfId="116" priority="19" stopIfTrue="1" operator="greaterThan">
      <formula>$M$95</formula>
    </cfRule>
    <cfRule type="cellIs" dxfId="115" priority="20" stopIfTrue="1" operator="lessThanOrEqual">
      <formula>$M$95</formula>
    </cfRule>
    <cfRule type="cellIs" dxfId="114" priority="15" stopIfTrue="1" operator="greaterThan">
      <formula>$M$85</formula>
    </cfRule>
    <cfRule type="cellIs" dxfId="113" priority="16" stopIfTrue="1" operator="lessThanOrEqual">
      <formula>$M$85</formula>
    </cfRule>
    <cfRule type="cellIs" dxfId="112" priority="17" stopIfTrue="1" operator="greaterThan">
      <formula>#REF!</formula>
    </cfRule>
  </conditionalFormatting>
  <conditionalFormatting sqref="N25 N28:N34 N36 N45:N47">
    <cfRule type="cellIs" dxfId="111" priority="49" stopIfTrue="1" operator="greaterThan">
      <formula>$M$95</formula>
    </cfRule>
    <cfRule type="cellIs" dxfId="110" priority="50" stopIfTrue="1" operator="lessThanOrEqual">
      <formula>$M$95</formula>
    </cfRule>
  </conditionalFormatting>
  <hyperlinks>
    <hyperlink ref="B96" r:id="rId1" xr:uid="{45AAFB79-B769-457E-B172-46CA40D7A4B4}"/>
  </hyperlinks>
  <pageMargins left="0.7" right="0.7" top="0.75" bottom="0.75" header="0.3" footer="0.3"/>
  <pageSetup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000"/>
  <sheetViews>
    <sheetView topLeftCell="A8" workbookViewId="0">
      <selection activeCell="J47" sqref="J47"/>
    </sheetView>
  </sheetViews>
  <sheetFormatPr defaultColWidth="14.28515625" defaultRowHeight="15" customHeight="1"/>
  <cols>
    <col min="1" max="1" width="24.28515625" customWidth="1"/>
    <col min="2" max="2" width="6.28515625" customWidth="1"/>
    <col min="3" max="3" width="7.28515625" customWidth="1"/>
    <col min="4" max="4" width="6" customWidth="1"/>
    <col min="5" max="5" width="8.28515625" customWidth="1"/>
    <col min="6" max="6" width="7.28515625" customWidth="1"/>
    <col min="7" max="7" width="1.7109375" customWidth="1"/>
    <col min="8" max="8" width="7.28515625" customWidth="1"/>
    <col min="9" max="9" width="5.7109375" customWidth="1"/>
    <col min="10" max="10" width="8.28515625" customWidth="1"/>
    <col min="11" max="11" width="7.28515625" customWidth="1"/>
    <col min="12" max="12" width="15.28515625" customWidth="1"/>
    <col min="13" max="13" width="1.7109375" customWidth="1"/>
    <col min="14" max="14" width="8.7109375" customWidth="1"/>
    <col min="15" max="15" width="7.7109375" customWidth="1"/>
    <col min="16" max="16" width="14.28515625" hidden="1" customWidth="1"/>
    <col min="17" max="17" width="2.28515625" customWidth="1"/>
    <col min="18" max="18" width="14.7109375" customWidth="1"/>
    <col min="19" max="19" width="4.28515625" customWidth="1"/>
    <col min="20" max="20" width="6" customWidth="1"/>
    <col min="21" max="21" width="5.28515625" hidden="1" customWidth="1"/>
    <col min="22" max="22" width="5.28515625" customWidth="1"/>
    <col min="23" max="23" width="4.28515625" hidden="1" customWidth="1"/>
    <col min="24" max="24" width="5" customWidth="1"/>
    <col min="25" max="25" width="5.28515625" hidden="1" customWidth="1"/>
    <col min="26" max="26" width="9" customWidth="1"/>
    <col min="27" max="27" width="7.7109375" hidden="1" customWidth="1"/>
    <col min="28" max="28" width="7.28515625" customWidth="1"/>
    <col min="29" max="29" width="6.28515625" hidden="1" customWidth="1"/>
    <col min="30" max="30" width="5.28515625" customWidth="1"/>
    <col min="31" max="31" width="9" customWidth="1"/>
  </cols>
  <sheetData>
    <row r="1" spans="1:31" ht="12.75" customHeight="1">
      <c r="A1" s="1995" t="s">
        <v>0</v>
      </c>
      <c r="B1" s="1985"/>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309"/>
    </row>
    <row r="2" spans="1:31" ht="12.75" customHeight="1">
      <c r="A2" s="1996" t="s">
        <v>69</v>
      </c>
      <c r="B2" s="1985"/>
      <c r="C2" s="1985"/>
      <c r="D2" s="1985"/>
      <c r="E2" s="1985"/>
      <c r="F2" s="1985"/>
      <c r="G2" s="1985"/>
      <c r="H2" s="1985"/>
      <c r="I2" s="1985"/>
      <c r="J2" s="1985"/>
      <c r="K2" s="1985"/>
      <c r="L2" s="1985"/>
      <c r="M2" s="1985"/>
      <c r="N2" s="1985"/>
      <c r="O2" s="1985"/>
      <c r="P2" s="1985"/>
      <c r="Q2" s="1985"/>
      <c r="R2" s="1985"/>
      <c r="S2" s="1985"/>
      <c r="T2" s="1985"/>
      <c r="U2" s="1985"/>
      <c r="V2" s="1985"/>
      <c r="W2" s="1985"/>
      <c r="X2" s="1985"/>
      <c r="Y2" s="1985"/>
      <c r="Z2" s="1985"/>
      <c r="AA2" s="1985"/>
      <c r="AB2" s="1985"/>
      <c r="AC2" s="1985"/>
      <c r="AD2" s="1985"/>
      <c r="AE2" s="309"/>
    </row>
    <row r="3" spans="1:31" ht="12.75" customHeight="1">
      <c r="A3" s="1997"/>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1985"/>
      <c r="AA3" s="1985"/>
      <c r="AB3" s="1985"/>
      <c r="AC3" s="1985"/>
      <c r="AD3" s="1985"/>
      <c r="AE3" s="309"/>
    </row>
    <row r="4" spans="1:31" ht="12.75" customHeight="1">
      <c r="A4" s="933"/>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309"/>
    </row>
    <row r="5" spans="1:31" ht="12.75" customHeight="1">
      <c r="A5" s="897"/>
      <c r="B5" s="934"/>
      <c r="C5" s="1999" t="s">
        <v>70</v>
      </c>
      <c r="D5" s="1989"/>
      <c r="E5" s="1989"/>
      <c r="F5" s="1989"/>
      <c r="G5" s="1989"/>
      <c r="H5" s="1989"/>
      <c r="I5" s="1989"/>
      <c r="J5" s="1989"/>
      <c r="K5" s="1989"/>
      <c r="L5" s="1990"/>
      <c r="M5" s="898"/>
      <c r="N5" s="1998"/>
      <c r="O5" s="1992"/>
      <c r="P5" s="935"/>
      <c r="Q5" s="935"/>
      <c r="R5" s="1999" t="s">
        <v>71</v>
      </c>
      <c r="S5" s="1989"/>
      <c r="T5" s="1989"/>
      <c r="U5" s="1989"/>
      <c r="V5" s="1989"/>
      <c r="W5" s="1989"/>
      <c r="X5" s="1989"/>
      <c r="Y5" s="1989"/>
      <c r="Z5" s="1989"/>
      <c r="AA5" s="1989"/>
      <c r="AB5" s="1989"/>
      <c r="AC5" s="1989"/>
      <c r="AD5" s="1990"/>
      <c r="AE5" s="309"/>
    </row>
    <row r="6" spans="1:31" ht="12.75" customHeight="1">
      <c r="A6" s="345"/>
      <c r="B6" s="936"/>
      <c r="C6" s="1993">
        <v>37986</v>
      </c>
      <c r="D6" s="1981"/>
      <c r="E6" s="1981"/>
      <c r="F6" s="1981"/>
      <c r="G6" s="937"/>
      <c r="H6" s="1994">
        <v>38352</v>
      </c>
      <c r="I6" s="1981"/>
      <c r="J6" s="1981"/>
      <c r="K6" s="1981"/>
      <c r="L6" s="938" t="s">
        <v>72</v>
      </c>
      <c r="M6" s="345"/>
      <c r="N6" s="308" t="s">
        <v>5</v>
      </c>
      <c r="O6" s="308" t="s">
        <v>6</v>
      </c>
      <c r="P6" s="308"/>
      <c r="Q6" s="308"/>
      <c r="R6" s="939" t="s">
        <v>73</v>
      </c>
      <c r="S6" s="10"/>
      <c r="T6" s="10"/>
      <c r="U6" s="10"/>
      <c r="V6" s="10"/>
      <c r="W6" s="10"/>
      <c r="X6" s="10"/>
      <c r="Y6" s="10"/>
      <c r="Z6" s="10" t="s">
        <v>74</v>
      </c>
      <c r="AA6" s="10"/>
      <c r="AB6" s="10" t="s">
        <v>75</v>
      </c>
      <c r="AC6" s="10"/>
      <c r="AD6" s="11"/>
      <c r="AE6" s="940"/>
    </row>
    <row r="7" spans="1:31" ht="12.75" customHeight="1">
      <c r="A7" s="941" t="s">
        <v>7</v>
      </c>
      <c r="B7" s="942" t="s">
        <v>8</v>
      </c>
      <c r="C7" s="12" t="s">
        <v>9</v>
      </c>
      <c r="D7" s="943" t="s">
        <v>10</v>
      </c>
      <c r="E7" s="943" t="s">
        <v>11</v>
      </c>
      <c r="F7" s="943" t="s">
        <v>12</v>
      </c>
      <c r="G7" s="943"/>
      <c r="H7" s="943" t="s">
        <v>9</v>
      </c>
      <c r="I7" s="943" t="s">
        <v>10</v>
      </c>
      <c r="J7" s="943" t="s">
        <v>11</v>
      </c>
      <c r="K7" s="943" t="s">
        <v>12</v>
      </c>
      <c r="L7" s="944" t="s">
        <v>76</v>
      </c>
      <c r="M7" s="941"/>
      <c r="N7" s="943" t="s">
        <v>15</v>
      </c>
      <c r="O7" s="943" t="s">
        <v>15</v>
      </c>
      <c r="P7" s="943"/>
      <c r="Q7" s="943"/>
      <c r="R7" s="13" t="s">
        <v>77</v>
      </c>
      <c r="S7" s="945"/>
      <c r="T7" s="945" t="s">
        <v>78</v>
      </c>
      <c r="U7" s="945"/>
      <c r="V7" s="945" t="s">
        <v>79</v>
      </c>
      <c r="W7" s="945"/>
      <c r="X7" s="945" t="s">
        <v>80</v>
      </c>
      <c r="Y7" s="945"/>
      <c r="Z7" s="945" t="s">
        <v>81</v>
      </c>
      <c r="AA7" s="945"/>
      <c r="AB7" s="945" t="s">
        <v>82</v>
      </c>
      <c r="AC7" s="945"/>
      <c r="AD7" s="944" t="s">
        <v>83</v>
      </c>
      <c r="AE7" s="940"/>
    </row>
    <row r="8" spans="1:31" ht="12.75" customHeight="1">
      <c r="A8" s="309" t="s">
        <v>84</v>
      </c>
      <c r="B8" s="309" t="s">
        <v>85</v>
      </c>
      <c r="C8" s="946">
        <v>200</v>
      </c>
      <c r="D8" s="947">
        <v>23.93</v>
      </c>
      <c r="E8" s="948">
        <f t="shared" ref="E8:E14" si="0">C8*D8</f>
        <v>4786</v>
      </c>
      <c r="F8" s="949">
        <f t="shared" ref="F8:F14" si="1">E8/$E$43</f>
        <v>6.6078896766842143E-2</v>
      </c>
      <c r="G8" s="949"/>
      <c r="H8" s="950">
        <v>200</v>
      </c>
      <c r="I8" s="947">
        <v>35.67</v>
      </c>
      <c r="J8" s="948">
        <f t="shared" ref="J8:J27" si="2">H8*I8</f>
        <v>7134</v>
      </c>
      <c r="K8" s="949">
        <f t="shared" ref="K8:K27" si="3">J8/$J$43</f>
        <v>8.6458830980620571E-2</v>
      </c>
      <c r="L8" s="951">
        <f t="shared" ref="L8:L27" si="4">J8/$J$39</f>
        <v>0.12681613810906722</v>
      </c>
      <c r="M8" s="309"/>
      <c r="N8" s="949">
        <f>(J8-E8)/E8</f>
        <v>0.49059757626410366</v>
      </c>
      <c r="O8" s="952" t="s">
        <v>86</v>
      </c>
      <c r="P8" s="953" t="e">
        <f t="shared" ref="P8:P27" si="5">R8*L8</f>
        <v>#VALUE!</v>
      </c>
      <c r="Q8" s="953"/>
      <c r="R8" s="954" t="s">
        <v>87</v>
      </c>
      <c r="S8" s="955">
        <f t="shared" ref="S8:S27" si="6">L8*T8</f>
        <v>2.7049882258664035</v>
      </c>
      <c r="T8" s="309">
        <v>21.33</v>
      </c>
      <c r="U8" s="309">
        <f t="shared" ref="U8:U27" si="7">L8*V8</f>
        <v>0.53896858696353567</v>
      </c>
      <c r="V8" s="309">
        <v>4.25</v>
      </c>
      <c r="W8" s="309">
        <f>L8*X8</f>
        <v>0.17500627059051274</v>
      </c>
      <c r="X8" s="309">
        <v>1.38</v>
      </c>
      <c r="Y8" s="956">
        <f t="shared" ref="Y8:Y27" si="8">L8*Z8</f>
        <v>1.0525739463052579E-3</v>
      </c>
      <c r="Z8" s="956">
        <v>8.3000000000000001E-3</v>
      </c>
      <c r="AA8" s="956">
        <f t="shared" ref="AA8:AA27" si="9">L8*AB8</f>
        <v>2.7704253531306823E-2</v>
      </c>
      <c r="AB8" s="956">
        <v>0.21845999999999999</v>
      </c>
      <c r="AC8" s="957">
        <f t="shared" ref="AC8:AC27" si="10">L8*AD8</f>
        <v>0.10107246207292658</v>
      </c>
      <c r="AD8" s="958">
        <v>0.79700000000000004</v>
      </c>
      <c r="AE8" s="309"/>
    </row>
    <row r="9" spans="1:31" ht="12.75" customHeight="1">
      <c r="A9" s="14" t="s">
        <v>88</v>
      </c>
      <c r="B9" s="309" t="s">
        <v>89</v>
      </c>
      <c r="C9" s="946">
        <v>20</v>
      </c>
      <c r="D9" s="309">
        <v>27.42</v>
      </c>
      <c r="E9" s="948">
        <f t="shared" si="0"/>
        <v>548.40000000000009</v>
      </c>
      <c r="F9" s="949">
        <f t="shared" si="1"/>
        <v>7.5715977824772742E-3</v>
      </c>
      <c r="G9" s="949"/>
      <c r="H9" s="950">
        <v>20</v>
      </c>
      <c r="I9" s="309">
        <v>25.7</v>
      </c>
      <c r="J9" s="948">
        <f t="shared" si="2"/>
        <v>514</v>
      </c>
      <c r="K9" s="949">
        <f t="shared" si="3"/>
        <v>6.2293018116118554E-3</v>
      </c>
      <c r="L9" s="951">
        <f t="shared" si="4"/>
        <v>9.1370192021391298E-3</v>
      </c>
      <c r="M9" s="309"/>
      <c r="N9" s="949">
        <f>(J9-E9)/E9</f>
        <v>-6.272793581327514E-2</v>
      </c>
      <c r="O9" s="952" t="s">
        <v>86</v>
      </c>
      <c r="P9" s="953" t="e">
        <f t="shared" si="5"/>
        <v>#VALUE!</v>
      </c>
      <c r="Q9" s="953"/>
      <c r="R9" s="954" t="s">
        <v>87</v>
      </c>
      <c r="S9" s="955">
        <f t="shared" si="6"/>
        <v>0.16400949467839737</v>
      </c>
      <c r="T9" s="309">
        <v>17.95</v>
      </c>
      <c r="U9" s="309">
        <f t="shared" si="7"/>
        <v>3.344149027982922E-2</v>
      </c>
      <c r="V9" s="309">
        <v>3.66</v>
      </c>
      <c r="W9" s="309">
        <f>L9*X9</f>
        <v>1.3705528803208696E-2</v>
      </c>
      <c r="X9" s="309">
        <v>1.5</v>
      </c>
      <c r="Y9" s="956">
        <f t="shared" si="8"/>
        <v>6.7613942095829562E-5</v>
      </c>
      <c r="Z9" s="956">
        <v>7.4000000000000003E-3</v>
      </c>
      <c r="AA9" s="956">
        <f t="shared" si="9"/>
        <v>5.447947699275456E-3</v>
      </c>
      <c r="AB9" s="956">
        <v>0.59624999999999995</v>
      </c>
      <c r="AC9" s="957">
        <f t="shared" si="10"/>
        <v>1.5395877355604434E-2</v>
      </c>
      <c r="AD9" s="958">
        <v>1.6850000000000001</v>
      </c>
      <c r="AE9" s="309"/>
    </row>
    <row r="10" spans="1:31" ht="12.75" customHeight="1">
      <c r="A10" s="14" t="s">
        <v>90</v>
      </c>
      <c r="B10" s="309" t="s">
        <v>91</v>
      </c>
      <c r="C10" s="946">
        <v>150</v>
      </c>
      <c r="D10" s="947">
        <v>19.53</v>
      </c>
      <c r="E10" s="948">
        <f t="shared" si="0"/>
        <v>2929.5</v>
      </c>
      <c r="F10" s="949">
        <f t="shared" si="1"/>
        <v>4.0446746359896375E-2</v>
      </c>
      <c r="G10" s="949"/>
      <c r="H10" s="950">
        <v>75</v>
      </c>
      <c r="I10" s="947">
        <v>17.12</v>
      </c>
      <c r="J10" s="948">
        <f t="shared" si="2"/>
        <v>1284</v>
      </c>
      <c r="K10" s="949">
        <f t="shared" si="3"/>
        <v>1.5561135264804713E-2</v>
      </c>
      <c r="L10" s="951">
        <f t="shared" si="4"/>
        <v>2.2824771703398136E-2</v>
      </c>
      <c r="M10" s="309"/>
      <c r="N10" s="949" t="s">
        <v>86</v>
      </c>
      <c r="O10" s="952" t="s">
        <v>86</v>
      </c>
      <c r="P10" s="953" t="e">
        <f t="shared" si="5"/>
        <v>#VALUE!</v>
      </c>
      <c r="Q10" s="953"/>
      <c r="R10" s="954" t="s">
        <v>87</v>
      </c>
      <c r="S10" s="955">
        <f t="shared" si="6"/>
        <v>0.46060389297457438</v>
      </c>
      <c r="T10" s="309">
        <v>20.18</v>
      </c>
      <c r="U10" s="309">
        <f t="shared" si="7"/>
        <v>0.10727642700597124</v>
      </c>
      <c r="V10" s="309">
        <v>4.7</v>
      </c>
      <c r="W10" s="309">
        <f>L10*X10</f>
        <v>2.5563744307805916E-2</v>
      </c>
      <c r="X10" s="309">
        <v>1.1200000000000001</v>
      </c>
      <c r="Y10" s="956">
        <f t="shared" si="8"/>
        <v>1.7346826494582583E-4</v>
      </c>
      <c r="Z10" s="956">
        <v>7.6E-3</v>
      </c>
      <c r="AA10" s="956">
        <f t="shared" si="9"/>
        <v>7.4258112259835496E-3</v>
      </c>
      <c r="AB10" s="956">
        <v>0.32534000000000002</v>
      </c>
      <c r="AC10" s="957">
        <f t="shared" si="10"/>
        <v>0</v>
      </c>
      <c r="AD10" s="958">
        <v>0</v>
      </c>
      <c r="AE10" s="309"/>
    </row>
    <row r="11" spans="1:31" ht="12.75" customHeight="1">
      <c r="A11" s="959" t="s">
        <v>92</v>
      </c>
      <c r="B11" s="309" t="s">
        <v>93</v>
      </c>
      <c r="C11" s="946">
        <v>34</v>
      </c>
      <c r="D11" s="947">
        <v>27.75</v>
      </c>
      <c r="E11" s="948">
        <f t="shared" si="0"/>
        <v>943.5</v>
      </c>
      <c r="F11" s="949">
        <f t="shared" si="1"/>
        <v>1.3026627475870363E-2</v>
      </c>
      <c r="G11" s="949"/>
      <c r="H11" s="950">
        <v>34</v>
      </c>
      <c r="I11" s="947">
        <v>18.850000000000001</v>
      </c>
      <c r="J11" s="948">
        <f t="shared" si="2"/>
        <v>640.90000000000009</v>
      </c>
      <c r="K11" s="949">
        <f t="shared" si="3"/>
        <v>7.7672364417549393E-3</v>
      </c>
      <c r="L11" s="951">
        <f t="shared" si="4"/>
        <v>1.1392831919554414E-2</v>
      </c>
      <c r="M11" s="309"/>
      <c r="N11" s="949">
        <f>(J11-E11)/E11</f>
        <v>-0.32072072072072061</v>
      </c>
      <c r="O11" s="952" t="s">
        <v>86</v>
      </c>
      <c r="P11" s="953" t="e">
        <f t="shared" si="5"/>
        <v>#VALUE!</v>
      </c>
      <c r="Q11" s="953"/>
      <c r="R11" s="954" t="s">
        <v>87</v>
      </c>
      <c r="S11" s="955">
        <f t="shared" si="6"/>
        <v>0.23936339862983827</v>
      </c>
      <c r="T11" s="309">
        <v>21.01</v>
      </c>
      <c r="U11" s="309">
        <f t="shared" si="7"/>
        <v>4.8989177254083978E-2</v>
      </c>
      <c r="V11" s="309">
        <v>4.3</v>
      </c>
      <c r="W11" s="309">
        <f>L11*X11</f>
        <v>1.127890360035887E-2</v>
      </c>
      <c r="X11" s="309">
        <v>0.99</v>
      </c>
      <c r="Y11" s="956">
        <f t="shared" si="8"/>
        <v>0</v>
      </c>
      <c r="Z11" s="956">
        <v>0</v>
      </c>
      <c r="AA11" s="956">
        <f t="shared" si="9"/>
        <v>3.3859496464915722E-3</v>
      </c>
      <c r="AB11" s="956">
        <v>0.29720000000000002</v>
      </c>
      <c r="AC11" s="957">
        <f t="shared" si="10"/>
        <v>1.8456387709678151E-3</v>
      </c>
      <c r="AD11" s="958">
        <v>0.16200000000000001</v>
      </c>
      <c r="AE11" s="309"/>
    </row>
    <row r="12" spans="1:31" ht="12.75" customHeight="1">
      <c r="A12" s="959" t="s">
        <v>94</v>
      </c>
      <c r="B12" s="309" t="s">
        <v>95</v>
      </c>
      <c r="C12" s="946">
        <v>30</v>
      </c>
      <c r="D12" s="947">
        <v>37.6</v>
      </c>
      <c r="E12" s="948">
        <f t="shared" si="0"/>
        <v>1128</v>
      </c>
      <c r="F12" s="949">
        <f t="shared" si="1"/>
        <v>1.5573964804220212E-2</v>
      </c>
      <c r="G12" s="949"/>
      <c r="H12" s="950">
        <v>30</v>
      </c>
      <c r="I12" s="947">
        <v>26.78</v>
      </c>
      <c r="J12" s="948">
        <f t="shared" si="2"/>
        <v>803.40000000000009</v>
      </c>
      <c r="K12" s="949">
        <f t="shared" si="3"/>
        <v>9.7366168783053798E-3</v>
      </c>
      <c r="L12" s="951">
        <f t="shared" si="4"/>
        <v>1.4281480986378554E-2</v>
      </c>
      <c r="M12" s="309"/>
      <c r="N12" s="949">
        <f>(J12-E12)/E12</f>
        <v>-0.28776595744680844</v>
      </c>
      <c r="O12" s="952" t="s">
        <v>86</v>
      </c>
      <c r="P12" s="953" t="e">
        <f t="shared" si="5"/>
        <v>#VALUE!</v>
      </c>
      <c r="Q12" s="953"/>
      <c r="R12" s="954" t="s">
        <v>87</v>
      </c>
      <c r="S12" s="955">
        <f t="shared" si="6"/>
        <v>0.35489480251150712</v>
      </c>
      <c r="T12" s="309">
        <v>24.85</v>
      </c>
      <c r="U12" s="309">
        <f t="shared" si="7"/>
        <v>5.855407204415207E-2</v>
      </c>
      <c r="V12" s="309">
        <v>4.0999999999999996</v>
      </c>
      <c r="W12" s="546" t="s">
        <v>96</v>
      </c>
      <c r="X12" s="940" t="s">
        <v>96</v>
      </c>
      <c r="Y12" s="956">
        <f t="shared" si="8"/>
        <v>0</v>
      </c>
      <c r="Z12" s="956">
        <v>0</v>
      </c>
      <c r="AA12" s="956">
        <f t="shared" si="9"/>
        <v>3.3695726239261563E-3</v>
      </c>
      <c r="AB12" s="956">
        <v>0.23594000000000001</v>
      </c>
      <c r="AC12" s="957">
        <f t="shared" si="10"/>
        <v>0</v>
      </c>
      <c r="AD12" s="958">
        <v>0</v>
      </c>
      <c r="AE12" s="309"/>
    </row>
    <row r="13" spans="1:31" ht="12.75" customHeight="1">
      <c r="A13" s="309" t="s">
        <v>97</v>
      </c>
      <c r="B13" s="309" t="s">
        <v>98</v>
      </c>
      <c r="C13" s="946">
        <v>55</v>
      </c>
      <c r="D13" s="947">
        <v>21.04</v>
      </c>
      <c r="E13" s="948">
        <f t="shared" si="0"/>
        <v>1157.2</v>
      </c>
      <c r="F13" s="949">
        <f t="shared" si="1"/>
        <v>1.5977120630712438E-2</v>
      </c>
      <c r="G13" s="949"/>
      <c r="H13" s="950">
        <v>55</v>
      </c>
      <c r="I13" s="947">
        <v>27.74</v>
      </c>
      <c r="J13" s="948">
        <f t="shared" si="2"/>
        <v>1525.6999999999998</v>
      </c>
      <c r="K13" s="949">
        <f t="shared" si="3"/>
        <v>1.8490361427969275E-2</v>
      </c>
      <c r="L13" s="951">
        <f t="shared" si="4"/>
        <v>2.7121303884637488E-2</v>
      </c>
      <c r="M13" s="309"/>
      <c r="N13" s="949">
        <f>(J13-E13)/E13</f>
        <v>0.31844106463878308</v>
      </c>
      <c r="O13" s="952" t="s">
        <v>86</v>
      </c>
      <c r="P13" s="953" t="e">
        <f t="shared" si="5"/>
        <v>#VALUE!</v>
      </c>
      <c r="Q13" s="953"/>
      <c r="R13" s="954" t="s">
        <v>86</v>
      </c>
      <c r="S13" s="955">
        <f t="shared" si="6"/>
        <v>0.5261532953619672</v>
      </c>
      <c r="T13" s="309">
        <v>19.399999999999999</v>
      </c>
      <c r="U13" s="309">
        <f t="shared" si="7"/>
        <v>9.1670007130074699E-2</v>
      </c>
      <c r="V13" s="309">
        <v>3.38</v>
      </c>
      <c r="W13" s="309">
        <f t="shared" ref="W13:W27" si="11">L13*X13</f>
        <v>3.5800121127721483E-2</v>
      </c>
      <c r="X13" s="309">
        <v>1.32</v>
      </c>
      <c r="Y13" s="956">
        <f t="shared" si="8"/>
        <v>7.8651781265448714E-5</v>
      </c>
      <c r="Z13" s="956">
        <v>2.8999999999999998E-3</v>
      </c>
      <c r="AA13" s="956">
        <f t="shared" si="9"/>
        <v>5.3824939689451554E-3</v>
      </c>
      <c r="AB13" s="956">
        <v>0.19846</v>
      </c>
      <c r="AC13" s="957">
        <f t="shared" si="10"/>
        <v>1.4292927147203956E-2</v>
      </c>
      <c r="AD13" s="958">
        <v>0.52700000000000002</v>
      </c>
      <c r="AE13" s="309"/>
    </row>
    <row r="14" spans="1:31" ht="12.75" customHeight="1">
      <c r="A14" s="14" t="s">
        <v>99</v>
      </c>
      <c r="B14" s="309" t="s">
        <v>100</v>
      </c>
      <c r="C14" s="946">
        <v>121</v>
      </c>
      <c r="D14" s="947">
        <v>32.28</v>
      </c>
      <c r="E14" s="948">
        <f t="shared" si="0"/>
        <v>3905.88</v>
      </c>
      <c r="F14" s="949">
        <f t="shared" si="1"/>
        <v>5.3927338341762096E-2</v>
      </c>
      <c r="G14" s="949"/>
      <c r="H14" s="950">
        <v>121</v>
      </c>
      <c r="I14" s="947">
        <v>49.25</v>
      </c>
      <c r="J14" s="948">
        <f t="shared" si="2"/>
        <v>5959.25</v>
      </c>
      <c r="K14" s="949">
        <f t="shared" si="3"/>
        <v>7.2221725332389006E-2</v>
      </c>
      <c r="L14" s="951">
        <f t="shared" si="4"/>
        <v>0.10593342739367238</v>
      </c>
      <c r="M14" s="309"/>
      <c r="N14" s="949">
        <f>(J14-E14)/E14</f>
        <v>0.52571251548946707</v>
      </c>
      <c r="O14" s="952" t="s">
        <v>86</v>
      </c>
      <c r="P14" s="953" t="e">
        <f t="shared" si="5"/>
        <v>#VALUE!</v>
      </c>
      <c r="Q14" s="953"/>
      <c r="R14" s="954" t="s">
        <v>87</v>
      </c>
      <c r="S14" s="955">
        <f t="shared" si="6"/>
        <v>1.3781938903916777</v>
      </c>
      <c r="T14" s="309">
        <v>13.01</v>
      </c>
      <c r="U14" s="309">
        <f t="shared" si="7"/>
        <v>0.41631836965713248</v>
      </c>
      <c r="V14" s="309">
        <v>3.93</v>
      </c>
      <c r="W14" s="309">
        <f t="shared" si="11"/>
        <v>6.3560056436203424E-2</v>
      </c>
      <c r="X14" s="309">
        <v>0.6</v>
      </c>
      <c r="Y14" s="956">
        <f t="shared" si="8"/>
        <v>1.6313747818625548E-3</v>
      </c>
      <c r="Z14" s="956">
        <v>1.54E-2</v>
      </c>
      <c r="AA14" s="956">
        <f t="shared" si="9"/>
        <v>3.7534331994126001E-2</v>
      </c>
      <c r="AB14" s="956">
        <v>0.35432000000000002</v>
      </c>
      <c r="AC14" s="957">
        <f t="shared" si="10"/>
        <v>0.56250649946040032</v>
      </c>
      <c r="AD14" s="960">
        <v>5.31</v>
      </c>
      <c r="AE14" s="309"/>
    </row>
    <row r="15" spans="1:31" ht="12.75" customHeight="1">
      <c r="A15" s="959" t="s">
        <v>101</v>
      </c>
      <c r="B15" s="309" t="s">
        <v>102</v>
      </c>
      <c r="C15" s="946"/>
      <c r="D15" s="947"/>
      <c r="E15" s="948"/>
      <c r="F15" s="949"/>
      <c r="G15" s="949"/>
      <c r="H15" s="950">
        <v>40</v>
      </c>
      <c r="I15" s="947">
        <v>44.86</v>
      </c>
      <c r="J15" s="948">
        <f t="shared" si="2"/>
        <v>1794.4</v>
      </c>
      <c r="K15" s="949">
        <f t="shared" si="3"/>
        <v>2.1746807725206835E-2</v>
      </c>
      <c r="L15" s="951">
        <f t="shared" si="4"/>
        <v>3.1897796218518397E-2</v>
      </c>
      <c r="M15" s="309"/>
      <c r="N15" s="961" t="s">
        <v>86</v>
      </c>
      <c r="O15" s="952" t="s">
        <v>86</v>
      </c>
      <c r="P15" s="953" t="e">
        <f t="shared" si="5"/>
        <v>#VALUE!</v>
      </c>
      <c r="Q15" s="953"/>
      <c r="R15" s="954" t="s">
        <v>87</v>
      </c>
      <c r="S15" s="955">
        <f t="shared" si="6"/>
        <v>0.57479828785770148</v>
      </c>
      <c r="T15" s="309">
        <v>18.02</v>
      </c>
      <c r="U15" s="309">
        <f t="shared" si="7"/>
        <v>0.13716052373962911</v>
      </c>
      <c r="V15" s="309">
        <v>4.3</v>
      </c>
      <c r="W15" s="309">
        <f t="shared" si="11"/>
        <v>2.8708016596666559E-2</v>
      </c>
      <c r="X15" s="309">
        <v>0.9</v>
      </c>
      <c r="Y15" s="956">
        <f t="shared" si="8"/>
        <v>0</v>
      </c>
      <c r="Z15" s="956">
        <v>0</v>
      </c>
      <c r="AA15" s="956">
        <f t="shared" si="9"/>
        <v>8.262167176520634E-3</v>
      </c>
      <c r="AB15" s="956">
        <v>0.25901999999999997</v>
      </c>
      <c r="AC15" s="957">
        <f t="shared" si="10"/>
        <v>0</v>
      </c>
      <c r="AD15" s="960">
        <v>0</v>
      </c>
      <c r="AE15" s="309"/>
    </row>
    <row r="16" spans="1:31" ht="12.75" customHeight="1">
      <c r="A16" s="309" t="s">
        <v>103</v>
      </c>
      <c r="B16" s="309" t="s">
        <v>104</v>
      </c>
      <c r="C16" s="946">
        <v>60</v>
      </c>
      <c r="D16" s="947">
        <v>47.53</v>
      </c>
      <c r="E16" s="948">
        <f>C16*D16</f>
        <v>2851.8</v>
      </c>
      <c r="F16" s="949">
        <f>E16/$E$43</f>
        <v>3.9373965273648226E-2</v>
      </c>
      <c r="G16" s="949"/>
      <c r="H16" s="950">
        <v>60</v>
      </c>
      <c r="I16" s="947">
        <v>60.75</v>
      </c>
      <c r="J16" s="948">
        <f t="shared" si="2"/>
        <v>3645</v>
      </c>
      <c r="K16" s="949">
        <f t="shared" si="3"/>
        <v>4.4174718099854501E-2</v>
      </c>
      <c r="L16" s="951">
        <f t="shared" si="4"/>
        <v>6.4794620606609191E-2</v>
      </c>
      <c r="M16" s="309"/>
      <c r="N16" s="949">
        <f>(J16-E16)/E16</f>
        <v>0.27814012202819266</v>
      </c>
      <c r="O16" s="952" t="s">
        <v>86</v>
      </c>
      <c r="P16" s="953" t="e">
        <f t="shared" si="5"/>
        <v>#VALUE!</v>
      </c>
      <c r="Q16" s="953"/>
      <c r="R16" s="954" t="s">
        <v>86</v>
      </c>
      <c r="S16" s="955">
        <f t="shared" si="6"/>
        <v>1.3030198203989107</v>
      </c>
      <c r="T16" s="309">
        <v>20.11</v>
      </c>
      <c r="U16" s="309">
        <f t="shared" si="7"/>
        <v>0.35896219816061492</v>
      </c>
      <c r="V16" s="309">
        <v>5.54</v>
      </c>
      <c r="W16" s="309">
        <f t="shared" si="11"/>
        <v>7.9049437140063211E-2</v>
      </c>
      <c r="X16" s="309">
        <v>1.22</v>
      </c>
      <c r="Y16" s="956">
        <f t="shared" si="8"/>
        <v>4.4708288218560339E-4</v>
      </c>
      <c r="Z16" s="956">
        <v>6.8999999999999999E-3</v>
      </c>
      <c r="AA16" s="956">
        <f t="shared" si="9"/>
        <v>1.8592168436860439E-2</v>
      </c>
      <c r="AB16" s="956">
        <v>0.28693999999999997</v>
      </c>
      <c r="AC16" s="957">
        <f t="shared" si="10"/>
        <v>1.6328244392865517E-2</v>
      </c>
      <c r="AD16" s="958">
        <v>0.252</v>
      </c>
      <c r="AE16" s="309"/>
    </row>
    <row r="17" spans="1:31" ht="12.75" customHeight="1">
      <c r="A17" s="959" t="s">
        <v>105</v>
      </c>
      <c r="B17" s="309" t="s">
        <v>106</v>
      </c>
      <c r="C17" s="946"/>
      <c r="D17" s="947"/>
      <c r="E17" s="948"/>
      <c r="F17" s="949"/>
      <c r="G17" s="949"/>
      <c r="H17" s="950">
        <v>32</v>
      </c>
      <c r="I17" s="947">
        <v>17.190000000000001</v>
      </c>
      <c r="J17" s="948">
        <f t="shared" si="2"/>
        <v>550.08000000000004</v>
      </c>
      <c r="K17" s="949">
        <f t="shared" si="3"/>
        <v>6.6665648648471781E-3</v>
      </c>
      <c r="L17" s="951">
        <f t="shared" si="4"/>
        <v>9.7783881764838387E-3</v>
      </c>
      <c r="M17" s="309"/>
      <c r="N17" s="949" t="s">
        <v>86</v>
      </c>
      <c r="O17" s="952" t="s">
        <v>86</v>
      </c>
      <c r="P17" s="953" t="e">
        <f t="shared" si="5"/>
        <v>#VALUE!</v>
      </c>
      <c r="Q17" s="953"/>
      <c r="R17" s="954" t="s">
        <v>86</v>
      </c>
      <c r="S17" s="955">
        <f t="shared" si="6"/>
        <v>0.17307747072376395</v>
      </c>
      <c r="T17" s="309">
        <v>17.7</v>
      </c>
      <c r="U17" s="309">
        <f t="shared" si="7"/>
        <v>3.9406904351229871E-2</v>
      </c>
      <c r="V17" s="309">
        <v>4.03</v>
      </c>
      <c r="W17" s="309">
        <f t="shared" si="11"/>
        <v>7.9204944229519098E-3</v>
      </c>
      <c r="X17" s="309">
        <v>0.81</v>
      </c>
      <c r="Y17" s="956">
        <f t="shared" si="8"/>
        <v>0</v>
      </c>
      <c r="Z17" s="956">
        <v>0</v>
      </c>
      <c r="AA17" s="956">
        <f t="shared" si="9"/>
        <v>2.1003977803087286E-3</v>
      </c>
      <c r="AB17" s="956">
        <v>0.21479999999999999</v>
      </c>
      <c r="AC17" s="957">
        <f t="shared" si="10"/>
        <v>0</v>
      </c>
      <c r="AD17" s="958">
        <v>0</v>
      </c>
      <c r="AE17" s="309"/>
    </row>
    <row r="18" spans="1:31" ht="12.75" customHeight="1">
      <c r="A18" s="309" t="s">
        <v>107</v>
      </c>
      <c r="B18" s="309" t="s">
        <v>108</v>
      </c>
      <c r="C18" s="946">
        <v>40</v>
      </c>
      <c r="D18" s="947">
        <v>43.53</v>
      </c>
      <c r="E18" s="948">
        <f>C18*D18</f>
        <v>1741.2</v>
      </c>
      <c r="F18" s="949">
        <f>E18/$E$43</f>
        <v>2.4040237160556945E-2</v>
      </c>
      <c r="G18" s="949"/>
      <c r="H18" s="950">
        <v>40</v>
      </c>
      <c r="I18" s="947">
        <v>49.52</v>
      </c>
      <c r="J18" s="948">
        <f t="shared" si="2"/>
        <v>1980.8000000000002</v>
      </c>
      <c r="K18" s="949">
        <f t="shared" si="3"/>
        <v>2.4005838576733003E-2</v>
      </c>
      <c r="L18" s="951">
        <f t="shared" si="4"/>
        <v>3.5211298901940059E-2</v>
      </c>
      <c r="M18" s="309"/>
      <c r="N18" s="949">
        <f>(J18-E18)/E18</f>
        <v>0.13760624856420867</v>
      </c>
      <c r="O18" s="952" t="s">
        <v>86</v>
      </c>
      <c r="P18" s="953" t="e">
        <f t="shared" si="5"/>
        <v>#VALUE!</v>
      </c>
      <c r="Q18" s="953"/>
      <c r="R18" s="954" t="s">
        <v>86</v>
      </c>
      <c r="S18" s="955">
        <f t="shared" si="6"/>
        <v>0.30633830044687849</v>
      </c>
      <c r="T18" s="309">
        <v>8.6999999999999993</v>
      </c>
      <c r="U18" s="309">
        <f t="shared" si="7"/>
        <v>8.4859230353675555E-2</v>
      </c>
      <c r="V18" s="309">
        <v>2.41</v>
      </c>
      <c r="W18" s="309">
        <f t="shared" si="11"/>
        <v>9.1549377145044158E-3</v>
      </c>
      <c r="X18" s="309">
        <v>0.26</v>
      </c>
      <c r="Y18" s="956">
        <f t="shared" si="8"/>
        <v>0</v>
      </c>
      <c r="Z18" s="956">
        <v>0</v>
      </c>
      <c r="AA18" s="956">
        <f t="shared" si="9"/>
        <v>6.9507104032429674E-3</v>
      </c>
      <c r="AB18" s="956">
        <v>0.19739999999999999</v>
      </c>
      <c r="AC18" s="957">
        <f t="shared" si="10"/>
        <v>3.8028202814095267E-2</v>
      </c>
      <c r="AD18" s="958">
        <v>1.08</v>
      </c>
      <c r="AE18" s="309"/>
    </row>
    <row r="19" spans="1:31" ht="12.75" customHeight="1">
      <c r="A19" s="309" t="s">
        <v>109</v>
      </c>
      <c r="B19" s="309" t="s">
        <v>110</v>
      </c>
      <c r="C19" s="946">
        <v>136</v>
      </c>
      <c r="D19" s="947">
        <v>32.049999999999997</v>
      </c>
      <c r="E19" s="948">
        <f>C19*D19</f>
        <v>4358.7999999999993</v>
      </c>
      <c r="F19" s="949">
        <f>E19/$E$43</f>
        <v>6.0180671798435323E-2</v>
      </c>
      <c r="G19" s="949"/>
      <c r="H19" s="950">
        <v>136</v>
      </c>
      <c r="I19" s="947">
        <v>23.39</v>
      </c>
      <c r="J19" s="948">
        <f t="shared" si="2"/>
        <v>3181.04</v>
      </c>
      <c r="K19" s="949">
        <f t="shared" si="3"/>
        <v>3.8551864270057933E-2</v>
      </c>
      <c r="L19" s="951">
        <f t="shared" si="4"/>
        <v>5.6547127554032406E-2</v>
      </c>
      <c r="M19" s="309"/>
      <c r="N19" s="949">
        <f>(J19-E19)/E19</f>
        <v>-0.27020280811232439</v>
      </c>
      <c r="O19" s="952" t="s">
        <v>86</v>
      </c>
      <c r="P19" s="953" t="e">
        <f t="shared" si="5"/>
        <v>#VALUE!</v>
      </c>
      <c r="Q19" s="953"/>
      <c r="R19" s="954" t="s">
        <v>86</v>
      </c>
      <c r="S19" s="955">
        <f t="shared" si="6"/>
        <v>1.1156748266410594</v>
      </c>
      <c r="T19" s="309">
        <v>19.73</v>
      </c>
      <c r="U19" s="309">
        <f t="shared" si="7"/>
        <v>0.21601002725640378</v>
      </c>
      <c r="V19" s="309">
        <v>3.82</v>
      </c>
      <c r="W19" s="309">
        <f t="shared" si="11"/>
        <v>7.6338622197943753E-2</v>
      </c>
      <c r="X19" s="309">
        <v>1.35</v>
      </c>
      <c r="Y19" s="956">
        <f t="shared" si="8"/>
        <v>7.860050730010504E-4</v>
      </c>
      <c r="Z19" s="956">
        <v>1.3899999999999999E-2</v>
      </c>
      <c r="AA19" s="956">
        <f t="shared" si="9"/>
        <v>8.8100424729182485E-3</v>
      </c>
      <c r="AB19" s="956">
        <v>0.15579999999999999</v>
      </c>
      <c r="AC19" s="957">
        <f t="shared" si="10"/>
        <v>1.1309425510806481E-3</v>
      </c>
      <c r="AD19" s="958">
        <v>0.02</v>
      </c>
      <c r="AE19" s="309"/>
    </row>
    <row r="20" spans="1:31" ht="12.75" customHeight="1">
      <c r="A20" s="309" t="s">
        <v>111</v>
      </c>
      <c r="B20" s="309" t="s">
        <v>112</v>
      </c>
      <c r="C20" s="946">
        <v>20</v>
      </c>
      <c r="D20" s="947">
        <v>35.33</v>
      </c>
      <c r="E20" s="948">
        <f>C20*D20</f>
        <v>706.59999999999991</v>
      </c>
      <c r="F20" s="949">
        <f>E20/$E$43</f>
        <v>9.7558187328563827E-3</v>
      </c>
      <c r="G20" s="949"/>
      <c r="H20" s="950">
        <v>100</v>
      </c>
      <c r="I20" s="947">
        <v>26.89</v>
      </c>
      <c r="J20" s="948">
        <f t="shared" si="2"/>
        <v>2689</v>
      </c>
      <c r="K20" s="949">
        <f t="shared" si="3"/>
        <v>3.2588701500825448E-2</v>
      </c>
      <c r="L20" s="951">
        <f t="shared" si="4"/>
        <v>4.7800475942708399E-2</v>
      </c>
      <c r="M20" s="309"/>
      <c r="N20" s="962">
        <f>(I20-D20+0.68)/D20</f>
        <v>-0.21964336258137557</v>
      </c>
      <c r="O20" s="952" t="s">
        <v>86</v>
      </c>
      <c r="P20" s="953" t="e">
        <f t="shared" si="5"/>
        <v>#VALUE!</v>
      </c>
      <c r="Q20" s="953"/>
      <c r="R20" s="954" t="s">
        <v>87</v>
      </c>
      <c r="S20" s="955">
        <f t="shared" si="6"/>
        <v>1.1429093797901579</v>
      </c>
      <c r="T20" s="309">
        <v>23.91</v>
      </c>
      <c r="U20" s="309">
        <f t="shared" si="7"/>
        <v>0.1491374849412502</v>
      </c>
      <c r="V20" s="309">
        <v>3.12</v>
      </c>
      <c r="W20" s="309">
        <f t="shared" si="11"/>
        <v>5.6404561612395911E-2</v>
      </c>
      <c r="X20" s="309">
        <v>1.18</v>
      </c>
      <c r="Y20" s="956">
        <f t="shared" si="8"/>
        <v>1.1519914702192724E-3</v>
      </c>
      <c r="Z20" s="956">
        <v>2.41E-2</v>
      </c>
      <c r="AA20" s="956">
        <f t="shared" si="9"/>
        <v>1.4856387922993772E-2</v>
      </c>
      <c r="AB20" s="956">
        <v>0.31080000000000002</v>
      </c>
      <c r="AC20" s="957">
        <f t="shared" si="10"/>
        <v>1.3145130884244811E-2</v>
      </c>
      <c r="AD20" s="958">
        <v>0.27500000000000002</v>
      </c>
      <c r="AE20" s="309"/>
    </row>
    <row r="21" spans="1:31" ht="12.75" customHeight="1">
      <c r="A21" s="309" t="s">
        <v>113</v>
      </c>
      <c r="B21" s="309" t="s">
        <v>114</v>
      </c>
      <c r="C21" s="946">
        <v>150</v>
      </c>
      <c r="D21" s="947">
        <v>21.86</v>
      </c>
      <c r="E21" s="948">
        <f>C21*D21</f>
        <v>3279</v>
      </c>
      <c r="F21" s="949">
        <f>E21/$E$43</f>
        <v>4.5272190242055033E-2</v>
      </c>
      <c r="G21" s="949"/>
      <c r="H21" s="950">
        <v>150</v>
      </c>
      <c r="I21" s="947">
        <v>19.7</v>
      </c>
      <c r="J21" s="948">
        <f t="shared" si="2"/>
        <v>2955</v>
      </c>
      <c r="K21" s="949">
        <f t="shared" si="3"/>
        <v>3.5812425784655703E-2</v>
      </c>
      <c r="L21" s="951">
        <f t="shared" si="4"/>
        <v>5.2528972261325149E-2</v>
      </c>
      <c r="M21" s="309"/>
      <c r="N21" s="949">
        <f>(J21-E21)/E21</f>
        <v>-9.8810612991765787E-2</v>
      </c>
      <c r="O21" s="952" t="s">
        <v>86</v>
      </c>
      <c r="P21" s="953" t="e">
        <f t="shared" si="5"/>
        <v>#VALUE!</v>
      </c>
      <c r="Q21" s="953"/>
      <c r="R21" s="954" t="s">
        <v>87</v>
      </c>
      <c r="S21" s="955">
        <f t="shared" si="6"/>
        <v>0.85149464035608069</v>
      </c>
      <c r="T21" s="309">
        <v>16.21</v>
      </c>
      <c r="U21" s="309">
        <f t="shared" si="7"/>
        <v>0.13079714093069963</v>
      </c>
      <c r="V21" s="309">
        <v>2.4900000000000002</v>
      </c>
      <c r="W21" s="309">
        <f t="shared" si="11"/>
        <v>5.9883028377910666E-2</v>
      </c>
      <c r="X21" s="309">
        <v>1.1399999999999999</v>
      </c>
      <c r="Y21" s="956">
        <f t="shared" si="8"/>
        <v>1.1241200063923582E-3</v>
      </c>
      <c r="Z21" s="956">
        <v>2.1399999999999999E-2</v>
      </c>
      <c r="AA21" s="956">
        <f t="shared" si="9"/>
        <v>9.3816744458726717E-3</v>
      </c>
      <c r="AB21" s="956">
        <v>0.17860000000000001</v>
      </c>
      <c r="AC21" s="957">
        <f t="shared" si="10"/>
        <v>1.5233401955784293E-3</v>
      </c>
      <c r="AD21" s="958">
        <v>2.9000000000000001E-2</v>
      </c>
      <c r="AE21" s="309"/>
    </row>
    <row r="22" spans="1:31" ht="12.75" customHeight="1">
      <c r="A22" s="309" t="s">
        <v>115</v>
      </c>
      <c r="B22" s="309" t="s">
        <v>116</v>
      </c>
      <c r="C22" s="946">
        <v>60</v>
      </c>
      <c r="D22" s="947">
        <v>24.04</v>
      </c>
      <c r="E22" s="948">
        <f>C22*D22</f>
        <v>1442.3999999999999</v>
      </c>
      <c r="F22" s="949">
        <f>E22/$E$43</f>
        <v>1.9914793292204993E-2</v>
      </c>
      <c r="G22" s="949"/>
      <c r="H22" s="950">
        <v>60</v>
      </c>
      <c r="I22" s="947">
        <v>21.77</v>
      </c>
      <c r="J22" s="948">
        <f t="shared" si="2"/>
        <v>1306.2</v>
      </c>
      <c r="K22" s="949">
        <f t="shared" si="3"/>
        <v>1.5830182930598066E-2</v>
      </c>
      <c r="L22" s="951">
        <f t="shared" si="4"/>
        <v>2.321940560668119E-2</v>
      </c>
      <c r="M22" s="309"/>
      <c r="N22" s="949">
        <f>(J22-E22)/E22</f>
        <v>-9.4425956738768607E-2</v>
      </c>
      <c r="O22" s="952" t="s">
        <v>86</v>
      </c>
      <c r="P22" s="953" t="e">
        <f t="shared" si="5"/>
        <v>#VALUE!</v>
      </c>
      <c r="Q22" s="953"/>
      <c r="R22" s="954" t="s">
        <v>87</v>
      </c>
      <c r="S22" s="955">
        <f t="shared" si="6"/>
        <v>0.43977554219054177</v>
      </c>
      <c r="T22" s="309">
        <v>18.940000000000001</v>
      </c>
      <c r="U22" s="309">
        <f t="shared" si="7"/>
        <v>5.7119737792435725E-2</v>
      </c>
      <c r="V22" s="309">
        <v>2.46</v>
      </c>
      <c r="W22" s="309">
        <f t="shared" si="11"/>
        <v>2.832767484015105E-2</v>
      </c>
      <c r="X22" s="309">
        <v>1.22</v>
      </c>
      <c r="Y22" s="956">
        <f t="shared" si="8"/>
        <v>0</v>
      </c>
      <c r="Z22" s="956">
        <v>0</v>
      </c>
      <c r="AA22" s="956">
        <f t="shared" si="9"/>
        <v>3.1067564701739432E-3</v>
      </c>
      <c r="AB22" s="956">
        <v>0.1338</v>
      </c>
      <c r="AC22" s="957">
        <f t="shared" si="10"/>
        <v>2.7166704559816995E-3</v>
      </c>
      <c r="AD22" s="958">
        <v>0.11700000000000001</v>
      </c>
      <c r="AE22" s="309"/>
    </row>
    <row r="23" spans="1:31" ht="12.75" customHeight="1">
      <c r="A23" s="309" t="s">
        <v>117</v>
      </c>
      <c r="B23" s="309" t="s">
        <v>118</v>
      </c>
      <c r="C23" s="946"/>
      <c r="D23" s="947"/>
      <c r="E23" s="948"/>
      <c r="F23" s="949"/>
      <c r="G23" s="949"/>
      <c r="H23" s="950">
        <v>100</v>
      </c>
      <c r="I23" s="947">
        <v>33.93</v>
      </c>
      <c r="J23" s="948">
        <f t="shared" si="2"/>
        <v>3393</v>
      </c>
      <c r="K23" s="949">
        <f t="shared" si="3"/>
        <v>4.1120663515173198E-2</v>
      </c>
      <c r="L23" s="951">
        <f t="shared" si="4"/>
        <v>6.0314992515288067E-2</v>
      </c>
      <c r="M23" s="309"/>
      <c r="N23" s="949" t="s">
        <v>86</v>
      </c>
      <c r="O23" s="952" t="s">
        <v>86</v>
      </c>
      <c r="P23" s="953" t="e">
        <f t="shared" si="5"/>
        <v>#VALUE!</v>
      </c>
      <c r="Q23" s="953"/>
      <c r="R23" s="954" t="s">
        <v>86</v>
      </c>
      <c r="S23" s="955">
        <f t="shared" si="6"/>
        <v>0.70689171227917613</v>
      </c>
      <c r="T23" s="309">
        <v>11.72</v>
      </c>
      <c r="U23" s="309">
        <f t="shared" si="7"/>
        <v>0.17069142881826524</v>
      </c>
      <c r="V23" s="309">
        <v>2.83</v>
      </c>
      <c r="W23" s="309">
        <f t="shared" si="11"/>
        <v>6.0314992515288067E-2</v>
      </c>
      <c r="X23" s="940">
        <v>1</v>
      </c>
      <c r="Y23" s="956">
        <f t="shared" si="8"/>
        <v>1.1459848577904732E-4</v>
      </c>
      <c r="Z23" s="956">
        <v>1.9E-3</v>
      </c>
      <c r="AA23" s="956">
        <f t="shared" si="9"/>
        <v>3.2570095958255555E-3</v>
      </c>
      <c r="AB23" s="956">
        <v>5.3999999999999999E-2</v>
      </c>
      <c r="AC23" s="957">
        <f t="shared" si="10"/>
        <v>1.7973867769555844E-2</v>
      </c>
      <c r="AD23" s="958">
        <v>0.29799999999999999</v>
      </c>
      <c r="AE23" s="309"/>
    </row>
    <row r="24" spans="1:31" ht="12.75" customHeight="1">
      <c r="A24" s="309" t="s">
        <v>119</v>
      </c>
      <c r="B24" s="309" t="s">
        <v>120</v>
      </c>
      <c r="C24" s="946"/>
      <c r="D24" s="947"/>
      <c r="E24" s="948"/>
      <c r="F24" s="949"/>
      <c r="G24" s="949"/>
      <c r="H24" s="950">
        <v>200</v>
      </c>
      <c r="I24" s="947">
        <v>37.049999999999997</v>
      </c>
      <c r="J24" s="948">
        <f t="shared" si="2"/>
        <v>7409.9999999999991</v>
      </c>
      <c r="K24" s="949">
        <f t="shared" si="3"/>
        <v>8.9803747906700079E-2</v>
      </c>
      <c r="L24" s="951">
        <f t="shared" si="4"/>
        <v>0.13172239744718081</v>
      </c>
      <c r="M24" s="309"/>
      <c r="N24" s="949" t="s">
        <v>86</v>
      </c>
      <c r="O24" s="952" t="s">
        <v>86</v>
      </c>
      <c r="P24" s="953" t="e">
        <f t="shared" si="5"/>
        <v>#VALUE!</v>
      </c>
      <c r="Q24" s="953"/>
      <c r="R24" s="954" t="s">
        <v>86</v>
      </c>
      <c r="S24" s="955">
        <f t="shared" si="6"/>
        <v>2.2089846051892223</v>
      </c>
      <c r="T24" s="309">
        <v>16.77</v>
      </c>
      <c r="U24" s="309">
        <f t="shared" si="7"/>
        <v>0.50449678222270256</v>
      </c>
      <c r="V24" s="309">
        <v>3.83</v>
      </c>
      <c r="W24" s="309">
        <f t="shared" si="11"/>
        <v>0.11196403783010368</v>
      </c>
      <c r="X24" s="309">
        <v>0.85</v>
      </c>
      <c r="Y24" s="956">
        <f t="shared" si="8"/>
        <v>4.6102839106513285E-4</v>
      </c>
      <c r="Z24" s="956">
        <v>3.5000000000000001E-3</v>
      </c>
      <c r="AA24" s="956">
        <f t="shared" si="9"/>
        <v>2.5066772234198509E-2</v>
      </c>
      <c r="AB24" s="956">
        <v>0.1903</v>
      </c>
      <c r="AC24" s="957">
        <f t="shared" si="10"/>
        <v>0</v>
      </c>
      <c r="AD24" s="958">
        <v>0</v>
      </c>
      <c r="AE24" s="309"/>
    </row>
    <row r="25" spans="1:31" ht="12.75" customHeight="1">
      <c r="A25" s="309" t="s">
        <v>121</v>
      </c>
      <c r="B25" s="309" t="s">
        <v>122</v>
      </c>
      <c r="C25" s="946">
        <v>50</v>
      </c>
      <c r="D25" s="947">
        <v>52.07</v>
      </c>
      <c r="E25" s="948">
        <f>C25*D25</f>
        <v>2603.5</v>
      </c>
      <c r="F25" s="949">
        <f>E25/$E$43</f>
        <v>3.5945760077825642E-2</v>
      </c>
      <c r="G25" s="949"/>
      <c r="H25" s="950">
        <v>50</v>
      </c>
      <c r="I25" s="947">
        <v>62.67</v>
      </c>
      <c r="J25" s="948">
        <f t="shared" si="2"/>
        <v>3133.5</v>
      </c>
      <c r="K25" s="949">
        <f t="shared" si="3"/>
        <v>3.7975714448804959E-2</v>
      </c>
      <c r="L25" s="951">
        <f t="shared" si="4"/>
        <v>5.5702042159344281E-2</v>
      </c>
      <c r="M25" s="309"/>
      <c r="N25" s="949">
        <f>(J25-E25)/E25</f>
        <v>0.20357211446130211</v>
      </c>
      <c r="O25" s="952" t="s">
        <v>86</v>
      </c>
      <c r="P25" s="953" t="e">
        <f t="shared" si="5"/>
        <v>#VALUE!</v>
      </c>
      <c r="Q25" s="953"/>
      <c r="R25" s="954" t="s">
        <v>86</v>
      </c>
      <c r="S25" s="955">
        <f t="shared" si="6"/>
        <v>0.87062291895055111</v>
      </c>
      <c r="T25" s="309">
        <v>15.63</v>
      </c>
      <c r="U25" s="309">
        <f t="shared" si="7"/>
        <v>0.25010216929545581</v>
      </c>
      <c r="V25" s="309">
        <v>4.49</v>
      </c>
      <c r="W25" s="309">
        <f t="shared" si="11"/>
        <v>5.9044164688904943E-2</v>
      </c>
      <c r="X25" s="309">
        <v>1.06</v>
      </c>
      <c r="Y25" s="956">
        <f t="shared" si="8"/>
        <v>0</v>
      </c>
      <c r="Z25" s="956">
        <v>0</v>
      </c>
      <c r="AA25" s="956">
        <f t="shared" si="9"/>
        <v>1.6783025302610433E-2</v>
      </c>
      <c r="AB25" s="956">
        <v>0.30130000000000001</v>
      </c>
      <c r="AC25" s="957">
        <f t="shared" si="10"/>
        <v>0</v>
      </c>
      <c r="AD25" s="958">
        <v>0</v>
      </c>
      <c r="AE25" s="309"/>
    </row>
    <row r="26" spans="1:31" ht="12.75" customHeight="1">
      <c r="A26" s="309" t="s">
        <v>123</v>
      </c>
      <c r="B26" s="309" t="s">
        <v>124</v>
      </c>
      <c r="C26" s="946">
        <v>215</v>
      </c>
      <c r="D26" s="947">
        <v>22.05</v>
      </c>
      <c r="E26" s="948">
        <f>C26*D26</f>
        <v>4740.75</v>
      </c>
      <c r="F26" s="949">
        <f>E26/$E$43</f>
        <v>6.5454143302843062E-2</v>
      </c>
      <c r="G26" s="949"/>
      <c r="H26" s="950">
        <v>215</v>
      </c>
      <c r="I26" s="947">
        <v>25.13</v>
      </c>
      <c r="J26" s="948">
        <f t="shared" si="2"/>
        <v>5402.95</v>
      </c>
      <c r="K26" s="949">
        <f t="shared" si="3"/>
        <v>6.5479778644062792E-2</v>
      </c>
      <c r="L26" s="951">
        <f t="shared" si="4"/>
        <v>9.6044470619061489E-2</v>
      </c>
      <c r="M26" s="309"/>
      <c r="N26" s="949">
        <f>(J26-E26)/E26</f>
        <v>0.13968253968253963</v>
      </c>
      <c r="O26" s="952" t="s">
        <v>86</v>
      </c>
      <c r="P26" s="953" t="e">
        <f t="shared" si="5"/>
        <v>#VALUE!</v>
      </c>
      <c r="Q26" s="953"/>
      <c r="R26" s="954" t="s">
        <v>87</v>
      </c>
      <c r="S26" s="955">
        <f t="shared" si="6"/>
        <v>1.6068239934568989</v>
      </c>
      <c r="T26" s="309">
        <v>16.73</v>
      </c>
      <c r="U26" s="309">
        <f t="shared" si="7"/>
        <v>0.7318588661172486</v>
      </c>
      <c r="V26" s="309">
        <v>7.62</v>
      </c>
      <c r="W26" s="309">
        <f t="shared" si="11"/>
        <v>9.5084025912870879E-2</v>
      </c>
      <c r="X26" s="309">
        <v>0.99</v>
      </c>
      <c r="Y26" s="956">
        <f t="shared" si="8"/>
        <v>7.1072908258105506E-4</v>
      </c>
      <c r="Z26" s="956">
        <v>7.4000000000000003E-3</v>
      </c>
      <c r="AA26" s="956">
        <f t="shared" si="9"/>
        <v>4.1856180295786999E-2</v>
      </c>
      <c r="AB26" s="956">
        <v>0.43580000000000002</v>
      </c>
      <c r="AC26" s="957">
        <f t="shared" si="10"/>
        <v>4.1587255778053625E-2</v>
      </c>
      <c r="AD26" s="958">
        <v>0.433</v>
      </c>
      <c r="AE26" s="309"/>
    </row>
    <row r="27" spans="1:31" ht="12.75" customHeight="1">
      <c r="A27" s="959" t="s">
        <v>125</v>
      </c>
      <c r="B27" s="309" t="s">
        <v>126</v>
      </c>
      <c r="C27" s="946">
        <v>43</v>
      </c>
      <c r="D27" s="947">
        <v>37.07</v>
      </c>
      <c r="E27" s="948">
        <f>C27*D27</f>
        <v>1594.01</v>
      </c>
      <c r="F27" s="949">
        <f>E27/$E$43</f>
        <v>2.2008028047495621E-2</v>
      </c>
      <c r="G27" s="949"/>
      <c r="H27" s="950">
        <v>43</v>
      </c>
      <c r="I27" s="947">
        <v>22.15</v>
      </c>
      <c r="J27" s="948">
        <f t="shared" si="2"/>
        <v>952.44999999999993</v>
      </c>
      <c r="K27" s="949">
        <f t="shared" si="3"/>
        <v>1.1542993211030566E-2</v>
      </c>
      <c r="L27" s="951">
        <f t="shared" si="4"/>
        <v>1.6931038791979405E-2</v>
      </c>
      <c r="M27" s="309"/>
      <c r="N27" s="949">
        <f>(J27-E27)/E27</f>
        <v>-0.40248179120582683</v>
      </c>
      <c r="O27" s="952" t="s">
        <v>86</v>
      </c>
      <c r="P27" s="953" t="e">
        <f t="shared" si="5"/>
        <v>#VALUE!</v>
      </c>
      <c r="Q27" s="953"/>
      <c r="R27" s="954" t="s">
        <v>87</v>
      </c>
      <c r="S27" s="955">
        <f t="shared" si="6"/>
        <v>0.291044556834126</v>
      </c>
      <c r="T27" s="309">
        <v>17.190000000000001</v>
      </c>
      <c r="U27" s="309">
        <f t="shared" si="7"/>
        <v>3.0137249049723341E-2</v>
      </c>
      <c r="V27" s="309">
        <v>1.78</v>
      </c>
      <c r="W27" s="309">
        <f t="shared" si="11"/>
        <v>2.8274834782605604E-2</v>
      </c>
      <c r="X27" s="309">
        <v>1.67</v>
      </c>
      <c r="Y27" s="956">
        <f t="shared" si="8"/>
        <v>0</v>
      </c>
      <c r="Z27" s="956">
        <v>0</v>
      </c>
      <c r="AA27" s="956">
        <f t="shared" si="9"/>
        <v>1.4543762322310309E-3</v>
      </c>
      <c r="AB27" s="956">
        <v>8.5900000000000004E-2</v>
      </c>
      <c r="AC27" s="957">
        <f t="shared" si="10"/>
        <v>7.1448983702153083E-3</v>
      </c>
      <c r="AD27" s="958">
        <v>0.42199999999999999</v>
      </c>
      <c r="AE27" s="309"/>
    </row>
    <row r="28" spans="1:31" ht="12.75" customHeight="1">
      <c r="A28" s="963"/>
      <c r="B28" s="309"/>
      <c r="C28" s="946"/>
      <c r="D28" s="947"/>
      <c r="E28" s="948"/>
      <c r="F28" s="949"/>
      <c r="G28" s="949"/>
      <c r="H28" s="950"/>
      <c r="I28" s="964"/>
      <c r="J28" s="948"/>
      <c r="K28" s="949"/>
      <c r="L28" s="965"/>
      <c r="M28" s="309"/>
      <c r="N28" s="949"/>
      <c r="O28" s="952"/>
      <c r="P28" s="952"/>
      <c r="Q28" s="952"/>
      <c r="R28" s="344"/>
      <c r="S28" s="309"/>
      <c r="T28" s="309"/>
      <c r="U28" s="309"/>
      <c r="V28" s="309"/>
      <c r="W28" s="309"/>
      <c r="X28" s="309"/>
      <c r="Y28" s="309"/>
      <c r="Z28" s="956"/>
      <c r="AA28" s="956"/>
      <c r="AB28" s="956"/>
      <c r="AC28" s="956"/>
      <c r="AD28" s="958"/>
      <c r="AE28" s="309"/>
    </row>
    <row r="29" spans="1:31" ht="12.75" customHeight="1">
      <c r="A29" s="963"/>
      <c r="B29" s="309"/>
      <c r="C29" s="946"/>
      <c r="D29" s="947"/>
      <c r="E29" s="948"/>
      <c r="F29" s="949"/>
      <c r="G29" s="949"/>
      <c r="H29" s="950"/>
      <c r="I29" s="964"/>
      <c r="J29" s="948"/>
      <c r="K29" s="949"/>
      <c r="L29" s="965"/>
      <c r="M29" s="309"/>
      <c r="N29" s="949"/>
      <c r="O29" s="952"/>
      <c r="P29" s="952"/>
      <c r="Q29" s="952"/>
      <c r="R29" s="344"/>
      <c r="S29" s="309"/>
      <c r="T29" s="309"/>
      <c r="U29" s="309"/>
      <c r="V29" s="309"/>
      <c r="W29" s="309"/>
      <c r="X29" s="309"/>
      <c r="Y29" s="309"/>
      <c r="Z29" s="956"/>
      <c r="AA29" s="956"/>
      <c r="AB29" s="956"/>
      <c r="AC29" s="956"/>
      <c r="AD29" s="958"/>
      <c r="AE29" s="309"/>
    </row>
    <row r="30" spans="1:31" ht="12.75" customHeight="1">
      <c r="A30" s="309" t="s">
        <v>127</v>
      </c>
      <c r="B30" s="309" t="s">
        <v>128</v>
      </c>
      <c r="C30" s="946">
        <v>100</v>
      </c>
      <c r="D30" s="947">
        <v>54.5</v>
      </c>
      <c r="E30" s="948">
        <f t="shared" ref="E30:E36" si="12">C30*D30</f>
        <v>5450</v>
      </c>
      <c r="F30" s="949">
        <f t="shared" ref="F30:F36" si="13">E30/$E$43</f>
        <v>7.5246549807624255E-2</v>
      </c>
      <c r="G30" s="949"/>
      <c r="H30" s="950"/>
      <c r="I30" s="964"/>
      <c r="J30" s="948"/>
      <c r="K30" s="949"/>
      <c r="L30" s="965"/>
      <c r="M30" s="309"/>
      <c r="N30" s="949" t="s">
        <v>86</v>
      </c>
      <c r="O30" s="952" t="s">
        <v>86</v>
      </c>
      <c r="P30" s="952"/>
      <c r="Q30" s="952"/>
      <c r="R30" s="344"/>
      <c r="S30" s="309"/>
      <c r="T30" s="309">
        <v>18.510000000000002</v>
      </c>
      <c r="U30" s="309"/>
      <c r="V30" s="309">
        <v>3.21</v>
      </c>
      <c r="W30" s="309"/>
      <c r="X30" s="309">
        <v>1.1299999999999999</v>
      </c>
      <c r="Y30" s="309"/>
      <c r="Z30" s="956">
        <v>0</v>
      </c>
      <c r="AA30" s="956"/>
      <c r="AB30" s="956">
        <v>0.24929999999999999</v>
      </c>
      <c r="AC30" s="956"/>
      <c r="AD30" s="958">
        <v>2.3E-2</v>
      </c>
      <c r="AE30" s="309"/>
    </row>
    <row r="31" spans="1:31" ht="12.75" customHeight="1">
      <c r="A31" s="309" t="s">
        <v>129</v>
      </c>
      <c r="B31" s="309" t="s">
        <v>130</v>
      </c>
      <c r="C31" s="946">
        <v>50</v>
      </c>
      <c r="D31" s="947">
        <v>7.68</v>
      </c>
      <c r="E31" s="948">
        <f t="shared" si="12"/>
        <v>384</v>
      </c>
      <c r="F31" s="949">
        <f t="shared" si="13"/>
        <v>5.3017752525004978E-3</v>
      </c>
      <c r="G31" s="949"/>
      <c r="H31" s="950"/>
      <c r="I31" s="964"/>
      <c r="J31" s="948"/>
      <c r="K31" s="949"/>
      <c r="L31" s="965"/>
      <c r="M31" s="309"/>
      <c r="N31" s="949" t="s">
        <v>86</v>
      </c>
      <c r="O31" s="952" t="s">
        <v>86</v>
      </c>
      <c r="P31" s="952"/>
      <c r="Q31" s="952"/>
      <c r="R31" s="344"/>
      <c r="S31" s="309"/>
      <c r="T31" s="309"/>
      <c r="U31" s="309"/>
      <c r="V31" s="309"/>
      <c r="W31" s="309"/>
      <c r="X31" s="309"/>
      <c r="Y31" s="309"/>
      <c r="Z31" s="956"/>
      <c r="AA31" s="956"/>
      <c r="AB31" s="956"/>
      <c r="AC31" s="956"/>
      <c r="AD31" s="958"/>
      <c r="AE31" s="309"/>
    </row>
    <row r="32" spans="1:31" ht="12.75" customHeight="1">
      <c r="A32" s="309" t="s">
        <v>131</v>
      </c>
      <c r="B32" s="309" t="s">
        <v>132</v>
      </c>
      <c r="C32" s="946">
        <v>45</v>
      </c>
      <c r="D32" s="947">
        <v>28.06</v>
      </c>
      <c r="E32" s="948">
        <f t="shared" si="12"/>
        <v>1262.7</v>
      </c>
      <c r="F32" s="949">
        <f t="shared" si="13"/>
        <v>1.7433728154511403E-2</v>
      </c>
      <c r="G32" s="949"/>
      <c r="H32" s="950"/>
      <c r="I32" s="964"/>
      <c r="J32" s="948"/>
      <c r="K32" s="949"/>
      <c r="L32" s="965"/>
      <c r="M32" s="309"/>
      <c r="N32" s="949" t="s">
        <v>86</v>
      </c>
      <c r="O32" s="952" t="s">
        <v>86</v>
      </c>
      <c r="P32" s="952"/>
      <c r="Q32" s="952"/>
      <c r="R32" s="344"/>
      <c r="S32" s="309"/>
      <c r="T32" s="309">
        <v>10.93</v>
      </c>
      <c r="U32" s="309"/>
      <c r="V32" s="309">
        <v>3.71</v>
      </c>
      <c r="W32" s="309"/>
      <c r="X32" s="309">
        <v>1.21</v>
      </c>
      <c r="Y32" s="309"/>
      <c r="Z32" s="956">
        <v>0</v>
      </c>
      <c r="AA32" s="956"/>
      <c r="AB32" s="956">
        <v>0.16300000000000001</v>
      </c>
      <c r="AC32" s="956"/>
      <c r="AD32" s="958">
        <v>1.024</v>
      </c>
      <c r="AE32" s="956"/>
    </row>
    <row r="33" spans="1:31" ht="12.75" customHeight="1">
      <c r="A33" s="309" t="s">
        <v>133</v>
      </c>
      <c r="B33" s="309" t="s">
        <v>134</v>
      </c>
      <c r="C33" s="946">
        <v>200</v>
      </c>
      <c r="D33" s="947">
        <v>26.3</v>
      </c>
      <c r="E33" s="948">
        <f t="shared" si="12"/>
        <v>5260</v>
      </c>
      <c r="F33" s="949">
        <f t="shared" si="13"/>
        <v>7.2623275594147441E-2</v>
      </c>
      <c r="G33" s="949"/>
      <c r="H33" s="950"/>
      <c r="I33" s="964"/>
      <c r="J33" s="948"/>
      <c r="K33" s="949"/>
      <c r="L33" s="965"/>
      <c r="M33" s="309"/>
      <c r="N33" s="949" t="s">
        <v>86</v>
      </c>
      <c r="O33" s="952" t="s">
        <v>86</v>
      </c>
      <c r="P33" s="952"/>
      <c r="Q33" s="952"/>
      <c r="R33" s="344"/>
      <c r="S33" s="309"/>
      <c r="T33" s="309">
        <v>47.09</v>
      </c>
      <c r="U33" s="309"/>
      <c r="V33" s="309">
        <v>3.74</v>
      </c>
      <c r="W33" s="309"/>
      <c r="X33" s="940" t="s">
        <v>96</v>
      </c>
      <c r="Y33" s="940"/>
      <c r="Z33" s="956">
        <v>1.6400000000000001E-2</v>
      </c>
      <c r="AA33" s="956"/>
      <c r="AB33" s="956">
        <v>0.1666</v>
      </c>
      <c r="AC33" s="956"/>
      <c r="AD33" s="958">
        <v>7.0000000000000001E-3</v>
      </c>
      <c r="AE33" s="309"/>
    </row>
    <row r="34" spans="1:31" ht="12.75" customHeight="1">
      <c r="A34" s="309" t="s">
        <v>135</v>
      </c>
      <c r="B34" s="309" t="s">
        <v>136</v>
      </c>
      <c r="C34" s="946">
        <v>35</v>
      </c>
      <c r="D34" s="947">
        <v>88.58</v>
      </c>
      <c r="E34" s="948">
        <f t="shared" si="12"/>
        <v>3100.2999999999997</v>
      </c>
      <c r="F34" s="949">
        <f t="shared" si="13"/>
        <v>4.2804931810748154E-2</v>
      </c>
      <c r="G34" s="949"/>
      <c r="H34" s="950"/>
      <c r="I34" s="964"/>
      <c r="J34" s="948"/>
      <c r="K34" s="949"/>
      <c r="L34" s="965"/>
      <c r="M34" s="309"/>
      <c r="N34" s="949" t="s">
        <v>86</v>
      </c>
      <c r="O34" s="952" t="s">
        <v>86</v>
      </c>
      <c r="P34" s="952"/>
      <c r="Q34" s="952"/>
      <c r="R34" s="344"/>
      <c r="S34" s="309"/>
      <c r="T34" s="309">
        <v>28.92</v>
      </c>
      <c r="U34" s="309"/>
      <c r="V34" s="309">
        <v>8.59</v>
      </c>
      <c r="W34" s="309"/>
      <c r="X34" s="309">
        <v>1.83</v>
      </c>
      <c r="Y34" s="309"/>
      <c r="Z34" s="956">
        <v>1.3899999999999999E-2</v>
      </c>
      <c r="AA34" s="956"/>
      <c r="AB34" s="956">
        <v>0.39240000000000003</v>
      </c>
      <c r="AC34" s="956"/>
      <c r="AD34" s="958">
        <v>5.5E-2</v>
      </c>
      <c r="AE34" s="309"/>
    </row>
    <row r="35" spans="1:31" ht="12.75" customHeight="1">
      <c r="A35" s="309" t="s">
        <v>137</v>
      </c>
      <c r="B35" s="309" t="s">
        <v>138</v>
      </c>
      <c r="C35" s="946">
        <v>115</v>
      </c>
      <c r="D35" s="947">
        <v>14.49</v>
      </c>
      <c r="E35" s="948">
        <f t="shared" si="12"/>
        <v>1666.3500000000001</v>
      </c>
      <c r="F35" s="949">
        <f t="shared" si="13"/>
        <v>2.3006805187510949E-2</v>
      </c>
      <c r="G35" s="949"/>
      <c r="H35" s="950"/>
      <c r="I35" s="964"/>
      <c r="J35" s="948"/>
      <c r="K35" s="949"/>
      <c r="L35" s="965"/>
      <c r="M35" s="309"/>
      <c r="N35" s="949" t="s">
        <v>86</v>
      </c>
      <c r="O35" s="952" t="s">
        <v>86</v>
      </c>
      <c r="P35" s="952"/>
      <c r="Q35" s="952"/>
      <c r="R35" s="344"/>
      <c r="S35" s="309"/>
      <c r="T35" s="309">
        <v>12.67</v>
      </c>
      <c r="U35" s="309"/>
      <c r="V35" s="309">
        <v>2.11</v>
      </c>
      <c r="W35" s="309"/>
      <c r="X35" s="309">
        <v>0.67</v>
      </c>
      <c r="Y35" s="309"/>
      <c r="Z35" s="956">
        <v>3.5299999999999998E-2</v>
      </c>
      <c r="AA35" s="956"/>
      <c r="AB35" s="956">
        <v>0.26740000000000003</v>
      </c>
      <c r="AC35" s="956"/>
      <c r="AD35" s="958">
        <v>0.47099999999999997</v>
      </c>
      <c r="AE35" s="309"/>
    </row>
    <row r="36" spans="1:31" ht="12.75" customHeight="1">
      <c r="A36" s="309" t="s">
        <v>139</v>
      </c>
      <c r="B36" s="309" t="s">
        <v>140</v>
      </c>
      <c r="C36" s="946">
        <v>100</v>
      </c>
      <c r="D36" s="947">
        <v>26.5</v>
      </c>
      <c r="E36" s="948">
        <f t="shared" si="12"/>
        <v>2650</v>
      </c>
      <c r="F36" s="949">
        <f t="shared" si="13"/>
        <v>3.6587771924808124E-2</v>
      </c>
      <c r="G36" s="949"/>
      <c r="H36" s="950"/>
      <c r="I36" s="964"/>
      <c r="J36" s="948"/>
      <c r="K36" s="949"/>
      <c r="L36" s="965"/>
      <c r="M36" s="309"/>
      <c r="N36" s="949" t="s">
        <v>86</v>
      </c>
      <c r="O36" s="952"/>
      <c r="P36" s="952"/>
      <c r="Q36" s="952"/>
      <c r="R36" s="344"/>
      <c r="S36" s="309"/>
      <c r="T36" s="309">
        <v>24.4</v>
      </c>
      <c r="U36" s="309"/>
      <c r="V36" s="309">
        <v>2.27</v>
      </c>
      <c r="W36" s="309"/>
      <c r="X36" s="309">
        <v>1.28</v>
      </c>
      <c r="Y36" s="309"/>
      <c r="Z36" s="956">
        <v>1.5E-3</v>
      </c>
      <c r="AA36" s="956"/>
      <c r="AB36" s="956">
        <v>5.3319999999999999E-2</v>
      </c>
      <c r="AC36" s="956"/>
      <c r="AD36" s="958">
        <v>0.55200000000000005</v>
      </c>
      <c r="AE36" s="309"/>
    </row>
    <row r="37" spans="1:31" ht="12.75" customHeight="1">
      <c r="A37" s="309"/>
      <c r="B37" s="309"/>
      <c r="C37" s="946"/>
      <c r="D37" s="947"/>
      <c r="E37" s="948"/>
      <c r="F37" s="949"/>
      <c r="G37" s="949"/>
      <c r="H37" s="950"/>
      <c r="I37" s="964"/>
      <c r="J37" s="948"/>
      <c r="K37" s="949"/>
      <c r="L37" s="965"/>
      <c r="M37" s="309"/>
      <c r="N37" s="949"/>
      <c r="O37" s="309"/>
      <c r="P37" s="309"/>
      <c r="Q37" s="309"/>
      <c r="R37" s="344"/>
      <c r="S37" s="309"/>
      <c r="T37" s="309"/>
      <c r="U37" s="309"/>
      <c r="V37" s="309"/>
      <c r="W37" s="309"/>
      <c r="X37" s="309"/>
      <c r="Y37" s="309"/>
      <c r="Z37" s="309"/>
      <c r="AA37" s="309"/>
      <c r="AB37" s="309"/>
      <c r="AC37" s="309"/>
      <c r="AD37" s="134"/>
      <c r="AE37" s="309"/>
    </row>
    <row r="38" spans="1:31" ht="12.75" customHeight="1">
      <c r="A38" s="897"/>
      <c r="B38" s="897"/>
      <c r="C38" s="25"/>
      <c r="D38" s="897"/>
      <c r="E38" s="897"/>
      <c r="F38" s="897"/>
      <c r="G38" s="897"/>
      <c r="H38" s="897"/>
      <c r="I38" s="897"/>
      <c r="J38" s="897"/>
      <c r="K38" s="897"/>
      <c r="L38" s="934"/>
      <c r="M38" s="897"/>
      <c r="N38" s="897"/>
      <c r="O38" s="897"/>
      <c r="P38" s="897"/>
      <c r="Q38" s="897"/>
      <c r="R38" s="25"/>
      <c r="S38" s="897"/>
      <c r="T38" s="897"/>
      <c r="U38" s="897"/>
      <c r="V38" s="897"/>
      <c r="W38" s="897"/>
      <c r="X38" s="897"/>
      <c r="Y38" s="897"/>
      <c r="Z38" s="897"/>
      <c r="AA38" s="897"/>
      <c r="AB38" s="897"/>
      <c r="AC38" s="897"/>
      <c r="AD38" s="934"/>
      <c r="AE38" s="309"/>
    </row>
    <row r="39" spans="1:31" ht="12.75" customHeight="1">
      <c r="A39" s="345" t="s">
        <v>63</v>
      </c>
      <c r="B39" s="345"/>
      <c r="C39" s="921"/>
      <c r="D39" s="308"/>
      <c r="E39" s="966">
        <f>SUM(E8:E36)</f>
        <v>58489.89</v>
      </c>
      <c r="F39" s="967">
        <f>E39/$E$43</f>
        <v>0.8075527378215529</v>
      </c>
      <c r="G39" s="968"/>
      <c r="H39" s="308"/>
      <c r="I39" s="308"/>
      <c r="J39" s="966">
        <f>SUM(J8:J34)</f>
        <v>56254.67</v>
      </c>
      <c r="K39" s="967">
        <f>J39/$J$43</f>
        <v>0.68176520961600595</v>
      </c>
      <c r="L39" s="969"/>
      <c r="M39" s="345"/>
      <c r="N39" s="970"/>
      <c r="O39" s="309"/>
      <c r="P39" s="309"/>
      <c r="Q39" s="309"/>
      <c r="R39" s="971" t="e">
        <f>SUM(P8:P27)</f>
        <v>#VALUE!</v>
      </c>
      <c r="S39" s="972"/>
      <c r="T39" s="973">
        <f>SUM(S8:S27)</f>
        <v>17.419663055529437</v>
      </c>
      <c r="U39" s="973"/>
      <c r="V39" s="973">
        <f>SUM(U8:U27)</f>
        <v>4.1559578733641134</v>
      </c>
      <c r="W39" s="973"/>
      <c r="X39" s="973">
        <f>SUM(W8:W27)</f>
        <v>1.0253834534981718</v>
      </c>
      <c r="Y39" s="974"/>
      <c r="Z39" s="975">
        <f>SUM(Y8:Y27)</f>
        <v>7.799238107698437E-3</v>
      </c>
      <c r="AA39" s="975"/>
      <c r="AB39" s="975">
        <f>SUM(AA8:AA27)</f>
        <v>0.25072802945959866</v>
      </c>
      <c r="AC39" s="974"/>
      <c r="AD39" s="26">
        <f>SUM(AC8:AC27)</f>
        <v>0.83469195801877427</v>
      </c>
      <c r="AE39" s="309"/>
    </row>
    <row r="40" spans="1:31" ht="12.75" customHeight="1">
      <c r="A40" s="309"/>
      <c r="B40" s="309"/>
      <c r="C40" s="344"/>
      <c r="D40" s="309"/>
      <c r="E40" s="309"/>
      <c r="F40" s="309"/>
      <c r="G40" s="309"/>
      <c r="H40" s="309"/>
      <c r="I40" s="309"/>
      <c r="J40" s="309"/>
      <c r="K40" s="309"/>
      <c r="L40" s="134"/>
      <c r="M40" s="309"/>
      <c r="N40" s="309"/>
      <c r="O40" s="309"/>
      <c r="P40" s="309"/>
      <c r="Q40" s="309"/>
      <c r="R40" s="309"/>
      <c r="S40" s="309"/>
      <c r="T40" s="309"/>
      <c r="U40" s="309"/>
      <c r="V40" s="309"/>
      <c r="W40" s="309"/>
      <c r="X40" s="309"/>
      <c r="Y40" s="309"/>
      <c r="Z40" s="309"/>
      <c r="AA40" s="309"/>
      <c r="AB40" s="309"/>
      <c r="AC40" s="309"/>
      <c r="AD40" s="309"/>
      <c r="AE40" s="309"/>
    </row>
    <row r="41" spans="1:31" ht="12.75" customHeight="1">
      <c r="A41" s="345" t="s">
        <v>64</v>
      </c>
      <c r="B41" s="345"/>
      <c r="C41" s="921"/>
      <c r="D41" s="922"/>
      <c r="E41" s="966">
        <v>13938.68</v>
      </c>
      <c r="F41" s="967">
        <f>E41/$E$43</f>
        <v>0.19244726217844696</v>
      </c>
      <c r="G41" s="968"/>
      <c r="H41" s="308"/>
      <c r="I41" s="922"/>
      <c r="J41" s="966">
        <v>26258.59</v>
      </c>
      <c r="K41" s="967">
        <f>J41/$J$43</f>
        <v>0.31823479038399405</v>
      </c>
      <c r="L41" s="976">
        <f>26258.59-366.31</f>
        <v>25892.28</v>
      </c>
      <c r="M41" s="345"/>
      <c r="N41" s="968"/>
      <c r="O41" s="309"/>
      <c r="P41" s="309"/>
      <c r="Q41" s="309"/>
      <c r="R41" s="977"/>
      <c r="S41" s="977"/>
      <c r="T41" s="309"/>
      <c r="U41" s="309"/>
      <c r="V41" s="309"/>
      <c r="W41" s="309"/>
      <c r="X41" s="309"/>
      <c r="Y41" s="309"/>
      <c r="Z41" s="309"/>
      <c r="AA41" s="309"/>
      <c r="AB41" s="309"/>
      <c r="AC41" s="309"/>
      <c r="AD41" s="309"/>
      <c r="AE41" s="309"/>
    </row>
    <row r="42" spans="1:31" ht="12.75" customHeight="1">
      <c r="A42" s="924" t="s">
        <v>65</v>
      </c>
      <c r="B42" s="924"/>
      <c r="C42" s="6"/>
      <c r="D42" s="925"/>
      <c r="E42" s="978"/>
      <c r="F42" s="979"/>
      <c r="G42" s="980"/>
      <c r="H42" s="925"/>
      <c r="I42" s="925"/>
      <c r="J42" s="978"/>
      <c r="K42" s="979"/>
      <c r="L42" s="21"/>
      <c r="M42" s="924"/>
      <c r="N42" s="981"/>
      <c r="O42" s="923"/>
      <c r="P42" s="923"/>
      <c r="Q42" s="923"/>
      <c r="R42" s="923"/>
      <c r="S42" s="923"/>
      <c r="T42" s="923"/>
      <c r="U42" s="923"/>
      <c r="V42" s="923"/>
      <c r="W42" s="923"/>
      <c r="X42" s="923"/>
      <c r="Y42" s="923"/>
      <c r="Z42" s="923"/>
      <c r="AA42" s="923"/>
      <c r="AB42" s="923"/>
      <c r="AC42" s="923"/>
      <c r="AD42" s="923"/>
      <c r="AE42" s="309"/>
    </row>
    <row r="43" spans="1:31" ht="12.75" customHeight="1">
      <c r="A43" s="345" t="s">
        <v>66</v>
      </c>
      <c r="B43" s="345"/>
      <c r="C43" s="927"/>
      <c r="D43" s="928"/>
      <c r="E43" s="982">
        <f>SUM(E39:E42)</f>
        <v>72428.570000000007</v>
      </c>
      <c r="F43" s="983">
        <f>SUM(F39:F42)</f>
        <v>0.99999999999999989</v>
      </c>
      <c r="G43" s="983"/>
      <c r="H43" s="928"/>
      <c r="I43" s="928"/>
      <c r="J43" s="982">
        <f>SUM(J39:J42)</f>
        <v>82513.259999999995</v>
      </c>
      <c r="K43" s="983">
        <f>SUM(K39:K42)</f>
        <v>1</v>
      </c>
      <c r="L43" s="23"/>
      <c r="M43" s="345"/>
      <c r="N43" s="984">
        <f>(J43-E43)/E43</f>
        <v>0.13923635383109162</v>
      </c>
      <c r="O43" s="309"/>
      <c r="P43" s="309"/>
      <c r="Q43" s="309"/>
      <c r="R43" s="309"/>
      <c r="S43" s="309"/>
      <c r="T43" s="309"/>
      <c r="U43" s="309"/>
      <c r="V43" s="309"/>
      <c r="W43" s="309"/>
      <c r="X43" s="309"/>
      <c r="Y43" s="309"/>
      <c r="Z43" s="309"/>
      <c r="AA43" s="309"/>
      <c r="AB43" s="309"/>
      <c r="AC43" s="309"/>
      <c r="AD43" s="309"/>
      <c r="AE43" s="309"/>
    </row>
    <row r="44" spans="1:31" ht="12.75" customHeight="1">
      <c r="A44" s="309"/>
      <c r="B44" s="985"/>
      <c r="C44" s="940"/>
      <c r="D44" s="940"/>
      <c r="E44" s="940"/>
      <c r="F44" s="940"/>
      <c r="G44" s="940"/>
      <c r="H44" s="940"/>
      <c r="I44" s="940"/>
      <c r="J44" s="940"/>
      <c r="K44" s="949"/>
      <c r="L44" s="949"/>
      <c r="M44" s="309"/>
      <c r="N44" s="309"/>
      <c r="O44" s="309"/>
      <c r="P44" s="309"/>
      <c r="Q44" s="309"/>
      <c r="R44" s="309"/>
      <c r="S44" s="309"/>
      <c r="T44" s="309"/>
      <c r="U44" s="309"/>
      <c r="V44" s="309"/>
      <c r="W44" s="309"/>
      <c r="X44" s="309"/>
      <c r="Y44" s="309"/>
      <c r="Z44" s="309"/>
      <c r="AA44" s="309"/>
      <c r="AB44" s="309"/>
      <c r="AC44" s="309"/>
      <c r="AD44" s="309"/>
      <c r="AE44" s="309"/>
    </row>
    <row r="45" spans="1:31" ht="12.75" customHeight="1">
      <c r="A45" s="872"/>
      <c r="B45" s="873"/>
      <c r="C45" s="872"/>
      <c r="D45" s="879"/>
      <c r="E45" s="986"/>
      <c r="F45" s="881"/>
      <c r="G45" s="879"/>
      <c r="H45" s="879"/>
      <c r="I45" s="879"/>
      <c r="J45" s="881"/>
      <c r="K45" s="881"/>
      <c r="L45" s="881"/>
      <c r="M45" s="879"/>
      <c r="N45" s="872"/>
      <c r="O45" s="987"/>
      <c r="P45" s="987"/>
      <c r="Q45" s="987"/>
      <c r="R45" s="309"/>
      <c r="S45" s="309"/>
      <c r="T45" s="309"/>
      <c r="U45" s="309"/>
      <c r="V45" s="309"/>
      <c r="W45" s="309"/>
      <c r="X45" s="309"/>
      <c r="Y45" s="309"/>
      <c r="Z45" s="309"/>
      <c r="AA45" s="309"/>
      <c r="AB45" s="309"/>
      <c r="AC45" s="309"/>
      <c r="AD45" s="309"/>
      <c r="AE45" s="309"/>
    </row>
    <row r="46" spans="1:31" ht="12.75" customHeight="1">
      <c r="A46" s="345" t="s">
        <v>141</v>
      </c>
      <c r="B46" s="309"/>
      <c r="C46" s="309"/>
      <c r="D46" s="309"/>
      <c r="E46" s="955">
        <v>1111.92</v>
      </c>
      <c r="F46" s="309"/>
      <c r="G46" s="309"/>
      <c r="H46" s="309"/>
      <c r="I46" s="309"/>
      <c r="J46" s="309">
        <v>1211.9159999999999</v>
      </c>
      <c r="K46" s="309"/>
      <c r="L46" s="309"/>
      <c r="M46" s="309"/>
      <c r="N46" s="956">
        <v>0.10879999999999999</v>
      </c>
      <c r="O46" s="309"/>
      <c r="P46" s="309"/>
      <c r="Q46" s="309"/>
      <c r="R46" s="309"/>
      <c r="S46" s="309"/>
      <c r="T46" s="309"/>
      <c r="U46" s="309"/>
      <c r="V46" s="309"/>
      <c r="W46" s="309"/>
      <c r="X46" s="309"/>
      <c r="Y46" s="309"/>
      <c r="Z46" s="309"/>
      <c r="AA46" s="309"/>
      <c r="AB46" s="309"/>
      <c r="AC46" s="309"/>
      <c r="AD46" s="309"/>
      <c r="AE46" s="309"/>
    </row>
    <row r="47" spans="1:31" ht="12.75" customHeight="1">
      <c r="A47" s="345" t="s">
        <v>142</v>
      </c>
      <c r="B47" s="309"/>
      <c r="C47" s="309"/>
      <c r="D47" s="309"/>
      <c r="E47" s="309">
        <v>576.01</v>
      </c>
      <c r="F47" s="309"/>
      <c r="G47" s="309"/>
      <c r="H47" s="309"/>
      <c r="I47" s="309"/>
      <c r="J47" s="309" t="s">
        <v>86</v>
      </c>
      <c r="K47" s="309"/>
      <c r="L47" s="309"/>
      <c r="M47" s="309"/>
      <c r="N47" s="956">
        <v>0.1648</v>
      </c>
      <c r="O47" s="309"/>
      <c r="P47" s="309"/>
      <c r="Q47" s="309"/>
      <c r="R47" s="309"/>
      <c r="S47" s="309"/>
      <c r="T47" s="309"/>
      <c r="U47" s="309"/>
      <c r="V47" s="309"/>
      <c r="W47" s="309"/>
      <c r="X47" s="309"/>
      <c r="Y47" s="309"/>
      <c r="Z47" s="309"/>
      <c r="AA47" s="309"/>
      <c r="AB47" s="309"/>
      <c r="AC47" s="309"/>
      <c r="AD47" s="309"/>
      <c r="AE47" s="309"/>
    </row>
    <row r="48" spans="1:31" ht="12.75" customHeight="1">
      <c r="A48" s="345" t="s">
        <v>143</v>
      </c>
      <c r="B48" s="309"/>
      <c r="C48" s="309"/>
      <c r="D48" s="309"/>
      <c r="E48" s="309">
        <v>270.42</v>
      </c>
      <c r="F48" s="309"/>
      <c r="G48" s="309"/>
      <c r="H48" s="309"/>
      <c r="I48" s="309"/>
      <c r="J48" s="309" t="s">
        <v>86</v>
      </c>
      <c r="K48" s="309"/>
      <c r="L48" s="309"/>
      <c r="M48" s="309"/>
      <c r="N48" s="956">
        <v>0.22650000000000001</v>
      </c>
      <c r="O48" s="309"/>
      <c r="P48" s="309"/>
      <c r="Q48" s="309"/>
      <c r="R48" s="309"/>
      <c r="S48" s="309"/>
      <c r="T48" s="309"/>
      <c r="U48" s="309"/>
      <c r="V48" s="309"/>
      <c r="W48" s="309"/>
      <c r="X48" s="309"/>
      <c r="Y48" s="309"/>
      <c r="Z48" s="309"/>
      <c r="AA48" s="309"/>
      <c r="AB48" s="309"/>
      <c r="AC48" s="309"/>
      <c r="AD48" s="309"/>
      <c r="AE48" s="309"/>
    </row>
    <row r="49" spans="1:31" ht="12.75" customHeight="1">
      <c r="A49" s="345" t="s">
        <v>144</v>
      </c>
      <c r="B49" s="309"/>
      <c r="C49" s="309"/>
      <c r="D49" s="309"/>
      <c r="E49" s="309">
        <v>247.31</v>
      </c>
      <c r="F49" s="309"/>
      <c r="G49" s="309"/>
      <c r="H49" s="309"/>
      <c r="I49" s="309"/>
      <c r="J49" s="309" t="s">
        <v>86</v>
      </c>
      <c r="K49" s="309"/>
      <c r="L49" s="309"/>
      <c r="M49" s="309"/>
      <c r="N49" s="956">
        <v>0.1178</v>
      </c>
      <c r="O49" s="309"/>
      <c r="P49" s="309"/>
      <c r="Q49" s="309"/>
      <c r="R49" s="309"/>
      <c r="S49" s="309"/>
      <c r="T49" s="309"/>
      <c r="U49" s="309"/>
      <c r="V49" s="309"/>
      <c r="W49" s="309"/>
      <c r="X49" s="309"/>
      <c r="Y49" s="309"/>
      <c r="Z49" s="309"/>
      <c r="AA49" s="309"/>
      <c r="AB49" s="309"/>
      <c r="AC49" s="309"/>
      <c r="AD49" s="309"/>
      <c r="AE49" s="309"/>
    </row>
    <row r="50" spans="1:31" ht="12.75" customHeight="1">
      <c r="A50" s="309"/>
      <c r="B50" s="309"/>
      <c r="C50" s="309"/>
      <c r="D50" s="309"/>
      <c r="E50" s="309"/>
      <c r="F50" s="309"/>
      <c r="G50" s="309"/>
      <c r="H50" s="309"/>
      <c r="I50" s="309"/>
      <c r="J50" s="309"/>
      <c r="K50" s="309"/>
      <c r="L50" s="309"/>
      <c r="M50" s="309"/>
      <c r="N50" s="956"/>
      <c r="O50" s="309"/>
      <c r="P50" s="309"/>
      <c r="Q50" s="309"/>
      <c r="R50" s="309"/>
      <c r="S50" s="309"/>
      <c r="T50" s="309"/>
      <c r="U50" s="309"/>
      <c r="V50" s="309"/>
      <c r="W50" s="309"/>
      <c r="X50" s="309"/>
      <c r="Y50" s="309"/>
      <c r="Z50" s="309"/>
      <c r="AA50" s="309"/>
      <c r="AB50" s="309"/>
      <c r="AC50" s="309"/>
      <c r="AD50" s="309"/>
      <c r="AE50" s="309"/>
    </row>
    <row r="51" spans="1:31" ht="12.75" customHeight="1">
      <c r="A51" s="309"/>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row>
    <row r="52" spans="1:31" ht="12.75" customHeight="1">
      <c r="A52" s="345" t="s">
        <v>145</v>
      </c>
      <c r="B52" s="345"/>
      <c r="C52" s="345"/>
      <c r="D52" s="345"/>
      <c r="E52" s="345"/>
      <c r="F52" s="345"/>
      <c r="G52" s="345"/>
      <c r="H52" s="345"/>
      <c r="I52" s="345"/>
      <c r="J52" s="345"/>
      <c r="K52" s="345"/>
      <c r="L52" s="345"/>
      <c r="M52" s="345"/>
      <c r="N52" s="984">
        <f>AVERAGE(N46:N48)</f>
        <v>0.16669999999999999</v>
      </c>
      <c r="O52" s="309"/>
      <c r="P52" s="309"/>
      <c r="Q52" s="309"/>
      <c r="R52" s="309"/>
      <c r="S52" s="309"/>
      <c r="T52" s="309"/>
      <c r="U52" s="309"/>
      <c r="V52" s="309"/>
      <c r="W52" s="309"/>
      <c r="X52" s="309"/>
      <c r="Y52" s="309"/>
      <c r="Z52" s="309"/>
      <c r="AA52" s="309"/>
      <c r="AB52" s="309"/>
      <c r="AC52" s="309"/>
      <c r="AD52" s="309"/>
      <c r="AE52" s="309"/>
    </row>
    <row r="53" spans="1:31" ht="12.75" customHeight="1">
      <c r="A53" s="309" t="s">
        <v>146</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row>
    <row r="54" spans="1:31" ht="12.75" customHeight="1">
      <c r="A54" s="988"/>
      <c r="B54" s="988"/>
      <c r="C54" s="988"/>
      <c r="D54" s="988"/>
      <c r="E54" s="988"/>
      <c r="F54" s="988"/>
      <c r="G54" s="988"/>
      <c r="H54" s="988"/>
      <c r="I54" s="988"/>
      <c r="J54" s="988"/>
      <c r="K54" s="988"/>
      <c r="L54" s="988"/>
      <c r="M54" s="988"/>
      <c r="N54" s="988"/>
      <c r="O54" s="988"/>
      <c r="P54" s="988"/>
      <c r="Q54" s="988"/>
      <c r="R54" s="988"/>
      <c r="S54" s="988"/>
      <c r="T54" s="988"/>
      <c r="U54" s="988"/>
      <c r="V54" s="988"/>
      <c r="W54" s="988"/>
      <c r="X54" s="988"/>
      <c r="Y54" s="988"/>
      <c r="Z54" s="988"/>
      <c r="AA54" s="988"/>
      <c r="AB54" s="988"/>
      <c r="AC54" s="988"/>
      <c r="AD54" s="988"/>
      <c r="AE54" s="309"/>
    </row>
    <row r="55" spans="1:31" ht="12.75" customHeight="1">
      <c r="A55" s="988"/>
      <c r="B55" s="988"/>
      <c r="C55" s="988"/>
      <c r="D55" s="988"/>
      <c r="E55" s="988"/>
      <c r="F55" s="988"/>
      <c r="G55" s="988"/>
      <c r="H55" s="988"/>
      <c r="I55" s="988"/>
      <c r="J55" s="988"/>
      <c r="K55" s="988"/>
      <c r="L55" s="988"/>
      <c r="M55" s="988"/>
      <c r="N55" s="988"/>
      <c r="O55" s="988"/>
      <c r="P55" s="988"/>
      <c r="Q55" s="988"/>
      <c r="R55" s="988"/>
      <c r="S55" s="988"/>
      <c r="T55" s="988"/>
      <c r="U55" s="988"/>
      <c r="V55" s="988"/>
      <c r="W55" s="988"/>
      <c r="X55" s="988"/>
      <c r="Y55" s="988"/>
      <c r="Z55" s="988"/>
      <c r="AA55" s="988"/>
      <c r="AB55" s="988"/>
      <c r="AC55" s="988"/>
      <c r="AD55" s="988"/>
      <c r="AE55" s="309"/>
    </row>
    <row r="56" spans="1:31" ht="12.75" customHeight="1">
      <c r="A56" s="988"/>
      <c r="B56" s="988"/>
      <c r="C56" s="988"/>
      <c r="D56" s="988"/>
      <c r="E56" s="988"/>
      <c r="F56" s="988"/>
      <c r="G56" s="988"/>
      <c r="H56" s="988"/>
      <c r="I56" s="988"/>
      <c r="J56" s="988"/>
      <c r="K56" s="988"/>
      <c r="L56" s="988"/>
      <c r="M56" s="988"/>
      <c r="N56" s="988"/>
      <c r="O56" s="988"/>
      <c r="P56" s="988"/>
      <c r="Q56" s="988"/>
      <c r="R56" s="988"/>
      <c r="S56" s="988"/>
      <c r="T56" s="988"/>
      <c r="U56" s="988"/>
      <c r="V56" s="988"/>
      <c r="W56" s="988"/>
      <c r="X56" s="988"/>
      <c r="Y56" s="988"/>
      <c r="Z56" s="988"/>
      <c r="AA56" s="988"/>
      <c r="AB56" s="988"/>
      <c r="AC56" s="988"/>
      <c r="AD56" s="988"/>
      <c r="AE56" s="309"/>
    </row>
    <row r="57" spans="1:31" ht="12.75" customHeight="1">
      <c r="A57" s="988"/>
      <c r="B57" s="988"/>
      <c r="C57" s="988"/>
      <c r="D57" s="988"/>
      <c r="E57" s="988"/>
      <c r="F57" s="988"/>
      <c r="G57" s="988"/>
      <c r="H57" s="988"/>
      <c r="I57" s="988"/>
      <c r="J57" s="988"/>
      <c r="K57" s="988"/>
      <c r="L57" s="988"/>
      <c r="M57" s="988"/>
      <c r="N57" s="988"/>
      <c r="O57" s="988"/>
      <c r="P57" s="988"/>
      <c r="Q57" s="988"/>
      <c r="R57" s="988"/>
      <c r="S57" s="988"/>
      <c r="T57" s="988"/>
      <c r="U57" s="988"/>
      <c r="V57" s="988"/>
      <c r="W57" s="988"/>
      <c r="X57" s="988"/>
      <c r="Y57" s="988"/>
      <c r="Z57" s="988"/>
      <c r="AA57" s="988"/>
      <c r="AB57" s="988"/>
      <c r="AC57" s="988"/>
      <c r="AD57" s="988"/>
      <c r="AE57" s="309"/>
    </row>
    <row r="58" spans="1:31" ht="12.75" customHeight="1">
      <c r="A58" s="988"/>
      <c r="B58" s="988"/>
      <c r="C58" s="988"/>
      <c r="D58" s="988"/>
      <c r="E58" s="988"/>
      <c r="F58" s="988"/>
      <c r="G58" s="988"/>
      <c r="H58" s="988"/>
      <c r="I58" s="988"/>
      <c r="J58" s="988"/>
      <c r="K58" s="988"/>
      <c r="L58" s="988"/>
      <c r="M58" s="988"/>
      <c r="N58" s="988"/>
      <c r="O58" s="988"/>
      <c r="P58" s="988"/>
      <c r="Q58" s="988"/>
      <c r="R58" s="988"/>
      <c r="S58" s="988"/>
      <c r="T58" s="988"/>
      <c r="U58" s="988"/>
      <c r="V58" s="988"/>
      <c r="W58" s="988"/>
      <c r="X58" s="988"/>
      <c r="Y58" s="988"/>
      <c r="Z58" s="988"/>
      <c r="AA58" s="988"/>
      <c r="AB58" s="988"/>
      <c r="AC58" s="988"/>
      <c r="AD58" s="988"/>
      <c r="AE58" s="309"/>
    </row>
    <row r="59" spans="1:31" ht="12.75" customHeight="1">
      <c r="A59" s="988"/>
      <c r="B59" s="988"/>
      <c r="C59" s="988"/>
      <c r="D59" s="988"/>
      <c r="E59" s="988"/>
      <c r="F59" s="988"/>
      <c r="G59" s="988"/>
      <c r="H59" s="988"/>
      <c r="I59" s="988"/>
      <c r="J59" s="988"/>
      <c r="K59" s="988"/>
      <c r="L59" s="988"/>
      <c r="M59" s="988"/>
      <c r="N59" s="988"/>
      <c r="O59" s="988"/>
      <c r="P59" s="988"/>
      <c r="Q59" s="988"/>
      <c r="R59" s="988"/>
      <c r="S59" s="988"/>
      <c r="T59" s="988"/>
      <c r="U59" s="988"/>
      <c r="V59" s="988"/>
      <c r="W59" s="988"/>
      <c r="X59" s="988"/>
      <c r="Y59" s="988"/>
      <c r="Z59" s="988"/>
      <c r="AA59" s="988"/>
      <c r="AB59" s="988"/>
      <c r="AC59" s="988"/>
      <c r="AD59" s="988"/>
      <c r="AE59" s="309"/>
    </row>
    <row r="60" spans="1:31" ht="12.75" customHeight="1">
      <c r="A60" s="309"/>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row>
    <row r="61" spans="1:31" ht="12.75" customHeight="1">
      <c r="A61" s="309"/>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row>
    <row r="62" spans="1:31" ht="12.75" customHeight="1">
      <c r="A62" s="309"/>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row>
    <row r="63" spans="1:31" ht="12.75" customHeight="1">
      <c r="A63" s="309"/>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row>
    <row r="64" spans="1:31" ht="12.75" customHeight="1">
      <c r="A64" s="309"/>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row>
    <row r="65" spans="1:31" ht="12.75" customHeight="1">
      <c r="A65" s="309"/>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row>
    <row r="66" spans="1:31" ht="12.75" customHeight="1">
      <c r="A66" s="309"/>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row>
    <row r="67" spans="1:31" ht="12.75" customHeight="1">
      <c r="A67" s="309"/>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row>
    <row r="68" spans="1:31" ht="12.75" customHeight="1">
      <c r="A68" s="309"/>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row>
    <row r="69" spans="1:31" ht="12.75" customHeight="1">
      <c r="A69" s="309"/>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309"/>
    </row>
    <row r="70" spans="1:31" ht="12.75" customHeight="1">
      <c r="A70" s="309"/>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row>
    <row r="71" spans="1:31" ht="12.75" customHeight="1">
      <c r="A71" s="309"/>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row>
    <row r="72" spans="1:31" ht="12.75" customHeight="1">
      <c r="A72" s="309"/>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309"/>
    </row>
    <row r="73" spans="1:31" ht="12.75" customHeight="1">
      <c r="A73" s="309"/>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row>
    <row r="74" spans="1:31" ht="12.75" customHeight="1">
      <c r="A74" s="309"/>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row>
    <row r="75" spans="1:31" ht="12.75" customHeight="1">
      <c r="A75" s="309"/>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row>
    <row r="76" spans="1:31" ht="12.75" customHeight="1">
      <c r="A76" s="309"/>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row>
    <row r="77" spans="1:31" ht="12.75" customHeight="1">
      <c r="A77" s="309"/>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row>
    <row r="78" spans="1:31" ht="12.75" customHeight="1">
      <c r="A78" s="309"/>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row>
    <row r="79" spans="1:31" ht="12.75" customHeight="1">
      <c r="A79" s="309"/>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309"/>
      <c r="AE79" s="309"/>
    </row>
    <row r="80" spans="1:31" ht="12.75" customHeight="1">
      <c r="A80" s="309"/>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row>
    <row r="81" spans="1:31" ht="12.75" customHeight="1">
      <c r="A81" s="309"/>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row>
    <row r="82" spans="1:31" ht="12.75" customHeight="1">
      <c r="A82" s="309"/>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row>
    <row r="83" spans="1:31" ht="12.75" customHeight="1">
      <c r="A83" s="309"/>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09"/>
    </row>
    <row r="84" spans="1:31" ht="12.75" customHeight="1">
      <c r="A84" s="309"/>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row>
    <row r="85" spans="1:31" ht="12.75" customHeight="1">
      <c r="A85" s="309"/>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09"/>
    </row>
    <row r="86" spans="1:31" ht="12.75" customHeight="1">
      <c r="A86" s="309"/>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09"/>
    </row>
    <row r="87" spans="1:31" ht="12.75" customHeight="1">
      <c r="A87" s="309"/>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row>
    <row r="88" spans="1:31" ht="12.75" customHeight="1">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row>
    <row r="89" spans="1:31" ht="12.75" customHeight="1">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row>
    <row r="90" spans="1:31" ht="12.75" customHeight="1">
      <c r="A90" s="309"/>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row>
    <row r="91" spans="1:31" ht="12.75" customHeight="1">
      <c r="A91" s="309"/>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row>
    <row r="92" spans="1:31" ht="12.75" customHeight="1">
      <c r="A92" s="309"/>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09"/>
    </row>
    <row r="93" spans="1:31" ht="12.75" customHeight="1">
      <c r="A93" s="309"/>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row>
    <row r="94" spans="1:31" ht="12.75" customHeight="1">
      <c r="A94" s="309"/>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row>
    <row r="95" spans="1:31" ht="12.75" customHeight="1">
      <c r="A95" s="309"/>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09"/>
    </row>
    <row r="96" spans="1:31" ht="12.75" customHeight="1">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row>
    <row r="97" spans="1:31" ht="12.75" customHeight="1">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row>
    <row r="98" spans="1:31" ht="12.75" customHeight="1">
      <c r="A98" s="309"/>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09"/>
    </row>
    <row r="99" spans="1:31" ht="12.75" customHeight="1">
      <c r="A99" s="309"/>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09"/>
    </row>
    <row r="100" spans="1:31" ht="12.75" customHeight="1">
      <c r="A100" s="309"/>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row>
    <row r="101" spans="1:31" ht="12.75" customHeight="1">
      <c r="A101" s="309"/>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09"/>
    </row>
    <row r="102" spans="1:31" ht="12.75" customHeight="1">
      <c r="A102" s="309"/>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09"/>
    </row>
    <row r="103" spans="1:31" ht="12.75" customHeight="1">
      <c r="A103" s="309"/>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09"/>
    </row>
    <row r="104" spans="1:31" ht="12.75" customHeight="1">
      <c r="A104" s="309"/>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09"/>
    </row>
    <row r="105" spans="1:31" ht="12.75" customHeight="1">
      <c r="A105" s="309"/>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09"/>
    </row>
    <row r="106" spans="1:31" ht="12.75" customHeight="1">
      <c r="A106" s="309"/>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row>
    <row r="107" spans="1:31" ht="12.75" customHeight="1">
      <c r="A107" s="309"/>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row>
    <row r="108" spans="1:31" ht="12.75" customHeight="1">
      <c r="A108" s="309"/>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09"/>
    </row>
    <row r="109" spans="1:31" ht="12.75" customHeight="1">
      <c r="A109" s="309"/>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09"/>
    </row>
    <row r="110" spans="1:31" ht="12.75" customHeight="1">
      <c r="A110" s="309"/>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09"/>
    </row>
    <row r="111" spans="1:31" ht="12.75" customHeight="1">
      <c r="A111" s="309"/>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row>
    <row r="112" spans="1:31" ht="12.75" customHeight="1">
      <c r="A112" s="309"/>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09"/>
    </row>
    <row r="113" spans="1:31" ht="12.75" customHeight="1">
      <c r="A113" s="309"/>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row>
    <row r="114" spans="1:31" ht="12.75" customHeight="1">
      <c r="A114" s="309"/>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row>
    <row r="115" spans="1:31" ht="12.75" customHeight="1">
      <c r="A115" s="309"/>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row>
    <row r="116" spans="1:31" ht="12.75" customHeight="1">
      <c r="A116" s="309"/>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09"/>
    </row>
    <row r="117" spans="1:31" ht="12.75" customHeight="1">
      <c r="A117" s="309"/>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row>
    <row r="118" spans="1:31" ht="12.75" customHeight="1">
      <c r="A118" s="309"/>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row>
    <row r="119" spans="1:31" ht="12.75" customHeight="1">
      <c r="A119" s="309"/>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09"/>
    </row>
    <row r="120" spans="1:31" ht="12.75" customHeight="1">
      <c r="A120" s="309"/>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09"/>
    </row>
    <row r="121" spans="1:31" ht="12.75" customHeight="1">
      <c r="A121" s="309"/>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09"/>
    </row>
    <row r="122" spans="1:31" ht="12.75" customHeight="1">
      <c r="A122" s="309"/>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row>
    <row r="123" spans="1:31" ht="12.75" customHeight="1">
      <c r="A123" s="309"/>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row>
    <row r="124" spans="1:31" ht="12.75" customHeight="1">
      <c r="A124" s="309"/>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row>
    <row r="125" spans="1:31" ht="12.75" customHeight="1">
      <c r="A125" s="309"/>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row>
    <row r="126" spans="1:31" ht="12.75" customHeight="1">
      <c r="A126" s="309"/>
      <c r="B126" s="309"/>
      <c r="C126" s="309"/>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09"/>
    </row>
    <row r="127" spans="1:31" ht="12.75" customHeight="1">
      <c r="A127" s="309"/>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1" ht="12.75" customHeight="1">
      <c r="A128" s="309"/>
      <c r="B128" s="309"/>
      <c r="C128" s="309"/>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09"/>
    </row>
    <row r="129" spans="1:31" ht="12.75" customHeight="1">
      <c r="A129" s="309"/>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09"/>
    </row>
    <row r="130" spans="1:31" ht="12.75" customHeight="1">
      <c r="A130" s="309"/>
      <c r="B130" s="309"/>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row>
    <row r="131" spans="1:31" ht="12.75" customHeight="1">
      <c r="A131" s="309"/>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09"/>
    </row>
    <row r="132" spans="1:31" ht="12.75" customHeight="1">
      <c r="A132" s="309"/>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09"/>
    </row>
    <row r="133" spans="1:31" ht="12.75" customHeight="1">
      <c r="A133" s="309"/>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09"/>
    </row>
    <row r="134" spans="1:31" ht="12.75" customHeight="1">
      <c r="A134" s="309"/>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row>
    <row r="135" spans="1:31" ht="12.75" customHeight="1">
      <c r="A135" s="309"/>
      <c r="B135" s="309"/>
      <c r="C135" s="309"/>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09"/>
    </row>
    <row r="136" spans="1:31" ht="12.75" customHeight="1">
      <c r="A136" s="309"/>
      <c r="B136" s="309"/>
      <c r="C136" s="309"/>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09"/>
    </row>
    <row r="137" spans="1:31" ht="12.75" customHeight="1">
      <c r="A137" s="309"/>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09"/>
    </row>
    <row r="138" spans="1:31" ht="12.75" customHeight="1">
      <c r="A138" s="309"/>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row>
    <row r="139" spans="1:31" ht="12.75" customHeight="1">
      <c r="A139" s="309"/>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row>
    <row r="140" spans="1:31" ht="12.75" customHeight="1">
      <c r="A140" s="309"/>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09"/>
    </row>
    <row r="141" spans="1:31" ht="12.75" customHeight="1">
      <c r="A141" s="309"/>
      <c r="B141" s="309"/>
      <c r="C141" s="309"/>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09"/>
    </row>
    <row r="142" spans="1:31" ht="12.75" customHeight="1">
      <c r="A142" s="309"/>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09"/>
    </row>
    <row r="143" spans="1:31" ht="12.75" customHeight="1">
      <c r="A143" s="309"/>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09"/>
    </row>
    <row r="144" spans="1:31" ht="12.75" customHeight="1">
      <c r="A144" s="309"/>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09"/>
    </row>
    <row r="145" spans="1:31" ht="12.75" customHeight="1">
      <c r="A145" s="309"/>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09"/>
    </row>
    <row r="146" spans="1:31" ht="12.75" customHeight="1">
      <c r="A146" s="309"/>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row>
    <row r="147" spans="1:31" ht="12.75" customHeight="1">
      <c r="A147" s="309"/>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09"/>
    </row>
    <row r="148" spans="1:31" ht="12.75" customHeight="1">
      <c r="A148" s="309"/>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row>
    <row r="149" spans="1:31" ht="12.75" customHeight="1">
      <c r="A149" s="309"/>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09"/>
    </row>
    <row r="150" spans="1:31" ht="12.75" customHeight="1">
      <c r="A150" s="309"/>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09"/>
    </row>
    <row r="151" spans="1:31" ht="12.75" customHeight="1">
      <c r="A151" s="309"/>
      <c r="B151" s="309"/>
      <c r="C151" s="309"/>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09"/>
    </row>
    <row r="152" spans="1:31" ht="12.75" customHeight="1">
      <c r="A152" s="309"/>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row>
    <row r="153" spans="1:31" ht="12.75" customHeight="1">
      <c r="A153" s="309"/>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row>
    <row r="154" spans="1:31" ht="12.75" customHeight="1">
      <c r="A154" s="309"/>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row>
    <row r="155" spans="1:31" ht="12.75" customHeight="1">
      <c r="A155" s="309"/>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09"/>
    </row>
    <row r="156" spans="1:31" ht="12.75" customHeight="1">
      <c r="A156" s="309"/>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09"/>
    </row>
    <row r="157" spans="1:31" ht="12.75" customHeight="1">
      <c r="A157" s="309"/>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row>
    <row r="158" spans="1:31" ht="12.75" customHeight="1">
      <c r="A158" s="309"/>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09"/>
    </row>
    <row r="159" spans="1:31" ht="12.75" customHeight="1">
      <c r="A159" s="309"/>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row>
    <row r="160" spans="1:31" ht="12.75" customHeight="1">
      <c r="A160" s="309"/>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row>
    <row r="161" spans="1:31" ht="12.75" customHeight="1">
      <c r="A161" s="309"/>
      <c r="B161" s="309"/>
      <c r="C161" s="309"/>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09"/>
    </row>
    <row r="162" spans="1:31" ht="12.75" customHeight="1">
      <c r="A162" s="309"/>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09"/>
    </row>
    <row r="163" spans="1:31" ht="12.75" customHeight="1">
      <c r="A163" s="309"/>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09"/>
    </row>
    <row r="164" spans="1:31" ht="12.75" customHeight="1">
      <c r="A164" s="309"/>
      <c r="B164" s="309"/>
      <c r="C164" s="309"/>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09"/>
    </row>
    <row r="165" spans="1:31" ht="12.75" customHeight="1">
      <c r="A165" s="309"/>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row>
    <row r="166" spans="1:31" ht="12.75" customHeight="1">
      <c r="A166" s="309"/>
      <c r="B166" s="309"/>
      <c r="C166" s="309"/>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09"/>
    </row>
    <row r="167" spans="1:31" ht="12.75" customHeight="1">
      <c r="A167" s="309"/>
      <c r="B167" s="309"/>
      <c r="C167" s="309"/>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09"/>
    </row>
    <row r="168" spans="1:31" ht="12.75" customHeight="1">
      <c r="A168" s="309"/>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row>
    <row r="169" spans="1:31" ht="12.75" customHeight="1">
      <c r="A169" s="309"/>
      <c r="B169" s="30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row>
    <row r="170" spans="1:31" ht="12.75" customHeight="1">
      <c r="A170" s="309"/>
      <c r="B170" s="309"/>
      <c r="C170" s="309"/>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09"/>
    </row>
    <row r="171" spans="1:31" ht="12.75" customHeight="1">
      <c r="A171" s="309"/>
      <c r="B171" s="309"/>
      <c r="C171" s="309"/>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09"/>
    </row>
    <row r="172" spans="1:31" ht="12.75" customHeight="1">
      <c r="A172" s="309"/>
      <c r="B172" s="309"/>
      <c r="C172" s="309"/>
      <c r="D172" s="309"/>
      <c r="E172" s="309"/>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09"/>
    </row>
    <row r="173" spans="1:31" ht="12.75" customHeight="1">
      <c r="A173" s="309"/>
      <c r="B173" s="309"/>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09"/>
    </row>
    <row r="174" spans="1:31" ht="12.75" customHeight="1">
      <c r="A174" s="309"/>
      <c r="B174" s="309"/>
      <c r="C174" s="309"/>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09"/>
    </row>
    <row r="175" spans="1:31" ht="12.75" customHeight="1">
      <c r="A175" s="309"/>
      <c r="B175" s="309"/>
      <c r="C175" s="309"/>
      <c r="D175" s="309"/>
      <c r="E175" s="309"/>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09"/>
    </row>
    <row r="176" spans="1:31" ht="12.75" customHeight="1">
      <c r="A176" s="309"/>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09"/>
    </row>
    <row r="177" spans="1:31" ht="12.75" customHeight="1">
      <c r="A177" s="309"/>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09"/>
    </row>
    <row r="178" spans="1:31" ht="12.75" customHeight="1">
      <c r="A178" s="309"/>
      <c r="B178" s="309"/>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09"/>
    </row>
    <row r="179" spans="1:31" ht="12.75" customHeight="1">
      <c r="A179" s="309"/>
      <c r="B179" s="309"/>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row>
    <row r="180" spans="1:31" ht="12.75" customHeight="1">
      <c r="A180" s="309"/>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09"/>
    </row>
    <row r="181" spans="1:31" ht="12.75" customHeight="1">
      <c r="A181" s="309"/>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09"/>
    </row>
    <row r="182" spans="1:31" ht="12.75" customHeight="1">
      <c r="A182" s="309"/>
      <c r="B182" s="309"/>
      <c r="C182" s="309"/>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row>
    <row r="183" spans="1:31" ht="12.75" customHeight="1">
      <c r="A183" s="309"/>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row>
    <row r="184" spans="1:31" ht="12.75" customHeight="1">
      <c r="A184" s="309"/>
      <c r="B184" s="309"/>
      <c r="C184" s="309"/>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09"/>
    </row>
    <row r="185" spans="1:31" ht="12.75" customHeight="1">
      <c r="A185" s="309"/>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09"/>
    </row>
    <row r="186" spans="1:31" ht="12.75" customHeight="1">
      <c r="A186" s="309"/>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row>
    <row r="187" spans="1:31" ht="12.75" customHeight="1">
      <c r="A187" s="309"/>
      <c r="B187" s="30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row>
    <row r="188" spans="1:31" ht="12.75" customHeight="1">
      <c r="A188" s="309"/>
      <c r="B188" s="309"/>
      <c r="C188" s="309"/>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09"/>
    </row>
    <row r="189" spans="1:31" ht="12.75" customHeight="1">
      <c r="A189" s="309"/>
      <c r="B189" s="30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c r="AA189" s="309"/>
      <c r="AB189" s="309"/>
      <c r="AC189" s="309"/>
      <c r="AD189" s="309"/>
      <c r="AE189" s="309"/>
    </row>
    <row r="190" spans="1:31" ht="12.75" customHeight="1">
      <c r="A190" s="309"/>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row>
    <row r="191" spans="1:31" ht="12.75" customHeight="1">
      <c r="A191" s="309"/>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09"/>
    </row>
    <row r="192" spans="1:31" ht="12.75" customHeight="1">
      <c r="A192" s="309"/>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09"/>
    </row>
    <row r="193" spans="1:31" ht="12.75" customHeight="1">
      <c r="A193" s="309"/>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09"/>
    </row>
    <row r="194" spans="1:31" ht="12.75" customHeight="1">
      <c r="A194" s="309"/>
      <c r="B194" s="309"/>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row>
    <row r="195" spans="1:31" ht="12.75" customHeight="1">
      <c r="A195" s="309"/>
      <c r="B195" s="309"/>
      <c r="C195" s="309"/>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09"/>
    </row>
    <row r="196" spans="1:31" ht="12.75" customHeight="1">
      <c r="A196" s="309"/>
      <c r="B196" s="309"/>
      <c r="C196" s="309"/>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09"/>
    </row>
    <row r="197" spans="1:31" ht="12.75" customHeight="1">
      <c r="A197" s="309"/>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09"/>
    </row>
    <row r="198" spans="1:31" ht="12.75" customHeight="1">
      <c r="A198" s="309"/>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row>
    <row r="199" spans="1:31" ht="12.75" customHeight="1">
      <c r="A199" s="309"/>
      <c r="B199" s="309"/>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row>
    <row r="200" spans="1:31" ht="12.75" customHeight="1">
      <c r="A200" s="309"/>
      <c r="B200" s="309"/>
      <c r="C200" s="309"/>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09"/>
    </row>
    <row r="201" spans="1:31" ht="12.75" customHeight="1">
      <c r="A201" s="309"/>
      <c r="B201" s="309"/>
      <c r="C201" s="309"/>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09"/>
    </row>
    <row r="202" spans="1:31" ht="12.75" customHeight="1">
      <c r="A202" s="309"/>
      <c r="B202" s="309"/>
      <c r="C202" s="309"/>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09"/>
    </row>
    <row r="203" spans="1:31" ht="12.75" customHeight="1">
      <c r="A203" s="309"/>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row>
    <row r="204" spans="1:31" ht="12.75" customHeight="1">
      <c r="A204" s="309"/>
      <c r="B204" s="309"/>
      <c r="C204" s="309"/>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row>
    <row r="205" spans="1:31" ht="12.75" customHeight="1">
      <c r="A205" s="309"/>
      <c r="B205" s="309"/>
      <c r="C205" s="309"/>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row>
    <row r="206" spans="1:31" ht="12.75" customHeight="1">
      <c r="A206" s="309"/>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09"/>
    </row>
    <row r="207" spans="1:31" ht="12.75" customHeight="1">
      <c r="A207" s="309"/>
      <c r="B207" s="309"/>
      <c r="C207" s="309"/>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09"/>
    </row>
    <row r="208" spans="1:31" ht="12.75" customHeight="1">
      <c r="A208" s="309"/>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09"/>
    </row>
    <row r="209" spans="1:31" ht="12.75" customHeight="1">
      <c r="A209" s="309"/>
      <c r="B209" s="309"/>
      <c r="C209" s="309"/>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row>
    <row r="210" spans="1:31" ht="12.75" customHeight="1">
      <c r="A210" s="309"/>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09"/>
    </row>
    <row r="211" spans="1:31" ht="12.75" customHeight="1">
      <c r="A211" s="309"/>
      <c r="B211" s="309"/>
      <c r="C211" s="309"/>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09"/>
    </row>
    <row r="212" spans="1:31" ht="12.75" customHeight="1">
      <c r="A212" s="309"/>
      <c r="B212" s="309"/>
      <c r="C212" s="309"/>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row>
    <row r="213" spans="1:31" ht="12.75" customHeight="1">
      <c r="A213" s="309"/>
      <c r="B213" s="309"/>
      <c r="C213" s="309"/>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09"/>
    </row>
    <row r="214" spans="1:31" ht="12.75" customHeight="1">
      <c r="A214" s="309"/>
      <c r="B214" s="309"/>
      <c r="C214" s="309"/>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09"/>
    </row>
    <row r="215" spans="1:31" ht="12.75" customHeight="1">
      <c r="A215" s="309"/>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09"/>
    </row>
    <row r="216" spans="1:31" ht="12.75" customHeight="1">
      <c r="A216" s="309"/>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09"/>
    </row>
    <row r="217" spans="1:31" ht="12.75" customHeight="1">
      <c r="A217" s="309"/>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row>
    <row r="218" spans="1:31" ht="12.75" customHeight="1">
      <c r="A218" s="309"/>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row>
    <row r="219" spans="1:31" ht="12.75" customHeight="1">
      <c r="A219" s="309"/>
      <c r="B219" s="309"/>
      <c r="C219" s="309"/>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09"/>
    </row>
    <row r="220" spans="1:31" ht="12.75" customHeight="1">
      <c r="A220" s="309"/>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row>
    <row r="221" spans="1:31" ht="12.75" customHeight="1">
      <c r="A221" s="309"/>
      <c r="B221" s="309"/>
      <c r="C221" s="309"/>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09"/>
    </row>
    <row r="222" spans="1:31" ht="12.75" customHeight="1">
      <c r="A222" s="309"/>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09"/>
    </row>
    <row r="223" spans="1:31" ht="12.75" customHeight="1">
      <c r="A223" s="309"/>
      <c r="B223" s="309"/>
      <c r="C223" s="309"/>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row>
    <row r="224" spans="1:31" ht="12.75" customHeight="1">
      <c r="A224" s="309"/>
      <c r="B224" s="309"/>
      <c r="C224" s="309"/>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09"/>
    </row>
    <row r="225" spans="1:31" ht="12.75" customHeight="1">
      <c r="A225" s="309"/>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c r="AA225" s="309"/>
      <c r="AB225" s="309"/>
      <c r="AC225" s="309"/>
      <c r="AD225" s="309"/>
      <c r="AE225" s="309"/>
    </row>
    <row r="226" spans="1:31" ht="12.75" customHeight="1">
      <c r="A226" s="309"/>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row>
    <row r="227" spans="1:31" ht="12.75" customHeight="1">
      <c r="A227" s="309"/>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row>
    <row r="228" spans="1:31" ht="12.75" customHeight="1">
      <c r="A228" s="309"/>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row>
    <row r="229" spans="1:31" ht="12.75" customHeight="1">
      <c r="A229" s="309"/>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row>
    <row r="230" spans="1:31" ht="12.75" customHeight="1">
      <c r="A230" s="309"/>
      <c r="B230" s="309"/>
      <c r="C230" s="309"/>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c r="AA230" s="309"/>
      <c r="AB230" s="309"/>
      <c r="AC230" s="309"/>
      <c r="AD230" s="309"/>
      <c r="AE230" s="309"/>
    </row>
    <row r="231" spans="1:31" ht="12.75" customHeight="1">
      <c r="A231" s="309"/>
      <c r="B231" s="30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c r="AA231" s="309"/>
      <c r="AB231" s="309"/>
      <c r="AC231" s="309"/>
      <c r="AD231" s="309"/>
      <c r="AE231" s="309"/>
    </row>
    <row r="232" spans="1:31" ht="12.75" customHeight="1">
      <c r="A232" s="309"/>
      <c r="B232" s="309"/>
      <c r="C232" s="309"/>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c r="AA232" s="309"/>
      <c r="AB232" s="309"/>
      <c r="AC232" s="309"/>
      <c r="AD232" s="309"/>
      <c r="AE232" s="309"/>
    </row>
    <row r="233" spans="1:31" ht="12.75" customHeight="1">
      <c r="A233" s="309"/>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c r="AA233" s="309"/>
      <c r="AB233" s="309"/>
      <c r="AC233" s="309"/>
      <c r="AD233" s="309"/>
      <c r="AE233" s="309"/>
    </row>
    <row r="234" spans="1:31" ht="12.75" customHeight="1">
      <c r="A234" s="309"/>
      <c r="B234" s="309"/>
      <c r="C234" s="309"/>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row>
    <row r="235" spans="1:31" ht="12.75" customHeight="1">
      <c r="A235" s="309"/>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309"/>
      <c r="AE235" s="309"/>
    </row>
    <row r="236" spans="1:31" ht="12.75" customHeight="1">
      <c r="A236" s="309"/>
      <c r="B236" s="309"/>
      <c r="C236" s="309"/>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c r="AA236" s="309"/>
      <c r="AB236" s="309"/>
      <c r="AC236" s="309"/>
      <c r="AD236" s="309"/>
      <c r="AE236" s="309"/>
    </row>
    <row r="237" spans="1:31" ht="12.75" customHeight="1">
      <c r="A237" s="309"/>
      <c r="B237" s="309"/>
      <c r="C237" s="309"/>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row>
    <row r="238" spans="1:31" ht="12.75" customHeight="1">
      <c r="A238" s="309"/>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row>
    <row r="239" spans="1:31" ht="12.75" customHeight="1">
      <c r="A239" s="309"/>
      <c r="B239" s="309"/>
      <c r="C239" s="309"/>
      <c r="D239" s="309"/>
      <c r="E239" s="309"/>
      <c r="F239" s="309"/>
      <c r="G239" s="309"/>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row>
    <row r="240" spans="1:31" ht="12.75" customHeight="1">
      <c r="A240" s="309"/>
      <c r="B240" s="309"/>
      <c r="C240" s="309"/>
      <c r="D240" s="309"/>
      <c r="E240" s="309"/>
      <c r="F240" s="309"/>
      <c r="G240" s="309"/>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row>
    <row r="241" spans="1:31" ht="12.75" customHeight="1">
      <c r="A241" s="309"/>
      <c r="B241" s="309"/>
      <c r="C241" s="309"/>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row>
    <row r="242" spans="1:31" ht="12.75" customHeight="1">
      <c r="A242" s="309"/>
      <c r="B242" s="309"/>
      <c r="C242" s="309"/>
      <c r="D242" s="309"/>
      <c r="E242" s="309"/>
      <c r="F242" s="309"/>
      <c r="G242" s="309"/>
      <c r="H242" s="309"/>
      <c r="I242" s="309"/>
      <c r="J242" s="309"/>
      <c r="K242" s="309"/>
      <c r="L242" s="309"/>
      <c r="M242" s="309"/>
      <c r="N242" s="309"/>
      <c r="O242" s="309"/>
      <c r="P242" s="309"/>
      <c r="Q242" s="309"/>
      <c r="R242" s="309"/>
      <c r="S242" s="309"/>
      <c r="T242" s="309"/>
      <c r="U242" s="309"/>
      <c r="V242" s="309"/>
      <c r="W242" s="309"/>
      <c r="X242" s="309"/>
      <c r="Y242" s="309"/>
      <c r="Z242" s="309"/>
      <c r="AA242" s="309"/>
      <c r="AB242" s="309"/>
      <c r="AC242" s="309"/>
      <c r="AD242" s="309"/>
      <c r="AE242" s="309"/>
    </row>
    <row r="243" spans="1:31" ht="12.75" customHeight="1">
      <c r="A243" s="309"/>
      <c r="B243" s="309"/>
      <c r="C243" s="309"/>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309"/>
    </row>
    <row r="244" spans="1:31" ht="12.75" customHeight="1">
      <c r="A244" s="309"/>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309"/>
      <c r="AE244" s="309"/>
    </row>
    <row r="245" spans="1:31" ht="12.75" customHeight="1">
      <c r="A245" s="309"/>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row>
    <row r="246" spans="1:31" ht="12.75" customHeight="1">
      <c r="A246" s="309"/>
      <c r="B246" s="309"/>
      <c r="C246" s="309"/>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309"/>
      <c r="AE246" s="309"/>
    </row>
    <row r="247" spans="1:31" ht="12.75" customHeight="1">
      <c r="A247" s="309"/>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309"/>
      <c r="AE247" s="309"/>
    </row>
    <row r="248" spans="1:31" ht="12.75" customHeight="1">
      <c r="A248" s="309"/>
      <c r="B248" s="309"/>
      <c r="C248" s="309"/>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row>
    <row r="249" spans="1:31" ht="12.75" customHeight="1">
      <c r="A249" s="309"/>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309"/>
    </row>
    <row r="250" spans="1:31" ht="12.75" customHeight="1">
      <c r="A250" s="309"/>
      <c r="B250" s="30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row>
    <row r="251" spans="1:31" ht="12.75" customHeight="1">
      <c r="A251" s="309"/>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row>
    <row r="252" spans="1:31" ht="12.75" customHeight="1">
      <c r="A252" s="309"/>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row>
    <row r="253" spans="1:31" ht="12.75" customHeight="1">
      <c r="A253" s="309"/>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row>
    <row r="254" spans="1:31" ht="12.75" customHeight="1">
      <c r="A254" s="309"/>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row>
    <row r="255" spans="1:31" ht="12.75" customHeight="1">
      <c r="A255" s="309"/>
      <c r="B255" s="309"/>
      <c r="C255" s="309"/>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9"/>
      <c r="AC255" s="309"/>
      <c r="AD255" s="309"/>
      <c r="AE255" s="309"/>
    </row>
    <row r="256" spans="1:31" ht="12.75" customHeight="1">
      <c r="A256" s="309"/>
      <c r="B256" s="30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row>
    <row r="257" spans="1:31" ht="12.75" customHeight="1">
      <c r="A257" s="309"/>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row>
    <row r="258" spans="1:31" ht="12.75" customHeight="1">
      <c r="A258" s="309"/>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309"/>
    </row>
    <row r="259" spans="1:31" ht="12.75" customHeight="1">
      <c r="A259" s="309"/>
      <c r="B259" s="30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9"/>
      <c r="AE259" s="309"/>
    </row>
    <row r="260" spans="1:31" ht="12.75" customHeight="1">
      <c r="A260" s="309"/>
      <c r="B260" s="30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9"/>
      <c r="AE260" s="309"/>
    </row>
    <row r="261" spans="1:31" ht="12.75" customHeight="1">
      <c r="A261" s="309"/>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row>
    <row r="262" spans="1:31" ht="12.75" customHeight="1">
      <c r="A262" s="309"/>
      <c r="B262" s="30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row>
    <row r="263" spans="1:31" ht="12.75" customHeight="1">
      <c r="A263" s="309"/>
      <c r="B263" s="309"/>
      <c r="C263" s="309"/>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row>
    <row r="264" spans="1:31" ht="12.75" customHeight="1">
      <c r="A264" s="309"/>
      <c r="B264" s="309"/>
      <c r="C264" s="309"/>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c r="AA264" s="309"/>
      <c r="AB264" s="309"/>
      <c r="AC264" s="309"/>
      <c r="AD264" s="309"/>
      <c r="AE264" s="309"/>
    </row>
    <row r="265" spans="1:31" ht="12.75" customHeight="1">
      <c r="A265" s="309"/>
      <c r="B265" s="30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309"/>
      <c r="AE265" s="309"/>
    </row>
    <row r="266" spans="1:31" ht="12.75" customHeight="1">
      <c r="A266" s="309"/>
      <c r="B266" s="309"/>
      <c r="C266" s="309"/>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c r="AA266" s="309"/>
      <c r="AB266" s="309"/>
      <c r="AC266" s="309"/>
      <c r="AD266" s="309"/>
      <c r="AE266" s="309"/>
    </row>
    <row r="267" spans="1:31" ht="12.75" customHeight="1">
      <c r="A267" s="309"/>
      <c r="B267" s="30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309"/>
    </row>
    <row r="268" spans="1:31" ht="12.75" customHeight="1">
      <c r="A268" s="309"/>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309"/>
      <c r="AE268" s="309"/>
    </row>
    <row r="269" spans="1:31" ht="12.75" customHeight="1">
      <c r="A269" s="309"/>
      <c r="B269" s="309"/>
      <c r="C269" s="309"/>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c r="AA269" s="309"/>
      <c r="AB269" s="309"/>
      <c r="AC269" s="309"/>
      <c r="AD269" s="309"/>
      <c r="AE269" s="309"/>
    </row>
    <row r="270" spans="1:31" ht="12.75" customHeight="1">
      <c r="A270" s="309"/>
      <c r="B270" s="30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c r="AA270" s="309"/>
      <c r="AB270" s="309"/>
      <c r="AC270" s="309"/>
      <c r="AD270" s="309"/>
      <c r="AE270" s="309"/>
    </row>
    <row r="271" spans="1:31" ht="12.75" customHeight="1">
      <c r="A271" s="309"/>
      <c r="B271" s="309"/>
      <c r="C271" s="309"/>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c r="AA271" s="309"/>
      <c r="AB271" s="309"/>
      <c r="AC271" s="309"/>
      <c r="AD271" s="309"/>
      <c r="AE271" s="309"/>
    </row>
    <row r="272" spans="1:31" ht="12.75" customHeight="1">
      <c r="A272" s="309"/>
      <c r="B272" s="309"/>
      <c r="C272" s="309"/>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c r="AA272" s="309"/>
      <c r="AB272" s="309"/>
      <c r="AC272" s="309"/>
      <c r="AD272" s="309"/>
      <c r="AE272" s="309"/>
    </row>
    <row r="273" spans="1:31" ht="12.75" customHeight="1">
      <c r="A273" s="309"/>
      <c r="B273" s="309"/>
      <c r="C273" s="309"/>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c r="AA273" s="309"/>
      <c r="AB273" s="309"/>
      <c r="AC273" s="309"/>
      <c r="AD273" s="309"/>
      <c r="AE273" s="309"/>
    </row>
    <row r="274" spans="1:31" ht="12.75" customHeight="1">
      <c r="A274" s="309"/>
      <c r="B274" s="309"/>
      <c r="C274" s="309"/>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c r="AA274" s="309"/>
      <c r="AB274" s="309"/>
      <c r="AC274" s="309"/>
      <c r="AD274" s="309"/>
      <c r="AE274" s="309"/>
    </row>
    <row r="275" spans="1:31" ht="12.75" customHeight="1">
      <c r="A275" s="309"/>
      <c r="B275" s="309"/>
      <c r="C275" s="309"/>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c r="AA275" s="309"/>
      <c r="AB275" s="309"/>
      <c r="AC275" s="309"/>
      <c r="AD275" s="309"/>
      <c r="AE275" s="309"/>
    </row>
    <row r="276" spans="1:31" ht="12.75" customHeight="1">
      <c r="A276" s="309"/>
      <c r="B276" s="30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c r="AA276" s="309"/>
      <c r="AB276" s="309"/>
      <c r="AC276" s="309"/>
      <c r="AD276" s="309"/>
      <c r="AE276" s="309"/>
    </row>
    <row r="277" spans="1:31" ht="12.75" customHeight="1">
      <c r="A277" s="309"/>
      <c r="B277" s="30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c r="AA277" s="309"/>
      <c r="AB277" s="309"/>
      <c r="AC277" s="309"/>
      <c r="AD277" s="309"/>
      <c r="AE277" s="309"/>
    </row>
    <row r="278" spans="1:31" ht="12.75" customHeight="1">
      <c r="A278" s="309"/>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row>
    <row r="279" spans="1:31" ht="12.75" customHeight="1">
      <c r="A279" s="309"/>
      <c r="B279" s="309"/>
      <c r="C279" s="309"/>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c r="AA279" s="309"/>
      <c r="AB279" s="309"/>
      <c r="AC279" s="309"/>
      <c r="AD279" s="309"/>
      <c r="AE279" s="309"/>
    </row>
    <row r="280" spans="1:31" ht="12.75" customHeight="1">
      <c r="A280" s="309"/>
      <c r="B280" s="309"/>
      <c r="C280" s="309"/>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c r="AA280" s="309"/>
      <c r="AB280" s="309"/>
      <c r="AC280" s="309"/>
      <c r="AD280" s="309"/>
      <c r="AE280" s="309"/>
    </row>
    <row r="281" spans="1:31" ht="12.75" customHeight="1">
      <c r="A281" s="309"/>
      <c r="B281" s="309"/>
      <c r="C281" s="309"/>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c r="AA281" s="309"/>
      <c r="AB281" s="309"/>
      <c r="AC281" s="309"/>
      <c r="AD281" s="309"/>
      <c r="AE281" s="309"/>
    </row>
    <row r="282" spans="1:31" ht="12.75" customHeight="1">
      <c r="A282" s="309"/>
      <c r="B282" s="309"/>
      <c r="C282" s="309"/>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c r="AA282" s="309"/>
      <c r="AB282" s="309"/>
      <c r="AC282" s="309"/>
      <c r="AD282" s="309"/>
      <c r="AE282" s="309"/>
    </row>
    <row r="283" spans="1:31" ht="12.75" customHeight="1">
      <c r="A283" s="309"/>
      <c r="B283" s="30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9"/>
      <c r="AE283" s="309"/>
    </row>
    <row r="284" spans="1:31" ht="12.75" customHeight="1">
      <c r="A284" s="309"/>
      <c r="B284" s="309"/>
      <c r="C284" s="309"/>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row>
    <row r="285" spans="1:31" ht="12.75" customHeight="1">
      <c r="A285" s="309"/>
      <c r="B285" s="309"/>
      <c r="C285" s="309"/>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c r="AA285" s="309"/>
      <c r="AB285" s="309"/>
      <c r="AC285" s="309"/>
      <c r="AD285" s="309"/>
      <c r="AE285" s="309"/>
    </row>
    <row r="286" spans="1:31" ht="12.75" customHeight="1">
      <c r="A286" s="309"/>
      <c r="B286" s="309"/>
      <c r="C286" s="309"/>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c r="AA286" s="309"/>
      <c r="AB286" s="309"/>
      <c r="AC286" s="309"/>
      <c r="AD286" s="309"/>
      <c r="AE286" s="309"/>
    </row>
    <row r="287" spans="1:31" ht="12.75" customHeight="1">
      <c r="A287" s="309"/>
      <c r="B287" s="309"/>
      <c r="C287" s="309"/>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c r="AA287" s="309"/>
      <c r="AB287" s="309"/>
      <c r="AC287" s="309"/>
      <c r="AD287" s="309"/>
      <c r="AE287" s="309"/>
    </row>
    <row r="288" spans="1:31" ht="12.75" customHeight="1">
      <c r="A288" s="309"/>
      <c r="B288" s="309"/>
      <c r="C288" s="309"/>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c r="AA288" s="309"/>
      <c r="AB288" s="309"/>
      <c r="AC288" s="309"/>
      <c r="AD288" s="309"/>
      <c r="AE288" s="309"/>
    </row>
    <row r="289" spans="1:31" ht="12.75" customHeight="1">
      <c r="A289" s="309"/>
      <c r="B289" s="309"/>
      <c r="C289" s="309"/>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c r="AA289" s="309"/>
      <c r="AB289" s="309"/>
      <c r="AC289" s="309"/>
      <c r="AD289" s="309"/>
      <c r="AE289" s="309"/>
    </row>
    <row r="290" spans="1:31" ht="12.75" customHeight="1">
      <c r="A290" s="309"/>
      <c r="B290" s="30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c r="AA290" s="309"/>
      <c r="AB290" s="309"/>
      <c r="AC290" s="309"/>
      <c r="AD290" s="309"/>
      <c r="AE290" s="309"/>
    </row>
    <row r="291" spans="1:31" ht="12.75" customHeight="1">
      <c r="A291" s="309"/>
      <c r="B291" s="30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309"/>
    </row>
    <row r="292" spans="1:31" ht="12.75" customHeight="1">
      <c r="A292" s="309"/>
      <c r="B292" s="309"/>
      <c r="C292" s="309"/>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c r="AA292" s="309"/>
      <c r="AB292" s="309"/>
      <c r="AC292" s="309"/>
      <c r="AD292" s="309"/>
      <c r="AE292" s="309"/>
    </row>
    <row r="293" spans="1:31" ht="12.75" customHeight="1">
      <c r="A293" s="309"/>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c r="AA293" s="309"/>
      <c r="AB293" s="309"/>
      <c r="AC293" s="309"/>
      <c r="AD293" s="309"/>
      <c r="AE293" s="309"/>
    </row>
    <row r="294" spans="1:31" ht="12.75" customHeight="1">
      <c r="A294" s="309"/>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c r="AA294" s="309"/>
      <c r="AB294" s="309"/>
      <c r="AC294" s="309"/>
      <c r="AD294" s="309"/>
      <c r="AE294" s="309"/>
    </row>
    <row r="295" spans="1:31" ht="12.75" customHeight="1">
      <c r="A295" s="309"/>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row>
    <row r="296" spans="1:31" ht="12.75" customHeight="1">
      <c r="A296" s="309"/>
      <c r="B296" s="309"/>
      <c r="C296" s="309"/>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c r="AA296" s="309"/>
      <c r="AB296" s="309"/>
      <c r="AC296" s="309"/>
      <c r="AD296" s="309"/>
      <c r="AE296" s="309"/>
    </row>
    <row r="297" spans="1:31" ht="12.75" customHeight="1">
      <c r="A297" s="309"/>
      <c r="B297" s="309"/>
      <c r="C297" s="309"/>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c r="AA297" s="309"/>
      <c r="AB297" s="309"/>
      <c r="AC297" s="309"/>
      <c r="AD297" s="309"/>
      <c r="AE297" s="309"/>
    </row>
    <row r="298" spans="1:31" ht="12.75" customHeight="1">
      <c r="A298" s="309"/>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309"/>
      <c r="AE298" s="309"/>
    </row>
    <row r="299" spans="1:31" ht="12.75" customHeight="1">
      <c r="A299" s="309"/>
      <c r="B299" s="30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c r="AA299" s="309"/>
      <c r="AB299" s="309"/>
      <c r="AC299" s="309"/>
      <c r="AD299" s="309"/>
      <c r="AE299" s="309"/>
    </row>
    <row r="300" spans="1:31" ht="12.75" customHeight="1">
      <c r="A300" s="309"/>
      <c r="B300" s="30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c r="AA300" s="309"/>
      <c r="AB300" s="309"/>
      <c r="AC300" s="309"/>
      <c r="AD300" s="309"/>
      <c r="AE300" s="309"/>
    </row>
    <row r="301" spans="1:31" ht="12.75" customHeight="1">
      <c r="A301" s="309"/>
      <c r="B301" s="309"/>
      <c r="C301" s="309"/>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c r="AA301" s="309"/>
      <c r="AB301" s="309"/>
      <c r="AC301" s="309"/>
      <c r="AD301" s="309"/>
      <c r="AE301" s="309"/>
    </row>
    <row r="302" spans="1:31" ht="12.75" customHeight="1">
      <c r="A302" s="309"/>
      <c r="B302" s="309"/>
      <c r="C302" s="309"/>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c r="AA302" s="309"/>
      <c r="AB302" s="309"/>
      <c r="AC302" s="309"/>
      <c r="AD302" s="309"/>
      <c r="AE302" s="309"/>
    </row>
    <row r="303" spans="1:31" ht="12.75" customHeight="1">
      <c r="A303" s="309"/>
      <c r="B303" s="309"/>
      <c r="C303" s="309"/>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c r="AA303" s="309"/>
      <c r="AB303" s="309"/>
      <c r="AC303" s="309"/>
      <c r="AD303" s="309"/>
      <c r="AE303" s="309"/>
    </row>
    <row r="304" spans="1:31" ht="12.75" customHeight="1">
      <c r="A304" s="309"/>
      <c r="B304" s="309"/>
      <c r="C304" s="309"/>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c r="AA304" s="309"/>
      <c r="AB304" s="309"/>
      <c r="AC304" s="309"/>
      <c r="AD304" s="309"/>
      <c r="AE304" s="309"/>
    </row>
    <row r="305" spans="1:31" ht="12.75" customHeight="1">
      <c r="A305" s="309"/>
      <c r="B305" s="30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c r="AA305" s="309"/>
      <c r="AB305" s="309"/>
      <c r="AC305" s="309"/>
      <c r="AD305" s="309"/>
      <c r="AE305" s="309"/>
    </row>
    <row r="306" spans="1:31" ht="12.75" customHeight="1">
      <c r="A306" s="309"/>
      <c r="B306" s="30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c r="AA306" s="309"/>
      <c r="AB306" s="309"/>
      <c r="AC306" s="309"/>
      <c r="AD306" s="309"/>
      <c r="AE306" s="309"/>
    </row>
    <row r="307" spans="1:31" ht="12.75" customHeight="1">
      <c r="A307" s="309"/>
      <c r="B307" s="309"/>
      <c r="C307" s="309"/>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c r="AA307" s="309"/>
      <c r="AB307" s="309"/>
      <c r="AC307" s="309"/>
      <c r="AD307" s="309"/>
      <c r="AE307" s="309"/>
    </row>
    <row r="308" spans="1:31" ht="12.75" customHeight="1">
      <c r="A308" s="309"/>
      <c r="B308" s="309"/>
      <c r="C308" s="309"/>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c r="AA308" s="309"/>
      <c r="AB308" s="309"/>
      <c r="AC308" s="309"/>
      <c r="AD308" s="309"/>
      <c r="AE308" s="309"/>
    </row>
    <row r="309" spans="1:31" ht="12.75" customHeight="1">
      <c r="A309" s="309"/>
      <c r="B309" s="309"/>
      <c r="C309" s="309"/>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c r="AA309" s="309"/>
      <c r="AB309" s="309"/>
      <c r="AC309" s="309"/>
      <c r="AD309" s="309"/>
      <c r="AE309" s="309"/>
    </row>
    <row r="310" spans="1:31" ht="12.75" customHeight="1">
      <c r="A310" s="309"/>
      <c r="B310" s="30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row>
    <row r="311" spans="1:31" ht="12.75" customHeight="1">
      <c r="A311" s="309"/>
      <c r="B311" s="309"/>
      <c r="C311" s="309"/>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c r="AA311" s="309"/>
      <c r="AB311" s="309"/>
      <c r="AC311" s="309"/>
      <c r="AD311" s="309"/>
      <c r="AE311" s="309"/>
    </row>
    <row r="312" spans="1:31" ht="12.75" customHeight="1">
      <c r="A312" s="309"/>
      <c r="B312" s="30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row>
    <row r="313" spans="1:31" ht="12.75" customHeight="1">
      <c r="A313" s="309"/>
      <c r="B313" s="309"/>
      <c r="C313" s="309"/>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c r="AA313" s="309"/>
      <c r="AB313" s="309"/>
      <c r="AC313" s="309"/>
      <c r="AD313" s="309"/>
      <c r="AE313" s="309"/>
    </row>
    <row r="314" spans="1:31" ht="12.75" customHeight="1">
      <c r="A314" s="309"/>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309"/>
    </row>
    <row r="315" spans="1:31" ht="12.75" customHeight="1">
      <c r="A315" s="309"/>
      <c r="B315" s="309"/>
      <c r="C315" s="309"/>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c r="AA315" s="309"/>
      <c r="AB315" s="309"/>
      <c r="AC315" s="309"/>
      <c r="AD315" s="309"/>
      <c r="AE315" s="309"/>
    </row>
    <row r="316" spans="1:31" ht="12.75" customHeight="1">
      <c r="A316" s="309"/>
      <c r="B316" s="30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c r="AA316" s="309"/>
      <c r="AB316" s="309"/>
      <c r="AC316" s="309"/>
      <c r="AD316" s="309"/>
      <c r="AE316" s="309"/>
    </row>
    <row r="317" spans="1:31" ht="12.75" customHeight="1">
      <c r="A317" s="309"/>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309"/>
    </row>
    <row r="318" spans="1:31" ht="12.75" customHeight="1">
      <c r="A318" s="309"/>
      <c r="B318" s="309"/>
      <c r="C318" s="309"/>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c r="AA318" s="309"/>
      <c r="AB318" s="309"/>
      <c r="AC318" s="309"/>
      <c r="AD318" s="309"/>
      <c r="AE318" s="309"/>
    </row>
    <row r="319" spans="1:31" ht="12.75" customHeight="1">
      <c r="A319" s="309"/>
      <c r="B319" s="30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c r="AA319" s="309"/>
      <c r="AB319" s="309"/>
      <c r="AC319" s="309"/>
      <c r="AD319" s="309"/>
      <c r="AE319" s="309"/>
    </row>
    <row r="320" spans="1:31" ht="12.75" customHeight="1">
      <c r="A320" s="309"/>
      <c r="B320" s="309"/>
      <c r="C320" s="309"/>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c r="AA320" s="309"/>
      <c r="AB320" s="309"/>
      <c r="AC320" s="309"/>
      <c r="AD320" s="309"/>
      <c r="AE320" s="309"/>
    </row>
    <row r="321" spans="1:31" ht="12.75" customHeight="1">
      <c r="A321" s="309"/>
      <c r="B321" s="309"/>
      <c r="C321" s="309"/>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c r="AA321" s="309"/>
      <c r="AB321" s="309"/>
      <c r="AC321" s="309"/>
      <c r="AD321" s="309"/>
      <c r="AE321" s="309"/>
    </row>
    <row r="322" spans="1:31" ht="12.75" customHeight="1">
      <c r="A322" s="309"/>
      <c r="B322" s="309"/>
      <c r="C322" s="309"/>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c r="AA322" s="309"/>
      <c r="AB322" s="309"/>
      <c r="AC322" s="309"/>
      <c r="AD322" s="309"/>
      <c r="AE322" s="309"/>
    </row>
    <row r="323" spans="1:31" ht="12.75" customHeight="1">
      <c r="A323" s="309"/>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309"/>
    </row>
    <row r="324" spans="1:31" ht="12.75" customHeight="1">
      <c r="A324" s="309"/>
      <c r="B324" s="309"/>
      <c r="C324" s="309"/>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c r="AA324" s="309"/>
      <c r="AB324" s="309"/>
      <c r="AC324" s="309"/>
      <c r="AD324" s="309"/>
      <c r="AE324" s="309"/>
    </row>
    <row r="325" spans="1:31" ht="12.75" customHeight="1">
      <c r="A325" s="309"/>
      <c r="B325" s="30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c r="AA325" s="309"/>
      <c r="AB325" s="309"/>
      <c r="AC325" s="309"/>
      <c r="AD325" s="309"/>
      <c r="AE325" s="309"/>
    </row>
    <row r="326" spans="1:31" ht="12.75" customHeight="1">
      <c r="A326" s="309"/>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309"/>
    </row>
    <row r="327" spans="1:31" ht="12.75" customHeight="1">
      <c r="A327" s="309"/>
      <c r="B327" s="30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c r="AA327" s="309"/>
      <c r="AB327" s="309"/>
      <c r="AC327" s="309"/>
      <c r="AD327" s="309"/>
      <c r="AE327" s="309"/>
    </row>
    <row r="328" spans="1:31" ht="12.75" customHeight="1">
      <c r="A328" s="309"/>
      <c r="B328" s="309"/>
      <c r="C328" s="309"/>
      <c r="D328" s="309"/>
      <c r="E328" s="309"/>
      <c r="F328" s="309"/>
      <c r="G328" s="309"/>
      <c r="H328" s="309"/>
      <c r="I328" s="309"/>
      <c r="J328" s="309"/>
      <c r="K328" s="309"/>
      <c r="L328" s="309"/>
      <c r="M328" s="309"/>
      <c r="N328" s="309"/>
      <c r="O328" s="309"/>
      <c r="P328" s="309"/>
      <c r="Q328" s="309"/>
      <c r="R328" s="309"/>
      <c r="S328" s="309"/>
      <c r="T328" s="309"/>
      <c r="U328" s="309"/>
      <c r="V328" s="309"/>
      <c r="W328" s="309"/>
      <c r="X328" s="309"/>
      <c r="Y328" s="309"/>
      <c r="Z328" s="309"/>
      <c r="AA328" s="309"/>
      <c r="AB328" s="309"/>
      <c r="AC328" s="309"/>
      <c r="AD328" s="309"/>
      <c r="AE328" s="309"/>
    </row>
    <row r="329" spans="1:31" ht="12.75" customHeight="1">
      <c r="A329" s="309"/>
      <c r="B329" s="309"/>
      <c r="C329" s="309"/>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c r="AA329" s="309"/>
      <c r="AB329" s="309"/>
      <c r="AC329" s="309"/>
      <c r="AD329" s="309"/>
      <c r="AE329" s="309"/>
    </row>
    <row r="330" spans="1:31" ht="12.75" customHeight="1">
      <c r="A330" s="309"/>
      <c r="B330" s="309"/>
      <c r="C330" s="309"/>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c r="AA330" s="309"/>
      <c r="AB330" s="309"/>
      <c r="AC330" s="309"/>
      <c r="AD330" s="309"/>
      <c r="AE330" s="309"/>
    </row>
    <row r="331" spans="1:31" ht="12.75" customHeight="1">
      <c r="A331" s="309"/>
      <c r="B331" s="309"/>
      <c r="C331" s="309"/>
      <c r="D331" s="309"/>
      <c r="E331" s="309"/>
      <c r="F331" s="309"/>
      <c r="G331" s="309"/>
      <c r="H331" s="309"/>
      <c r="I331" s="309"/>
      <c r="J331" s="309"/>
      <c r="K331" s="309"/>
      <c r="L331" s="309"/>
      <c r="M331" s="309"/>
      <c r="N331" s="309"/>
      <c r="O331" s="309"/>
      <c r="P331" s="309"/>
      <c r="Q331" s="309"/>
      <c r="R331" s="309"/>
      <c r="S331" s="309"/>
      <c r="T331" s="309"/>
      <c r="U331" s="309"/>
      <c r="V331" s="309"/>
      <c r="W331" s="309"/>
      <c r="X331" s="309"/>
      <c r="Y331" s="309"/>
      <c r="Z331" s="309"/>
      <c r="AA331" s="309"/>
      <c r="AB331" s="309"/>
      <c r="AC331" s="309"/>
      <c r="AD331" s="309"/>
      <c r="AE331" s="309"/>
    </row>
    <row r="332" spans="1:31" ht="12.75" customHeight="1">
      <c r="A332" s="309"/>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9"/>
      <c r="AE332" s="309"/>
    </row>
    <row r="333" spans="1:31" ht="12.75" customHeight="1">
      <c r="A333" s="309"/>
      <c r="B333" s="309"/>
      <c r="C333" s="309"/>
      <c r="D333" s="309"/>
      <c r="E333" s="309"/>
      <c r="F333" s="309"/>
      <c r="G333" s="309"/>
      <c r="H333" s="309"/>
      <c r="I333" s="309"/>
      <c r="J333" s="309"/>
      <c r="K333" s="309"/>
      <c r="L333" s="309"/>
      <c r="M333" s="309"/>
      <c r="N333" s="309"/>
      <c r="O333" s="309"/>
      <c r="P333" s="309"/>
      <c r="Q333" s="309"/>
      <c r="R333" s="309"/>
      <c r="S333" s="309"/>
      <c r="T333" s="309"/>
      <c r="U333" s="309"/>
      <c r="V333" s="309"/>
      <c r="W333" s="309"/>
      <c r="X333" s="309"/>
      <c r="Y333" s="309"/>
      <c r="Z333" s="309"/>
      <c r="AA333" s="309"/>
      <c r="AB333" s="309"/>
      <c r="AC333" s="309"/>
      <c r="AD333" s="309"/>
      <c r="AE333" s="309"/>
    </row>
    <row r="334" spans="1:31" ht="12.75" customHeight="1">
      <c r="A334" s="309"/>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309"/>
      <c r="AE334" s="309"/>
    </row>
    <row r="335" spans="1:31" ht="12.75" customHeight="1">
      <c r="A335" s="309"/>
      <c r="B335" s="309"/>
      <c r="C335" s="309"/>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c r="AA335" s="309"/>
      <c r="AB335" s="309"/>
      <c r="AC335" s="309"/>
      <c r="AD335" s="309"/>
      <c r="AE335" s="309"/>
    </row>
    <row r="336" spans="1:31" ht="12.75" customHeight="1">
      <c r="A336" s="309"/>
      <c r="B336" s="309"/>
      <c r="C336" s="309"/>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c r="AA336" s="309"/>
      <c r="AB336" s="309"/>
      <c r="AC336" s="309"/>
      <c r="AD336" s="309"/>
      <c r="AE336" s="309"/>
    </row>
    <row r="337" spans="1:31" ht="12.75" customHeight="1">
      <c r="A337" s="309"/>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309"/>
      <c r="AE337" s="309"/>
    </row>
    <row r="338" spans="1:31" ht="12.75" customHeight="1">
      <c r="A338" s="309"/>
      <c r="B338" s="309"/>
      <c r="C338" s="309"/>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c r="AA338" s="309"/>
      <c r="AB338" s="309"/>
      <c r="AC338" s="309"/>
      <c r="AD338" s="309"/>
      <c r="AE338" s="309"/>
    </row>
    <row r="339" spans="1:31" ht="12.75" customHeight="1">
      <c r="A339" s="309"/>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309"/>
    </row>
    <row r="340" spans="1:31" ht="12.75" customHeight="1">
      <c r="A340" s="309"/>
      <c r="B340" s="309"/>
      <c r="C340" s="309"/>
      <c r="D340" s="309"/>
      <c r="E340" s="309"/>
      <c r="F340" s="309"/>
      <c r="G340" s="309"/>
      <c r="H340" s="309"/>
      <c r="I340" s="309"/>
      <c r="J340" s="309"/>
      <c r="K340" s="309"/>
      <c r="L340" s="309"/>
      <c r="M340" s="309"/>
      <c r="N340" s="309"/>
      <c r="O340" s="309"/>
      <c r="P340" s="309"/>
      <c r="Q340" s="309"/>
      <c r="R340" s="309"/>
      <c r="S340" s="309"/>
      <c r="T340" s="309"/>
      <c r="U340" s="309"/>
      <c r="V340" s="309"/>
      <c r="W340" s="309"/>
      <c r="X340" s="309"/>
      <c r="Y340" s="309"/>
      <c r="Z340" s="309"/>
      <c r="AA340" s="309"/>
      <c r="AB340" s="309"/>
      <c r="AC340" s="309"/>
      <c r="AD340" s="309"/>
      <c r="AE340" s="309"/>
    </row>
    <row r="341" spans="1:31" ht="12.75" customHeight="1">
      <c r="A341" s="309"/>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309"/>
    </row>
    <row r="342" spans="1:31" ht="12.75" customHeight="1">
      <c r="A342" s="309"/>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309"/>
    </row>
    <row r="343" spans="1:31" ht="12.75" customHeight="1">
      <c r="A343" s="309"/>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c r="AA343" s="309"/>
      <c r="AB343" s="309"/>
      <c r="AC343" s="309"/>
      <c r="AD343" s="309"/>
      <c r="AE343" s="309"/>
    </row>
    <row r="344" spans="1:31" ht="12.75" customHeight="1">
      <c r="A344" s="309"/>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309"/>
      <c r="AE344" s="309"/>
    </row>
    <row r="345" spans="1:31" ht="12.75" customHeight="1">
      <c r="A345" s="309"/>
      <c r="B345" s="309"/>
      <c r="C345" s="309"/>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c r="AA345" s="309"/>
      <c r="AB345" s="309"/>
      <c r="AC345" s="309"/>
      <c r="AD345" s="309"/>
      <c r="AE345" s="309"/>
    </row>
    <row r="346" spans="1:31" ht="12.75" customHeight="1">
      <c r="A346" s="309"/>
      <c r="B346" s="309"/>
      <c r="C346" s="309"/>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c r="AA346" s="309"/>
      <c r="AB346" s="309"/>
      <c r="AC346" s="309"/>
      <c r="AD346" s="309"/>
      <c r="AE346" s="309"/>
    </row>
    <row r="347" spans="1:31" ht="12.75" customHeight="1">
      <c r="A347" s="309"/>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row>
    <row r="348" spans="1:31" ht="12.75" customHeight="1">
      <c r="A348" s="309"/>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309"/>
    </row>
    <row r="349" spans="1:31" ht="12.75" customHeight="1">
      <c r="A349" s="309"/>
      <c r="B349" s="309"/>
      <c r="C349" s="309"/>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c r="AA349" s="309"/>
      <c r="AB349" s="309"/>
      <c r="AC349" s="309"/>
      <c r="AD349" s="309"/>
      <c r="AE349" s="309"/>
    </row>
    <row r="350" spans="1:31" ht="12.75" customHeight="1">
      <c r="A350" s="309"/>
      <c r="B350" s="309"/>
      <c r="C350" s="309"/>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c r="AA350" s="309"/>
      <c r="AB350" s="309"/>
      <c r="AC350" s="309"/>
      <c r="AD350" s="309"/>
      <c r="AE350" s="309"/>
    </row>
    <row r="351" spans="1:31" ht="12.75" customHeight="1">
      <c r="A351" s="309"/>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309"/>
    </row>
    <row r="352" spans="1:31" ht="12.75" customHeight="1">
      <c r="A352" s="309"/>
      <c r="B352" s="309"/>
      <c r="C352" s="309"/>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c r="AA352" s="309"/>
      <c r="AB352" s="309"/>
      <c r="AC352" s="309"/>
      <c r="AD352" s="309"/>
      <c r="AE352" s="309"/>
    </row>
    <row r="353" spans="1:31" ht="12.75" customHeight="1">
      <c r="A353" s="309"/>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309"/>
      <c r="AE353" s="309"/>
    </row>
    <row r="354" spans="1:31" ht="12.75" customHeight="1">
      <c r="A354" s="309"/>
      <c r="B354" s="309"/>
      <c r="C354" s="309"/>
      <c r="D354" s="309"/>
      <c r="E354" s="309"/>
      <c r="F354" s="309"/>
      <c r="G354" s="309"/>
      <c r="H354" s="309"/>
      <c r="I354" s="309"/>
      <c r="J354" s="309"/>
      <c r="K354" s="309"/>
      <c r="L354" s="309"/>
      <c r="M354" s="309"/>
      <c r="N354" s="309"/>
      <c r="O354" s="309"/>
      <c r="P354" s="309"/>
      <c r="Q354" s="309"/>
      <c r="R354" s="309"/>
      <c r="S354" s="309"/>
      <c r="T354" s="309"/>
      <c r="U354" s="309"/>
      <c r="V354" s="309"/>
      <c r="W354" s="309"/>
      <c r="X354" s="309"/>
      <c r="Y354" s="309"/>
      <c r="Z354" s="309"/>
      <c r="AA354" s="309"/>
      <c r="AB354" s="309"/>
      <c r="AC354" s="309"/>
      <c r="AD354" s="309"/>
      <c r="AE354" s="309"/>
    </row>
    <row r="355" spans="1:31" ht="12.75" customHeight="1">
      <c r="A355" s="309"/>
      <c r="B355" s="309"/>
      <c r="C355" s="309"/>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c r="AA355" s="309"/>
      <c r="AB355" s="309"/>
      <c r="AC355" s="309"/>
      <c r="AD355" s="309"/>
      <c r="AE355" s="309"/>
    </row>
    <row r="356" spans="1:31" ht="12.75" customHeight="1">
      <c r="A356" s="309"/>
      <c r="B356" s="309"/>
      <c r="C356" s="309"/>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c r="AA356" s="309"/>
      <c r="AB356" s="309"/>
      <c r="AC356" s="309"/>
      <c r="AD356" s="309"/>
      <c r="AE356" s="309"/>
    </row>
    <row r="357" spans="1:31" ht="12.75" customHeight="1">
      <c r="A357" s="309"/>
      <c r="B357" s="309"/>
      <c r="C357" s="309"/>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c r="AA357" s="309"/>
      <c r="AB357" s="309"/>
      <c r="AC357" s="309"/>
      <c r="AD357" s="309"/>
      <c r="AE357" s="309"/>
    </row>
    <row r="358" spans="1:31" ht="12.75" customHeight="1">
      <c r="A358" s="309"/>
      <c r="B358" s="309"/>
      <c r="C358" s="309"/>
      <c r="D358" s="309"/>
      <c r="E358" s="309"/>
      <c r="F358" s="309"/>
      <c r="G358" s="309"/>
      <c r="H358" s="309"/>
      <c r="I358" s="309"/>
      <c r="J358" s="309"/>
      <c r="K358" s="309"/>
      <c r="L358" s="309"/>
      <c r="M358" s="309"/>
      <c r="N358" s="309"/>
      <c r="O358" s="309"/>
      <c r="P358" s="309"/>
      <c r="Q358" s="309"/>
      <c r="R358" s="309"/>
      <c r="S358" s="309"/>
      <c r="T358" s="309"/>
      <c r="U358" s="309"/>
      <c r="V358" s="309"/>
      <c r="W358" s="309"/>
      <c r="X358" s="309"/>
      <c r="Y358" s="309"/>
      <c r="Z358" s="309"/>
      <c r="AA358" s="309"/>
      <c r="AB358" s="309"/>
      <c r="AC358" s="309"/>
      <c r="AD358" s="309"/>
      <c r="AE358" s="309"/>
    </row>
    <row r="359" spans="1:31" ht="12.75" customHeight="1">
      <c r="A359" s="309"/>
      <c r="B359" s="309"/>
      <c r="C359" s="309"/>
      <c r="D359" s="309"/>
      <c r="E359" s="309"/>
      <c r="F359" s="309"/>
      <c r="G359" s="309"/>
      <c r="H359" s="309"/>
      <c r="I359" s="309"/>
      <c r="J359" s="309"/>
      <c r="K359" s="309"/>
      <c r="L359" s="309"/>
      <c r="M359" s="309"/>
      <c r="N359" s="309"/>
      <c r="O359" s="309"/>
      <c r="P359" s="309"/>
      <c r="Q359" s="309"/>
      <c r="R359" s="309"/>
      <c r="S359" s="309"/>
      <c r="T359" s="309"/>
      <c r="U359" s="309"/>
      <c r="V359" s="309"/>
      <c r="W359" s="309"/>
      <c r="X359" s="309"/>
      <c r="Y359" s="309"/>
      <c r="Z359" s="309"/>
      <c r="AA359" s="309"/>
      <c r="AB359" s="309"/>
      <c r="AC359" s="309"/>
      <c r="AD359" s="309"/>
      <c r="AE359" s="309"/>
    </row>
    <row r="360" spans="1:31" ht="12.75" customHeight="1">
      <c r="A360" s="309"/>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309"/>
      <c r="AE360" s="309"/>
    </row>
    <row r="361" spans="1:31" ht="12.75" customHeight="1">
      <c r="A361" s="309"/>
      <c r="B361" s="309"/>
      <c r="C361" s="309"/>
      <c r="D361" s="309"/>
      <c r="E361" s="309"/>
      <c r="F361" s="309"/>
      <c r="G361" s="309"/>
      <c r="H361" s="309"/>
      <c r="I361" s="309"/>
      <c r="J361" s="309"/>
      <c r="K361" s="309"/>
      <c r="L361" s="309"/>
      <c r="M361" s="309"/>
      <c r="N361" s="309"/>
      <c r="O361" s="309"/>
      <c r="P361" s="309"/>
      <c r="Q361" s="309"/>
      <c r="R361" s="309"/>
      <c r="S361" s="309"/>
      <c r="T361" s="309"/>
      <c r="U361" s="309"/>
      <c r="V361" s="309"/>
      <c r="W361" s="309"/>
      <c r="X361" s="309"/>
      <c r="Y361" s="309"/>
      <c r="Z361" s="309"/>
      <c r="AA361" s="309"/>
      <c r="AB361" s="309"/>
      <c r="AC361" s="309"/>
      <c r="AD361" s="309"/>
      <c r="AE361" s="309"/>
    </row>
    <row r="362" spans="1:31" ht="12.75" customHeight="1">
      <c r="A362" s="309"/>
      <c r="B362" s="309"/>
      <c r="C362" s="309"/>
      <c r="D362" s="309"/>
      <c r="E362" s="309"/>
      <c r="F362" s="309"/>
      <c r="G362" s="309"/>
      <c r="H362" s="309"/>
      <c r="I362" s="309"/>
      <c r="J362" s="309"/>
      <c r="K362" s="309"/>
      <c r="L362" s="309"/>
      <c r="M362" s="309"/>
      <c r="N362" s="309"/>
      <c r="O362" s="309"/>
      <c r="P362" s="309"/>
      <c r="Q362" s="309"/>
      <c r="R362" s="309"/>
      <c r="S362" s="309"/>
      <c r="T362" s="309"/>
      <c r="U362" s="309"/>
      <c r="V362" s="309"/>
      <c r="W362" s="309"/>
      <c r="X362" s="309"/>
      <c r="Y362" s="309"/>
      <c r="Z362" s="309"/>
      <c r="AA362" s="309"/>
      <c r="AB362" s="309"/>
      <c r="AC362" s="309"/>
      <c r="AD362" s="309"/>
      <c r="AE362" s="309"/>
    </row>
    <row r="363" spans="1:31" ht="12.75" customHeight="1">
      <c r="A363" s="309"/>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c r="AA363" s="309"/>
      <c r="AB363" s="309"/>
      <c r="AC363" s="309"/>
      <c r="AD363" s="309"/>
      <c r="AE363" s="309"/>
    </row>
    <row r="364" spans="1:31" ht="12.75" customHeight="1">
      <c r="A364" s="309"/>
      <c r="B364" s="309"/>
      <c r="C364" s="309"/>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c r="AA364" s="309"/>
      <c r="AB364" s="309"/>
      <c r="AC364" s="309"/>
      <c r="AD364" s="309"/>
      <c r="AE364" s="309"/>
    </row>
    <row r="365" spans="1:31" ht="12.75" customHeight="1">
      <c r="A365" s="309"/>
      <c r="B365" s="309"/>
      <c r="C365" s="309"/>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c r="AA365" s="309"/>
      <c r="AB365" s="309"/>
      <c r="AC365" s="309"/>
      <c r="AD365" s="309"/>
      <c r="AE365" s="309"/>
    </row>
    <row r="366" spans="1:31" ht="12.75" customHeight="1">
      <c r="A366" s="309"/>
      <c r="B366" s="30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c r="AA366" s="309"/>
      <c r="AB366" s="309"/>
      <c r="AC366" s="309"/>
      <c r="AD366" s="309"/>
      <c r="AE366" s="309"/>
    </row>
    <row r="367" spans="1:31" ht="12.75" customHeight="1">
      <c r="A367" s="309"/>
      <c r="B367" s="30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c r="AA367" s="309"/>
      <c r="AB367" s="309"/>
      <c r="AC367" s="309"/>
      <c r="AD367" s="309"/>
      <c r="AE367" s="309"/>
    </row>
    <row r="368" spans="1:31" ht="12.75" customHeight="1">
      <c r="A368" s="309"/>
      <c r="B368" s="309"/>
      <c r="C368" s="309"/>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c r="AA368" s="309"/>
      <c r="AB368" s="309"/>
      <c r="AC368" s="309"/>
      <c r="AD368" s="309"/>
      <c r="AE368" s="309"/>
    </row>
    <row r="369" spans="1:31" ht="12.75" customHeight="1">
      <c r="A369" s="309"/>
      <c r="B369" s="30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c r="AA369" s="309"/>
      <c r="AB369" s="309"/>
      <c r="AC369" s="309"/>
      <c r="AD369" s="309"/>
      <c r="AE369" s="309"/>
    </row>
    <row r="370" spans="1:31" ht="12.75" customHeight="1">
      <c r="A370" s="309"/>
      <c r="B370" s="309"/>
      <c r="C370" s="309"/>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row>
    <row r="371" spans="1:31" ht="12.75" customHeight="1">
      <c r="A371" s="309"/>
      <c r="B371" s="309"/>
      <c r="C371" s="309"/>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c r="AA371" s="309"/>
      <c r="AB371" s="309"/>
      <c r="AC371" s="309"/>
      <c r="AD371" s="309"/>
      <c r="AE371" s="309"/>
    </row>
    <row r="372" spans="1:31" ht="12.75" customHeight="1">
      <c r="A372" s="309"/>
      <c r="B372" s="30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c r="AA372" s="309"/>
      <c r="AB372" s="309"/>
      <c r="AC372" s="309"/>
      <c r="AD372" s="309"/>
      <c r="AE372" s="309"/>
    </row>
    <row r="373" spans="1:31" ht="12.75" customHeight="1">
      <c r="A373" s="309"/>
      <c r="B373" s="309"/>
      <c r="C373" s="309"/>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c r="AA373" s="309"/>
      <c r="AB373" s="309"/>
      <c r="AC373" s="309"/>
      <c r="AD373" s="309"/>
      <c r="AE373" s="309"/>
    </row>
    <row r="374" spans="1:31" ht="12.75" customHeight="1">
      <c r="A374" s="309"/>
      <c r="B374" s="309"/>
      <c r="C374" s="309"/>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c r="AA374" s="309"/>
      <c r="AB374" s="309"/>
      <c r="AC374" s="309"/>
      <c r="AD374" s="309"/>
      <c r="AE374" s="309"/>
    </row>
    <row r="375" spans="1:31" ht="12.75" customHeight="1">
      <c r="A375" s="309"/>
      <c r="B375" s="30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c r="AA375" s="309"/>
      <c r="AB375" s="309"/>
      <c r="AC375" s="309"/>
      <c r="AD375" s="309"/>
      <c r="AE375" s="309"/>
    </row>
    <row r="376" spans="1:31" ht="12.75" customHeight="1">
      <c r="A376" s="309"/>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309"/>
    </row>
    <row r="377" spans="1:31" ht="12.75" customHeight="1">
      <c r="A377" s="309"/>
      <c r="B377" s="309"/>
      <c r="C377" s="309"/>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c r="AA377" s="309"/>
      <c r="AB377" s="309"/>
      <c r="AC377" s="309"/>
      <c r="AD377" s="309"/>
      <c r="AE377" s="309"/>
    </row>
    <row r="378" spans="1:31" ht="12.75" customHeight="1">
      <c r="A378" s="309"/>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309"/>
      <c r="AE378" s="309"/>
    </row>
    <row r="379" spans="1:31" ht="12.75" customHeight="1">
      <c r="A379" s="309"/>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309"/>
    </row>
    <row r="380" spans="1:31" ht="12.75" customHeight="1">
      <c r="A380" s="309"/>
      <c r="B380" s="30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c r="AA380" s="309"/>
      <c r="AB380" s="309"/>
      <c r="AC380" s="309"/>
      <c r="AD380" s="309"/>
      <c r="AE380" s="309"/>
    </row>
    <row r="381" spans="1:31" ht="12.75" customHeight="1">
      <c r="A381" s="309"/>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309"/>
      <c r="AE381" s="309"/>
    </row>
    <row r="382" spans="1:31" ht="12.75" customHeight="1">
      <c r="A382" s="309"/>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9"/>
      <c r="AE382" s="309"/>
    </row>
    <row r="383" spans="1:31" ht="12.75" customHeight="1">
      <c r="A383" s="309"/>
      <c r="B383" s="309"/>
      <c r="C383" s="309"/>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c r="AA383" s="309"/>
      <c r="AB383" s="309"/>
      <c r="AC383" s="309"/>
      <c r="AD383" s="309"/>
      <c r="AE383" s="309"/>
    </row>
    <row r="384" spans="1:31" ht="12.75" customHeight="1">
      <c r="A384" s="309"/>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309"/>
    </row>
    <row r="385" spans="1:31" ht="12.75" customHeight="1">
      <c r="A385" s="309"/>
      <c r="B385" s="30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c r="AB385" s="309"/>
      <c r="AC385" s="309"/>
      <c r="AD385" s="309"/>
      <c r="AE385" s="309"/>
    </row>
    <row r="386" spans="1:31" ht="12.75" customHeight="1">
      <c r="A386" s="309"/>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309"/>
      <c r="AE386" s="309"/>
    </row>
    <row r="387" spans="1:31" ht="12.75" customHeight="1">
      <c r="A387" s="309"/>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c r="AA387" s="309"/>
      <c r="AB387" s="309"/>
      <c r="AC387" s="309"/>
      <c r="AD387" s="309"/>
      <c r="AE387" s="309"/>
    </row>
    <row r="388" spans="1:31" ht="12.75" customHeight="1">
      <c r="A388" s="309"/>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309"/>
    </row>
    <row r="389" spans="1:31" ht="12.75" customHeight="1">
      <c r="A389" s="309"/>
      <c r="B389" s="30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c r="AA389" s="309"/>
      <c r="AB389" s="309"/>
      <c r="AC389" s="309"/>
      <c r="AD389" s="309"/>
      <c r="AE389" s="309"/>
    </row>
    <row r="390" spans="1:31" ht="12.75" customHeight="1">
      <c r="A390" s="309"/>
      <c r="B390" s="309"/>
      <c r="C390" s="309"/>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c r="AA390" s="309"/>
      <c r="AB390" s="309"/>
      <c r="AC390" s="309"/>
      <c r="AD390" s="309"/>
      <c r="AE390" s="309"/>
    </row>
    <row r="391" spans="1:31" ht="12.75" customHeight="1">
      <c r="A391" s="309"/>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309"/>
      <c r="AE391" s="309"/>
    </row>
    <row r="392" spans="1:31" ht="12.75" customHeight="1">
      <c r="A392" s="309"/>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c r="AA392" s="309"/>
      <c r="AB392" s="309"/>
      <c r="AC392" s="309"/>
      <c r="AD392" s="309"/>
      <c r="AE392" s="309"/>
    </row>
    <row r="393" spans="1:31" ht="12.75" customHeight="1">
      <c r="A393" s="309"/>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309"/>
    </row>
    <row r="394" spans="1:31" ht="12.75" customHeight="1">
      <c r="A394" s="309"/>
      <c r="B394" s="30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c r="AA394" s="309"/>
      <c r="AB394" s="309"/>
      <c r="AC394" s="309"/>
      <c r="AD394" s="309"/>
      <c r="AE394" s="309"/>
    </row>
    <row r="395" spans="1:31" ht="12.75" customHeight="1">
      <c r="A395" s="309"/>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309"/>
      <c r="AE395" s="309"/>
    </row>
    <row r="396" spans="1:31" ht="12.75" customHeight="1">
      <c r="A396" s="309"/>
      <c r="B396" s="30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c r="AA396" s="309"/>
      <c r="AB396" s="309"/>
      <c r="AC396" s="309"/>
      <c r="AD396" s="309"/>
      <c r="AE396" s="309"/>
    </row>
    <row r="397" spans="1:31" ht="12.75" customHeight="1">
      <c r="A397" s="309"/>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309"/>
      <c r="AE397" s="309"/>
    </row>
    <row r="398" spans="1:31" ht="12.75" customHeight="1">
      <c r="A398" s="309"/>
      <c r="B398" s="30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c r="AA398" s="309"/>
      <c r="AB398" s="309"/>
      <c r="AC398" s="309"/>
      <c r="AD398" s="309"/>
      <c r="AE398" s="309"/>
    </row>
    <row r="399" spans="1:31" ht="12.75" customHeight="1">
      <c r="A399" s="309"/>
      <c r="B399" s="309"/>
      <c r="C399" s="309"/>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c r="AA399" s="309"/>
      <c r="AB399" s="309"/>
      <c r="AC399" s="309"/>
      <c r="AD399" s="309"/>
      <c r="AE399" s="309"/>
    </row>
    <row r="400" spans="1:31" ht="12.75" customHeight="1">
      <c r="A400" s="309"/>
      <c r="B400" s="309"/>
      <c r="C400" s="309"/>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c r="AA400" s="309"/>
      <c r="AB400" s="309"/>
      <c r="AC400" s="309"/>
      <c r="AD400" s="309"/>
      <c r="AE400" s="309"/>
    </row>
    <row r="401" spans="1:31" ht="12.75" customHeight="1">
      <c r="A401" s="309"/>
      <c r="B401" s="309"/>
      <c r="C401" s="309"/>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c r="AA401" s="309"/>
      <c r="AB401" s="309"/>
      <c r="AC401" s="309"/>
      <c r="AD401" s="309"/>
      <c r="AE401" s="309"/>
    </row>
    <row r="402" spans="1:31" ht="12.75" customHeight="1">
      <c r="A402" s="309"/>
      <c r="B402" s="309"/>
      <c r="C402" s="309"/>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c r="AA402" s="309"/>
      <c r="AB402" s="309"/>
      <c r="AC402" s="309"/>
      <c r="AD402" s="309"/>
      <c r="AE402" s="309"/>
    </row>
    <row r="403" spans="1:31" ht="12.75" customHeight="1">
      <c r="A403" s="309"/>
      <c r="B403" s="30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c r="AA403" s="309"/>
      <c r="AB403" s="309"/>
      <c r="AC403" s="309"/>
      <c r="AD403" s="309"/>
      <c r="AE403" s="309"/>
    </row>
    <row r="404" spans="1:31" ht="12.75" customHeight="1">
      <c r="A404" s="309"/>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309"/>
    </row>
    <row r="405" spans="1:31" ht="12.75" customHeight="1">
      <c r="A405" s="309"/>
      <c r="B405" s="309"/>
      <c r="C405" s="309"/>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c r="AA405" s="309"/>
      <c r="AB405" s="309"/>
      <c r="AC405" s="309"/>
      <c r="AD405" s="309"/>
      <c r="AE405" s="309"/>
    </row>
    <row r="406" spans="1:31" ht="12.75" customHeight="1">
      <c r="A406" s="309"/>
      <c r="B406" s="309"/>
      <c r="C406" s="309"/>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c r="AA406" s="309"/>
      <c r="AB406" s="309"/>
      <c r="AC406" s="309"/>
      <c r="AD406" s="309"/>
      <c r="AE406" s="309"/>
    </row>
    <row r="407" spans="1:31" ht="12.75" customHeight="1">
      <c r="A407" s="309"/>
      <c r="B407" s="30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c r="AB407" s="309"/>
      <c r="AC407" s="309"/>
      <c r="AD407" s="309"/>
      <c r="AE407" s="309"/>
    </row>
    <row r="408" spans="1:31" ht="12.75" customHeight="1">
      <c r="A408" s="309"/>
      <c r="B408" s="309"/>
      <c r="C408" s="309"/>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c r="AA408" s="309"/>
      <c r="AB408" s="309"/>
      <c r="AC408" s="309"/>
      <c r="AD408" s="309"/>
      <c r="AE408" s="309"/>
    </row>
    <row r="409" spans="1:31" ht="12.75" customHeight="1">
      <c r="A409" s="309"/>
      <c r="B409" s="309"/>
      <c r="C409" s="309"/>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c r="AA409" s="309"/>
      <c r="AB409" s="309"/>
      <c r="AC409" s="309"/>
      <c r="AD409" s="309"/>
      <c r="AE409" s="309"/>
    </row>
    <row r="410" spans="1:31" ht="12.75" customHeight="1">
      <c r="A410" s="309"/>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309"/>
    </row>
    <row r="411" spans="1:31" ht="12.75" customHeight="1">
      <c r="A411" s="309"/>
      <c r="B411" s="309"/>
      <c r="C411" s="309"/>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c r="AA411" s="309"/>
      <c r="AB411" s="309"/>
      <c r="AC411" s="309"/>
      <c r="AD411" s="309"/>
      <c r="AE411" s="309"/>
    </row>
    <row r="412" spans="1:31" ht="12.75" customHeight="1">
      <c r="A412" s="309"/>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309"/>
      <c r="AE412" s="309"/>
    </row>
    <row r="413" spans="1:31" ht="12.75" customHeight="1">
      <c r="A413" s="309"/>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309"/>
    </row>
    <row r="414" spans="1:31" ht="12.75" customHeight="1">
      <c r="A414" s="309"/>
      <c r="B414" s="309"/>
      <c r="C414" s="309"/>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c r="AA414" s="309"/>
      <c r="AB414" s="309"/>
      <c r="AC414" s="309"/>
      <c r="AD414" s="309"/>
      <c r="AE414" s="309"/>
    </row>
    <row r="415" spans="1:31" ht="12.75" customHeight="1">
      <c r="A415" s="309"/>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309"/>
      <c r="AE415" s="309"/>
    </row>
    <row r="416" spans="1:31" ht="12.75" customHeight="1">
      <c r="A416" s="309"/>
      <c r="B416" s="30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c r="AB416" s="309"/>
      <c r="AC416" s="309"/>
      <c r="AD416" s="309"/>
      <c r="AE416" s="309"/>
    </row>
    <row r="417" spans="1:31" ht="12.75" customHeight="1">
      <c r="A417" s="309"/>
      <c r="B417" s="30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c r="AA417" s="309"/>
      <c r="AB417" s="309"/>
      <c r="AC417" s="309"/>
      <c r="AD417" s="309"/>
      <c r="AE417" s="309"/>
    </row>
    <row r="418" spans="1:31" ht="12.75" customHeight="1">
      <c r="A418" s="309"/>
      <c r="B418" s="309"/>
      <c r="C418" s="309"/>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c r="AA418" s="309"/>
      <c r="AB418" s="309"/>
      <c r="AC418" s="309"/>
      <c r="AD418" s="309"/>
      <c r="AE418" s="309"/>
    </row>
    <row r="419" spans="1:31" ht="12.75" customHeight="1">
      <c r="A419" s="309"/>
      <c r="B419" s="30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c r="AB419" s="309"/>
      <c r="AC419" s="309"/>
      <c r="AD419" s="309"/>
      <c r="AE419" s="309"/>
    </row>
    <row r="420" spans="1:31" ht="12.75" customHeight="1">
      <c r="A420" s="309"/>
      <c r="B420" s="30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c r="AA420" s="309"/>
      <c r="AB420" s="309"/>
      <c r="AC420" s="309"/>
      <c r="AD420" s="309"/>
      <c r="AE420" s="309"/>
    </row>
    <row r="421" spans="1:31" ht="12.75" customHeight="1">
      <c r="A421" s="309"/>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c r="AA421" s="309"/>
      <c r="AB421" s="309"/>
      <c r="AC421" s="309"/>
      <c r="AD421" s="309"/>
      <c r="AE421" s="309"/>
    </row>
    <row r="422" spans="1:31" ht="12.75" customHeight="1">
      <c r="A422" s="309"/>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309"/>
      <c r="AE422" s="309"/>
    </row>
    <row r="423" spans="1:31" ht="12.75" customHeight="1">
      <c r="A423" s="309"/>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309"/>
    </row>
    <row r="424" spans="1:31" ht="12.75" customHeight="1">
      <c r="A424" s="309"/>
      <c r="B424" s="30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c r="AA424" s="309"/>
      <c r="AB424" s="309"/>
      <c r="AC424" s="309"/>
      <c r="AD424" s="309"/>
      <c r="AE424" s="309"/>
    </row>
    <row r="425" spans="1:31" ht="12.75" customHeight="1">
      <c r="A425" s="309"/>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309"/>
      <c r="AE425" s="309"/>
    </row>
    <row r="426" spans="1:31" ht="12.75" customHeight="1">
      <c r="A426" s="309"/>
      <c r="B426" s="30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c r="AA426" s="309"/>
      <c r="AB426" s="309"/>
      <c r="AC426" s="309"/>
      <c r="AD426" s="309"/>
      <c r="AE426" s="309"/>
    </row>
    <row r="427" spans="1:31" ht="12.75" customHeight="1">
      <c r="A427" s="309"/>
      <c r="B427" s="309"/>
      <c r="C427" s="309"/>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c r="AA427" s="309"/>
      <c r="AB427" s="309"/>
      <c r="AC427" s="309"/>
      <c r="AD427" s="309"/>
      <c r="AE427" s="309"/>
    </row>
    <row r="428" spans="1:31" ht="12.75" customHeight="1">
      <c r="A428" s="309"/>
      <c r="B428" s="309"/>
      <c r="C428" s="309"/>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c r="AA428" s="309"/>
      <c r="AB428" s="309"/>
      <c r="AC428" s="309"/>
      <c r="AD428" s="309"/>
      <c r="AE428" s="309"/>
    </row>
    <row r="429" spans="1:31" ht="12.75" customHeight="1">
      <c r="A429" s="309"/>
      <c r="B429" s="309"/>
      <c r="C429" s="309"/>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c r="AA429" s="309"/>
      <c r="AB429" s="309"/>
      <c r="AC429" s="309"/>
      <c r="AD429" s="309"/>
      <c r="AE429" s="309"/>
    </row>
    <row r="430" spans="1:31" ht="12.75" customHeight="1">
      <c r="A430" s="309"/>
      <c r="B430" s="30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c r="AA430" s="309"/>
      <c r="AB430" s="309"/>
      <c r="AC430" s="309"/>
      <c r="AD430" s="309"/>
      <c r="AE430" s="309"/>
    </row>
    <row r="431" spans="1:31" ht="12.75" customHeight="1">
      <c r="A431" s="309"/>
      <c r="B431" s="30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c r="AA431" s="309"/>
      <c r="AB431" s="309"/>
      <c r="AC431" s="309"/>
      <c r="AD431" s="309"/>
      <c r="AE431" s="309"/>
    </row>
    <row r="432" spans="1:31" ht="12.75" customHeight="1">
      <c r="A432" s="309"/>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309"/>
    </row>
    <row r="433" spans="1:31" ht="12.75" customHeight="1">
      <c r="A433" s="309"/>
      <c r="B433" s="309"/>
      <c r="C433" s="309"/>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c r="AA433" s="309"/>
      <c r="AB433" s="309"/>
      <c r="AC433" s="309"/>
      <c r="AD433" s="309"/>
      <c r="AE433" s="309"/>
    </row>
    <row r="434" spans="1:31" ht="12.75" customHeight="1">
      <c r="A434" s="309"/>
      <c r="B434" s="309"/>
      <c r="C434" s="309"/>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c r="AA434" s="309"/>
      <c r="AB434" s="309"/>
      <c r="AC434" s="309"/>
      <c r="AD434" s="309"/>
      <c r="AE434" s="309"/>
    </row>
    <row r="435" spans="1:31" ht="12.75" customHeight="1">
      <c r="A435" s="309"/>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309"/>
      <c r="AE435" s="309"/>
    </row>
    <row r="436" spans="1:31" ht="12.75" customHeight="1">
      <c r="A436" s="309"/>
      <c r="B436" s="309"/>
      <c r="C436" s="309"/>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c r="AA436" s="309"/>
      <c r="AB436" s="309"/>
      <c r="AC436" s="309"/>
      <c r="AD436" s="309"/>
      <c r="AE436" s="309"/>
    </row>
    <row r="437" spans="1:31" ht="12.75" customHeight="1">
      <c r="A437" s="309"/>
      <c r="B437" s="30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c r="AA437" s="309"/>
      <c r="AB437" s="309"/>
      <c r="AC437" s="309"/>
      <c r="AD437" s="309"/>
      <c r="AE437" s="309"/>
    </row>
    <row r="438" spans="1:31" ht="12.75" customHeight="1">
      <c r="A438" s="309"/>
      <c r="B438" s="309"/>
      <c r="C438" s="309"/>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c r="AA438" s="309"/>
      <c r="AB438" s="309"/>
      <c r="AC438" s="309"/>
      <c r="AD438" s="309"/>
      <c r="AE438" s="309"/>
    </row>
    <row r="439" spans="1:31" ht="12.75" customHeight="1">
      <c r="A439" s="309"/>
      <c r="B439" s="309"/>
      <c r="C439" s="309"/>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c r="AA439" s="309"/>
      <c r="AB439" s="309"/>
      <c r="AC439" s="309"/>
      <c r="AD439" s="309"/>
      <c r="AE439" s="309"/>
    </row>
    <row r="440" spans="1:31" ht="12.75" customHeight="1">
      <c r="A440" s="309"/>
      <c r="B440" s="309"/>
      <c r="C440" s="309"/>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c r="AA440" s="309"/>
      <c r="AB440" s="309"/>
      <c r="AC440" s="309"/>
      <c r="AD440" s="309"/>
      <c r="AE440" s="309"/>
    </row>
    <row r="441" spans="1:31" ht="12.75" customHeight="1">
      <c r="A441" s="309"/>
      <c r="B441" s="30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c r="AA441" s="309"/>
      <c r="AB441" s="309"/>
      <c r="AC441" s="309"/>
      <c r="AD441" s="309"/>
      <c r="AE441" s="309"/>
    </row>
    <row r="442" spans="1:31" ht="12.75" customHeight="1">
      <c r="A442" s="309"/>
      <c r="B442" s="309"/>
      <c r="C442" s="309"/>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c r="AA442" s="309"/>
      <c r="AB442" s="309"/>
      <c r="AC442" s="309"/>
      <c r="AD442" s="309"/>
      <c r="AE442" s="309"/>
    </row>
    <row r="443" spans="1:31" ht="12.75" customHeight="1">
      <c r="A443" s="309"/>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309"/>
      <c r="AE443" s="309"/>
    </row>
    <row r="444" spans="1:31" ht="12.75" customHeight="1">
      <c r="A444" s="309"/>
      <c r="B444" s="30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c r="AA444" s="309"/>
      <c r="AB444" s="309"/>
      <c r="AC444" s="309"/>
      <c r="AD444" s="309"/>
      <c r="AE444" s="309"/>
    </row>
    <row r="445" spans="1:31" ht="12.75" customHeight="1">
      <c r="A445" s="309"/>
      <c r="B445" s="309"/>
      <c r="C445" s="309"/>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c r="AA445" s="309"/>
      <c r="AB445" s="309"/>
      <c r="AC445" s="309"/>
      <c r="AD445" s="309"/>
      <c r="AE445" s="309"/>
    </row>
    <row r="446" spans="1:31" ht="12.75" customHeight="1">
      <c r="A446" s="309"/>
      <c r="B446" s="30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c r="AA446" s="309"/>
      <c r="AB446" s="309"/>
      <c r="AC446" s="309"/>
      <c r="AD446" s="309"/>
      <c r="AE446" s="309"/>
    </row>
    <row r="447" spans="1:31" ht="12.75" customHeight="1">
      <c r="A447" s="309"/>
      <c r="B447" s="30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c r="AA447" s="309"/>
      <c r="AB447" s="309"/>
      <c r="AC447" s="309"/>
      <c r="AD447" s="309"/>
      <c r="AE447" s="309"/>
    </row>
    <row r="448" spans="1:31" ht="12.75" customHeight="1">
      <c r="A448" s="309"/>
      <c r="B448" s="309"/>
      <c r="C448" s="309"/>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c r="AA448" s="309"/>
      <c r="AB448" s="309"/>
      <c r="AC448" s="309"/>
      <c r="AD448" s="309"/>
      <c r="AE448" s="309"/>
    </row>
    <row r="449" spans="1:31" ht="12.75" customHeight="1">
      <c r="A449" s="309"/>
      <c r="B449" s="309"/>
      <c r="C449" s="309"/>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c r="AA449" s="309"/>
      <c r="AB449" s="309"/>
      <c r="AC449" s="309"/>
      <c r="AD449" s="309"/>
      <c r="AE449" s="309"/>
    </row>
    <row r="450" spans="1:31" ht="12.75" customHeight="1">
      <c r="A450" s="309"/>
      <c r="B450" s="30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c r="AA450" s="309"/>
      <c r="AB450" s="309"/>
      <c r="AC450" s="309"/>
      <c r="AD450" s="309"/>
      <c r="AE450" s="309"/>
    </row>
    <row r="451" spans="1:31" ht="12.75" customHeight="1">
      <c r="A451" s="309"/>
      <c r="B451" s="30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c r="AA451" s="309"/>
      <c r="AB451" s="309"/>
      <c r="AC451" s="309"/>
      <c r="AD451" s="309"/>
      <c r="AE451" s="309"/>
    </row>
    <row r="452" spans="1:31" ht="12.75" customHeight="1">
      <c r="A452" s="309"/>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309"/>
    </row>
    <row r="453" spans="1:31" ht="12.75" customHeight="1">
      <c r="A453" s="309"/>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309"/>
    </row>
    <row r="454" spans="1:31" ht="12.75" customHeight="1">
      <c r="A454" s="309"/>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309"/>
      <c r="AE454" s="309"/>
    </row>
    <row r="455" spans="1:31" ht="12.75" customHeight="1">
      <c r="A455" s="309"/>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309"/>
    </row>
    <row r="456" spans="1:31" ht="12.75" customHeight="1">
      <c r="A456" s="309"/>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309"/>
      <c r="AE456" s="309"/>
    </row>
    <row r="457" spans="1:31" ht="12.75" customHeight="1">
      <c r="A457" s="309"/>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309"/>
      <c r="AE457" s="309"/>
    </row>
    <row r="458" spans="1:31" ht="12.75" customHeight="1">
      <c r="A458" s="309"/>
      <c r="B458" s="309"/>
      <c r="C458" s="309"/>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c r="AA458" s="309"/>
      <c r="AB458" s="309"/>
      <c r="AC458" s="309"/>
      <c r="AD458" s="309"/>
      <c r="AE458" s="309"/>
    </row>
    <row r="459" spans="1:31" ht="12.75" customHeight="1">
      <c r="A459" s="309"/>
      <c r="B459" s="309"/>
      <c r="C459" s="309"/>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c r="AA459" s="309"/>
      <c r="AB459" s="309"/>
      <c r="AC459" s="309"/>
      <c r="AD459" s="309"/>
      <c r="AE459" s="309"/>
    </row>
    <row r="460" spans="1:31" ht="12.75" customHeight="1">
      <c r="A460" s="309"/>
      <c r="B460" s="30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c r="AA460" s="309"/>
      <c r="AB460" s="309"/>
      <c r="AC460" s="309"/>
      <c r="AD460" s="309"/>
      <c r="AE460" s="309"/>
    </row>
    <row r="461" spans="1:31" ht="12.75" customHeight="1">
      <c r="A461" s="309"/>
      <c r="B461" s="30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c r="AA461" s="309"/>
      <c r="AB461" s="309"/>
      <c r="AC461" s="309"/>
      <c r="AD461" s="309"/>
      <c r="AE461" s="309"/>
    </row>
    <row r="462" spans="1:31" ht="12.75" customHeight="1">
      <c r="A462" s="309"/>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309"/>
    </row>
    <row r="463" spans="1:31" ht="12.75" customHeight="1">
      <c r="A463" s="309"/>
      <c r="B463" s="309"/>
      <c r="C463" s="309"/>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c r="AA463" s="309"/>
      <c r="AB463" s="309"/>
      <c r="AC463" s="309"/>
      <c r="AD463" s="309"/>
      <c r="AE463" s="309"/>
    </row>
    <row r="464" spans="1:31" ht="12.75" customHeight="1">
      <c r="A464" s="309"/>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309"/>
    </row>
    <row r="465" spans="1:31" ht="12.75" customHeight="1">
      <c r="A465" s="309"/>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c r="AB465" s="309"/>
      <c r="AC465" s="309"/>
      <c r="AD465" s="309"/>
      <c r="AE465" s="309"/>
    </row>
    <row r="466" spans="1:31" ht="12.75" customHeight="1">
      <c r="A466" s="309"/>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c r="AA466" s="309"/>
      <c r="AB466" s="309"/>
      <c r="AC466" s="309"/>
      <c r="AD466" s="309"/>
      <c r="AE466" s="309"/>
    </row>
    <row r="467" spans="1:31" ht="12.75" customHeight="1">
      <c r="A467" s="309"/>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c r="AA467" s="309"/>
      <c r="AB467" s="309"/>
      <c r="AC467" s="309"/>
      <c r="AD467" s="309"/>
      <c r="AE467" s="309"/>
    </row>
    <row r="468" spans="1:31" ht="12.75" customHeight="1">
      <c r="A468" s="309"/>
      <c r="B468" s="30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c r="AA468" s="309"/>
      <c r="AB468" s="309"/>
      <c r="AC468" s="309"/>
      <c r="AD468" s="309"/>
      <c r="AE468" s="309"/>
    </row>
    <row r="469" spans="1:31" ht="12.75" customHeight="1">
      <c r="A469" s="309"/>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c r="AA469" s="309"/>
      <c r="AB469" s="309"/>
      <c r="AC469" s="309"/>
      <c r="AD469" s="309"/>
      <c r="AE469" s="309"/>
    </row>
    <row r="470" spans="1:31" ht="12.75" customHeight="1">
      <c r="A470" s="309"/>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c r="AB470" s="309"/>
      <c r="AC470" s="309"/>
      <c r="AD470" s="309"/>
      <c r="AE470" s="309"/>
    </row>
    <row r="471" spans="1:31" ht="12.75" customHeight="1">
      <c r="A471" s="309"/>
      <c r="B471" s="309"/>
      <c r="C471" s="309"/>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c r="AA471" s="309"/>
      <c r="AB471" s="309"/>
      <c r="AC471" s="309"/>
      <c r="AD471" s="309"/>
      <c r="AE471" s="309"/>
    </row>
    <row r="472" spans="1:31" ht="12.75" customHeight="1">
      <c r="A472" s="309"/>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309"/>
    </row>
    <row r="473" spans="1:31" ht="12.75" customHeight="1">
      <c r="A473" s="309"/>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c r="AB473" s="309"/>
      <c r="AC473" s="309"/>
      <c r="AD473" s="309"/>
      <c r="AE473" s="309"/>
    </row>
    <row r="474" spans="1:31" ht="12.75" customHeight="1">
      <c r="A474" s="309"/>
      <c r="B474" s="30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c r="AA474" s="309"/>
      <c r="AB474" s="309"/>
      <c r="AC474" s="309"/>
      <c r="AD474" s="309"/>
      <c r="AE474" s="309"/>
    </row>
    <row r="475" spans="1:31" ht="12.75" customHeight="1">
      <c r="A475" s="309"/>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c r="AB475" s="309"/>
      <c r="AC475" s="309"/>
      <c r="AD475" s="309"/>
      <c r="AE475" s="309"/>
    </row>
    <row r="476" spans="1:31" ht="12.75" customHeight="1">
      <c r="A476" s="309"/>
      <c r="B476" s="309"/>
      <c r="C476" s="309"/>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c r="AA476" s="309"/>
      <c r="AB476" s="309"/>
      <c r="AC476" s="309"/>
      <c r="AD476" s="309"/>
      <c r="AE476" s="309"/>
    </row>
    <row r="477" spans="1:31" ht="12.75" customHeight="1">
      <c r="A477" s="309"/>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c r="AA477" s="309"/>
      <c r="AB477" s="309"/>
      <c r="AC477" s="309"/>
      <c r="AD477" s="309"/>
      <c r="AE477" s="309"/>
    </row>
    <row r="478" spans="1:31" ht="12.75" customHeight="1">
      <c r="A478" s="309"/>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309"/>
    </row>
    <row r="479" spans="1:31" ht="12.75" customHeight="1">
      <c r="A479" s="309"/>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c r="AB479" s="309"/>
      <c r="AC479" s="309"/>
      <c r="AD479" s="309"/>
      <c r="AE479" s="309"/>
    </row>
    <row r="480" spans="1:31" ht="12.75" customHeight="1">
      <c r="A480" s="309"/>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c r="AB480" s="309"/>
      <c r="AC480" s="309"/>
      <c r="AD480" s="309"/>
      <c r="AE480" s="309"/>
    </row>
    <row r="481" spans="1:31" ht="12.75" customHeight="1">
      <c r="A481" s="309"/>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309"/>
    </row>
    <row r="482" spans="1:31" ht="12.75" customHeight="1">
      <c r="A482" s="309"/>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309"/>
      <c r="AE482" s="309"/>
    </row>
    <row r="483" spans="1:31" ht="12.75" customHeight="1">
      <c r="A483" s="309"/>
      <c r="B483" s="30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c r="AA483" s="309"/>
      <c r="AB483" s="309"/>
      <c r="AC483" s="309"/>
      <c r="AD483" s="309"/>
      <c r="AE483" s="309"/>
    </row>
    <row r="484" spans="1:31" ht="12.75" customHeight="1">
      <c r="A484" s="309"/>
      <c r="B484" s="309"/>
      <c r="C484" s="309"/>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c r="AA484" s="309"/>
      <c r="AB484" s="309"/>
      <c r="AC484" s="309"/>
      <c r="AD484" s="309"/>
      <c r="AE484" s="309"/>
    </row>
    <row r="485" spans="1:31" ht="12.75" customHeight="1">
      <c r="A485" s="309"/>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309"/>
    </row>
    <row r="486" spans="1:31" ht="12.75" customHeight="1">
      <c r="A486" s="309"/>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c r="AA486" s="309"/>
      <c r="AB486" s="309"/>
      <c r="AC486" s="309"/>
      <c r="AD486" s="309"/>
      <c r="AE486" s="309"/>
    </row>
    <row r="487" spans="1:31" ht="12.75" customHeight="1">
      <c r="A487" s="309"/>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309"/>
    </row>
    <row r="488" spans="1:31" ht="12.75" customHeight="1">
      <c r="A488" s="309"/>
      <c r="B488" s="309"/>
      <c r="C488" s="309"/>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c r="AA488" s="309"/>
      <c r="AB488" s="309"/>
      <c r="AC488" s="309"/>
      <c r="AD488" s="309"/>
      <c r="AE488" s="309"/>
    </row>
    <row r="489" spans="1:31" ht="12.75" customHeight="1">
      <c r="A489" s="309"/>
      <c r="B489" s="309"/>
      <c r="C489" s="309"/>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c r="AA489" s="309"/>
      <c r="AB489" s="309"/>
      <c r="AC489" s="309"/>
      <c r="AD489" s="309"/>
      <c r="AE489" s="309"/>
    </row>
    <row r="490" spans="1:31" ht="12.75" customHeight="1">
      <c r="A490" s="309"/>
      <c r="B490" s="30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c r="AA490" s="309"/>
      <c r="AB490" s="309"/>
      <c r="AC490" s="309"/>
      <c r="AD490" s="309"/>
      <c r="AE490" s="309"/>
    </row>
    <row r="491" spans="1:31" ht="12.75" customHeight="1">
      <c r="A491" s="309"/>
      <c r="B491" s="30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c r="AA491" s="309"/>
      <c r="AB491" s="309"/>
      <c r="AC491" s="309"/>
      <c r="AD491" s="309"/>
      <c r="AE491" s="309"/>
    </row>
    <row r="492" spans="1:31" ht="12.75" customHeight="1">
      <c r="A492" s="309"/>
      <c r="B492" s="309"/>
      <c r="C492" s="309"/>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c r="AA492" s="309"/>
      <c r="AB492" s="309"/>
      <c r="AC492" s="309"/>
      <c r="AD492" s="309"/>
      <c r="AE492" s="309"/>
    </row>
    <row r="493" spans="1:31" ht="12.75" customHeight="1">
      <c r="A493" s="309"/>
      <c r="B493" s="30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c r="AA493" s="309"/>
      <c r="AB493" s="309"/>
      <c r="AC493" s="309"/>
      <c r="AD493" s="309"/>
      <c r="AE493" s="309"/>
    </row>
    <row r="494" spans="1:31" ht="12.75" customHeight="1">
      <c r="A494" s="309"/>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309"/>
    </row>
    <row r="495" spans="1:31" ht="12.75" customHeight="1">
      <c r="A495" s="309"/>
      <c r="B495" s="309"/>
      <c r="C495" s="309"/>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c r="AA495" s="309"/>
      <c r="AB495" s="309"/>
      <c r="AC495" s="309"/>
      <c r="AD495" s="309"/>
      <c r="AE495" s="309"/>
    </row>
    <row r="496" spans="1:31" ht="12.75" customHeight="1">
      <c r="A496" s="309"/>
      <c r="B496" s="309"/>
      <c r="C496" s="309"/>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c r="AA496" s="309"/>
      <c r="AB496" s="309"/>
      <c r="AC496" s="309"/>
      <c r="AD496" s="309"/>
      <c r="AE496" s="309"/>
    </row>
    <row r="497" spans="1:31" ht="12.75" customHeight="1">
      <c r="A497" s="309"/>
      <c r="B497" s="30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c r="AA497" s="309"/>
      <c r="AB497" s="309"/>
      <c r="AC497" s="309"/>
      <c r="AD497" s="309"/>
      <c r="AE497" s="309"/>
    </row>
    <row r="498" spans="1:31" ht="12.75" customHeight="1">
      <c r="A498" s="309"/>
      <c r="B498" s="30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c r="AA498" s="309"/>
      <c r="AB498" s="309"/>
      <c r="AC498" s="309"/>
      <c r="AD498" s="309"/>
      <c r="AE498" s="309"/>
    </row>
    <row r="499" spans="1:31" ht="12.75" customHeight="1">
      <c r="A499" s="309"/>
      <c r="B499" s="309"/>
      <c r="C499" s="309"/>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c r="AA499" s="309"/>
      <c r="AB499" s="309"/>
      <c r="AC499" s="309"/>
      <c r="AD499" s="309"/>
      <c r="AE499" s="309"/>
    </row>
    <row r="500" spans="1:31" ht="12.75" customHeight="1">
      <c r="A500" s="309"/>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309"/>
      <c r="AE500" s="309"/>
    </row>
    <row r="501" spans="1:31" ht="12.75" customHeight="1">
      <c r="A501" s="309"/>
      <c r="B501" s="30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c r="AA501" s="309"/>
      <c r="AB501" s="309"/>
      <c r="AC501" s="309"/>
      <c r="AD501" s="309"/>
      <c r="AE501" s="309"/>
    </row>
    <row r="502" spans="1:31" ht="12.75" customHeight="1">
      <c r="A502" s="309"/>
      <c r="B502" s="309"/>
      <c r="C502" s="309"/>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c r="AA502" s="309"/>
      <c r="AB502" s="309"/>
      <c r="AC502" s="309"/>
      <c r="AD502" s="309"/>
      <c r="AE502" s="309"/>
    </row>
    <row r="503" spans="1:31" ht="12.75" customHeight="1">
      <c r="A503" s="309"/>
      <c r="B503" s="30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c r="AA503" s="309"/>
      <c r="AB503" s="309"/>
      <c r="AC503" s="309"/>
      <c r="AD503" s="309"/>
      <c r="AE503" s="309"/>
    </row>
    <row r="504" spans="1:31" ht="12.75" customHeight="1">
      <c r="A504" s="309"/>
      <c r="B504" s="309"/>
      <c r="C504" s="309"/>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c r="AA504" s="309"/>
      <c r="AB504" s="309"/>
      <c r="AC504" s="309"/>
      <c r="AD504" s="309"/>
      <c r="AE504" s="309"/>
    </row>
    <row r="505" spans="1:31" ht="12.75" customHeight="1">
      <c r="A505" s="309"/>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309"/>
    </row>
    <row r="506" spans="1:31" ht="12.75" customHeight="1">
      <c r="A506" s="309"/>
      <c r="B506" s="309"/>
      <c r="C506" s="309"/>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c r="AA506" s="309"/>
      <c r="AB506" s="309"/>
      <c r="AC506" s="309"/>
      <c r="AD506" s="309"/>
      <c r="AE506" s="309"/>
    </row>
    <row r="507" spans="1:31" ht="12.75" customHeight="1">
      <c r="A507" s="309"/>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309"/>
    </row>
    <row r="508" spans="1:31" ht="12.75" customHeight="1">
      <c r="A508" s="309"/>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309"/>
    </row>
    <row r="509" spans="1:31" ht="12.75" customHeight="1">
      <c r="A509" s="309"/>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c r="AA509" s="309"/>
      <c r="AB509" s="309"/>
      <c r="AC509" s="309"/>
      <c r="AD509" s="309"/>
      <c r="AE509" s="309"/>
    </row>
    <row r="510" spans="1:31" ht="12.75" customHeight="1">
      <c r="A510" s="309"/>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309"/>
      <c r="AE510" s="309"/>
    </row>
    <row r="511" spans="1:31" ht="12.75" customHeight="1">
      <c r="A511" s="309"/>
      <c r="B511" s="30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c r="AA511" s="309"/>
      <c r="AB511" s="309"/>
      <c r="AC511" s="309"/>
      <c r="AD511" s="309"/>
      <c r="AE511" s="309"/>
    </row>
    <row r="512" spans="1:31" ht="12.75" customHeight="1">
      <c r="A512" s="309"/>
      <c r="B512" s="309"/>
      <c r="C512" s="309"/>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c r="AA512" s="309"/>
      <c r="AB512" s="309"/>
      <c r="AC512" s="309"/>
      <c r="AD512" s="309"/>
      <c r="AE512" s="309"/>
    </row>
    <row r="513" spans="1:31" ht="12.75" customHeight="1">
      <c r="A513" s="309"/>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309"/>
      <c r="AE513" s="309"/>
    </row>
    <row r="514" spans="1:31" ht="12.75" customHeight="1">
      <c r="A514" s="309"/>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309"/>
    </row>
    <row r="515" spans="1:31" ht="12.75" customHeight="1">
      <c r="A515" s="309"/>
      <c r="B515" s="309"/>
      <c r="C515" s="309"/>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c r="AA515" s="309"/>
      <c r="AB515" s="309"/>
      <c r="AC515" s="309"/>
      <c r="AD515" s="309"/>
      <c r="AE515" s="309"/>
    </row>
    <row r="516" spans="1:31" ht="12.75" customHeight="1">
      <c r="A516" s="309"/>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309"/>
      <c r="AE516" s="309"/>
    </row>
    <row r="517" spans="1:31" ht="12.75" customHeight="1">
      <c r="A517" s="309"/>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309"/>
    </row>
    <row r="518" spans="1:31" ht="12.75" customHeight="1">
      <c r="A518" s="309"/>
      <c r="B518" s="30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c r="AA518" s="309"/>
      <c r="AB518" s="309"/>
      <c r="AC518" s="309"/>
      <c r="AD518" s="309"/>
      <c r="AE518" s="309"/>
    </row>
    <row r="519" spans="1:31" ht="12.75" customHeight="1">
      <c r="A519" s="309"/>
      <c r="B519" s="309"/>
      <c r="C519" s="309"/>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c r="AA519" s="309"/>
      <c r="AB519" s="309"/>
      <c r="AC519" s="309"/>
      <c r="AD519" s="309"/>
      <c r="AE519" s="309"/>
    </row>
    <row r="520" spans="1:31" ht="12.75" customHeight="1">
      <c r="A520" s="309"/>
      <c r="B520" s="30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c r="AA520" s="309"/>
      <c r="AB520" s="309"/>
      <c r="AC520" s="309"/>
      <c r="AD520" s="309"/>
      <c r="AE520" s="309"/>
    </row>
    <row r="521" spans="1:31" ht="12.75" customHeight="1">
      <c r="A521" s="309"/>
      <c r="B521" s="30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c r="AA521" s="309"/>
      <c r="AB521" s="309"/>
      <c r="AC521" s="309"/>
      <c r="AD521" s="309"/>
      <c r="AE521" s="309"/>
    </row>
    <row r="522" spans="1:31" ht="12.75" customHeight="1">
      <c r="A522" s="309"/>
      <c r="B522" s="309"/>
      <c r="C522" s="309"/>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c r="AA522" s="309"/>
      <c r="AB522" s="309"/>
      <c r="AC522" s="309"/>
      <c r="AD522" s="309"/>
      <c r="AE522" s="309"/>
    </row>
    <row r="523" spans="1:31" ht="12.75" customHeight="1">
      <c r="A523" s="309"/>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309"/>
    </row>
    <row r="524" spans="1:31" ht="12.75" customHeight="1">
      <c r="A524" s="309"/>
      <c r="B524" s="309"/>
      <c r="C524" s="309"/>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c r="AA524" s="309"/>
      <c r="AB524" s="309"/>
      <c r="AC524" s="309"/>
      <c r="AD524" s="309"/>
      <c r="AE524" s="309"/>
    </row>
    <row r="525" spans="1:31" ht="12.75" customHeight="1">
      <c r="A525" s="309"/>
      <c r="B525" s="309"/>
      <c r="C525" s="309"/>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c r="AA525" s="309"/>
      <c r="AB525" s="309"/>
      <c r="AC525" s="309"/>
      <c r="AD525" s="309"/>
      <c r="AE525" s="309"/>
    </row>
    <row r="526" spans="1:31" ht="12.75" customHeight="1">
      <c r="A526" s="309"/>
      <c r="B526" s="30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c r="AA526" s="309"/>
      <c r="AB526" s="309"/>
      <c r="AC526" s="309"/>
      <c r="AD526" s="309"/>
      <c r="AE526" s="309"/>
    </row>
    <row r="527" spans="1:31" ht="12.75" customHeight="1">
      <c r="A527" s="309"/>
      <c r="B527" s="309"/>
      <c r="C527" s="309"/>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c r="AA527" s="309"/>
      <c r="AB527" s="309"/>
      <c r="AC527" s="309"/>
      <c r="AD527" s="309"/>
      <c r="AE527" s="309"/>
    </row>
    <row r="528" spans="1:31" ht="12.75" customHeight="1">
      <c r="A528" s="309"/>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309"/>
    </row>
    <row r="529" spans="1:31" ht="12.75" customHeight="1">
      <c r="A529" s="309"/>
      <c r="B529" s="309"/>
      <c r="C529" s="309"/>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c r="AA529" s="309"/>
      <c r="AB529" s="309"/>
      <c r="AC529" s="309"/>
      <c r="AD529" s="309"/>
      <c r="AE529" s="309"/>
    </row>
    <row r="530" spans="1:31" ht="12.75" customHeight="1">
      <c r="A530" s="309"/>
      <c r="B530" s="309"/>
      <c r="C530" s="309"/>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c r="AA530" s="309"/>
      <c r="AB530" s="309"/>
      <c r="AC530" s="309"/>
      <c r="AD530" s="309"/>
      <c r="AE530" s="309"/>
    </row>
    <row r="531" spans="1:31" ht="12.75" customHeight="1">
      <c r="A531" s="309"/>
      <c r="B531" s="30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c r="AA531" s="309"/>
      <c r="AB531" s="309"/>
      <c r="AC531" s="309"/>
      <c r="AD531" s="309"/>
      <c r="AE531" s="309"/>
    </row>
    <row r="532" spans="1:31" ht="12.75" customHeight="1">
      <c r="A532" s="309"/>
      <c r="B532" s="309"/>
      <c r="C532" s="309"/>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c r="AA532" s="309"/>
      <c r="AB532" s="309"/>
      <c r="AC532" s="309"/>
      <c r="AD532" s="309"/>
      <c r="AE532" s="309"/>
    </row>
    <row r="533" spans="1:31" ht="12.75" customHeight="1">
      <c r="A533" s="309"/>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309"/>
    </row>
    <row r="534" spans="1:31" ht="12.75" customHeight="1">
      <c r="A534" s="309"/>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309"/>
    </row>
    <row r="535" spans="1:31" ht="12.75" customHeight="1">
      <c r="A535" s="309"/>
      <c r="B535" s="309"/>
      <c r="C535" s="309"/>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c r="AA535" s="309"/>
      <c r="AB535" s="309"/>
      <c r="AC535" s="309"/>
      <c r="AD535" s="309"/>
      <c r="AE535" s="309"/>
    </row>
    <row r="536" spans="1:31" ht="12.75" customHeight="1">
      <c r="A536" s="309"/>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309"/>
      <c r="AE536" s="309"/>
    </row>
    <row r="537" spans="1:31" ht="12.75" customHeight="1">
      <c r="A537" s="309"/>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309"/>
    </row>
    <row r="538" spans="1:31" ht="12.75" customHeight="1">
      <c r="A538" s="309"/>
      <c r="B538" s="309"/>
      <c r="C538" s="309"/>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c r="AA538" s="309"/>
      <c r="AB538" s="309"/>
      <c r="AC538" s="309"/>
      <c r="AD538" s="309"/>
      <c r="AE538" s="309"/>
    </row>
    <row r="539" spans="1:31" ht="12.75" customHeight="1">
      <c r="A539" s="309"/>
      <c r="B539" s="30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c r="AA539" s="309"/>
      <c r="AB539" s="309"/>
      <c r="AC539" s="309"/>
      <c r="AD539" s="309"/>
      <c r="AE539" s="309"/>
    </row>
    <row r="540" spans="1:31" ht="12.75" customHeight="1">
      <c r="A540" s="309"/>
      <c r="B540" s="30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c r="AA540" s="309"/>
      <c r="AB540" s="309"/>
      <c r="AC540" s="309"/>
      <c r="AD540" s="309"/>
      <c r="AE540" s="309"/>
    </row>
    <row r="541" spans="1:31" ht="12.75" customHeight="1">
      <c r="A541" s="309"/>
      <c r="B541" s="30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c r="AA541" s="309"/>
      <c r="AB541" s="309"/>
      <c r="AC541" s="309"/>
      <c r="AD541" s="309"/>
      <c r="AE541" s="309"/>
    </row>
    <row r="542" spans="1:31" ht="12.75" customHeight="1">
      <c r="A542" s="309"/>
      <c r="B542" s="30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c r="AA542" s="309"/>
      <c r="AB542" s="309"/>
      <c r="AC542" s="309"/>
      <c r="AD542" s="309"/>
      <c r="AE542" s="309"/>
    </row>
    <row r="543" spans="1:31" ht="12.75" customHeight="1">
      <c r="A543" s="309"/>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309"/>
    </row>
    <row r="544" spans="1:31" ht="12.75" customHeight="1">
      <c r="A544" s="309"/>
      <c r="B544" s="30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c r="AA544" s="309"/>
      <c r="AB544" s="309"/>
      <c r="AC544" s="309"/>
      <c r="AD544" s="309"/>
      <c r="AE544" s="309"/>
    </row>
    <row r="545" spans="1:31" ht="12.75" customHeight="1">
      <c r="A545" s="309"/>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309"/>
    </row>
    <row r="546" spans="1:31" ht="12.75" customHeight="1">
      <c r="A546" s="309"/>
      <c r="B546" s="30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c r="AA546" s="309"/>
      <c r="AB546" s="309"/>
      <c r="AC546" s="309"/>
      <c r="AD546" s="309"/>
      <c r="AE546" s="309"/>
    </row>
    <row r="547" spans="1:31" ht="12.75" customHeight="1">
      <c r="A547" s="309"/>
      <c r="B547" s="30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c r="AA547" s="309"/>
      <c r="AB547" s="309"/>
      <c r="AC547" s="309"/>
      <c r="AD547" s="309"/>
      <c r="AE547" s="309"/>
    </row>
    <row r="548" spans="1:31" ht="12.75" customHeight="1">
      <c r="A548" s="309"/>
      <c r="B548" s="309"/>
      <c r="C548" s="309"/>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c r="AA548" s="309"/>
      <c r="AB548" s="309"/>
      <c r="AC548" s="309"/>
      <c r="AD548" s="309"/>
      <c r="AE548" s="309"/>
    </row>
    <row r="549" spans="1:31" ht="12.75" customHeight="1">
      <c r="A549" s="309"/>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309"/>
      <c r="AE549" s="309"/>
    </row>
    <row r="550" spans="1:31" ht="12.75" customHeight="1">
      <c r="A550" s="309"/>
      <c r="B550" s="30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c r="AA550" s="309"/>
      <c r="AB550" s="309"/>
      <c r="AC550" s="309"/>
      <c r="AD550" s="309"/>
      <c r="AE550" s="309"/>
    </row>
    <row r="551" spans="1:31" ht="12.75" customHeight="1">
      <c r="A551" s="309"/>
      <c r="B551" s="309"/>
      <c r="C551" s="309"/>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c r="AA551" s="309"/>
      <c r="AB551" s="309"/>
      <c r="AC551" s="309"/>
      <c r="AD551" s="309"/>
      <c r="AE551" s="309"/>
    </row>
    <row r="552" spans="1:31" ht="12.75" customHeight="1">
      <c r="A552" s="309"/>
      <c r="B552" s="309"/>
      <c r="C552" s="309"/>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c r="AA552" s="309"/>
      <c r="AB552" s="309"/>
      <c r="AC552" s="309"/>
      <c r="AD552" s="309"/>
      <c r="AE552" s="309"/>
    </row>
    <row r="553" spans="1:31" ht="12.75" customHeight="1">
      <c r="A553" s="309"/>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309"/>
    </row>
    <row r="554" spans="1:31" ht="12.75" customHeight="1">
      <c r="A554" s="309"/>
      <c r="B554" s="309"/>
      <c r="C554" s="309"/>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c r="AA554" s="309"/>
      <c r="AB554" s="309"/>
      <c r="AC554" s="309"/>
      <c r="AD554" s="309"/>
      <c r="AE554" s="309"/>
    </row>
    <row r="555" spans="1:31" ht="12.75" customHeight="1">
      <c r="A555" s="309"/>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309"/>
      <c r="AE555" s="309"/>
    </row>
    <row r="556" spans="1:31" ht="12.75" customHeight="1">
      <c r="A556" s="309"/>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309"/>
    </row>
    <row r="557" spans="1:31" ht="12.75" customHeight="1">
      <c r="A557" s="309"/>
      <c r="B557" s="309"/>
      <c r="C557" s="309"/>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c r="AA557" s="309"/>
      <c r="AB557" s="309"/>
      <c r="AC557" s="309"/>
      <c r="AD557" s="309"/>
      <c r="AE557" s="309"/>
    </row>
    <row r="558" spans="1:31" ht="12.75" customHeight="1">
      <c r="A558" s="309"/>
      <c r="B558" s="309"/>
      <c r="C558" s="309"/>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c r="AA558" s="309"/>
      <c r="AB558" s="309"/>
      <c r="AC558" s="309"/>
      <c r="AD558" s="309"/>
      <c r="AE558" s="309"/>
    </row>
    <row r="559" spans="1:31" ht="12.75" customHeight="1">
      <c r="A559" s="309"/>
      <c r="B559" s="30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c r="AA559" s="309"/>
      <c r="AB559" s="309"/>
      <c r="AC559" s="309"/>
      <c r="AD559" s="309"/>
      <c r="AE559" s="309"/>
    </row>
    <row r="560" spans="1:31" ht="12.75" customHeight="1">
      <c r="A560" s="309"/>
      <c r="B560" s="30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c r="AA560" s="309"/>
      <c r="AB560" s="309"/>
      <c r="AC560" s="309"/>
      <c r="AD560" s="309"/>
      <c r="AE560" s="309"/>
    </row>
    <row r="561" spans="1:31" ht="12.75" customHeight="1">
      <c r="A561" s="309"/>
      <c r="B561" s="30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c r="AA561" s="309"/>
      <c r="AB561" s="309"/>
      <c r="AC561" s="309"/>
      <c r="AD561" s="309"/>
      <c r="AE561" s="309"/>
    </row>
    <row r="562" spans="1:31" ht="12.75" customHeight="1">
      <c r="A562" s="309"/>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309"/>
    </row>
    <row r="563" spans="1:31" ht="12.75" customHeight="1">
      <c r="A563" s="309"/>
      <c r="B563" s="30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c r="AA563" s="309"/>
      <c r="AB563" s="309"/>
      <c r="AC563" s="309"/>
      <c r="AD563" s="309"/>
      <c r="AE563" s="309"/>
    </row>
    <row r="564" spans="1:31" ht="12.75" customHeight="1">
      <c r="A564" s="309"/>
      <c r="B564" s="309"/>
      <c r="C564" s="309"/>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c r="AA564" s="309"/>
      <c r="AB564" s="309"/>
      <c r="AC564" s="309"/>
      <c r="AD564" s="309"/>
      <c r="AE564" s="309"/>
    </row>
    <row r="565" spans="1:31" ht="12.75" customHeight="1">
      <c r="A565" s="309"/>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309"/>
    </row>
    <row r="566" spans="1:31" ht="12.75" customHeight="1">
      <c r="A566" s="309"/>
      <c r="B566" s="309"/>
      <c r="C566" s="309"/>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c r="AA566" s="309"/>
      <c r="AB566" s="309"/>
      <c r="AC566" s="309"/>
      <c r="AD566" s="309"/>
      <c r="AE566" s="309"/>
    </row>
    <row r="567" spans="1:31" ht="12.75" customHeight="1">
      <c r="A567" s="309"/>
      <c r="B567" s="309"/>
      <c r="C567" s="309"/>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c r="AA567" s="309"/>
      <c r="AB567" s="309"/>
      <c r="AC567" s="309"/>
      <c r="AD567" s="309"/>
      <c r="AE567" s="309"/>
    </row>
    <row r="568" spans="1:31" ht="12.75" customHeight="1">
      <c r="A568" s="309"/>
      <c r="B568" s="30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c r="AA568" s="309"/>
      <c r="AB568" s="309"/>
      <c r="AC568" s="309"/>
      <c r="AD568" s="309"/>
      <c r="AE568" s="309"/>
    </row>
    <row r="569" spans="1:31" ht="12.75" customHeight="1">
      <c r="A569" s="309"/>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c r="AA569" s="309"/>
      <c r="AB569" s="309"/>
      <c r="AC569" s="309"/>
      <c r="AD569" s="309"/>
      <c r="AE569" s="309"/>
    </row>
    <row r="570" spans="1:31" ht="12.75" customHeight="1">
      <c r="A570" s="309"/>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309"/>
    </row>
    <row r="571" spans="1:31" ht="12.75" customHeight="1">
      <c r="A571" s="309"/>
      <c r="B571" s="309"/>
      <c r="C571" s="309"/>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c r="AA571" s="309"/>
      <c r="AB571" s="309"/>
      <c r="AC571" s="309"/>
      <c r="AD571" s="309"/>
      <c r="AE571" s="309"/>
    </row>
    <row r="572" spans="1:31" ht="12.75" customHeight="1">
      <c r="A572" s="309"/>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309"/>
      <c r="AE572" s="309"/>
    </row>
    <row r="573" spans="1:31" ht="12.75" customHeight="1">
      <c r="A573" s="309"/>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c r="AB573" s="309"/>
      <c r="AC573" s="309"/>
      <c r="AD573" s="309"/>
      <c r="AE573" s="309"/>
    </row>
    <row r="574" spans="1:31" ht="12.75" customHeight="1">
      <c r="A574" s="309"/>
      <c r="B574" s="309"/>
      <c r="C574" s="309"/>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c r="AA574" s="309"/>
      <c r="AB574" s="309"/>
      <c r="AC574" s="309"/>
      <c r="AD574" s="309"/>
      <c r="AE574" s="309"/>
    </row>
    <row r="575" spans="1:31" ht="12.75" customHeight="1">
      <c r="A575" s="309"/>
      <c r="B575" s="30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c r="AB575" s="309"/>
      <c r="AC575" s="309"/>
      <c r="AD575" s="309"/>
      <c r="AE575" s="309"/>
    </row>
    <row r="576" spans="1:31" ht="12.75" customHeight="1">
      <c r="A576" s="309"/>
      <c r="B576" s="30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c r="AA576" s="309"/>
      <c r="AB576" s="309"/>
      <c r="AC576" s="309"/>
      <c r="AD576" s="309"/>
      <c r="AE576" s="309"/>
    </row>
    <row r="577" spans="1:31" ht="12.75" customHeight="1">
      <c r="A577" s="309"/>
      <c r="B577" s="309"/>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c r="AA577" s="309"/>
      <c r="AB577" s="309"/>
      <c r="AC577" s="309"/>
      <c r="AD577" s="309"/>
      <c r="AE577" s="309"/>
    </row>
    <row r="578" spans="1:31" ht="12.75" customHeight="1">
      <c r="A578" s="309"/>
      <c r="B578" s="309"/>
      <c r="C578" s="309"/>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c r="AA578" s="309"/>
      <c r="AB578" s="309"/>
      <c r="AC578" s="309"/>
      <c r="AD578" s="309"/>
      <c r="AE578" s="309"/>
    </row>
    <row r="579" spans="1:31" ht="12.75" customHeight="1">
      <c r="A579" s="309"/>
      <c r="B579" s="30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c r="AA579" s="309"/>
      <c r="AB579" s="309"/>
      <c r="AC579" s="309"/>
      <c r="AD579" s="309"/>
      <c r="AE579" s="309"/>
    </row>
    <row r="580" spans="1:31" ht="12.75" customHeight="1">
      <c r="A580" s="309"/>
      <c r="B580" s="309"/>
      <c r="C580" s="309"/>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c r="AA580" s="309"/>
      <c r="AB580" s="309"/>
      <c r="AC580" s="309"/>
      <c r="AD580" s="309"/>
      <c r="AE580" s="309"/>
    </row>
    <row r="581" spans="1:31" ht="12.75" customHeight="1">
      <c r="A581" s="309"/>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c r="AA581" s="309"/>
      <c r="AB581" s="309"/>
      <c r="AC581" s="309"/>
      <c r="AD581" s="309"/>
      <c r="AE581" s="309"/>
    </row>
    <row r="582" spans="1:31" ht="12.75" customHeight="1">
      <c r="A582" s="309"/>
      <c r="B582" s="30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c r="AA582" s="309"/>
      <c r="AB582" s="309"/>
      <c r="AC582" s="309"/>
      <c r="AD582" s="309"/>
      <c r="AE582" s="309"/>
    </row>
    <row r="583" spans="1:31" ht="12.75" customHeight="1">
      <c r="A583" s="309"/>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309"/>
    </row>
    <row r="584" spans="1:31" ht="12.75" customHeight="1">
      <c r="A584" s="309"/>
      <c r="B584" s="309"/>
      <c r="C584" s="309"/>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c r="AA584" s="309"/>
      <c r="AB584" s="309"/>
      <c r="AC584" s="309"/>
      <c r="AD584" s="309"/>
      <c r="AE584" s="309"/>
    </row>
    <row r="585" spans="1:31" ht="12.75" customHeight="1">
      <c r="A585" s="309"/>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309"/>
      <c r="AE585" s="309"/>
    </row>
    <row r="586" spans="1:31" ht="12.75" customHeight="1">
      <c r="A586" s="309"/>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9"/>
      <c r="AE586" s="309"/>
    </row>
    <row r="587" spans="1:31" ht="12.75" customHeight="1">
      <c r="A587" s="309"/>
      <c r="B587" s="309"/>
      <c r="C587" s="309"/>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c r="AA587" s="309"/>
      <c r="AB587" s="309"/>
      <c r="AC587" s="309"/>
      <c r="AD587" s="309"/>
      <c r="AE587" s="309"/>
    </row>
    <row r="588" spans="1:31" ht="12.75" customHeight="1">
      <c r="A588" s="309"/>
      <c r="B588" s="309"/>
      <c r="C588" s="309"/>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c r="AA588" s="309"/>
      <c r="AB588" s="309"/>
      <c r="AC588" s="309"/>
      <c r="AD588" s="309"/>
      <c r="AE588" s="309"/>
    </row>
    <row r="589" spans="1:31" ht="12.75" customHeight="1">
      <c r="A589" s="309"/>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309"/>
    </row>
    <row r="590" spans="1:31" ht="12.75" customHeight="1">
      <c r="A590" s="309"/>
      <c r="B590" s="309"/>
      <c r="C590" s="309"/>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c r="AA590" s="309"/>
      <c r="AB590" s="309"/>
      <c r="AC590" s="309"/>
      <c r="AD590" s="309"/>
      <c r="AE590" s="309"/>
    </row>
    <row r="591" spans="1:31" ht="12.75" customHeight="1">
      <c r="A591" s="309"/>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309"/>
      <c r="AE591" s="309"/>
    </row>
    <row r="592" spans="1:31" ht="12.75" customHeight="1">
      <c r="A592" s="309"/>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309"/>
    </row>
    <row r="593" spans="1:31" ht="12.75" customHeight="1">
      <c r="A593" s="309"/>
      <c r="B593" s="309"/>
      <c r="C593" s="309"/>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c r="AA593" s="309"/>
      <c r="AB593" s="309"/>
      <c r="AC593" s="309"/>
      <c r="AD593" s="309"/>
      <c r="AE593" s="309"/>
    </row>
    <row r="594" spans="1:31" ht="12.75" customHeight="1">
      <c r="A594" s="309"/>
      <c r="B594" s="309"/>
      <c r="C594" s="309"/>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c r="AA594" s="309"/>
      <c r="AB594" s="309"/>
      <c r="AC594" s="309"/>
      <c r="AD594" s="309"/>
      <c r="AE594" s="309"/>
    </row>
    <row r="595" spans="1:31" ht="12.75" customHeight="1">
      <c r="A595" s="309"/>
      <c r="B595" s="30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c r="AB595" s="309"/>
      <c r="AC595" s="309"/>
      <c r="AD595" s="309"/>
      <c r="AE595" s="309"/>
    </row>
    <row r="596" spans="1:31" ht="12.75" customHeight="1">
      <c r="A596" s="309"/>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c r="AA596" s="309"/>
      <c r="AB596" s="309"/>
      <c r="AC596" s="309"/>
      <c r="AD596" s="309"/>
      <c r="AE596" s="309"/>
    </row>
    <row r="597" spans="1:31" ht="12.75" customHeight="1">
      <c r="A597" s="309"/>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309"/>
      <c r="AE597" s="309"/>
    </row>
    <row r="598" spans="1:31" ht="12.75" customHeight="1">
      <c r="A598" s="309"/>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309"/>
    </row>
    <row r="599" spans="1:31" ht="12.75" customHeight="1">
      <c r="A599" s="309"/>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309"/>
      <c r="AE599" s="309"/>
    </row>
    <row r="600" spans="1:31" ht="12.75" customHeight="1">
      <c r="A600" s="309"/>
      <c r="B600" s="309"/>
      <c r="C600" s="309"/>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c r="AA600" s="309"/>
      <c r="AB600" s="309"/>
      <c r="AC600" s="309"/>
      <c r="AD600" s="309"/>
      <c r="AE600" s="309"/>
    </row>
    <row r="601" spans="1:31" ht="12.75" customHeight="1">
      <c r="A601" s="309"/>
      <c r="B601" s="30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c r="AA601" s="309"/>
      <c r="AB601" s="309"/>
      <c r="AC601" s="309"/>
      <c r="AD601" s="309"/>
      <c r="AE601" s="309"/>
    </row>
    <row r="602" spans="1:31" ht="12.75" customHeight="1">
      <c r="A602" s="309"/>
      <c r="B602" s="309"/>
      <c r="C602" s="309"/>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c r="AA602" s="309"/>
      <c r="AB602" s="309"/>
      <c r="AC602" s="309"/>
      <c r="AD602" s="309"/>
      <c r="AE602" s="309"/>
    </row>
    <row r="603" spans="1:31" ht="12.75" customHeight="1">
      <c r="A603" s="309"/>
      <c r="B603" s="309"/>
      <c r="C603" s="309"/>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c r="AA603" s="309"/>
      <c r="AB603" s="309"/>
      <c r="AC603" s="309"/>
      <c r="AD603" s="309"/>
      <c r="AE603" s="309"/>
    </row>
    <row r="604" spans="1:31" ht="12.75" customHeight="1">
      <c r="A604" s="309"/>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309"/>
    </row>
    <row r="605" spans="1:31" ht="12.75" customHeight="1">
      <c r="A605" s="309"/>
      <c r="B605" s="30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c r="AA605" s="309"/>
      <c r="AB605" s="309"/>
      <c r="AC605" s="309"/>
      <c r="AD605" s="309"/>
      <c r="AE605" s="309"/>
    </row>
    <row r="606" spans="1:31" ht="12.75" customHeight="1">
      <c r="A606" s="309"/>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c r="AB606" s="309"/>
      <c r="AC606" s="309"/>
      <c r="AD606" s="309"/>
      <c r="AE606" s="309"/>
    </row>
    <row r="607" spans="1:31" ht="12.75" customHeight="1">
      <c r="A607" s="309"/>
      <c r="B607" s="30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c r="AA607" s="309"/>
      <c r="AB607" s="309"/>
      <c r="AC607" s="309"/>
      <c r="AD607" s="309"/>
      <c r="AE607" s="309"/>
    </row>
    <row r="608" spans="1:31" ht="12.75" customHeight="1">
      <c r="A608" s="309"/>
      <c r="B608" s="309"/>
      <c r="C608" s="309"/>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c r="AA608" s="309"/>
      <c r="AB608" s="309"/>
      <c r="AC608" s="309"/>
      <c r="AD608" s="309"/>
      <c r="AE608" s="309"/>
    </row>
    <row r="609" spans="1:31" ht="12.75" customHeight="1">
      <c r="A609" s="309"/>
      <c r="B609" s="30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c r="AA609" s="309"/>
      <c r="AB609" s="309"/>
      <c r="AC609" s="309"/>
      <c r="AD609" s="309"/>
      <c r="AE609" s="309"/>
    </row>
    <row r="610" spans="1:31" ht="12.75" customHeight="1">
      <c r="A610" s="309"/>
      <c r="B610" s="309"/>
      <c r="C610" s="309"/>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c r="AA610" s="309"/>
      <c r="AB610" s="309"/>
      <c r="AC610" s="309"/>
      <c r="AD610" s="309"/>
      <c r="AE610" s="309"/>
    </row>
    <row r="611" spans="1:31" ht="12.75" customHeight="1">
      <c r="A611" s="309"/>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c r="AA611" s="309"/>
      <c r="AB611" s="309"/>
      <c r="AC611" s="309"/>
      <c r="AD611" s="309"/>
      <c r="AE611" s="309"/>
    </row>
    <row r="612" spans="1:31" ht="12.75" customHeight="1">
      <c r="A612" s="309"/>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9"/>
      <c r="AE612" s="309"/>
    </row>
    <row r="613" spans="1:31" ht="12.75" customHeight="1">
      <c r="A613" s="309"/>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309"/>
    </row>
    <row r="614" spans="1:31" ht="12.75" customHeight="1">
      <c r="A614" s="309"/>
      <c r="B614" s="309"/>
      <c r="C614" s="309"/>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c r="AA614" s="309"/>
      <c r="AB614" s="309"/>
      <c r="AC614" s="309"/>
      <c r="AD614" s="309"/>
      <c r="AE614" s="309"/>
    </row>
    <row r="615" spans="1:31" ht="12.75" customHeight="1">
      <c r="A615" s="309"/>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309"/>
      <c r="AE615" s="309"/>
    </row>
    <row r="616" spans="1:31" ht="12.75" customHeight="1">
      <c r="A616" s="309"/>
      <c r="B616" s="30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c r="AB616" s="309"/>
      <c r="AC616" s="309"/>
      <c r="AD616" s="309"/>
      <c r="AE616" s="309"/>
    </row>
    <row r="617" spans="1:31" ht="12.75" customHeight="1">
      <c r="A617" s="309"/>
      <c r="B617" s="30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c r="AA617" s="309"/>
      <c r="AB617" s="309"/>
      <c r="AC617" s="309"/>
      <c r="AD617" s="309"/>
      <c r="AE617" s="309"/>
    </row>
    <row r="618" spans="1:31" ht="12.75" customHeight="1">
      <c r="A618" s="309"/>
      <c r="B618" s="30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c r="AA618" s="309"/>
      <c r="AB618" s="309"/>
      <c r="AC618" s="309"/>
      <c r="AD618" s="309"/>
      <c r="AE618" s="309"/>
    </row>
    <row r="619" spans="1:31" ht="12.75" customHeight="1">
      <c r="A619" s="309"/>
      <c r="B619" s="309"/>
      <c r="C619" s="309"/>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c r="AA619" s="309"/>
      <c r="AB619" s="309"/>
      <c r="AC619" s="309"/>
      <c r="AD619" s="309"/>
      <c r="AE619" s="309"/>
    </row>
    <row r="620" spans="1:31" ht="12.75" customHeight="1">
      <c r="A620" s="309"/>
      <c r="B620" s="30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c r="AA620" s="309"/>
      <c r="AB620" s="309"/>
      <c r="AC620" s="309"/>
      <c r="AD620" s="309"/>
      <c r="AE620" s="309"/>
    </row>
    <row r="621" spans="1:31" ht="12.75" customHeight="1">
      <c r="A621" s="309"/>
      <c r="B621" s="30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c r="AA621" s="309"/>
      <c r="AB621" s="309"/>
      <c r="AC621" s="309"/>
      <c r="AD621" s="309"/>
      <c r="AE621" s="309"/>
    </row>
    <row r="622" spans="1:31" ht="12.75" customHeight="1">
      <c r="A622" s="309"/>
      <c r="B622" s="309"/>
      <c r="C622" s="309"/>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c r="AA622" s="309"/>
      <c r="AB622" s="309"/>
      <c r="AC622" s="309"/>
      <c r="AD622" s="309"/>
      <c r="AE622" s="309"/>
    </row>
    <row r="623" spans="1:31" ht="12.75" customHeight="1">
      <c r="A623" s="309"/>
      <c r="B623" s="309"/>
      <c r="C623" s="309"/>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c r="AA623" s="309"/>
      <c r="AB623" s="309"/>
      <c r="AC623" s="309"/>
      <c r="AD623" s="309"/>
      <c r="AE623" s="309"/>
    </row>
    <row r="624" spans="1:31" ht="12.75" customHeight="1">
      <c r="A624" s="309"/>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c r="AA624" s="309"/>
      <c r="AB624" s="309"/>
      <c r="AC624" s="309"/>
      <c r="AD624" s="309"/>
      <c r="AE624" s="309"/>
    </row>
    <row r="625" spans="1:31" ht="12.75" customHeight="1">
      <c r="A625" s="309"/>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309"/>
      <c r="AE625" s="309"/>
    </row>
    <row r="626" spans="1:31" ht="12.75" customHeight="1">
      <c r="A626" s="309"/>
      <c r="B626" s="30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c r="AA626" s="309"/>
      <c r="AB626" s="309"/>
      <c r="AC626" s="309"/>
      <c r="AD626" s="309"/>
      <c r="AE626" s="309"/>
    </row>
    <row r="627" spans="1:31" ht="12.75" customHeight="1">
      <c r="A627" s="309"/>
      <c r="B627" s="30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c r="AA627" s="309"/>
      <c r="AB627" s="309"/>
      <c r="AC627" s="309"/>
      <c r="AD627" s="309"/>
      <c r="AE627" s="309"/>
    </row>
    <row r="628" spans="1:31" ht="12.75" customHeight="1">
      <c r="A628" s="309"/>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309"/>
      <c r="AE628" s="309"/>
    </row>
    <row r="629" spans="1:31" ht="12.75" customHeight="1">
      <c r="A629" s="309"/>
      <c r="B629" s="30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c r="AA629" s="309"/>
      <c r="AB629" s="309"/>
      <c r="AC629" s="309"/>
      <c r="AD629" s="309"/>
      <c r="AE629" s="309"/>
    </row>
    <row r="630" spans="1:31" ht="12.75" customHeight="1">
      <c r="A630" s="309"/>
      <c r="B630" s="309"/>
      <c r="C630" s="309"/>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c r="AA630" s="309"/>
      <c r="AB630" s="309"/>
      <c r="AC630" s="309"/>
      <c r="AD630" s="309"/>
      <c r="AE630" s="309"/>
    </row>
    <row r="631" spans="1:31" ht="12.75" customHeight="1">
      <c r="A631" s="309"/>
      <c r="B631" s="309"/>
      <c r="C631" s="309"/>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c r="AA631" s="309"/>
      <c r="AB631" s="309"/>
      <c r="AC631" s="309"/>
      <c r="AD631" s="309"/>
      <c r="AE631" s="309"/>
    </row>
    <row r="632" spans="1:31" ht="12.75" customHeight="1">
      <c r="A632" s="309"/>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309"/>
    </row>
    <row r="633" spans="1:31" ht="12.75" customHeight="1">
      <c r="A633" s="309"/>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309"/>
    </row>
    <row r="634" spans="1:31" ht="12.75" customHeight="1">
      <c r="A634" s="309"/>
      <c r="B634" s="309"/>
      <c r="C634" s="309"/>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c r="AA634" s="309"/>
      <c r="AB634" s="309"/>
      <c r="AC634" s="309"/>
      <c r="AD634" s="309"/>
      <c r="AE634" s="309"/>
    </row>
    <row r="635" spans="1:31" ht="12.75" customHeight="1">
      <c r="A635" s="309"/>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309"/>
    </row>
    <row r="636" spans="1:31" ht="12.75" customHeight="1">
      <c r="A636" s="309"/>
      <c r="B636" s="30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c r="AA636" s="309"/>
      <c r="AB636" s="309"/>
      <c r="AC636" s="309"/>
      <c r="AD636" s="309"/>
      <c r="AE636" s="309"/>
    </row>
    <row r="637" spans="1:31" ht="12.75" customHeight="1">
      <c r="A637" s="309"/>
      <c r="B637" s="309"/>
      <c r="C637" s="309"/>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c r="AA637" s="309"/>
      <c r="AB637" s="309"/>
      <c r="AC637" s="309"/>
      <c r="AD637" s="309"/>
      <c r="AE637" s="309"/>
    </row>
    <row r="638" spans="1:31" ht="12.75" customHeight="1">
      <c r="A638" s="309"/>
      <c r="B638" s="309"/>
      <c r="C638" s="309"/>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c r="AA638" s="309"/>
      <c r="AB638" s="309"/>
      <c r="AC638" s="309"/>
      <c r="AD638" s="309"/>
      <c r="AE638" s="309"/>
    </row>
    <row r="639" spans="1:31" ht="12.75" customHeight="1">
      <c r="A639" s="309"/>
      <c r="B639" s="309"/>
      <c r="C639" s="309"/>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c r="AA639" s="309"/>
      <c r="AB639" s="309"/>
      <c r="AC639" s="309"/>
      <c r="AD639" s="309"/>
      <c r="AE639" s="309"/>
    </row>
    <row r="640" spans="1:31" ht="12.75" customHeight="1">
      <c r="A640" s="309"/>
      <c r="B640" s="309"/>
      <c r="C640" s="309"/>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c r="AA640" s="309"/>
      <c r="AB640" s="309"/>
      <c r="AC640" s="309"/>
      <c r="AD640" s="309"/>
      <c r="AE640" s="309"/>
    </row>
    <row r="641" spans="1:31" ht="12.75" customHeight="1">
      <c r="A641" s="309"/>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309"/>
    </row>
    <row r="642" spans="1:31" ht="12.75" customHeight="1">
      <c r="A642" s="309"/>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309"/>
    </row>
    <row r="643" spans="1:31" ht="12.75" customHeight="1">
      <c r="A643" s="309"/>
      <c r="B643" s="309"/>
      <c r="C643" s="309"/>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c r="AA643" s="309"/>
      <c r="AB643" s="309"/>
      <c r="AC643" s="309"/>
      <c r="AD643" s="309"/>
      <c r="AE643" s="309"/>
    </row>
    <row r="644" spans="1:31" ht="12.75" customHeight="1">
      <c r="A644" s="309"/>
      <c r="B644" s="30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c r="AA644" s="309"/>
      <c r="AB644" s="309"/>
      <c r="AC644" s="309"/>
      <c r="AD644" s="309"/>
      <c r="AE644" s="309"/>
    </row>
    <row r="645" spans="1:31" ht="12.75" customHeight="1">
      <c r="A645" s="309"/>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309"/>
      <c r="AE645" s="309"/>
    </row>
    <row r="646" spans="1:31" ht="12.75" customHeight="1">
      <c r="A646" s="309"/>
      <c r="B646" s="309"/>
      <c r="C646" s="309"/>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c r="AA646" s="309"/>
      <c r="AB646" s="309"/>
      <c r="AC646" s="309"/>
      <c r="AD646" s="309"/>
      <c r="AE646" s="309"/>
    </row>
    <row r="647" spans="1:31" ht="12.75" customHeight="1">
      <c r="A647" s="309"/>
      <c r="B647" s="309"/>
      <c r="C647" s="309"/>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c r="AA647" s="309"/>
      <c r="AB647" s="309"/>
      <c r="AC647" s="309"/>
      <c r="AD647" s="309"/>
      <c r="AE647" s="309"/>
    </row>
    <row r="648" spans="1:31" ht="12.75" customHeight="1">
      <c r="A648" s="309"/>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309"/>
      <c r="AE648" s="309"/>
    </row>
    <row r="649" spans="1:31" ht="12.75" customHeight="1">
      <c r="A649" s="309"/>
      <c r="B649" s="30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c r="AA649" s="309"/>
      <c r="AB649" s="309"/>
      <c r="AC649" s="309"/>
      <c r="AD649" s="309"/>
      <c r="AE649" s="309"/>
    </row>
    <row r="650" spans="1:31" ht="12.75" customHeight="1">
      <c r="A650" s="309"/>
      <c r="B650" s="30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c r="AA650" s="309"/>
      <c r="AB650" s="309"/>
      <c r="AC650" s="309"/>
      <c r="AD650" s="309"/>
      <c r="AE650" s="309"/>
    </row>
    <row r="651" spans="1:31" ht="12.75" customHeight="1">
      <c r="A651" s="309"/>
      <c r="B651" s="30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c r="AA651" s="309"/>
      <c r="AB651" s="309"/>
      <c r="AC651" s="309"/>
      <c r="AD651" s="309"/>
      <c r="AE651" s="309"/>
    </row>
    <row r="652" spans="1:31" ht="12.75" customHeight="1">
      <c r="A652" s="309"/>
      <c r="B652" s="30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c r="AA652" s="309"/>
      <c r="AB652" s="309"/>
      <c r="AC652" s="309"/>
      <c r="AD652" s="309"/>
      <c r="AE652" s="309"/>
    </row>
    <row r="653" spans="1:31" ht="12.75" customHeight="1">
      <c r="A653" s="309"/>
      <c r="B653" s="309"/>
      <c r="C653" s="309"/>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c r="AA653" s="309"/>
      <c r="AB653" s="309"/>
      <c r="AC653" s="309"/>
      <c r="AD653" s="309"/>
      <c r="AE653" s="309"/>
    </row>
    <row r="654" spans="1:31" ht="12.75" customHeight="1">
      <c r="A654" s="309"/>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309"/>
    </row>
    <row r="655" spans="1:31" ht="12.75" customHeight="1">
      <c r="A655" s="309"/>
      <c r="B655" s="309"/>
      <c r="C655" s="309"/>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c r="AA655" s="309"/>
      <c r="AB655" s="309"/>
      <c r="AC655" s="309"/>
      <c r="AD655" s="309"/>
      <c r="AE655" s="309"/>
    </row>
    <row r="656" spans="1:31" ht="12.75" customHeight="1">
      <c r="A656" s="309"/>
      <c r="B656" s="309"/>
      <c r="C656" s="309"/>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c r="AA656" s="309"/>
      <c r="AB656" s="309"/>
      <c r="AC656" s="309"/>
      <c r="AD656" s="309"/>
      <c r="AE656" s="309"/>
    </row>
    <row r="657" spans="1:31" ht="12.75" customHeight="1">
      <c r="A657" s="309"/>
      <c r="B657" s="30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c r="AA657" s="309"/>
      <c r="AB657" s="309"/>
      <c r="AC657" s="309"/>
      <c r="AD657" s="309"/>
      <c r="AE657" s="309"/>
    </row>
    <row r="658" spans="1:31" ht="12.75" customHeight="1">
      <c r="A658" s="309"/>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309"/>
    </row>
    <row r="659" spans="1:31" ht="12.75" customHeight="1">
      <c r="A659" s="309"/>
      <c r="B659" s="309"/>
      <c r="C659" s="309"/>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c r="AA659" s="309"/>
      <c r="AB659" s="309"/>
      <c r="AC659" s="309"/>
      <c r="AD659" s="309"/>
      <c r="AE659" s="309"/>
    </row>
    <row r="660" spans="1:31" ht="12.75" customHeight="1">
      <c r="A660" s="309"/>
      <c r="B660" s="30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c r="AA660" s="309"/>
      <c r="AB660" s="309"/>
      <c r="AC660" s="309"/>
      <c r="AD660" s="309"/>
      <c r="AE660" s="309"/>
    </row>
    <row r="661" spans="1:31" ht="12.75" customHeight="1">
      <c r="A661" s="309"/>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309"/>
    </row>
    <row r="662" spans="1:31" ht="12.75" customHeight="1">
      <c r="A662" s="309"/>
      <c r="B662" s="309"/>
      <c r="C662" s="309"/>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c r="AA662" s="309"/>
      <c r="AB662" s="309"/>
      <c r="AC662" s="309"/>
      <c r="AD662" s="309"/>
      <c r="AE662" s="309"/>
    </row>
    <row r="663" spans="1:31" ht="12.75" customHeight="1">
      <c r="A663" s="309"/>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c r="AA663" s="309"/>
      <c r="AB663" s="309"/>
      <c r="AC663" s="309"/>
      <c r="AD663" s="309"/>
      <c r="AE663" s="309"/>
    </row>
    <row r="664" spans="1:31" ht="12.75" customHeight="1">
      <c r="A664" s="309"/>
      <c r="B664" s="30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c r="AA664" s="309"/>
      <c r="AB664" s="309"/>
      <c r="AC664" s="309"/>
      <c r="AD664" s="309"/>
      <c r="AE664" s="309"/>
    </row>
    <row r="665" spans="1:31" ht="12.75" customHeight="1">
      <c r="A665" s="309"/>
      <c r="B665" s="309"/>
      <c r="C665" s="309"/>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c r="AA665" s="309"/>
      <c r="AB665" s="309"/>
      <c r="AC665" s="309"/>
      <c r="AD665" s="309"/>
      <c r="AE665" s="309"/>
    </row>
    <row r="666" spans="1:31" ht="12.75" customHeight="1">
      <c r="A666" s="309"/>
      <c r="B666" s="309"/>
      <c r="C666" s="309"/>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c r="AA666" s="309"/>
      <c r="AB666" s="309"/>
      <c r="AC666" s="309"/>
      <c r="AD666" s="309"/>
      <c r="AE666" s="309"/>
    </row>
    <row r="667" spans="1:31" ht="12.75" customHeight="1">
      <c r="A667" s="309"/>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309"/>
    </row>
    <row r="668" spans="1:31" ht="12.75" customHeight="1">
      <c r="A668" s="309"/>
      <c r="B668" s="30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c r="AA668" s="309"/>
      <c r="AB668" s="309"/>
      <c r="AC668" s="309"/>
      <c r="AD668" s="309"/>
      <c r="AE668" s="309"/>
    </row>
    <row r="669" spans="1:31" ht="12.75" customHeight="1">
      <c r="A669" s="309"/>
      <c r="B669" s="309"/>
      <c r="C669" s="309"/>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c r="AA669" s="309"/>
      <c r="AB669" s="309"/>
      <c r="AC669" s="309"/>
      <c r="AD669" s="309"/>
      <c r="AE669" s="309"/>
    </row>
    <row r="670" spans="1:31" ht="12.75" customHeight="1">
      <c r="A670" s="309"/>
      <c r="B670" s="30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c r="AA670" s="309"/>
      <c r="AB670" s="309"/>
      <c r="AC670" s="309"/>
      <c r="AD670" s="309"/>
      <c r="AE670" s="309"/>
    </row>
    <row r="671" spans="1:31" ht="12.75" customHeight="1">
      <c r="A671" s="309"/>
      <c r="B671" s="30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c r="AA671" s="309"/>
      <c r="AB671" s="309"/>
      <c r="AC671" s="309"/>
      <c r="AD671" s="309"/>
      <c r="AE671" s="309"/>
    </row>
    <row r="672" spans="1:31" ht="12.75" customHeight="1">
      <c r="A672" s="309"/>
      <c r="B672" s="309"/>
      <c r="C672" s="309"/>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c r="AA672" s="309"/>
      <c r="AB672" s="309"/>
      <c r="AC672" s="309"/>
      <c r="AD672" s="309"/>
      <c r="AE672" s="309"/>
    </row>
    <row r="673" spans="1:31" ht="12.75" customHeight="1">
      <c r="A673" s="309"/>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309"/>
    </row>
    <row r="674" spans="1:31" ht="12.75" customHeight="1">
      <c r="A674" s="309"/>
      <c r="B674" s="30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c r="AA674" s="309"/>
      <c r="AB674" s="309"/>
      <c r="AC674" s="309"/>
      <c r="AD674" s="309"/>
      <c r="AE674" s="309"/>
    </row>
    <row r="675" spans="1:31" ht="12.75" customHeight="1">
      <c r="A675" s="309"/>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309"/>
      <c r="AE675" s="309"/>
    </row>
    <row r="676" spans="1:31" ht="12.75" customHeight="1">
      <c r="A676" s="309"/>
      <c r="B676" s="30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c r="AA676" s="309"/>
      <c r="AB676" s="309"/>
      <c r="AC676" s="309"/>
      <c r="AD676" s="309"/>
      <c r="AE676" s="309"/>
    </row>
    <row r="677" spans="1:31" ht="12.75" customHeight="1">
      <c r="A677" s="309"/>
      <c r="B677" s="309"/>
      <c r="C677" s="309"/>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c r="AA677" s="309"/>
      <c r="AB677" s="309"/>
      <c r="AC677" s="309"/>
      <c r="AD677" s="309"/>
      <c r="AE677" s="309"/>
    </row>
    <row r="678" spans="1:31" ht="12.75" customHeight="1">
      <c r="A678" s="309"/>
      <c r="B678" s="30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c r="AA678" s="309"/>
      <c r="AB678" s="309"/>
      <c r="AC678" s="309"/>
      <c r="AD678" s="309"/>
      <c r="AE678" s="309"/>
    </row>
    <row r="679" spans="1:31" ht="12.75" customHeight="1">
      <c r="A679" s="309"/>
      <c r="B679" s="309"/>
      <c r="C679" s="309"/>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c r="AA679" s="309"/>
      <c r="AB679" s="309"/>
      <c r="AC679" s="309"/>
      <c r="AD679" s="309"/>
      <c r="AE679" s="309"/>
    </row>
    <row r="680" spans="1:31" ht="12.75" customHeight="1">
      <c r="A680" s="309"/>
      <c r="B680" s="309"/>
      <c r="C680" s="309"/>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c r="AA680" s="309"/>
      <c r="AB680" s="309"/>
      <c r="AC680" s="309"/>
      <c r="AD680" s="309"/>
      <c r="AE680" s="309"/>
    </row>
    <row r="681" spans="1:31" ht="12.75" customHeight="1">
      <c r="A681" s="309"/>
      <c r="B681" s="309"/>
      <c r="C681" s="309"/>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c r="AA681" s="309"/>
      <c r="AB681" s="309"/>
      <c r="AC681" s="309"/>
      <c r="AD681" s="309"/>
      <c r="AE681" s="309"/>
    </row>
    <row r="682" spans="1:31" ht="12.75" customHeight="1">
      <c r="A682" s="309"/>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309"/>
    </row>
    <row r="683" spans="1:31" ht="12.75" customHeight="1">
      <c r="A683" s="309"/>
      <c r="B683" s="309"/>
      <c r="C683" s="309"/>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c r="AA683" s="309"/>
      <c r="AB683" s="309"/>
      <c r="AC683" s="309"/>
      <c r="AD683" s="309"/>
      <c r="AE683" s="309"/>
    </row>
    <row r="684" spans="1:31" ht="12.75" customHeight="1">
      <c r="A684" s="309"/>
      <c r="B684" s="30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c r="AA684" s="309"/>
      <c r="AB684" s="309"/>
      <c r="AC684" s="309"/>
      <c r="AD684" s="309"/>
      <c r="AE684" s="309"/>
    </row>
    <row r="685" spans="1:31" ht="12.75" customHeight="1">
      <c r="A685" s="309"/>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309"/>
      <c r="AE685" s="309"/>
    </row>
    <row r="686" spans="1:31" ht="12.75" customHeight="1">
      <c r="A686" s="309"/>
      <c r="B686" s="309"/>
      <c r="C686" s="309"/>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c r="AA686" s="309"/>
      <c r="AB686" s="309"/>
      <c r="AC686" s="309"/>
      <c r="AD686" s="309"/>
      <c r="AE686" s="309"/>
    </row>
    <row r="687" spans="1:31" ht="12.75" customHeight="1">
      <c r="A687" s="309"/>
      <c r="B687" s="309"/>
      <c r="C687" s="309"/>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c r="AA687" s="309"/>
      <c r="AB687" s="309"/>
      <c r="AC687" s="309"/>
      <c r="AD687" s="309"/>
      <c r="AE687" s="309"/>
    </row>
    <row r="688" spans="1:31" ht="12.75" customHeight="1">
      <c r="A688" s="309"/>
      <c r="B688" s="309"/>
      <c r="C688" s="309"/>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c r="AA688" s="309"/>
      <c r="AB688" s="309"/>
      <c r="AC688" s="309"/>
      <c r="AD688" s="309"/>
      <c r="AE688" s="309"/>
    </row>
    <row r="689" spans="1:31" ht="12.75" customHeight="1">
      <c r="A689" s="309"/>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309"/>
    </row>
    <row r="690" spans="1:31" ht="12.75" customHeight="1">
      <c r="A690" s="309"/>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09"/>
      <c r="AD690" s="309"/>
      <c r="AE690" s="309"/>
    </row>
    <row r="691" spans="1:31" ht="12.75" customHeight="1">
      <c r="A691" s="309"/>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c r="AA691" s="309"/>
      <c r="AB691" s="309"/>
      <c r="AC691" s="309"/>
      <c r="AD691" s="309"/>
      <c r="AE691" s="309"/>
    </row>
    <row r="692" spans="1:31" ht="12.75" customHeight="1">
      <c r="A692" s="309"/>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09"/>
      <c r="AD692" s="309"/>
      <c r="AE692" s="309"/>
    </row>
    <row r="693" spans="1:31" ht="12.75" customHeight="1">
      <c r="A693" s="309"/>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09"/>
      <c r="AD693" s="309"/>
      <c r="AE693" s="309"/>
    </row>
    <row r="694" spans="1:31" ht="12.75" customHeight="1">
      <c r="A694" s="309"/>
      <c r="B694" s="30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c r="AA694" s="309"/>
      <c r="AB694" s="309"/>
      <c r="AC694" s="309"/>
      <c r="AD694" s="309"/>
      <c r="AE694" s="309"/>
    </row>
    <row r="695" spans="1:31" ht="12.75" customHeight="1">
      <c r="A695" s="309"/>
      <c r="B695" s="30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c r="AB695" s="309"/>
      <c r="AC695" s="309"/>
      <c r="AD695" s="309"/>
      <c r="AE695" s="309"/>
    </row>
    <row r="696" spans="1:31" ht="12.75" customHeight="1">
      <c r="A696" s="309"/>
      <c r="B696" s="30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c r="AB696" s="309"/>
      <c r="AC696" s="309"/>
      <c r="AD696" s="309"/>
      <c r="AE696" s="309"/>
    </row>
    <row r="697" spans="1:31" ht="12.75" customHeight="1">
      <c r="A697" s="309"/>
      <c r="B697" s="30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c r="AA697" s="309"/>
      <c r="AB697" s="309"/>
      <c r="AC697" s="309"/>
      <c r="AD697" s="309"/>
      <c r="AE697" s="309"/>
    </row>
    <row r="698" spans="1:31" ht="12.75" customHeight="1">
      <c r="A698" s="309"/>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309"/>
    </row>
    <row r="699" spans="1:31" ht="12.75" customHeight="1">
      <c r="A699" s="309"/>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09"/>
      <c r="AD699" s="309"/>
      <c r="AE699" s="309"/>
    </row>
    <row r="700" spans="1:31" ht="12.75" customHeight="1">
      <c r="A700" s="309"/>
      <c r="B700" s="30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c r="AA700" s="309"/>
      <c r="AB700" s="309"/>
      <c r="AC700" s="309"/>
      <c r="AD700" s="309"/>
      <c r="AE700" s="309"/>
    </row>
    <row r="701" spans="1:31" ht="12.75" customHeight="1">
      <c r="A701" s="309"/>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09"/>
      <c r="AD701" s="309"/>
      <c r="AE701" s="309"/>
    </row>
    <row r="702" spans="1:31" ht="12.75" customHeight="1">
      <c r="A702" s="309"/>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c r="AA702" s="309"/>
      <c r="AB702" s="309"/>
      <c r="AC702" s="309"/>
      <c r="AD702" s="309"/>
      <c r="AE702" s="309"/>
    </row>
    <row r="703" spans="1:31" ht="12.75" customHeight="1">
      <c r="A703" s="309"/>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c r="AA703" s="309"/>
      <c r="AB703" s="309"/>
      <c r="AC703" s="309"/>
      <c r="AD703" s="309"/>
      <c r="AE703" s="309"/>
    </row>
    <row r="704" spans="1:31" ht="12.75" customHeight="1">
      <c r="A704" s="309"/>
      <c r="B704" s="30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c r="AA704" s="309"/>
      <c r="AB704" s="309"/>
      <c r="AC704" s="309"/>
      <c r="AD704" s="309"/>
      <c r="AE704" s="309"/>
    </row>
    <row r="705" spans="1:31" ht="12.75" customHeight="1">
      <c r="A705" s="309"/>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c r="AA705" s="309"/>
      <c r="AB705" s="309"/>
      <c r="AC705" s="309"/>
      <c r="AD705" s="309"/>
      <c r="AE705" s="309"/>
    </row>
    <row r="706" spans="1:31" ht="12.75" customHeight="1">
      <c r="A706" s="309"/>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c r="AA706" s="309"/>
      <c r="AB706" s="309"/>
      <c r="AC706" s="309"/>
      <c r="AD706" s="309"/>
      <c r="AE706" s="309"/>
    </row>
    <row r="707" spans="1:31" ht="12.75" customHeight="1">
      <c r="A707" s="309"/>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c r="AA707" s="309"/>
      <c r="AB707" s="309"/>
      <c r="AC707" s="309"/>
      <c r="AD707" s="309"/>
      <c r="AE707" s="309"/>
    </row>
    <row r="708" spans="1:31" ht="12.75" customHeight="1">
      <c r="A708" s="309"/>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309"/>
    </row>
    <row r="709" spans="1:31" ht="12.75" customHeight="1">
      <c r="A709" s="309"/>
      <c r="B709" s="30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c r="AA709" s="309"/>
      <c r="AB709" s="309"/>
      <c r="AC709" s="309"/>
      <c r="AD709" s="309"/>
      <c r="AE709" s="309"/>
    </row>
    <row r="710" spans="1:31" ht="12.75" customHeight="1">
      <c r="A710" s="309"/>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09"/>
      <c r="AD710" s="309"/>
      <c r="AE710" s="309"/>
    </row>
    <row r="711" spans="1:31" ht="12.75" customHeight="1">
      <c r="A711" s="309"/>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09"/>
      <c r="AD711" s="309"/>
      <c r="AE711" s="309"/>
    </row>
    <row r="712" spans="1:31" ht="12.75" customHeight="1">
      <c r="A712" s="309"/>
      <c r="B712" s="30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c r="AA712" s="309"/>
      <c r="AB712" s="309"/>
      <c r="AC712" s="309"/>
      <c r="AD712" s="309"/>
      <c r="AE712" s="309"/>
    </row>
    <row r="713" spans="1:31" ht="12.75" customHeight="1">
      <c r="A713" s="309"/>
      <c r="B713" s="30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c r="AA713" s="309"/>
      <c r="AB713" s="309"/>
      <c r="AC713" s="309"/>
      <c r="AD713" s="309"/>
      <c r="AE713" s="309"/>
    </row>
    <row r="714" spans="1:31" ht="12.75" customHeight="1">
      <c r="A714" s="309"/>
      <c r="B714" s="30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c r="AA714" s="309"/>
      <c r="AB714" s="309"/>
      <c r="AC714" s="309"/>
      <c r="AD714" s="309"/>
      <c r="AE714" s="309"/>
    </row>
    <row r="715" spans="1:31" ht="12.75" customHeight="1">
      <c r="A715" s="309"/>
      <c r="B715" s="30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c r="AA715" s="309"/>
      <c r="AB715" s="309"/>
      <c r="AC715" s="309"/>
      <c r="AD715" s="309"/>
      <c r="AE715" s="309"/>
    </row>
    <row r="716" spans="1:31" ht="12.75" customHeight="1">
      <c r="A716" s="309"/>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309"/>
    </row>
    <row r="717" spans="1:31" ht="12.75" customHeight="1">
      <c r="A717" s="309"/>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309"/>
    </row>
    <row r="718" spans="1:31" ht="12.75" customHeight="1">
      <c r="A718" s="309"/>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row>
    <row r="719" spans="1:31" ht="12.75" customHeight="1">
      <c r="A719" s="309"/>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09"/>
      <c r="AD719" s="309"/>
      <c r="AE719" s="309"/>
    </row>
    <row r="720" spans="1:31" ht="12.75" customHeight="1">
      <c r="A720" s="309"/>
      <c r="B720" s="30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c r="AA720" s="309"/>
      <c r="AB720" s="309"/>
      <c r="AC720" s="309"/>
      <c r="AD720" s="309"/>
      <c r="AE720" s="309"/>
    </row>
    <row r="721" spans="1:31" ht="12.75" customHeight="1">
      <c r="A721" s="309"/>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309"/>
      <c r="AE721" s="309"/>
    </row>
    <row r="722" spans="1:31" ht="12.75" customHeight="1">
      <c r="A722" s="309"/>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309"/>
      <c r="AE722" s="309"/>
    </row>
    <row r="723" spans="1:31" ht="12.75" customHeight="1">
      <c r="A723" s="309"/>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309"/>
      <c r="AE723" s="309"/>
    </row>
    <row r="724" spans="1:31" ht="12.75" customHeight="1">
      <c r="A724" s="309"/>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309"/>
      <c r="AE724" s="309"/>
    </row>
    <row r="725" spans="1:31" ht="12.75" customHeight="1">
      <c r="A725" s="309"/>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309"/>
    </row>
    <row r="726" spans="1:31" ht="12.75" customHeight="1">
      <c r="A726" s="309"/>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309"/>
      <c r="AE726" s="309"/>
    </row>
    <row r="727" spans="1:31" ht="12.75" customHeight="1">
      <c r="A727" s="309"/>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309"/>
    </row>
    <row r="728" spans="1:31" ht="12.75" customHeight="1">
      <c r="A728" s="309"/>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309"/>
      <c r="AE728" s="309"/>
    </row>
    <row r="729" spans="1:31" ht="12.75" customHeight="1">
      <c r="A729" s="309"/>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309"/>
      <c r="AE729" s="309"/>
    </row>
    <row r="730" spans="1:31" ht="12.75" customHeight="1">
      <c r="A730" s="309"/>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309"/>
      <c r="AE730" s="309"/>
    </row>
    <row r="731" spans="1:31" ht="12.75" customHeight="1">
      <c r="A731" s="309"/>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309"/>
      <c r="AE731" s="309"/>
    </row>
    <row r="732" spans="1:31" ht="12.75" customHeight="1">
      <c r="A732" s="309"/>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309"/>
      <c r="AE732" s="309"/>
    </row>
    <row r="733" spans="1:31" ht="12.75" customHeight="1">
      <c r="A733" s="309"/>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309"/>
      <c r="AE733" s="309"/>
    </row>
    <row r="734" spans="1:31" ht="12.75" customHeight="1">
      <c r="A734" s="309"/>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309"/>
      <c r="AE734" s="309"/>
    </row>
    <row r="735" spans="1:31" ht="12.75" customHeight="1">
      <c r="A735" s="309"/>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309"/>
      <c r="AE735" s="309"/>
    </row>
    <row r="736" spans="1:31" ht="12.75" customHeight="1">
      <c r="A736" s="309"/>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309"/>
    </row>
    <row r="737" spans="1:31" ht="12.75" customHeight="1">
      <c r="A737" s="309"/>
      <c r="B737" s="30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309"/>
    </row>
    <row r="738" spans="1:31" ht="12.75" customHeight="1">
      <c r="A738" s="309"/>
      <c r="B738" s="309"/>
      <c r="C738" s="309"/>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c r="AA738" s="309"/>
      <c r="AB738" s="309"/>
      <c r="AC738" s="309"/>
      <c r="AD738" s="309"/>
      <c r="AE738" s="309"/>
    </row>
    <row r="739" spans="1:31" ht="12.75" customHeight="1">
      <c r="A739" s="309"/>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309"/>
      <c r="AE739" s="309"/>
    </row>
    <row r="740" spans="1:31" ht="12.75" customHeight="1">
      <c r="A740" s="309"/>
      <c r="B740" s="309"/>
      <c r="C740" s="309"/>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c r="AA740" s="309"/>
      <c r="AB740" s="309"/>
      <c r="AC740" s="309"/>
      <c r="AD740" s="309"/>
      <c r="AE740" s="309"/>
    </row>
    <row r="741" spans="1:31" ht="12.75" customHeight="1">
      <c r="A741" s="309"/>
      <c r="B741" s="309"/>
      <c r="C741" s="309"/>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c r="AA741" s="309"/>
      <c r="AB741" s="309"/>
      <c r="AC741" s="309"/>
      <c r="AD741" s="309"/>
      <c r="AE741" s="309"/>
    </row>
    <row r="742" spans="1:31" ht="12.75" customHeight="1">
      <c r="A742" s="309"/>
      <c r="B742" s="309"/>
      <c r="C742" s="309"/>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c r="AA742" s="309"/>
      <c r="AB742" s="309"/>
      <c r="AC742" s="309"/>
      <c r="AD742" s="309"/>
      <c r="AE742" s="309"/>
    </row>
    <row r="743" spans="1:31" ht="12.75" customHeight="1">
      <c r="A743" s="309"/>
      <c r="B743" s="30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c r="AA743" s="309"/>
      <c r="AB743" s="309"/>
      <c r="AC743" s="309"/>
      <c r="AD743" s="309"/>
      <c r="AE743" s="309"/>
    </row>
    <row r="744" spans="1:31" ht="12.75" customHeight="1">
      <c r="A744" s="309"/>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309"/>
    </row>
    <row r="745" spans="1:31" ht="12.75" customHeight="1">
      <c r="A745" s="309"/>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309"/>
    </row>
    <row r="746" spans="1:31" ht="12.75" customHeight="1">
      <c r="A746" s="309"/>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309"/>
    </row>
    <row r="747" spans="1:31" ht="12.75" customHeight="1">
      <c r="A747" s="309"/>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309"/>
    </row>
    <row r="748" spans="1:31" ht="12.75" customHeight="1">
      <c r="A748" s="309"/>
      <c r="B748" s="30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c r="AA748" s="309"/>
      <c r="AB748" s="309"/>
      <c r="AC748" s="309"/>
      <c r="AD748" s="309"/>
      <c r="AE748" s="309"/>
    </row>
    <row r="749" spans="1:31" ht="12.75" customHeight="1">
      <c r="A749" s="309"/>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c r="AA749" s="309"/>
      <c r="AB749" s="309"/>
      <c r="AC749" s="309"/>
      <c r="AD749" s="309"/>
      <c r="AE749" s="309"/>
    </row>
    <row r="750" spans="1:31" ht="12.75" customHeight="1">
      <c r="A750" s="309"/>
      <c r="B750" s="30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c r="AA750" s="309"/>
      <c r="AB750" s="309"/>
      <c r="AC750" s="309"/>
      <c r="AD750" s="309"/>
      <c r="AE750" s="309"/>
    </row>
    <row r="751" spans="1:31" ht="12.75" customHeight="1">
      <c r="A751" s="309"/>
      <c r="B751" s="30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09"/>
      <c r="AD751" s="309"/>
      <c r="AE751" s="309"/>
    </row>
    <row r="752" spans="1:31" ht="12.75" customHeight="1">
      <c r="A752" s="309"/>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c r="AA752" s="309"/>
      <c r="AB752" s="309"/>
      <c r="AC752" s="309"/>
      <c r="AD752" s="309"/>
      <c r="AE752" s="309"/>
    </row>
    <row r="753" spans="1:31" ht="12.75" customHeight="1">
      <c r="A753" s="309"/>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309"/>
    </row>
    <row r="754" spans="1:31" ht="12.75" customHeight="1">
      <c r="A754" s="309"/>
      <c r="B754" s="30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c r="AA754" s="309"/>
      <c r="AB754" s="309"/>
      <c r="AC754" s="309"/>
      <c r="AD754" s="309"/>
      <c r="AE754" s="309"/>
    </row>
    <row r="755" spans="1:31" ht="12.75" customHeight="1">
      <c r="A755" s="309"/>
      <c r="B755" s="30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c r="AA755" s="309"/>
      <c r="AB755" s="309"/>
      <c r="AC755" s="309"/>
      <c r="AD755" s="309"/>
      <c r="AE755" s="309"/>
    </row>
    <row r="756" spans="1:31" ht="12.75" customHeight="1">
      <c r="A756" s="309"/>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309"/>
    </row>
    <row r="757" spans="1:31" ht="12.75" customHeight="1">
      <c r="A757" s="309"/>
      <c r="B757" s="30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c r="AA757" s="309"/>
      <c r="AB757" s="309"/>
      <c r="AC757" s="309"/>
      <c r="AD757" s="309"/>
      <c r="AE757" s="309"/>
    </row>
    <row r="758" spans="1:31" ht="12.75" customHeight="1">
      <c r="A758" s="309"/>
      <c r="B758" s="30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c r="AA758" s="309"/>
      <c r="AB758" s="309"/>
      <c r="AC758" s="309"/>
      <c r="AD758" s="309"/>
      <c r="AE758" s="309"/>
    </row>
    <row r="759" spans="1:31" ht="12.75" customHeight="1">
      <c r="A759" s="309"/>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309"/>
      <c r="AE759" s="309"/>
    </row>
    <row r="760" spans="1:31" ht="12.75" customHeight="1">
      <c r="A760" s="309"/>
      <c r="B760" s="30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c r="AA760" s="309"/>
      <c r="AB760" s="309"/>
      <c r="AC760" s="309"/>
      <c r="AD760" s="309"/>
      <c r="AE760" s="309"/>
    </row>
    <row r="761" spans="1:31" ht="12.75" customHeight="1">
      <c r="A761" s="309"/>
      <c r="B761" s="30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c r="AA761" s="309"/>
      <c r="AB761" s="309"/>
      <c r="AC761" s="309"/>
      <c r="AD761" s="309"/>
      <c r="AE761" s="309"/>
    </row>
    <row r="762" spans="1:31" ht="12.75" customHeight="1">
      <c r="A762" s="309"/>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309"/>
      <c r="AE762" s="309"/>
    </row>
    <row r="763" spans="1:31" ht="12.75" customHeight="1">
      <c r="A763" s="309"/>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309"/>
    </row>
    <row r="764" spans="1:31" ht="12.75" customHeight="1">
      <c r="A764" s="309"/>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c r="AA764" s="309"/>
      <c r="AB764" s="309"/>
      <c r="AC764" s="309"/>
      <c r="AD764" s="309"/>
      <c r="AE764" s="309"/>
    </row>
    <row r="765" spans="1:31" ht="12.75" customHeight="1">
      <c r="A765" s="309"/>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309"/>
      <c r="AE765" s="309"/>
    </row>
    <row r="766" spans="1:31" ht="12.75" customHeight="1">
      <c r="A766" s="309"/>
      <c r="B766" s="30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c r="AA766" s="309"/>
      <c r="AB766" s="309"/>
      <c r="AC766" s="309"/>
      <c r="AD766" s="309"/>
      <c r="AE766" s="309"/>
    </row>
    <row r="767" spans="1:31" ht="12.75" customHeight="1">
      <c r="A767" s="309"/>
      <c r="B767" s="30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c r="AA767" s="309"/>
      <c r="AB767" s="309"/>
      <c r="AC767" s="309"/>
      <c r="AD767" s="309"/>
      <c r="AE767" s="309"/>
    </row>
    <row r="768" spans="1:31" ht="12.75" customHeight="1">
      <c r="A768" s="309"/>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c r="AA768" s="309"/>
      <c r="AB768" s="309"/>
      <c r="AC768" s="309"/>
      <c r="AD768" s="309"/>
      <c r="AE768" s="309"/>
    </row>
    <row r="769" spans="1:31" ht="12.75" customHeight="1">
      <c r="A769" s="309"/>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309"/>
    </row>
    <row r="770" spans="1:31" ht="12.75" customHeight="1">
      <c r="A770" s="309"/>
      <c r="B770" s="30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c r="AA770" s="309"/>
      <c r="AB770" s="309"/>
      <c r="AC770" s="309"/>
      <c r="AD770" s="309"/>
      <c r="AE770" s="309"/>
    </row>
    <row r="771" spans="1:31" ht="12.75" customHeight="1">
      <c r="A771" s="309"/>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c r="AA771" s="309"/>
      <c r="AB771" s="309"/>
      <c r="AC771" s="309"/>
      <c r="AD771" s="309"/>
      <c r="AE771" s="309"/>
    </row>
    <row r="772" spans="1:31" ht="12.75" customHeight="1">
      <c r="A772" s="309"/>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309"/>
    </row>
    <row r="773" spans="1:31" ht="12.75" customHeight="1">
      <c r="A773" s="309"/>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c r="AA773" s="309"/>
      <c r="AB773" s="309"/>
      <c r="AC773" s="309"/>
      <c r="AD773" s="309"/>
      <c r="AE773" s="309"/>
    </row>
    <row r="774" spans="1:31" ht="12.75" customHeight="1">
      <c r="A774" s="309"/>
      <c r="B774" s="30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c r="AA774" s="309"/>
      <c r="AB774" s="309"/>
      <c r="AC774" s="309"/>
      <c r="AD774" s="309"/>
      <c r="AE774" s="309"/>
    </row>
    <row r="775" spans="1:31" ht="12.75" customHeight="1">
      <c r="A775" s="309"/>
      <c r="B775" s="30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c r="AA775" s="309"/>
      <c r="AB775" s="309"/>
      <c r="AC775" s="309"/>
      <c r="AD775" s="309"/>
      <c r="AE775" s="309"/>
    </row>
    <row r="776" spans="1:31" ht="12.75" customHeight="1">
      <c r="A776" s="309"/>
      <c r="B776" s="30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c r="AA776" s="309"/>
      <c r="AB776" s="309"/>
      <c r="AC776" s="309"/>
      <c r="AD776" s="309"/>
      <c r="AE776" s="309"/>
    </row>
    <row r="777" spans="1:31" ht="12.75" customHeight="1">
      <c r="A777" s="309"/>
      <c r="B777" s="309"/>
      <c r="C777" s="309"/>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c r="AA777" s="309"/>
      <c r="AB777" s="309"/>
      <c r="AC777" s="309"/>
      <c r="AD777" s="309"/>
      <c r="AE777" s="309"/>
    </row>
    <row r="778" spans="1:31" ht="12.75" customHeight="1">
      <c r="A778" s="309"/>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309"/>
    </row>
    <row r="779" spans="1:31" ht="12.75" customHeight="1">
      <c r="A779" s="309"/>
      <c r="B779" s="309"/>
      <c r="C779" s="309"/>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c r="AA779" s="309"/>
      <c r="AB779" s="309"/>
      <c r="AC779" s="309"/>
      <c r="AD779" s="309"/>
      <c r="AE779" s="309"/>
    </row>
    <row r="780" spans="1:31" ht="12.75" customHeight="1">
      <c r="A780" s="309"/>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309"/>
      <c r="AE780" s="309"/>
    </row>
    <row r="781" spans="1:31" ht="12.75" customHeight="1">
      <c r="A781" s="309"/>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309"/>
    </row>
    <row r="782" spans="1:31" ht="12.75" customHeight="1">
      <c r="A782" s="309"/>
      <c r="B782" s="30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c r="AA782" s="309"/>
      <c r="AB782" s="309"/>
      <c r="AC782" s="309"/>
      <c r="AD782" s="309"/>
      <c r="AE782" s="309"/>
    </row>
    <row r="783" spans="1:31" ht="12.75" customHeight="1">
      <c r="A783" s="309"/>
      <c r="B783" s="30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c r="AA783" s="309"/>
      <c r="AB783" s="309"/>
      <c r="AC783" s="309"/>
      <c r="AD783" s="309"/>
      <c r="AE783" s="309"/>
    </row>
    <row r="784" spans="1:31" ht="12.75" customHeight="1">
      <c r="A784" s="309"/>
      <c r="B784" s="30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c r="AA784" s="309"/>
      <c r="AB784" s="309"/>
      <c r="AC784" s="309"/>
      <c r="AD784" s="309"/>
      <c r="AE784" s="309"/>
    </row>
    <row r="785" spans="1:31" ht="12.75" customHeight="1">
      <c r="A785" s="309"/>
      <c r="B785" s="30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c r="AA785" s="309"/>
      <c r="AB785" s="309"/>
      <c r="AC785" s="309"/>
      <c r="AD785" s="309"/>
      <c r="AE785" s="309"/>
    </row>
    <row r="786" spans="1:31" ht="12.75" customHeight="1">
      <c r="A786" s="309"/>
      <c r="B786" s="30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c r="AA786" s="309"/>
      <c r="AB786" s="309"/>
      <c r="AC786" s="309"/>
      <c r="AD786" s="309"/>
      <c r="AE786" s="309"/>
    </row>
    <row r="787" spans="1:31" ht="12.75" customHeight="1">
      <c r="A787" s="309"/>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309"/>
    </row>
    <row r="788" spans="1:31" ht="12.75" customHeight="1">
      <c r="A788" s="309"/>
      <c r="B788" s="309"/>
      <c r="C788" s="309"/>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c r="AA788" s="309"/>
      <c r="AB788" s="309"/>
      <c r="AC788" s="309"/>
      <c r="AD788" s="309"/>
      <c r="AE788" s="309"/>
    </row>
    <row r="789" spans="1:31" ht="12.75" customHeight="1">
      <c r="A789" s="309"/>
      <c r="B789" s="30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309"/>
      <c r="AE789" s="309"/>
    </row>
    <row r="790" spans="1:31" ht="12.75" customHeight="1">
      <c r="A790" s="309"/>
      <c r="B790" s="30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c r="AA790" s="309"/>
      <c r="AB790" s="309"/>
      <c r="AC790" s="309"/>
      <c r="AD790" s="309"/>
      <c r="AE790" s="309"/>
    </row>
    <row r="791" spans="1:31" ht="12.75" customHeight="1">
      <c r="A791" s="309"/>
      <c r="B791" s="309"/>
      <c r="C791" s="309"/>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c r="AA791" s="309"/>
      <c r="AB791" s="309"/>
      <c r="AC791" s="309"/>
      <c r="AD791" s="309"/>
      <c r="AE791" s="309"/>
    </row>
    <row r="792" spans="1:31" ht="12.75" customHeight="1">
      <c r="A792" s="309"/>
      <c r="B792" s="309"/>
      <c r="C792" s="309"/>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c r="AA792" s="309"/>
      <c r="AB792" s="309"/>
      <c r="AC792" s="309"/>
      <c r="AD792" s="309"/>
      <c r="AE792" s="309"/>
    </row>
    <row r="793" spans="1:31" ht="12.75" customHeight="1">
      <c r="A793" s="309"/>
      <c r="B793" s="30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c r="AA793" s="309"/>
      <c r="AB793" s="309"/>
      <c r="AC793" s="309"/>
      <c r="AD793" s="309"/>
      <c r="AE793" s="309"/>
    </row>
    <row r="794" spans="1:31" ht="12.75" customHeight="1">
      <c r="A794" s="309"/>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c r="AA794" s="309"/>
      <c r="AB794" s="309"/>
      <c r="AC794" s="309"/>
      <c r="AD794" s="309"/>
      <c r="AE794" s="309"/>
    </row>
    <row r="795" spans="1:31" ht="12.75" customHeight="1">
      <c r="A795" s="309"/>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309"/>
    </row>
    <row r="796" spans="1:31" ht="12.75" customHeight="1">
      <c r="A796" s="309"/>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309"/>
    </row>
    <row r="797" spans="1:31" ht="12.75" customHeight="1">
      <c r="A797" s="309"/>
      <c r="B797" s="30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c r="AA797" s="309"/>
      <c r="AB797" s="309"/>
      <c r="AC797" s="309"/>
      <c r="AD797" s="309"/>
      <c r="AE797" s="309"/>
    </row>
    <row r="798" spans="1:31" ht="12.75" customHeight="1">
      <c r="A798" s="309"/>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309"/>
    </row>
    <row r="799" spans="1:31" ht="12.75" customHeight="1">
      <c r="A799" s="309"/>
      <c r="B799" s="30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c r="AA799" s="309"/>
      <c r="AB799" s="309"/>
      <c r="AC799" s="309"/>
      <c r="AD799" s="309"/>
      <c r="AE799" s="309"/>
    </row>
    <row r="800" spans="1:31" ht="12.75" customHeight="1">
      <c r="A800" s="309"/>
      <c r="B800" s="30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c r="AA800" s="309"/>
      <c r="AB800" s="309"/>
      <c r="AC800" s="309"/>
      <c r="AD800" s="309"/>
      <c r="AE800" s="309"/>
    </row>
    <row r="801" spans="1:31" ht="12.75" customHeight="1">
      <c r="A801" s="309"/>
      <c r="B801" s="30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c r="AA801" s="309"/>
      <c r="AB801" s="309"/>
      <c r="AC801" s="309"/>
      <c r="AD801" s="309"/>
      <c r="AE801" s="309"/>
    </row>
    <row r="802" spans="1:31" ht="12.75" customHeight="1">
      <c r="A802" s="309"/>
      <c r="B802" s="30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c r="AA802" s="309"/>
      <c r="AB802" s="309"/>
      <c r="AC802" s="309"/>
      <c r="AD802" s="309"/>
      <c r="AE802" s="309"/>
    </row>
    <row r="803" spans="1:31" ht="12.75" customHeight="1">
      <c r="A803" s="309"/>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c r="AA803" s="309"/>
      <c r="AB803" s="309"/>
      <c r="AC803" s="309"/>
      <c r="AD803" s="309"/>
      <c r="AE803" s="309"/>
    </row>
    <row r="804" spans="1:31" ht="12.75" customHeight="1">
      <c r="A804" s="309"/>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309"/>
    </row>
    <row r="805" spans="1:31" ht="12.75" customHeight="1">
      <c r="A805" s="309"/>
      <c r="B805" s="30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c r="AA805" s="309"/>
      <c r="AB805" s="309"/>
      <c r="AC805" s="309"/>
      <c r="AD805" s="309"/>
      <c r="AE805" s="309"/>
    </row>
    <row r="806" spans="1:31" ht="12.75" customHeight="1">
      <c r="A806" s="309"/>
      <c r="B806" s="30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c r="AA806" s="309"/>
      <c r="AB806" s="309"/>
      <c r="AC806" s="309"/>
      <c r="AD806" s="309"/>
      <c r="AE806" s="309"/>
    </row>
    <row r="807" spans="1:31" ht="12.75" customHeight="1">
      <c r="A807" s="309"/>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09"/>
      <c r="AD807" s="309"/>
      <c r="AE807" s="309"/>
    </row>
    <row r="808" spans="1:31" ht="12.75" customHeight="1">
      <c r="A808" s="309"/>
      <c r="B808" s="30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c r="AA808" s="309"/>
      <c r="AB808" s="309"/>
      <c r="AC808" s="309"/>
      <c r="AD808" s="309"/>
      <c r="AE808" s="309"/>
    </row>
    <row r="809" spans="1:31" ht="12.75" customHeight="1">
      <c r="A809" s="309"/>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09"/>
      <c r="AD809" s="309"/>
      <c r="AE809" s="309"/>
    </row>
    <row r="810" spans="1:31" ht="12.75" customHeight="1">
      <c r="A810" s="309"/>
      <c r="B810" s="30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c r="AA810" s="309"/>
      <c r="AB810" s="309"/>
      <c r="AC810" s="309"/>
      <c r="AD810" s="309"/>
      <c r="AE810" s="309"/>
    </row>
    <row r="811" spans="1:31" ht="12.75" customHeight="1">
      <c r="A811" s="309"/>
      <c r="B811" s="30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c r="AA811" s="309"/>
      <c r="AB811" s="309"/>
      <c r="AC811" s="309"/>
      <c r="AD811" s="309"/>
      <c r="AE811" s="309"/>
    </row>
    <row r="812" spans="1:31" ht="12.75" customHeight="1">
      <c r="A812" s="309"/>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09"/>
      <c r="AD812" s="309"/>
      <c r="AE812" s="309"/>
    </row>
    <row r="813" spans="1:31" ht="12.75" customHeight="1">
      <c r="A813" s="309"/>
      <c r="B813" s="30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c r="AA813" s="309"/>
      <c r="AB813" s="309"/>
      <c r="AC813" s="309"/>
      <c r="AD813" s="309"/>
      <c r="AE813" s="309"/>
    </row>
    <row r="814" spans="1:31" ht="12.75" customHeight="1">
      <c r="A814" s="309"/>
      <c r="B814" s="30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c r="AA814" s="309"/>
      <c r="AB814" s="309"/>
      <c r="AC814" s="309"/>
      <c r="AD814" s="309"/>
      <c r="AE814" s="309"/>
    </row>
    <row r="815" spans="1:31" ht="12.75" customHeight="1">
      <c r="A815" s="309"/>
      <c r="B815" s="30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c r="AA815" s="309"/>
      <c r="AB815" s="309"/>
      <c r="AC815" s="309"/>
      <c r="AD815" s="309"/>
      <c r="AE815" s="309"/>
    </row>
    <row r="816" spans="1:31" ht="12.75" customHeight="1">
      <c r="A816" s="309"/>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c r="AA816" s="309"/>
      <c r="AB816" s="309"/>
      <c r="AC816" s="309"/>
      <c r="AD816" s="309"/>
      <c r="AE816" s="309"/>
    </row>
    <row r="817" spans="1:31" ht="12.75" customHeight="1">
      <c r="A817" s="309"/>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09"/>
      <c r="AD817" s="309"/>
      <c r="AE817" s="309"/>
    </row>
    <row r="818" spans="1:31" ht="12.75" customHeight="1">
      <c r="A818" s="309"/>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09"/>
      <c r="AD818" s="309"/>
      <c r="AE818" s="309"/>
    </row>
    <row r="819" spans="1:31" ht="12.75" customHeight="1">
      <c r="A819" s="309"/>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09"/>
      <c r="AD819" s="309"/>
      <c r="AE819" s="309"/>
    </row>
    <row r="820" spans="1:31" ht="12.75" customHeight="1">
      <c r="A820" s="309"/>
      <c r="B820" s="30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c r="AA820" s="309"/>
      <c r="AB820" s="309"/>
      <c r="AC820" s="309"/>
      <c r="AD820" s="309"/>
      <c r="AE820" s="309"/>
    </row>
    <row r="821" spans="1:31" ht="12.75" customHeight="1">
      <c r="A821" s="309"/>
      <c r="B821" s="30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c r="AA821" s="309"/>
      <c r="AB821" s="309"/>
      <c r="AC821" s="309"/>
      <c r="AD821" s="309"/>
      <c r="AE821" s="309"/>
    </row>
    <row r="822" spans="1:31" ht="12.75" customHeight="1">
      <c r="A822" s="309"/>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c r="AA822" s="309"/>
      <c r="AB822" s="309"/>
      <c r="AC822" s="309"/>
      <c r="AD822" s="309"/>
      <c r="AE822" s="309"/>
    </row>
    <row r="823" spans="1:31" ht="12.75" customHeight="1">
      <c r="A823" s="309"/>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309"/>
    </row>
    <row r="824" spans="1:31" ht="12.75" customHeight="1">
      <c r="A824" s="309"/>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c r="AA824" s="309"/>
      <c r="AB824" s="309"/>
      <c r="AC824" s="309"/>
      <c r="AD824" s="309"/>
      <c r="AE824" s="309"/>
    </row>
    <row r="825" spans="1:31" ht="12.75" customHeight="1">
      <c r="A825" s="309"/>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c r="AA825" s="309"/>
      <c r="AB825" s="309"/>
      <c r="AC825" s="309"/>
      <c r="AD825" s="309"/>
      <c r="AE825" s="309"/>
    </row>
    <row r="826" spans="1:31" ht="12.75" customHeight="1">
      <c r="A826" s="309"/>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309"/>
    </row>
    <row r="827" spans="1:31" ht="12.75" customHeight="1">
      <c r="A827" s="309"/>
      <c r="B827" s="30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c r="AA827" s="309"/>
      <c r="AB827" s="309"/>
      <c r="AC827" s="309"/>
      <c r="AD827" s="309"/>
      <c r="AE827" s="309"/>
    </row>
    <row r="828" spans="1:31" ht="12.75" customHeight="1">
      <c r="A828" s="309"/>
      <c r="B828" s="30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c r="AA828" s="309"/>
      <c r="AB828" s="309"/>
      <c r="AC828" s="309"/>
      <c r="AD828" s="309"/>
      <c r="AE828" s="309"/>
    </row>
    <row r="829" spans="1:31" ht="12.75" customHeight="1">
      <c r="A829" s="309"/>
      <c r="B829" s="30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c r="AA829" s="309"/>
      <c r="AB829" s="309"/>
      <c r="AC829" s="309"/>
      <c r="AD829" s="309"/>
      <c r="AE829" s="309"/>
    </row>
    <row r="830" spans="1:31" ht="12.75" customHeight="1">
      <c r="A830" s="309"/>
      <c r="B830" s="30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c r="AA830" s="309"/>
      <c r="AB830" s="309"/>
      <c r="AC830" s="309"/>
      <c r="AD830" s="309"/>
      <c r="AE830" s="309"/>
    </row>
    <row r="831" spans="1:31" ht="12.75" customHeight="1">
      <c r="A831" s="309"/>
      <c r="B831" s="30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c r="AA831" s="309"/>
      <c r="AB831" s="309"/>
      <c r="AC831" s="309"/>
      <c r="AD831" s="309"/>
      <c r="AE831" s="309"/>
    </row>
    <row r="832" spans="1:31" ht="12.75" customHeight="1">
      <c r="A832" s="309"/>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309"/>
    </row>
    <row r="833" spans="1:31" ht="12.75" customHeight="1">
      <c r="A833" s="309"/>
      <c r="B833" s="30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c r="AA833" s="309"/>
      <c r="AB833" s="309"/>
      <c r="AC833" s="309"/>
      <c r="AD833" s="309"/>
      <c r="AE833" s="309"/>
    </row>
    <row r="834" spans="1:31" ht="12.75" customHeight="1">
      <c r="A834" s="309"/>
      <c r="B834" s="30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c r="AA834" s="309"/>
      <c r="AB834" s="309"/>
      <c r="AC834" s="309"/>
      <c r="AD834" s="309"/>
      <c r="AE834" s="309"/>
    </row>
    <row r="835" spans="1:31" ht="12.75" customHeight="1">
      <c r="A835" s="309"/>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309"/>
      <c r="AE835" s="309"/>
    </row>
    <row r="836" spans="1:31" ht="12.75" customHeight="1">
      <c r="A836" s="309"/>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09"/>
      <c r="AD836" s="309"/>
      <c r="AE836" s="309"/>
    </row>
    <row r="837" spans="1:31" ht="12.75" customHeight="1">
      <c r="A837" s="309"/>
      <c r="B837" s="30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c r="AA837" s="309"/>
      <c r="AB837" s="309"/>
      <c r="AC837" s="309"/>
      <c r="AD837" s="309"/>
      <c r="AE837" s="309"/>
    </row>
    <row r="838" spans="1:31" ht="12.75" customHeight="1">
      <c r="A838" s="309"/>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c r="AA838" s="309"/>
      <c r="AB838" s="309"/>
      <c r="AC838" s="309"/>
      <c r="AD838" s="309"/>
      <c r="AE838" s="309"/>
    </row>
    <row r="839" spans="1:31" ht="12.75" customHeight="1">
      <c r="A839" s="309"/>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309"/>
      <c r="AE839" s="309"/>
    </row>
    <row r="840" spans="1:31" ht="12.75" customHeight="1">
      <c r="A840" s="309"/>
      <c r="B840" s="30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c r="AA840" s="309"/>
      <c r="AB840" s="309"/>
      <c r="AC840" s="309"/>
      <c r="AD840" s="309"/>
      <c r="AE840" s="309"/>
    </row>
    <row r="841" spans="1:31" ht="12.75" customHeight="1">
      <c r="A841" s="309"/>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309"/>
      <c r="AE841" s="309"/>
    </row>
    <row r="842" spans="1:31" ht="12.75" customHeight="1">
      <c r="A842" s="309"/>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09"/>
      <c r="AD842" s="309"/>
      <c r="AE842" s="309"/>
    </row>
    <row r="843" spans="1:31" ht="12.75" customHeight="1">
      <c r="A843" s="309"/>
      <c r="B843" s="30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c r="AA843" s="309"/>
      <c r="AB843" s="309"/>
      <c r="AC843" s="309"/>
      <c r="AD843" s="309"/>
      <c r="AE843" s="309"/>
    </row>
    <row r="844" spans="1:31" ht="12.75" customHeight="1">
      <c r="A844" s="309"/>
      <c r="B844" s="30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c r="AA844" s="309"/>
      <c r="AB844" s="309"/>
      <c r="AC844" s="309"/>
      <c r="AD844" s="309"/>
      <c r="AE844" s="309"/>
    </row>
    <row r="845" spans="1:31" ht="12.75" customHeight="1">
      <c r="A845" s="309"/>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309"/>
      <c r="AE845" s="309"/>
    </row>
    <row r="846" spans="1:31" ht="12.75" customHeight="1">
      <c r="A846" s="309"/>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c r="AA846" s="309"/>
      <c r="AB846" s="309"/>
      <c r="AC846" s="309"/>
      <c r="AD846" s="309"/>
      <c r="AE846" s="309"/>
    </row>
    <row r="847" spans="1:31" ht="12.75" customHeight="1">
      <c r="A847" s="309"/>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c r="AA847" s="309"/>
      <c r="AB847" s="309"/>
      <c r="AC847" s="309"/>
      <c r="AD847" s="309"/>
      <c r="AE847" s="309"/>
    </row>
    <row r="848" spans="1:31" ht="12.75" customHeight="1">
      <c r="A848" s="309"/>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09"/>
      <c r="AD848" s="309"/>
      <c r="AE848" s="309"/>
    </row>
    <row r="849" spans="1:31" ht="12.75" customHeight="1">
      <c r="A849" s="309"/>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c r="AA849" s="309"/>
      <c r="AB849" s="309"/>
      <c r="AC849" s="309"/>
      <c r="AD849" s="309"/>
      <c r="AE849" s="309"/>
    </row>
    <row r="850" spans="1:31" ht="12.75" customHeight="1">
      <c r="A850" s="309"/>
      <c r="B850" s="309"/>
      <c r="C850" s="309"/>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c r="AA850" s="309"/>
      <c r="AB850" s="309"/>
      <c r="AC850" s="309"/>
      <c r="AD850" s="309"/>
      <c r="AE850" s="309"/>
    </row>
    <row r="851" spans="1:31" ht="12.75" customHeight="1">
      <c r="A851" s="309"/>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309"/>
    </row>
    <row r="852" spans="1:31" ht="12.75" customHeight="1">
      <c r="A852" s="309"/>
      <c r="B852" s="30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c r="AA852" s="309"/>
      <c r="AB852" s="309"/>
      <c r="AC852" s="309"/>
      <c r="AD852" s="309"/>
      <c r="AE852" s="309"/>
    </row>
    <row r="853" spans="1:31" ht="12.75" customHeight="1">
      <c r="A853" s="309"/>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309"/>
      <c r="AE853" s="309"/>
    </row>
    <row r="854" spans="1:31" ht="12.75" customHeight="1">
      <c r="A854" s="309"/>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09"/>
      <c r="AD854" s="309"/>
      <c r="AE854" s="309"/>
    </row>
    <row r="855" spans="1:31" ht="12.75" customHeight="1">
      <c r="A855" s="309"/>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c r="AA855" s="309"/>
      <c r="AB855" s="309"/>
      <c r="AC855" s="309"/>
      <c r="AD855" s="309"/>
      <c r="AE855" s="309"/>
    </row>
    <row r="856" spans="1:31" ht="12.75" customHeight="1">
      <c r="A856" s="309"/>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309"/>
      <c r="AE856" s="309"/>
    </row>
    <row r="857" spans="1:31" ht="12.75" customHeight="1">
      <c r="A857" s="309"/>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09"/>
      <c r="AD857" s="309"/>
      <c r="AE857" s="309"/>
    </row>
    <row r="858" spans="1:31" ht="12.75" customHeight="1">
      <c r="A858" s="309"/>
      <c r="B858" s="30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c r="AA858" s="309"/>
      <c r="AB858" s="309"/>
      <c r="AC858" s="309"/>
      <c r="AD858" s="309"/>
      <c r="AE858" s="309"/>
    </row>
    <row r="859" spans="1:31" ht="12.75" customHeight="1">
      <c r="A859" s="309"/>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309"/>
      <c r="AE859" s="309"/>
    </row>
    <row r="860" spans="1:31" ht="12.75" customHeight="1">
      <c r="A860" s="309"/>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309"/>
    </row>
    <row r="861" spans="1:31" ht="12.75" customHeight="1">
      <c r="A861" s="309"/>
      <c r="B861" s="309"/>
      <c r="C861" s="309"/>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c r="AA861" s="309"/>
      <c r="AB861" s="309"/>
      <c r="AC861" s="309"/>
      <c r="AD861" s="309"/>
      <c r="AE861" s="309"/>
    </row>
    <row r="862" spans="1:31" ht="12.75" customHeight="1">
      <c r="A862" s="309"/>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309"/>
    </row>
    <row r="863" spans="1:31" ht="12.75" customHeight="1">
      <c r="A863" s="309"/>
      <c r="B863" s="30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c r="AA863" s="309"/>
      <c r="AB863" s="309"/>
      <c r="AC863" s="309"/>
      <c r="AD863" s="309"/>
      <c r="AE863" s="309"/>
    </row>
    <row r="864" spans="1:31" ht="12.75" customHeight="1">
      <c r="A864" s="309"/>
      <c r="B864" s="309"/>
      <c r="C864" s="309"/>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c r="AA864" s="309"/>
      <c r="AB864" s="309"/>
      <c r="AC864" s="309"/>
      <c r="AD864" s="309"/>
      <c r="AE864" s="309"/>
    </row>
    <row r="865" spans="1:31" ht="12.75" customHeight="1">
      <c r="A865" s="309"/>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309"/>
    </row>
    <row r="866" spans="1:31" ht="12.75" customHeight="1">
      <c r="A866" s="309"/>
      <c r="B866" s="309"/>
      <c r="C866" s="309"/>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c r="AA866" s="309"/>
      <c r="AB866" s="309"/>
      <c r="AC866" s="309"/>
      <c r="AD866" s="309"/>
      <c r="AE866" s="309"/>
    </row>
    <row r="867" spans="1:31" ht="12.75" customHeight="1">
      <c r="A867" s="309"/>
      <c r="B867" s="30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c r="AA867" s="309"/>
      <c r="AB867" s="309"/>
      <c r="AC867" s="309"/>
      <c r="AD867" s="309"/>
      <c r="AE867" s="309"/>
    </row>
    <row r="868" spans="1:31" ht="12.75" customHeight="1">
      <c r="A868" s="309"/>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c r="AA868" s="309"/>
      <c r="AB868" s="309"/>
      <c r="AC868" s="309"/>
      <c r="AD868" s="309"/>
      <c r="AE868" s="309"/>
    </row>
    <row r="869" spans="1:31" ht="12.75" customHeight="1">
      <c r="A869" s="309"/>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309"/>
      <c r="AE869" s="309"/>
    </row>
    <row r="870" spans="1:31" ht="12.75" customHeight="1">
      <c r="A870" s="309"/>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c r="AA870" s="309"/>
      <c r="AB870" s="309"/>
      <c r="AC870" s="309"/>
      <c r="AD870" s="309"/>
      <c r="AE870" s="309"/>
    </row>
    <row r="871" spans="1:31" ht="12.75" customHeight="1">
      <c r="A871" s="309"/>
      <c r="B871" s="30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c r="AA871" s="309"/>
      <c r="AB871" s="309"/>
      <c r="AC871" s="309"/>
      <c r="AD871" s="309"/>
      <c r="AE871" s="309"/>
    </row>
    <row r="872" spans="1:31" ht="12.75" customHeight="1">
      <c r="A872" s="309"/>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309"/>
      <c r="AE872" s="309"/>
    </row>
    <row r="873" spans="1:31" ht="12.75" customHeight="1">
      <c r="A873" s="309"/>
      <c r="B873" s="30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c r="AA873" s="309"/>
      <c r="AB873" s="309"/>
      <c r="AC873" s="309"/>
      <c r="AD873" s="309"/>
      <c r="AE873" s="309"/>
    </row>
    <row r="874" spans="1:31" ht="12.75" customHeight="1">
      <c r="A874" s="309"/>
      <c r="B874" s="30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c r="AA874" s="309"/>
      <c r="AB874" s="309"/>
      <c r="AC874" s="309"/>
      <c r="AD874" s="309"/>
      <c r="AE874" s="309"/>
    </row>
    <row r="875" spans="1:31" ht="12.75" customHeight="1">
      <c r="A875" s="309"/>
      <c r="B875" s="30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c r="AA875" s="309"/>
      <c r="AB875" s="309"/>
      <c r="AC875" s="309"/>
      <c r="AD875" s="309"/>
      <c r="AE875" s="309"/>
    </row>
    <row r="876" spans="1:31" ht="12.75" customHeight="1">
      <c r="A876" s="309"/>
      <c r="B876" s="30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c r="AA876" s="309"/>
      <c r="AB876" s="309"/>
      <c r="AC876" s="309"/>
      <c r="AD876" s="309"/>
      <c r="AE876" s="309"/>
    </row>
    <row r="877" spans="1:31" ht="12.75" customHeight="1">
      <c r="A877" s="309"/>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309"/>
      <c r="AE877" s="309"/>
    </row>
    <row r="878" spans="1:31" ht="12.75" customHeight="1">
      <c r="A878" s="309"/>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309"/>
    </row>
    <row r="879" spans="1:31" ht="12.75" customHeight="1">
      <c r="A879" s="309"/>
      <c r="B879" s="309"/>
      <c r="C879" s="309"/>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c r="AA879" s="309"/>
      <c r="AB879" s="309"/>
      <c r="AC879" s="309"/>
      <c r="AD879" s="309"/>
      <c r="AE879" s="309"/>
    </row>
    <row r="880" spans="1:31" ht="12.75" customHeight="1">
      <c r="A880" s="309"/>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309"/>
      <c r="AE880" s="309"/>
    </row>
    <row r="881" spans="1:31" ht="12.75" customHeight="1">
      <c r="A881" s="309"/>
      <c r="B881" s="30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c r="AA881" s="309"/>
      <c r="AB881" s="309"/>
      <c r="AC881" s="309"/>
      <c r="AD881" s="309"/>
      <c r="AE881" s="309"/>
    </row>
    <row r="882" spans="1:31" ht="12.75" customHeight="1">
      <c r="A882" s="309"/>
      <c r="B882" s="30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c r="AA882" s="309"/>
      <c r="AB882" s="309"/>
      <c r="AC882" s="309"/>
      <c r="AD882" s="309"/>
      <c r="AE882" s="309"/>
    </row>
    <row r="883" spans="1:31" ht="12.75" customHeight="1">
      <c r="A883" s="309"/>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c r="AA883" s="309"/>
      <c r="AB883" s="309"/>
      <c r="AC883" s="309"/>
      <c r="AD883" s="309"/>
      <c r="AE883" s="309"/>
    </row>
    <row r="884" spans="1:31" ht="12.75" customHeight="1">
      <c r="A884" s="309"/>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09"/>
      <c r="AD884" s="309"/>
      <c r="AE884" s="309"/>
    </row>
    <row r="885" spans="1:31" ht="12.75" customHeight="1">
      <c r="A885" s="309"/>
      <c r="B885" s="30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c r="AA885" s="309"/>
      <c r="AB885" s="309"/>
      <c r="AC885" s="309"/>
      <c r="AD885" s="309"/>
      <c r="AE885" s="309"/>
    </row>
    <row r="886" spans="1:31" ht="12.75" customHeight="1">
      <c r="A886" s="309"/>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309"/>
      <c r="AE886" s="309"/>
    </row>
    <row r="887" spans="1:31" ht="12.75" customHeight="1">
      <c r="A887" s="309"/>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309"/>
    </row>
    <row r="888" spans="1:31" ht="12.75" customHeight="1">
      <c r="A888" s="309"/>
      <c r="B888" s="309"/>
      <c r="C888" s="309"/>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c r="AA888" s="309"/>
      <c r="AB888" s="309"/>
      <c r="AC888" s="309"/>
      <c r="AD888" s="309"/>
      <c r="AE888" s="309"/>
    </row>
    <row r="889" spans="1:31" ht="12.75" customHeight="1">
      <c r="A889" s="309"/>
      <c r="B889" s="30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c r="AB889" s="309"/>
      <c r="AC889" s="309"/>
      <c r="AD889" s="309"/>
      <c r="AE889" s="309"/>
    </row>
    <row r="890" spans="1:31" ht="12.75" customHeight="1">
      <c r="A890" s="309"/>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309"/>
      <c r="AE890" s="309"/>
    </row>
    <row r="891" spans="1:31" ht="12.75" customHeight="1">
      <c r="A891" s="309"/>
      <c r="B891" s="309"/>
      <c r="C891" s="309"/>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c r="AA891" s="309"/>
      <c r="AB891" s="309"/>
      <c r="AC891" s="309"/>
      <c r="AD891" s="309"/>
      <c r="AE891" s="309"/>
    </row>
    <row r="892" spans="1:31" ht="12.75" customHeight="1">
      <c r="A892" s="309"/>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309"/>
      <c r="AE892" s="309"/>
    </row>
    <row r="893" spans="1:31" ht="12.75" customHeight="1">
      <c r="A893" s="309"/>
      <c r="B893" s="30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c r="AA893" s="309"/>
      <c r="AB893" s="309"/>
      <c r="AC893" s="309"/>
      <c r="AD893" s="309"/>
      <c r="AE893" s="309"/>
    </row>
    <row r="894" spans="1:31" ht="12.75" customHeight="1">
      <c r="A894" s="309"/>
      <c r="B894" s="309"/>
      <c r="C894" s="309"/>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c r="AA894" s="309"/>
      <c r="AB894" s="309"/>
      <c r="AC894" s="309"/>
      <c r="AD894" s="309"/>
      <c r="AE894" s="309"/>
    </row>
    <row r="895" spans="1:31" ht="12.75" customHeight="1">
      <c r="A895" s="309"/>
      <c r="B895" s="309"/>
      <c r="C895" s="309"/>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c r="AA895" s="309"/>
      <c r="AB895" s="309"/>
      <c r="AC895" s="309"/>
      <c r="AD895" s="309"/>
      <c r="AE895" s="309"/>
    </row>
    <row r="896" spans="1:31" ht="12.75" customHeight="1">
      <c r="A896" s="309"/>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309"/>
    </row>
    <row r="897" spans="1:31" ht="12.75" customHeight="1">
      <c r="A897" s="309"/>
      <c r="B897" s="309"/>
      <c r="C897" s="309"/>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c r="AA897" s="309"/>
      <c r="AB897" s="309"/>
      <c r="AC897" s="309"/>
      <c r="AD897" s="309"/>
      <c r="AE897" s="309"/>
    </row>
    <row r="898" spans="1:31" ht="12.75" customHeight="1">
      <c r="A898" s="309"/>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309"/>
      <c r="AE898" s="309"/>
    </row>
    <row r="899" spans="1:31" ht="12.75" customHeight="1">
      <c r="A899" s="309"/>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09"/>
      <c r="AD899" s="309"/>
      <c r="AE899" s="309"/>
    </row>
    <row r="900" spans="1:31" ht="12.75" customHeight="1">
      <c r="A900" s="309"/>
      <c r="B900" s="30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c r="AA900" s="309"/>
      <c r="AB900" s="309"/>
      <c r="AC900" s="309"/>
      <c r="AD900" s="309"/>
      <c r="AE900" s="309"/>
    </row>
    <row r="901" spans="1:31" ht="12.75" customHeight="1">
      <c r="A901" s="309"/>
      <c r="B901" s="30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c r="AA901" s="309"/>
      <c r="AB901" s="309"/>
      <c r="AC901" s="309"/>
      <c r="AD901" s="309"/>
      <c r="AE901" s="309"/>
    </row>
    <row r="902" spans="1:31" ht="12.75" customHeight="1">
      <c r="A902" s="309"/>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09"/>
      <c r="AD902" s="309"/>
      <c r="AE902" s="309"/>
    </row>
    <row r="903" spans="1:31" ht="12.75" customHeight="1">
      <c r="A903" s="309"/>
      <c r="B903" s="30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c r="AA903" s="309"/>
      <c r="AB903" s="309"/>
      <c r="AC903" s="309"/>
      <c r="AD903" s="309"/>
      <c r="AE903" s="309"/>
    </row>
    <row r="904" spans="1:31" ht="12.75" customHeight="1">
      <c r="A904" s="309"/>
      <c r="B904" s="309"/>
      <c r="C904" s="309"/>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c r="AA904" s="309"/>
      <c r="AB904" s="309"/>
      <c r="AC904" s="309"/>
      <c r="AD904" s="309"/>
      <c r="AE904" s="309"/>
    </row>
    <row r="905" spans="1:31" ht="12.75" customHeight="1">
      <c r="A905" s="309"/>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309"/>
    </row>
    <row r="906" spans="1:31" ht="12.75" customHeight="1">
      <c r="A906" s="309"/>
      <c r="B906" s="309"/>
      <c r="C906" s="309"/>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c r="AA906" s="309"/>
      <c r="AB906" s="309"/>
      <c r="AC906" s="309"/>
      <c r="AD906" s="309"/>
      <c r="AE906" s="309"/>
    </row>
    <row r="907" spans="1:31" ht="12.75" customHeight="1">
      <c r="A907" s="309"/>
      <c r="B907" s="309"/>
      <c r="C907" s="309"/>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c r="AA907" s="309"/>
      <c r="AB907" s="309"/>
      <c r="AC907" s="309"/>
      <c r="AD907" s="309"/>
      <c r="AE907" s="309"/>
    </row>
    <row r="908" spans="1:31" ht="12.75" customHeight="1">
      <c r="A908" s="309"/>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309"/>
      <c r="AE908" s="309"/>
    </row>
    <row r="909" spans="1:31" ht="12.75" customHeight="1">
      <c r="A909" s="309"/>
      <c r="B909" s="309"/>
      <c r="C909" s="309"/>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c r="AA909" s="309"/>
      <c r="AB909" s="309"/>
      <c r="AC909" s="309"/>
      <c r="AD909" s="309"/>
      <c r="AE909" s="309"/>
    </row>
    <row r="910" spans="1:31" ht="12.75" customHeight="1">
      <c r="A910" s="309"/>
      <c r="B910" s="309"/>
      <c r="C910" s="309"/>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c r="AA910" s="309"/>
      <c r="AB910" s="309"/>
      <c r="AC910" s="309"/>
      <c r="AD910" s="309"/>
      <c r="AE910" s="309"/>
    </row>
    <row r="911" spans="1:31" ht="12.75" customHeight="1">
      <c r="A911" s="309"/>
      <c r="B911" s="309"/>
      <c r="C911" s="309"/>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c r="AA911" s="309"/>
      <c r="AB911" s="309"/>
      <c r="AC911" s="309"/>
      <c r="AD911" s="309"/>
      <c r="AE911" s="309"/>
    </row>
    <row r="912" spans="1:31" ht="12.75" customHeight="1">
      <c r="A912" s="309"/>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c r="AA912" s="309"/>
      <c r="AB912" s="309"/>
      <c r="AC912" s="309"/>
      <c r="AD912" s="309"/>
      <c r="AE912" s="309"/>
    </row>
    <row r="913" spans="1:31" ht="12.75" customHeight="1">
      <c r="A913" s="309"/>
      <c r="B913" s="30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c r="AA913" s="309"/>
      <c r="AB913" s="309"/>
      <c r="AC913" s="309"/>
      <c r="AD913" s="309"/>
      <c r="AE913" s="309"/>
    </row>
    <row r="914" spans="1:31" ht="12.75" customHeight="1">
      <c r="A914" s="309"/>
      <c r="B914" s="30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c r="AA914" s="309"/>
      <c r="AB914" s="309"/>
      <c r="AC914" s="309"/>
      <c r="AD914" s="309"/>
      <c r="AE914" s="309"/>
    </row>
    <row r="915" spans="1:31" ht="12.75" customHeight="1">
      <c r="A915" s="309"/>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c r="AA915" s="309"/>
      <c r="AB915" s="309"/>
      <c r="AC915" s="309"/>
      <c r="AD915" s="309"/>
      <c r="AE915" s="309"/>
    </row>
    <row r="916" spans="1:31" ht="12.75" customHeight="1">
      <c r="A916" s="309"/>
      <c r="B916" s="30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c r="AA916" s="309"/>
      <c r="AB916" s="309"/>
      <c r="AC916" s="309"/>
      <c r="AD916" s="309"/>
      <c r="AE916" s="309"/>
    </row>
    <row r="917" spans="1:31" ht="12.75" customHeight="1">
      <c r="A917" s="309"/>
      <c r="B917" s="30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c r="AA917" s="309"/>
      <c r="AB917" s="309"/>
      <c r="AC917" s="309"/>
      <c r="AD917" s="309"/>
      <c r="AE917" s="309"/>
    </row>
    <row r="918" spans="1:31" ht="12.75" customHeight="1">
      <c r="A918" s="309"/>
      <c r="B918" s="30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c r="AA918" s="309"/>
      <c r="AB918" s="309"/>
      <c r="AC918" s="309"/>
      <c r="AD918" s="309"/>
      <c r="AE918" s="309"/>
    </row>
    <row r="919" spans="1:31" ht="12.75" customHeight="1">
      <c r="A919" s="309"/>
      <c r="B919" s="30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c r="AA919" s="309"/>
      <c r="AB919" s="309"/>
      <c r="AC919" s="309"/>
      <c r="AD919" s="309"/>
      <c r="AE919" s="309"/>
    </row>
    <row r="920" spans="1:31" ht="12.75" customHeight="1">
      <c r="A920" s="309"/>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c r="AA920" s="309"/>
      <c r="AB920" s="309"/>
      <c r="AC920" s="309"/>
      <c r="AD920" s="309"/>
      <c r="AE920" s="309"/>
    </row>
    <row r="921" spans="1:31" ht="12.75" customHeight="1">
      <c r="A921" s="309"/>
      <c r="B921" s="30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c r="AA921" s="309"/>
      <c r="AB921" s="309"/>
      <c r="AC921" s="309"/>
      <c r="AD921" s="309"/>
      <c r="AE921" s="309"/>
    </row>
    <row r="922" spans="1:31" ht="12.75" customHeight="1">
      <c r="A922" s="309"/>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309"/>
      <c r="AE922" s="309"/>
    </row>
    <row r="923" spans="1:31" ht="12.75" customHeight="1">
      <c r="A923" s="309"/>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09"/>
      <c r="AD923" s="309"/>
      <c r="AE923" s="309"/>
    </row>
    <row r="924" spans="1:31" ht="12.75" customHeight="1">
      <c r="A924" s="309"/>
      <c r="B924" s="30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c r="AA924" s="309"/>
      <c r="AB924" s="309"/>
      <c r="AC924" s="309"/>
      <c r="AD924" s="309"/>
      <c r="AE924" s="309"/>
    </row>
    <row r="925" spans="1:31" ht="12.75" customHeight="1">
      <c r="A925" s="309"/>
      <c r="B925" s="30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c r="AA925" s="309"/>
      <c r="AB925" s="309"/>
      <c r="AC925" s="309"/>
      <c r="AD925" s="309"/>
      <c r="AE925" s="309"/>
    </row>
    <row r="926" spans="1:31" ht="12.75" customHeight="1">
      <c r="A926" s="309"/>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c r="AA926" s="309"/>
      <c r="AB926" s="309"/>
      <c r="AC926" s="309"/>
      <c r="AD926" s="309"/>
      <c r="AE926" s="309"/>
    </row>
    <row r="927" spans="1:31" ht="12.75" customHeight="1">
      <c r="A927" s="309"/>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09"/>
      <c r="AD927" s="309"/>
      <c r="AE927" s="309"/>
    </row>
    <row r="928" spans="1:31" ht="12.75" customHeight="1">
      <c r="A928" s="309"/>
      <c r="B928" s="30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c r="AA928" s="309"/>
      <c r="AB928" s="309"/>
      <c r="AC928" s="309"/>
      <c r="AD928" s="309"/>
      <c r="AE928" s="309"/>
    </row>
    <row r="929" spans="1:31" ht="12.75" customHeight="1">
      <c r="A929" s="309"/>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309"/>
      <c r="AE929" s="309"/>
    </row>
    <row r="930" spans="1:31" ht="12.75" customHeight="1">
      <c r="A930" s="309"/>
      <c r="B930" s="30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c r="AA930" s="309"/>
      <c r="AB930" s="309"/>
      <c r="AC930" s="309"/>
      <c r="AD930" s="309"/>
      <c r="AE930" s="309"/>
    </row>
    <row r="931" spans="1:31" ht="12.75" customHeight="1">
      <c r="A931" s="309"/>
      <c r="B931" s="30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c r="AA931" s="309"/>
      <c r="AB931" s="309"/>
      <c r="AC931" s="309"/>
      <c r="AD931" s="309"/>
      <c r="AE931" s="309"/>
    </row>
    <row r="932" spans="1:31" ht="12.75" customHeight="1">
      <c r="A932" s="309"/>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09"/>
      <c r="AD932" s="309"/>
      <c r="AE932" s="309"/>
    </row>
    <row r="933" spans="1:31" ht="12.75" customHeight="1">
      <c r="A933" s="309"/>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309"/>
      <c r="AE933" s="309"/>
    </row>
    <row r="934" spans="1:31" ht="12.75" customHeight="1">
      <c r="A934" s="309"/>
      <c r="B934" s="30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c r="AA934" s="309"/>
      <c r="AB934" s="309"/>
      <c r="AC934" s="309"/>
      <c r="AD934" s="309"/>
      <c r="AE934" s="309"/>
    </row>
    <row r="935" spans="1:31" ht="12.75" customHeight="1">
      <c r="A935" s="309"/>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309"/>
      <c r="AE935" s="309"/>
    </row>
    <row r="936" spans="1:31" ht="12.75" customHeight="1">
      <c r="A936" s="309"/>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09"/>
      <c r="AD936" s="309"/>
      <c r="AE936" s="309"/>
    </row>
    <row r="937" spans="1:31" ht="12.75" customHeight="1">
      <c r="A937" s="309"/>
      <c r="B937" s="30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c r="AA937" s="309"/>
      <c r="AB937" s="309"/>
      <c r="AC937" s="309"/>
      <c r="AD937" s="309"/>
      <c r="AE937" s="309"/>
    </row>
    <row r="938" spans="1:31" ht="12.75" customHeight="1">
      <c r="A938" s="309"/>
      <c r="B938" s="309"/>
      <c r="C938" s="309"/>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c r="AA938" s="309"/>
      <c r="AB938" s="309"/>
      <c r="AC938" s="309"/>
      <c r="AD938" s="309"/>
      <c r="AE938" s="309"/>
    </row>
    <row r="939" spans="1:31" ht="12.75" customHeight="1">
      <c r="A939" s="309"/>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309"/>
    </row>
    <row r="940" spans="1:31" ht="12.75" customHeight="1">
      <c r="A940" s="309"/>
      <c r="B940" s="309"/>
      <c r="C940" s="309"/>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c r="AA940" s="309"/>
      <c r="AB940" s="309"/>
      <c r="AC940" s="309"/>
      <c r="AD940" s="309"/>
      <c r="AE940" s="309"/>
    </row>
    <row r="941" spans="1:31" ht="12.75" customHeight="1">
      <c r="A941" s="309"/>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309"/>
      <c r="AE941" s="309"/>
    </row>
    <row r="942" spans="1:31" ht="12.75" customHeight="1">
      <c r="A942" s="309"/>
      <c r="B942" s="30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c r="AA942" s="309"/>
      <c r="AB942" s="309"/>
      <c r="AC942" s="309"/>
      <c r="AD942" s="309"/>
      <c r="AE942" s="309"/>
    </row>
    <row r="943" spans="1:31" ht="12.75" customHeight="1">
      <c r="A943" s="309"/>
      <c r="B943" s="30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c r="AA943" s="309"/>
      <c r="AB943" s="309"/>
      <c r="AC943" s="309"/>
      <c r="AD943" s="309"/>
      <c r="AE943" s="309"/>
    </row>
    <row r="944" spans="1:31" ht="12.75" customHeight="1">
      <c r="A944" s="309"/>
      <c r="B944" s="30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c r="AA944" s="309"/>
      <c r="AB944" s="309"/>
      <c r="AC944" s="309"/>
      <c r="AD944" s="309"/>
      <c r="AE944" s="309"/>
    </row>
    <row r="945" spans="1:31" ht="12.75" customHeight="1">
      <c r="A945" s="309"/>
      <c r="B945" s="30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c r="AA945" s="309"/>
      <c r="AB945" s="309"/>
      <c r="AC945" s="309"/>
      <c r="AD945" s="309"/>
      <c r="AE945" s="309"/>
    </row>
    <row r="946" spans="1:31" ht="12.75" customHeight="1">
      <c r="A946" s="309"/>
      <c r="B946" s="30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c r="AA946" s="309"/>
      <c r="AB946" s="309"/>
      <c r="AC946" s="309"/>
      <c r="AD946" s="309"/>
      <c r="AE946" s="309"/>
    </row>
    <row r="947" spans="1:31" ht="12.75" customHeight="1">
      <c r="A947" s="309"/>
      <c r="B947" s="309"/>
      <c r="C947" s="309"/>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c r="AA947" s="309"/>
      <c r="AB947" s="309"/>
      <c r="AC947" s="309"/>
      <c r="AD947" s="309"/>
      <c r="AE947" s="309"/>
    </row>
    <row r="948" spans="1:31" ht="12.75" customHeight="1">
      <c r="A948" s="309"/>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309"/>
    </row>
    <row r="949" spans="1:31" ht="12.75" customHeight="1">
      <c r="A949" s="309"/>
      <c r="B949" s="309"/>
      <c r="C949" s="309"/>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c r="AA949" s="309"/>
      <c r="AB949" s="309"/>
      <c r="AC949" s="309"/>
      <c r="AD949" s="309"/>
      <c r="AE949" s="309"/>
    </row>
    <row r="950" spans="1:31" ht="12.75" customHeight="1">
      <c r="A950" s="309"/>
      <c r="B950" s="309"/>
      <c r="C950" s="309"/>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c r="AA950" s="309"/>
      <c r="AB950" s="309"/>
      <c r="AC950" s="309"/>
      <c r="AD950" s="309"/>
      <c r="AE950" s="309"/>
    </row>
    <row r="951" spans="1:31" ht="12.75" customHeight="1">
      <c r="A951" s="309"/>
      <c r="B951" s="30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c r="AA951" s="309"/>
      <c r="AB951" s="309"/>
      <c r="AC951" s="309"/>
      <c r="AD951" s="309"/>
      <c r="AE951" s="309"/>
    </row>
    <row r="952" spans="1:31" ht="12.75" customHeight="1">
      <c r="A952" s="309"/>
      <c r="B952" s="309"/>
      <c r="C952" s="309"/>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c r="AA952" s="309"/>
      <c r="AB952" s="309"/>
      <c r="AC952" s="309"/>
      <c r="AD952" s="309"/>
      <c r="AE952" s="309"/>
    </row>
    <row r="953" spans="1:31" ht="12.75" customHeight="1">
      <c r="A953" s="309"/>
      <c r="B953" s="309"/>
      <c r="C953" s="309"/>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c r="AA953" s="309"/>
      <c r="AB953" s="309"/>
      <c r="AC953" s="309"/>
      <c r="AD953" s="309"/>
      <c r="AE953" s="309"/>
    </row>
    <row r="954" spans="1:31" ht="12.75" customHeight="1">
      <c r="A954" s="309"/>
      <c r="B954" s="309"/>
      <c r="C954" s="309"/>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c r="AA954" s="309"/>
      <c r="AB954" s="309"/>
      <c r="AC954" s="309"/>
      <c r="AD954" s="309"/>
      <c r="AE954" s="309"/>
    </row>
    <row r="955" spans="1:31" ht="12.75" customHeight="1">
      <c r="A955" s="309"/>
      <c r="B955" s="30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c r="AA955" s="309"/>
      <c r="AB955" s="309"/>
      <c r="AC955" s="309"/>
      <c r="AD955" s="309"/>
      <c r="AE955" s="309"/>
    </row>
    <row r="956" spans="1:31" ht="12.75" customHeight="1">
      <c r="A956" s="309"/>
      <c r="B956" s="30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c r="AA956" s="309"/>
      <c r="AB956" s="309"/>
      <c r="AC956" s="309"/>
      <c r="AD956" s="309"/>
      <c r="AE956" s="309"/>
    </row>
    <row r="957" spans="1:31" ht="12.75" customHeight="1">
      <c r="A957" s="309"/>
      <c r="B957" s="30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c r="AB957" s="309"/>
      <c r="AC957" s="309"/>
      <c r="AD957" s="309"/>
      <c r="AE957" s="309"/>
    </row>
    <row r="958" spans="1:31" ht="12.75" customHeight="1">
      <c r="A958" s="309"/>
      <c r="B958" s="30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c r="AA958" s="309"/>
      <c r="AB958" s="309"/>
      <c r="AC958" s="309"/>
      <c r="AD958" s="309"/>
      <c r="AE958" s="309"/>
    </row>
    <row r="959" spans="1:31" ht="12.75" customHeight="1">
      <c r="A959" s="309"/>
      <c r="B959" s="30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c r="AA959" s="309"/>
      <c r="AB959" s="309"/>
      <c r="AC959" s="309"/>
      <c r="AD959" s="309"/>
      <c r="AE959" s="309"/>
    </row>
    <row r="960" spans="1:31" ht="12.75" customHeight="1">
      <c r="A960" s="309"/>
      <c r="B960" s="30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c r="AA960" s="309"/>
      <c r="AB960" s="309"/>
      <c r="AC960" s="309"/>
      <c r="AD960" s="309"/>
      <c r="AE960" s="309"/>
    </row>
    <row r="961" spans="1:31" ht="12.75" customHeight="1">
      <c r="A961" s="309"/>
      <c r="B961" s="30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c r="AA961" s="309"/>
      <c r="AB961" s="309"/>
      <c r="AC961" s="309"/>
      <c r="AD961" s="309"/>
      <c r="AE961" s="309"/>
    </row>
    <row r="962" spans="1:31" ht="12.75" customHeight="1">
      <c r="A962" s="309"/>
      <c r="B962" s="30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c r="AA962" s="309"/>
      <c r="AB962" s="309"/>
      <c r="AC962" s="309"/>
      <c r="AD962" s="309"/>
      <c r="AE962" s="309"/>
    </row>
    <row r="963" spans="1:31" ht="12.75" customHeight="1">
      <c r="A963" s="309"/>
      <c r="B963" s="30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c r="AA963" s="309"/>
      <c r="AB963" s="309"/>
      <c r="AC963" s="309"/>
      <c r="AD963" s="309"/>
      <c r="AE963" s="309"/>
    </row>
    <row r="964" spans="1:31" ht="12.75" customHeight="1">
      <c r="A964" s="309"/>
      <c r="B964" s="30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c r="AA964" s="309"/>
      <c r="AB964" s="309"/>
      <c r="AC964" s="309"/>
      <c r="AD964" s="309"/>
      <c r="AE964" s="309"/>
    </row>
    <row r="965" spans="1:31" ht="12.75" customHeight="1">
      <c r="A965" s="309"/>
      <c r="B965" s="30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c r="AA965" s="309"/>
      <c r="AB965" s="309"/>
      <c r="AC965" s="309"/>
      <c r="AD965" s="309"/>
      <c r="AE965" s="309"/>
    </row>
    <row r="966" spans="1:31" ht="12.75" customHeight="1">
      <c r="A966" s="309"/>
      <c r="B966" s="30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c r="AA966" s="309"/>
      <c r="AB966" s="309"/>
      <c r="AC966" s="309"/>
      <c r="AD966" s="309"/>
      <c r="AE966" s="309"/>
    </row>
    <row r="967" spans="1:31" ht="12.75" customHeight="1">
      <c r="A967" s="309"/>
      <c r="B967" s="30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c r="AA967" s="309"/>
      <c r="AB967" s="309"/>
      <c r="AC967" s="309"/>
      <c r="AD967" s="309"/>
      <c r="AE967" s="309"/>
    </row>
    <row r="968" spans="1:31" ht="12.75" customHeight="1">
      <c r="A968" s="309"/>
      <c r="B968" s="30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c r="AA968" s="309"/>
      <c r="AB968" s="309"/>
      <c r="AC968" s="309"/>
      <c r="AD968" s="309"/>
      <c r="AE968" s="309"/>
    </row>
    <row r="969" spans="1:31" ht="12.75" customHeight="1">
      <c r="A969" s="309"/>
      <c r="B969" s="30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c r="AA969" s="309"/>
      <c r="AB969" s="309"/>
      <c r="AC969" s="309"/>
      <c r="AD969" s="309"/>
      <c r="AE969" s="309"/>
    </row>
    <row r="970" spans="1:31" ht="12.75" customHeight="1">
      <c r="A970" s="309"/>
      <c r="B970" s="30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c r="AA970" s="309"/>
      <c r="AB970" s="309"/>
      <c r="AC970" s="309"/>
      <c r="AD970" s="309"/>
      <c r="AE970" s="309"/>
    </row>
    <row r="971" spans="1:31" ht="12.75" customHeight="1">
      <c r="A971" s="309"/>
      <c r="B971" s="30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c r="AA971" s="309"/>
      <c r="AB971" s="309"/>
      <c r="AC971" s="309"/>
      <c r="AD971" s="309"/>
      <c r="AE971" s="309"/>
    </row>
    <row r="972" spans="1:31" ht="12.75" customHeight="1">
      <c r="A972" s="309"/>
      <c r="B972" s="30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c r="AA972" s="309"/>
      <c r="AB972" s="309"/>
      <c r="AC972" s="309"/>
      <c r="AD972" s="309"/>
      <c r="AE972" s="309"/>
    </row>
    <row r="973" spans="1:31" ht="12.75" customHeight="1">
      <c r="A973" s="309"/>
      <c r="B973" s="30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c r="AA973" s="309"/>
      <c r="AB973" s="309"/>
      <c r="AC973" s="309"/>
      <c r="AD973" s="309"/>
      <c r="AE973" s="309"/>
    </row>
    <row r="974" spans="1:31" ht="12.75" customHeight="1">
      <c r="A974" s="309"/>
      <c r="B974" s="30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c r="AA974" s="309"/>
      <c r="AB974" s="309"/>
      <c r="AC974" s="309"/>
      <c r="AD974" s="309"/>
      <c r="AE974" s="309"/>
    </row>
    <row r="975" spans="1:31" ht="12.75" customHeight="1">
      <c r="A975" s="309"/>
      <c r="B975" s="30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c r="AA975" s="309"/>
      <c r="AB975" s="309"/>
      <c r="AC975" s="309"/>
      <c r="AD975" s="309"/>
      <c r="AE975" s="309"/>
    </row>
    <row r="976" spans="1:31" ht="12.75" customHeight="1">
      <c r="A976" s="309"/>
      <c r="B976" s="30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c r="AA976" s="309"/>
      <c r="AB976" s="309"/>
      <c r="AC976" s="309"/>
      <c r="AD976" s="309"/>
      <c r="AE976" s="309"/>
    </row>
    <row r="977" spans="1:31" ht="12.75" customHeight="1">
      <c r="A977" s="309"/>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09"/>
      <c r="AD977" s="309"/>
      <c r="AE977" s="309"/>
    </row>
    <row r="978" spans="1:31" ht="12.75" customHeight="1">
      <c r="A978" s="309"/>
      <c r="B978" s="30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c r="AA978" s="309"/>
      <c r="AB978" s="309"/>
      <c r="AC978" s="309"/>
      <c r="AD978" s="309"/>
      <c r="AE978" s="309"/>
    </row>
    <row r="979" spans="1:31" ht="12.75" customHeight="1">
      <c r="A979" s="309"/>
      <c r="B979" s="30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c r="AA979" s="309"/>
      <c r="AB979" s="309"/>
      <c r="AC979" s="309"/>
      <c r="AD979" s="309"/>
      <c r="AE979" s="309"/>
    </row>
    <row r="980" spans="1:31" ht="12.75" customHeight="1">
      <c r="A980" s="309"/>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09"/>
      <c r="AD980" s="309"/>
      <c r="AE980" s="309"/>
    </row>
    <row r="981" spans="1:31" ht="12.75" customHeight="1">
      <c r="A981" s="309"/>
      <c r="B981" s="30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c r="AA981" s="309"/>
      <c r="AB981" s="309"/>
      <c r="AC981" s="309"/>
      <c r="AD981" s="309"/>
      <c r="AE981" s="309"/>
    </row>
    <row r="982" spans="1:31" ht="12.75" customHeight="1">
      <c r="A982" s="309"/>
      <c r="B982" s="30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c r="AA982" s="309"/>
      <c r="AB982" s="309"/>
      <c r="AC982" s="309"/>
      <c r="AD982" s="309"/>
      <c r="AE982" s="309"/>
    </row>
    <row r="983" spans="1:31" ht="12.75" customHeight="1">
      <c r="A983" s="309"/>
      <c r="B983" s="30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c r="AA983" s="309"/>
      <c r="AB983" s="309"/>
      <c r="AC983" s="309"/>
      <c r="AD983" s="309"/>
      <c r="AE983" s="309"/>
    </row>
    <row r="984" spans="1:31" ht="12.75" customHeight="1">
      <c r="A984" s="309"/>
      <c r="B984" s="30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c r="AA984" s="309"/>
      <c r="AB984" s="309"/>
      <c r="AC984" s="309"/>
      <c r="AD984" s="309"/>
      <c r="AE984" s="309"/>
    </row>
    <row r="985" spans="1:31" ht="12.75" customHeight="1">
      <c r="A985" s="309"/>
      <c r="B985" s="30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c r="AA985" s="309"/>
      <c r="AB985" s="309"/>
      <c r="AC985" s="309"/>
      <c r="AD985" s="309"/>
      <c r="AE985" s="309"/>
    </row>
    <row r="986" spans="1:31" ht="12.75" customHeight="1">
      <c r="A986" s="309"/>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09"/>
      <c r="AD986" s="309"/>
      <c r="AE986" s="309"/>
    </row>
    <row r="987" spans="1:31" ht="12.75" customHeight="1">
      <c r="A987" s="309"/>
      <c r="B987" s="30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c r="AA987" s="309"/>
      <c r="AB987" s="309"/>
      <c r="AC987" s="309"/>
      <c r="AD987" s="309"/>
      <c r="AE987" s="309"/>
    </row>
    <row r="988" spans="1:31" ht="12.75" customHeight="1">
      <c r="A988" s="309"/>
      <c r="B988" s="30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c r="AA988" s="309"/>
      <c r="AB988" s="309"/>
      <c r="AC988" s="309"/>
      <c r="AD988" s="309"/>
      <c r="AE988" s="309"/>
    </row>
    <row r="989" spans="1:31" ht="12.75" customHeight="1">
      <c r="A989" s="309"/>
      <c r="B989" s="30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c r="AA989" s="309"/>
      <c r="AB989" s="309"/>
      <c r="AC989" s="309"/>
      <c r="AD989" s="309"/>
      <c r="AE989" s="309"/>
    </row>
    <row r="990" spans="1:31" ht="12.75" customHeight="1">
      <c r="A990" s="309"/>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c r="AA990" s="309"/>
      <c r="AB990" s="309"/>
      <c r="AC990" s="309"/>
      <c r="AD990" s="309"/>
      <c r="AE990" s="309"/>
    </row>
    <row r="991" spans="1:31" ht="12.75" customHeight="1">
      <c r="A991" s="309"/>
      <c r="B991" s="30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c r="AA991" s="309"/>
      <c r="AB991" s="309"/>
      <c r="AC991" s="309"/>
      <c r="AD991" s="309"/>
      <c r="AE991" s="309"/>
    </row>
    <row r="992" spans="1:31" ht="12.75" customHeight="1">
      <c r="A992" s="309"/>
      <c r="B992" s="30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c r="AA992" s="309"/>
      <c r="AB992" s="309"/>
      <c r="AC992" s="309"/>
      <c r="AD992" s="309"/>
      <c r="AE992" s="309"/>
    </row>
    <row r="993" spans="1:31" ht="12.75" customHeight="1">
      <c r="A993" s="309"/>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c r="AA993" s="309"/>
      <c r="AB993" s="309"/>
      <c r="AC993" s="309"/>
      <c r="AD993" s="309"/>
      <c r="AE993" s="309"/>
    </row>
    <row r="994" spans="1:31" ht="12.75" customHeight="1">
      <c r="A994" s="309"/>
      <c r="B994" s="30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c r="AA994" s="309"/>
      <c r="AB994" s="309"/>
      <c r="AC994" s="309"/>
      <c r="AD994" s="309"/>
      <c r="AE994" s="309"/>
    </row>
    <row r="995" spans="1:31" ht="12.75" customHeight="1">
      <c r="A995" s="309"/>
      <c r="B995" s="30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c r="AA995" s="309"/>
      <c r="AB995" s="309"/>
      <c r="AC995" s="309"/>
      <c r="AD995" s="309"/>
      <c r="AE995" s="309"/>
    </row>
    <row r="996" spans="1:31" ht="12.75" customHeight="1">
      <c r="A996" s="309"/>
      <c r="B996" s="30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c r="AA996" s="309"/>
      <c r="AB996" s="309"/>
      <c r="AC996" s="309"/>
      <c r="AD996" s="309"/>
      <c r="AE996" s="309"/>
    </row>
    <row r="997" spans="1:31" ht="12.75" customHeight="1">
      <c r="A997" s="309"/>
      <c r="B997" s="30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c r="AA997" s="309"/>
      <c r="AB997" s="309"/>
      <c r="AC997" s="309"/>
      <c r="AD997" s="309"/>
      <c r="AE997" s="309"/>
    </row>
    <row r="998" spans="1:31" ht="12.75" customHeight="1">
      <c r="A998" s="309"/>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c r="AA998" s="309"/>
      <c r="AB998" s="309"/>
      <c r="AC998" s="309"/>
      <c r="AD998" s="309"/>
      <c r="AE998" s="309"/>
    </row>
    <row r="999" spans="1:31" ht="12.75" customHeight="1">
      <c r="A999" s="309"/>
      <c r="B999" s="309"/>
      <c r="C999" s="309"/>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c r="AA999" s="309"/>
      <c r="AB999" s="309"/>
      <c r="AC999" s="309"/>
      <c r="AD999" s="309"/>
      <c r="AE999" s="309"/>
    </row>
    <row r="1000" spans="1:31" ht="12.75" customHeight="1">
      <c r="A1000" s="309"/>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09"/>
      <c r="AD1000" s="309"/>
      <c r="AE1000" s="309"/>
    </row>
  </sheetData>
  <mergeCells count="8">
    <mergeCell ref="C6:F6"/>
    <mergeCell ref="H6:K6"/>
    <mergeCell ref="A1:AD1"/>
    <mergeCell ref="A2:AD2"/>
    <mergeCell ref="A3:AD3"/>
    <mergeCell ref="N5:O5"/>
    <mergeCell ref="R5:AD5"/>
    <mergeCell ref="C5:L5"/>
  </mergeCells>
  <conditionalFormatting sqref="N8:N19 N21:N37">
    <cfRule type="cellIs" dxfId="474" priority="1" stopIfTrue="1" operator="greaterThan">
      <formula>$N$45</formula>
    </cfRule>
    <cfRule type="cellIs" dxfId="473" priority="2" stopIfTrue="1" operator="lessThanOrEqual">
      <formula>$N$45</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D3BCF-D015-4C79-B18A-8A024EE899AF}">
  <sheetPr>
    <tabColor rgb="FF92D050"/>
  </sheetPr>
  <dimension ref="A1:AD1013"/>
  <sheetViews>
    <sheetView topLeftCell="A57" workbookViewId="0">
      <selection activeCell="N13" sqref="N13"/>
    </sheetView>
  </sheetViews>
  <sheetFormatPr defaultColWidth="14.28515625" defaultRowHeight="15" customHeight="1"/>
  <cols>
    <col min="1" max="1" width="2.7109375" bestFit="1" customWidth="1"/>
    <col min="2" max="2" width="50.7109375" customWidth="1"/>
    <col min="3" max="3" width="6.28515625" bestFit="1" customWidth="1"/>
    <col min="4" max="4" width="7" customWidth="1"/>
    <col min="5" max="5" width="12.140625" customWidth="1"/>
    <col min="6" max="6" width="18" customWidth="1"/>
    <col min="7" max="7" width="14.28515625" customWidth="1"/>
    <col min="8" max="8" width="11.28515625" customWidth="1"/>
    <col min="9" max="9" width="10.7109375" customWidth="1"/>
    <col min="10" max="10" width="10.28515625" customWidth="1"/>
    <col min="11" max="11" width="15.7109375" customWidth="1"/>
    <col min="12" max="12" width="13.28515625" customWidth="1"/>
    <col min="13" max="13" width="10.7109375" customWidth="1"/>
    <col min="14" max="14" width="9.7109375" bestFit="1" customWidth="1"/>
    <col min="15" max="15" width="10" bestFit="1" customWidth="1"/>
    <col min="16" max="16" width="10" customWidth="1"/>
    <col min="17" max="17" width="12.28515625" bestFit="1" customWidth="1"/>
    <col min="18" max="18" width="9.28515625" customWidth="1"/>
    <col min="19" max="19" width="8.28515625" customWidth="1"/>
    <col min="20" max="20" width="12.28515625" customWidth="1"/>
    <col min="21" max="21" width="31.28515625" customWidth="1"/>
    <col min="22" max="22" width="14.28515625" customWidth="1"/>
    <col min="23" max="23" width="7.28515625" customWidth="1"/>
    <col min="24" max="24" width="9.28515625" customWidth="1"/>
    <col min="25" max="25" width="10" bestFit="1" customWidth="1"/>
    <col min="26" max="26" width="11" bestFit="1" customWidth="1"/>
    <col min="27" max="29" width="9.28515625" customWidth="1"/>
  </cols>
  <sheetData>
    <row r="1" spans="1:30" ht="20.25" customHeight="1">
      <c r="A1" s="359"/>
      <c r="B1" s="2034" t="s">
        <v>0</v>
      </c>
      <c r="C1" s="1985"/>
      <c r="D1" s="1985"/>
      <c r="E1" s="1985"/>
      <c r="F1" s="1985"/>
      <c r="G1" s="1985"/>
      <c r="H1" s="1985"/>
      <c r="I1" s="1985"/>
      <c r="J1" s="1985"/>
      <c r="K1" s="1985"/>
      <c r="L1" s="1985"/>
      <c r="M1" s="1985"/>
      <c r="N1" s="1985"/>
      <c r="O1" s="1985"/>
      <c r="P1" s="1985"/>
      <c r="Q1" s="1985"/>
      <c r="R1" s="1637"/>
      <c r="S1" s="1638"/>
      <c r="T1" s="1639"/>
      <c r="U1" s="1639"/>
      <c r="V1" s="1639"/>
      <c r="W1" s="1640"/>
      <c r="X1" s="5"/>
      <c r="Y1" s="5"/>
      <c r="Z1" s="5"/>
      <c r="AA1" s="5"/>
      <c r="AB1" s="5"/>
      <c r="AC1" s="5"/>
    </row>
    <row r="2" spans="1:30" ht="14.25" customHeight="1">
      <c r="A2" s="359"/>
      <c r="B2" s="2035" t="s">
        <v>712</v>
      </c>
      <c r="C2" s="1985"/>
      <c r="D2" s="1985"/>
      <c r="E2" s="1985"/>
      <c r="F2" s="1985"/>
      <c r="G2" s="1985"/>
      <c r="H2" s="1985"/>
      <c r="I2" s="1985"/>
      <c r="J2" s="1985"/>
      <c r="K2" s="1985"/>
      <c r="L2" s="1985"/>
      <c r="M2" s="1985"/>
      <c r="N2" s="1985"/>
      <c r="O2" s="1985"/>
      <c r="P2" s="1985"/>
      <c r="Q2" s="1985"/>
      <c r="R2" s="1641"/>
      <c r="S2" s="1642"/>
      <c r="T2" s="1324"/>
      <c r="U2" s="1324"/>
      <c r="V2" s="1324"/>
      <c r="W2" s="1643"/>
      <c r="X2" s="5"/>
      <c r="Y2" s="5"/>
      <c r="Z2" s="5"/>
      <c r="AA2" s="5"/>
      <c r="AB2" s="5"/>
      <c r="AC2" s="5"/>
    </row>
    <row r="3" spans="1:30" ht="12.75" customHeight="1">
      <c r="A3" s="359"/>
      <c r="B3" s="2036"/>
      <c r="C3" s="1985"/>
      <c r="D3" s="1985"/>
      <c r="E3" s="1985"/>
      <c r="F3" s="1985"/>
      <c r="G3" s="1985"/>
      <c r="H3" s="1985"/>
      <c r="I3" s="1985"/>
      <c r="J3" s="1985"/>
      <c r="K3" s="1985"/>
      <c r="L3" s="1985"/>
      <c r="M3" s="1985"/>
      <c r="N3" s="1985"/>
      <c r="O3" s="1985"/>
      <c r="P3" s="1985"/>
      <c r="Q3" s="1985"/>
      <c r="R3" s="1641"/>
      <c r="S3" s="1642"/>
      <c r="T3" s="1644"/>
      <c r="U3" s="1644"/>
      <c r="V3" s="1644"/>
      <c r="W3" s="1643"/>
      <c r="X3" s="5"/>
      <c r="Y3" s="5"/>
      <c r="Z3" s="5"/>
      <c r="AA3" s="5"/>
      <c r="AB3" s="5"/>
      <c r="AC3" s="5"/>
    </row>
    <row r="4" spans="1:30" ht="12.75" customHeight="1">
      <c r="A4" s="359"/>
      <c r="B4" s="1645"/>
      <c r="C4" s="1645"/>
      <c r="D4" s="1645"/>
      <c r="E4" s="1645"/>
      <c r="F4" s="1645"/>
      <c r="G4" s="1645"/>
      <c r="H4" s="1645"/>
      <c r="I4" s="1645"/>
      <c r="J4" s="1646"/>
      <c r="K4" s="1645"/>
      <c r="L4" s="1645"/>
      <c r="M4" s="1645"/>
      <c r="N4" s="1645"/>
      <c r="O4" s="1645"/>
      <c r="P4" s="1645"/>
      <c r="Q4" s="1645"/>
      <c r="R4" s="1647"/>
      <c r="S4" s="1648"/>
      <c r="T4" s="1649"/>
      <c r="U4" s="1649"/>
      <c r="V4" s="1649"/>
      <c r="W4" s="1290"/>
      <c r="X4" s="5"/>
      <c r="Y4" s="5"/>
      <c r="Z4" s="5"/>
      <c r="AA4" s="5"/>
      <c r="AB4" s="5"/>
      <c r="AC4" s="5"/>
    </row>
    <row r="5" spans="1:30" ht="12.75" customHeight="1" thickBot="1">
      <c r="A5" s="1636"/>
      <c r="B5" s="1636"/>
      <c r="C5" s="1650"/>
      <c r="D5" s="2037" t="s">
        <v>3</v>
      </c>
      <c r="E5" s="1989"/>
      <c r="F5" s="1989"/>
      <c r="G5" s="1989"/>
      <c r="H5" s="1989"/>
      <c r="I5" s="1989"/>
      <c r="J5" s="1989"/>
      <c r="K5" s="1989"/>
      <c r="L5" s="1989"/>
      <c r="M5" s="2038"/>
      <c r="N5" s="2025"/>
      <c r="O5" s="456"/>
      <c r="P5" s="456"/>
      <c r="Q5" s="1651"/>
      <c r="R5" s="1652"/>
      <c r="S5" s="1653"/>
      <c r="T5" s="359"/>
      <c r="U5" s="359"/>
      <c r="V5" s="359"/>
      <c r="W5" s="360"/>
      <c r="X5" s="5"/>
      <c r="Y5" s="5"/>
      <c r="Z5" s="5"/>
      <c r="AA5" s="5"/>
      <c r="AB5" s="5"/>
      <c r="AC5" s="5"/>
    </row>
    <row r="6" spans="1:30" ht="12.75" customHeight="1">
      <c r="A6" s="1654"/>
      <c r="B6" s="1655"/>
      <c r="C6" s="1656"/>
      <c r="D6" s="2032">
        <v>44561</v>
      </c>
      <c r="E6" s="1981"/>
      <c r="F6" s="1981"/>
      <c r="G6" s="1981"/>
      <c r="H6" s="1657"/>
      <c r="I6" s="2033">
        <v>44926</v>
      </c>
      <c r="J6" s="1981"/>
      <c r="K6" s="1981"/>
      <c r="L6" s="1981"/>
      <c r="M6" s="1277" t="s">
        <v>713</v>
      </c>
      <c r="N6" s="1308" t="s">
        <v>6</v>
      </c>
      <c r="O6" s="1308" t="s">
        <v>714</v>
      </c>
      <c r="P6" s="1308" t="s">
        <v>715</v>
      </c>
      <c r="Q6" s="1308" t="s">
        <v>716</v>
      </c>
      <c r="R6" s="2028" t="s">
        <v>375</v>
      </c>
      <c r="S6" s="2029"/>
      <c r="T6" s="1658"/>
      <c r="U6" s="350"/>
      <c r="V6" s="358"/>
      <c r="W6" s="5"/>
      <c r="X6" s="5"/>
      <c r="Y6" s="5"/>
      <c r="Z6" s="5"/>
      <c r="AA6" s="5"/>
      <c r="AB6" s="5"/>
    </row>
    <row r="7" spans="1:30" ht="12.75" customHeight="1" thickBot="1">
      <c r="A7" s="1659"/>
      <c r="B7" s="1660" t="s">
        <v>7</v>
      </c>
      <c r="C7" s="1661" t="s">
        <v>8</v>
      </c>
      <c r="D7" s="1662" t="s">
        <v>9</v>
      </c>
      <c r="E7" s="1663" t="s">
        <v>10</v>
      </c>
      <c r="F7" s="1663" t="s">
        <v>11</v>
      </c>
      <c r="G7" s="1663" t="s">
        <v>12</v>
      </c>
      <c r="H7" s="1663"/>
      <c r="I7" s="1663" t="s">
        <v>9</v>
      </c>
      <c r="J7" s="1663" t="s">
        <v>10</v>
      </c>
      <c r="K7" s="1664" t="s">
        <v>11</v>
      </c>
      <c r="L7" s="1665" t="s">
        <v>12</v>
      </c>
      <c r="M7" s="1662" t="s">
        <v>15</v>
      </c>
      <c r="N7" s="1665" t="s">
        <v>15</v>
      </c>
      <c r="O7" s="1665" t="s">
        <v>717</v>
      </c>
      <c r="P7" s="1665" t="s">
        <v>714</v>
      </c>
      <c r="Q7" s="1665" t="s">
        <v>718</v>
      </c>
      <c r="R7" s="2030" t="s">
        <v>719</v>
      </c>
      <c r="S7" s="2031"/>
      <c r="T7" s="1658"/>
      <c r="U7" s="361"/>
      <c r="V7" s="358"/>
      <c r="W7" s="431"/>
      <c r="X7" s="431"/>
      <c r="Y7" s="431"/>
      <c r="Z7" s="431"/>
      <c r="AA7" s="431"/>
      <c r="AB7" s="431"/>
      <c r="AC7" s="431"/>
      <c r="AD7" s="431"/>
    </row>
    <row r="8" spans="1:30" ht="12.75" customHeight="1">
      <c r="A8" s="1666"/>
      <c r="B8" s="1655" t="s">
        <v>360</v>
      </c>
      <c r="C8" s="1667"/>
      <c r="D8" s="1277"/>
      <c r="E8" s="71"/>
      <c r="F8" s="71"/>
      <c r="G8" s="71"/>
      <c r="H8" s="71"/>
      <c r="I8" s="1306"/>
      <c r="J8" s="1306"/>
      <c r="K8" s="1307"/>
      <c r="L8" s="1308"/>
      <c r="M8" s="378"/>
      <c r="N8" s="1236"/>
      <c r="O8" s="1668"/>
      <c r="P8" s="1719"/>
      <c r="Q8" s="1669"/>
      <c r="R8" s="1670"/>
      <c r="S8" s="1620"/>
      <c r="T8" s="361"/>
      <c r="U8" s="361"/>
      <c r="V8" s="358"/>
      <c r="W8" s="431"/>
      <c r="X8" s="431"/>
      <c r="Y8" s="431"/>
      <c r="Z8" s="431"/>
      <c r="AA8" s="431"/>
      <c r="AB8" s="431"/>
      <c r="AC8" s="431"/>
      <c r="AD8" s="431"/>
    </row>
    <row r="9" spans="1:30" ht="12.75" customHeight="1">
      <c r="A9" s="1671">
        <v>1</v>
      </c>
      <c r="B9" s="374" t="s">
        <v>230</v>
      </c>
      <c r="C9" s="375" t="s">
        <v>231</v>
      </c>
      <c r="D9" s="351">
        <v>19</v>
      </c>
      <c r="E9" s="350">
        <v>177.63</v>
      </c>
      <c r="F9" s="352">
        <f>D9*E9</f>
        <v>3374.97</v>
      </c>
      <c r="G9" s="357">
        <f t="shared" ref="G9:G14" si="0">F9/$F$85</f>
        <v>1.0415600344029564E-2</v>
      </c>
      <c r="H9" s="351"/>
      <c r="I9" s="351">
        <v>19</v>
      </c>
      <c r="J9" s="350">
        <v>119.92</v>
      </c>
      <c r="K9" s="352">
        <f>I9*J9</f>
        <v>2278.48</v>
      </c>
      <c r="L9" s="353">
        <f>K9/$K$85</f>
        <v>7.9813727801447912E-3</v>
      </c>
      <c r="M9" s="355">
        <v>-0.2913359229859821</v>
      </c>
      <c r="N9" s="356">
        <f>(K9-O9)/O9</f>
        <v>0.53117481821969548</v>
      </c>
      <c r="O9" s="1495">
        <v>1488.06</v>
      </c>
      <c r="P9" s="1720">
        <v>78.319999999999993</v>
      </c>
      <c r="Q9" s="1582">
        <v>39527</v>
      </c>
      <c r="R9" s="351" t="str">
        <f t="shared" ref="R9:R52" si="1">DATEDIF(Q9,$I$6,"y")&amp;" years"</f>
        <v>14 years</v>
      </c>
      <c r="S9" s="891" t="str">
        <f t="shared" ref="S9:S52" si="2">DATEDIF(Q9,$I$6,"ym")&amp;" months"</f>
        <v>9 months</v>
      </c>
      <c r="T9" s="1672"/>
      <c r="U9" s="361"/>
      <c r="V9" s="358"/>
      <c r="W9" s="431"/>
      <c r="X9" s="431"/>
      <c r="Y9" s="431"/>
      <c r="Z9" s="431"/>
      <c r="AA9" s="431"/>
      <c r="AB9" s="431"/>
      <c r="AC9" s="431"/>
      <c r="AD9" s="431"/>
    </row>
    <row r="10" spans="1:30" ht="12.75" customHeight="1">
      <c r="A10" s="1671">
        <f>1+A9</f>
        <v>2</v>
      </c>
      <c r="B10" s="374" t="s">
        <v>673</v>
      </c>
      <c r="C10" s="375" t="s">
        <v>362</v>
      </c>
      <c r="D10" s="351">
        <v>37</v>
      </c>
      <c r="E10" s="350">
        <v>135.4</v>
      </c>
      <c r="F10" s="352">
        <f t="shared" ref="F10:F52" si="3">D10*E10</f>
        <v>5009.8</v>
      </c>
      <c r="G10" s="357">
        <f t="shared" si="0"/>
        <v>1.5460900275711877E-2</v>
      </c>
      <c r="H10" s="351"/>
      <c r="I10" s="351">
        <v>37</v>
      </c>
      <c r="J10" s="350">
        <v>161.61000000000001</v>
      </c>
      <c r="K10" s="352">
        <f t="shared" ref="K10:K52" si="4">I10*J10</f>
        <v>5979.5700000000006</v>
      </c>
      <c r="L10" s="353">
        <f t="shared" ref="L10:L52" si="5">K10/$K$85</f>
        <v>2.0946059318041148E-2</v>
      </c>
      <c r="M10" s="355">
        <v>0.23522895125553928</v>
      </c>
      <c r="N10" s="356">
        <f t="shared" ref="N10:N19" si="6">(K10-O10)/O10</f>
        <v>0.46731432721990218</v>
      </c>
      <c r="O10" s="1495">
        <v>4075.18</v>
      </c>
      <c r="P10" s="1720">
        <v>110.14</v>
      </c>
      <c r="Q10" s="1582">
        <v>44474</v>
      </c>
      <c r="R10" s="351" t="str">
        <f t="shared" si="1"/>
        <v>1 years</v>
      </c>
      <c r="S10" s="891" t="str">
        <f t="shared" si="2"/>
        <v>2 months</v>
      </c>
      <c r="T10" s="1672"/>
      <c r="U10" s="361"/>
      <c r="V10" s="358"/>
      <c r="W10" s="431"/>
      <c r="X10" s="431"/>
      <c r="Y10" s="431"/>
      <c r="Z10" s="431"/>
      <c r="AA10" s="431"/>
      <c r="AB10" s="431"/>
      <c r="AC10" s="431"/>
      <c r="AD10" s="431"/>
    </row>
    <row r="11" spans="1:30" ht="12.75" customHeight="1">
      <c r="A11" s="1671">
        <f t="shared" ref="A11:A52" si="7">1+A10</f>
        <v>3</v>
      </c>
      <c r="B11" s="374" t="s">
        <v>395</v>
      </c>
      <c r="C11" s="375" t="s">
        <v>396</v>
      </c>
      <c r="D11" s="351">
        <v>40</v>
      </c>
      <c r="E11" s="350">
        <v>414.55</v>
      </c>
      <c r="F11" s="352">
        <f t="shared" si="3"/>
        <v>16582</v>
      </c>
      <c r="G11" s="357">
        <f t="shared" si="0"/>
        <v>5.1174228187124103E-2</v>
      </c>
      <c r="H11" s="351"/>
      <c r="I11" s="351">
        <v>40</v>
      </c>
      <c r="J11" s="350">
        <v>266.83999999999997</v>
      </c>
      <c r="K11" s="352">
        <f t="shared" si="4"/>
        <v>10673.599999999999</v>
      </c>
      <c r="L11" s="353">
        <f t="shared" si="5"/>
        <v>3.7388952506124014E-2</v>
      </c>
      <c r="M11" s="355">
        <v>-0.34659269086961769</v>
      </c>
      <c r="N11" s="356">
        <f t="shared" si="6"/>
        <v>2.3442892100802415</v>
      </c>
      <c r="O11" s="1495">
        <v>3191.59</v>
      </c>
      <c r="P11" s="1720">
        <v>79.790000000000006</v>
      </c>
      <c r="Q11" s="1582">
        <v>41745</v>
      </c>
      <c r="R11" s="351" t="str">
        <f t="shared" si="1"/>
        <v>8 years</v>
      </c>
      <c r="S11" s="891" t="str">
        <f t="shared" si="2"/>
        <v>8 months</v>
      </c>
      <c r="T11" s="1672"/>
      <c r="U11" s="361"/>
      <c r="V11" s="358"/>
      <c r="W11" s="431"/>
      <c r="X11" s="431"/>
      <c r="Y11" s="431"/>
      <c r="Z11" s="431"/>
      <c r="AA11" s="431"/>
      <c r="AB11" s="431"/>
      <c r="AC11" s="431"/>
      <c r="AD11" s="431"/>
    </row>
    <row r="12" spans="1:30" ht="12.75" customHeight="1">
      <c r="A12" s="1671">
        <f t="shared" si="7"/>
        <v>4</v>
      </c>
      <c r="B12" s="374" t="s">
        <v>674</v>
      </c>
      <c r="C12" s="375" t="s">
        <v>675</v>
      </c>
      <c r="D12" s="351">
        <v>3</v>
      </c>
      <c r="E12" s="350">
        <v>2893.59</v>
      </c>
      <c r="F12" s="352">
        <f t="shared" si="3"/>
        <v>8680.77</v>
      </c>
      <c r="G12" s="357">
        <f t="shared" si="0"/>
        <v>2.6789995466164597E-2</v>
      </c>
      <c r="H12" s="351"/>
      <c r="I12" s="351">
        <v>60</v>
      </c>
      <c r="J12" s="350">
        <v>88.73</v>
      </c>
      <c r="K12" s="352">
        <f t="shared" si="4"/>
        <v>5323.8</v>
      </c>
      <c r="L12" s="353">
        <f t="shared" si="5"/>
        <v>1.8648938067016101E-2</v>
      </c>
      <c r="M12" s="355">
        <v>-0.38671339063239785</v>
      </c>
      <c r="N12" s="356">
        <f t="shared" si="6"/>
        <v>-0.40574497866897058</v>
      </c>
      <c r="O12" s="1495">
        <v>8958.7800000000007</v>
      </c>
      <c r="P12" s="1720">
        <v>149.31</v>
      </c>
      <c r="Q12" s="1582">
        <v>44517</v>
      </c>
      <c r="R12" s="351" t="str">
        <f t="shared" si="1"/>
        <v>1 years</v>
      </c>
      <c r="S12" s="891" t="str">
        <f t="shared" si="2"/>
        <v>1 months</v>
      </c>
      <c r="T12" s="1672"/>
      <c r="U12" s="361"/>
      <c r="V12" s="358"/>
      <c r="W12" s="431"/>
      <c r="X12" s="431"/>
      <c r="Y12" s="431"/>
      <c r="Z12" s="431"/>
      <c r="AA12" s="431"/>
      <c r="AB12" s="431"/>
      <c r="AC12" s="431"/>
      <c r="AD12" s="431"/>
    </row>
    <row r="13" spans="1:30" ht="12.75" customHeight="1">
      <c r="A13" s="1671">
        <f t="shared" si="7"/>
        <v>5</v>
      </c>
      <c r="B13" s="374" t="s">
        <v>539</v>
      </c>
      <c r="C13" s="375" t="s">
        <v>540</v>
      </c>
      <c r="D13" s="351">
        <v>5</v>
      </c>
      <c r="E13" s="350">
        <v>3334.34</v>
      </c>
      <c r="F13" s="352">
        <f t="shared" si="3"/>
        <v>16671.7</v>
      </c>
      <c r="G13" s="357">
        <f t="shared" si="0"/>
        <v>5.1451054159165177E-2</v>
      </c>
      <c r="H13" s="351"/>
      <c r="I13" s="351">
        <v>100</v>
      </c>
      <c r="J13" s="350">
        <v>84</v>
      </c>
      <c r="K13" s="352">
        <f t="shared" si="4"/>
        <v>8400</v>
      </c>
      <c r="L13" s="353">
        <f t="shared" si="5"/>
        <v>2.9424674060433382E-2</v>
      </c>
      <c r="M13" s="355">
        <v>-0.49615216204706181</v>
      </c>
      <c r="N13" s="356">
        <f t="shared" si="6"/>
        <v>1.7173297706120785</v>
      </c>
      <c r="O13" s="1495">
        <v>3091.27</v>
      </c>
      <c r="P13" s="1720">
        <v>30.91</v>
      </c>
      <c r="Q13" s="1582">
        <v>42453</v>
      </c>
      <c r="R13" s="351" t="str">
        <f t="shared" si="1"/>
        <v>6 years</v>
      </c>
      <c r="S13" s="891" t="str">
        <f t="shared" si="2"/>
        <v>9 months</v>
      </c>
      <c r="T13" s="1672"/>
      <c r="U13" s="361"/>
      <c r="V13" s="358"/>
      <c r="W13" s="431"/>
      <c r="X13" s="431"/>
      <c r="Y13" s="431"/>
      <c r="Z13" s="431"/>
      <c r="AA13" s="431"/>
      <c r="AB13" s="431"/>
      <c r="AC13" s="431"/>
      <c r="AD13" s="431"/>
    </row>
    <row r="14" spans="1:30" ht="12.75" customHeight="1">
      <c r="A14" s="1671">
        <f t="shared" si="7"/>
        <v>6</v>
      </c>
      <c r="B14" s="374" t="s">
        <v>398</v>
      </c>
      <c r="C14" s="375" t="s">
        <v>399</v>
      </c>
      <c r="D14" s="351">
        <v>20</v>
      </c>
      <c r="E14" s="350">
        <v>292.5</v>
      </c>
      <c r="F14" s="352">
        <f t="shared" si="3"/>
        <v>5850</v>
      </c>
      <c r="G14" s="357">
        <f t="shared" si="0"/>
        <v>1.8053867741808949E-2</v>
      </c>
      <c r="H14" s="351"/>
      <c r="I14" s="351">
        <v>20</v>
      </c>
      <c r="J14" s="350">
        <v>211.86</v>
      </c>
      <c r="K14" s="352">
        <f t="shared" si="4"/>
        <v>4237.2000000000007</v>
      </c>
      <c r="L14" s="353">
        <f t="shared" si="5"/>
        <v>1.4842646301055756E-2</v>
      </c>
      <c r="M14" s="355">
        <v>-0.25623931623931606</v>
      </c>
      <c r="N14" s="356">
        <f t="shared" si="6"/>
        <v>1.0663321288019547</v>
      </c>
      <c r="O14" s="1495">
        <v>2050.59</v>
      </c>
      <c r="P14" s="1720">
        <v>102.53</v>
      </c>
      <c r="Q14" s="1582">
        <v>41975</v>
      </c>
      <c r="R14" s="351" t="str">
        <f t="shared" si="1"/>
        <v>8 years</v>
      </c>
      <c r="S14" s="891" t="str">
        <f t="shared" si="2"/>
        <v>0 months</v>
      </c>
      <c r="T14" s="1672"/>
      <c r="U14" s="361"/>
      <c r="V14" s="358"/>
      <c r="W14" s="431"/>
      <c r="X14" s="431"/>
      <c r="Y14" s="431"/>
      <c r="Z14" s="431"/>
      <c r="AA14" s="431"/>
      <c r="AB14" s="431"/>
      <c r="AC14" s="431"/>
      <c r="AD14" s="431"/>
    </row>
    <row r="15" spans="1:30" ht="12.75" customHeight="1">
      <c r="A15" s="1671">
        <f t="shared" si="7"/>
        <v>7</v>
      </c>
      <c r="B15" s="374" t="s">
        <v>720</v>
      </c>
      <c r="C15" s="375" t="s">
        <v>721</v>
      </c>
      <c r="D15" s="351"/>
      <c r="E15" s="350"/>
      <c r="F15" s="352"/>
      <c r="G15" s="357"/>
      <c r="H15" s="351"/>
      <c r="I15" s="351">
        <v>35</v>
      </c>
      <c r="J15" s="350">
        <v>165.71</v>
      </c>
      <c r="K15" s="352">
        <f t="shared" si="4"/>
        <v>5799.85</v>
      </c>
      <c r="L15" s="353">
        <f t="shared" si="5"/>
        <v>2.03165114106434E-2</v>
      </c>
      <c r="M15" s="355">
        <v>0.16659785589628534</v>
      </c>
      <c r="N15" s="356">
        <f t="shared" si="6"/>
        <v>0.15678883071553235</v>
      </c>
      <c r="O15" s="1495">
        <v>5013.75</v>
      </c>
      <c r="P15" s="1720">
        <v>143.25</v>
      </c>
      <c r="Q15" s="1582">
        <v>44622</v>
      </c>
      <c r="R15" s="351" t="str">
        <f t="shared" si="1"/>
        <v>0 years</v>
      </c>
      <c r="S15" s="891" t="str">
        <f t="shared" si="2"/>
        <v>9 months</v>
      </c>
      <c r="T15" s="1672"/>
      <c r="U15" s="361"/>
      <c r="V15" s="358"/>
      <c r="W15" s="431"/>
      <c r="X15" s="431"/>
      <c r="Y15" s="431"/>
      <c r="Z15" s="431"/>
      <c r="AA15" s="431"/>
      <c r="AB15" s="431"/>
      <c r="AC15" s="431"/>
      <c r="AD15" s="431"/>
    </row>
    <row r="16" spans="1:30" ht="12.75" customHeight="1">
      <c r="A16" s="1671">
        <f t="shared" si="7"/>
        <v>8</v>
      </c>
      <c r="B16" s="374" t="s">
        <v>401</v>
      </c>
      <c r="C16" s="375" t="s">
        <v>402</v>
      </c>
      <c r="D16" s="351">
        <v>21</v>
      </c>
      <c r="E16" s="350">
        <v>224.97</v>
      </c>
      <c r="F16" s="352">
        <f t="shared" si="3"/>
        <v>4724.37</v>
      </c>
      <c r="G16" s="357">
        <f>F16/$F$85</f>
        <v>1.4580025836473496E-2</v>
      </c>
      <c r="H16" s="351"/>
      <c r="I16" s="351">
        <v>21</v>
      </c>
      <c r="J16" s="350">
        <v>262.64</v>
      </c>
      <c r="K16" s="352">
        <f t="shared" si="4"/>
        <v>5515.44</v>
      </c>
      <c r="L16" s="353">
        <f t="shared" si="5"/>
        <v>1.9320240988080557E-2</v>
      </c>
      <c r="M16" s="355">
        <v>0.20193803618260209</v>
      </c>
      <c r="N16" s="356">
        <f t="shared" si="6"/>
        <v>0.61850850859663165</v>
      </c>
      <c r="O16" s="1495">
        <v>3407.73</v>
      </c>
      <c r="P16" s="1720">
        <v>162.27000000000001</v>
      </c>
      <c r="Q16" s="1582">
        <v>41955</v>
      </c>
      <c r="R16" s="351" t="str">
        <f t="shared" si="1"/>
        <v>8 years</v>
      </c>
      <c r="S16" s="891" t="str">
        <f>DATEDIF(Q16,$I$6,"ym")&amp;" months"</f>
        <v>1 months</v>
      </c>
      <c r="T16" s="1672"/>
      <c r="U16" s="358"/>
      <c r="V16" s="358"/>
      <c r="W16" s="431"/>
      <c r="X16" s="431"/>
      <c r="Y16" s="431"/>
      <c r="Z16" s="431"/>
      <c r="AA16" s="431"/>
      <c r="AB16" s="431"/>
      <c r="AC16" s="431"/>
      <c r="AD16" s="431"/>
    </row>
    <row r="17" spans="1:30" ht="12.75" customHeight="1">
      <c r="A17" s="1671">
        <f t="shared" si="7"/>
        <v>9</v>
      </c>
      <c r="B17" s="374" t="s">
        <v>206</v>
      </c>
      <c r="C17" s="375" t="s">
        <v>207</v>
      </c>
      <c r="D17" s="351">
        <v>118</v>
      </c>
      <c r="E17" s="350">
        <v>177.57</v>
      </c>
      <c r="F17" s="352">
        <f t="shared" si="3"/>
        <v>20953.259999999998</v>
      </c>
      <c r="G17" s="357">
        <f>F17/$F$85</f>
        <v>6.4664510222177063E-2</v>
      </c>
      <c r="H17" s="351"/>
      <c r="I17" s="351">
        <v>118</v>
      </c>
      <c r="J17" s="350">
        <v>129.93</v>
      </c>
      <c r="K17" s="352">
        <f t="shared" si="4"/>
        <v>15331.740000000002</v>
      </c>
      <c r="L17" s="353">
        <f t="shared" si="5"/>
        <v>5.37061252713463E-2</v>
      </c>
      <c r="M17" s="355">
        <v>-0.26316382271780131</v>
      </c>
      <c r="N17" s="356">
        <f t="shared" si="6"/>
        <v>19.521395778399434</v>
      </c>
      <c r="O17" s="1495">
        <v>747.11</v>
      </c>
      <c r="P17" s="1720">
        <v>6.33</v>
      </c>
      <c r="Q17" s="1582">
        <v>39414</v>
      </c>
      <c r="R17" s="351" t="str">
        <f t="shared" si="1"/>
        <v>15 years</v>
      </c>
      <c r="S17" s="891" t="str">
        <f t="shared" si="2"/>
        <v>1 months</v>
      </c>
      <c r="T17" s="1672"/>
      <c r="U17" s="1673"/>
      <c r="V17" s="360"/>
      <c r="W17" s="431"/>
      <c r="X17" s="431"/>
      <c r="Y17" s="431"/>
      <c r="Z17" s="431"/>
      <c r="AA17" s="431"/>
      <c r="AB17" s="431"/>
      <c r="AC17" s="431"/>
      <c r="AD17" s="431"/>
    </row>
    <row r="18" spans="1:30" ht="12.75" customHeight="1">
      <c r="A18" s="1671">
        <f t="shared" si="7"/>
        <v>10</v>
      </c>
      <c r="B18" s="374" t="s">
        <v>22</v>
      </c>
      <c r="C18" s="375" t="s">
        <v>23</v>
      </c>
      <c r="D18" s="351">
        <v>148</v>
      </c>
      <c r="E18" s="350">
        <v>44.49</v>
      </c>
      <c r="F18" s="352">
        <f t="shared" si="3"/>
        <v>6584.52</v>
      </c>
      <c r="G18" s="357">
        <f>F18/$F$85</f>
        <v>2.0320692858683057E-2</v>
      </c>
      <c r="H18" s="351"/>
      <c r="I18" s="351">
        <v>148</v>
      </c>
      <c r="J18" s="350">
        <v>33.119999999999997</v>
      </c>
      <c r="K18" s="352">
        <f t="shared" si="4"/>
        <v>4901.7599999999993</v>
      </c>
      <c r="L18" s="353">
        <f t="shared" si="5"/>
        <v>1.717055837172261E-2</v>
      </c>
      <c r="M18" s="355">
        <v>-0.23623286131715013</v>
      </c>
      <c r="N18" s="356">
        <f t="shared" si="6"/>
        <v>0.62731851123940519</v>
      </c>
      <c r="O18" s="1495">
        <v>3012.17</v>
      </c>
      <c r="P18" s="1720">
        <v>20.350000000000001</v>
      </c>
      <c r="Q18" s="1582">
        <v>42703</v>
      </c>
      <c r="R18" s="351" t="str">
        <f t="shared" si="1"/>
        <v>6 years</v>
      </c>
      <c r="S18" s="891" t="str">
        <f t="shared" si="2"/>
        <v>1 months</v>
      </c>
      <c r="T18" s="1672"/>
      <c r="U18" s="359"/>
      <c r="V18" s="360"/>
      <c r="W18" s="431"/>
      <c r="X18" s="431"/>
      <c r="Y18" s="431"/>
      <c r="Z18" s="431"/>
      <c r="AA18" s="431"/>
      <c r="AB18" s="431"/>
      <c r="AC18" s="431"/>
      <c r="AD18" s="431"/>
    </row>
    <row r="19" spans="1:30" ht="12.75" customHeight="1">
      <c r="A19" s="1671">
        <f t="shared" si="7"/>
        <v>11</v>
      </c>
      <c r="B19" s="374" t="s">
        <v>676</v>
      </c>
      <c r="C19" s="375" t="s">
        <v>602</v>
      </c>
      <c r="D19" s="351">
        <v>7</v>
      </c>
      <c r="E19" s="350">
        <v>915.56</v>
      </c>
      <c r="F19" s="352">
        <f t="shared" si="3"/>
        <v>6408.92</v>
      </c>
      <c r="G19" s="357">
        <f>F19/$F$85</f>
        <v>1.9778768213304994E-2</v>
      </c>
      <c r="H19" s="351"/>
      <c r="I19" s="351">
        <v>7</v>
      </c>
      <c r="J19" s="350">
        <v>708.63</v>
      </c>
      <c r="K19" s="352">
        <f t="shared" si="4"/>
        <v>4960.41</v>
      </c>
      <c r="L19" s="353">
        <f t="shared" si="5"/>
        <v>1.737600564953742E-2</v>
      </c>
      <c r="M19" s="355">
        <v>-0.20469439468740441</v>
      </c>
      <c r="N19" s="356">
        <f t="shared" si="6"/>
        <v>-0.15618190261851175</v>
      </c>
      <c r="O19" s="1495">
        <v>5878.53</v>
      </c>
      <c r="P19" s="1720">
        <v>839.79</v>
      </c>
      <c r="Q19" s="1582">
        <v>44328</v>
      </c>
      <c r="R19" s="351" t="str">
        <f t="shared" si="1"/>
        <v>1 years</v>
      </c>
      <c r="S19" s="891" t="str">
        <f t="shared" si="2"/>
        <v>7 months</v>
      </c>
      <c r="T19" s="1672"/>
      <c r="U19" s="359"/>
      <c r="V19" s="360"/>
      <c r="W19" s="431"/>
      <c r="X19" s="431"/>
      <c r="Y19" s="431"/>
      <c r="Z19" s="431"/>
      <c r="AA19" s="431"/>
      <c r="AB19" s="431"/>
      <c r="AC19" s="431"/>
      <c r="AD19" s="431"/>
    </row>
    <row r="20" spans="1:30" ht="12.75" customHeight="1">
      <c r="A20" s="1671">
        <f t="shared" si="7"/>
        <v>12</v>
      </c>
      <c r="B20" s="374" t="s">
        <v>722</v>
      </c>
      <c r="C20" s="375" t="s">
        <v>622</v>
      </c>
      <c r="D20" s="351">
        <v>30</v>
      </c>
      <c r="E20" s="350">
        <v>62.35</v>
      </c>
      <c r="F20" s="352">
        <f t="shared" si="3"/>
        <v>1870.5</v>
      </c>
      <c r="G20" s="357">
        <f>F20/$F$85</f>
        <v>5.7726084805219896E-3</v>
      </c>
      <c r="H20" s="351"/>
      <c r="I20" s="351"/>
      <c r="J20" s="350"/>
      <c r="K20" s="352"/>
      <c r="L20" s="353"/>
      <c r="M20" s="1237">
        <v>0.11186313819834258</v>
      </c>
      <c r="N20" s="1750">
        <f>(G76-O20)/O20</f>
        <v>1.6698509448870353</v>
      </c>
      <c r="O20" s="1495">
        <v>1683.27</v>
      </c>
      <c r="P20" s="1720">
        <v>56.11</v>
      </c>
      <c r="Q20" s="1582">
        <v>43790</v>
      </c>
      <c r="R20" s="351" t="str">
        <f t="shared" si="1"/>
        <v>3 years</v>
      </c>
      <c r="S20" s="891" t="str">
        <f t="shared" si="2"/>
        <v>1 months</v>
      </c>
      <c r="T20" s="1672"/>
      <c r="U20" s="359"/>
      <c r="V20" s="360"/>
      <c r="W20" s="431"/>
      <c r="X20" s="431"/>
      <c r="Y20" s="431"/>
      <c r="Z20" s="431"/>
      <c r="AA20" s="431"/>
      <c r="AB20" s="431"/>
      <c r="AC20" s="431"/>
      <c r="AD20" s="431"/>
    </row>
    <row r="21" spans="1:30" ht="12.75" customHeight="1">
      <c r="A21" s="1671">
        <f t="shared" si="7"/>
        <v>13</v>
      </c>
      <c r="B21" s="374" t="s">
        <v>723</v>
      </c>
      <c r="C21" s="375" t="s">
        <v>724</v>
      </c>
      <c r="D21" s="351"/>
      <c r="E21" s="350"/>
      <c r="F21" s="352"/>
      <c r="G21" s="357"/>
      <c r="H21" s="351"/>
      <c r="I21" s="351">
        <v>28</v>
      </c>
      <c r="J21" s="350">
        <v>68.67</v>
      </c>
      <c r="K21" s="352">
        <f t="shared" si="4"/>
        <v>1922.76</v>
      </c>
      <c r="L21" s="353">
        <f t="shared" si="5"/>
        <v>6.7353078924332005E-3</v>
      </c>
      <c r="M21" s="355">
        <v>1.397428731134712E-2</v>
      </c>
      <c r="N21" s="356">
        <f>(K21-O21)/O21</f>
        <v>-4.0385690329793215E-2</v>
      </c>
      <c r="O21" s="1495">
        <v>2003.68</v>
      </c>
      <c r="P21" s="1720">
        <v>71.56</v>
      </c>
      <c r="Q21" s="1582">
        <v>44651</v>
      </c>
      <c r="R21" s="351" t="str">
        <f t="shared" si="1"/>
        <v>0 years</v>
      </c>
      <c r="S21" s="891" t="str">
        <f t="shared" si="2"/>
        <v>9 months</v>
      </c>
      <c r="T21" s="1672"/>
      <c r="U21" s="359"/>
      <c r="V21" s="360"/>
      <c r="W21" s="431"/>
      <c r="X21" s="431"/>
      <c r="Y21" s="431"/>
      <c r="Z21" s="431"/>
      <c r="AA21" s="431"/>
      <c r="AB21" s="431"/>
      <c r="AC21" s="431"/>
      <c r="AD21" s="431"/>
    </row>
    <row r="22" spans="1:30" ht="12.75" customHeight="1">
      <c r="A22" s="1671">
        <f t="shared" si="7"/>
        <v>14</v>
      </c>
      <c r="B22" s="374" t="s">
        <v>648</v>
      </c>
      <c r="C22" s="375" t="s">
        <v>649</v>
      </c>
      <c r="D22" s="351">
        <v>30</v>
      </c>
      <c r="E22" s="350">
        <v>35.79</v>
      </c>
      <c r="F22" s="352">
        <f t="shared" si="3"/>
        <v>1073.7</v>
      </c>
      <c r="G22" s="357">
        <f>F22/$F$85</f>
        <v>3.3135791101504735E-3</v>
      </c>
      <c r="H22" s="351"/>
      <c r="I22" s="351">
        <v>30</v>
      </c>
      <c r="J22" s="350">
        <v>25.34</v>
      </c>
      <c r="K22" s="352">
        <f t="shared" si="4"/>
        <v>760.2</v>
      </c>
      <c r="L22" s="353">
        <f t="shared" si="5"/>
        <v>2.6629330024692211E-3</v>
      </c>
      <c r="M22" s="355">
        <v>-0.26116233584800219</v>
      </c>
      <c r="N22" s="356">
        <f t="shared" ref="N22:N52" si="8">(K22-O22)/O22</f>
        <v>-0.29270561965016739</v>
      </c>
      <c r="O22" s="1495">
        <v>1074.8</v>
      </c>
      <c r="P22" s="1720">
        <v>35.83</v>
      </c>
      <c r="Q22" s="1582">
        <v>44131</v>
      </c>
      <c r="R22" s="351" t="str">
        <f t="shared" si="1"/>
        <v>2 years</v>
      </c>
      <c r="S22" s="891" t="str">
        <f>DATEDIF(Q22,$I$6,"ym")&amp;" months"</f>
        <v>2 months</v>
      </c>
      <c r="T22" s="1672"/>
      <c r="U22" s="359"/>
      <c r="V22" s="360"/>
      <c r="W22" s="431"/>
      <c r="X22" s="431"/>
      <c r="Y22" s="431"/>
      <c r="Z22" s="431"/>
      <c r="AA22" s="431"/>
      <c r="AB22" s="431"/>
      <c r="AC22" s="431"/>
      <c r="AD22" s="431"/>
    </row>
    <row r="23" spans="1:30" ht="12.75" customHeight="1">
      <c r="A23" s="1671">
        <f t="shared" si="7"/>
        <v>15</v>
      </c>
      <c r="B23" s="374" t="s">
        <v>451</v>
      </c>
      <c r="C23" s="375" t="s">
        <v>452</v>
      </c>
      <c r="D23" s="351">
        <v>50</v>
      </c>
      <c r="E23" s="350">
        <v>145.09</v>
      </c>
      <c r="F23" s="352">
        <f t="shared" si="3"/>
        <v>7254.5</v>
      </c>
      <c r="G23" s="357">
        <f>F23/$F$85</f>
        <v>2.2388339065462056E-2</v>
      </c>
      <c r="H23" s="351"/>
      <c r="I23" s="351">
        <v>50</v>
      </c>
      <c r="J23" s="350">
        <v>92.96</v>
      </c>
      <c r="K23" s="352">
        <f t="shared" si="4"/>
        <v>4648</v>
      </c>
      <c r="L23" s="353">
        <f t="shared" si="5"/>
        <v>1.6281652980106472E-2</v>
      </c>
      <c r="M23" s="355">
        <v>-0.34275277414018884</v>
      </c>
      <c r="N23" s="356">
        <f t="shared" si="8"/>
        <v>-1.3238903183620716E-2</v>
      </c>
      <c r="O23" s="1495">
        <v>4710.3599999999997</v>
      </c>
      <c r="P23" s="1720">
        <v>94.21</v>
      </c>
      <c r="Q23" s="1582">
        <v>43767</v>
      </c>
      <c r="R23" s="351" t="str">
        <f t="shared" si="1"/>
        <v>3 years</v>
      </c>
      <c r="S23" s="891" t="str">
        <f t="shared" si="2"/>
        <v>2 months</v>
      </c>
      <c r="T23" s="1672"/>
      <c r="U23" s="359"/>
      <c r="V23" s="360"/>
      <c r="W23" s="431"/>
      <c r="X23" s="431"/>
      <c r="Y23" s="431"/>
      <c r="Z23" s="431"/>
      <c r="AA23" s="431"/>
      <c r="AB23" s="431"/>
      <c r="AC23" s="431"/>
      <c r="AD23" s="431"/>
    </row>
    <row r="24" spans="1:30" ht="12.75" customHeight="1">
      <c r="A24" s="1671">
        <f t="shared" si="7"/>
        <v>16</v>
      </c>
      <c r="B24" s="374" t="s">
        <v>623</v>
      </c>
      <c r="C24" s="375" t="s">
        <v>624</v>
      </c>
      <c r="D24" s="351">
        <v>20</v>
      </c>
      <c r="E24" s="350">
        <v>101.42</v>
      </c>
      <c r="F24" s="352">
        <f t="shared" si="3"/>
        <v>2028.4</v>
      </c>
      <c r="G24" s="357">
        <f>F24/$F$85</f>
        <v>6.2599086029889364E-3</v>
      </c>
      <c r="H24" s="351"/>
      <c r="I24" s="351">
        <v>20</v>
      </c>
      <c r="J24" s="350">
        <v>149.96</v>
      </c>
      <c r="K24" s="352">
        <f t="shared" si="4"/>
        <v>2999.2000000000003</v>
      </c>
      <c r="L24" s="353">
        <f t="shared" si="5"/>
        <v>1.0506009814529977E-2</v>
      </c>
      <c r="M24" s="355">
        <v>0.49225990928810881</v>
      </c>
      <c r="N24" s="356">
        <f t="shared" si="8"/>
        <v>1.3434911704953902</v>
      </c>
      <c r="O24" s="1495">
        <v>1279.8</v>
      </c>
      <c r="P24" s="1720">
        <v>63.99</v>
      </c>
      <c r="Q24" s="1582">
        <v>43760</v>
      </c>
      <c r="R24" s="351" t="str">
        <f t="shared" si="1"/>
        <v>3 years</v>
      </c>
      <c r="S24" s="891" t="str">
        <f t="shared" si="2"/>
        <v>2 months</v>
      </c>
      <c r="T24" s="1672"/>
      <c r="U24" s="359"/>
      <c r="V24" s="360"/>
      <c r="W24" s="431"/>
      <c r="X24" s="431"/>
      <c r="Y24" s="431"/>
      <c r="Z24" s="431"/>
      <c r="AA24" s="431"/>
      <c r="AB24" s="431"/>
      <c r="AC24" s="431"/>
      <c r="AD24" s="431"/>
    </row>
    <row r="25" spans="1:30" ht="12.75" customHeight="1">
      <c r="A25" s="1671">
        <f t="shared" si="7"/>
        <v>17</v>
      </c>
      <c r="B25" s="361" t="s">
        <v>677</v>
      </c>
      <c r="C25" s="375" t="s">
        <v>678</v>
      </c>
      <c r="D25" s="351">
        <v>35</v>
      </c>
      <c r="E25" s="350">
        <v>98.94</v>
      </c>
      <c r="F25" s="352">
        <f t="shared" si="3"/>
        <v>3462.9</v>
      </c>
      <c r="G25" s="357">
        <f>F25/$F$85</f>
        <v>1.0686963863779524E-2</v>
      </c>
      <c r="H25" s="351"/>
      <c r="I25" s="351">
        <v>35</v>
      </c>
      <c r="J25" s="350">
        <v>115.08</v>
      </c>
      <c r="K25" s="352">
        <f t="shared" si="4"/>
        <v>4027.7999999999997</v>
      </c>
      <c r="L25" s="353">
        <f t="shared" si="5"/>
        <v>1.4109131211977806E-2</v>
      </c>
      <c r="M25" s="355">
        <v>0.16878916515059619</v>
      </c>
      <c r="N25" s="356">
        <f t="shared" si="8"/>
        <v>0.24023512675475181</v>
      </c>
      <c r="O25" s="1495">
        <v>3247.61</v>
      </c>
      <c r="P25" s="1720">
        <v>92.79</v>
      </c>
      <c r="Q25" s="1582">
        <v>44501</v>
      </c>
      <c r="R25" s="351" t="str">
        <f t="shared" si="1"/>
        <v>1 years</v>
      </c>
      <c r="S25" s="891" t="str">
        <f t="shared" si="2"/>
        <v>1 months</v>
      </c>
      <c r="T25" s="1672"/>
      <c r="U25" s="359"/>
      <c r="V25" s="360"/>
      <c r="W25" s="431"/>
      <c r="X25" s="431"/>
      <c r="Y25" s="431"/>
      <c r="Z25" s="431"/>
      <c r="AA25" s="431"/>
      <c r="AB25" s="431"/>
      <c r="AC25" s="431"/>
      <c r="AD25" s="431"/>
    </row>
    <row r="26" spans="1:30" ht="12.75" customHeight="1">
      <c r="A26" s="1671">
        <f t="shared" si="7"/>
        <v>18</v>
      </c>
      <c r="B26" s="361" t="s">
        <v>576</v>
      </c>
      <c r="C26" s="375" t="s">
        <v>456</v>
      </c>
      <c r="D26" s="351">
        <v>30</v>
      </c>
      <c r="E26" s="350">
        <v>103.16</v>
      </c>
      <c r="F26" s="352">
        <f t="shared" si="3"/>
        <v>3094.7999999999997</v>
      </c>
      <c r="G26" s="357">
        <f>F26/$F$85</f>
        <v>9.550958955102622E-3</v>
      </c>
      <c r="H26" s="351"/>
      <c r="I26" s="351">
        <v>30</v>
      </c>
      <c r="J26" s="350">
        <v>93.19</v>
      </c>
      <c r="K26" s="352">
        <f t="shared" si="4"/>
        <v>2795.7</v>
      </c>
      <c r="L26" s="353">
        <f t="shared" si="5"/>
        <v>9.7931620560420957E-3</v>
      </c>
      <c r="M26" s="355">
        <v>-7.53198914307871E-2</v>
      </c>
      <c r="N26" s="356">
        <f t="shared" si="8"/>
        <v>2.7963157023881649E-2</v>
      </c>
      <c r="O26" s="1495">
        <v>2719.65</v>
      </c>
      <c r="P26" s="1720">
        <v>90.66</v>
      </c>
      <c r="Q26" s="1582">
        <v>44501</v>
      </c>
      <c r="R26" s="351" t="str">
        <f t="shared" si="1"/>
        <v>1 years</v>
      </c>
      <c r="S26" s="891" t="str">
        <f t="shared" si="2"/>
        <v>1 months</v>
      </c>
      <c r="T26" s="1672"/>
      <c r="U26" s="359"/>
      <c r="V26" s="360"/>
      <c r="W26" s="431"/>
      <c r="X26" s="431"/>
      <c r="Y26" s="431"/>
      <c r="Z26" s="431"/>
      <c r="AA26" s="431"/>
      <c r="AB26" s="431"/>
      <c r="AC26" s="431"/>
      <c r="AD26" s="431"/>
    </row>
    <row r="27" spans="1:30" ht="12.75" customHeight="1">
      <c r="A27" s="1671">
        <f t="shared" si="7"/>
        <v>19</v>
      </c>
      <c r="B27" s="361" t="s">
        <v>725</v>
      </c>
      <c r="C27" s="375" t="s">
        <v>726</v>
      </c>
      <c r="D27" s="351"/>
      <c r="E27" s="350"/>
      <c r="F27" s="352"/>
      <c r="G27" s="357"/>
      <c r="H27" s="351"/>
      <c r="I27" s="351">
        <v>14</v>
      </c>
      <c r="J27" s="350">
        <v>100.27</v>
      </c>
      <c r="K27" s="352">
        <f t="shared" si="4"/>
        <v>1403.78</v>
      </c>
      <c r="L27" s="353">
        <f t="shared" si="5"/>
        <v>4.9173534467327586E-3</v>
      </c>
      <c r="M27" s="355">
        <v>-0.2906767955801105</v>
      </c>
      <c r="N27" s="356">
        <f t="shared" si="8"/>
        <v>-0.30752762430939229</v>
      </c>
      <c r="O27" s="1495">
        <v>2027.2</v>
      </c>
      <c r="P27" s="1720">
        <v>144.80000000000001</v>
      </c>
      <c r="Q27" s="1582">
        <v>44651</v>
      </c>
      <c r="R27" s="351" t="str">
        <f t="shared" si="1"/>
        <v>0 years</v>
      </c>
      <c r="S27" s="891" t="str">
        <f t="shared" si="2"/>
        <v>9 months</v>
      </c>
      <c r="T27" s="1672"/>
      <c r="U27" s="359"/>
      <c r="V27" s="360"/>
      <c r="W27" s="431"/>
      <c r="X27" s="431"/>
      <c r="Y27" s="431"/>
      <c r="Z27" s="431"/>
      <c r="AA27" s="431"/>
      <c r="AB27" s="431"/>
      <c r="AC27" s="431"/>
      <c r="AD27" s="431"/>
    </row>
    <row r="28" spans="1:30" ht="12.75" customHeight="1">
      <c r="A28" s="1671">
        <f t="shared" si="7"/>
        <v>20</v>
      </c>
      <c r="B28" s="361" t="s">
        <v>651</v>
      </c>
      <c r="C28" s="362" t="s">
        <v>652</v>
      </c>
      <c r="D28" s="363">
        <v>6</v>
      </c>
      <c r="E28" s="350">
        <v>564.33000000000004</v>
      </c>
      <c r="F28" s="352">
        <f t="shared" si="3"/>
        <v>3385.9800000000005</v>
      </c>
      <c r="G28" s="357">
        <f t="shared" ref="G28:G40" si="9">F28/$F$85</f>
        <v>1.0449578648959021E-2</v>
      </c>
      <c r="H28" s="363"/>
      <c r="I28" s="363">
        <v>6</v>
      </c>
      <c r="J28" s="350">
        <v>346.4</v>
      </c>
      <c r="K28" s="352">
        <f t="shared" si="4"/>
        <v>2078.3999999999996</v>
      </c>
      <c r="L28" s="353">
        <f t="shared" si="5"/>
        <v>7.2805050675243729E-3</v>
      </c>
      <c r="M28" s="355">
        <v>-0.37837789945599221</v>
      </c>
      <c r="N28" s="356">
        <f t="shared" si="8"/>
        <v>-0.11875445201994521</v>
      </c>
      <c r="O28" s="1495">
        <v>2358.48</v>
      </c>
      <c r="P28" s="1720">
        <v>393.08</v>
      </c>
      <c r="Q28" s="1582">
        <v>44130</v>
      </c>
      <c r="R28" s="351" t="str">
        <f t="shared" si="1"/>
        <v>2 years</v>
      </c>
      <c r="S28" s="891" t="str">
        <f t="shared" si="2"/>
        <v>2 months</v>
      </c>
      <c r="T28" s="1672"/>
      <c r="U28" s="359"/>
      <c r="V28" s="360"/>
      <c r="W28" s="431"/>
      <c r="X28" s="431"/>
      <c r="Y28" s="431"/>
      <c r="Z28" s="431"/>
      <c r="AA28" s="431"/>
      <c r="AB28" s="431"/>
      <c r="AC28" s="431"/>
      <c r="AD28" s="431"/>
    </row>
    <row r="29" spans="1:30" ht="12.75" customHeight="1">
      <c r="A29" s="1671">
        <f t="shared" si="7"/>
        <v>21</v>
      </c>
      <c r="B29" s="374" t="s">
        <v>653</v>
      </c>
      <c r="C29" s="375" t="s">
        <v>546</v>
      </c>
      <c r="D29" s="351">
        <v>22</v>
      </c>
      <c r="E29" s="350">
        <v>138.29</v>
      </c>
      <c r="F29" s="352">
        <f t="shared" si="3"/>
        <v>3042.3799999999997</v>
      </c>
      <c r="G29" s="357">
        <f t="shared" si="9"/>
        <v>9.3891839556110614E-3</v>
      </c>
      <c r="H29" s="351"/>
      <c r="I29" s="351">
        <v>22</v>
      </c>
      <c r="J29" s="350">
        <v>136.47999999999999</v>
      </c>
      <c r="K29" s="352">
        <f t="shared" si="4"/>
        <v>3002.56</v>
      </c>
      <c r="L29" s="353">
        <f t="shared" si="5"/>
        <v>1.051777968415415E-2</v>
      </c>
      <c r="M29" s="355">
        <v>-5.2261716156428977E-3</v>
      </c>
      <c r="N29" s="356">
        <f t="shared" si="8"/>
        <v>0.95357068498854869</v>
      </c>
      <c r="O29" s="1495">
        <v>1536.96</v>
      </c>
      <c r="P29" s="1720">
        <v>69.86</v>
      </c>
      <c r="Q29" s="1582">
        <v>42843</v>
      </c>
      <c r="R29" s="351" t="str">
        <f t="shared" si="1"/>
        <v>5 years</v>
      </c>
      <c r="S29" s="891" t="str">
        <f t="shared" si="2"/>
        <v>8 months</v>
      </c>
      <c r="T29" s="1672"/>
      <c r="U29" s="359"/>
      <c r="V29" s="360"/>
      <c r="W29" s="431"/>
      <c r="X29" s="431"/>
      <c r="Y29" s="431"/>
      <c r="Z29" s="431"/>
      <c r="AA29" s="431"/>
      <c r="AB29" s="431"/>
      <c r="AC29" s="431"/>
      <c r="AD29" s="431"/>
    </row>
    <row r="30" spans="1:30" ht="12.75" customHeight="1">
      <c r="A30" s="1671">
        <f t="shared" si="7"/>
        <v>22</v>
      </c>
      <c r="B30" s="361" t="s">
        <v>679</v>
      </c>
      <c r="C30" s="375" t="s">
        <v>680</v>
      </c>
      <c r="D30" s="351">
        <v>62</v>
      </c>
      <c r="E30" s="350">
        <v>58.63</v>
      </c>
      <c r="F30" s="352">
        <f t="shared" si="3"/>
        <v>3635.06</v>
      </c>
      <c r="G30" s="357">
        <f t="shared" si="9"/>
        <v>1.1218272217699152E-2</v>
      </c>
      <c r="H30" s="351"/>
      <c r="I30" s="351">
        <v>62</v>
      </c>
      <c r="J30" s="350">
        <v>33.64</v>
      </c>
      <c r="K30" s="352">
        <f t="shared" si="4"/>
        <v>2085.6799999999998</v>
      </c>
      <c r="L30" s="353">
        <f t="shared" si="5"/>
        <v>7.306006451710082E-3</v>
      </c>
      <c r="M30" s="355">
        <v>-0.42316220365000862</v>
      </c>
      <c r="N30" s="356">
        <f t="shared" si="8"/>
        <v>-0.47944931963620757</v>
      </c>
      <c r="O30" s="1495">
        <v>4006.68</v>
      </c>
      <c r="P30" s="1720">
        <v>64.62</v>
      </c>
      <c r="Q30" s="1582">
        <v>44517</v>
      </c>
      <c r="R30" s="351" t="str">
        <f t="shared" si="1"/>
        <v>1 years</v>
      </c>
      <c r="S30" s="891" t="str">
        <f t="shared" si="2"/>
        <v>1 months</v>
      </c>
      <c r="T30" s="1672"/>
      <c r="U30" s="359"/>
      <c r="V30" s="360"/>
      <c r="W30" s="431"/>
      <c r="X30" s="431"/>
      <c r="Y30" s="431"/>
      <c r="Z30" s="431"/>
      <c r="AA30" s="431"/>
      <c r="AB30" s="431"/>
      <c r="AC30" s="431"/>
      <c r="AD30" s="431"/>
    </row>
    <row r="31" spans="1:30" ht="12.75" customHeight="1">
      <c r="A31" s="1671">
        <f t="shared" si="7"/>
        <v>23</v>
      </c>
      <c r="B31" s="361" t="s">
        <v>632</v>
      </c>
      <c r="C31" s="362" t="s">
        <v>633</v>
      </c>
      <c r="D31" s="363">
        <v>20</v>
      </c>
      <c r="E31" s="350">
        <v>193.47</v>
      </c>
      <c r="F31" s="352">
        <f>D31*E31</f>
        <v>3869.4</v>
      </c>
      <c r="G31" s="357">
        <f t="shared" si="9"/>
        <v>1.1941476211992402E-2</v>
      </c>
      <c r="H31" s="363"/>
      <c r="I31" s="363">
        <v>20</v>
      </c>
      <c r="J31" s="350">
        <v>231.57</v>
      </c>
      <c r="K31" s="352">
        <f t="shared" si="4"/>
        <v>4631.3999999999996</v>
      </c>
      <c r="L31" s="353">
        <f t="shared" si="5"/>
        <v>1.6223504219463232E-2</v>
      </c>
      <c r="M31" s="355">
        <v>0.21695353284746965</v>
      </c>
      <c r="N31" s="356">
        <f t="shared" si="8"/>
        <v>0.58161644930283052</v>
      </c>
      <c r="O31" s="1495">
        <v>2928.27</v>
      </c>
      <c r="P31" s="1720">
        <v>146.41</v>
      </c>
      <c r="Q31" s="1582">
        <v>43783</v>
      </c>
      <c r="R31" s="351" t="str">
        <f>DATEDIF(Q31,$I$6,"y")&amp;" years"</f>
        <v>3 years</v>
      </c>
      <c r="S31" s="891" t="str">
        <f>DATEDIF(Q31,$I$6,"ym")&amp;" months"</f>
        <v>1 months</v>
      </c>
      <c r="T31" s="1672"/>
      <c r="U31" s="359"/>
      <c r="V31" s="360"/>
      <c r="W31" s="431"/>
      <c r="X31" s="431"/>
      <c r="Y31" s="431"/>
      <c r="Z31" s="431"/>
      <c r="AA31" s="431"/>
      <c r="AB31" s="431"/>
      <c r="AC31" s="431"/>
      <c r="AD31" s="431"/>
    </row>
    <row r="32" spans="1:30" ht="12.75" customHeight="1">
      <c r="A32" s="1671">
        <f t="shared" si="7"/>
        <v>24</v>
      </c>
      <c r="B32" s="361" t="s">
        <v>627</v>
      </c>
      <c r="C32" s="362" t="s">
        <v>628</v>
      </c>
      <c r="D32" s="363">
        <v>20</v>
      </c>
      <c r="E32" s="350">
        <v>208.51</v>
      </c>
      <c r="F32" s="352">
        <f t="shared" si="3"/>
        <v>4170.2</v>
      </c>
      <c r="G32" s="357">
        <f t="shared" si="9"/>
        <v>1.2869784488357553E-2</v>
      </c>
      <c r="H32" s="363"/>
      <c r="I32" s="363">
        <v>20</v>
      </c>
      <c r="J32" s="350">
        <v>214.3</v>
      </c>
      <c r="K32" s="352">
        <f t="shared" si="4"/>
        <v>4286</v>
      </c>
      <c r="L32" s="353">
        <f t="shared" si="5"/>
        <v>1.5013589645597318E-2</v>
      </c>
      <c r="M32" s="355">
        <v>4.6808306556040437E-2</v>
      </c>
      <c r="N32" s="356">
        <f t="shared" si="8"/>
        <v>0.17979971482209409</v>
      </c>
      <c r="O32" s="1495">
        <v>3632.82</v>
      </c>
      <c r="P32" s="1720">
        <v>181.64</v>
      </c>
      <c r="Q32" s="1582">
        <v>43781</v>
      </c>
      <c r="R32" s="351" t="str">
        <f t="shared" si="1"/>
        <v>3 years</v>
      </c>
      <c r="S32" s="891" t="str">
        <f t="shared" si="2"/>
        <v>1 months</v>
      </c>
      <c r="T32" s="1672"/>
      <c r="U32" s="359"/>
      <c r="V32" s="360"/>
      <c r="W32" s="431"/>
      <c r="X32" s="431"/>
      <c r="Y32" s="431"/>
      <c r="Z32" s="431"/>
      <c r="AA32" s="431"/>
      <c r="AB32" s="431"/>
      <c r="AC32" s="431"/>
      <c r="AD32" s="431"/>
    </row>
    <row r="33" spans="1:30" ht="12.75" customHeight="1">
      <c r="A33" s="1671">
        <f t="shared" si="7"/>
        <v>25</v>
      </c>
      <c r="B33" s="361" t="s">
        <v>654</v>
      </c>
      <c r="C33" s="362" t="s">
        <v>655</v>
      </c>
      <c r="D33" s="363">
        <v>200</v>
      </c>
      <c r="E33" s="350">
        <v>15.92</v>
      </c>
      <c r="F33" s="352">
        <f t="shared" si="3"/>
        <v>3184</v>
      </c>
      <c r="G33" s="357">
        <f t="shared" si="9"/>
        <v>9.8262418615247347E-3</v>
      </c>
      <c r="H33" s="363"/>
      <c r="I33" s="363">
        <v>200</v>
      </c>
      <c r="J33" s="350">
        <v>11.6</v>
      </c>
      <c r="K33" s="352">
        <f t="shared" si="4"/>
        <v>2320</v>
      </c>
      <c r="L33" s="353">
        <f t="shared" si="5"/>
        <v>8.1268147405006482E-3</v>
      </c>
      <c r="M33" s="355">
        <v>-0.19283919597989949</v>
      </c>
      <c r="N33" s="356">
        <f t="shared" si="8"/>
        <v>-7.1999999999999995E-2</v>
      </c>
      <c r="O33" s="1495">
        <v>2500</v>
      </c>
      <c r="P33" s="1720">
        <v>12.5</v>
      </c>
      <c r="Q33" s="1582">
        <v>43896</v>
      </c>
      <c r="R33" s="351" t="str">
        <f t="shared" si="1"/>
        <v>2 years</v>
      </c>
      <c r="S33" s="891" t="str">
        <f t="shared" si="2"/>
        <v>9 months</v>
      </c>
      <c r="T33" s="1672"/>
      <c r="U33" s="359"/>
      <c r="V33" s="360"/>
      <c r="W33" s="431"/>
      <c r="X33" s="431"/>
      <c r="Y33" s="431"/>
      <c r="Z33" s="431"/>
      <c r="AA33" s="431"/>
      <c r="AB33" s="431"/>
      <c r="AC33" s="431"/>
      <c r="AD33" s="431"/>
    </row>
    <row r="34" spans="1:30" ht="12.75" customHeight="1">
      <c r="A34" s="1671">
        <f t="shared" si="7"/>
        <v>26</v>
      </c>
      <c r="B34" s="361" t="s">
        <v>547</v>
      </c>
      <c r="C34" s="362" t="s">
        <v>548</v>
      </c>
      <c r="D34" s="363">
        <v>25</v>
      </c>
      <c r="E34" s="350">
        <v>171.07</v>
      </c>
      <c r="F34" s="352">
        <f t="shared" si="3"/>
        <v>4276.75</v>
      </c>
      <c r="G34" s="357">
        <f t="shared" si="9"/>
        <v>1.3198611771757509E-2</v>
      </c>
      <c r="H34" s="363"/>
      <c r="I34" s="363">
        <v>25</v>
      </c>
      <c r="J34" s="350">
        <v>176.65</v>
      </c>
      <c r="K34" s="352">
        <f t="shared" si="4"/>
        <v>4416.25</v>
      </c>
      <c r="L34" s="353">
        <f t="shared" si="5"/>
        <v>1.5469847240403442E-2</v>
      </c>
      <c r="M34" s="355">
        <v>5.8630969778453265E-2</v>
      </c>
      <c r="N34" s="356">
        <f t="shared" si="8"/>
        <v>0.26246383771854598</v>
      </c>
      <c r="O34" s="1495">
        <v>3498.12</v>
      </c>
      <c r="P34" s="1720">
        <v>139.91999999999999</v>
      </c>
      <c r="Q34" s="1582">
        <v>43038</v>
      </c>
      <c r="R34" s="351" t="str">
        <f t="shared" si="1"/>
        <v>5 years</v>
      </c>
      <c r="S34" s="891" t="str">
        <f t="shared" si="2"/>
        <v>2 months</v>
      </c>
      <c r="T34" s="1672"/>
      <c r="U34" s="359"/>
      <c r="V34" s="360"/>
      <c r="W34" s="431"/>
      <c r="X34" s="431"/>
      <c r="Y34" s="431"/>
      <c r="Z34" s="431"/>
      <c r="AA34" s="431"/>
      <c r="AB34" s="431"/>
      <c r="AC34" s="431"/>
      <c r="AD34" s="431"/>
    </row>
    <row r="35" spans="1:30" ht="12.75" customHeight="1">
      <c r="A35" s="1671">
        <f t="shared" si="7"/>
        <v>27</v>
      </c>
      <c r="B35" s="39" t="s">
        <v>656</v>
      </c>
      <c r="C35" s="362" t="s">
        <v>550</v>
      </c>
      <c r="D35" s="363">
        <v>9</v>
      </c>
      <c r="E35" s="350">
        <v>355.41</v>
      </c>
      <c r="F35" s="352">
        <f t="shared" si="3"/>
        <v>3198.69</v>
      </c>
      <c r="G35" s="357">
        <f t="shared" si="9"/>
        <v>9.871577129409722E-3</v>
      </c>
      <c r="H35" s="363"/>
      <c r="I35" s="363">
        <v>9</v>
      </c>
      <c r="J35" s="350">
        <v>486.49</v>
      </c>
      <c r="K35" s="352">
        <f t="shared" si="4"/>
        <v>4378.41</v>
      </c>
      <c r="L35" s="353">
        <f t="shared" si="5"/>
        <v>1.5337296089635966E-2</v>
      </c>
      <c r="M35" s="355">
        <v>0.40088911398103605</v>
      </c>
      <c r="N35" s="356">
        <f t="shared" si="8"/>
        <v>0.79800422971890839</v>
      </c>
      <c r="O35" s="1495">
        <v>2435.15</v>
      </c>
      <c r="P35" s="1720">
        <v>270.57</v>
      </c>
      <c r="Q35" s="1582">
        <v>42836</v>
      </c>
      <c r="R35" s="351" t="str">
        <f t="shared" si="1"/>
        <v>5 years</v>
      </c>
      <c r="S35" s="891" t="str">
        <f t="shared" si="2"/>
        <v>8 months</v>
      </c>
      <c r="T35" s="1672"/>
      <c r="U35" s="359"/>
      <c r="V35" s="360"/>
      <c r="W35" s="431"/>
      <c r="X35" s="431"/>
      <c r="Y35" s="431"/>
      <c r="Z35" s="431"/>
      <c r="AA35" s="431"/>
      <c r="AB35" s="431"/>
      <c r="AC35" s="431"/>
      <c r="AD35" s="431"/>
    </row>
    <row r="36" spans="1:30" ht="12.75" customHeight="1">
      <c r="A36" s="1671">
        <f t="shared" si="7"/>
        <v>28</v>
      </c>
      <c r="B36" s="39" t="s">
        <v>681</v>
      </c>
      <c r="C36" s="362" t="s">
        <v>682</v>
      </c>
      <c r="D36" s="363">
        <v>37</v>
      </c>
      <c r="E36" s="350">
        <v>63.99</v>
      </c>
      <c r="F36" s="352">
        <f t="shared" si="3"/>
        <v>2367.63</v>
      </c>
      <c r="G36" s="357">
        <f t="shared" si="9"/>
        <v>7.3068169028272009E-3</v>
      </c>
      <c r="H36" s="363"/>
      <c r="I36" s="363">
        <v>37</v>
      </c>
      <c r="J36" s="350">
        <v>116.39</v>
      </c>
      <c r="K36" s="352">
        <f t="shared" si="4"/>
        <v>4306.43</v>
      </c>
      <c r="L36" s="353">
        <f t="shared" si="5"/>
        <v>1.5085154656437158E-2</v>
      </c>
      <c r="M36" s="355">
        <v>0.85779027973120814</v>
      </c>
      <c r="N36" s="356">
        <f t="shared" si="8"/>
        <v>0.71174010859282466</v>
      </c>
      <c r="O36" s="1495">
        <v>2515.8200000000002</v>
      </c>
      <c r="P36" s="1720">
        <v>68</v>
      </c>
      <c r="Q36" s="1582">
        <v>44494</v>
      </c>
      <c r="R36" s="351" t="str">
        <f t="shared" si="1"/>
        <v>1 years</v>
      </c>
      <c r="S36" s="891" t="str">
        <f t="shared" si="2"/>
        <v>2 months</v>
      </c>
      <c r="T36" s="1672"/>
      <c r="U36" s="359"/>
      <c r="V36" s="360"/>
      <c r="W36" s="431"/>
      <c r="X36" s="431"/>
      <c r="Y36" s="431"/>
      <c r="Z36" s="431"/>
      <c r="AA36" s="431"/>
      <c r="AB36" s="431"/>
      <c r="AC36" s="431"/>
      <c r="AD36" s="431"/>
    </row>
    <row r="37" spans="1:30" ht="12.75" customHeight="1">
      <c r="A37" s="1671">
        <f t="shared" si="7"/>
        <v>29</v>
      </c>
      <c r="B37" s="126" t="s">
        <v>551</v>
      </c>
      <c r="C37" s="362" t="s">
        <v>552</v>
      </c>
      <c r="D37" s="363">
        <v>7</v>
      </c>
      <c r="E37" s="350">
        <v>440.52</v>
      </c>
      <c r="F37" s="352">
        <f t="shared" si="3"/>
        <v>3083.64</v>
      </c>
      <c r="G37" s="357">
        <f t="shared" si="9"/>
        <v>9.5165177304874782E-3</v>
      </c>
      <c r="H37" s="363"/>
      <c r="I37" s="363">
        <v>7</v>
      </c>
      <c r="J37" s="350">
        <v>337.97</v>
      </c>
      <c r="K37" s="352">
        <f t="shared" si="4"/>
        <v>2365.79</v>
      </c>
      <c r="L37" s="353">
        <f t="shared" si="5"/>
        <v>8.2872142435038917E-3</v>
      </c>
      <c r="M37" s="355">
        <v>-0.22702714973213467</v>
      </c>
      <c r="N37" s="356">
        <f t="shared" si="8"/>
        <v>0.60617951973277739</v>
      </c>
      <c r="O37" s="1495">
        <v>1472.93</v>
      </c>
      <c r="P37" s="1720">
        <v>210.42</v>
      </c>
      <c r="Q37" s="1582">
        <v>43060</v>
      </c>
      <c r="R37" s="351" t="str">
        <f t="shared" si="1"/>
        <v>5 years</v>
      </c>
      <c r="S37" s="891" t="str">
        <f t="shared" si="2"/>
        <v>1 months</v>
      </c>
      <c r="T37" s="1672"/>
      <c r="U37" s="359"/>
      <c r="V37" s="360"/>
      <c r="W37" s="431"/>
      <c r="X37" s="431"/>
      <c r="Y37" s="431"/>
      <c r="Z37" s="431"/>
      <c r="AA37" s="431"/>
      <c r="AB37" s="431"/>
      <c r="AC37" s="431"/>
      <c r="AD37" s="431"/>
    </row>
    <row r="38" spans="1:30" ht="12.75" customHeight="1">
      <c r="A38" s="1671">
        <f t="shared" si="7"/>
        <v>30</v>
      </c>
      <c r="B38" s="374" t="s">
        <v>727</v>
      </c>
      <c r="C38" s="375" t="s">
        <v>728</v>
      </c>
      <c r="D38" s="351">
        <v>17</v>
      </c>
      <c r="E38" s="350">
        <v>336.35</v>
      </c>
      <c r="F38" s="352">
        <f t="shared" si="3"/>
        <v>5717.9500000000007</v>
      </c>
      <c r="G38" s="357">
        <f t="shared" si="9"/>
        <v>1.7646344111842138E-2</v>
      </c>
      <c r="H38" s="351"/>
      <c r="I38" s="351">
        <v>17</v>
      </c>
      <c r="J38" s="350">
        <v>120.34</v>
      </c>
      <c r="K38" s="352">
        <f t="shared" si="4"/>
        <v>2045.78</v>
      </c>
      <c r="L38" s="353">
        <f t="shared" si="5"/>
        <v>7.1662392499230237E-3</v>
      </c>
      <c r="M38" s="355">
        <v>-0.64221792775382791</v>
      </c>
      <c r="N38" s="356">
        <f t="shared" si="8"/>
        <v>-0.18665913934035183</v>
      </c>
      <c r="O38" s="1495">
        <v>2515.2800000000002</v>
      </c>
      <c r="P38" s="1720">
        <v>147.96</v>
      </c>
      <c r="Q38" s="1582">
        <v>42852</v>
      </c>
      <c r="R38" s="351" t="str">
        <f>DATEDIF(Q38,$I$6,"y")&amp;" years"</f>
        <v>5 years</v>
      </c>
      <c r="S38" s="891" t="str">
        <f>DATEDIF(Q38,$I$6,"ym")&amp;" months"</f>
        <v>8 months</v>
      </c>
      <c r="T38" s="1672"/>
      <c r="U38" s="359"/>
      <c r="V38" s="360"/>
      <c r="W38" s="431"/>
      <c r="X38" s="431"/>
      <c r="Y38" s="431"/>
      <c r="Z38" s="431"/>
      <c r="AA38" s="431"/>
      <c r="AB38" s="431"/>
      <c r="AC38" s="431"/>
      <c r="AD38" s="431"/>
    </row>
    <row r="39" spans="1:30" ht="12.75" customHeight="1">
      <c r="A39" s="1671">
        <f t="shared" si="7"/>
        <v>31</v>
      </c>
      <c r="B39" s="374" t="s">
        <v>40</v>
      </c>
      <c r="C39" s="362" t="s">
        <v>41</v>
      </c>
      <c r="D39" s="363">
        <v>75</v>
      </c>
      <c r="E39" s="350">
        <v>336.32</v>
      </c>
      <c r="F39" s="352">
        <f t="shared" si="3"/>
        <v>25224</v>
      </c>
      <c r="G39" s="357">
        <f t="shared" si="9"/>
        <v>7.7844574345194692E-2</v>
      </c>
      <c r="H39" s="363"/>
      <c r="I39" s="363">
        <v>75</v>
      </c>
      <c r="J39" s="350">
        <v>239.82</v>
      </c>
      <c r="K39" s="352">
        <f t="shared" si="4"/>
        <v>17986.5</v>
      </c>
      <c r="L39" s="353">
        <f t="shared" si="5"/>
        <v>6.3005583331902981E-2</v>
      </c>
      <c r="M39" s="355">
        <v>-0.27937678401522359</v>
      </c>
      <c r="N39" s="356">
        <f t="shared" si="8"/>
        <v>8.4211096968839865</v>
      </c>
      <c r="O39" s="1495">
        <v>1909.17</v>
      </c>
      <c r="P39" s="1720">
        <v>25.46</v>
      </c>
      <c r="Q39" s="1582">
        <v>38407</v>
      </c>
      <c r="R39" s="351" t="str">
        <f t="shared" si="1"/>
        <v>17 years</v>
      </c>
      <c r="S39" s="891" t="str">
        <f t="shared" si="2"/>
        <v>10 months</v>
      </c>
      <c r="T39" s="1672"/>
      <c r="U39" s="359"/>
      <c r="V39" s="360"/>
      <c r="W39" s="431"/>
      <c r="X39" s="431"/>
      <c r="Y39" s="431"/>
      <c r="Z39" s="431"/>
      <c r="AA39" s="431"/>
      <c r="AB39" s="431"/>
      <c r="AC39" s="431"/>
      <c r="AD39" s="431"/>
    </row>
    <row r="40" spans="1:30" ht="12.75" customHeight="1">
      <c r="A40" s="1671">
        <f t="shared" si="7"/>
        <v>32</v>
      </c>
      <c r="B40" s="361" t="s">
        <v>629</v>
      </c>
      <c r="C40" s="362" t="s">
        <v>194</v>
      </c>
      <c r="D40" s="363">
        <v>100</v>
      </c>
      <c r="E40" s="350">
        <v>294.11</v>
      </c>
      <c r="F40" s="352">
        <f t="shared" si="3"/>
        <v>29411</v>
      </c>
      <c r="G40" s="357">
        <f t="shared" si="9"/>
        <v>9.076620583834924E-2</v>
      </c>
      <c r="H40" s="363"/>
      <c r="I40" s="363">
        <v>100</v>
      </c>
      <c r="J40" s="350">
        <v>146.13999999999999</v>
      </c>
      <c r="K40" s="352">
        <f t="shared" si="4"/>
        <v>14613.999999999998</v>
      </c>
      <c r="L40" s="353">
        <f t="shared" si="5"/>
        <v>5.1191926990377785E-2</v>
      </c>
      <c r="M40" s="355">
        <v>-0.50256706674373541</v>
      </c>
      <c r="N40" s="356">
        <f t="shared" si="8"/>
        <v>2.0723109395628878</v>
      </c>
      <c r="O40" s="1495">
        <v>4756.68</v>
      </c>
      <c r="P40" s="1720">
        <v>47.57</v>
      </c>
      <c r="Q40" s="1582">
        <v>43746</v>
      </c>
      <c r="R40" s="351" t="str">
        <f t="shared" si="1"/>
        <v>3 years</v>
      </c>
      <c r="S40" s="891" t="str">
        <f t="shared" si="2"/>
        <v>2 months</v>
      </c>
      <c r="T40" s="1672"/>
      <c r="U40" s="359"/>
      <c r="V40" s="360"/>
      <c r="W40" s="431"/>
      <c r="X40" s="431"/>
      <c r="Y40" s="431"/>
      <c r="Z40" s="431"/>
      <c r="AA40" s="431"/>
      <c r="AB40" s="431"/>
      <c r="AC40" s="431"/>
      <c r="AD40" s="431"/>
    </row>
    <row r="41" spans="1:30" ht="12.75" customHeight="1">
      <c r="A41" s="1671">
        <f t="shared" si="7"/>
        <v>33</v>
      </c>
      <c r="B41" s="361" t="s">
        <v>729</v>
      </c>
      <c r="C41" s="362" t="s">
        <v>730</v>
      </c>
      <c r="D41" s="363"/>
      <c r="E41" s="350"/>
      <c r="F41" s="352"/>
      <c r="G41" s="357"/>
      <c r="H41" s="363"/>
      <c r="I41" s="363">
        <v>36</v>
      </c>
      <c r="J41" s="350">
        <v>81.569999999999993</v>
      </c>
      <c r="K41" s="352">
        <f t="shared" si="4"/>
        <v>2936.5199999999995</v>
      </c>
      <c r="L41" s="353">
        <f t="shared" si="5"/>
        <v>1.0286445699040931E-2</v>
      </c>
      <c r="M41" s="355">
        <v>1.3064713064712904E-2</v>
      </c>
      <c r="N41" s="356">
        <f t="shared" si="8"/>
        <v>-4.0293040293042206E-3</v>
      </c>
      <c r="O41" s="1495">
        <v>2948.4</v>
      </c>
      <c r="P41" s="1720">
        <v>81.900000000000006</v>
      </c>
      <c r="Q41" s="1582">
        <v>44655</v>
      </c>
      <c r="R41" s="351" t="str">
        <f t="shared" si="1"/>
        <v>0 years</v>
      </c>
      <c r="S41" s="891" t="str">
        <f t="shared" si="2"/>
        <v>8 months</v>
      </c>
      <c r="T41" s="1672"/>
      <c r="U41" s="359"/>
      <c r="V41" s="360"/>
      <c r="W41" s="431"/>
      <c r="X41" s="431"/>
      <c r="Y41" s="431"/>
      <c r="Z41" s="431"/>
      <c r="AA41" s="431"/>
      <c r="AB41" s="431"/>
      <c r="AC41" s="431"/>
      <c r="AD41" s="431"/>
    </row>
    <row r="42" spans="1:30" ht="12.75" customHeight="1">
      <c r="A42" s="1671">
        <f t="shared" si="7"/>
        <v>34</v>
      </c>
      <c r="B42" s="374" t="s">
        <v>658</v>
      </c>
      <c r="C42" s="362" t="s">
        <v>257</v>
      </c>
      <c r="D42" s="363">
        <v>60</v>
      </c>
      <c r="E42" s="350">
        <v>163.58000000000001</v>
      </c>
      <c r="F42" s="352">
        <f t="shared" si="3"/>
        <v>9814.8000000000011</v>
      </c>
      <c r="G42" s="357">
        <f>F42/$F$85</f>
        <v>3.028976087389855E-2</v>
      </c>
      <c r="H42" s="363"/>
      <c r="I42" s="363">
        <v>60</v>
      </c>
      <c r="J42" s="350">
        <v>151.56</v>
      </c>
      <c r="K42" s="352">
        <f t="shared" si="4"/>
        <v>9093.6</v>
      </c>
      <c r="L42" s="353">
        <f t="shared" si="5"/>
        <v>3.1854311432852021E-2</v>
      </c>
      <c r="M42" s="355">
        <v>-5.1413579492195598E-2</v>
      </c>
      <c r="N42" s="356">
        <f t="shared" si="8"/>
        <v>0.98999923407700829</v>
      </c>
      <c r="O42" s="1495">
        <v>4569.6499999999996</v>
      </c>
      <c r="P42" s="1720">
        <v>76.16</v>
      </c>
      <c r="Q42" s="1582">
        <v>40127</v>
      </c>
      <c r="R42" s="351" t="str">
        <f t="shared" si="1"/>
        <v>13 years</v>
      </c>
      <c r="S42" s="891" t="str">
        <f t="shared" si="2"/>
        <v>1 months</v>
      </c>
      <c r="T42" s="1672"/>
      <c r="U42" s="359"/>
      <c r="V42" s="360"/>
      <c r="W42" s="431"/>
      <c r="X42" s="431"/>
      <c r="Y42" s="431"/>
      <c r="Z42" s="431"/>
      <c r="AA42" s="431"/>
      <c r="AB42" s="431"/>
      <c r="AC42" s="431"/>
      <c r="AD42" s="431"/>
    </row>
    <row r="43" spans="1:30" ht="12.75" customHeight="1">
      <c r="A43" s="1671">
        <f t="shared" si="7"/>
        <v>35</v>
      </c>
      <c r="B43" s="374" t="s">
        <v>365</v>
      </c>
      <c r="C43" s="362" t="s">
        <v>80</v>
      </c>
      <c r="D43" s="363">
        <v>60</v>
      </c>
      <c r="E43" s="350">
        <v>66.73</v>
      </c>
      <c r="F43" s="352">
        <f t="shared" si="3"/>
        <v>4003.8</v>
      </c>
      <c r="G43" s="357">
        <f>F43/$F$85</f>
        <v>1.2356252250368321E-2</v>
      </c>
      <c r="H43" s="363"/>
      <c r="I43" s="363">
        <v>60</v>
      </c>
      <c r="J43" s="350">
        <v>61.27</v>
      </c>
      <c r="K43" s="352">
        <f t="shared" si="4"/>
        <v>3676.2000000000003</v>
      </c>
      <c r="L43" s="353">
        <f t="shared" si="5"/>
        <v>1.2877498426305381E-2</v>
      </c>
      <c r="M43" s="355">
        <v>-4.9453019631350216E-2</v>
      </c>
      <c r="N43" s="356">
        <f t="shared" si="8"/>
        <v>0.84678914291742668</v>
      </c>
      <c r="O43" s="1495">
        <v>1990.59</v>
      </c>
      <c r="P43" s="1720">
        <v>33.18</v>
      </c>
      <c r="Q43" s="1582">
        <v>41605</v>
      </c>
      <c r="R43" s="351" t="str">
        <f t="shared" si="1"/>
        <v>9 years</v>
      </c>
      <c r="S43" s="891" t="str">
        <f t="shared" si="2"/>
        <v>1 months</v>
      </c>
      <c r="T43" s="1672"/>
      <c r="U43" s="359"/>
      <c r="V43" s="360"/>
      <c r="W43" s="431"/>
      <c r="X43" s="431"/>
      <c r="Y43" s="431"/>
      <c r="Z43" s="431"/>
      <c r="AA43" s="431"/>
      <c r="AB43" s="431"/>
      <c r="AC43" s="431"/>
      <c r="AD43" s="431"/>
    </row>
    <row r="44" spans="1:30" ht="12.75" customHeight="1">
      <c r="A44" s="1671">
        <f t="shared" si="7"/>
        <v>36</v>
      </c>
      <c r="B44" s="374" t="s">
        <v>731</v>
      </c>
      <c r="C44" s="362" t="s">
        <v>732</v>
      </c>
      <c r="D44" s="363"/>
      <c r="E44" s="350"/>
      <c r="F44" s="352"/>
      <c r="G44" s="357"/>
      <c r="H44" s="363"/>
      <c r="I44" s="363">
        <v>12</v>
      </c>
      <c r="J44" s="350">
        <v>257.57</v>
      </c>
      <c r="K44" s="352">
        <f t="shared" si="4"/>
        <v>3090.84</v>
      </c>
      <c r="L44" s="353">
        <f t="shared" si="5"/>
        <v>1.0827018996779752E-2</v>
      </c>
      <c r="M44" s="355">
        <v>-4.8454134461134613E-2</v>
      </c>
      <c r="N44" s="356">
        <f t="shared" si="8"/>
        <v>-6.0923144232171496E-2</v>
      </c>
      <c r="O44" s="1495">
        <v>3291.36</v>
      </c>
      <c r="P44" s="1720">
        <v>274.27999999999997</v>
      </c>
      <c r="Q44" s="1582">
        <v>44642</v>
      </c>
      <c r="R44" s="351" t="str">
        <f t="shared" si="1"/>
        <v>0 years</v>
      </c>
      <c r="S44" s="891" t="str">
        <f t="shared" si="2"/>
        <v>9 months</v>
      </c>
      <c r="T44" s="1672"/>
      <c r="U44" s="359"/>
      <c r="V44" s="360"/>
      <c r="W44" s="431"/>
      <c r="X44" s="431"/>
      <c r="Y44" s="431"/>
      <c r="Z44" s="431"/>
      <c r="AA44" s="431"/>
      <c r="AB44" s="431"/>
      <c r="AC44" s="431"/>
      <c r="AD44" s="431"/>
    </row>
    <row r="45" spans="1:30" ht="12.75" customHeight="1">
      <c r="A45" s="1671">
        <f t="shared" si="7"/>
        <v>37</v>
      </c>
      <c r="B45" s="374" t="s">
        <v>659</v>
      </c>
      <c r="C45" s="362" t="s">
        <v>660</v>
      </c>
      <c r="D45" s="363">
        <v>6</v>
      </c>
      <c r="E45" s="350">
        <v>491.86</v>
      </c>
      <c r="F45" s="352">
        <f t="shared" si="3"/>
        <v>2951.16</v>
      </c>
      <c r="G45" s="357">
        <f t="shared" ref="G45:G53" si="10">F45/$F$85</f>
        <v>9.1076670640883595E-3</v>
      </c>
      <c r="H45" s="363"/>
      <c r="I45" s="363">
        <v>6</v>
      </c>
      <c r="J45" s="350">
        <v>432.09</v>
      </c>
      <c r="K45" s="352">
        <f t="shared" si="4"/>
        <v>2592.54</v>
      </c>
      <c r="L45" s="353">
        <f t="shared" si="5"/>
        <v>9.0815052962661853E-3</v>
      </c>
      <c r="M45" s="355">
        <v>-0.11647623307445201</v>
      </c>
      <c r="N45" s="356">
        <f t="shared" si="8"/>
        <v>9.8627002288329421E-2</v>
      </c>
      <c r="O45" s="1495">
        <v>2359.8000000000002</v>
      </c>
      <c r="P45" s="1720">
        <v>393.3</v>
      </c>
      <c r="Q45" s="1582">
        <v>44148</v>
      </c>
      <c r="R45" s="351" t="str">
        <f t="shared" si="1"/>
        <v>2 years</v>
      </c>
      <c r="S45" s="891" t="str">
        <f t="shared" si="2"/>
        <v>1 months</v>
      </c>
      <c r="T45" s="1672"/>
      <c r="U45" s="359"/>
      <c r="V45" s="360"/>
      <c r="W45" s="431"/>
      <c r="X45" s="431"/>
      <c r="Y45" s="431"/>
      <c r="Z45" s="431"/>
      <c r="AA45" s="431"/>
      <c r="AB45" s="431"/>
      <c r="AC45" s="431"/>
      <c r="AD45" s="431"/>
    </row>
    <row r="46" spans="1:30" ht="12.75" customHeight="1">
      <c r="A46" s="1671">
        <f t="shared" si="7"/>
        <v>38</v>
      </c>
      <c r="B46" s="374" t="s">
        <v>683</v>
      </c>
      <c r="C46" s="362" t="s">
        <v>684</v>
      </c>
      <c r="D46" s="363">
        <v>35</v>
      </c>
      <c r="E46" s="350">
        <v>115.98</v>
      </c>
      <c r="F46" s="352">
        <f t="shared" si="3"/>
        <v>4059.3</v>
      </c>
      <c r="G46" s="357">
        <f t="shared" si="10"/>
        <v>1.2527532534072662E-2</v>
      </c>
      <c r="H46" s="363"/>
      <c r="I46" s="363">
        <v>35</v>
      </c>
      <c r="J46" s="350">
        <v>140</v>
      </c>
      <c r="K46" s="352">
        <f t="shared" si="4"/>
        <v>4900</v>
      </c>
      <c r="L46" s="353">
        <f t="shared" si="5"/>
        <v>1.7164393201919471E-2</v>
      </c>
      <c r="M46" s="355">
        <v>0.20710467321952056</v>
      </c>
      <c r="N46" s="356">
        <f t="shared" si="8"/>
        <v>0.20481927710843373</v>
      </c>
      <c r="O46" s="1495">
        <v>4067</v>
      </c>
      <c r="P46" s="1720">
        <v>116.2</v>
      </c>
      <c r="Q46" s="1582">
        <v>44494</v>
      </c>
      <c r="R46" s="351" t="str">
        <f t="shared" si="1"/>
        <v>1 years</v>
      </c>
      <c r="S46" s="891" t="str">
        <f t="shared" si="2"/>
        <v>2 months</v>
      </c>
      <c r="T46" s="1672"/>
      <c r="U46" s="359"/>
      <c r="V46" s="360"/>
      <c r="W46" s="431"/>
      <c r="X46" s="431"/>
      <c r="Y46" s="431"/>
      <c r="Z46" s="431"/>
      <c r="AA46" s="431"/>
      <c r="AB46" s="431"/>
      <c r="AC46" s="431"/>
      <c r="AD46" s="431"/>
    </row>
    <row r="47" spans="1:30" ht="12.75" customHeight="1">
      <c r="A47" s="1671">
        <f t="shared" si="7"/>
        <v>39</v>
      </c>
      <c r="B47" s="374" t="s">
        <v>685</v>
      </c>
      <c r="C47" s="362" t="s">
        <v>686</v>
      </c>
      <c r="D47" s="363">
        <v>30</v>
      </c>
      <c r="E47" s="350">
        <v>120.31</v>
      </c>
      <c r="F47" s="352">
        <f t="shared" si="3"/>
        <v>3609.3</v>
      </c>
      <c r="G47" s="357">
        <f t="shared" si="10"/>
        <v>1.1138773477010436E-2</v>
      </c>
      <c r="H47" s="363"/>
      <c r="I47" s="363">
        <v>30</v>
      </c>
      <c r="J47" s="350">
        <v>74.489999999999995</v>
      </c>
      <c r="K47" s="352">
        <f t="shared" si="4"/>
        <v>2234.6999999999998</v>
      </c>
      <c r="L47" s="353">
        <f t="shared" si="5"/>
        <v>7.8280141812917224E-3</v>
      </c>
      <c r="M47" s="355">
        <v>-0.36857695675061658</v>
      </c>
      <c r="N47" s="356">
        <f t="shared" si="8"/>
        <v>-0.35240165181482291</v>
      </c>
      <c r="O47" s="1495">
        <v>3450.75</v>
      </c>
      <c r="P47" s="1720">
        <v>115.03</v>
      </c>
      <c r="Q47" s="1582">
        <v>44308</v>
      </c>
      <c r="R47" s="351" t="str">
        <f t="shared" si="1"/>
        <v>1 years</v>
      </c>
      <c r="S47" s="891" t="str">
        <f t="shared" si="2"/>
        <v>8 months</v>
      </c>
      <c r="T47" s="1672"/>
      <c r="U47" s="359"/>
      <c r="V47" s="360"/>
      <c r="W47" s="431"/>
      <c r="X47" s="431"/>
      <c r="Y47" s="431"/>
      <c r="Z47" s="431"/>
      <c r="AA47" s="431"/>
      <c r="AB47" s="431"/>
      <c r="AC47" s="431"/>
      <c r="AD47" s="431"/>
    </row>
    <row r="48" spans="1:30" ht="12.75" customHeight="1">
      <c r="A48" s="1671">
        <f t="shared" si="7"/>
        <v>40</v>
      </c>
      <c r="B48" s="374" t="s">
        <v>733</v>
      </c>
      <c r="C48" s="362" t="s">
        <v>611</v>
      </c>
      <c r="D48" s="363">
        <v>94</v>
      </c>
      <c r="E48" s="350">
        <v>46.54</v>
      </c>
      <c r="F48" s="352">
        <f>D48*E48</f>
        <v>4374.76</v>
      </c>
      <c r="G48" s="357">
        <f t="shared" si="10"/>
        <v>1.3501083494385663E-2</v>
      </c>
      <c r="H48" s="363"/>
      <c r="I48" s="363">
        <v>94</v>
      </c>
      <c r="J48" s="350">
        <v>39.86</v>
      </c>
      <c r="K48" s="352">
        <f>I48*J48</f>
        <v>3746.84</v>
      </c>
      <c r="L48" s="353">
        <f t="shared" si="5"/>
        <v>1.3124945923404073E-2</v>
      </c>
      <c r="M48" s="355">
        <v>-9.3383408461264208E-2</v>
      </c>
      <c r="N48" s="356">
        <f t="shared" si="8"/>
        <v>-7.0731120552178436E-2</v>
      </c>
      <c r="O48" s="1495">
        <v>4032.03</v>
      </c>
      <c r="P48" s="1720">
        <v>42.89</v>
      </c>
      <c r="Q48" s="1582">
        <v>43217</v>
      </c>
      <c r="R48" s="351" t="str">
        <f>DATEDIF(Q48,$I$6,"y")&amp;" years"</f>
        <v>4 years</v>
      </c>
      <c r="S48" s="891" t="str">
        <f>DATEDIF(Q48,$I$6,"ym")&amp;" months"</f>
        <v>8 months</v>
      </c>
      <c r="T48" s="1672"/>
      <c r="U48" s="359"/>
      <c r="V48" s="360"/>
      <c r="W48" s="431"/>
      <c r="X48" s="431"/>
      <c r="Y48" s="431"/>
      <c r="Z48" s="431"/>
      <c r="AA48" s="431"/>
      <c r="AB48" s="431"/>
      <c r="AC48" s="431"/>
      <c r="AD48" s="431"/>
    </row>
    <row r="49" spans="1:30" ht="12.75" customHeight="1">
      <c r="A49" s="1671">
        <f t="shared" si="7"/>
        <v>41</v>
      </c>
      <c r="B49" s="374" t="s">
        <v>630</v>
      </c>
      <c r="C49" s="362" t="s">
        <v>124</v>
      </c>
      <c r="D49" s="363">
        <v>43</v>
      </c>
      <c r="E49" s="350">
        <v>75.92</v>
      </c>
      <c r="F49" s="352">
        <f t="shared" si="3"/>
        <v>3264.56</v>
      </c>
      <c r="G49" s="357">
        <f t="shared" si="10"/>
        <v>1.0074860594051252E-2</v>
      </c>
      <c r="H49" s="363"/>
      <c r="I49" s="363">
        <v>43</v>
      </c>
      <c r="J49" s="350">
        <v>79.599999999999994</v>
      </c>
      <c r="K49" s="352">
        <f t="shared" si="4"/>
        <v>3422.7999999999997</v>
      </c>
      <c r="L49" s="353">
        <f t="shared" si="5"/>
        <v>1.1989854092148972E-2</v>
      </c>
      <c r="M49" s="355">
        <v>6.355374077976815E-2</v>
      </c>
      <c r="N49" s="356">
        <f t="shared" si="8"/>
        <v>0.4590313477753053</v>
      </c>
      <c r="O49" s="1495">
        <v>2345.94</v>
      </c>
      <c r="P49" s="1720">
        <v>54.56</v>
      </c>
      <c r="Q49" s="1582">
        <v>43577</v>
      </c>
      <c r="R49" s="351" t="str">
        <f t="shared" si="1"/>
        <v>3 years</v>
      </c>
      <c r="S49" s="891" t="str">
        <f t="shared" si="2"/>
        <v>8 months</v>
      </c>
      <c r="T49" s="1672"/>
      <c r="U49" s="359"/>
      <c r="V49" s="360"/>
      <c r="W49" s="431"/>
      <c r="X49" s="431"/>
      <c r="Y49" s="431"/>
      <c r="Z49" s="431"/>
      <c r="AA49" s="431"/>
      <c r="AB49" s="431"/>
      <c r="AC49" s="431"/>
      <c r="AD49" s="431"/>
    </row>
    <row r="50" spans="1:30" ht="12.75" customHeight="1">
      <c r="A50" s="1671">
        <f t="shared" si="7"/>
        <v>42</v>
      </c>
      <c r="B50" s="374" t="s">
        <v>661</v>
      </c>
      <c r="C50" s="362" t="s">
        <v>173</v>
      </c>
      <c r="D50" s="363">
        <v>40</v>
      </c>
      <c r="E50" s="350">
        <v>502.14</v>
      </c>
      <c r="F50" s="352">
        <f>D50*E50</f>
        <v>20085.599999999999</v>
      </c>
      <c r="G50" s="357">
        <f t="shared" si="10"/>
        <v>6.1986797592286806E-2</v>
      </c>
      <c r="H50" s="363"/>
      <c r="I50" s="363">
        <v>40</v>
      </c>
      <c r="J50" s="350">
        <v>530.17999999999995</v>
      </c>
      <c r="K50" s="352">
        <f t="shared" si="4"/>
        <v>21207.199999999997</v>
      </c>
      <c r="L50" s="353">
        <f t="shared" si="5"/>
        <v>7.4287493777907471E-2</v>
      </c>
      <c r="M50" s="355">
        <v>6.8586449994025508E-2</v>
      </c>
      <c r="N50" s="356">
        <f t="shared" si="8"/>
        <v>8.0357985871445479</v>
      </c>
      <c r="O50" s="1495">
        <v>2347.02</v>
      </c>
      <c r="P50" s="1720">
        <v>58.68</v>
      </c>
      <c r="Q50" s="1582">
        <v>41025</v>
      </c>
      <c r="R50" s="351" t="str">
        <f>DATEDIF(Q50,$I$6,"y")&amp;" years"</f>
        <v>10 years</v>
      </c>
      <c r="S50" s="891" t="str">
        <f>DATEDIF(Q50,$I$6,"ym")&amp;" months"</f>
        <v>8 months</v>
      </c>
      <c r="T50" s="1672"/>
      <c r="U50" s="359"/>
      <c r="V50" s="360"/>
      <c r="W50" s="431"/>
      <c r="X50" s="431"/>
      <c r="Y50" s="431"/>
      <c r="Z50" s="431"/>
      <c r="AA50" s="431"/>
      <c r="AB50" s="431"/>
      <c r="AC50" s="431"/>
      <c r="AD50" s="431"/>
    </row>
    <row r="51" spans="1:30" ht="12.75" customHeight="1">
      <c r="A51" s="1671">
        <f t="shared" si="7"/>
        <v>43</v>
      </c>
      <c r="B51" s="374" t="s">
        <v>467</v>
      </c>
      <c r="C51" s="362" t="s">
        <v>468</v>
      </c>
      <c r="D51" s="363">
        <v>40</v>
      </c>
      <c r="E51" s="350">
        <v>216.71</v>
      </c>
      <c r="F51" s="352">
        <f>D51*E51</f>
        <v>8668.4</v>
      </c>
      <c r="G51" s="357">
        <f t="shared" si="10"/>
        <v>2.6751820022751574E-2</v>
      </c>
      <c r="H51" s="363"/>
      <c r="I51" s="363">
        <v>40</v>
      </c>
      <c r="J51" s="350">
        <v>207.76</v>
      </c>
      <c r="K51" s="352">
        <f t="shared" si="4"/>
        <v>8310.4</v>
      </c>
      <c r="L51" s="353">
        <f t="shared" si="5"/>
        <v>2.9110810870455424E-2</v>
      </c>
      <c r="M51" s="355">
        <v>-3.4031655207420054E-2</v>
      </c>
      <c r="N51" s="356">
        <f t="shared" si="8"/>
        <v>2.1646731327994395</v>
      </c>
      <c r="O51" s="1495">
        <v>2625.99</v>
      </c>
      <c r="P51" s="1720">
        <v>65.650000000000006</v>
      </c>
      <c r="Q51" s="1582">
        <v>42095</v>
      </c>
      <c r="R51" s="351" t="str">
        <f>DATEDIF(Q51,$I$6,"y")&amp;" years"</f>
        <v>7 years</v>
      </c>
      <c r="S51" s="891" t="str">
        <f>DATEDIF(Q51,$I$6,"ym")&amp;" months"</f>
        <v>8 months</v>
      </c>
      <c r="T51" s="1672"/>
      <c r="U51" s="359"/>
      <c r="V51" s="360"/>
      <c r="W51" s="431"/>
      <c r="X51" s="431"/>
      <c r="Y51" s="431"/>
      <c r="Z51" s="431"/>
      <c r="AA51" s="431"/>
      <c r="AB51" s="431"/>
      <c r="AC51" s="431"/>
      <c r="AD51" s="431"/>
    </row>
    <row r="52" spans="1:30" ht="12.75" customHeight="1">
      <c r="A52" s="1671">
        <f t="shared" si="7"/>
        <v>44</v>
      </c>
      <c r="B52" s="361" t="s">
        <v>469</v>
      </c>
      <c r="C52" s="362" t="s">
        <v>470</v>
      </c>
      <c r="D52" s="363">
        <v>60</v>
      </c>
      <c r="E52" s="350">
        <v>154.88999999999999</v>
      </c>
      <c r="F52" s="352">
        <f t="shared" si="3"/>
        <v>9293.4</v>
      </c>
      <c r="G52" s="357">
        <f t="shared" si="10"/>
        <v>2.8680652046449109E-2</v>
      </c>
      <c r="H52" s="363"/>
      <c r="I52" s="363">
        <v>60</v>
      </c>
      <c r="J52" s="350">
        <v>86.88</v>
      </c>
      <c r="K52" s="352">
        <f t="shared" si="4"/>
        <v>5212.7999999999993</v>
      </c>
      <c r="L52" s="353">
        <f t="shared" si="5"/>
        <v>1.8260112016931798E-2</v>
      </c>
      <c r="M52" s="355">
        <v>-0.43908580282781334</v>
      </c>
      <c r="N52" s="356">
        <f t="shared" si="8"/>
        <v>-0.27495775176816678</v>
      </c>
      <c r="O52" s="1495">
        <v>7189.65</v>
      </c>
      <c r="P52" s="1720">
        <v>119.83</v>
      </c>
      <c r="Q52" s="1582">
        <v>42096</v>
      </c>
      <c r="R52" s="351" t="str">
        <f t="shared" si="1"/>
        <v>7 years</v>
      </c>
      <c r="S52" s="891" t="str">
        <f t="shared" si="2"/>
        <v>8 months</v>
      </c>
      <c r="T52" s="1672"/>
      <c r="U52" s="359"/>
      <c r="V52" s="360"/>
      <c r="W52" s="431"/>
      <c r="X52" s="431"/>
      <c r="Y52" s="431"/>
      <c r="Z52" s="431"/>
      <c r="AA52" s="431"/>
      <c r="AB52" s="431"/>
      <c r="AC52" s="431"/>
      <c r="AD52" s="431"/>
    </row>
    <row r="53" spans="1:30" ht="12.75" customHeight="1">
      <c r="A53" s="1671"/>
      <c r="B53" s="1345" t="s">
        <v>375</v>
      </c>
      <c r="C53" s="362"/>
      <c r="D53" s="363"/>
      <c r="E53" s="350"/>
      <c r="F53" s="581">
        <f>SUM(F9:F52)</f>
        <v>278316.87000000005</v>
      </c>
      <c r="G53" s="417">
        <f t="shared" si="10"/>
        <v>0.85892238654602326</v>
      </c>
      <c r="H53" s="363"/>
      <c r="I53" s="363"/>
      <c r="J53" s="350"/>
      <c r="K53" s="581">
        <f>SUM(K9:K52)</f>
        <v>230900.92999999996</v>
      </c>
      <c r="L53" s="407">
        <f>K53/$K$85</f>
        <v>0.80883150065487419</v>
      </c>
      <c r="M53" s="355"/>
      <c r="N53" s="1312"/>
      <c r="O53" s="1495"/>
      <c r="P53" s="1720"/>
      <c r="Q53" s="1582"/>
      <c r="R53" s="351"/>
      <c r="S53" s="891"/>
      <c r="T53" s="1672"/>
      <c r="U53" s="359"/>
      <c r="V53" s="360"/>
      <c r="W53" s="431"/>
      <c r="X53" s="431"/>
      <c r="Y53" s="431"/>
      <c r="Z53" s="431"/>
      <c r="AA53" s="431"/>
      <c r="AB53" s="431"/>
      <c r="AC53" s="431"/>
      <c r="AD53" s="431"/>
    </row>
    <row r="54" spans="1:30" ht="12.75" customHeight="1">
      <c r="A54" s="1671"/>
      <c r="B54" s="1346"/>
      <c r="C54" s="362"/>
      <c r="D54" s="363"/>
      <c r="E54" s="350"/>
      <c r="F54" s="352"/>
      <c r="G54" s="357"/>
      <c r="H54" s="363"/>
      <c r="I54" s="363"/>
      <c r="J54" s="350"/>
      <c r="K54" s="352"/>
      <c r="L54" s="353"/>
      <c r="M54" s="355"/>
      <c r="N54" s="1312"/>
      <c r="O54" s="1495"/>
      <c r="P54" s="1720"/>
      <c r="Q54" s="1582"/>
      <c r="R54" s="351"/>
      <c r="S54" s="891"/>
      <c r="T54" s="1672"/>
      <c r="U54" s="359"/>
      <c r="V54" s="360"/>
      <c r="W54" s="431"/>
      <c r="X54" s="431"/>
      <c r="Y54" s="431"/>
      <c r="Z54" s="431"/>
      <c r="AA54" s="431"/>
      <c r="AB54" s="431"/>
      <c r="AC54" s="431"/>
      <c r="AD54" s="431"/>
    </row>
    <row r="55" spans="1:30" ht="12.75" customHeight="1">
      <c r="A55" s="1671"/>
      <c r="B55" s="1345" t="s">
        <v>563</v>
      </c>
      <c r="C55" s="362"/>
      <c r="D55" s="363"/>
      <c r="E55" s="350"/>
      <c r="F55" s="352"/>
      <c r="G55" s="357"/>
      <c r="H55" s="363"/>
      <c r="I55" s="363"/>
      <c r="J55" s="350"/>
      <c r="K55" s="352"/>
      <c r="L55" s="353"/>
      <c r="M55" s="355"/>
      <c r="N55" s="1312"/>
      <c r="O55" s="1495"/>
      <c r="P55" s="1720"/>
      <c r="Q55" s="1582"/>
      <c r="R55" s="351"/>
      <c r="S55" s="891"/>
      <c r="T55" s="1672"/>
      <c r="U55" s="359"/>
      <c r="V55" s="360"/>
      <c r="W55" s="431"/>
      <c r="X55" s="431"/>
      <c r="Y55" s="431"/>
      <c r="Z55" s="431"/>
      <c r="AA55" s="431"/>
      <c r="AB55" s="431"/>
      <c r="AC55" s="431"/>
      <c r="AD55" s="431"/>
    </row>
    <row r="56" spans="1:30" ht="12.75" customHeight="1">
      <c r="A56" s="1671"/>
      <c r="B56" s="1345" t="s">
        <v>375</v>
      </c>
      <c r="C56" s="362"/>
      <c r="D56" s="363"/>
      <c r="E56" s="350"/>
      <c r="F56" s="581">
        <v>0</v>
      </c>
      <c r="G56" s="417">
        <f>F56/$F$85</f>
        <v>0</v>
      </c>
      <c r="H56" s="130"/>
      <c r="I56" s="363"/>
      <c r="J56" s="350"/>
      <c r="K56" s="581">
        <v>0</v>
      </c>
      <c r="L56" s="407">
        <f>K56/$K$85</f>
        <v>0</v>
      </c>
      <c r="M56" s="355"/>
      <c r="N56" s="1312"/>
      <c r="O56" s="1495"/>
      <c r="P56" s="1720"/>
      <c r="Q56" s="1582"/>
      <c r="R56" s="351"/>
      <c r="S56" s="891"/>
      <c r="T56" s="1672"/>
      <c r="U56" s="359"/>
      <c r="V56" s="360"/>
      <c r="W56" s="431"/>
      <c r="X56" s="431"/>
      <c r="Y56" s="431"/>
      <c r="Z56" s="431"/>
      <c r="AA56" s="431"/>
      <c r="AB56" s="431"/>
      <c r="AC56" s="431"/>
      <c r="AD56" s="431"/>
    </row>
    <row r="57" spans="1:30" ht="12.75" customHeight="1">
      <c r="A57" s="1671"/>
      <c r="B57" s="1346"/>
      <c r="C57" s="362"/>
      <c r="D57" s="363"/>
      <c r="E57" s="350"/>
      <c r="F57" s="352"/>
      <c r="G57" s="357"/>
      <c r="H57" s="130"/>
      <c r="I57" s="363"/>
      <c r="J57" s="350"/>
      <c r="K57" s="352"/>
      <c r="L57" s="353"/>
      <c r="M57" s="355"/>
      <c r="N57" s="1312"/>
      <c r="O57" s="1495"/>
      <c r="P57" s="1720"/>
      <c r="Q57" s="1582"/>
      <c r="R57" s="351"/>
      <c r="S57" s="891"/>
      <c r="T57" s="1672"/>
      <c r="U57" s="359"/>
      <c r="V57" s="360"/>
      <c r="W57" s="431"/>
      <c r="X57" s="431"/>
      <c r="Y57" s="431"/>
      <c r="Z57" s="431"/>
      <c r="AA57" s="431"/>
      <c r="AB57" s="431"/>
      <c r="AC57" s="431"/>
      <c r="AD57" s="431"/>
    </row>
    <row r="58" spans="1:30" ht="12.75" customHeight="1">
      <c r="A58" s="1671"/>
      <c r="B58" s="1345" t="s">
        <v>567</v>
      </c>
      <c r="C58" s="362"/>
      <c r="D58" s="363"/>
      <c r="E58" s="350"/>
      <c r="F58" s="352"/>
      <c r="G58" s="357"/>
      <c r="H58" s="130"/>
      <c r="I58" s="363"/>
      <c r="J58" s="350"/>
      <c r="K58" s="352"/>
      <c r="L58" s="353"/>
      <c r="M58" s="355"/>
      <c r="N58" s="1312"/>
      <c r="O58" s="1495"/>
      <c r="P58" s="1720"/>
      <c r="Q58" s="1582"/>
      <c r="R58" s="351"/>
      <c r="S58" s="891"/>
      <c r="T58" s="1672"/>
      <c r="U58" s="359"/>
      <c r="V58" s="360"/>
      <c r="W58" s="431"/>
      <c r="X58" s="431"/>
      <c r="Y58" s="431"/>
      <c r="Z58" s="431"/>
      <c r="AA58" s="431"/>
      <c r="AB58" s="431"/>
      <c r="AC58" s="431"/>
      <c r="AD58" s="431"/>
    </row>
    <row r="59" spans="1:30" ht="12.75" customHeight="1">
      <c r="A59" s="1671">
        <v>45</v>
      </c>
      <c r="B59" s="1674" t="s">
        <v>734</v>
      </c>
      <c r="C59" s="362" t="s">
        <v>694</v>
      </c>
      <c r="D59" s="363">
        <v>79</v>
      </c>
      <c r="E59" s="350">
        <v>62.89</v>
      </c>
      <c r="F59" s="352">
        <f>D59*E59</f>
        <v>4968.3100000000004</v>
      </c>
      <c r="G59" s="357">
        <f>F59/$F$85</f>
        <v>1.533285669065074E-2</v>
      </c>
      <c r="H59" s="130"/>
      <c r="I59" s="363">
        <v>79</v>
      </c>
      <c r="J59" s="350">
        <v>51.79</v>
      </c>
      <c r="K59" s="352">
        <f>I59*J59</f>
        <v>4091.41</v>
      </c>
      <c r="L59" s="353">
        <f>K59/$K$85</f>
        <v>1.4331953059237826E-2</v>
      </c>
      <c r="M59" s="355">
        <v>-0.11726120149507581</v>
      </c>
      <c r="N59" s="1724">
        <f>(K59-O59)/O59</f>
        <v>-0.18677140250483493</v>
      </c>
      <c r="O59" s="1495">
        <v>5031.07</v>
      </c>
      <c r="P59" s="1720">
        <v>63.68</v>
      </c>
      <c r="Q59" s="1582">
        <v>44510</v>
      </c>
      <c r="R59" s="351" t="str">
        <f t="shared" ref="R59:R70" si="11">DATEDIF(Q59,$I$6,"y")&amp;" years"</f>
        <v>1 years</v>
      </c>
      <c r="S59" s="891" t="str">
        <f t="shared" ref="S59:S70" si="12">DATEDIF(Q59,$I$6,"ym")&amp;" months"</f>
        <v>1 months</v>
      </c>
      <c r="T59" s="1672"/>
      <c r="U59" s="359"/>
      <c r="V59" s="360"/>
      <c r="W59" s="431"/>
      <c r="X59" s="431"/>
      <c r="Y59" s="431"/>
      <c r="Z59" s="431"/>
      <c r="AA59" s="431"/>
      <c r="AB59" s="431"/>
      <c r="AC59" s="431"/>
      <c r="AD59" s="431"/>
    </row>
    <row r="60" spans="1:30" ht="12.75" customHeight="1">
      <c r="A60" s="1671">
        <f>1+A59</f>
        <v>46</v>
      </c>
      <c r="B60" s="1674" t="s">
        <v>695</v>
      </c>
      <c r="C60" s="362" t="s">
        <v>696</v>
      </c>
      <c r="D60" s="363">
        <v>47</v>
      </c>
      <c r="E60" s="350">
        <v>105.88</v>
      </c>
      <c r="F60" s="352">
        <f t="shared" ref="F60:F66" si="13">D60*E60</f>
        <v>4976.3599999999997</v>
      </c>
      <c r="G60" s="357">
        <f t="shared" ref="G60:G66" si="14">F60/$F$85</f>
        <v>1.5357700047115962E-2</v>
      </c>
      <c r="H60" s="130"/>
      <c r="I60" s="363">
        <v>47</v>
      </c>
      <c r="J60" s="350">
        <v>96.96</v>
      </c>
      <c r="K60" s="352">
        <f t="shared" ref="K60:K70" si="15">I60*J60</f>
        <v>4557.12</v>
      </c>
      <c r="L60" s="353">
        <f t="shared" ref="L60:L70" si="16">K60/$K$85</f>
        <v>1.5963306030271688E-2</v>
      </c>
      <c r="M60" s="355">
        <v>-2.8888585230971899E-2</v>
      </c>
      <c r="N60" s="1724">
        <f t="shared" ref="N60:N63" si="17">(K60-O60)/O60</f>
        <v>-8.936461024752565E-2</v>
      </c>
      <c r="O60" s="1495">
        <v>5004.33</v>
      </c>
      <c r="P60" s="1720">
        <v>106.48</v>
      </c>
      <c r="Q60" s="1582">
        <v>44510</v>
      </c>
      <c r="R60" s="351" t="str">
        <f t="shared" si="11"/>
        <v>1 years</v>
      </c>
      <c r="S60" s="891" t="str">
        <f t="shared" si="12"/>
        <v>1 months</v>
      </c>
      <c r="T60" s="1672"/>
      <c r="U60" s="359"/>
      <c r="V60" s="360"/>
      <c r="W60" s="431"/>
      <c r="X60" s="431"/>
      <c r="Y60" s="431"/>
      <c r="Z60" s="431"/>
      <c r="AA60" s="431"/>
      <c r="AB60" s="431"/>
      <c r="AC60" s="431"/>
      <c r="AD60" s="431"/>
    </row>
    <row r="61" spans="1:30" ht="12.75" customHeight="1">
      <c r="A61" s="1671">
        <f t="shared" ref="A61:A70" si="18">1+A60</f>
        <v>47</v>
      </c>
      <c r="B61" s="1674" t="s">
        <v>735</v>
      </c>
      <c r="C61" s="362" t="s">
        <v>698</v>
      </c>
      <c r="D61" s="363">
        <v>97</v>
      </c>
      <c r="E61" s="350">
        <v>51.05</v>
      </c>
      <c r="F61" s="352">
        <f t="shared" si="13"/>
        <v>4951.8499999999995</v>
      </c>
      <c r="G61" s="357">
        <f t="shared" si="14"/>
        <v>1.5282058970474639E-2</v>
      </c>
      <c r="H61" s="130"/>
      <c r="I61" s="363">
        <v>97</v>
      </c>
      <c r="J61" s="350">
        <v>47.86</v>
      </c>
      <c r="K61" s="352">
        <f t="shared" si="15"/>
        <v>4642.42</v>
      </c>
      <c r="L61" s="353">
        <f t="shared" si="16"/>
        <v>1.6262106589480612E-2</v>
      </c>
      <c r="M61" s="355">
        <v>-4.3781616971434775E-2</v>
      </c>
      <c r="N61" s="1724">
        <f t="shared" si="17"/>
        <v>-6.6959027892225603E-2</v>
      </c>
      <c r="O61" s="1495">
        <v>4975.58</v>
      </c>
      <c r="P61" s="1720">
        <v>51.29</v>
      </c>
      <c r="Q61" s="1582">
        <v>44510</v>
      </c>
      <c r="R61" s="351" t="str">
        <f t="shared" si="11"/>
        <v>1 years</v>
      </c>
      <c r="S61" s="891" t="str">
        <f t="shared" si="12"/>
        <v>1 months</v>
      </c>
      <c r="T61" s="1672"/>
      <c r="U61" s="359"/>
      <c r="V61" s="360"/>
      <c r="W61" s="431"/>
      <c r="X61" s="431"/>
      <c r="Y61" s="431"/>
      <c r="Z61" s="431"/>
      <c r="AA61" s="431"/>
      <c r="AB61" s="431"/>
      <c r="AC61" s="431"/>
      <c r="AD61" s="431"/>
    </row>
    <row r="62" spans="1:30" ht="12.75" customHeight="1">
      <c r="A62" s="1671">
        <f t="shared" si="18"/>
        <v>48</v>
      </c>
      <c r="B62" s="1674" t="s">
        <v>699</v>
      </c>
      <c r="C62" s="362" t="s">
        <v>700</v>
      </c>
      <c r="D62" s="363">
        <v>177</v>
      </c>
      <c r="E62" s="350">
        <v>28.04</v>
      </c>
      <c r="F62" s="352">
        <f t="shared" si="13"/>
        <v>4963.08</v>
      </c>
      <c r="G62" s="357">
        <f t="shared" si="14"/>
        <v>1.5316716224276439E-2</v>
      </c>
      <c r="H62" s="130"/>
      <c r="I62" s="363">
        <v>177</v>
      </c>
      <c r="J62" s="350">
        <v>23.62</v>
      </c>
      <c r="K62" s="352">
        <f t="shared" si="15"/>
        <v>4180.74</v>
      </c>
      <c r="L62" s="353">
        <f t="shared" si="16"/>
        <v>1.4644870456120982E-2</v>
      </c>
      <c r="M62" s="355">
        <v>-9.3623314554671669E-2</v>
      </c>
      <c r="N62" s="1724">
        <f t="shared" si="17"/>
        <v>-0.16433835507734501</v>
      </c>
      <c r="O62" s="1495">
        <v>5002.91</v>
      </c>
      <c r="P62" s="1720">
        <v>28.27</v>
      </c>
      <c r="Q62" s="1582">
        <v>44510</v>
      </c>
      <c r="R62" s="351" t="str">
        <f t="shared" si="11"/>
        <v>1 years</v>
      </c>
      <c r="S62" s="891" t="str">
        <f t="shared" si="12"/>
        <v>1 months</v>
      </c>
      <c r="T62" s="1672"/>
      <c r="U62" s="359"/>
      <c r="V62" s="360"/>
      <c r="W62" s="431"/>
      <c r="X62" s="431"/>
      <c r="Y62" s="431"/>
      <c r="Z62" s="431"/>
      <c r="AA62" s="431"/>
      <c r="AB62" s="431"/>
      <c r="AC62" s="431"/>
      <c r="AD62" s="431"/>
    </row>
    <row r="63" spans="1:30" ht="12.75" customHeight="1">
      <c r="A63" s="1671">
        <f t="shared" si="18"/>
        <v>49</v>
      </c>
      <c r="B63" s="1674" t="s">
        <v>701</v>
      </c>
      <c r="C63" s="362" t="s">
        <v>702</v>
      </c>
      <c r="D63" s="363">
        <v>61</v>
      </c>
      <c r="E63" s="350">
        <v>81.260000000000005</v>
      </c>
      <c r="F63" s="352">
        <f t="shared" si="13"/>
        <v>4956.8600000000006</v>
      </c>
      <c r="G63" s="357">
        <f t="shared" si="14"/>
        <v>1.5297520487976602E-2</v>
      </c>
      <c r="H63" s="130"/>
      <c r="I63" s="363">
        <v>61</v>
      </c>
      <c r="J63" s="350">
        <v>75.19</v>
      </c>
      <c r="K63" s="352">
        <f t="shared" si="15"/>
        <v>4586.59</v>
      </c>
      <c r="L63" s="353">
        <f t="shared" si="16"/>
        <v>1.6066537595100374E-2</v>
      </c>
      <c r="M63" s="355">
        <v>-5.6065735162986394E-2</v>
      </c>
      <c r="N63" s="1724">
        <f t="shared" si="17"/>
        <v>-7.9906999510523727E-2</v>
      </c>
      <c r="O63" s="1495">
        <v>4984.92</v>
      </c>
      <c r="P63" s="1720">
        <v>81.72</v>
      </c>
      <c r="Q63" s="1582">
        <v>44511</v>
      </c>
      <c r="R63" s="351" t="str">
        <f t="shared" si="11"/>
        <v>1 years</v>
      </c>
      <c r="S63" s="891" t="str">
        <f t="shared" si="12"/>
        <v>1 months</v>
      </c>
      <c r="T63" s="1672"/>
      <c r="U63" s="359"/>
      <c r="V63" s="360"/>
      <c r="W63" s="431"/>
      <c r="X63" s="431"/>
      <c r="Y63" s="431"/>
      <c r="Z63" s="431"/>
      <c r="AA63" s="431"/>
      <c r="AB63" s="431"/>
      <c r="AC63" s="431"/>
      <c r="AD63" s="431"/>
    </row>
    <row r="64" spans="1:30" ht="12.75" customHeight="1">
      <c r="A64" s="1671">
        <f t="shared" si="18"/>
        <v>50</v>
      </c>
      <c r="B64" s="1705" t="s">
        <v>736</v>
      </c>
      <c r="C64" s="362" t="s">
        <v>690</v>
      </c>
      <c r="D64" s="363">
        <v>330</v>
      </c>
      <c r="E64" s="350">
        <v>15</v>
      </c>
      <c r="F64" s="352">
        <f t="shared" si="13"/>
        <v>4950</v>
      </c>
      <c r="G64" s="357">
        <f t="shared" si="14"/>
        <v>1.5276349627684496E-2</v>
      </c>
      <c r="H64" s="130"/>
      <c r="I64" s="363"/>
      <c r="J64" s="350"/>
      <c r="K64" s="352"/>
      <c r="L64" s="353"/>
      <c r="M64" s="1237">
        <v>-0.12232323232323232</v>
      </c>
      <c r="N64" s="1750">
        <f>(G77-O64)/O64</f>
        <v>-0.1433750823994728</v>
      </c>
      <c r="O64" s="1495">
        <v>5006.1000000000004</v>
      </c>
      <c r="P64" s="1720">
        <v>15.17</v>
      </c>
      <c r="Q64" s="1582">
        <v>44302</v>
      </c>
      <c r="R64" s="351" t="str">
        <f t="shared" si="11"/>
        <v>1 years</v>
      </c>
      <c r="S64" s="891" t="str">
        <f t="shared" si="12"/>
        <v>8 months</v>
      </c>
      <c r="T64" s="1672"/>
      <c r="U64" s="359"/>
      <c r="V64" s="360"/>
      <c r="W64" s="431"/>
      <c r="X64" s="431"/>
      <c r="Y64" s="431"/>
      <c r="Z64" s="431"/>
      <c r="AA64" s="431"/>
      <c r="AB64" s="431"/>
      <c r="AC64" s="431"/>
      <c r="AD64" s="431"/>
    </row>
    <row r="65" spans="1:30" ht="12.75" customHeight="1">
      <c r="A65" s="1671">
        <f t="shared" si="18"/>
        <v>51</v>
      </c>
      <c r="B65" s="1705" t="s">
        <v>737</v>
      </c>
      <c r="C65" s="362" t="s">
        <v>688</v>
      </c>
      <c r="D65" s="363">
        <v>128</v>
      </c>
      <c r="E65" s="350">
        <v>39.43</v>
      </c>
      <c r="F65" s="352">
        <f t="shared" si="13"/>
        <v>5047.04</v>
      </c>
      <c r="G65" s="357">
        <f t="shared" si="14"/>
        <v>1.5575827803011871E-2</v>
      </c>
      <c r="H65" s="130"/>
      <c r="I65" s="363"/>
      <c r="J65" s="350"/>
      <c r="K65" s="352"/>
      <c r="L65" s="353"/>
      <c r="M65" s="1237">
        <v>-0.10017554844027393</v>
      </c>
      <c r="N65" s="1750">
        <f>(G76-O65)/O65</f>
        <v>-9.6035015447991853E-2</v>
      </c>
      <c r="O65" s="1495">
        <v>4971.5200000000004</v>
      </c>
      <c r="P65" s="1720">
        <v>38.840000000000003</v>
      </c>
      <c r="Q65" s="1582">
        <v>44302</v>
      </c>
      <c r="R65" s="351" t="str">
        <f t="shared" si="11"/>
        <v>1 years</v>
      </c>
      <c r="S65" s="891" t="str">
        <f t="shared" si="12"/>
        <v>8 months</v>
      </c>
      <c r="T65" s="1672"/>
      <c r="U65" s="359"/>
      <c r="V65" s="360"/>
      <c r="W65" s="431"/>
      <c r="X65" s="431"/>
      <c r="Y65" s="431"/>
      <c r="Z65" s="431"/>
      <c r="AA65" s="431"/>
      <c r="AB65" s="431"/>
      <c r="AC65" s="431"/>
      <c r="AD65" s="431"/>
    </row>
    <row r="66" spans="1:30" ht="12.75" customHeight="1">
      <c r="A66" s="1671">
        <f t="shared" si="18"/>
        <v>52</v>
      </c>
      <c r="B66" s="1705" t="s">
        <v>738</v>
      </c>
      <c r="C66" s="362" t="s">
        <v>692</v>
      </c>
      <c r="D66" s="363">
        <v>96</v>
      </c>
      <c r="E66" s="350">
        <v>51.4</v>
      </c>
      <c r="F66" s="352">
        <f t="shared" si="13"/>
        <v>4934.3999999999996</v>
      </c>
      <c r="G66" s="357">
        <f t="shared" si="14"/>
        <v>1.5228205980373005E-2</v>
      </c>
      <c r="H66" s="130"/>
      <c r="I66" s="363"/>
      <c r="J66" s="350"/>
      <c r="K66" s="352"/>
      <c r="L66" s="353"/>
      <c r="M66" s="1237">
        <v>-5.8061770428014829E-3</v>
      </c>
      <c r="N66" s="1750">
        <f>(G78-O66)/O66</f>
        <v>-2.193236714975846E-2</v>
      </c>
      <c r="O66" s="1495">
        <v>4968</v>
      </c>
      <c r="P66" s="1720">
        <v>51.75</v>
      </c>
      <c r="Q66" s="1582">
        <v>44302</v>
      </c>
      <c r="R66" s="351" t="str">
        <f t="shared" si="11"/>
        <v>1 years</v>
      </c>
      <c r="S66" s="891" t="str">
        <f t="shared" si="12"/>
        <v>8 months</v>
      </c>
      <c r="T66" s="1672"/>
      <c r="U66" s="359"/>
      <c r="V66" s="360"/>
      <c r="W66" s="431"/>
      <c r="X66" s="431"/>
      <c r="Y66" s="431"/>
      <c r="Z66" s="431"/>
      <c r="AA66" s="431"/>
      <c r="AB66" s="431"/>
      <c r="AC66" s="431"/>
      <c r="AD66" s="431"/>
    </row>
    <row r="67" spans="1:30" ht="12.75" customHeight="1">
      <c r="A67" s="1671">
        <f t="shared" si="18"/>
        <v>53</v>
      </c>
      <c r="B67" s="1632" t="s">
        <v>739</v>
      </c>
      <c r="C67" s="362" t="s">
        <v>740</v>
      </c>
      <c r="D67" s="363"/>
      <c r="E67" s="350"/>
      <c r="F67" s="352"/>
      <c r="G67" s="357"/>
      <c r="H67" s="130"/>
      <c r="I67" s="363">
        <v>153</v>
      </c>
      <c r="J67" s="350">
        <v>25.76</v>
      </c>
      <c r="K67" s="352">
        <f t="shared" si="15"/>
        <v>3941.28</v>
      </c>
      <c r="L67" s="353">
        <f t="shared" si="16"/>
        <v>1.3806057069155343E-2</v>
      </c>
      <c r="M67" s="355">
        <v>-7.774779325747079E-2</v>
      </c>
      <c r="N67" s="1724">
        <f>(K67-O67)/O67</f>
        <v>-0.12676805274912251</v>
      </c>
      <c r="O67" s="1495">
        <v>4513.4399999999996</v>
      </c>
      <c r="P67" s="1720">
        <v>29.5</v>
      </c>
      <c r="Q67" s="1582">
        <v>44676</v>
      </c>
      <c r="R67" s="351" t="str">
        <f t="shared" si="11"/>
        <v>0 years</v>
      </c>
      <c r="S67" s="891" t="str">
        <f t="shared" si="12"/>
        <v>8 months</v>
      </c>
      <c r="T67" s="1672"/>
      <c r="U67" s="359"/>
      <c r="V67" s="360"/>
      <c r="W67" s="431"/>
      <c r="X67" s="431"/>
      <c r="Y67" s="431"/>
      <c r="Z67" s="431"/>
      <c r="AA67" s="431"/>
      <c r="AB67" s="431"/>
      <c r="AC67" s="431"/>
      <c r="AD67" s="431"/>
    </row>
    <row r="68" spans="1:30" ht="12.75" customHeight="1">
      <c r="A68" s="1671">
        <f t="shared" si="18"/>
        <v>54</v>
      </c>
      <c r="B68" s="1632" t="s">
        <v>741</v>
      </c>
      <c r="C68" s="362" t="s">
        <v>742</v>
      </c>
      <c r="D68" s="363"/>
      <c r="E68" s="350"/>
      <c r="F68" s="352"/>
      <c r="G68" s="357"/>
      <c r="H68" s="130"/>
      <c r="I68" s="363">
        <v>221</v>
      </c>
      <c r="J68" s="350">
        <v>18.45</v>
      </c>
      <c r="K68" s="352">
        <f t="shared" si="15"/>
        <v>4077.45</v>
      </c>
      <c r="L68" s="353">
        <f t="shared" si="16"/>
        <v>1.4283052053299296E-2</v>
      </c>
      <c r="M68" s="355">
        <v>-4.9162308896512595E-2</v>
      </c>
      <c r="N68" s="1724">
        <f t="shared" ref="N68:N70" si="19">(K68-O68)/O68</f>
        <v>-9.4594144489224929E-2</v>
      </c>
      <c r="O68" s="1495">
        <v>4503.45</v>
      </c>
      <c r="P68" s="1720">
        <v>20.38</v>
      </c>
      <c r="Q68" s="1582">
        <v>44676</v>
      </c>
      <c r="R68" s="351" t="str">
        <f t="shared" si="11"/>
        <v>0 years</v>
      </c>
      <c r="S68" s="891" t="str">
        <f t="shared" si="12"/>
        <v>8 months</v>
      </c>
      <c r="T68" s="1672"/>
      <c r="U68" s="359"/>
      <c r="V68" s="360"/>
      <c r="W68" s="431"/>
      <c r="X68" s="431"/>
      <c r="Y68" s="431"/>
      <c r="Z68" s="431"/>
      <c r="AA68" s="431"/>
      <c r="AB68" s="431"/>
      <c r="AC68" s="431"/>
      <c r="AD68" s="431"/>
    </row>
    <row r="69" spans="1:30" ht="12.75" customHeight="1">
      <c r="A69" s="1671">
        <f t="shared" si="18"/>
        <v>55</v>
      </c>
      <c r="B69" s="1632" t="s">
        <v>743</v>
      </c>
      <c r="C69" s="362" t="s">
        <v>744</v>
      </c>
      <c r="D69" s="363"/>
      <c r="E69" s="350"/>
      <c r="F69" s="352"/>
      <c r="G69" s="357"/>
      <c r="H69" s="1723"/>
      <c r="I69" s="363">
        <v>175</v>
      </c>
      <c r="J69" s="350">
        <v>23.52</v>
      </c>
      <c r="K69" s="352">
        <f t="shared" si="15"/>
        <v>4116</v>
      </c>
      <c r="L69" s="353">
        <f t="shared" si="16"/>
        <v>1.4418090289612356E-2</v>
      </c>
      <c r="M69" s="355">
        <v>-3.5735617712822881E-2</v>
      </c>
      <c r="N69" s="1724">
        <f t="shared" si="19"/>
        <v>-8.6070569740409428E-2</v>
      </c>
      <c r="O69" s="1495">
        <v>4503.63</v>
      </c>
      <c r="P69" s="1720">
        <v>25.74</v>
      </c>
      <c r="Q69" s="1582">
        <v>44676</v>
      </c>
      <c r="R69" s="351" t="str">
        <f t="shared" si="11"/>
        <v>0 years</v>
      </c>
      <c r="S69" s="891" t="str">
        <f t="shared" si="12"/>
        <v>8 months</v>
      </c>
      <c r="T69" s="1672"/>
      <c r="U69" s="359"/>
      <c r="V69" s="360"/>
      <c r="W69" s="431"/>
      <c r="X69" s="431"/>
      <c r="Y69" s="431"/>
      <c r="Z69" s="431"/>
      <c r="AA69" s="431"/>
      <c r="AB69" s="431"/>
      <c r="AC69" s="431"/>
      <c r="AD69" s="431"/>
    </row>
    <row r="70" spans="1:30" ht="12.75" customHeight="1">
      <c r="A70" s="1671">
        <f t="shared" si="18"/>
        <v>56</v>
      </c>
      <c r="B70" s="1632" t="s">
        <v>745</v>
      </c>
      <c r="C70" s="362" t="s">
        <v>746</v>
      </c>
      <c r="D70" s="363"/>
      <c r="E70" s="350"/>
      <c r="F70" s="352"/>
      <c r="G70" s="357"/>
      <c r="H70" s="130"/>
      <c r="I70" s="363">
        <v>83</v>
      </c>
      <c r="J70" s="350">
        <v>49.87</v>
      </c>
      <c r="K70" s="352">
        <f t="shared" si="15"/>
        <v>4139.21</v>
      </c>
      <c r="L70" s="353">
        <f t="shared" si="16"/>
        <v>1.4499393466391244E-2</v>
      </c>
      <c r="M70" s="355">
        <v>-3.6126407898488755E-2</v>
      </c>
      <c r="N70" s="1724">
        <f t="shared" si="19"/>
        <v>-7.7913369689193046E-2</v>
      </c>
      <c r="O70" s="1495">
        <v>4488.96</v>
      </c>
      <c r="P70" s="1720">
        <v>54.08</v>
      </c>
      <c r="Q70" s="1582">
        <v>44676</v>
      </c>
      <c r="R70" s="351" t="str">
        <f t="shared" si="11"/>
        <v>0 years</v>
      </c>
      <c r="S70" s="891" t="str">
        <f t="shared" si="12"/>
        <v>8 months</v>
      </c>
      <c r="T70" s="1672"/>
      <c r="U70" s="359"/>
      <c r="V70" s="360"/>
      <c r="W70" s="431"/>
      <c r="X70" s="431"/>
      <c r="Y70" s="431"/>
      <c r="Z70" s="431"/>
      <c r="AA70" s="431"/>
      <c r="AB70" s="431"/>
      <c r="AC70" s="431"/>
      <c r="AD70" s="431"/>
    </row>
    <row r="71" spans="1:30" ht="12.75" customHeight="1">
      <c r="A71" s="1671"/>
      <c r="B71" s="1345" t="s">
        <v>375</v>
      </c>
      <c r="C71" s="362"/>
      <c r="D71" s="363"/>
      <c r="E71" s="350"/>
      <c r="F71" s="581">
        <f>SUM(F59:F70)</f>
        <v>39747.9</v>
      </c>
      <c r="G71" s="417">
        <f>F71/$F$85</f>
        <v>0.12266723583156376</v>
      </c>
      <c r="H71" s="130"/>
      <c r="I71" s="363"/>
      <c r="J71" s="350"/>
      <c r="K71" s="581">
        <f>SUM(K59:K70)</f>
        <v>38332.219999999994</v>
      </c>
      <c r="L71" s="407">
        <f>K71/$K$85</f>
        <v>0.13427536660866971</v>
      </c>
      <c r="M71" s="355"/>
      <c r="N71" s="1312"/>
      <c r="O71" s="1675"/>
      <c r="P71" s="1675"/>
      <c r="Q71" s="1582" t="str">
        <f>IF(C71="","",INDEX(Transactions!$A$288:$A$1959,MATCH('2022'!C71,Transactions!$J$288:$J$1959,0)))</f>
        <v/>
      </c>
      <c r="R71" s="535"/>
      <c r="S71" s="1676"/>
      <c r="T71" s="360"/>
      <c r="U71" s="359"/>
      <c r="V71" s="360"/>
      <c r="W71" s="431"/>
      <c r="X71" s="431"/>
      <c r="Y71" s="431"/>
      <c r="Z71" s="431"/>
      <c r="AA71" s="431"/>
      <c r="AB71" s="431"/>
      <c r="AC71" s="431"/>
      <c r="AD71" s="431"/>
    </row>
    <row r="72" spans="1:30" ht="12.75" customHeight="1">
      <c r="A72" s="1671"/>
      <c r="B72" s="361"/>
      <c r="C72" s="361"/>
      <c r="D72" s="379"/>
      <c r="E72" s="380"/>
      <c r="F72" s="381"/>
      <c r="G72" s="382"/>
      <c r="H72" s="383"/>
      <c r="I72" s="383"/>
      <c r="J72" s="384"/>
      <c r="K72" s="385"/>
      <c r="L72" s="386"/>
      <c r="M72" s="355"/>
      <c r="N72" s="356"/>
      <c r="O72" s="1675"/>
      <c r="P72" s="1675"/>
      <c r="Q72" s="1677"/>
      <c r="R72" s="1678"/>
      <c r="S72" s="1676"/>
      <c r="T72" s="360"/>
      <c r="U72" s="359"/>
      <c r="V72" s="360"/>
      <c r="W72" s="431"/>
      <c r="X72" s="431"/>
      <c r="Y72" s="431"/>
      <c r="Z72" s="431"/>
      <c r="AA72" s="431"/>
      <c r="AB72" s="431"/>
      <c r="AC72" s="431"/>
      <c r="AD72" s="431"/>
    </row>
    <row r="73" spans="1:30" ht="12.75" customHeight="1">
      <c r="A73" s="1679"/>
      <c r="B73" s="418" t="s">
        <v>52</v>
      </c>
      <c r="C73" s="419"/>
      <c r="D73" s="379"/>
      <c r="E73" s="380"/>
      <c r="F73" s="381"/>
      <c r="G73" s="382"/>
      <c r="H73" s="383"/>
      <c r="I73" s="383"/>
      <c r="J73" s="384"/>
      <c r="K73" s="385"/>
      <c r="L73" s="386"/>
      <c r="M73" s="580"/>
      <c r="N73" s="387"/>
      <c r="O73" s="1680"/>
      <c r="P73" s="1721"/>
      <c r="Q73" s="1681"/>
      <c r="R73" s="1682"/>
      <c r="S73" s="1683"/>
      <c r="T73" s="359"/>
      <c r="U73" s="359"/>
      <c r="V73" s="360"/>
      <c r="W73" s="431"/>
      <c r="X73" s="431"/>
      <c r="Y73" s="431"/>
      <c r="Z73" s="431"/>
      <c r="AA73" s="431"/>
      <c r="AB73" s="431"/>
      <c r="AC73" s="431"/>
      <c r="AD73" s="431"/>
    </row>
    <row r="74" spans="1:30" ht="12.75" customHeight="1">
      <c r="A74" s="1684"/>
      <c r="B74" s="1685" t="s">
        <v>7</v>
      </c>
      <c r="C74" s="1686" t="s">
        <v>8</v>
      </c>
      <c r="D74" s="1687" t="s">
        <v>9</v>
      </c>
      <c r="E74" s="1688" t="s">
        <v>436</v>
      </c>
      <c r="F74" s="1688" t="s">
        <v>747</v>
      </c>
      <c r="G74" s="1688" t="s">
        <v>438</v>
      </c>
      <c r="H74" s="1689" t="s">
        <v>439</v>
      </c>
      <c r="I74" s="1690" t="s">
        <v>748</v>
      </c>
      <c r="J74" s="1690" t="s">
        <v>440</v>
      </c>
      <c r="K74" s="1690" t="s">
        <v>15</v>
      </c>
      <c r="L74" s="1691" t="s">
        <v>508</v>
      </c>
      <c r="M74" s="394"/>
      <c r="N74" s="1725"/>
      <c r="O74" s="1692"/>
      <c r="P74" s="1692"/>
      <c r="Q74" s="1693"/>
      <c r="R74" s="1694"/>
      <c r="S74" s="358"/>
      <c r="T74" s="359"/>
      <c r="U74" s="359"/>
      <c r="V74" s="360"/>
      <c r="W74" s="431"/>
      <c r="X74" s="431"/>
      <c r="Y74" s="431"/>
      <c r="Z74" s="431"/>
      <c r="AA74" s="431"/>
      <c r="AB74" s="431"/>
      <c r="AC74" s="431"/>
      <c r="AD74" s="431"/>
    </row>
    <row r="75" spans="1:30" s="1632" customFormat="1" ht="12.75" customHeight="1">
      <c r="A75" s="1695">
        <v>1</v>
      </c>
      <c r="B75" s="1727" t="s">
        <v>621</v>
      </c>
      <c r="C75" s="1728" t="s">
        <v>622</v>
      </c>
      <c r="D75" s="130">
        <v>30</v>
      </c>
      <c r="E75" s="74">
        <v>68.784999999999997</v>
      </c>
      <c r="F75" s="350">
        <v>55.837000000000003</v>
      </c>
      <c r="G75" s="366">
        <f>D75*E75</f>
        <v>2063.5499999999997</v>
      </c>
      <c r="H75" s="350">
        <f>D75*F75</f>
        <v>1675.1100000000001</v>
      </c>
      <c r="I75" s="366">
        <v>0.01</v>
      </c>
      <c r="J75" s="366">
        <f>G75-H75-I75</f>
        <v>388.42999999999961</v>
      </c>
      <c r="K75" s="580">
        <f>(G75-H75)/H75</f>
        <v>0.2318892490642403</v>
      </c>
      <c r="L75" s="349">
        <v>44622</v>
      </c>
      <c r="M75" s="580"/>
      <c r="N75" s="1726"/>
      <c r="O75" s="1692"/>
      <c r="P75" s="1692"/>
      <c r="Q75" s="1641"/>
      <c r="R75" s="535"/>
      <c r="S75" s="358"/>
      <c r="T75" s="359"/>
      <c r="U75" s="359"/>
      <c r="V75" s="360"/>
      <c r="W75" s="591"/>
      <c r="X75" s="591"/>
      <c r="Y75" s="591"/>
      <c r="Z75" s="591"/>
      <c r="AA75" s="591"/>
      <c r="AB75" s="591"/>
      <c r="AC75" s="591"/>
      <c r="AD75" s="591"/>
    </row>
    <row r="76" spans="1:30" s="1632" customFormat="1" ht="12.75" customHeight="1">
      <c r="A76" s="1696">
        <v>2</v>
      </c>
      <c r="B76" s="374" t="s">
        <v>687</v>
      </c>
      <c r="C76" s="1620" t="s">
        <v>688</v>
      </c>
      <c r="D76" s="130">
        <v>128</v>
      </c>
      <c r="E76" s="74">
        <v>35.11</v>
      </c>
      <c r="F76" s="350">
        <v>38.840000000000003</v>
      </c>
      <c r="G76" s="366">
        <f>D76*E76</f>
        <v>4494.08</v>
      </c>
      <c r="H76" s="350">
        <f>D76*F76</f>
        <v>4971.5200000000004</v>
      </c>
      <c r="I76" s="366">
        <v>0.04</v>
      </c>
      <c r="J76" s="366">
        <f t="shared" ref="J76:J78" si="20">G76-H76-I76</f>
        <v>-477.48000000000053</v>
      </c>
      <c r="K76" s="580">
        <f t="shared" ref="K76:K78" si="21">(G76-H76)/H76</f>
        <v>-9.6035015447991853E-2</v>
      </c>
      <c r="L76" s="349">
        <v>44662</v>
      </c>
      <c r="M76" s="580"/>
      <c r="N76" s="1726"/>
      <c r="O76" s="1692"/>
      <c r="P76" s="1692"/>
      <c r="Q76" s="1641"/>
      <c r="R76" s="535"/>
      <c r="S76" s="358"/>
      <c r="T76" s="359"/>
      <c r="U76" s="359"/>
      <c r="V76" s="360"/>
      <c r="W76" s="591"/>
      <c r="X76" s="591"/>
      <c r="Y76" s="591"/>
      <c r="Z76" s="591"/>
      <c r="AA76" s="591"/>
      <c r="AB76" s="591"/>
      <c r="AC76" s="591"/>
      <c r="AD76" s="591"/>
    </row>
    <row r="77" spans="1:30" s="1632" customFormat="1" ht="12.75" customHeight="1">
      <c r="A77" s="1696">
        <v>3</v>
      </c>
      <c r="B77" s="361" t="s">
        <v>689</v>
      </c>
      <c r="C77" s="1620" t="s">
        <v>690</v>
      </c>
      <c r="D77" s="130">
        <v>330</v>
      </c>
      <c r="E77" s="74">
        <v>12.994999999999999</v>
      </c>
      <c r="F77" s="350">
        <v>15.17</v>
      </c>
      <c r="G77" s="366">
        <f>D77*E77</f>
        <v>4288.3499999999995</v>
      </c>
      <c r="H77" s="350">
        <f>D77*F77</f>
        <v>5006.1000000000004</v>
      </c>
      <c r="I77" s="366">
        <v>0.06</v>
      </c>
      <c r="J77" s="366">
        <f t="shared" si="20"/>
        <v>-717.81000000000085</v>
      </c>
      <c r="K77" s="580">
        <f t="shared" si="21"/>
        <v>-0.1433750823994728</v>
      </c>
      <c r="L77" s="349">
        <v>44662</v>
      </c>
      <c r="M77" s="580"/>
      <c r="N77" s="1726"/>
      <c r="O77" s="1692"/>
      <c r="P77" s="1692"/>
      <c r="Q77" s="1641"/>
      <c r="R77" s="535"/>
      <c r="S77" s="358"/>
      <c r="T77" s="359"/>
      <c r="U77" s="359"/>
      <c r="V77" s="360"/>
      <c r="W77" s="591"/>
      <c r="X77" s="591"/>
      <c r="Y77" s="591"/>
      <c r="Z77" s="591"/>
      <c r="AA77" s="591"/>
      <c r="AB77" s="591"/>
      <c r="AC77" s="591"/>
      <c r="AD77" s="591"/>
    </row>
    <row r="78" spans="1:30" s="1632" customFormat="1" ht="12.75" customHeight="1">
      <c r="A78" s="1697">
        <v>4</v>
      </c>
      <c r="B78" s="374" t="s">
        <v>691</v>
      </c>
      <c r="C78" s="1619" t="s">
        <v>692</v>
      </c>
      <c r="D78" s="130">
        <v>96</v>
      </c>
      <c r="E78" s="74">
        <v>50.615000000000002</v>
      </c>
      <c r="F78" s="350">
        <v>51.75</v>
      </c>
      <c r="G78" s="366">
        <f>D78*E78</f>
        <v>4859.04</v>
      </c>
      <c r="H78" s="350">
        <f>D78*F78</f>
        <v>4968</v>
      </c>
      <c r="I78" s="366">
        <v>0.04</v>
      </c>
      <c r="J78" s="366">
        <f t="shared" si="20"/>
        <v>-109.00000000000004</v>
      </c>
      <c r="K78" s="580">
        <f t="shared" si="21"/>
        <v>-2.193236714975846E-2</v>
      </c>
      <c r="L78" s="349">
        <v>44671</v>
      </c>
      <c r="M78" s="580"/>
      <c r="N78" s="1726"/>
      <c r="O78" s="1692"/>
      <c r="P78" s="1692"/>
      <c r="Q78" s="1641"/>
      <c r="R78" s="535"/>
      <c r="S78" s="358"/>
      <c r="T78" s="359"/>
      <c r="U78" s="359"/>
      <c r="V78" s="360"/>
      <c r="W78" s="591"/>
      <c r="X78" s="591"/>
      <c r="Y78" s="591"/>
      <c r="Z78" s="591"/>
      <c r="AA78" s="591"/>
      <c r="AB78" s="591"/>
      <c r="AC78" s="591"/>
      <c r="AD78" s="591"/>
    </row>
    <row r="79" spans="1:30" ht="12.75" customHeight="1">
      <c r="A79" s="1573"/>
      <c r="B79" s="1615"/>
      <c r="C79" s="1698"/>
      <c r="D79" s="1699"/>
      <c r="E79" s="1700"/>
      <c r="F79" s="390"/>
      <c r="G79" s="389"/>
      <c r="H79" s="390"/>
      <c r="I79" s="1579"/>
      <c r="J79" s="1580"/>
      <c r="K79" s="1581"/>
      <c r="L79" s="1698"/>
      <c r="M79" s="1751"/>
      <c r="N79" s="1619"/>
      <c r="O79" s="1692"/>
      <c r="P79" s="1692"/>
      <c r="Q79" s="1641"/>
      <c r="R79" s="535"/>
      <c r="S79" s="358"/>
      <c r="T79" s="359"/>
      <c r="U79" s="359"/>
      <c r="V79" s="360"/>
      <c r="W79" s="431"/>
      <c r="X79" s="431"/>
      <c r="Y79" s="431"/>
      <c r="Z79" s="431"/>
      <c r="AA79" s="431"/>
      <c r="AB79" s="431"/>
      <c r="AC79" s="431"/>
      <c r="AD79" s="431"/>
    </row>
    <row r="80" spans="1:30" ht="12.75" customHeight="1">
      <c r="A80" s="577"/>
      <c r="B80" s="1324" t="s">
        <v>63</v>
      </c>
      <c r="C80" s="1324"/>
      <c r="D80" s="401"/>
      <c r="E80" s="1318"/>
      <c r="F80" s="403">
        <f>F53+F56+F71</f>
        <v>318064.77000000008</v>
      </c>
      <c r="G80" s="783">
        <f>F80/$F$85</f>
        <v>0.98158962237758707</v>
      </c>
      <c r="H80" s="405"/>
      <c r="I80" s="405"/>
      <c r="J80" s="406"/>
      <c r="K80" s="581">
        <f>K53+K56+K71</f>
        <v>269233.14999999997</v>
      </c>
      <c r="L80" s="417">
        <f>K80/$K$85</f>
        <v>0.94310686726354387</v>
      </c>
      <c r="M80" s="1752"/>
      <c r="N80" s="1620"/>
      <c r="O80" s="1692"/>
      <c r="P80" s="1692"/>
      <c r="Q80" s="1641"/>
      <c r="R80" s="535"/>
      <c r="S80" s="358"/>
      <c r="T80" s="359"/>
      <c r="U80" s="359"/>
      <c r="V80" s="360"/>
      <c r="W80" s="431"/>
      <c r="X80" s="431"/>
      <c r="Y80" s="431"/>
      <c r="Z80" s="431"/>
      <c r="AA80" s="431"/>
      <c r="AB80" s="431"/>
      <c r="AC80" s="431"/>
      <c r="AD80" s="431"/>
    </row>
    <row r="81" spans="1:30" ht="12.75" customHeight="1">
      <c r="A81" s="577"/>
      <c r="B81" s="1324"/>
      <c r="C81" s="1324"/>
      <c r="D81" s="401"/>
      <c r="E81" s="402"/>
      <c r="F81" s="5"/>
      <c r="G81" s="783"/>
      <c r="H81" s="405"/>
      <c r="I81" s="405"/>
      <c r="J81" s="406"/>
      <c r="K81" s="581"/>
      <c r="L81" s="571"/>
      <c r="M81" s="1752"/>
      <c r="N81" s="1676"/>
      <c r="O81" s="1692"/>
      <c r="P81" s="1692"/>
      <c r="Q81" s="1701"/>
      <c r="R81" s="535"/>
      <c r="S81" s="358"/>
      <c r="T81" s="359"/>
      <c r="U81" s="359"/>
      <c r="V81" s="360"/>
      <c r="W81" s="431"/>
      <c r="X81" s="431"/>
      <c r="Y81" s="431"/>
      <c r="Z81" s="431"/>
      <c r="AA81" s="431"/>
      <c r="AB81" s="431"/>
      <c r="AC81" s="431"/>
      <c r="AD81" s="431"/>
    </row>
    <row r="82" spans="1:30" ht="12.75" customHeight="1">
      <c r="A82" s="577"/>
      <c r="B82" s="1324" t="s">
        <v>616</v>
      </c>
      <c r="C82" s="1324"/>
      <c r="D82" s="401"/>
      <c r="E82" s="402"/>
      <c r="F82" s="729">
        <v>5957.36</v>
      </c>
      <c r="G82" s="783">
        <f>F82/$F$85</f>
        <v>1.8385194791511617E-2</v>
      </c>
      <c r="H82" s="405"/>
      <c r="I82" s="405"/>
      <c r="J82" s="406"/>
      <c r="K82" s="729">
        <v>16233.08</v>
      </c>
      <c r="L82" s="417">
        <f>K82/$K$85</f>
        <v>5.6863462856778561E-2</v>
      </c>
      <c r="M82" s="577"/>
      <c r="N82" s="574"/>
      <c r="O82" s="1692"/>
      <c r="P82" s="1692"/>
      <c r="Q82" s="431"/>
      <c r="R82" s="1493"/>
      <c r="S82" s="358"/>
      <c r="T82" s="360"/>
      <c r="U82" s="359"/>
      <c r="V82" s="360"/>
      <c r="W82" s="431"/>
      <c r="X82" s="431"/>
      <c r="Y82" s="431"/>
      <c r="Z82" s="431"/>
      <c r="AA82" s="431"/>
      <c r="AB82" s="431"/>
      <c r="AC82" s="431"/>
      <c r="AD82" s="431"/>
    </row>
    <row r="83" spans="1:30" ht="12.75" customHeight="1">
      <c r="A83" s="577"/>
      <c r="B83" s="1324" t="s">
        <v>749</v>
      </c>
      <c r="C83" s="1324"/>
      <c r="D83" s="401"/>
      <c r="E83" s="402"/>
      <c r="F83" s="403">
        <v>8.16</v>
      </c>
      <c r="G83" s="783">
        <f>F83/$F$85</f>
        <v>2.5182830901395048E-5</v>
      </c>
      <c r="H83" s="405"/>
      <c r="I83" s="405"/>
      <c r="J83" s="406"/>
      <c r="K83" s="75">
        <v>8.4700000000000006</v>
      </c>
      <c r="L83" s="417">
        <f>K83/$K$85</f>
        <v>2.9669879677603662E-5</v>
      </c>
      <c r="M83" s="577"/>
      <c r="N83" s="574"/>
      <c r="O83" s="1692"/>
      <c r="P83" s="1692"/>
      <c r="Q83" s="1702"/>
      <c r="R83" s="535"/>
      <c r="S83" s="358"/>
      <c r="T83" s="360"/>
      <c r="U83" s="359"/>
      <c r="V83" s="360"/>
      <c r="W83" s="431"/>
      <c r="X83" s="431"/>
      <c r="Y83" s="431"/>
      <c r="Z83" s="431"/>
      <c r="AA83" s="431"/>
      <c r="AB83" s="431"/>
      <c r="AC83" s="431"/>
      <c r="AD83" s="431"/>
    </row>
    <row r="84" spans="1:30" ht="12.75" customHeight="1" thickBot="1">
      <c r="A84" s="1703"/>
      <c r="B84" s="1704"/>
      <c r="C84" s="1704"/>
      <c r="D84" s="409"/>
      <c r="E84" s="1325"/>
      <c r="F84" s="1326"/>
      <c r="G84" s="1327"/>
      <c r="H84" s="1328"/>
      <c r="I84" s="1328"/>
      <c r="J84" s="94"/>
      <c r="K84" s="96"/>
      <c r="L84" s="571"/>
      <c r="M84" s="1751"/>
      <c r="N84" s="1619"/>
      <c r="O84" s="1692"/>
      <c r="P84" s="1692"/>
      <c r="Q84" s="431"/>
      <c r="R84" s="535"/>
      <c r="S84" s="358"/>
      <c r="T84" s="359"/>
      <c r="U84" s="359"/>
      <c r="V84" s="360"/>
      <c r="W84" s="431"/>
      <c r="X84" s="431"/>
      <c r="Y84" s="431"/>
      <c r="Z84" s="431"/>
      <c r="AA84" s="431"/>
      <c r="AB84" s="431"/>
      <c r="AC84" s="431"/>
      <c r="AD84" s="431"/>
    </row>
    <row r="85" spans="1:30" ht="12.75" customHeight="1" thickTop="1">
      <c r="A85" s="359"/>
      <c r="B85" s="1324" t="s">
        <v>667</v>
      </c>
      <c r="C85" s="1324"/>
      <c r="D85" s="1329"/>
      <c r="E85" s="1330"/>
      <c r="F85" s="412">
        <f>F80+F82+F83</f>
        <v>324030.29000000004</v>
      </c>
      <c r="G85" s="1722">
        <f>G80+G82+G83</f>
        <v>1</v>
      </c>
      <c r="H85" s="1332"/>
      <c r="I85" s="1332"/>
      <c r="J85" s="1333"/>
      <c r="K85" s="1270">
        <f>SUM(K80:K84)</f>
        <v>285474.69999999995</v>
      </c>
      <c r="L85" s="413">
        <f>SUM(L80:L84)</f>
        <v>1</v>
      </c>
      <c r="M85" s="147">
        <v>-0.1804</v>
      </c>
      <c r="N85" s="1334"/>
      <c r="O85" s="1692"/>
      <c r="P85" s="1692"/>
      <c r="Q85" s="358"/>
      <c r="R85" s="357"/>
      <c r="S85" s="358"/>
      <c r="T85" s="359"/>
      <c r="U85" s="359"/>
      <c r="V85" s="360"/>
      <c r="W85" s="431"/>
      <c r="X85" s="431"/>
      <c r="Y85" s="431"/>
      <c r="Z85" s="431"/>
      <c r="AA85" s="431"/>
      <c r="AB85" s="431"/>
      <c r="AC85" s="431"/>
      <c r="AD85" s="431"/>
    </row>
    <row r="86" spans="1:30" ht="12.75" customHeight="1">
      <c r="A86" s="359"/>
      <c r="B86" s="359"/>
      <c r="C86" s="1705"/>
      <c r="D86" s="1706"/>
      <c r="E86" s="1706"/>
      <c r="F86" s="1706"/>
      <c r="G86" s="1706"/>
      <c r="H86" s="500"/>
      <c r="I86" s="500"/>
      <c r="J86" s="1352"/>
      <c r="K86" s="1352"/>
      <c r="L86" s="352"/>
      <c r="M86" s="382"/>
      <c r="N86" s="1334"/>
      <c r="O86" s="1692"/>
      <c r="P86" s="1692"/>
      <c r="Q86" s="1641"/>
      <c r="R86" s="358"/>
      <c r="S86" s="359"/>
      <c r="T86" s="359"/>
      <c r="U86" s="359"/>
      <c r="V86" s="360"/>
      <c r="W86" s="431"/>
      <c r="X86" s="431"/>
      <c r="Y86" s="431"/>
      <c r="Z86" s="431"/>
      <c r="AA86" s="431"/>
      <c r="AB86" s="431"/>
      <c r="AC86" s="431"/>
      <c r="AD86" s="431"/>
    </row>
    <row r="87" spans="1:30" ht="12.75" customHeight="1">
      <c r="A87" s="359"/>
      <c r="B87" s="359" t="s">
        <v>750</v>
      </c>
      <c r="C87" s="1707"/>
      <c r="D87" s="1708"/>
      <c r="E87" s="1709"/>
      <c r="F87" s="1710"/>
      <c r="G87" s="1711"/>
      <c r="H87" s="1712"/>
      <c r="I87" s="1712" t="s">
        <v>564</v>
      </c>
      <c r="J87" s="1713"/>
      <c r="K87" s="1714"/>
      <c r="L87" s="1715"/>
      <c r="M87" s="1753"/>
      <c r="N87" s="1334"/>
      <c r="O87" s="1692"/>
      <c r="P87" s="1692"/>
      <c r="Q87" s="361"/>
      <c r="R87" s="1641"/>
      <c r="S87" s="535"/>
      <c r="T87" s="359"/>
      <c r="U87" s="359"/>
      <c r="V87" s="359"/>
      <c r="W87" s="431"/>
      <c r="X87" s="431"/>
      <c r="Y87" s="431"/>
      <c r="Z87" s="431"/>
      <c r="AA87" s="431"/>
      <c r="AB87" s="431"/>
      <c r="AC87" s="431"/>
      <c r="AD87" s="431"/>
    </row>
    <row r="88" spans="1:30" ht="12.75" customHeight="1">
      <c r="A88" s="359"/>
      <c r="B88" s="359" t="s">
        <v>751</v>
      </c>
      <c r="C88" s="1707"/>
      <c r="D88" s="1708"/>
      <c r="E88" s="1709"/>
      <c r="F88" s="1710"/>
      <c r="G88" s="1711"/>
      <c r="H88" s="1712"/>
      <c r="I88" s="1712"/>
      <c r="J88" s="1713"/>
      <c r="K88" s="1714">
        <v>12355</v>
      </c>
      <c r="L88" s="1715"/>
      <c r="M88" s="1753"/>
      <c r="N88" s="1334"/>
      <c r="O88" s="1692"/>
      <c r="P88" s="1692"/>
      <c r="Q88" s="361"/>
      <c r="R88" s="1641"/>
      <c r="S88" s="535"/>
      <c r="T88" s="359"/>
      <c r="U88" s="359"/>
      <c r="V88" s="359"/>
      <c r="W88" s="431"/>
      <c r="X88" s="431"/>
      <c r="Y88" s="431"/>
      <c r="Z88" s="431"/>
      <c r="AA88" s="431"/>
      <c r="AB88" s="431"/>
      <c r="AC88" s="431"/>
      <c r="AD88" s="431"/>
    </row>
    <row r="89" spans="1:30" ht="12.75" customHeight="1">
      <c r="A89" s="359"/>
      <c r="B89" s="359" t="s">
        <v>752</v>
      </c>
      <c r="C89" s="1707"/>
      <c r="D89" s="1708"/>
      <c r="E89" s="1709"/>
      <c r="F89" s="1710"/>
      <c r="G89" s="1711"/>
      <c r="H89" s="1712"/>
      <c r="I89" s="1712"/>
      <c r="J89" s="1713"/>
      <c r="K89" s="1748">
        <v>9750</v>
      </c>
      <c r="L89" s="1715"/>
      <c r="M89" s="1753"/>
      <c r="N89" s="1334"/>
      <c r="O89" s="1692"/>
      <c r="P89" s="1692"/>
      <c r="Q89" s="361"/>
      <c r="R89" s="1641"/>
      <c r="S89" s="535"/>
      <c r="T89" s="359"/>
      <c r="U89" s="359"/>
      <c r="V89" s="359"/>
      <c r="W89" s="431"/>
      <c r="X89" s="431"/>
      <c r="Y89" s="431"/>
      <c r="Z89" s="431"/>
      <c r="AA89" s="431"/>
      <c r="AB89" s="431"/>
      <c r="AC89" s="431"/>
      <c r="AD89" s="431"/>
    </row>
    <row r="90" spans="1:30" ht="12.75" customHeight="1">
      <c r="A90" s="359"/>
      <c r="B90" s="1716"/>
      <c r="C90" s="1707"/>
      <c r="D90" s="1708"/>
      <c r="E90" s="1709"/>
      <c r="F90" s="1710"/>
      <c r="G90" s="1711"/>
      <c r="H90" s="1712"/>
      <c r="I90" s="1712"/>
      <c r="J90" s="1713"/>
      <c r="K90" s="1713"/>
      <c r="L90" s="1715"/>
      <c r="M90" s="1753"/>
      <c r="N90" s="1334"/>
      <c r="O90" s="1692"/>
      <c r="P90" s="1692"/>
      <c r="Q90" s="361"/>
      <c r="R90" s="1641"/>
      <c r="S90" s="535"/>
      <c r="T90" s="359"/>
      <c r="U90" s="359"/>
      <c r="V90" s="359"/>
      <c r="W90" s="431"/>
      <c r="X90" s="431"/>
      <c r="Y90" s="431"/>
      <c r="Z90" s="431"/>
      <c r="AA90" s="431"/>
      <c r="AB90" s="431"/>
      <c r="AC90" s="431"/>
      <c r="AD90" s="431"/>
    </row>
    <row r="91" spans="1:30" ht="12.75" customHeight="1">
      <c r="A91" s="359"/>
      <c r="B91" s="1324" t="s">
        <v>390</v>
      </c>
      <c r="C91" s="359"/>
      <c r="D91" s="361"/>
      <c r="E91" s="361"/>
      <c r="F91" s="1729"/>
      <c r="G91" s="361"/>
      <c r="H91" s="500"/>
      <c r="I91" s="500"/>
      <c r="J91" s="359"/>
      <c r="K91" s="359"/>
      <c r="L91" s="395"/>
      <c r="M91" s="359"/>
      <c r="N91" s="5"/>
      <c r="O91" s="1692"/>
      <c r="P91" s="1692"/>
      <c r="Q91" s="497"/>
      <c r="R91" s="1641"/>
      <c r="S91" s="535"/>
      <c r="T91" s="359"/>
      <c r="U91" s="359"/>
      <c r="V91" s="359"/>
      <c r="W91" s="431"/>
      <c r="X91" s="431"/>
      <c r="Y91" s="431"/>
      <c r="Z91" s="431"/>
      <c r="AA91" s="431"/>
      <c r="AB91" s="431"/>
      <c r="AC91" s="431"/>
      <c r="AD91" s="431"/>
    </row>
    <row r="92" spans="1:30" ht="12.75" customHeight="1">
      <c r="A92" s="359"/>
      <c r="B92" s="359" t="s">
        <v>272</v>
      </c>
      <c r="C92" s="359"/>
      <c r="D92" s="361"/>
      <c r="E92" s="361"/>
      <c r="F92" s="1336">
        <v>4766.18</v>
      </c>
      <c r="G92" s="361"/>
      <c r="H92" s="500"/>
      <c r="I92" s="500"/>
      <c r="J92" s="359"/>
      <c r="K92" s="1336">
        <v>3839.5</v>
      </c>
      <c r="L92" s="1336"/>
      <c r="M92" s="1334">
        <f>(K92-F92)/F92</f>
        <v>-0.19442824232404152</v>
      </c>
      <c r="O92" s="1692"/>
      <c r="P92" s="1692"/>
      <c r="Q92" s="5"/>
      <c r="R92" s="5"/>
      <c r="S92" s="535"/>
      <c r="T92" s="359"/>
      <c r="U92" s="359"/>
      <c r="V92" s="359"/>
      <c r="W92" s="431"/>
      <c r="X92" s="431"/>
      <c r="Y92" s="431"/>
      <c r="Z92" s="431"/>
      <c r="AA92" s="431"/>
      <c r="AB92" s="431"/>
      <c r="AC92" s="431"/>
      <c r="AD92" s="431"/>
    </row>
    <row r="93" spans="1:30" ht="12.75" customHeight="1">
      <c r="A93" s="359"/>
      <c r="B93" s="359" t="s">
        <v>273</v>
      </c>
      <c r="C93" s="359"/>
      <c r="D93" s="359"/>
      <c r="E93" s="359"/>
      <c r="F93" s="1351"/>
      <c r="G93" s="359"/>
      <c r="H93" s="500"/>
      <c r="I93" s="500"/>
      <c r="J93" s="359"/>
      <c r="K93" s="1352"/>
      <c r="L93" s="395"/>
      <c r="M93" s="1754">
        <v>1.3299999999999999E-2</v>
      </c>
      <c r="O93" s="1692"/>
      <c r="P93" s="1692"/>
      <c r="Q93" s="497"/>
      <c r="R93" s="416"/>
      <c r="S93" s="535"/>
      <c r="T93" s="359"/>
      <c r="U93" s="359"/>
      <c r="V93" s="359"/>
      <c r="W93" s="431"/>
      <c r="X93" s="431"/>
      <c r="Y93" s="431"/>
      <c r="Z93" s="431"/>
      <c r="AA93" s="431"/>
      <c r="AB93" s="431"/>
      <c r="AC93" s="431"/>
      <c r="AD93" s="431"/>
    </row>
    <row r="94" spans="1:30" ht="12.75" customHeight="1">
      <c r="A94" s="359"/>
      <c r="B94" s="1730" t="s">
        <v>228</v>
      </c>
      <c r="C94" s="359"/>
      <c r="D94" s="359"/>
      <c r="E94" s="359"/>
      <c r="F94" s="1351"/>
      <c r="G94" s="359"/>
      <c r="H94" s="500"/>
      <c r="I94" s="500"/>
      <c r="J94" s="359"/>
      <c r="K94" s="1352"/>
      <c r="L94" s="431"/>
      <c r="M94" s="1334">
        <f>M92+M93</f>
        <v>-0.18112824232404151</v>
      </c>
      <c r="O94" s="1692"/>
      <c r="P94" s="1692"/>
      <c r="Q94" s="497"/>
      <c r="R94" s="1641"/>
      <c r="S94" s="535"/>
      <c r="T94" s="359"/>
      <c r="U94" s="359"/>
      <c r="V94" s="359"/>
      <c r="W94" s="431"/>
      <c r="X94" s="431"/>
      <c r="Y94" s="431"/>
      <c r="Z94" s="431"/>
      <c r="AA94" s="431"/>
      <c r="AB94" s="431"/>
      <c r="AC94" s="431"/>
      <c r="AD94" s="431"/>
    </row>
    <row r="95" spans="1:30" ht="12.75" customHeight="1">
      <c r="A95" s="359"/>
      <c r="B95" s="1339"/>
      <c r="C95" s="359"/>
      <c r="D95" s="359"/>
      <c r="E95" s="359"/>
      <c r="F95" s="1352"/>
      <c r="G95" s="359"/>
      <c r="H95" s="500"/>
      <c r="I95" s="500"/>
      <c r="J95" s="359"/>
      <c r="K95" s="1352"/>
      <c r="L95" s="431"/>
      <c r="M95" s="1755"/>
      <c r="O95" s="1692"/>
      <c r="P95" s="1692"/>
      <c r="Q95" s="497"/>
      <c r="R95" s="1641"/>
      <c r="S95" s="535"/>
      <c r="T95" s="359"/>
      <c r="U95" s="359"/>
      <c r="V95" s="359"/>
      <c r="W95" s="431"/>
      <c r="X95" s="431"/>
      <c r="Y95" s="431"/>
      <c r="Z95" s="431"/>
      <c r="AA95" s="431"/>
      <c r="AB95" s="431"/>
      <c r="AC95" s="431"/>
      <c r="AD95" s="431"/>
    </row>
    <row r="96" spans="1:30" ht="14.25" customHeight="1">
      <c r="A96" s="359"/>
      <c r="B96" s="591" t="s">
        <v>669</v>
      </c>
      <c r="C96" s="359" t="s">
        <v>753</v>
      </c>
      <c r="D96" s="359"/>
      <c r="E96" s="359"/>
      <c r="F96" s="505">
        <v>2355.14</v>
      </c>
      <c r="G96" s="5"/>
      <c r="H96" s="306"/>
      <c r="I96" s="500"/>
      <c r="J96" s="359"/>
      <c r="K96" s="1336">
        <v>2048.73</v>
      </c>
      <c r="L96" s="431"/>
      <c r="M96" s="1756">
        <f>(K96-F96)/F96</f>
        <v>-0.13010266905576734</v>
      </c>
      <c r="O96" s="1692"/>
      <c r="P96" s="1692"/>
      <c r="Q96" s="361"/>
      <c r="R96" s="57"/>
      <c r="S96" s="535"/>
      <c r="T96" s="359"/>
      <c r="U96" s="359"/>
      <c r="V96" s="359"/>
      <c r="W96" s="431"/>
      <c r="X96" s="431"/>
      <c r="Y96" s="431"/>
      <c r="Z96" s="431"/>
      <c r="AA96" s="431"/>
      <c r="AB96" s="431"/>
      <c r="AC96" s="431"/>
      <c r="AD96" s="431"/>
    </row>
    <row r="97" spans="1:30" ht="14.25" customHeight="1">
      <c r="A97" s="359"/>
      <c r="O97" s="1692"/>
      <c r="P97" s="1692"/>
      <c r="Q97" s="361"/>
      <c r="R97" s="1641"/>
      <c r="S97" s="535"/>
      <c r="T97" s="359"/>
      <c r="U97" s="359"/>
      <c r="V97" s="359"/>
      <c r="W97" s="431"/>
      <c r="X97" s="431"/>
      <c r="Y97" s="431"/>
      <c r="Z97" s="431"/>
      <c r="AA97" s="431"/>
      <c r="AB97" s="431"/>
      <c r="AC97" s="431"/>
      <c r="AD97" s="431"/>
    </row>
    <row r="98" spans="1:30" ht="14.25" customHeight="1">
      <c r="A98" s="359"/>
      <c r="B98" s="359" t="s">
        <v>670</v>
      </c>
      <c r="C98" s="359"/>
      <c r="D98" s="359"/>
      <c r="E98" s="359"/>
      <c r="F98" s="359"/>
      <c r="G98" s="359"/>
      <c r="H98" s="500"/>
      <c r="I98" s="500"/>
      <c r="J98" s="359"/>
      <c r="K98" s="359"/>
      <c r="L98" s="431"/>
      <c r="M98" s="1334">
        <f>0.8*M94+0.2*M96</f>
        <v>-0.17092312767038667</v>
      </c>
      <c r="O98" s="1692"/>
      <c r="P98" s="1692"/>
      <c r="R98" s="1641"/>
      <c r="S98" s="535"/>
      <c r="T98" s="359"/>
      <c r="U98" s="359"/>
      <c r="V98" s="359"/>
      <c r="W98" s="431"/>
      <c r="X98" s="431"/>
      <c r="Y98" s="431"/>
      <c r="Z98" s="431"/>
      <c r="AA98" s="431"/>
      <c r="AB98" s="431"/>
      <c r="AC98" s="431"/>
      <c r="AD98" s="431"/>
    </row>
    <row r="99" spans="1:30" ht="12.75" customHeight="1">
      <c r="A99" s="5"/>
      <c r="B99" s="359"/>
      <c r="C99" s="5"/>
      <c r="D99" s="5"/>
      <c r="E99" s="5"/>
      <c r="F99" s="5"/>
      <c r="G99" s="5"/>
      <c r="H99" s="68"/>
      <c r="I99" s="68"/>
      <c r="J99" s="5"/>
      <c r="K99" s="5"/>
      <c r="L99" s="5" t="s">
        <v>618</v>
      </c>
      <c r="M99" s="61">
        <f>M85-M98</f>
        <v>-9.4768723296133339E-3</v>
      </c>
      <c r="O99" s="1692"/>
      <c r="P99" s="1692"/>
      <c r="Q99" s="1641"/>
      <c r="R99" s="57"/>
      <c r="S99" s="5"/>
      <c r="T99" s="5"/>
      <c r="U99" s="5"/>
      <c r="V99" s="5"/>
      <c r="W99" s="431"/>
      <c r="X99" s="431"/>
      <c r="Y99" s="431"/>
      <c r="Z99" s="431"/>
      <c r="AA99" s="431"/>
      <c r="AB99" s="431"/>
      <c r="AC99" s="431"/>
      <c r="AD99" s="431"/>
    </row>
    <row r="100" spans="1:30" ht="12.75" customHeight="1">
      <c r="A100" s="5"/>
      <c r="B100" s="5"/>
      <c r="C100" s="5"/>
      <c r="D100" s="5"/>
      <c r="E100" s="5"/>
      <c r="F100" s="5"/>
      <c r="G100" s="5"/>
      <c r="H100" s="306"/>
      <c r="I100" s="306"/>
      <c r="J100" s="5"/>
      <c r="K100" s="5"/>
      <c r="L100" s="5"/>
      <c r="M100" s="5" t="s">
        <v>564</v>
      </c>
      <c r="N100" s="5"/>
      <c r="O100" s="1692"/>
      <c r="P100" s="1692"/>
      <c r="Q100" s="5"/>
      <c r="R100" s="57"/>
      <c r="S100" s="5"/>
      <c r="T100" s="5"/>
      <c r="U100" s="5"/>
      <c r="V100" s="5"/>
      <c r="W100" s="431"/>
      <c r="X100" s="431"/>
      <c r="Y100" s="431"/>
      <c r="Z100" s="431"/>
      <c r="AA100" s="431"/>
      <c r="AB100" s="431"/>
      <c r="AC100" s="431"/>
      <c r="AD100" s="431"/>
    </row>
    <row r="101" spans="1:30" ht="12.75" customHeight="1">
      <c r="A101" s="5"/>
      <c r="B101" s="5"/>
      <c r="C101" s="5"/>
      <c r="D101" s="5"/>
      <c r="E101" s="5"/>
      <c r="F101" s="5"/>
      <c r="G101" s="5"/>
      <c r="H101" s="306"/>
      <c r="I101" s="306"/>
      <c r="K101" s="5"/>
      <c r="L101" s="5"/>
      <c r="M101" s="5"/>
      <c r="N101" s="5"/>
      <c r="O101" s="5"/>
      <c r="P101" s="5"/>
      <c r="Q101" s="5"/>
      <c r="R101" s="57"/>
      <c r="S101" s="5"/>
      <c r="T101" s="5"/>
      <c r="U101" s="5"/>
      <c r="V101" s="5"/>
      <c r="W101" s="431"/>
      <c r="X101" s="431"/>
      <c r="Y101" s="431"/>
      <c r="Z101" s="431"/>
      <c r="AA101" s="431"/>
      <c r="AB101" s="431"/>
      <c r="AC101" s="431"/>
      <c r="AD101" s="431"/>
    </row>
    <row r="102" spans="1:30" ht="12.75" customHeight="1">
      <c r="A102" s="5"/>
      <c r="B102" s="5"/>
      <c r="C102" s="5"/>
      <c r="D102" s="5"/>
      <c r="E102" s="5"/>
      <c r="F102" s="5"/>
      <c r="G102" s="5"/>
      <c r="H102" s="306"/>
      <c r="I102" s="306"/>
      <c r="J102" s="5"/>
      <c r="K102" s="5"/>
      <c r="L102" s="5"/>
      <c r="M102" s="5"/>
      <c r="N102" s="5"/>
      <c r="O102" s="5"/>
      <c r="P102" s="5"/>
      <c r="Q102" s="5"/>
      <c r="R102" s="57"/>
      <c r="S102" s="5"/>
      <c r="T102" s="5"/>
      <c r="U102" s="5"/>
      <c r="V102" s="5"/>
      <c r="W102" s="431"/>
      <c r="X102" s="431"/>
      <c r="Y102" s="431"/>
      <c r="Z102" s="431"/>
      <c r="AA102" s="431"/>
      <c r="AB102" s="431"/>
      <c r="AC102" s="431"/>
      <c r="AD102" s="431"/>
    </row>
    <row r="103" spans="1:30" ht="12.75" customHeight="1">
      <c r="A103" s="5"/>
      <c r="B103" s="5"/>
      <c r="C103" s="5"/>
      <c r="D103" s="5"/>
      <c r="E103" s="5"/>
      <c r="F103" s="5"/>
      <c r="G103" s="5"/>
      <c r="H103" s="306"/>
      <c r="I103" s="306"/>
      <c r="J103" s="5"/>
      <c r="K103" s="5"/>
      <c r="L103" s="5"/>
      <c r="M103" s="5"/>
      <c r="N103" s="5"/>
      <c r="O103" s="5"/>
      <c r="P103" s="5"/>
      <c r="Q103" s="5"/>
      <c r="R103" s="57"/>
      <c r="S103" s="5"/>
      <c r="T103" s="5"/>
      <c r="U103" s="5"/>
      <c r="V103" s="5"/>
      <c r="W103" s="431"/>
      <c r="X103" s="431"/>
      <c r="Y103" s="431"/>
      <c r="Z103" s="431"/>
      <c r="AA103" s="431"/>
      <c r="AB103" s="431"/>
      <c r="AC103" s="431"/>
      <c r="AD103" s="431"/>
    </row>
    <row r="104" spans="1:30" ht="12.75" customHeight="1">
      <c r="A104" s="5"/>
      <c r="B104" s="5"/>
      <c r="C104" s="5"/>
      <c r="D104" s="5"/>
      <c r="E104" s="5"/>
      <c r="F104" s="5"/>
      <c r="G104" s="5"/>
      <c r="H104" s="306"/>
      <c r="I104" s="306"/>
      <c r="J104" s="5"/>
      <c r="K104" s="5"/>
      <c r="L104" s="5"/>
      <c r="N104" s="1334"/>
      <c r="O104" s="1334"/>
      <c r="P104" s="1334"/>
      <c r="Q104" s="5"/>
      <c r="R104" s="57"/>
      <c r="S104" s="5"/>
      <c r="T104" s="5"/>
      <c r="U104" s="5"/>
      <c r="V104" s="5"/>
      <c r="W104" s="431"/>
      <c r="X104" s="431"/>
      <c r="Y104" s="431"/>
      <c r="Z104" s="431"/>
      <c r="AA104" s="431"/>
      <c r="AB104" s="431"/>
      <c r="AC104" s="431"/>
      <c r="AD104" s="431"/>
    </row>
    <row r="105" spans="1:30" ht="12.75" customHeight="1">
      <c r="A105" s="5"/>
      <c r="B105" s="5"/>
      <c r="C105" s="5"/>
      <c r="D105" s="5"/>
      <c r="E105" s="5"/>
      <c r="F105" s="5"/>
      <c r="G105" s="5"/>
      <c r="H105" s="1717"/>
      <c r="I105" s="1718"/>
      <c r="J105" s="5"/>
      <c r="K105" s="5"/>
      <c r="L105" s="5"/>
      <c r="M105" s="60"/>
      <c r="N105" s="1334"/>
      <c r="O105" s="1334"/>
      <c r="P105" s="1334"/>
      <c r="Q105" s="5"/>
      <c r="R105" s="57"/>
      <c r="S105" s="5"/>
      <c r="T105" s="5"/>
      <c r="U105" s="5"/>
      <c r="V105" s="5"/>
      <c r="W105" s="431"/>
      <c r="X105" s="431"/>
      <c r="Y105" s="431"/>
      <c r="Z105" s="431"/>
      <c r="AA105" s="431"/>
      <c r="AB105" s="431"/>
      <c r="AC105" s="431"/>
      <c r="AD105" s="431"/>
    </row>
    <row r="106" spans="1:30" ht="12.75" customHeight="1">
      <c r="A106" s="5"/>
      <c r="B106" s="5"/>
      <c r="C106" s="5"/>
      <c r="D106" s="5"/>
      <c r="E106" s="5"/>
      <c r="F106" s="5"/>
      <c r="G106" s="5"/>
      <c r="H106" s="306"/>
      <c r="I106" s="306"/>
      <c r="J106" s="5"/>
      <c r="K106" s="5"/>
      <c r="L106" s="5"/>
      <c r="M106" s="5"/>
      <c r="N106" s="5"/>
      <c r="O106" s="5"/>
      <c r="P106" s="5"/>
      <c r="Q106" s="5"/>
      <c r="R106" s="57"/>
      <c r="S106" s="5"/>
      <c r="T106" s="5"/>
      <c r="U106" s="5"/>
      <c r="V106" s="5"/>
      <c r="W106" s="431"/>
      <c r="X106" s="431"/>
      <c r="Y106" s="431"/>
      <c r="Z106" s="431"/>
      <c r="AA106" s="431"/>
      <c r="AB106" s="431"/>
      <c r="AC106" s="431"/>
      <c r="AD106" s="431"/>
    </row>
    <row r="107" spans="1:30" ht="12.75" customHeight="1">
      <c r="A107" s="5"/>
      <c r="B107" s="5"/>
      <c r="C107" s="5"/>
      <c r="D107" s="5"/>
      <c r="E107" s="5"/>
      <c r="F107" s="5"/>
      <c r="G107" s="5"/>
      <c r="H107" s="306"/>
      <c r="I107" s="306"/>
      <c r="J107" s="5"/>
      <c r="K107" s="5"/>
      <c r="L107" s="5"/>
      <c r="M107" s="5"/>
      <c r="N107" s="5"/>
      <c r="O107" s="5"/>
      <c r="P107" s="5"/>
      <c r="Q107" s="5"/>
      <c r="R107" s="57"/>
      <c r="S107" s="5"/>
      <c r="T107" s="5"/>
      <c r="U107" s="5"/>
      <c r="V107" s="5"/>
      <c r="W107" s="431"/>
      <c r="X107" s="431"/>
      <c r="Y107" s="431"/>
      <c r="Z107" s="431"/>
      <c r="AA107" s="431"/>
      <c r="AB107" s="431"/>
      <c r="AC107" s="431"/>
      <c r="AD107" s="431"/>
    </row>
    <row r="108" spans="1:30" ht="12.75" customHeight="1">
      <c r="A108" s="5"/>
      <c r="B108" s="5"/>
      <c r="C108" s="5"/>
      <c r="D108" s="5"/>
      <c r="E108" s="5"/>
      <c r="F108" s="5"/>
      <c r="G108" s="5"/>
      <c r="H108" s="306"/>
      <c r="I108" s="306"/>
      <c r="J108" s="5"/>
      <c r="K108" s="5"/>
      <c r="L108" s="5"/>
      <c r="M108" s="5"/>
      <c r="N108" s="5"/>
      <c r="O108" s="5"/>
      <c r="P108" s="5"/>
      <c r="Q108" s="5"/>
      <c r="R108" s="57"/>
      <c r="S108" s="5"/>
      <c r="T108" s="5"/>
      <c r="U108" s="5"/>
      <c r="V108" s="5"/>
      <c r="W108" s="431"/>
      <c r="X108" s="431"/>
      <c r="Y108" s="431"/>
      <c r="Z108" s="431"/>
      <c r="AA108" s="431"/>
      <c r="AB108" s="431"/>
      <c r="AC108" s="431"/>
      <c r="AD108" s="431"/>
    </row>
    <row r="109" spans="1:30" ht="12.75" customHeight="1">
      <c r="A109" s="5"/>
      <c r="B109" s="5"/>
      <c r="C109" s="5"/>
      <c r="D109" s="5"/>
      <c r="E109" s="5"/>
      <c r="F109" s="5"/>
      <c r="G109" s="5"/>
      <c r="H109" s="306"/>
      <c r="I109" s="306"/>
      <c r="J109" s="5"/>
      <c r="K109" s="5"/>
      <c r="L109" s="5"/>
      <c r="M109" s="5"/>
      <c r="N109" s="5"/>
      <c r="O109" s="5"/>
      <c r="P109" s="5"/>
      <c r="Q109" s="5"/>
      <c r="R109" s="57"/>
      <c r="S109" s="5"/>
      <c r="T109" s="5"/>
      <c r="U109" s="5"/>
      <c r="V109" s="5"/>
      <c r="W109" s="431"/>
      <c r="X109" s="431"/>
      <c r="Y109" s="431"/>
      <c r="Z109" s="431"/>
      <c r="AA109" s="431"/>
      <c r="AB109" s="431"/>
      <c r="AC109" s="431"/>
      <c r="AD109" s="431"/>
    </row>
    <row r="110" spans="1:30" ht="12.75" customHeight="1">
      <c r="A110" s="5"/>
      <c r="B110" s="5"/>
      <c r="C110" s="5"/>
      <c r="D110" s="5"/>
      <c r="E110" s="5"/>
      <c r="F110" s="5"/>
      <c r="G110" s="5"/>
      <c r="H110" s="306"/>
      <c r="I110" s="306"/>
      <c r="J110" s="5"/>
      <c r="K110" s="5"/>
      <c r="L110" s="5"/>
      <c r="M110" s="5"/>
      <c r="N110" s="5"/>
      <c r="O110" s="5"/>
      <c r="P110" s="5"/>
      <c r="Q110" s="5"/>
      <c r="R110" s="57"/>
      <c r="S110" s="5"/>
      <c r="T110" s="5"/>
      <c r="U110" s="5"/>
      <c r="V110" s="5"/>
      <c r="W110" s="431"/>
      <c r="X110" s="431"/>
      <c r="Y110" s="431"/>
      <c r="Z110" s="431"/>
      <c r="AA110" s="431"/>
      <c r="AB110" s="431"/>
      <c r="AC110" s="431"/>
      <c r="AD110" s="431"/>
    </row>
    <row r="111" spans="1:30" ht="12.75" customHeight="1">
      <c r="A111" s="5"/>
      <c r="B111" s="5"/>
      <c r="C111" s="5"/>
      <c r="D111" s="5"/>
      <c r="E111" s="5"/>
      <c r="F111" s="5"/>
      <c r="G111" s="5"/>
      <c r="H111" s="306"/>
      <c r="I111" s="306"/>
      <c r="J111" s="5"/>
      <c r="K111" s="5"/>
      <c r="L111" s="5"/>
      <c r="M111" s="5"/>
      <c r="N111" s="5"/>
      <c r="O111" s="5"/>
      <c r="P111" s="5"/>
      <c r="Q111" s="5"/>
      <c r="R111" s="57"/>
      <c r="S111" s="5"/>
      <c r="T111" s="5"/>
      <c r="U111" s="5"/>
      <c r="V111" s="5"/>
      <c r="W111" s="431"/>
      <c r="X111" s="431"/>
      <c r="Y111" s="431"/>
      <c r="Z111" s="431"/>
      <c r="AA111" s="431"/>
      <c r="AB111" s="431"/>
      <c r="AC111" s="431"/>
      <c r="AD111" s="431"/>
    </row>
    <row r="112" spans="1:30" ht="12.75" customHeight="1">
      <c r="A112" s="5"/>
      <c r="B112" s="5"/>
      <c r="C112" s="5"/>
      <c r="D112" s="5"/>
      <c r="E112" s="5"/>
      <c r="F112" s="5"/>
      <c r="G112" s="5"/>
      <c r="H112" s="306"/>
      <c r="I112" s="306"/>
      <c r="J112" s="5"/>
      <c r="K112" s="5"/>
      <c r="L112" s="5"/>
      <c r="M112" s="5"/>
      <c r="N112" s="5"/>
      <c r="O112" s="5"/>
      <c r="P112" s="5"/>
      <c r="Q112" s="5"/>
      <c r="R112" s="57"/>
      <c r="S112" s="5"/>
      <c r="T112" s="5"/>
      <c r="U112" s="5"/>
      <c r="V112" s="5"/>
      <c r="W112" s="431"/>
      <c r="X112" s="431"/>
      <c r="Y112" s="431"/>
      <c r="Z112" s="431"/>
      <c r="AA112" s="431"/>
      <c r="AB112" s="431"/>
      <c r="AC112" s="431"/>
      <c r="AD112" s="431"/>
    </row>
    <row r="113" spans="1:30" ht="12.75" customHeight="1">
      <c r="A113" s="5"/>
      <c r="B113" s="5"/>
      <c r="C113" s="5"/>
      <c r="D113" s="5"/>
      <c r="E113" s="5"/>
      <c r="F113" s="5"/>
      <c r="G113" s="5"/>
      <c r="H113" s="306"/>
      <c r="I113" s="306"/>
      <c r="J113" s="5"/>
      <c r="K113" s="5"/>
      <c r="L113" s="5"/>
      <c r="M113" s="5"/>
      <c r="N113" s="5"/>
      <c r="O113" s="5"/>
      <c r="P113" s="5"/>
      <c r="Q113" s="5"/>
      <c r="R113" s="57"/>
      <c r="S113" s="5"/>
      <c r="T113" s="5"/>
      <c r="U113" s="5"/>
      <c r="V113" s="5"/>
      <c r="W113" s="431"/>
      <c r="X113" s="431"/>
      <c r="Y113" s="431"/>
      <c r="Z113" s="431"/>
      <c r="AA113" s="431"/>
      <c r="AB113" s="431"/>
      <c r="AC113" s="431"/>
      <c r="AD113" s="431"/>
    </row>
    <row r="114" spans="1:30" ht="12.75" customHeight="1">
      <c r="A114" s="5"/>
      <c r="B114" s="5"/>
      <c r="C114" s="5"/>
      <c r="D114" s="5"/>
      <c r="E114" s="5"/>
      <c r="F114" s="5"/>
      <c r="G114" s="5"/>
      <c r="H114" s="306"/>
      <c r="I114" s="306"/>
      <c r="J114" s="5"/>
      <c r="K114" s="5"/>
      <c r="L114" s="5"/>
      <c r="M114" s="5"/>
      <c r="N114" s="5"/>
      <c r="O114" s="5"/>
      <c r="P114" s="5"/>
      <c r="Q114" s="5"/>
      <c r="R114" s="57"/>
      <c r="S114" s="5"/>
      <c r="T114" s="5"/>
      <c r="U114" s="5"/>
      <c r="V114" s="5"/>
      <c r="W114" s="431"/>
      <c r="X114" s="431"/>
      <c r="Y114" s="431"/>
      <c r="Z114" s="431"/>
      <c r="AA114" s="431"/>
      <c r="AB114" s="431"/>
      <c r="AC114" s="431"/>
      <c r="AD114" s="431"/>
    </row>
    <row r="115" spans="1:30" ht="12.75" customHeight="1">
      <c r="A115" s="5"/>
      <c r="B115" s="5"/>
      <c r="C115" s="5"/>
      <c r="D115" s="5"/>
      <c r="E115" s="5"/>
      <c r="F115" s="5"/>
      <c r="G115" s="5"/>
      <c r="H115" s="306"/>
      <c r="I115" s="306"/>
      <c r="J115" s="5"/>
      <c r="K115" s="5"/>
      <c r="L115" s="5"/>
      <c r="M115" s="5"/>
      <c r="N115" s="5"/>
      <c r="O115" s="5"/>
      <c r="P115" s="5"/>
      <c r="Q115" s="5"/>
      <c r="R115" s="57"/>
      <c r="S115" s="5"/>
      <c r="T115" s="5"/>
      <c r="U115" s="5"/>
      <c r="V115" s="5"/>
      <c r="W115" s="431"/>
      <c r="X115" s="431"/>
      <c r="Y115" s="431"/>
      <c r="Z115" s="431"/>
      <c r="AA115" s="431"/>
      <c r="AB115" s="431"/>
      <c r="AC115" s="431"/>
      <c r="AD115" s="431"/>
    </row>
    <row r="116" spans="1:30" ht="12.75" customHeight="1">
      <c r="A116" s="5"/>
      <c r="B116" s="5"/>
      <c r="C116" s="5"/>
      <c r="D116" s="5"/>
      <c r="E116" s="5"/>
      <c r="F116" s="5"/>
      <c r="G116" s="5"/>
      <c r="H116" s="306"/>
      <c r="I116" s="306"/>
      <c r="J116" s="5"/>
      <c r="K116" s="5"/>
      <c r="L116" s="5"/>
      <c r="M116" s="5"/>
      <c r="N116" s="5"/>
      <c r="O116" s="5"/>
      <c r="P116" s="5"/>
      <c r="Q116" s="5"/>
      <c r="R116" s="57"/>
      <c r="S116" s="5"/>
      <c r="T116" s="5"/>
      <c r="U116" s="5"/>
      <c r="V116" s="5"/>
      <c r="W116" s="431"/>
      <c r="X116" s="431"/>
      <c r="Y116" s="431"/>
      <c r="Z116" s="431"/>
      <c r="AA116" s="431"/>
      <c r="AB116" s="431"/>
      <c r="AC116" s="431"/>
      <c r="AD116" s="431"/>
    </row>
    <row r="117" spans="1:30" ht="12.75" customHeight="1">
      <c r="A117" s="5"/>
      <c r="B117" s="5"/>
      <c r="C117" s="5"/>
      <c r="D117" s="5"/>
      <c r="E117" s="5"/>
      <c r="F117" s="5"/>
      <c r="G117" s="5"/>
      <c r="H117" s="306"/>
      <c r="I117" s="306"/>
      <c r="J117" s="5"/>
      <c r="K117" s="5"/>
      <c r="L117" s="5"/>
      <c r="M117" s="5"/>
      <c r="N117" s="5"/>
      <c r="O117" s="5"/>
      <c r="P117" s="5"/>
      <c r="Q117" s="5"/>
      <c r="R117" s="57"/>
      <c r="S117" s="5"/>
      <c r="T117" s="5"/>
      <c r="U117" s="5"/>
      <c r="V117" s="5"/>
      <c r="W117" s="431"/>
      <c r="X117" s="431"/>
      <c r="Y117" s="431"/>
      <c r="Z117" s="431"/>
      <c r="AA117" s="431"/>
      <c r="AB117" s="431"/>
      <c r="AC117" s="431"/>
      <c r="AD117" s="431"/>
    </row>
    <row r="118" spans="1:30" ht="12.75" customHeight="1">
      <c r="A118" s="5"/>
      <c r="B118" s="5"/>
      <c r="C118" s="5"/>
      <c r="D118" s="5"/>
      <c r="E118" s="5"/>
      <c r="F118" s="5"/>
      <c r="G118" s="5"/>
      <c r="H118" s="306"/>
      <c r="I118" s="306"/>
      <c r="J118" s="5"/>
      <c r="K118" s="5"/>
      <c r="L118" s="5"/>
      <c r="M118" s="5"/>
      <c r="N118" s="5"/>
      <c r="O118" s="5"/>
      <c r="P118" s="5"/>
      <c r="Q118" s="5"/>
      <c r="R118" s="57"/>
      <c r="S118" s="5"/>
      <c r="T118" s="5"/>
      <c r="U118" s="5"/>
      <c r="V118" s="5"/>
      <c r="W118" s="431"/>
      <c r="X118" s="431"/>
      <c r="Y118" s="431"/>
      <c r="Z118" s="431"/>
      <c r="AA118" s="431"/>
      <c r="AB118" s="431"/>
      <c r="AC118" s="431"/>
      <c r="AD118" s="431"/>
    </row>
    <row r="119" spans="1:30" ht="12.75" customHeight="1">
      <c r="A119" s="5"/>
      <c r="B119" s="5"/>
      <c r="C119" s="5"/>
      <c r="D119" s="5"/>
      <c r="E119" s="5"/>
      <c r="F119" s="5"/>
      <c r="G119" s="5"/>
      <c r="H119" s="306"/>
      <c r="I119" s="306"/>
      <c r="J119" s="5"/>
      <c r="K119" s="5"/>
      <c r="L119" s="5"/>
      <c r="M119" s="5"/>
      <c r="N119" s="5"/>
      <c r="O119" s="5"/>
      <c r="P119" s="5"/>
      <c r="Q119" s="5"/>
      <c r="R119" s="57"/>
      <c r="S119" s="5"/>
      <c r="T119" s="5"/>
      <c r="U119" s="5"/>
      <c r="V119" s="5"/>
      <c r="W119" s="431"/>
      <c r="X119" s="431"/>
      <c r="Y119" s="431"/>
      <c r="Z119" s="431"/>
      <c r="AA119" s="431"/>
      <c r="AB119" s="431"/>
      <c r="AC119" s="431"/>
      <c r="AD119" s="431"/>
    </row>
    <row r="120" spans="1:30" ht="12.75" customHeight="1">
      <c r="A120" s="5"/>
      <c r="B120" s="5"/>
      <c r="C120" s="5"/>
      <c r="D120" s="5"/>
      <c r="E120" s="5"/>
      <c r="F120" s="5"/>
      <c r="G120" s="5"/>
      <c r="H120" s="306"/>
      <c r="I120" s="306"/>
      <c r="J120" s="5"/>
      <c r="K120" s="5"/>
      <c r="L120" s="5"/>
      <c r="M120" s="5"/>
      <c r="N120" s="5"/>
      <c r="O120" s="5"/>
      <c r="P120" s="5"/>
      <c r="Q120" s="5"/>
      <c r="R120" s="57"/>
      <c r="S120" s="5"/>
      <c r="T120" s="5"/>
      <c r="U120" s="5"/>
      <c r="V120" s="5"/>
      <c r="W120" s="431"/>
      <c r="X120" s="431"/>
      <c r="Y120" s="431"/>
      <c r="Z120" s="431"/>
      <c r="AA120" s="431"/>
      <c r="AB120" s="431"/>
      <c r="AC120" s="431"/>
      <c r="AD120" s="431"/>
    </row>
    <row r="121" spans="1:30" ht="12.75" customHeight="1">
      <c r="A121" s="5"/>
      <c r="B121" s="5"/>
      <c r="C121" s="5"/>
      <c r="D121" s="5"/>
      <c r="E121" s="5"/>
      <c r="F121" s="5"/>
      <c r="G121" s="5"/>
      <c r="H121" s="306"/>
      <c r="I121" s="306"/>
      <c r="J121" s="5"/>
      <c r="K121" s="5"/>
      <c r="L121" s="5"/>
      <c r="M121" s="5"/>
      <c r="N121" s="5"/>
      <c r="O121" s="5"/>
      <c r="P121" s="5"/>
      <c r="Q121" s="5"/>
      <c r="R121" s="57"/>
      <c r="S121" s="5"/>
      <c r="T121" s="5"/>
      <c r="U121" s="5"/>
      <c r="V121" s="5"/>
      <c r="W121" s="431"/>
      <c r="X121" s="431"/>
      <c r="Y121" s="431"/>
      <c r="Z121" s="431"/>
      <c r="AA121" s="431"/>
      <c r="AB121" s="431"/>
      <c r="AC121" s="431"/>
      <c r="AD121" s="431"/>
    </row>
    <row r="122" spans="1:30" ht="12.75" customHeight="1">
      <c r="A122" s="5"/>
      <c r="B122" s="5"/>
      <c r="C122" s="5"/>
      <c r="D122" s="5"/>
      <c r="E122" s="5"/>
      <c r="F122" s="5"/>
      <c r="G122" s="5"/>
      <c r="H122" s="306"/>
      <c r="I122" s="306"/>
      <c r="J122" s="5"/>
      <c r="K122" s="5"/>
      <c r="L122" s="5"/>
      <c r="M122" s="5"/>
      <c r="N122" s="5"/>
      <c r="O122" s="5"/>
      <c r="P122" s="5"/>
      <c r="Q122" s="5"/>
      <c r="R122" s="57"/>
      <c r="S122" s="5"/>
      <c r="T122" s="5"/>
      <c r="U122" s="5"/>
      <c r="V122" s="5"/>
      <c r="W122" s="431"/>
      <c r="X122" s="431"/>
      <c r="Y122" s="431"/>
      <c r="Z122" s="431"/>
      <c r="AA122" s="431"/>
      <c r="AB122" s="431"/>
      <c r="AC122" s="431"/>
      <c r="AD122" s="431"/>
    </row>
    <row r="123" spans="1:30" ht="12.75" customHeight="1">
      <c r="A123" s="5"/>
      <c r="B123" s="5"/>
      <c r="C123" s="5"/>
      <c r="D123" s="5"/>
      <c r="E123" s="5"/>
      <c r="F123" s="5"/>
      <c r="G123" s="5"/>
      <c r="H123" s="306"/>
      <c r="I123" s="306"/>
      <c r="J123" s="5"/>
      <c r="K123" s="5"/>
      <c r="L123" s="5"/>
      <c r="M123" s="5"/>
      <c r="N123" s="5"/>
      <c r="O123" s="5"/>
      <c r="P123" s="5"/>
      <c r="Q123" s="5"/>
      <c r="R123" s="57"/>
      <c r="S123" s="5"/>
      <c r="T123" s="5"/>
      <c r="U123" s="5"/>
      <c r="V123" s="5"/>
      <c r="W123" s="431"/>
      <c r="X123" s="431"/>
      <c r="Y123" s="431"/>
      <c r="Z123" s="431"/>
      <c r="AA123" s="431"/>
      <c r="AB123" s="431"/>
      <c r="AC123" s="431"/>
      <c r="AD123" s="431"/>
    </row>
    <row r="124" spans="1:30" ht="12.75" customHeight="1">
      <c r="A124" s="5"/>
      <c r="B124" s="5"/>
      <c r="C124" s="5"/>
      <c r="D124" s="5"/>
      <c r="E124" s="5"/>
      <c r="F124" s="5"/>
      <c r="G124" s="5"/>
      <c r="H124" s="306"/>
      <c r="I124" s="306"/>
      <c r="J124" s="5"/>
      <c r="K124" s="5"/>
      <c r="L124" s="5"/>
      <c r="M124" s="5"/>
      <c r="N124" s="5"/>
      <c r="O124" s="5"/>
      <c r="P124" s="5"/>
      <c r="Q124" s="5"/>
      <c r="R124" s="57"/>
      <c r="S124" s="5"/>
      <c r="T124" s="5"/>
      <c r="U124" s="5"/>
      <c r="V124" s="5"/>
      <c r="W124" s="431"/>
      <c r="X124" s="431"/>
      <c r="Y124" s="431"/>
      <c r="Z124" s="431"/>
      <c r="AA124" s="431"/>
      <c r="AB124" s="431"/>
      <c r="AC124" s="431"/>
      <c r="AD124" s="431"/>
    </row>
    <row r="125" spans="1:30" ht="12.75" customHeight="1">
      <c r="A125" s="5"/>
      <c r="B125" s="5"/>
      <c r="C125" s="5"/>
      <c r="D125" s="5"/>
      <c r="E125" s="5"/>
      <c r="F125" s="5"/>
      <c r="G125" s="5"/>
      <c r="H125" s="306"/>
      <c r="I125" s="306"/>
      <c r="J125" s="5"/>
      <c r="K125" s="5"/>
      <c r="L125" s="5"/>
      <c r="M125" s="5"/>
      <c r="N125" s="5"/>
      <c r="O125" s="5"/>
      <c r="P125" s="5"/>
      <c r="Q125" s="5"/>
      <c r="R125" s="57"/>
      <c r="S125" s="5"/>
      <c r="T125" s="5"/>
      <c r="U125" s="5"/>
      <c r="V125" s="5"/>
      <c r="W125" s="431"/>
      <c r="X125" s="431"/>
      <c r="Y125" s="431"/>
      <c r="Z125" s="431"/>
      <c r="AA125" s="431"/>
      <c r="AB125" s="431"/>
      <c r="AC125" s="431"/>
      <c r="AD125" s="431"/>
    </row>
    <row r="126" spans="1:30" ht="12.75" customHeight="1">
      <c r="A126" s="5"/>
      <c r="B126" s="5"/>
      <c r="C126" s="5"/>
      <c r="D126" s="5"/>
      <c r="E126" s="5"/>
      <c r="F126" s="5"/>
      <c r="G126" s="5"/>
      <c r="H126" s="306"/>
      <c r="I126" s="306"/>
      <c r="J126" s="5"/>
      <c r="K126" s="5"/>
      <c r="L126" s="5"/>
      <c r="M126" s="5"/>
      <c r="N126" s="5"/>
      <c r="O126" s="5"/>
      <c r="P126" s="5"/>
      <c r="Q126" s="5"/>
      <c r="R126" s="57"/>
      <c r="S126" s="5"/>
      <c r="T126" s="5"/>
      <c r="U126" s="5"/>
      <c r="V126" s="5"/>
      <c r="W126" s="431"/>
      <c r="X126" s="431"/>
      <c r="Y126" s="431"/>
      <c r="Z126" s="431"/>
      <c r="AA126" s="431"/>
      <c r="AB126" s="431"/>
      <c r="AC126" s="431"/>
      <c r="AD126" s="431"/>
    </row>
    <row r="127" spans="1:30" ht="12.75" customHeight="1">
      <c r="A127" s="5"/>
      <c r="B127" s="5"/>
      <c r="C127" s="5"/>
      <c r="D127" s="5"/>
      <c r="E127" s="5"/>
      <c r="F127" s="5"/>
      <c r="G127" s="5"/>
      <c r="H127" s="306"/>
      <c r="I127" s="306"/>
      <c r="J127" s="5"/>
      <c r="K127" s="5"/>
      <c r="L127" s="5"/>
      <c r="M127" s="5"/>
      <c r="N127" s="5"/>
      <c r="O127" s="5"/>
      <c r="P127" s="5"/>
      <c r="Q127" s="5"/>
      <c r="R127" s="57"/>
      <c r="S127" s="5"/>
      <c r="T127" s="5"/>
      <c r="U127" s="5"/>
      <c r="V127" s="5"/>
      <c r="W127" s="431"/>
      <c r="X127" s="431"/>
      <c r="Y127" s="431"/>
      <c r="Z127" s="431"/>
      <c r="AA127" s="431"/>
      <c r="AB127" s="431"/>
      <c r="AC127" s="431"/>
      <c r="AD127" s="431"/>
    </row>
    <row r="128" spans="1:30" ht="12.75" customHeight="1">
      <c r="A128" s="5"/>
      <c r="B128" s="5"/>
      <c r="C128" s="5"/>
      <c r="D128" s="5"/>
      <c r="E128" s="5"/>
      <c r="F128" s="5"/>
      <c r="G128" s="5"/>
      <c r="H128" s="306"/>
      <c r="I128" s="306"/>
      <c r="J128" s="5"/>
      <c r="K128" s="5"/>
      <c r="L128" s="5"/>
      <c r="M128" s="5"/>
      <c r="N128" s="5"/>
      <c r="O128" s="5"/>
      <c r="P128" s="5"/>
      <c r="Q128" s="5"/>
      <c r="R128" s="57"/>
      <c r="S128" s="5"/>
      <c r="T128" s="5"/>
      <c r="U128" s="5"/>
      <c r="V128" s="5"/>
      <c r="W128" s="431"/>
      <c r="X128" s="431"/>
      <c r="Y128" s="431"/>
      <c r="Z128" s="431"/>
      <c r="AA128" s="431"/>
      <c r="AB128" s="431"/>
      <c r="AC128" s="431"/>
      <c r="AD128" s="431"/>
    </row>
    <row r="129" spans="1:30" ht="12.75" customHeight="1">
      <c r="A129" s="5"/>
      <c r="B129" s="5"/>
      <c r="C129" s="5"/>
      <c r="D129" s="5"/>
      <c r="E129" s="5"/>
      <c r="F129" s="5"/>
      <c r="G129" s="5"/>
      <c r="H129" s="306"/>
      <c r="I129" s="306"/>
      <c r="J129" s="5"/>
      <c r="K129" s="5"/>
      <c r="L129" s="5"/>
      <c r="M129" s="5"/>
      <c r="N129" s="5"/>
      <c r="O129" s="5"/>
      <c r="P129" s="5"/>
      <c r="Q129" s="5"/>
      <c r="R129" s="57"/>
      <c r="S129" s="5"/>
      <c r="T129" s="5"/>
      <c r="U129" s="5"/>
      <c r="V129" s="5"/>
      <c r="W129" s="431"/>
      <c r="X129" s="431"/>
      <c r="Y129" s="431"/>
      <c r="Z129" s="431"/>
      <c r="AA129" s="431"/>
      <c r="AB129" s="431"/>
      <c r="AC129" s="431"/>
      <c r="AD129" s="431"/>
    </row>
    <row r="130" spans="1:30" ht="12.75" customHeight="1">
      <c r="A130" s="5"/>
      <c r="B130" s="5"/>
      <c r="C130" s="5"/>
      <c r="D130" s="5"/>
      <c r="E130" s="5"/>
      <c r="F130" s="5"/>
      <c r="G130" s="5"/>
      <c r="H130" s="306"/>
      <c r="I130" s="306"/>
      <c r="J130" s="5"/>
      <c r="K130" s="5"/>
      <c r="L130" s="5"/>
      <c r="M130" s="5"/>
      <c r="N130" s="5"/>
      <c r="O130" s="5"/>
      <c r="P130" s="5"/>
      <c r="Q130" s="5"/>
      <c r="R130" s="57"/>
      <c r="S130" s="5"/>
      <c r="T130" s="5"/>
      <c r="U130" s="5"/>
      <c r="V130" s="5"/>
      <c r="W130" s="431"/>
      <c r="X130" s="431"/>
      <c r="Y130" s="431"/>
      <c r="Z130" s="431"/>
      <c r="AA130" s="431"/>
      <c r="AB130" s="431"/>
      <c r="AC130" s="431"/>
      <c r="AD130" s="431"/>
    </row>
    <row r="131" spans="1:30" ht="12.75" customHeight="1">
      <c r="A131" s="5"/>
      <c r="B131" s="5"/>
      <c r="C131" s="5"/>
      <c r="D131" s="5"/>
      <c r="E131" s="5"/>
      <c r="F131" s="5"/>
      <c r="G131" s="5"/>
      <c r="H131" s="306"/>
      <c r="I131" s="306"/>
      <c r="J131" s="5"/>
      <c r="K131" s="5"/>
      <c r="L131" s="5"/>
      <c r="M131" s="5"/>
      <c r="N131" s="5"/>
      <c r="O131" s="5"/>
      <c r="P131" s="5"/>
      <c r="Q131" s="5"/>
      <c r="R131" s="57"/>
      <c r="S131" s="5"/>
      <c r="T131" s="5"/>
      <c r="U131" s="5"/>
      <c r="V131" s="5"/>
      <c r="W131" s="431"/>
      <c r="X131" s="431"/>
      <c r="Y131" s="431"/>
      <c r="Z131" s="431"/>
      <c r="AA131" s="431"/>
      <c r="AB131" s="431"/>
      <c r="AC131" s="431"/>
      <c r="AD131" s="431"/>
    </row>
    <row r="132" spans="1:30" ht="12.75" customHeight="1">
      <c r="A132" s="5"/>
      <c r="B132" s="5"/>
      <c r="C132" s="5"/>
      <c r="D132" s="5"/>
      <c r="E132" s="5"/>
      <c r="F132" s="5"/>
      <c r="G132" s="5"/>
      <c r="H132" s="306"/>
      <c r="I132" s="306"/>
      <c r="J132" s="5"/>
      <c r="K132" s="5"/>
      <c r="L132" s="5"/>
      <c r="M132" s="5"/>
      <c r="N132" s="5"/>
      <c r="O132" s="5"/>
      <c r="P132" s="5"/>
      <c r="Q132" s="5"/>
      <c r="R132" s="57"/>
      <c r="S132" s="5"/>
      <c r="T132" s="5"/>
      <c r="U132" s="5"/>
      <c r="V132" s="5"/>
      <c r="W132" s="431"/>
      <c r="X132" s="431"/>
      <c r="Y132" s="431"/>
      <c r="Z132" s="431"/>
      <c r="AA132" s="431"/>
      <c r="AB132" s="431"/>
      <c r="AC132" s="431"/>
      <c r="AD132" s="431"/>
    </row>
    <row r="133" spans="1:30" ht="12.75" customHeight="1">
      <c r="A133" s="5"/>
      <c r="B133" s="5"/>
      <c r="C133" s="5"/>
      <c r="D133" s="5"/>
      <c r="E133" s="5"/>
      <c r="F133" s="5"/>
      <c r="G133" s="5"/>
      <c r="H133" s="306"/>
      <c r="I133" s="306"/>
      <c r="J133" s="5"/>
      <c r="K133" s="5"/>
      <c r="L133" s="5"/>
      <c r="M133" s="5"/>
      <c r="N133" s="5"/>
      <c r="O133" s="5"/>
      <c r="P133" s="5"/>
      <c r="Q133" s="5"/>
      <c r="R133" s="57"/>
      <c r="S133" s="5"/>
      <c r="T133" s="5"/>
      <c r="U133" s="5"/>
      <c r="V133" s="5"/>
      <c r="W133" s="431"/>
      <c r="X133" s="431"/>
      <c r="Y133" s="431"/>
      <c r="Z133" s="431"/>
      <c r="AA133" s="431"/>
      <c r="AB133" s="431"/>
      <c r="AC133" s="431"/>
      <c r="AD133" s="431"/>
    </row>
    <row r="134" spans="1:30" ht="12.75" customHeight="1">
      <c r="A134" s="5"/>
      <c r="B134" s="5"/>
      <c r="C134" s="5"/>
      <c r="D134" s="5"/>
      <c r="E134" s="5"/>
      <c r="F134" s="5"/>
      <c r="G134" s="5"/>
      <c r="H134" s="306"/>
      <c r="I134" s="306"/>
      <c r="J134" s="5"/>
      <c r="K134" s="5"/>
      <c r="L134" s="5"/>
      <c r="M134" s="5"/>
      <c r="N134" s="5"/>
      <c r="O134" s="5"/>
      <c r="P134" s="5"/>
      <c r="Q134" s="5"/>
      <c r="R134" s="57"/>
      <c r="S134" s="5"/>
      <c r="T134" s="5"/>
      <c r="U134" s="5"/>
      <c r="V134" s="5"/>
      <c r="W134" s="431"/>
      <c r="X134" s="431"/>
      <c r="Y134" s="431"/>
      <c r="Z134" s="431"/>
      <c r="AA134" s="431"/>
      <c r="AB134" s="431"/>
      <c r="AC134" s="431"/>
      <c r="AD134" s="431"/>
    </row>
    <row r="135" spans="1:30" ht="12.75" customHeight="1">
      <c r="A135" s="5"/>
      <c r="B135" s="5"/>
      <c r="C135" s="5"/>
      <c r="D135" s="5"/>
      <c r="E135" s="5"/>
      <c r="F135" s="5"/>
      <c r="G135" s="5"/>
      <c r="H135" s="306"/>
      <c r="I135" s="306"/>
      <c r="J135" s="5"/>
      <c r="K135" s="5"/>
      <c r="L135" s="5"/>
      <c r="M135" s="5"/>
      <c r="N135" s="5"/>
      <c r="O135" s="5"/>
      <c r="P135" s="5"/>
      <c r="Q135" s="5"/>
      <c r="R135" s="57"/>
      <c r="S135" s="5"/>
      <c r="T135" s="5"/>
      <c r="U135" s="5"/>
      <c r="V135" s="5"/>
      <c r="W135" s="431"/>
      <c r="X135" s="431"/>
      <c r="Y135" s="431"/>
      <c r="Z135" s="431"/>
      <c r="AA135" s="431"/>
      <c r="AB135" s="431"/>
      <c r="AC135" s="431"/>
      <c r="AD135" s="431"/>
    </row>
    <row r="136" spans="1:30" ht="12.75" customHeight="1">
      <c r="A136" s="5"/>
      <c r="B136" s="5"/>
      <c r="C136" s="5"/>
      <c r="D136" s="5"/>
      <c r="E136" s="5"/>
      <c r="F136" s="5"/>
      <c r="G136" s="5"/>
      <c r="H136" s="306"/>
      <c r="I136" s="306"/>
      <c r="J136" s="5"/>
      <c r="K136" s="5"/>
      <c r="L136" s="5"/>
      <c r="M136" s="5"/>
      <c r="N136" s="5"/>
      <c r="O136" s="5"/>
      <c r="P136" s="5"/>
      <c r="Q136" s="5"/>
      <c r="R136" s="57"/>
      <c r="S136" s="5"/>
      <c r="T136" s="5"/>
      <c r="U136" s="5"/>
      <c r="V136" s="5"/>
      <c r="W136" s="431"/>
      <c r="X136" s="431"/>
      <c r="Y136" s="431"/>
      <c r="Z136" s="431"/>
      <c r="AA136" s="431"/>
      <c r="AB136" s="431"/>
      <c r="AC136" s="431"/>
      <c r="AD136" s="431"/>
    </row>
    <row r="137" spans="1:30" ht="12.75" customHeight="1">
      <c r="A137" s="5"/>
      <c r="B137" s="5"/>
      <c r="C137" s="5"/>
      <c r="D137" s="5"/>
      <c r="E137" s="5"/>
      <c r="F137" s="5"/>
      <c r="G137" s="5"/>
      <c r="H137" s="306"/>
      <c r="I137" s="306"/>
      <c r="J137" s="5"/>
      <c r="K137" s="5"/>
      <c r="L137" s="5"/>
      <c r="M137" s="5"/>
      <c r="N137" s="5"/>
      <c r="O137" s="5"/>
      <c r="P137" s="5"/>
      <c r="Q137" s="5"/>
      <c r="R137" s="57"/>
      <c r="S137" s="5"/>
      <c r="T137" s="5"/>
      <c r="U137" s="5"/>
      <c r="V137" s="5"/>
      <c r="W137" s="431"/>
      <c r="X137" s="431"/>
      <c r="Y137" s="431"/>
      <c r="Z137" s="431"/>
      <c r="AA137" s="431"/>
      <c r="AB137" s="431"/>
      <c r="AC137" s="431"/>
      <c r="AD137" s="431"/>
    </row>
    <row r="138" spans="1:30" ht="12.75" customHeight="1">
      <c r="A138" s="5"/>
      <c r="B138" s="5"/>
      <c r="C138" s="5"/>
      <c r="D138" s="5"/>
      <c r="E138" s="5"/>
      <c r="F138" s="5"/>
      <c r="G138" s="5"/>
      <c r="H138" s="306"/>
      <c r="I138" s="306"/>
      <c r="J138" s="5"/>
      <c r="K138" s="5"/>
      <c r="L138" s="5"/>
      <c r="M138" s="5"/>
      <c r="N138" s="5"/>
      <c r="O138" s="5"/>
      <c r="P138" s="5"/>
      <c r="Q138" s="5"/>
      <c r="R138" s="57"/>
      <c r="S138" s="5"/>
      <c r="T138" s="5"/>
      <c r="U138" s="5"/>
      <c r="V138" s="5"/>
      <c r="W138" s="431"/>
      <c r="X138" s="431"/>
      <c r="Y138" s="431"/>
      <c r="Z138" s="431"/>
      <c r="AA138" s="431"/>
      <c r="AB138" s="431"/>
      <c r="AC138" s="431"/>
      <c r="AD138" s="431"/>
    </row>
    <row r="139" spans="1:30" ht="12.75" customHeight="1">
      <c r="A139" s="5"/>
      <c r="B139" s="5"/>
      <c r="C139" s="5"/>
      <c r="D139" s="5"/>
      <c r="E139" s="5"/>
      <c r="F139" s="5"/>
      <c r="G139" s="5"/>
      <c r="H139" s="306"/>
      <c r="I139" s="306"/>
      <c r="J139" s="5"/>
      <c r="K139" s="5"/>
      <c r="L139" s="5"/>
      <c r="M139" s="5"/>
      <c r="N139" s="5"/>
      <c r="O139" s="5"/>
      <c r="P139" s="5"/>
      <c r="Q139" s="5"/>
      <c r="R139" s="57"/>
      <c r="S139" s="5"/>
      <c r="T139" s="5"/>
      <c r="U139" s="5"/>
      <c r="V139" s="5"/>
      <c r="W139" s="431"/>
      <c r="X139" s="431"/>
      <c r="Y139" s="431"/>
      <c r="Z139" s="431"/>
      <c r="AA139" s="431"/>
      <c r="AB139" s="431"/>
      <c r="AC139" s="431"/>
      <c r="AD139" s="431"/>
    </row>
    <row r="140" spans="1:30" ht="12.75" customHeight="1">
      <c r="A140" s="5"/>
      <c r="B140" s="5"/>
      <c r="C140" s="5"/>
      <c r="D140" s="5"/>
      <c r="E140" s="5"/>
      <c r="F140" s="5"/>
      <c r="G140" s="5"/>
      <c r="H140" s="306"/>
      <c r="I140" s="306"/>
      <c r="J140" s="5"/>
      <c r="K140" s="5"/>
      <c r="L140" s="5"/>
      <c r="M140" s="5"/>
      <c r="N140" s="5"/>
      <c r="O140" s="5"/>
      <c r="P140" s="5"/>
      <c r="Q140" s="5"/>
      <c r="R140" s="57"/>
      <c r="S140" s="5"/>
      <c r="T140" s="5"/>
      <c r="U140" s="5"/>
      <c r="V140" s="5"/>
      <c r="W140" s="431"/>
      <c r="X140" s="431"/>
      <c r="Y140" s="431"/>
      <c r="Z140" s="431"/>
      <c r="AA140" s="431"/>
      <c r="AB140" s="431"/>
      <c r="AC140" s="431"/>
      <c r="AD140" s="431"/>
    </row>
    <row r="141" spans="1:30" ht="12.75" customHeight="1">
      <c r="A141" s="5"/>
      <c r="B141" s="5"/>
      <c r="C141" s="5"/>
      <c r="D141" s="5"/>
      <c r="E141" s="5"/>
      <c r="F141" s="5"/>
      <c r="G141" s="5"/>
      <c r="H141" s="306"/>
      <c r="I141" s="306"/>
      <c r="J141" s="5"/>
      <c r="K141" s="5"/>
      <c r="L141" s="5"/>
      <c r="M141" s="5"/>
      <c r="N141" s="5"/>
      <c r="O141" s="5"/>
      <c r="P141" s="5"/>
      <c r="Q141" s="5"/>
      <c r="R141" s="57"/>
      <c r="S141" s="5"/>
      <c r="T141" s="5"/>
      <c r="U141" s="5"/>
      <c r="V141" s="5"/>
      <c r="W141" s="431"/>
      <c r="X141" s="431"/>
      <c r="Y141" s="431"/>
      <c r="Z141" s="431"/>
      <c r="AA141" s="431"/>
      <c r="AB141" s="431"/>
      <c r="AC141" s="431"/>
      <c r="AD141" s="431"/>
    </row>
    <row r="142" spans="1:30" ht="12.75" customHeight="1">
      <c r="A142" s="5"/>
      <c r="B142" s="5"/>
      <c r="C142" s="5"/>
      <c r="D142" s="5"/>
      <c r="E142" s="5"/>
      <c r="F142" s="5"/>
      <c r="G142" s="5"/>
      <c r="H142" s="306"/>
      <c r="I142" s="306"/>
      <c r="J142" s="5"/>
      <c r="K142" s="5"/>
      <c r="L142" s="5"/>
      <c r="M142" s="5"/>
      <c r="N142" s="5"/>
      <c r="O142" s="5"/>
      <c r="P142" s="5"/>
      <c r="Q142" s="5"/>
      <c r="R142" s="57"/>
      <c r="S142" s="5"/>
      <c r="T142" s="5"/>
      <c r="U142" s="5"/>
      <c r="V142" s="5"/>
      <c r="W142" s="431"/>
      <c r="X142" s="431"/>
      <c r="Y142" s="431"/>
      <c r="Z142" s="431"/>
      <c r="AA142" s="431"/>
      <c r="AB142" s="431"/>
      <c r="AC142" s="431"/>
      <c r="AD142" s="431"/>
    </row>
    <row r="143" spans="1:30" ht="12.75" customHeight="1">
      <c r="A143" s="5"/>
      <c r="B143" s="5"/>
      <c r="C143" s="5"/>
      <c r="D143" s="5"/>
      <c r="E143" s="5"/>
      <c r="F143" s="5"/>
      <c r="G143" s="5"/>
      <c r="H143" s="306"/>
      <c r="I143" s="306"/>
      <c r="J143" s="5"/>
      <c r="K143" s="5"/>
      <c r="L143" s="5"/>
      <c r="M143" s="5"/>
      <c r="N143" s="5"/>
      <c r="O143" s="5"/>
      <c r="P143" s="5"/>
      <c r="Q143" s="5"/>
      <c r="R143" s="57"/>
      <c r="S143" s="5"/>
      <c r="T143" s="5"/>
      <c r="U143" s="5"/>
      <c r="V143" s="5"/>
      <c r="W143" s="431"/>
      <c r="X143" s="431"/>
      <c r="Y143" s="431"/>
      <c r="Z143" s="431"/>
      <c r="AA143" s="431"/>
      <c r="AB143" s="431"/>
      <c r="AC143" s="431"/>
      <c r="AD143" s="431"/>
    </row>
    <row r="144" spans="1:30" ht="12.75" customHeight="1">
      <c r="A144" s="5"/>
      <c r="B144" s="5"/>
      <c r="C144" s="5"/>
      <c r="D144" s="5"/>
      <c r="E144" s="5"/>
      <c r="F144" s="5"/>
      <c r="G144" s="5"/>
      <c r="H144" s="306"/>
      <c r="I144" s="306"/>
      <c r="J144" s="5"/>
      <c r="K144" s="5"/>
      <c r="L144" s="5"/>
      <c r="M144" s="5"/>
      <c r="N144" s="5"/>
      <c r="O144" s="5"/>
      <c r="P144" s="5"/>
      <c r="Q144" s="5"/>
      <c r="R144" s="57"/>
      <c r="S144" s="5"/>
      <c r="T144" s="5"/>
      <c r="U144" s="5"/>
      <c r="V144" s="5"/>
      <c r="W144" s="431"/>
      <c r="X144" s="431"/>
      <c r="Y144" s="431"/>
      <c r="Z144" s="431"/>
      <c r="AA144" s="431"/>
      <c r="AB144" s="431"/>
      <c r="AC144" s="431"/>
      <c r="AD144" s="431"/>
    </row>
    <row r="145" spans="1:30" ht="12.75" customHeight="1">
      <c r="A145" s="5"/>
      <c r="B145" s="5"/>
      <c r="C145" s="5"/>
      <c r="D145" s="5"/>
      <c r="E145" s="5"/>
      <c r="F145" s="5"/>
      <c r="G145" s="5"/>
      <c r="H145" s="306"/>
      <c r="I145" s="306"/>
      <c r="J145" s="5"/>
      <c r="K145" s="5"/>
      <c r="L145" s="5"/>
      <c r="M145" s="5"/>
      <c r="N145" s="5"/>
      <c r="O145" s="5"/>
      <c r="P145" s="5"/>
      <c r="Q145" s="5"/>
      <c r="R145" s="57"/>
      <c r="S145" s="5"/>
      <c r="T145" s="5"/>
      <c r="U145" s="5"/>
      <c r="V145" s="5"/>
      <c r="W145" s="431"/>
      <c r="X145" s="431"/>
      <c r="Y145" s="431"/>
      <c r="Z145" s="431"/>
      <c r="AA145" s="431"/>
      <c r="AB145" s="431"/>
      <c r="AC145" s="431"/>
      <c r="AD145" s="431"/>
    </row>
    <row r="146" spans="1:30" ht="12.75" customHeight="1">
      <c r="A146" s="5"/>
      <c r="B146" s="5"/>
      <c r="C146" s="5"/>
      <c r="D146" s="5"/>
      <c r="E146" s="5"/>
      <c r="F146" s="5"/>
      <c r="G146" s="5"/>
      <c r="H146" s="306"/>
      <c r="I146" s="306"/>
      <c r="J146" s="5"/>
      <c r="K146" s="5"/>
      <c r="L146" s="5"/>
      <c r="M146" s="5"/>
      <c r="N146" s="5"/>
      <c r="O146" s="5"/>
      <c r="P146" s="5"/>
      <c r="Q146" s="5"/>
      <c r="R146" s="57"/>
      <c r="S146" s="5"/>
      <c r="T146" s="5"/>
      <c r="U146" s="5"/>
      <c r="V146" s="5"/>
      <c r="W146" s="431"/>
      <c r="X146" s="431"/>
      <c r="Y146" s="431"/>
      <c r="Z146" s="431"/>
      <c r="AA146" s="431"/>
      <c r="AB146" s="431"/>
      <c r="AC146" s="431"/>
      <c r="AD146" s="431"/>
    </row>
    <row r="147" spans="1:30" ht="12.75" customHeight="1">
      <c r="A147" s="5"/>
      <c r="B147" s="5"/>
      <c r="C147" s="5"/>
      <c r="D147" s="5"/>
      <c r="E147" s="5"/>
      <c r="F147" s="5"/>
      <c r="G147" s="5"/>
      <c r="H147" s="306"/>
      <c r="I147" s="306"/>
      <c r="J147" s="5"/>
      <c r="K147" s="5"/>
      <c r="L147" s="5"/>
      <c r="M147" s="5"/>
      <c r="N147" s="5"/>
      <c r="O147" s="5"/>
      <c r="P147" s="5"/>
      <c r="Q147" s="5"/>
      <c r="R147" s="57"/>
      <c r="S147" s="5"/>
      <c r="T147" s="5"/>
      <c r="U147" s="5"/>
      <c r="V147" s="5"/>
      <c r="W147" s="431"/>
      <c r="X147" s="431"/>
      <c r="Y147" s="431"/>
      <c r="Z147" s="431"/>
      <c r="AA147" s="431"/>
      <c r="AB147" s="431"/>
      <c r="AC147" s="431"/>
      <c r="AD147" s="431"/>
    </row>
    <row r="148" spans="1:30" ht="12.75" customHeight="1">
      <c r="A148" s="5"/>
      <c r="B148" s="5"/>
      <c r="C148" s="5"/>
      <c r="D148" s="5"/>
      <c r="E148" s="5"/>
      <c r="F148" s="5"/>
      <c r="G148" s="5"/>
      <c r="H148" s="306"/>
      <c r="I148" s="306"/>
      <c r="J148" s="5"/>
      <c r="K148" s="5"/>
      <c r="L148" s="5"/>
      <c r="M148" s="5"/>
      <c r="N148" s="5"/>
      <c r="O148" s="5"/>
      <c r="P148" s="5"/>
      <c r="Q148" s="5"/>
      <c r="R148" s="57"/>
      <c r="S148" s="5"/>
      <c r="T148" s="5"/>
      <c r="U148" s="5"/>
      <c r="V148" s="5"/>
      <c r="W148" s="431"/>
      <c r="X148" s="431"/>
      <c r="Y148" s="431"/>
      <c r="Z148" s="431"/>
      <c r="AA148" s="431"/>
      <c r="AB148" s="431"/>
      <c r="AC148" s="431"/>
      <c r="AD148" s="431"/>
    </row>
    <row r="149" spans="1:30" ht="12.75" customHeight="1">
      <c r="A149" s="5"/>
      <c r="B149" s="5"/>
      <c r="C149" s="5"/>
      <c r="D149" s="5"/>
      <c r="E149" s="5"/>
      <c r="F149" s="5"/>
      <c r="G149" s="5"/>
      <c r="H149" s="306"/>
      <c r="I149" s="306"/>
      <c r="J149" s="5"/>
      <c r="K149" s="5"/>
      <c r="L149" s="5"/>
      <c r="M149" s="5"/>
      <c r="N149" s="5"/>
      <c r="O149" s="5"/>
      <c r="P149" s="5"/>
      <c r="Q149" s="5"/>
      <c r="R149" s="57"/>
      <c r="S149" s="5"/>
      <c r="T149" s="5"/>
      <c r="U149" s="5"/>
      <c r="V149" s="5"/>
      <c r="W149" s="431"/>
      <c r="X149" s="431"/>
      <c r="Y149" s="431"/>
      <c r="Z149" s="431"/>
      <c r="AA149" s="431"/>
      <c r="AB149" s="431"/>
      <c r="AC149" s="431"/>
      <c r="AD149" s="431"/>
    </row>
    <row r="150" spans="1:30" ht="12.75" customHeight="1">
      <c r="A150" s="5"/>
      <c r="B150" s="5"/>
      <c r="C150" s="5"/>
      <c r="D150" s="5"/>
      <c r="E150" s="5"/>
      <c r="F150" s="5"/>
      <c r="G150" s="5"/>
      <c r="H150" s="306"/>
      <c r="I150" s="306"/>
      <c r="J150" s="5"/>
      <c r="K150" s="5"/>
      <c r="L150" s="5"/>
      <c r="M150" s="5"/>
      <c r="N150" s="5"/>
      <c r="O150" s="5"/>
      <c r="P150" s="5"/>
      <c r="Q150" s="5"/>
      <c r="R150" s="57"/>
      <c r="S150" s="5"/>
      <c r="T150" s="5"/>
      <c r="U150" s="5"/>
      <c r="V150" s="5"/>
      <c r="W150" s="431"/>
      <c r="X150" s="431"/>
      <c r="Y150" s="431"/>
      <c r="Z150" s="431"/>
      <c r="AA150" s="431"/>
      <c r="AB150" s="431"/>
      <c r="AC150" s="431"/>
      <c r="AD150" s="431"/>
    </row>
    <row r="151" spans="1:30" ht="12.75" customHeight="1">
      <c r="A151" s="5"/>
      <c r="B151" s="5"/>
      <c r="C151" s="5"/>
      <c r="D151" s="5"/>
      <c r="E151" s="5"/>
      <c r="F151" s="5"/>
      <c r="G151" s="5"/>
      <c r="H151" s="306"/>
      <c r="I151" s="306"/>
      <c r="J151" s="5"/>
      <c r="K151" s="5"/>
      <c r="L151" s="5"/>
      <c r="M151" s="5"/>
      <c r="N151" s="5"/>
      <c r="O151" s="5"/>
      <c r="P151" s="5"/>
      <c r="Q151" s="5"/>
      <c r="R151" s="57"/>
      <c r="S151" s="5"/>
      <c r="T151" s="5"/>
      <c r="U151" s="5"/>
      <c r="V151" s="5"/>
      <c r="W151" s="431"/>
      <c r="X151" s="431"/>
      <c r="Y151" s="431"/>
      <c r="Z151" s="431"/>
      <c r="AA151" s="431"/>
      <c r="AB151" s="431"/>
      <c r="AC151" s="431"/>
      <c r="AD151" s="431"/>
    </row>
    <row r="152" spans="1:30" ht="12.75" customHeight="1">
      <c r="A152" s="5"/>
      <c r="B152" s="5"/>
      <c r="C152" s="5"/>
      <c r="D152" s="5"/>
      <c r="E152" s="5"/>
      <c r="F152" s="5"/>
      <c r="G152" s="5"/>
      <c r="H152" s="306"/>
      <c r="I152" s="306"/>
      <c r="J152" s="5"/>
      <c r="K152" s="5"/>
      <c r="L152" s="5"/>
      <c r="M152" s="5"/>
      <c r="N152" s="5"/>
      <c r="O152" s="5"/>
      <c r="P152" s="5"/>
      <c r="Q152" s="5"/>
      <c r="R152" s="57"/>
      <c r="S152" s="5"/>
      <c r="T152" s="5"/>
      <c r="U152" s="5"/>
      <c r="V152" s="5"/>
      <c r="W152" s="431"/>
      <c r="X152" s="431"/>
      <c r="Y152" s="431"/>
      <c r="Z152" s="431"/>
      <c r="AA152" s="431"/>
      <c r="AB152" s="431"/>
      <c r="AC152" s="431"/>
      <c r="AD152" s="431"/>
    </row>
    <row r="153" spans="1:30" ht="12.75" customHeight="1">
      <c r="A153" s="5"/>
      <c r="B153" s="5"/>
      <c r="C153" s="5"/>
      <c r="D153" s="5"/>
      <c r="E153" s="5"/>
      <c r="F153" s="5"/>
      <c r="G153" s="5"/>
      <c r="H153" s="306"/>
      <c r="I153" s="306"/>
      <c r="J153" s="5"/>
      <c r="K153" s="5"/>
      <c r="L153" s="5"/>
      <c r="M153" s="5"/>
      <c r="N153" s="5"/>
      <c r="O153" s="5"/>
      <c r="P153" s="5"/>
      <c r="Q153" s="5"/>
      <c r="R153" s="57"/>
      <c r="S153" s="5"/>
      <c r="T153" s="5"/>
      <c r="U153" s="5"/>
      <c r="V153" s="5"/>
      <c r="W153" s="431"/>
      <c r="X153" s="431"/>
      <c r="Y153" s="431"/>
      <c r="Z153" s="431"/>
      <c r="AA153" s="431"/>
      <c r="AB153" s="431"/>
      <c r="AC153" s="431"/>
      <c r="AD153" s="431"/>
    </row>
    <row r="154" spans="1:30" ht="12.75" customHeight="1">
      <c r="A154" s="5"/>
      <c r="B154" s="5"/>
      <c r="C154" s="5"/>
      <c r="D154" s="5"/>
      <c r="E154" s="5"/>
      <c r="F154" s="5"/>
      <c r="G154" s="5"/>
      <c r="H154" s="306"/>
      <c r="I154" s="306"/>
      <c r="J154" s="5"/>
      <c r="K154" s="5"/>
      <c r="L154" s="5"/>
      <c r="M154" s="5"/>
      <c r="N154" s="5"/>
      <c r="O154" s="5"/>
      <c r="P154" s="5"/>
      <c r="Q154" s="5"/>
      <c r="R154" s="57"/>
      <c r="S154" s="5"/>
      <c r="T154" s="5"/>
      <c r="U154" s="5"/>
      <c r="V154" s="5"/>
      <c r="W154" s="431"/>
      <c r="X154" s="431"/>
      <c r="Y154" s="431"/>
      <c r="Z154" s="431"/>
      <c r="AA154" s="431"/>
      <c r="AB154" s="431"/>
      <c r="AC154" s="431"/>
      <c r="AD154" s="431"/>
    </row>
    <row r="155" spans="1:30" ht="12.75" customHeight="1">
      <c r="A155" s="5"/>
      <c r="B155" s="5"/>
      <c r="C155" s="5"/>
      <c r="D155" s="5"/>
      <c r="E155" s="5"/>
      <c r="F155" s="5"/>
      <c r="G155" s="5"/>
      <c r="H155" s="306"/>
      <c r="I155" s="306"/>
      <c r="J155" s="5"/>
      <c r="K155" s="5"/>
      <c r="L155" s="5"/>
      <c r="M155" s="5"/>
      <c r="N155" s="5"/>
      <c r="O155" s="5"/>
      <c r="P155" s="5"/>
      <c r="Q155" s="5"/>
      <c r="R155" s="57"/>
      <c r="S155" s="5"/>
      <c r="T155" s="5"/>
      <c r="U155" s="5"/>
      <c r="V155" s="5"/>
      <c r="W155" s="431"/>
      <c r="X155" s="431"/>
      <c r="Y155" s="431"/>
      <c r="Z155" s="431"/>
      <c r="AA155" s="431"/>
      <c r="AB155" s="431"/>
      <c r="AC155" s="431"/>
      <c r="AD155" s="431"/>
    </row>
    <row r="156" spans="1:30" ht="12.75" customHeight="1">
      <c r="A156" s="5"/>
      <c r="B156" s="5"/>
      <c r="C156" s="5"/>
      <c r="D156" s="5"/>
      <c r="E156" s="5"/>
      <c r="F156" s="5"/>
      <c r="G156" s="5"/>
      <c r="H156" s="306"/>
      <c r="I156" s="306"/>
      <c r="J156" s="5"/>
      <c r="K156" s="5"/>
      <c r="L156" s="5"/>
      <c r="M156" s="5"/>
      <c r="N156" s="5"/>
      <c r="O156" s="5"/>
      <c r="P156" s="5"/>
      <c r="Q156" s="5"/>
      <c r="R156" s="57"/>
      <c r="S156" s="5"/>
      <c r="T156" s="5"/>
      <c r="U156" s="5"/>
      <c r="V156" s="5"/>
      <c r="W156" s="431"/>
      <c r="X156" s="431"/>
      <c r="Y156" s="431"/>
      <c r="Z156" s="431"/>
      <c r="AA156" s="431"/>
      <c r="AB156" s="431"/>
      <c r="AC156" s="431"/>
      <c r="AD156" s="431"/>
    </row>
    <row r="157" spans="1:30" ht="12.75" customHeight="1">
      <c r="A157" s="5"/>
      <c r="B157" s="5"/>
      <c r="C157" s="5"/>
      <c r="D157" s="5"/>
      <c r="E157" s="5"/>
      <c r="F157" s="5"/>
      <c r="G157" s="5"/>
      <c r="H157" s="306"/>
      <c r="I157" s="306"/>
      <c r="J157" s="5"/>
      <c r="K157" s="5"/>
      <c r="L157" s="5"/>
      <c r="M157" s="5"/>
      <c r="N157" s="5"/>
      <c r="O157" s="5"/>
      <c r="P157" s="5"/>
      <c r="Q157" s="5"/>
      <c r="R157" s="57"/>
      <c r="S157" s="5"/>
      <c r="T157" s="5"/>
      <c r="U157" s="5"/>
      <c r="V157" s="5"/>
      <c r="W157" s="431"/>
      <c r="X157" s="431"/>
      <c r="Y157" s="431"/>
      <c r="Z157" s="431"/>
      <c r="AA157" s="431"/>
      <c r="AB157" s="431"/>
      <c r="AC157" s="431"/>
      <c r="AD157" s="431"/>
    </row>
    <row r="158" spans="1:30" ht="12.75" customHeight="1">
      <c r="A158" s="5"/>
      <c r="B158" s="5"/>
      <c r="C158" s="5"/>
      <c r="D158" s="5"/>
      <c r="E158" s="5"/>
      <c r="F158" s="5"/>
      <c r="G158" s="5"/>
      <c r="H158" s="306"/>
      <c r="I158" s="306"/>
      <c r="J158" s="5"/>
      <c r="K158" s="5"/>
      <c r="L158" s="5"/>
      <c r="M158" s="5"/>
      <c r="N158" s="5"/>
      <c r="O158" s="5"/>
      <c r="P158" s="5"/>
      <c r="Q158" s="5"/>
      <c r="R158" s="57"/>
      <c r="S158" s="5"/>
      <c r="T158" s="5"/>
      <c r="U158" s="5"/>
      <c r="V158" s="5"/>
      <c r="W158" s="431"/>
      <c r="X158" s="431"/>
      <c r="Y158" s="431"/>
      <c r="Z158" s="431"/>
      <c r="AA158" s="431"/>
      <c r="AB158" s="431"/>
      <c r="AC158" s="431"/>
      <c r="AD158" s="431"/>
    </row>
    <row r="159" spans="1:30" ht="12.75" customHeight="1">
      <c r="A159" s="5"/>
      <c r="B159" s="5"/>
      <c r="C159" s="5"/>
      <c r="D159" s="5"/>
      <c r="E159" s="5"/>
      <c r="F159" s="5"/>
      <c r="G159" s="5"/>
      <c r="H159" s="306"/>
      <c r="I159" s="306"/>
      <c r="J159" s="5"/>
      <c r="K159" s="5"/>
      <c r="L159" s="5"/>
      <c r="M159" s="5"/>
      <c r="N159" s="5"/>
      <c r="O159" s="5"/>
      <c r="P159" s="5"/>
      <c r="Q159" s="5"/>
      <c r="R159" s="57"/>
      <c r="S159" s="5"/>
      <c r="T159" s="5"/>
      <c r="U159" s="5"/>
      <c r="V159" s="5"/>
      <c r="W159" s="5"/>
      <c r="X159" s="5"/>
      <c r="Y159" s="5"/>
      <c r="Z159" s="5"/>
      <c r="AA159" s="5"/>
      <c r="AB159" s="5"/>
      <c r="AC159" s="5"/>
    </row>
    <row r="160" spans="1:30" ht="12.75" customHeight="1">
      <c r="A160" s="5"/>
      <c r="B160" s="5"/>
      <c r="C160" s="5"/>
      <c r="D160" s="5"/>
      <c r="E160" s="5"/>
      <c r="F160" s="5"/>
      <c r="G160" s="5"/>
      <c r="H160" s="306"/>
      <c r="I160" s="306"/>
      <c r="J160" s="5"/>
      <c r="K160" s="5"/>
      <c r="L160" s="5"/>
      <c r="M160" s="5"/>
      <c r="N160" s="5"/>
      <c r="O160" s="5"/>
      <c r="P160" s="5"/>
      <c r="Q160" s="5"/>
      <c r="R160" s="57"/>
      <c r="S160" s="5"/>
      <c r="T160" s="5"/>
      <c r="U160" s="5"/>
      <c r="V160" s="5"/>
      <c r="W160" s="5"/>
      <c r="X160" s="5"/>
      <c r="Y160" s="5"/>
      <c r="Z160" s="5"/>
      <c r="AA160" s="5"/>
      <c r="AB160" s="5"/>
      <c r="AC160" s="5"/>
    </row>
    <row r="161" spans="1:29" ht="12.75" customHeight="1">
      <c r="A161" s="5"/>
      <c r="B161" s="5"/>
      <c r="C161" s="5"/>
      <c r="D161" s="5"/>
      <c r="E161" s="5"/>
      <c r="F161" s="5"/>
      <c r="G161" s="5"/>
      <c r="H161" s="306"/>
      <c r="I161" s="306"/>
      <c r="J161" s="5"/>
      <c r="K161" s="5"/>
      <c r="L161" s="5"/>
      <c r="M161" s="5"/>
      <c r="N161" s="5"/>
      <c r="O161" s="5"/>
      <c r="P161" s="5"/>
      <c r="Q161" s="5"/>
      <c r="R161" s="57"/>
      <c r="S161" s="5"/>
      <c r="T161" s="5"/>
      <c r="U161" s="5"/>
      <c r="V161" s="5"/>
      <c r="W161" s="5"/>
      <c r="X161" s="5"/>
      <c r="Y161" s="5"/>
      <c r="Z161" s="5"/>
      <c r="AA161" s="5"/>
      <c r="AB161" s="5"/>
      <c r="AC161" s="5"/>
    </row>
    <row r="162" spans="1:29" ht="12.75" customHeight="1">
      <c r="A162" s="5"/>
      <c r="B162" s="5"/>
      <c r="C162" s="5"/>
      <c r="D162" s="5"/>
      <c r="E162" s="5"/>
      <c r="F162" s="5"/>
      <c r="G162" s="5"/>
      <c r="H162" s="306"/>
      <c r="I162" s="306"/>
      <c r="J162" s="5"/>
      <c r="K162" s="5"/>
      <c r="L162" s="5"/>
      <c r="M162" s="5"/>
      <c r="N162" s="5"/>
      <c r="O162" s="5"/>
      <c r="P162" s="5"/>
      <c r="Q162" s="5"/>
      <c r="R162" s="57"/>
      <c r="S162" s="5"/>
      <c r="T162" s="5"/>
      <c r="U162" s="5"/>
      <c r="V162" s="5"/>
      <c r="W162" s="5"/>
      <c r="X162" s="5"/>
      <c r="Y162" s="5"/>
      <c r="Z162" s="5"/>
      <c r="AA162" s="5"/>
      <c r="AB162" s="5"/>
      <c r="AC162" s="5"/>
    </row>
    <row r="163" spans="1:29" ht="12.75" customHeight="1">
      <c r="A163" s="5"/>
      <c r="B163" s="5"/>
      <c r="C163" s="5"/>
      <c r="D163" s="5"/>
      <c r="E163" s="5"/>
      <c r="F163" s="5"/>
      <c r="G163" s="5"/>
      <c r="H163" s="306"/>
      <c r="I163" s="306"/>
      <c r="J163" s="5"/>
      <c r="K163" s="5"/>
      <c r="L163" s="5"/>
      <c r="M163" s="5"/>
      <c r="N163" s="5"/>
      <c r="O163" s="5"/>
      <c r="P163" s="5"/>
      <c r="Q163" s="5"/>
      <c r="R163" s="57"/>
      <c r="S163" s="5"/>
      <c r="T163" s="5"/>
      <c r="U163" s="5"/>
      <c r="V163" s="5"/>
      <c r="W163" s="5"/>
      <c r="X163" s="5"/>
      <c r="Y163" s="5"/>
      <c r="Z163" s="5"/>
      <c r="AA163" s="5"/>
      <c r="AB163" s="5"/>
      <c r="AC163" s="5"/>
    </row>
    <row r="164" spans="1:29" ht="12.75" customHeight="1">
      <c r="A164" s="5"/>
      <c r="B164" s="5"/>
      <c r="C164" s="5"/>
      <c r="D164" s="5"/>
      <c r="E164" s="5"/>
      <c r="F164" s="5"/>
      <c r="G164" s="5"/>
      <c r="H164" s="306"/>
      <c r="I164" s="306"/>
      <c r="J164" s="5"/>
      <c r="K164" s="5"/>
      <c r="L164" s="5"/>
      <c r="M164" s="5"/>
      <c r="N164" s="5"/>
      <c r="O164" s="5"/>
      <c r="P164" s="5"/>
      <c r="Q164" s="5"/>
      <c r="R164" s="57"/>
      <c r="S164" s="5"/>
      <c r="T164" s="5"/>
      <c r="U164" s="5"/>
      <c r="V164" s="5"/>
      <c r="W164" s="5"/>
      <c r="X164" s="5"/>
      <c r="Y164" s="5"/>
      <c r="Z164" s="5"/>
      <c r="AA164" s="5"/>
      <c r="AB164" s="5"/>
      <c r="AC164" s="5"/>
    </row>
    <row r="165" spans="1:29" ht="12.75" customHeight="1">
      <c r="A165" s="5"/>
      <c r="B165" s="5"/>
      <c r="C165" s="5"/>
      <c r="D165" s="5"/>
      <c r="E165" s="5"/>
      <c r="F165" s="5"/>
      <c r="G165" s="5"/>
      <c r="H165" s="306"/>
      <c r="I165" s="306"/>
      <c r="J165" s="5"/>
      <c r="K165" s="5"/>
      <c r="L165" s="5"/>
      <c r="M165" s="5"/>
      <c r="N165" s="5"/>
      <c r="O165" s="5"/>
      <c r="P165" s="5"/>
      <c r="Q165" s="5"/>
      <c r="R165" s="57"/>
      <c r="S165" s="5"/>
      <c r="T165" s="5"/>
      <c r="U165" s="5"/>
      <c r="V165" s="5"/>
      <c r="W165" s="5"/>
      <c r="X165" s="5"/>
      <c r="Y165" s="5"/>
      <c r="Z165" s="5"/>
      <c r="AA165" s="5"/>
      <c r="AB165" s="5"/>
      <c r="AC165" s="5"/>
    </row>
    <row r="166" spans="1:29" ht="12.75" customHeight="1">
      <c r="A166" s="5"/>
      <c r="B166" s="5"/>
      <c r="C166" s="5"/>
      <c r="D166" s="5"/>
      <c r="E166" s="5"/>
      <c r="F166" s="5"/>
      <c r="G166" s="5"/>
      <c r="H166" s="306"/>
      <c r="I166" s="306"/>
      <c r="J166" s="5"/>
      <c r="K166" s="5"/>
      <c r="L166" s="5"/>
      <c r="M166" s="5"/>
      <c r="N166" s="5"/>
      <c r="O166" s="5"/>
      <c r="P166" s="5"/>
      <c r="Q166" s="5"/>
      <c r="R166" s="57"/>
      <c r="S166" s="5"/>
      <c r="T166" s="5"/>
      <c r="U166" s="5"/>
      <c r="V166" s="5"/>
      <c r="W166" s="5"/>
      <c r="X166" s="5"/>
      <c r="Y166" s="5"/>
      <c r="Z166" s="5"/>
      <c r="AA166" s="5"/>
      <c r="AB166" s="5"/>
      <c r="AC166" s="5"/>
    </row>
    <row r="167" spans="1:29" ht="12.75" customHeight="1">
      <c r="A167" s="5"/>
      <c r="B167" s="5"/>
      <c r="C167" s="5"/>
      <c r="D167" s="5"/>
      <c r="E167" s="5"/>
      <c r="F167" s="5"/>
      <c r="G167" s="5"/>
      <c r="H167" s="306"/>
      <c r="I167" s="306"/>
      <c r="J167" s="5"/>
      <c r="K167" s="5"/>
      <c r="L167" s="5"/>
      <c r="M167" s="5"/>
      <c r="N167" s="5"/>
      <c r="O167" s="5"/>
      <c r="P167" s="5"/>
      <c r="Q167" s="5"/>
      <c r="R167" s="57"/>
      <c r="S167" s="5"/>
      <c r="T167" s="5"/>
      <c r="U167" s="5"/>
      <c r="V167" s="5"/>
      <c r="W167" s="5"/>
      <c r="X167" s="5"/>
      <c r="Y167" s="5"/>
      <c r="Z167" s="5"/>
      <c r="AA167" s="5"/>
      <c r="AB167" s="5"/>
      <c r="AC167" s="5"/>
    </row>
    <row r="168" spans="1:29" ht="12.75" customHeight="1">
      <c r="A168" s="5"/>
      <c r="B168" s="5"/>
      <c r="C168" s="5"/>
      <c r="D168" s="5"/>
      <c r="E168" s="5"/>
      <c r="F168" s="5"/>
      <c r="G168" s="5"/>
      <c r="H168" s="306"/>
      <c r="I168" s="306"/>
      <c r="J168" s="5"/>
      <c r="K168" s="5"/>
      <c r="L168" s="5"/>
      <c r="M168" s="5"/>
      <c r="N168" s="5"/>
      <c r="O168" s="5"/>
      <c r="P168" s="5"/>
      <c r="Q168" s="5"/>
      <c r="R168" s="57"/>
      <c r="S168" s="5"/>
      <c r="T168" s="5"/>
      <c r="U168" s="5"/>
      <c r="V168" s="5"/>
      <c r="W168" s="5"/>
      <c r="X168" s="5"/>
      <c r="Y168" s="5"/>
      <c r="Z168" s="5"/>
      <c r="AA168" s="5"/>
      <c r="AB168" s="5"/>
      <c r="AC168" s="5"/>
    </row>
    <row r="169" spans="1:29" ht="12.75" customHeight="1">
      <c r="A169" s="5"/>
      <c r="B169" s="5"/>
      <c r="C169" s="5"/>
      <c r="D169" s="5"/>
      <c r="E169" s="5"/>
      <c r="F169" s="5"/>
      <c r="G169" s="5"/>
      <c r="H169" s="306"/>
      <c r="I169" s="306"/>
      <c r="J169" s="5"/>
      <c r="K169" s="5"/>
      <c r="L169" s="5"/>
      <c r="M169" s="5"/>
      <c r="N169" s="5"/>
      <c r="O169" s="5"/>
      <c r="P169" s="5"/>
      <c r="Q169" s="5"/>
      <c r="R169" s="57"/>
      <c r="S169" s="5"/>
      <c r="T169" s="5"/>
      <c r="U169" s="5"/>
      <c r="V169" s="5"/>
      <c r="W169" s="5"/>
      <c r="X169" s="5"/>
      <c r="Y169" s="5"/>
      <c r="Z169" s="5"/>
      <c r="AA169" s="5"/>
      <c r="AB169" s="5"/>
      <c r="AC169" s="5"/>
    </row>
    <row r="170" spans="1:29" ht="12.75" customHeight="1">
      <c r="A170" s="5"/>
      <c r="B170" s="5"/>
      <c r="C170" s="5"/>
      <c r="D170" s="5"/>
      <c r="E170" s="5"/>
      <c r="F170" s="5"/>
      <c r="G170" s="5"/>
      <c r="H170" s="306"/>
      <c r="I170" s="306"/>
      <c r="J170" s="5"/>
      <c r="K170" s="5"/>
      <c r="L170" s="5"/>
      <c r="M170" s="5"/>
      <c r="N170" s="5"/>
      <c r="O170" s="5"/>
      <c r="P170" s="5"/>
      <c r="Q170" s="5"/>
      <c r="R170" s="57"/>
      <c r="S170" s="5"/>
      <c r="T170" s="5"/>
      <c r="U170" s="5"/>
      <c r="V170" s="5"/>
      <c r="W170" s="5"/>
      <c r="X170" s="5"/>
      <c r="Y170" s="5"/>
      <c r="Z170" s="5"/>
      <c r="AA170" s="5"/>
      <c r="AB170" s="5"/>
      <c r="AC170" s="5"/>
    </row>
    <row r="171" spans="1:29" ht="12.75" customHeight="1">
      <c r="A171" s="5"/>
      <c r="B171" s="5"/>
      <c r="C171" s="5"/>
      <c r="D171" s="5"/>
      <c r="E171" s="5"/>
      <c r="F171" s="5"/>
      <c r="G171" s="5"/>
      <c r="H171" s="306"/>
      <c r="I171" s="306"/>
      <c r="J171" s="5"/>
      <c r="K171" s="5"/>
      <c r="L171" s="5"/>
      <c r="M171" s="5"/>
      <c r="N171" s="5"/>
      <c r="O171" s="5"/>
      <c r="P171" s="5"/>
      <c r="Q171" s="5"/>
      <c r="R171" s="57"/>
      <c r="S171" s="5"/>
      <c r="T171" s="5"/>
      <c r="U171" s="5"/>
      <c r="V171" s="5"/>
      <c r="W171" s="5"/>
      <c r="X171" s="5"/>
      <c r="Y171" s="5"/>
      <c r="Z171" s="5"/>
      <c r="AA171" s="5"/>
      <c r="AB171" s="5"/>
      <c r="AC171" s="5"/>
    </row>
    <row r="172" spans="1:29" ht="12.75" customHeight="1">
      <c r="A172" s="5"/>
      <c r="B172" s="5"/>
      <c r="C172" s="5"/>
      <c r="D172" s="5"/>
      <c r="E172" s="5"/>
      <c r="F172" s="5"/>
      <c r="G172" s="5"/>
      <c r="H172" s="306"/>
      <c r="I172" s="306"/>
      <c r="J172" s="5"/>
      <c r="K172" s="5"/>
      <c r="L172" s="5"/>
      <c r="M172" s="5"/>
      <c r="N172" s="5"/>
      <c r="O172" s="5"/>
      <c r="P172" s="5"/>
      <c r="Q172" s="5"/>
      <c r="R172" s="57"/>
      <c r="S172" s="5"/>
      <c r="T172" s="5"/>
      <c r="U172" s="5"/>
      <c r="V172" s="5"/>
      <c r="W172" s="5"/>
      <c r="X172" s="5"/>
      <c r="Y172" s="5"/>
      <c r="Z172" s="5"/>
      <c r="AA172" s="5"/>
      <c r="AB172" s="5"/>
      <c r="AC172" s="5"/>
    </row>
    <row r="173" spans="1:29" ht="12.75" customHeight="1">
      <c r="A173" s="5"/>
      <c r="B173" s="5"/>
      <c r="C173" s="5"/>
      <c r="D173" s="5"/>
      <c r="E173" s="5"/>
      <c r="F173" s="5"/>
      <c r="G173" s="5"/>
      <c r="H173" s="306"/>
      <c r="I173" s="306"/>
      <c r="J173" s="5"/>
      <c r="K173" s="5"/>
      <c r="L173" s="5"/>
      <c r="M173" s="5"/>
      <c r="N173" s="5"/>
      <c r="O173" s="5"/>
      <c r="P173" s="5"/>
      <c r="Q173" s="5"/>
      <c r="R173" s="57"/>
      <c r="S173" s="5"/>
      <c r="T173" s="5"/>
      <c r="U173" s="5"/>
      <c r="V173" s="5"/>
      <c r="W173" s="5"/>
      <c r="X173" s="5"/>
      <c r="Y173" s="5"/>
      <c r="Z173" s="5"/>
      <c r="AA173" s="5"/>
      <c r="AB173" s="5"/>
      <c r="AC173" s="5"/>
    </row>
    <row r="174" spans="1:29" ht="12.75" customHeight="1">
      <c r="A174" s="5"/>
      <c r="B174" s="5"/>
      <c r="C174" s="5"/>
      <c r="D174" s="5"/>
      <c r="E174" s="5"/>
      <c r="F174" s="5"/>
      <c r="G174" s="5"/>
      <c r="H174" s="306"/>
      <c r="I174" s="306"/>
      <c r="J174" s="5"/>
      <c r="K174" s="5"/>
      <c r="L174" s="5"/>
      <c r="M174" s="5"/>
      <c r="N174" s="5"/>
      <c r="O174" s="5"/>
      <c r="P174" s="5"/>
      <c r="Q174" s="5"/>
      <c r="R174" s="57"/>
      <c r="S174" s="5"/>
      <c r="T174" s="5"/>
      <c r="U174" s="5"/>
      <c r="V174" s="5"/>
      <c r="W174" s="5"/>
      <c r="X174" s="5"/>
      <c r="Y174" s="5"/>
      <c r="Z174" s="5"/>
      <c r="AA174" s="5"/>
      <c r="AB174" s="5"/>
      <c r="AC174" s="5"/>
    </row>
    <row r="175" spans="1:29" ht="12.75" customHeight="1">
      <c r="A175" s="5"/>
      <c r="B175" s="5"/>
      <c r="C175" s="5"/>
      <c r="D175" s="5"/>
      <c r="E175" s="5"/>
      <c r="F175" s="5"/>
      <c r="G175" s="5"/>
      <c r="H175" s="306"/>
      <c r="I175" s="306"/>
      <c r="J175" s="5"/>
      <c r="K175" s="5"/>
      <c r="L175" s="5"/>
      <c r="M175" s="5"/>
      <c r="N175" s="5"/>
      <c r="O175" s="5"/>
      <c r="P175" s="5"/>
      <c r="Q175" s="5"/>
      <c r="R175" s="57"/>
      <c r="S175" s="5"/>
      <c r="T175" s="5"/>
      <c r="U175" s="5"/>
      <c r="V175" s="5"/>
      <c r="W175" s="5"/>
      <c r="X175" s="5"/>
      <c r="Y175" s="5"/>
      <c r="Z175" s="5"/>
      <c r="AA175" s="5"/>
      <c r="AB175" s="5"/>
      <c r="AC175" s="5"/>
    </row>
    <row r="176" spans="1:29" ht="12.75" customHeight="1">
      <c r="A176" s="5"/>
      <c r="B176" s="5"/>
      <c r="C176" s="5"/>
      <c r="D176" s="5"/>
      <c r="E176" s="5"/>
      <c r="F176" s="5"/>
      <c r="G176" s="5"/>
      <c r="H176" s="306"/>
      <c r="I176" s="306"/>
      <c r="J176" s="5"/>
      <c r="K176" s="5"/>
      <c r="L176" s="5"/>
      <c r="M176" s="5"/>
      <c r="N176" s="5"/>
      <c r="O176" s="5"/>
      <c r="P176" s="5"/>
      <c r="Q176" s="5"/>
      <c r="R176" s="57"/>
      <c r="S176" s="5"/>
      <c r="T176" s="5"/>
      <c r="U176" s="5"/>
      <c r="V176" s="5"/>
      <c r="W176" s="5"/>
      <c r="X176" s="5"/>
      <c r="Y176" s="5"/>
      <c r="Z176" s="5"/>
      <c r="AA176" s="5"/>
      <c r="AB176" s="5"/>
      <c r="AC176" s="5"/>
    </row>
    <row r="177" spans="1:29" ht="12.75" customHeight="1">
      <c r="A177" s="5"/>
      <c r="B177" s="5"/>
      <c r="C177" s="5"/>
      <c r="D177" s="5"/>
      <c r="E177" s="5"/>
      <c r="F177" s="5"/>
      <c r="G177" s="5"/>
      <c r="H177" s="306"/>
      <c r="I177" s="306"/>
      <c r="J177" s="5"/>
      <c r="K177" s="5"/>
      <c r="L177" s="5"/>
      <c r="M177" s="5"/>
      <c r="N177" s="5"/>
      <c r="O177" s="5"/>
      <c r="P177" s="5"/>
      <c r="Q177" s="5"/>
      <c r="R177" s="57"/>
      <c r="S177" s="5"/>
      <c r="T177" s="5"/>
      <c r="U177" s="5"/>
      <c r="V177" s="5"/>
      <c r="W177" s="5"/>
      <c r="X177" s="5"/>
      <c r="Y177" s="5"/>
      <c r="Z177" s="5"/>
      <c r="AA177" s="5"/>
      <c r="AB177" s="5"/>
      <c r="AC177" s="5"/>
    </row>
    <row r="178" spans="1:29" ht="12.75" customHeight="1">
      <c r="A178" s="5"/>
      <c r="B178" s="5"/>
      <c r="C178" s="5"/>
      <c r="D178" s="5"/>
      <c r="E178" s="5"/>
      <c r="F178" s="5"/>
      <c r="G178" s="5"/>
      <c r="H178" s="306"/>
      <c r="I178" s="306"/>
      <c r="J178" s="5"/>
      <c r="K178" s="5"/>
      <c r="L178" s="5"/>
      <c r="M178" s="5"/>
      <c r="N178" s="5"/>
      <c r="O178" s="5"/>
      <c r="P178" s="5"/>
      <c r="Q178" s="5"/>
      <c r="R178" s="57"/>
      <c r="S178" s="5"/>
      <c r="T178" s="5"/>
      <c r="U178" s="5"/>
      <c r="V178" s="5"/>
      <c r="W178" s="5"/>
      <c r="X178" s="5"/>
      <c r="Y178" s="5"/>
      <c r="Z178" s="5"/>
      <c r="AA178" s="5"/>
      <c r="AB178" s="5"/>
      <c r="AC178" s="5"/>
    </row>
    <row r="179" spans="1:29" ht="12.75" customHeight="1">
      <c r="A179" s="5"/>
      <c r="B179" s="5"/>
      <c r="C179" s="5"/>
      <c r="D179" s="5"/>
      <c r="E179" s="5"/>
      <c r="F179" s="5"/>
      <c r="G179" s="5"/>
      <c r="H179" s="306"/>
      <c r="I179" s="306"/>
      <c r="J179" s="5"/>
      <c r="K179" s="5"/>
      <c r="L179" s="5"/>
      <c r="M179" s="5"/>
      <c r="N179" s="5"/>
      <c r="O179" s="5"/>
      <c r="P179" s="5"/>
      <c r="Q179" s="5"/>
      <c r="R179" s="57"/>
      <c r="S179" s="5"/>
      <c r="T179" s="5"/>
      <c r="U179" s="5"/>
      <c r="V179" s="5"/>
      <c r="W179" s="5"/>
      <c r="X179" s="5"/>
      <c r="Y179" s="5"/>
      <c r="Z179" s="5"/>
      <c r="AA179" s="5"/>
      <c r="AB179" s="5"/>
      <c r="AC179" s="5"/>
    </row>
    <row r="180" spans="1:29" ht="12.75" customHeight="1">
      <c r="A180" s="5"/>
      <c r="B180" s="5"/>
      <c r="C180" s="5"/>
      <c r="D180" s="5"/>
      <c r="E180" s="5"/>
      <c r="F180" s="5"/>
      <c r="G180" s="5"/>
      <c r="H180" s="306"/>
      <c r="I180" s="306"/>
      <c r="J180" s="5"/>
      <c r="K180" s="5"/>
      <c r="L180" s="5"/>
      <c r="M180" s="5"/>
      <c r="N180" s="5"/>
      <c r="O180" s="5"/>
      <c r="P180" s="5"/>
      <c r="Q180" s="5"/>
      <c r="R180" s="57"/>
      <c r="S180" s="5"/>
      <c r="T180" s="5"/>
      <c r="U180" s="5"/>
      <c r="V180" s="5"/>
      <c r="W180" s="5"/>
      <c r="X180" s="5"/>
      <c r="Y180" s="5"/>
      <c r="Z180" s="5"/>
      <c r="AA180" s="5"/>
      <c r="AB180" s="5"/>
      <c r="AC180" s="5"/>
    </row>
    <row r="181" spans="1:29" ht="12.75" customHeight="1">
      <c r="A181" s="5"/>
      <c r="B181" s="5"/>
      <c r="C181" s="5"/>
      <c r="D181" s="5"/>
      <c r="E181" s="5"/>
      <c r="F181" s="5"/>
      <c r="G181" s="5"/>
      <c r="H181" s="306"/>
      <c r="I181" s="306"/>
      <c r="J181" s="5"/>
      <c r="K181" s="5"/>
      <c r="L181" s="5"/>
      <c r="M181" s="5"/>
      <c r="N181" s="5"/>
      <c r="O181" s="5"/>
      <c r="P181" s="5"/>
      <c r="Q181" s="5"/>
      <c r="R181" s="57"/>
      <c r="S181" s="5"/>
      <c r="T181" s="5"/>
      <c r="U181" s="5"/>
      <c r="V181" s="5"/>
      <c r="W181" s="5"/>
      <c r="X181" s="5"/>
      <c r="Y181" s="5"/>
      <c r="Z181" s="5"/>
      <c r="AA181" s="5"/>
      <c r="AB181" s="5"/>
      <c r="AC181" s="5"/>
    </row>
    <row r="182" spans="1:29" ht="12.75" customHeight="1">
      <c r="A182" s="5"/>
      <c r="B182" s="5"/>
      <c r="C182" s="5"/>
      <c r="D182" s="5"/>
      <c r="E182" s="5"/>
      <c r="F182" s="5"/>
      <c r="G182" s="5"/>
      <c r="H182" s="306"/>
      <c r="I182" s="306"/>
      <c r="J182" s="5"/>
      <c r="K182" s="5"/>
      <c r="L182" s="5"/>
      <c r="M182" s="5"/>
      <c r="N182" s="5"/>
      <c r="O182" s="5"/>
      <c r="P182" s="5"/>
      <c r="Q182" s="5"/>
      <c r="R182" s="57"/>
      <c r="S182" s="5"/>
      <c r="T182" s="5"/>
      <c r="U182" s="5"/>
      <c r="V182" s="5"/>
      <c r="W182" s="5"/>
      <c r="X182" s="5"/>
      <c r="Y182" s="5"/>
      <c r="Z182" s="5"/>
      <c r="AA182" s="5"/>
      <c r="AB182" s="5"/>
      <c r="AC182" s="5"/>
    </row>
    <row r="183" spans="1:29" ht="12.75" customHeight="1">
      <c r="A183" s="5"/>
      <c r="B183" s="5"/>
      <c r="C183" s="5"/>
      <c r="D183" s="5"/>
      <c r="E183" s="5"/>
      <c r="F183" s="5"/>
      <c r="G183" s="5"/>
      <c r="H183" s="306"/>
      <c r="I183" s="306"/>
      <c r="J183" s="5"/>
      <c r="K183" s="5"/>
      <c r="L183" s="5"/>
      <c r="M183" s="5"/>
      <c r="N183" s="5"/>
      <c r="O183" s="5"/>
      <c r="P183" s="5"/>
      <c r="Q183" s="5"/>
      <c r="R183" s="57"/>
      <c r="S183" s="5"/>
      <c r="T183" s="5"/>
      <c r="U183" s="5"/>
      <c r="V183" s="5"/>
      <c r="W183" s="5"/>
      <c r="X183" s="5"/>
      <c r="Y183" s="5"/>
      <c r="Z183" s="5"/>
      <c r="AA183" s="5"/>
      <c r="AB183" s="5"/>
      <c r="AC183" s="5"/>
    </row>
    <row r="184" spans="1:29" ht="12.75" customHeight="1">
      <c r="A184" s="5"/>
      <c r="B184" s="5"/>
      <c r="C184" s="5"/>
      <c r="D184" s="5"/>
      <c r="E184" s="5"/>
      <c r="F184" s="5"/>
      <c r="G184" s="5"/>
      <c r="H184" s="306"/>
      <c r="I184" s="306"/>
      <c r="J184" s="5"/>
      <c r="K184" s="5"/>
      <c r="L184" s="5"/>
      <c r="M184" s="5"/>
      <c r="N184" s="5"/>
      <c r="O184" s="5"/>
      <c r="P184" s="5"/>
      <c r="Q184" s="5"/>
      <c r="R184" s="57"/>
      <c r="S184" s="5"/>
      <c r="T184" s="5"/>
      <c r="U184" s="5"/>
      <c r="V184" s="5"/>
      <c r="W184" s="5"/>
      <c r="X184" s="5"/>
      <c r="Y184" s="5"/>
      <c r="Z184" s="5"/>
      <c r="AA184" s="5"/>
      <c r="AB184" s="5"/>
      <c r="AC184" s="5"/>
    </row>
    <row r="185" spans="1:29" ht="12.75" customHeight="1">
      <c r="A185" s="5"/>
      <c r="B185" s="5"/>
      <c r="C185" s="5"/>
      <c r="D185" s="5"/>
      <c r="E185" s="5"/>
      <c r="F185" s="5"/>
      <c r="G185" s="5"/>
      <c r="H185" s="306"/>
      <c r="I185" s="306"/>
      <c r="J185" s="5"/>
      <c r="K185" s="5"/>
      <c r="L185" s="5"/>
      <c r="M185" s="5"/>
      <c r="N185" s="5"/>
      <c r="O185" s="5"/>
      <c r="P185" s="5"/>
      <c r="Q185" s="5"/>
      <c r="R185" s="57"/>
      <c r="S185" s="5"/>
      <c r="T185" s="5"/>
      <c r="U185" s="5"/>
      <c r="V185" s="5"/>
      <c r="W185" s="5"/>
      <c r="X185" s="5"/>
      <c r="Y185" s="5"/>
      <c r="Z185" s="5"/>
      <c r="AA185" s="5"/>
      <c r="AB185" s="5"/>
      <c r="AC185" s="5"/>
    </row>
    <row r="186" spans="1:29" ht="12.75" customHeight="1">
      <c r="A186" s="5"/>
      <c r="B186" s="5"/>
      <c r="C186" s="5"/>
      <c r="D186" s="5"/>
      <c r="E186" s="5"/>
      <c r="F186" s="5"/>
      <c r="G186" s="5"/>
      <c r="H186" s="306"/>
      <c r="I186" s="306"/>
      <c r="J186" s="5"/>
      <c r="K186" s="5"/>
      <c r="L186" s="5"/>
      <c r="M186" s="5"/>
      <c r="N186" s="5"/>
      <c r="O186" s="5"/>
      <c r="P186" s="5"/>
      <c r="Q186" s="5"/>
      <c r="R186" s="57"/>
      <c r="S186" s="5"/>
      <c r="T186" s="5"/>
      <c r="U186" s="5"/>
      <c r="V186" s="5"/>
      <c r="W186" s="5"/>
      <c r="X186" s="5"/>
      <c r="Y186" s="5"/>
      <c r="Z186" s="5"/>
      <c r="AA186" s="5"/>
      <c r="AB186" s="5"/>
      <c r="AC186" s="5"/>
    </row>
    <row r="187" spans="1:29" ht="12.75" customHeight="1">
      <c r="A187" s="5"/>
      <c r="B187" s="5"/>
      <c r="C187" s="5"/>
      <c r="D187" s="5"/>
      <c r="E187" s="5"/>
      <c r="F187" s="5"/>
      <c r="G187" s="5"/>
      <c r="H187" s="306"/>
      <c r="I187" s="306"/>
      <c r="J187" s="5"/>
      <c r="K187" s="5"/>
      <c r="L187" s="5"/>
      <c r="M187" s="5"/>
      <c r="N187" s="5"/>
      <c r="O187" s="5"/>
      <c r="P187" s="5"/>
      <c r="Q187" s="5"/>
      <c r="R187" s="57"/>
      <c r="S187" s="5"/>
      <c r="T187" s="5"/>
      <c r="U187" s="5"/>
      <c r="V187" s="5"/>
      <c r="W187" s="5"/>
      <c r="X187" s="5"/>
      <c r="Y187" s="5"/>
      <c r="Z187" s="5"/>
      <c r="AA187" s="5"/>
      <c r="AB187" s="5"/>
      <c r="AC187" s="5"/>
    </row>
    <row r="188" spans="1:29" ht="12.75" customHeight="1">
      <c r="A188" s="5"/>
      <c r="B188" s="5"/>
      <c r="C188" s="5"/>
      <c r="D188" s="5"/>
      <c r="E188" s="5"/>
      <c r="F188" s="5"/>
      <c r="G188" s="5"/>
      <c r="H188" s="306"/>
      <c r="I188" s="306"/>
      <c r="J188" s="5"/>
      <c r="K188" s="5"/>
      <c r="L188" s="5"/>
      <c r="M188" s="5"/>
      <c r="N188" s="5"/>
      <c r="O188" s="5"/>
      <c r="P188" s="5"/>
      <c r="Q188" s="5"/>
      <c r="R188" s="57"/>
      <c r="S188" s="5"/>
      <c r="T188" s="5"/>
      <c r="U188" s="5"/>
      <c r="V188" s="5"/>
      <c r="W188" s="5"/>
      <c r="X188" s="5"/>
      <c r="Y188" s="5"/>
      <c r="Z188" s="5"/>
      <c r="AA188" s="5"/>
      <c r="AB188" s="5"/>
      <c r="AC188" s="5"/>
    </row>
    <row r="189" spans="1:29" ht="12.75" customHeight="1">
      <c r="A189" s="5"/>
      <c r="B189" s="5"/>
      <c r="C189" s="5"/>
      <c r="D189" s="5"/>
      <c r="E189" s="5"/>
      <c r="F189" s="5"/>
      <c r="G189" s="5"/>
      <c r="H189" s="306"/>
      <c r="I189" s="306"/>
      <c r="J189" s="5"/>
      <c r="K189" s="5"/>
      <c r="L189" s="5"/>
      <c r="M189" s="5"/>
      <c r="N189" s="5"/>
      <c r="O189" s="5"/>
      <c r="P189" s="5"/>
      <c r="Q189" s="5"/>
      <c r="R189" s="57"/>
      <c r="S189" s="5"/>
      <c r="T189" s="5"/>
      <c r="U189" s="5"/>
      <c r="V189" s="5"/>
      <c r="W189" s="5"/>
      <c r="X189" s="5"/>
      <c r="Y189" s="5"/>
      <c r="Z189" s="5"/>
      <c r="AA189" s="5"/>
      <c r="AB189" s="5"/>
      <c r="AC189" s="5"/>
    </row>
    <row r="190" spans="1:29" ht="12.75" customHeight="1">
      <c r="A190" s="5"/>
      <c r="B190" s="5"/>
      <c r="C190" s="5"/>
      <c r="D190" s="5"/>
      <c r="E190" s="5"/>
      <c r="F190" s="5"/>
      <c r="G190" s="5"/>
      <c r="H190" s="306"/>
      <c r="I190" s="306"/>
      <c r="J190" s="5"/>
      <c r="K190" s="5"/>
      <c r="L190" s="5"/>
      <c r="M190" s="5"/>
      <c r="N190" s="5"/>
      <c r="O190" s="5"/>
      <c r="P190" s="5"/>
      <c r="Q190" s="5"/>
      <c r="R190" s="57"/>
      <c r="S190" s="5"/>
      <c r="T190" s="5"/>
      <c r="U190" s="5"/>
      <c r="V190" s="5"/>
      <c r="W190" s="5"/>
      <c r="X190" s="5"/>
      <c r="Y190" s="5"/>
      <c r="Z190" s="5"/>
      <c r="AA190" s="5"/>
      <c r="AB190" s="5"/>
      <c r="AC190" s="5"/>
    </row>
    <row r="191" spans="1:29" ht="12.75" customHeight="1">
      <c r="A191" s="5"/>
      <c r="B191" s="5"/>
      <c r="C191" s="5"/>
      <c r="D191" s="5"/>
      <c r="E191" s="5"/>
      <c r="F191" s="5"/>
      <c r="G191" s="5"/>
      <c r="H191" s="306"/>
      <c r="I191" s="306"/>
      <c r="J191" s="5"/>
      <c r="K191" s="5"/>
      <c r="L191" s="5"/>
      <c r="M191" s="5"/>
      <c r="N191" s="5"/>
      <c r="O191" s="5"/>
      <c r="P191" s="5"/>
      <c r="Q191" s="5"/>
      <c r="R191" s="57"/>
      <c r="S191" s="5"/>
      <c r="T191" s="5"/>
      <c r="U191" s="5"/>
      <c r="V191" s="5"/>
      <c r="W191" s="5"/>
      <c r="X191" s="5"/>
      <c r="Y191" s="5"/>
      <c r="Z191" s="5"/>
      <c r="AA191" s="5"/>
      <c r="AB191" s="5"/>
      <c r="AC191" s="5"/>
    </row>
    <row r="192" spans="1:29" ht="12.75" customHeight="1">
      <c r="A192" s="5"/>
      <c r="B192" s="5"/>
      <c r="C192" s="5"/>
      <c r="D192" s="5"/>
      <c r="E192" s="5"/>
      <c r="F192" s="5"/>
      <c r="G192" s="5"/>
      <c r="H192" s="306"/>
      <c r="I192" s="306"/>
      <c r="J192" s="5"/>
      <c r="K192" s="5"/>
      <c r="L192" s="5"/>
      <c r="M192" s="5"/>
      <c r="N192" s="5"/>
      <c r="O192" s="5"/>
      <c r="P192" s="5"/>
      <c r="Q192" s="5"/>
      <c r="R192" s="57"/>
      <c r="S192" s="5"/>
      <c r="T192" s="5"/>
      <c r="U192" s="5"/>
      <c r="V192" s="5"/>
      <c r="W192" s="5"/>
      <c r="X192" s="5"/>
      <c r="Y192" s="5"/>
      <c r="Z192" s="5"/>
      <c r="AA192" s="5"/>
      <c r="AB192" s="5"/>
      <c r="AC192" s="5"/>
    </row>
    <row r="193" spans="1:29" ht="12.75" customHeight="1">
      <c r="A193" s="5"/>
      <c r="B193" s="5"/>
      <c r="C193" s="5"/>
      <c r="D193" s="5"/>
      <c r="E193" s="5"/>
      <c r="F193" s="5"/>
      <c r="G193" s="5"/>
      <c r="H193" s="306"/>
      <c r="I193" s="306"/>
      <c r="J193" s="5"/>
      <c r="K193" s="5"/>
      <c r="L193" s="5"/>
      <c r="M193" s="5"/>
      <c r="N193" s="5"/>
      <c r="O193" s="5"/>
      <c r="P193" s="5"/>
      <c r="Q193" s="5"/>
      <c r="R193" s="57"/>
      <c r="S193" s="5"/>
      <c r="T193" s="5"/>
      <c r="U193" s="5"/>
      <c r="V193" s="5"/>
      <c r="W193" s="5"/>
      <c r="X193" s="5"/>
      <c r="Y193" s="5"/>
      <c r="Z193" s="5"/>
      <c r="AA193" s="5"/>
      <c r="AB193" s="5"/>
      <c r="AC193" s="5"/>
    </row>
    <row r="194" spans="1:29" ht="12.75" customHeight="1">
      <c r="A194" s="5"/>
      <c r="B194" s="5"/>
      <c r="C194" s="5"/>
      <c r="D194" s="5"/>
      <c r="E194" s="5"/>
      <c r="F194" s="5"/>
      <c r="G194" s="5"/>
      <c r="H194" s="306"/>
      <c r="I194" s="306"/>
      <c r="J194" s="5"/>
      <c r="K194" s="5"/>
      <c r="L194" s="5"/>
      <c r="M194" s="5"/>
      <c r="N194" s="5"/>
      <c r="O194" s="5"/>
      <c r="P194" s="5"/>
      <c r="Q194" s="5"/>
      <c r="R194" s="57"/>
      <c r="S194" s="5"/>
      <c r="T194" s="5"/>
      <c r="U194" s="5"/>
      <c r="V194" s="5"/>
      <c r="W194" s="5"/>
      <c r="X194" s="5"/>
      <c r="Y194" s="5"/>
      <c r="Z194" s="5"/>
      <c r="AA194" s="5"/>
      <c r="AB194" s="5"/>
      <c r="AC194" s="5"/>
    </row>
    <row r="195" spans="1:29" ht="12.75" customHeight="1">
      <c r="A195" s="5"/>
      <c r="B195" s="5"/>
      <c r="C195" s="5"/>
      <c r="D195" s="5"/>
      <c r="E195" s="5"/>
      <c r="F195" s="5"/>
      <c r="G195" s="5"/>
      <c r="H195" s="306"/>
      <c r="I195" s="306"/>
      <c r="J195" s="5"/>
      <c r="K195" s="5"/>
      <c r="L195" s="5"/>
      <c r="M195" s="5"/>
      <c r="N195" s="5"/>
      <c r="O195" s="5"/>
      <c r="P195" s="5"/>
      <c r="Q195" s="5"/>
      <c r="R195" s="57"/>
      <c r="S195" s="5"/>
      <c r="T195" s="5"/>
      <c r="U195" s="5"/>
      <c r="V195" s="5"/>
      <c r="W195" s="5"/>
      <c r="X195" s="5"/>
      <c r="Y195" s="5"/>
      <c r="Z195" s="5"/>
      <c r="AA195" s="5"/>
      <c r="AB195" s="5"/>
      <c r="AC195" s="5"/>
    </row>
    <row r="196" spans="1:29" ht="12.75" customHeight="1">
      <c r="A196" s="5"/>
      <c r="B196" s="5"/>
      <c r="C196" s="5"/>
      <c r="D196" s="5"/>
      <c r="E196" s="5"/>
      <c r="F196" s="5"/>
      <c r="G196" s="5"/>
      <c r="H196" s="306"/>
      <c r="I196" s="306"/>
      <c r="J196" s="5"/>
      <c r="K196" s="5"/>
      <c r="L196" s="5"/>
      <c r="M196" s="5"/>
      <c r="N196" s="5"/>
      <c r="O196" s="5"/>
      <c r="P196" s="5"/>
      <c r="Q196" s="5"/>
      <c r="R196" s="57"/>
      <c r="S196" s="5"/>
      <c r="T196" s="5"/>
      <c r="U196" s="5"/>
      <c r="V196" s="5"/>
      <c r="W196" s="5"/>
      <c r="X196" s="5"/>
      <c r="Y196" s="5"/>
      <c r="Z196" s="5"/>
      <c r="AA196" s="5"/>
      <c r="AB196" s="5"/>
      <c r="AC196" s="5"/>
    </row>
    <row r="197" spans="1:29" ht="12.75" customHeight="1">
      <c r="A197" s="5"/>
      <c r="B197" s="5"/>
      <c r="C197" s="5"/>
      <c r="D197" s="5"/>
      <c r="E197" s="5"/>
      <c r="F197" s="5"/>
      <c r="G197" s="5"/>
      <c r="H197" s="306"/>
      <c r="I197" s="306"/>
      <c r="J197" s="5"/>
      <c r="K197" s="5"/>
      <c r="L197" s="5"/>
      <c r="M197" s="5"/>
      <c r="N197" s="5"/>
      <c r="O197" s="5"/>
      <c r="P197" s="5"/>
      <c r="Q197" s="5"/>
      <c r="R197" s="57"/>
      <c r="S197" s="5"/>
      <c r="T197" s="5"/>
      <c r="U197" s="5"/>
      <c r="V197" s="5"/>
      <c r="W197" s="5"/>
      <c r="X197" s="5"/>
      <c r="Y197" s="5"/>
      <c r="Z197" s="5"/>
      <c r="AA197" s="5"/>
      <c r="AB197" s="5"/>
      <c r="AC197" s="5"/>
    </row>
    <row r="198" spans="1:29" ht="12.75" customHeight="1">
      <c r="A198" s="5"/>
      <c r="B198" s="5"/>
      <c r="C198" s="5"/>
      <c r="D198" s="5"/>
      <c r="E198" s="5"/>
      <c r="F198" s="5"/>
      <c r="G198" s="5"/>
      <c r="H198" s="306"/>
      <c r="I198" s="306"/>
      <c r="J198" s="5"/>
      <c r="K198" s="5"/>
      <c r="L198" s="5"/>
      <c r="M198" s="5"/>
      <c r="N198" s="5"/>
      <c r="O198" s="5"/>
      <c r="P198" s="5"/>
      <c r="Q198" s="5"/>
      <c r="R198" s="57"/>
      <c r="S198" s="5"/>
      <c r="T198" s="5"/>
      <c r="U198" s="5"/>
      <c r="V198" s="5"/>
      <c r="W198" s="5"/>
      <c r="X198" s="5"/>
      <c r="Y198" s="5"/>
      <c r="Z198" s="5"/>
      <c r="AA198" s="5"/>
      <c r="AB198" s="5"/>
      <c r="AC198" s="5"/>
    </row>
    <row r="199" spans="1:29" ht="12.75" customHeight="1">
      <c r="A199" s="5"/>
      <c r="B199" s="5"/>
      <c r="C199" s="5"/>
      <c r="D199" s="5"/>
      <c r="E199" s="5"/>
      <c r="F199" s="5"/>
      <c r="G199" s="5"/>
      <c r="H199" s="306"/>
      <c r="I199" s="306"/>
      <c r="J199" s="5"/>
      <c r="K199" s="5"/>
      <c r="L199" s="5"/>
      <c r="M199" s="5"/>
      <c r="N199" s="5"/>
      <c r="O199" s="5"/>
      <c r="P199" s="5"/>
      <c r="Q199" s="5"/>
      <c r="R199" s="57"/>
      <c r="S199" s="5"/>
      <c r="T199" s="5"/>
      <c r="U199" s="5"/>
      <c r="V199" s="5"/>
      <c r="W199" s="5"/>
      <c r="X199" s="5"/>
      <c r="Y199" s="5"/>
      <c r="Z199" s="5"/>
      <c r="AA199" s="5"/>
      <c r="AB199" s="5"/>
      <c r="AC199" s="5"/>
    </row>
    <row r="200" spans="1:29" ht="12.75" customHeight="1">
      <c r="A200" s="5"/>
      <c r="B200" s="5"/>
      <c r="C200" s="5"/>
      <c r="D200" s="5"/>
      <c r="E200" s="5"/>
      <c r="F200" s="5"/>
      <c r="G200" s="5"/>
      <c r="H200" s="306"/>
      <c r="I200" s="306"/>
      <c r="J200" s="5"/>
      <c r="K200" s="5"/>
      <c r="L200" s="5"/>
      <c r="M200" s="5"/>
      <c r="N200" s="5"/>
      <c r="O200" s="5"/>
      <c r="P200" s="5"/>
      <c r="Q200" s="5"/>
      <c r="R200" s="57"/>
      <c r="S200" s="5"/>
      <c r="T200" s="5"/>
      <c r="U200" s="5"/>
      <c r="V200" s="5"/>
      <c r="W200" s="5"/>
      <c r="X200" s="5"/>
      <c r="Y200" s="5"/>
      <c r="Z200" s="5"/>
      <c r="AA200" s="5"/>
      <c r="AB200" s="5"/>
      <c r="AC200" s="5"/>
    </row>
    <row r="201" spans="1:29" ht="12.75" customHeight="1">
      <c r="A201" s="5"/>
      <c r="B201" s="5"/>
      <c r="C201" s="5"/>
      <c r="D201" s="5"/>
      <c r="E201" s="5"/>
      <c r="F201" s="5"/>
      <c r="G201" s="5"/>
      <c r="H201" s="306"/>
      <c r="I201" s="306"/>
      <c r="J201" s="5"/>
      <c r="K201" s="5"/>
      <c r="L201" s="5"/>
      <c r="M201" s="5"/>
      <c r="N201" s="5"/>
      <c r="O201" s="5"/>
      <c r="P201" s="5"/>
      <c r="Q201" s="5"/>
      <c r="R201" s="57"/>
      <c r="S201" s="5"/>
      <c r="T201" s="5"/>
      <c r="U201" s="5"/>
      <c r="V201" s="5"/>
      <c r="W201" s="5"/>
      <c r="X201" s="5"/>
      <c r="Y201" s="5"/>
      <c r="Z201" s="5"/>
      <c r="AA201" s="5"/>
      <c r="AB201" s="5"/>
      <c r="AC201" s="5"/>
    </row>
    <row r="202" spans="1:29" ht="12.75" customHeight="1">
      <c r="A202" s="5"/>
      <c r="B202" s="5"/>
      <c r="C202" s="5"/>
      <c r="D202" s="5"/>
      <c r="E202" s="5"/>
      <c r="F202" s="5"/>
      <c r="G202" s="5"/>
      <c r="H202" s="306"/>
      <c r="I202" s="306"/>
      <c r="J202" s="5"/>
      <c r="K202" s="5"/>
      <c r="L202" s="5"/>
      <c r="M202" s="5"/>
      <c r="N202" s="5"/>
      <c r="O202" s="5"/>
      <c r="P202" s="5"/>
      <c r="Q202" s="5"/>
      <c r="R202" s="57"/>
      <c r="S202" s="5"/>
      <c r="T202" s="5"/>
      <c r="U202" s="5"/>
      <c r="V202" s="5"/>
      <c r="W202" s="5"/>
      <c r="X202" s="5"/>
      <c r="Y202" s="5"/>
      <c r="Z202" s="5"/>
      <c r="AA202" s="5"/>
      <c r="AB202" s="5"/>
      <c r="AC202" s="5"/>
    </row>
    <row r="203" spans="1:29" ht="12.75" customHeight="1">
      <c r="A203" s="5"/>
      <c r="B203" s="5"/>
      <c r="C203" s="5"/>
      <c r="D203" s="5"/>
      <c r="E203" s="5"/>
      <c r="F203" s="5"/>
      <c r="G203" s="5"/>
      <c r="H203" s="306"/>
      <c r="I203" s="306"/>
      <c r="J203" s="5"/>
      <c r="K203" s="5"/>
      <c r="L203" s="5"/>
      <c r="M203" s="5"/>
      <c r="N203" s="5"/>
      <c r="O203" s="5"/>
      <c r="P203" s="5"/>
      <c r="Q203" s="5"/>
      <c r="R203" s="57"/>
      <c r="S203" s="5"/>
      <c r="T203" s="5"/>
      <c r="U203" s="5"/>
      <c r="V203" s="5"/>
      <c r="W203" s="5"/>
      <c r="X203" s="5"/>
      <c r="Y203" s="5"/>
      <c r="Z203" s="5"/>
      <c r="AA203" s="5"/>
      <c r="AB203" s="5"/>
      <c r="AC203" s="5"/>
    </row>
    <row r="204" spans="1:29" ht="12.75" customHeight="1">
      <c r="A204" s="5"/>
      <c r="B204" s="5"/>
      <c r="C204" s="5"/>
      <c r="D204" s="5"/>
      <c r="E204" s="5"/>
      <c r="F204" s="5"/>
      <c r="G204" s="5"/>
      <c r="H204" s="306"/>
      <c r="I204" s="306"/>
      <c r="J204" s="5"/>
      <c r="K204" s="5"/>
      <c r="L204" s="5"/>
      <c r="M204" s="5"/>
      <c r="N204" s="5"/>
      <c r="O204" s="5"/>
      <c r="P204" s="5"/>
      <c r="Q204" s="5"/>
      <c r="R204" s="57"/>
      <c r="S204" s="5"/>
      <c r="T204" s="5"/>
      <c r="U204" s="5"/>
      <c r="V204" s="5"/>
      <c r="W204" s="5"/>
      <c r="X204" s="5"/>
      <c r="Y204" s="5"/>
      <c r="Z204" s="5"/>
      <c r="AA204" s="5"/>
      <c r="AB204" s="5"/>
      <c r="AC204" s="5"/>
    </row>
    <row r="205" spans="1:29" ht="12.75" customHeight="1">
      <c r="A205" s="5"/>
      <c r="B205" s="5"/>
      <c r="C205" s="5"/>
      <c r="D205" s="5"/>
      <c r="E205" s="5"/>
      <c r="F205" s="5"/>
      <c r="G205" s="5"/>
      <c r="H205" s="306"/>
      <c r="I205" s="306"/>
      <c r="J205" s="5"/>
      <c r="K205" s="5"/>
      <c r="L205" s="5"/>
      <c r="M205" s="5"/>
      <c r="N205" s="5"/>
      <c r="O205" s="5"/>
      <c r="P205" s="5"/>
      <c r="Q205" s="5"/>
      <c r="R205" s="57"/>
      <c r="S205" s="5"/>
      <c r="T205" s="5"/>
      <c r="U205" s="5"/>
      <c r="V205" s="5"/>
      <c r="W205" s="5"/>
      <c r="X205" s="5"/>
      <c r="Y205" s="5"/>
      <c r="Z205" s="5"/>
      <c r="AA205" s="5"/>
      <c r="AB205" s="5"/>
      <c r="AC205" s="5"/>
    </row>
    <row r="206" spans="1:29" ht="12.75" customHeight="1">
      <c r="A206" s="5"/>
      <c r="B206" s="5"/>
      <c r="C206" s="5"/>
      <c r="D206" s="5"/>
      <c r="E206" s="5"/>
      <c r="F206" s="5"/>
      <c r="G206" s="5"/>
      <c r="H206" s="306"/>
      <c r="I206" s="306"/>
      <c r="J206" s="5"/>
      <c r="K206" s="5"/>
      <c r="L206" s="5"/>
      <c r="M206" s="5"/>
      <c r="N206" s="5"/>
      <c r="O206" s="5"/>
      <c r="P206" s="5"/>
      <c r="Q206" s="5"/>
      <c r="R206" s="57"/>
      <c r="S206" s="5"/>
      <c r="T206" s="5"/>
      <c r="U206" s="5"/>
      <c r="V206" s="5"/>
      <c r="W206" s="5"/>
      <c r="X206" s="5"/>
      <c r="Y206" s="5"/>
      <c r="Z206" s="5"/>
      <c r="AA206" s="5"/>
      <c r="AB206" s="5"/>
      <c r="AC206" s="5"/>
    </row>
    <row r="207" spans="1:29" ht="12.75" customHeight="1">
      <c r="A207" s="5"/>
      <c r="B207" s="5"/>
      <c r="C207" s="5"/>
      <c r="D207" s="5"/>
      <c r="E207" s="5"/>
      <c r="F207" s="5"/>
      <c r="G207" s="5"/>
      <c r="H207" s="306"/>
      <c r="I207" s="306"/>
      <c r="J207" s="5"/>
      <c r="K207" s="5"/>
      <c r="L207" s="5"/>
      <c r="M207" s="5"/>
      <c r="N207" s="5"/>
      <c r="O207" s="5"/>
      <c r="P207" s="5"/>
      <c r="Q207" s="5"/>
      <c r="R207" s="57"/>
      <c r="S207" s="5"/>
      <c r="T207" s="5"/>
      <c r="U207" s="5"/>
      <c r="V207" s="5"/>
      <c r="W207" s="5"/>
      <c r="X207" s="5"/>
      <c r="Y207" s="5"/>
      <c r="Z207" s="5"/>
      <c r="AA207" s="5"/>
      <c r="AB207" s="5"/>
      <c r="AC207" s="5"/>
    </row>
    <row r="208" spans="1:29" ht="12.75" customHeight="1">
      <c r="A208" s="5"/>
      <c r="B208" s="5"/>
      <c r="C208" s="5"/>
      <c r="D208" s="5"/>
      <c r="E208" s="5"/>
      <c r="F208" s="5"/>
      <c r="G208" s="5"/>
      <c r="H208" s="306"/>
      <c r="I208" s="306"/>
      <c r="J208" s="5"/>
      <c r="K208" s="5"/>
      <c r="L208" s="5"/>
      <c r="M208" s="5"/>
      <c r="N208" s="5"/>
      <c r="O208" s="5"/>
      <c r="P208" s="5"/>
      <c r="Q208" s="5"/>
      <c r="R208" s="57"/>
      <c r="S208" s="5"/>
      <c r="T208" s="5"/>
      <c r="U208" s="5"/>
      <c r="V208" s="5"/>
      <c r="W208" s="5"/>
      <c r="X208" s="5"/>
      <c r="Y208" s="5"/>
      <c r="Z208" s="5"/>
      <c r="AA208" s="5"/>
      <c r="AB208" s="5"/>
      <c r="AC208" s="5"/>
    </row>
    <row r="209" spans="1:29" ht="12.75" customHeight="1">
      <c r="A209" s="5"/>
      <c r="B209" s="5"/>
      <c r="C209" s="5"/>
      <c r="D209" s="5"/>
      <c r="E209" s="5"/>
      <c r="F209" s="5"/>
      <c r="G209" s="5"/>
      <c r="H209" s="306"/>
      <c r="I209" s="306"/>
      <c r="J209" s="5"/>
      <c r="K209" s="5"/>
      <c r="L209" s="5"/>
      <c r="M209" s="5"/>
      <c r="N209" s="5"/>
      <c r="O209" s="5"/>
      <c r="P209" s="5"/>
      <c r="Q209" s="5"/>
      <c r="R209" s="57"/>
      <c r="S209" s="5"/>
      <c r="T209" s="5"/>
      <c r="U209" s="5"/>
      <c r="V209" s="5"/>
      <c r="W209" s="5"/>
      <c r="X209" s="5"/>
      <c r="Y209" s="5"/>
      <c r="Z209" s="5"/>
      <c r="AA209" s="5"/>
      <c r="AB209" s="5"/>
      <c r="AC209" s="5"/>
    </row>
    <row r="210" spans="1:29" ht="12.75" customHeight="1">
      <c r="A210" s="5"/>
      <c r="B210" s="5"/>
      <c r="C210" s="5"/>
      <c r="D210" s="5"/>
      <c r="E210" s="5"/>
      <c r="F210" s="5"/>
      <c r="G210" s="5"/>
      <c r="H210" s="306"/>
      <c r="I210" s="306"/>
      <c r="J210" s="5"/>
      <c r="K210" s="5"/>
      <c r="L210" s="5"/>
      <c r="M210" s="5"/>
      <c r="N210" s="5"/>
      <c r="O210" s="5"/>
      <c r="P210" s="5"/>
      <c r="Q210" s="5"/>
      <c r="R210" s="57"/>
      <c r="S210" s="5"/>
      <c r="T210" s="5"/>
      <c r="U210" s="5"/>
      <c r="V210" s="5"/>
      <c r="W210" s="5"/>
      <c r="X210" s="5"/>
      <c r="Y210" s="5"/>
      <c r="Z210" s="5"/>
      <c r="AA210" s="5"/>
      <c r="AB210" s="5"/>
      <c r="AC210" s="5"/>
    </row>
    <row r="211" spans="1:29" ht="12.75" customHeight="1">
      <c r="A211" s="5"/>
      <c r="B211" s="5"/>
      <c r="C211" s="5"/>
      <c r="D211" s="5"/>
      <c r="E211" s="5"/>
      <c r="F211" s="5"/>
      <c r="G211" s="5"/>
      <c r="H211" s="306"/>
      <c r="I211" s="306"/>
      <c r="J211" s="5"/>
      <c r="K211" s="5"/>
      <c r="L211" s="5"/>
      <c r="M211" s="5"/>
      <c r="N211" s="5"/>
      <c r="O211" s="5"/>
      <c r="P211" s="5"/>
      <c r="Q211" s="5"/>
      <c r="R211" s="57"/>
      <c r="S211" s="5"/>
      <c r="T211" s="5"/>
      <c r="U211" s="5"/>
      <c r="V211" s="5"/>
      <c r="W211" s="5"/>
      <c r="X211" s="5"/>
      <c r="Y211" s="5"/>
      <c r="Z211" s="5"/>
      <c r="AA211" s="5"/>
      <c r="AB211" s="5"/>
      <c r="AC211" s="5"/>
    </row>
    <row r="212" spans="1:29" ht="12.75" customHeight="1">
      <c r="A212" s="5"/>
      <c r="B212" s="5"/>
      <c r="C212" s="5"/>
      <c r="D212" s="5"/>
      <c r="E212" s="5"/>
      <c r="F212" s="5"/>
      <c r="G212" s="5"/>
      <c r="H212" s="306"/>
      <c r="I212" s="306"/>
      <c r="J212" s="5"/>
      <c r="K212" s="5"/>
      <c r="L212" s="5"/>
      <c r="M212" s="5"/>
      <c r="N212" s="5"/>
      <c r="O212" s="5"/>
      <c r="P212" s="5"/>
      <c r="Q212" s="5"/>
      <c r="R212" s="57"/>
      <c r="S212" s="5"/>
      <c r="T212" s="5"/>
      <c r="U212" s="5"/>
      <c r="V212" s="5"/>
      <c r="W212" s="5"/>
      <c r="X212" s="5"/>
      <c r="Y212" s="5"/>
      <c r="Z212" s="5"/>
      <c r="AA212" s="5"/>
      <c r="AB212" s="5"/>
      <c r="AC212" s="5"/>
    </row>
    <row r="213" spans="1:29" ht="12.75" customHeight="1">
      <c r="A213" s="5"/>
      <c r="B213" s="5"/>
      <c r="C213" s="5"/>
      <c r="D213" s="5"/>
      <c r="E213" s="5"/>
      <c r="F213" s="5"/>
      <c r="G213" s="5"/>
      <c r="H213" s="306"/>
      <c r="I213" s="306"/>
      <c r="J213" s="5"/>
      <c r="K213" s="5"/>
      <c r="L213" s="5"/>
      <c r="M213" s="5"/>
      <c r="N213" s="5"/>
      <c r="O213" s="5"/>
      <c r="P213" s="5"/>
      <c r="Q213" s="5"/>
      <c r="R213" s="57"/>
      <c r="S213" s="5"/>
      <c r="T213" s="5"/>
      <c r="U213" s="5"/>
      <c r="V213" s="5"/>
      <c r="W213" s="5"/>
      <c r="X213" s="5"/>
      <c r="Y213" s="5"/>
      <c r="Z213" s="5"/>
      <c r="AA213" s="5"/>
      <c r="AB213" s="5"/>
      <c r="AC213" s="5"/>
    </row>
    <row r="214" spans="1:29" ht="12.75" customHeight="1">
      <c r="A214" s="5"/>
      <c r="B214" s="5"/>
      <c r="C214" s="5"/>
      <c r="D214" s="5"/>
      <c r="E214" s="5"/>
      <c r="F214" s="5"/>
      <c r="G214" s="5"/>
      <c r="H214" s="306"/>
      <c r="I214" s="306"/>
      <c r="J214" s="5"/>
      <c r="K214" s="5"/>
      <c r="L214" s="5"/>
      <c r="M214" s="5"/>
      <c r="N214" s="5"/>
      <c r="O214" s="5"/>
      <c r="P214" s="5"/>
      <c r="Q214" s="5"/>
      <c r="R214" s="57"/>
      <c r="S214" s="5"/>
      <c r="T214" s="5"/>
      <c r="U214" s="5"/>
      <c r="V214" s="5"/>
      <c r="W214" s="5"/>
      <c r="X214" s="5"/>
      <c r="Y214" s="5"/>
      <c r="Z214" s="5"/>
      <c r="AA214" s="5"/>
      <c r="AB214" s="5"/>
      <c r="AC214" s="5"/>
    </row>
    <row r="215" spans="1:29" ht="12.75" customHeight="1">
      <c r="A215" s="5"/>
      <c r="B215" s="5"/>
      <c r="C215" s="5"/>
      <c r="D215" s="5"/>
      <c r="E215" s="5"/>
      <c r="F215" s="5"/>
      <c r="G215" s="5"/>
      <c r="H215" s="306"/>
      <c r="I215" s="306"/>
      <c r="J215" s="5"/>
      <c r="K215" s="5"/>
      <c r="L215" s="5"/>
      <c r="M215" s="5"/>
      <c r="N215" s="5"/>
      <c r="O215" s="5"/>
      <c r="P215" s="5"/>
      <c r="Q215" s="5"/>
      <c r="R215" s="57"/>
      <c r="S215" s="5"/>
      <c r="T215" s="5"/>
      <c r="U215" s="5"/>
      <c r="V215" s="5"/>
      <c r="W215" s="5"/>
      <c r="X215" s="5"/>
      <c r="Y215" s="5"/>
      <c r="Z215" s="5"/>
      <c r="AA215" s="5"/>
      <c r="AB215" s="5"/>
      <c r="AC215" s="5"/>
    </row>
    <row r="216" spans="1:29" ht="12.75" customHeight="1">
      <c r="A216" s="5"/>
      <c r="B216" s="5"/>
      <c r="C216" s="5"/>
      <c r="D216" s="5"/>
      <c r="E216" s="5"/>
      <c r="F216" s="5"/>
      <c r="G216" s="5"/>
      <c r="H216" s="306"/>
      <c r="I216" s="306"/>
      <c r="J216" s="5"/>
      <c r="K216" s="5"/>
      <c r="L216" s="5"/>
      <c r="M216" s="5"/>
      <c r="N216" s="5"/>
      <c r="O216" s="5"/>
      <c r="P216" s="5"/>
      <c r="Q216" s="5"/>
      <c r="R216" s="57"/>
      <c r="S216" s="5"/>
      <c r="T216" s="5"/>
      <c r="U216" s="5"/>
      <c r="V216" s="5"/>
      <c r="W216" s="5"/>
      <c r="X216" s="5"/>
      <c r="Y216" s="5"/>
      <c r="Z216" s="5"/>
      <c r="AA216" s="5"/>
      <c r="AB216" s="5"/>
      <c r="AC216" s="5"/>
    </row>
    <row r="217" spans="1:29" ht="12.75" customHeight="1">
      <c r="A217" s="5"/>
      <c r="B217" s="5"/>
      <c r="C217" s="5"/>
      <c r="D217" s="5"/>
      <c r="E217" s="5"/>
      <c r="F217" s="5"/>
      <c r="G217" s="5"/>
      <c r="H217" s="306"/>
      <c r="I217" s="306"/>
      <c r="J217" s="5"/>
      <c r="K217" s="5"/>
      <c r="L217" s="5"/>
      <c r="M217" s="5"/>
      <c r="N217" s="5"/>
      <c r="O217" s="5"/>
      <c r="P217" s="5"/>
      <c r="Q217" s="5"/>
      <c r="R217" s="57"/>
      <c r="S217" s="5"/>
      <c r="T217" s="5"/>
      <c r="U217" s="5"/>
      <c r="V217" s="5"/>
      <c r="W217" s="5"/>
      <c r="X217" s="5"/>
      <c r="Y217" s="5"/>
      <c r="Z217" s="5"/>
      <c r="AA217" s="5"/>
      <c r="AB217" s="5"/>
      <c r="AC217" s="5"/>
    </row>
    <row r="218" spans="1:29" ht="12.75" customHeight="1">
      <c r="A218" s="5"/>
      <c r="B218" s="5"/>
      <c r="C218" s="5"/>
      <c r="D218" s="5"/>
      <c r="E218" s="5"/>
      <c r="F218" s="5"/>
      <c r="G218" s="5"/>
      <c r="H218" s="306"/>
      <c r="I218" s="306"/>
      <c r="J218" s="5"/>
      <c r="K218" s="5"/>
      <c r="L218" s="5"/>
      <c r="M218" s="5"/>
      <c r="N218" s="5"/>
      <c r="O218" s="5"/>
      <c r="P218" s="5"/>
      <c r="Q218" s="5"/>
      <c r="R218" s="57"/>
      <c r="S218" s="5"/>
      <c r="T218" s="5"/>
      <c r="U218" s="5"/>
      <c r="V218" s="5"/>
      <c r="W218" s="5"/>
      <c r="X218" s="5"/>
      <c r="Y218" s="5"/>
      <c r="Z218" s="5"/>
      <c r="AA218" s="5"/>
      <c r="AB218" s="5"/>
      <c r="AC218" s="5"/>
    </row>
    <row r="219" spans="1:29" ht="12.75" customHeight="1">
      <c r="A219" s="5"/>
      <c r="B219" s="5"/>
      <c r="C219" s="5"/>
      <c r="D219" s="5"/>
      <c r="E219" s="5"/>
      <c r="F219" s="5"/>
      <c r="G219" s="5"/>
      <c r="H219" s="306"/>
      <c r="I219" s="306"/>
      <c r="J219" s="5"/>
      <c r="K219" s="5"/>
      <c r="L219" s="5"/>
      <c r="M219" s="5"/>
      <c r="N219" s="5"/>
      <c r="O219" s="5"/>
      <c r="P219" s="5"/>
      <c r="Q219" s="5"/>
      <c r="R219" s="57"/>
      <c r="S219" s="5"/>
      <c r="T219" s="5"/>
      <c r="U219" s="5"/>
      <c r="V219" s="5"/>
      <c r="W219" s="5"/>
      <c r="X219" s="5"/>
      <c r="Y219" s="5"/>
      <c r="Z219" s="5"/>
      <c r="AA219" s="5"/>
      <c r="AB219" s="5"/>
      <c r="AC219" s="5"/>
    </row>
    <row r="220" spans="1:29" ht="12.75" customHeight="1">
      <c r="A220" s="5"/>
      <c r="B220" s="5"/>
      <c r="C220" s="5"/>
      <c r="D220" s="5"/>
      <c r="E220" s="5"/>
      <c r="F220" s="5"/>
      <c r="G220" s="5"/>
      <c r="H220" s="306"/>
      <c r="I220" s="306"/>
      <c r="J220" s="5"/>
      <c r="K220" s="5"/>
      <c r="L220" s="5"/>
      <c r="M220" s="5"/>
      <c r="N220" s="5"/>
      <c r="O220" s="5"/>
      <c r="P220" s="5"/>
      <c r="Q220" s="5"/>
      <c r="R220" s="57"/>
      <c r="S220" s="5"/>
      <c r="T220" s="5"/>
      <c r="U220" s="5"/>
      <c r="V220" s="5"/>
      <c r="W220" s="5"/>
      <c r="X220" s="5"/>
      <c r="Y220" s="5"/>
      <c r="Z220" s="5"/>
      <c r="AA220" s="5"/>
      <c r="AB220" s="5"/>
      <c r="AC220" s="5"/>
    </row>
    <row r="221" spans="1:29" ht="12.75" customHeight="1">
      <c r="A221" s="5"/>
      <c r="B221" s="5"/>
      <c r="C221" s="5"/>
      <c r="D221" s="5"/>
      <c r="E221" s="5"/>
      <c r="F221" s="5"/>
      <c r="G221" s="5"/>
      <c r="H221" s="306"/>
      <c r="I221" s="306"/>
      <c r="J221" s="5"/>
      <c r="K221" s="5"/>
      <c r="L221" s="5"/>
      <c r="M221" s="5"/>
      <c r="N221" s="5"/>
      <c r="O221" s="5"/>
      <c r="P221" s="5"/>
      <c r="Q221" s="5"/>
      <c r="R221" s="57"/>
      <c r="S221" s="5"/>
      <c r="T221" s="5"/>
      <c r="U221" s="5"/>
      <c r="V221" s="5"/>
      <c r="W221" s="5"/>
      <c r="X221" s="5"/>
      <c r="Y221" s="5"/>
      <c r="Z221" s="5"/>
      <c r="AA221" s="5"/>
      <c r="AB221" s="5"/>
      <c r="AC221" s="5"/>
    </row>
    <row r="222" spans="1:29" ht="12.75" customHeight="1">
      <c r="A222" s="5"/>
      <c r="B222" s="5"/>
      <c r="C222" s="5"/>
      <c r="D222" s="5"/>
      <c r="E222" s="5"/>
      <c r="F222" s="5"/>
      <c r="G222" s="5"/>
      <c r="H222" s="306"/>
      <c r="I222" s="306"/>
      <c r="J222" s="5"/>
      <c r="K222" s="5"/>
      <c r="L222" s="5"/>
      <c r="M222" s="5"/>
      <c r="N222" s="5"/>
      <c r="O222" s="5"/>
      <c r="P222" s="5"/>
      <c r="Q222" s="5"/>
      <c r="R222" s="57"/>
      <c r="S222" s="5"/>
      <c r="T222" s="5"/>
      <c r="U222" s="5"/>
      <c r="V222" s="5"/>
      <c r="W222" s="5"/>
      <c r="X222" s="5"/>
      <c r="Y222" s="5"/>
      <c r="Z222" s="5"/>
      <c r="AA222" s="5"/>
      <c r="AB222" s="5"/>
      <c r="AC222" s="5"/>
    </row>
    <row r="223" spans="1:29" ht="12.75" customHeight="1">
      <c r="A223" s="5"/>
      <c r="B223" s="5"/>
      <c r="C223" s="5"/>
      <c r="D223" s="5"/>
      <c r="E223" s="5"/>
      <c r="F223" s="5"/>
      <c r="G223" s="5"/>
      <c r="H223" s="306"/>
      <c r="I223" s="306"/>
      <c r="J223" s="5"/>
      <c r="K223" s="5"/>
      <c r="L223" s="5"/>
      <c r="M223" s="5"/>
      <c r="N223" s="5"/>
      <c r="O223" s="5"/>
      <c r="P223" s="5"/>
      <c r="Q223" s="5"/>
      <c r="R223" s="57"/>
      <c r="S223" s="5"/>
      <c r="T223" s="5"/>
      <c r="U223" s="5"/>
      <c r="V223" s="5"/>
      <c r="W223" s="5"/>
      <c r="X223" s="5"/>
      <c r="Y223" s="5"/>
      <c r="Z223" s="5"/>
      <c r="AA223" s="5"/>
      <c r="AB223" s="5"/>
      <c r="AC223" s="5"/>
    </row>
    <row r="224" spans="1:29" ht="12.75" customHeight="1">
      <c r="A224" s="5"/>
      <c r="B224" s="5"/>
      <c r="C224" s="5"/>
      <c r="D224" s="5"/>
      <c r="E224" s="5"/>
      <c r="F224" s="5"/>
      <c r="G224" s="5"/>
      <c r="H224" s="306"/>
      <c r="I224" s="306"/>
      <c r="J224" s="5"/>
      <c r="K224" s="5"/>
      <c r="L224" s="5"/>
      <c r="M224" s="5"/>
      <c r="N224" s="5"/>
      <c r="O224" s="5"/>
      <c r="P224" s="5"/>
      <c r="Q224" s="5"/>
      <c r="R224" s="57"/>
      <c r="S224" s="5"/>
      <c r="T224" s="5"/>
      <c r="U224" s="5"/>
      <c r="V224" s="5"/>
      <c r="W224" s="5"/>
      <c r="X224" s="5"/>
      <c r="Y224" s="5"/>
      <c r="Z224" s="5"/>
      <c r="AA224" s="5"/>
      <c r="AB224" s="5"/>
      <c r="AC224" s="5"/>
    </row>
    <row r="225" spans="1:29" ht="12.75" customHeight="1">
      <c r="A225" s="5"/>
      <c r="B225" s="5"/>
      <c r="C225" s="5"/>
      <c r="D225" s="5"/>
      <c r="E225" s="5"/>
      <c r="F225" s="5"/>
      <c r="G225" s="5"/>
      <c r="H225" s="306"/>
      <c r="I225" s="306"/>
      <c r="J225" s="5"/>
      <c r="K225" s="5"/>
      <c r="L225" s="5"/>
      <c r="M225" s="5"/>
      <c r="N225" s="5"/>
      <c r="O225" s="5"/>
      <c r="P225" s="5"/>
      <c r="Q225" s="5"/>
      <c r="R225" s="57"/>
      <c r="S225" s="5"/>
      <c r="T225" s="5"/>
      <c r="U225" s="5"/>
      <c r="V225" s="5"/>
      <c r="W225" s="5"/>
      <c r="X225" s="5"/>
      <c r="Y225" s="5"/>
      <c r="Z225" s="5"/>
      <c r="AA225" s="5"/>
      <c r="AB225" s="5"/>
      <c r="AC225" s="5"/>
    </row>
    <row r="226" spans="1:29" ht="12.75" customHeight="1">
      <c r="A226" s="5"/>
      <c r="B226" s="5"/>
      <c r="C226" s="5"/>
      <c r="D226" s="5"/>
      <c r="E226" s="5"/>
      <c r="F226" s="5"/>
      <c r="G226" s="5"/>
      <c r="H226" s="306"/>
      <c r="I226" s="306"/>
      <c r="J226" s="5"/>
      <c r="K226" s="5"/>
      <c r="L226" s="5"/>
      <c r="M226" s="5"/>
      <c r="N226" s="5"/>
      <c r="O226" s="5"/>
      <c r="P226" s="5"/>
      <c r="Q226" s="5"/>
      <c r="R226" s="57"/>
      <c r="S226" s="5"/>
      <c r="T226" s="5"/>
      <c r="U226" s="5"/>
      <c r="V226" s="5"/>
      <c r="W226" s="5"/>
      <c r="X226" s="5"/>
      <c r="Y226" s="5"/>
      <c r="Z226" s="5"/>
      <c r="AA226" s="5"/>
      <c r="AB226" s="5"/>
      <c r="AC226" s="5"/>
    </row>
    <row r="227" spans="1:29" ht="12.75" customHeight="1">
      <c r="A227" s="5"/>
      <c r="B227" s="5"/>
      <c r="C227" s="5"/>
      <c r="D227" s="5"/>
      <c r="E227" s="5"/>
      <c r="F227" s="5"/>
      <c r="G227" s="5"/>
      <c r="H227" s="306"/>
      <c r="I227" s="306"/>
      <c r="J227" s="5"/>
      <c r="K227" s="5"/>
      <c r="L227" s="5"/>
      <c r="M227" s="5"/>
      <c r="N227" s="5"/>
      <c r="O227" s="5"/>
      <c r="P227" s="5"/>
      <c r="Q227" s="5"/>
      <c r="R227" s="57"/>
      <c r="S227" s="5"/>
      <c r="T227" s="5"/>
      <c r="U227" s="5"/>
      <c r="V227" s="5"/>
      <c r="W227" s="5"/>
      <c r="X227" s="5"/>
      <c r="Y227" s="5"/>
      <c r="Z227" s="5"/>
      <c r="AA227" s="5"/>
      <c r="AB227" s="5"/>
      <c r="AC227" s="5"/>
    </row>
    <row r="228" spans="1:29" ht="12.75" customHeight="1">
      <c r="A228" s="5"/>
      <c r="B228" s="5"/>
      <c r="C228" s="5"/>
      <c r="D228" s="5"/>
      <c r="E228" s="5"/>
      <c r="F228" s="5"/>
      <c r="G228" s="5"/>
      <c r="H228" s="306"/>
      <c r="I228" s="306"/>
      <c r="J228" s="5"/>
      <c r="K228" s="5"/>
      <c r="L228" s="5"/>
      <c r="M228" s="5"/>
      <c r="N228" s="5"/>
      <c r="O228" s="5"/>
      <c r="P228" s="5"/>
      <c r="Q228" s="5"/>
      <c r="R228" s="57"/>
      <c r="S228" s="5"/>
      <c r="T228" s="5"/>
      <c r="U228" s="5"/>
      <c r="V228" s="5"/>
      <c r="W228" s="5"/>
      <c r="X228" s="5"/>
      <c r="Y228" s="5"/>
      <c r="Z228" s="5"/>
      <c r="AA228" s="5"/>
      <c r="AB228" s="5"/>
      <c r="AC228" s="5"/>
    </row>
    <row r="229" spans="1:29" ht="12.75" customHeight="1">
      <c r="A229" s="5"/>
      <c r="B229" s="5"/>
      <c r="C229" s="5"/>
      <c r="D229" s="5"/>
      <c r="E229" s="5"/>
      <c r="F229" s="5"/>
      <c r="G229" s="5"/>
      <c r="H229" s="306"/>
      <c r="I229" s="306"/>
      <c r="J229" s="5"/>
      <c r="K229" s="5"/>
      <c r="L229" s="5"/>
      <c r="M229" s="5"/>
      <c r="N229" s="5"/>
      <c r="O229" s="5"/>
      <c r="P229" s="5"/>
      <c r="Q229" s="5"/>
      <c r="R229" s="57"/>
      <c r="S229" s="5"/>
      <c r="T229" s="5"/>
      <c r="U229" s="5"/>
      <c r="V229" s="5"/>
      <c r="W229" s="5"/>
      <c r="X229" s="5"/>
      <c r="Y229" s="5"/>
      <c r="Z229" s="5"/>
      <c r="AA229" s="5"/>
      <c r="AB229" s="5"/>
      <c r="AC229" s="5"/>
    </row>
    <row r="230" spans="1:29" ht="12.75" customHeight="1">
      <c r="A230" s="5"/>
      <c r="B230" s="5"/>
      <c r="C230" s="5"/>
      <c r="D230" s="5"/>
      <c r="E230" s="5"/>
      <c r="F230" s="5"/>
      <c r="G230" s="5"/>
      <c r="H230" s="306"/>
      <c r="I230" s="306"/>
      <c r="J230" s="5"/>
      <c r="K230" s="5"/>
      <c r="L230" s="5"/>
      <c r="M230" s="5"/>
      <c r="N230" s="5"/>
      <c r="O230" s="5"/>
      <c r="P230" s="5"/>
      <c r="Q230" s="5"/>
      <c r="R230" s="57"/>
      <c r="S230" s="5"/>
      <c r="T230" s="5"/>
      <c r="U230" s="5"/>
      <c r="V230" s="5"/>
      <c r="W230" s="5"/>
      <c r="X230" s="5"/>
      <c r="Y230" s="5"/>
      <c r="Z230" s="5"/>
      <c r="AA230" s="5"/>
      <c r="AB230" s="5"/>
      <c r="AC230" s="5"/>
    </row>
    <row r="231" spans="1:29" ht="12.75" customHeight="1">
      <c r="A231" s="5"/>
      <c r="B231" s="5"/>
      <c r="C231" s="5"/>
      <c r="D231" s="5"/>
      <c r="E231" s="5"/>
      <c r="F231" s="5"/>
      <c r="G231" s="5"/>
      <c r="H231" s="306"/>
      <c r="I231" s="306"/>
      <c r="J231" s="5"/>
      <c r="K231" s="5"/>
      <c r="L231" s="5"/>
      <c r="M231" s="5"/>
      <c r="N231" s="5"/>
      <c r="O231" s="5"/>
      <c r="P231" s="5"/>
      <c r="Q231" s="5"/>
      <c r="R231" s="57"/>
      <c r="S231" s="5"/>
      <c r="T231" s="5"/>
      <c r="U231" s="5"/>
      <c r="V231" s="5"/>
      <c r="W231" s="5"/>
      <c r="X231" s="5"/>
      <c r="Y231" s="5"/>
      <c r="Z231" s="5"/>
      <c r="AA231" s="5"/>
      <c r="AB231" s="5"/>
      <c r="AC231" s="5"/>
    </row>
    <row r="232" spans="1:29" ht="12.75" customHeight="1">
      <c r="A232" s="5"/>
      <c r="B232" s="5"/>
      <c r="C232" s="5"/>
      <c r="D232" s="5"/>
      <c r="E232" s="5"/>
      <c r="F232" s="5"/>
      <c r="G232" s="5"/>
      <c r="H232" s="306"/>
      <c r="I232" s="306"/>
      <c r="J232" s="5"/>
      <c r="K232" s="5"/>
      <c r="L232" s="5"/>
      <c r="M232" s="5"/>
      <c r="N232" s="5"/>
      <c r="O232" s="5"/>
      <c r="P232" s="5"/>
      <c r="Q232" s="5"/>
      <c r="R232" s="57"/>
      <c r="S232" s="5"/>
      <c r="T232" s="5"/>
      <c r="U232" s="5"/>
      <c r="V232" s="5"/>
      <c r="W232" s="5"/>
      <c r="X232" s="5"/>
      <c r="Y232" s="5"/>
      <c r="Z232" s="5"/>
      <c r="AA232" s="5"/>
      <c r="AB232" s="5"/>
      <c r="AC232" s="5"/>
    </row>
    <row r="233" spans="1:29" ht="12.75" customHeight="1">
      <c r="A233" s="5"/>
      <c r="B233" s="5"/>
      <c r="C233" s="5"/>
      <c r="D233" s="5"/>
      <c r="E233" s="5"/>
      <c r="F233" s="5"/>
      <c r="G233" s="5"/>
      <c r="H233" s="306"/>
      <c r="I233" s="306"/>
      <c r="J233" s="5"/>
      <c r="K233" s="5"/>
      <c r="L233" s="5"/>
      <c r="M233" s="5"/>
      <c r="N233" s="5"/>
      <c r="O233" s="5"/>
      <c r="P233" s="5"/>
      <c r="Q233" s="5"/>
      <c r="R233" s="57"/>
      <c r="S233" s="5"/>
      <c r="T233" s="5"/>
      <c r="U233" s="5"/>
      <c r="V233" s="5"/>
      <c r="W233" s="5"/>
      <c r="X233" s="5"/>
      <c r="Y233" s="5"/>
      <c r="Z233" s="5"/>
      <c r="AA233" s="5"/>
      <c r="AB233" s="5"/>
      <c r="AC233" s="5"/>
    </row>
    <row r="234" spans="1:29" ht="12.75" customHeight="1">
      <c r="A234" s="5"/>
      <c r="B234" s="5"/>
      <c r="C234" s="5"/>
      <c r="D234" s="5"/>
      <c r="E234" s="5"/>
      <c r="F234" s="5"/>
      <c r="G234" s="5"/>
      <c r="H234" s="306"/>
      <c r="I234" s="306"/>
      <c r="J234" s="5"/>
      <c r="K234" s="5"/>
      <c r="L234" s="5"/>
      <c r="M234" s="5"/>
      <c r="N234" s="5"/>
      <c r="O234" s="5"/>
      <c r="P234" s="5"/>
      <c r="Q234" s="5"/>
      <c r="R234" s="57"/>
      <c r="S234" s="5"/>
      <c r="T234" s="5"/>
      <c r="U234" s="5"/>
      <c r="V234" s="5"/>
      <c r="W234" s="5"/>
      <c r="X234" s="5"/>
      <c r="Y234" s="5"/>
      <c r="Z234" s="5"/>
      <c r="AA234" s="5"/>
      <c r="AB234" s="5"/>
      <c r="AC234" s="5"/>
    </row>
    <row r="235" spans="1:29" ht="12.75" customHeight="1">
      <c r="A235" s="5"/>
      <c r="B235" s="5"/>
      <c r="C235" s="5"/>
      <c r="D235" s="5"/>
      <c r="E235" s="5"/>
      <c r="F235" s="5"/>
      <c r="G235" s="5"/>
      <c r="H235" s="306"/>
      <c r="I235" s="306"/>
      <c r="J235" s="5"/>
      <c r="K235" s="5"/>
      <c r="L235" s="5"/>
      <c r="M235" s="5"/>
      <c r="N235" s="5"/>
      <c r="O235" s="5"/>
      <c r="P235" s="5"/>
      <c r="Q235" s="5"/>
      <c r="R235" s="57"/>
      <c r="S235" s="5"/>
      <c r="T235" s="5"/>
      <c r="U235" s="5"/>
      <c r="V235" s="5"/>
      <c r="W235" s="5"/>
      <c r="X235" s="5"/>
      <c r="Y235" s="5"/>
      <c r="Z235" s="5"/>
      <c r="AA235" s="5"/>
      <c r="AB235" s="5"/>
      <c r="AC235" s="5"/>
    </row>
    <row r="236" spans="1:29" ht="12.75" customHeight="1">
      <c r="A236" s="5"/>
      <c r="B236" s="5"/>
      <c r="C236" s="5"/>
      <c r="D236" s="5"/>
      <c r="E236" s="5"/>
      <c r="F236" s="5"/>
      <c r="G236" s="5"/>
      <c r="H236" s="306"/>
      <c r="I236" s="306"/>
      <c r="J236" s="5"/>
      <c r="K236" s="5"/>
      <c r="L236" s="5"/>
      <c r="M236" s="5"/>
      <c r="N236" s="5"/>
      <c r="O236" s="5"/>
      <c r="P236" s="5"/>
      <c r="Q236" s="5"/>
      <c r="R236" s="57"/>
      <c r="S236" s="5"/>
      <c r="T236" s="5"/>
      <c r="U236" s="5"/>
      <c r="V236" s="5"/>
      <c r="W236" s="5"/>
      <c r="X236" s="5"/>
      <c r="Y236" s="5"/>
      <c r="Z236" s="5"/>
      <c r="AA236" s="5"/>
      <c r="AB236" s="5"/>
      <c r="AC236" s="5"/>
    </row>
    <row r="237" spans="1:29" ht="12.75" customHeight="1">
      <c r="A237" s="5"/>
      <c r="B237" s="5"/>
      <c r="C237" s="5"/>
      <c r="D237" s="5"/>
      <c r="E237" s="5"/>
      <c r="F237" s="5"/>
      <c r="G237" s="5"/>
      <c r="H237" s="306"/>
      <c r="I237" s="306"/>
      <c r="J237" s="5"/>
      <c r="K237" s="5"/>
      <c r="L237" s="5"/>
      <c r="M237" s="5"/>
      <c r="N237" s="5"/>
      <c r="O237" s="5"/>
      <c r="P237" s="5"/>
      <c r="Q237" s="5"/>
      <c r="R237" s="57"/>
      <c r="S237" s="5"/>
      <c r="T237" s="5"/>
      <c r="U237" s="5"/>
      <c r="V237" s="5"/>
      <c r="W237" s="5"/>
      <c r="X237" s="5"/>
      <c r="Y237" s="5"/>
      <c r="Z237" s="5"/>
      <c r="AA237" s="5"/>
      <c r="AB237" s="5"/>
      <c r="AC237" s="5"/>
    </row>
    <row r="238" spans="1:29" ht="12.75" customHeight="1">
      <c r="A238" s="5"/>
      <c r="B238" s="5"/>
      <c r="C238" s="5"/>
      <c r="D238" s="5"/>
      <c r="E238" s="5"/>
      <c r="F238" s="5"/>
      <c r="G238" s="5"/>
      <c r="H238" s="306"/>
      <c r="I238" s="306"/>
      <c r="J238" s="5"/>
      <c r="K238" s="5"/>
      <c r="L238" s="5"/>
      <c r="M238" s="5"/>
      <c r="N238" s="5"/>
      <c r="O238" s="5"/>
      <c r="P238" s="5"/>
      <c r="Q238" s="5"/>
      <c r="R238" s="57"/>
      <c r="S238" s="5"/>
      <c r="T238" s="5"/>
      <c r="U238" s="5"/>
      <c r="V238" s="5"/>
      <c r="W238" s="5"/>
      <c r="X238" s="5"/>
      <c r="Y238" s="5"/>
      <c r="Z238" s="5"/>
      <c r="AA238" s="5"/>
      <c r="AB238" s="5"/>
      <c r="AC238" s="5"/>
    </row>
    <row r="239" spans="1:29" ht="12.75" customHeight="1">
      <c r="A239" s="5"/>
      <c r="B239" s="5"/>
      <c r="C239" s="5"/>
      <c r="D239" s="5"/>
      <c r="E239" s="5"/>
      <c r="F239" s="5"/>
      <c r="G239" s="5"/>
      <c r="H239" s="306"/>
      <c r="I239" s="306"/>
      <c r="J239" s="5"/>
      <c r="K239" s="5"/>
      <c r="L239" s="5"/>
      <c r="M239" s="5"/>
      <c r="N239" s="5"/>
      <c r="O239" s="5"/>
      <c r="P239" s="5"/>
      <c r="Q239" s="5"/>
      <c r="R239" s="57"/>
      <c r="S239" s="5"/>
      <c r="T239" s="5"/>
      <c r="U239" s="5"/>
      <c r="V239" s="5"/>
      <c r="W239" s="5"/>
      <c r="X239" s="5"/>
      <c r="Y239" s="5"/>
      <c r="Z239" s="5"/>
      <c r="AA239" s="5"/>
      <c r="AB239" s="5"/>
      <c r="AC239" s="5"/>
    </row>
    <row r="240" spans="1:29" ht="12.75" customHeight="1">
      <c r="A240" s="5"/>
      <c r="B240" s="5"/>
      <c r="C240" s="5"/>
      <c r="D240" s="5"/>
      <c r="E240" s="5"/>
      <c r="F240" s="5"/>
      <c r="G240" s="5"/>
      <c r="H240" s="306"/>
      <c r="I240" s="306"/>
      <c r="J240" s="5"/>
      <c r="K240" s="5"/>
      <c r="L240" s="5"/>
      <c r="M240" s="5"/>
      <c r="N240" s="5"/>
      <c r="O240" s="5"/>
      <c r="P240" s="5"/>
      <c r="Q240" s="5"/>
      <c r="R240" s="57"/>
      <c r="S240" s="5"/>
      <c r="T240" s="5"/>
      <c r="U240" s="5"/>
      <c r="V240" s="5"/>
      <c r="W240" s="5"/>
      <c r="X240" s="5"/>
      <c r="Y240" s="5"/>
      <c r="Z240" s="5"/>
      <c r="AA240" s="5"/>
      <c r="AB240" s="5"/>
      <c r="AC240" s="5"/>
    </row>
    <row r="241" spans="1:29" ht="12.75" customHeight="1">
      <c r="A241" s="5"/>
      <c r="B241" s="5"/>
      <c r="C241" s="5"/>
      <c r="D241" s="5"/>
      <c r="E241" s="5"/>
      <c r="F241" s="5"/>
      <c r="G241" s="5"/>
      <c r="H241" s="306"/>
      <c r="I241" s="306"/>
      <c r="J241" s="5"/>
      <c r="K241" s="5"/>
      <c r="L241" s="5"/>
      <c r="M241" s="5"/>
      <c r="N241" s="5"/>
      <c r="O241" s="5"/>
      <c r="P241" s="5"/>
      <c r="Q241" s="5"/>
      <c r="R241" s="57"/>
      <c r="S241" s="5"/>
      <c r="T241" s="5"/>
      <c r="U241" s="5"/>
      <c r="V241" s="5"/>
      <c r="W241" s="5"/>
      <c r="X241" s="5"/>
      <c r="Y241" s="5"/>
      <c r="Z241" s="5"/>
      <c r="AA241" s="5"/>
      <c r="AB241" s="5"/>
      <c r="AC241" s="5"/>
    </row>
    <row r="242" spans="1:29" ht="12.75" customHeight="1">
      <c r="A242" s="5"/>
      <c r="B242" s="5"/>
      <c r="C242" s="5"/>
      <c r="D242" s="5"/>
      <c r="E242" s="5"/>
      <c r="F242" s="5"/>
      <c r="G242" s="5"/>
      <c r="H242" s="306"/>
      <c r="I242" s="306"/>
      <c r="J242" s="5"/>
      <c r="K242" s="5"/>
      <c r="L242" s="5"/>
      <c r="M242" s="5"/>
      <c r="N242" s="5"/>
      <c r="O242" s="5"/>
      <c r="P242" s="5"/>
      <c r="Q242" s="5"/>
      <c r="R242" s="57"/>
      <c r="S242" s="5"/>
      <c r="T242" s="5"/>
      <c r="U242" s="5"/>
      <c r="V242" s="5"/>
      <c r="W242" s="5"/>
      <c r="X242" s="5"/>
      <c r="Y242" s="5"/>
      <c r="Z242" s="5"/>
      <c r="AA242" s="5"/>
      <c r="AB242" s="5"/>
      <c r="AC242" s="5"/>
    </row>
    <row r="243" spans="1:29" ht="12.75" customHeight="1">
      <c r="A243" s="5"/>
      <c r="B243" s="5"/>
      <c r="C243" s="5"/>
      <c r="D243" s="5"/>
      <c r="E243" s="5"/>
      <c r="F243" s="5"/>
      <c r="G243" s="5"/>
      <c r="H243" s="306"/>
      <c r="I243" s="306"/>
      <c r="J243" s="5"/>
      <c r="K243" s="5"/>
      <c r="L243" s="5"/>
      <c r="M243" s="5"/>
      <c r="N243" s="5"/>
      <c r="O243" s="5"/>
      <c r="P243" s="5"/>
      <c r="Q243" s="5"/>
      <c r="R243" s="57"/>
      <c r="S243" s="5"/>
      <c r="T243" s="5"/>
      <c r="U243" s="5"/>
      <c r="V243" s="5"/>
      <c r="W243" s="5"/>
      <c r="X243" s="5"/>
      <c r="Y243" s="5"/>
      <c r="Z243" s="5"/>
      <c r="AA243" s="5"/>
      <c r="AB243" s="5"/>
      <c r="AC243" s="5"/>
    </row>
    <row r="244" spans="1:29" ht="12.75" customHeight="1">
      <c r="A244" s="5"/>
      <c r="B244" s="5"/>
      <c r="C244" s="5"/>
      <c r="D244" s="5"/>
      <c r="E244" s="5"/>
      <c r="F244" s="5"/>
      <c r="G244" s="5"/>
      <c r="H244" s="306"/>
      <c r="I244" s="306"/>
      <c r="J244" s="5"/>
      <c r="K244" s="5"/>
      <c r="L244" s="5"/>
      <c r="M244" s="5"/>
      <c r="N244" s="5"/>
      <c r="O244" s="5"/>
      <c r="P244" s="5"/>
      <c r="Q244" s="5"/>
      <c r="R244" s="57"/>
      <c r="S244" s="5"/>
      <c r="T244" s="5"/>
      <c r="U244" s="5"/>
      <c r="V244" s="5"/>
      <c r="W244" s="5"/>
      <c r="X244" s="5"/>
      <c r="Y244" s="5"/>
      <c r="Z244" s="5"/>
      <c r="AA244" s="5"/>
      <c r="AB244" s="5"/>
      <c r="AC244" s="5"/>
    </row>
    <row r="245" spans="1:29" ht="12.75" customHeight="1">
      <c r="A245" s="5"/>
      <c r="B245" s="5"/>
      <c r="C245" s="5"/>
      <c r="D245" s="5"/>
      <c r="E245" s="5"/>
      <c r="F245" s="5"/>
      <c r="G245" s="5"/>
      <c r="H245" s="306"/>
      <c r="I245" s="306"/>
      <c r="J245" s="5"/>
      <c r="K245" s="5"/>
      <c r="L245" s="5"/>
      <c r="M245" s="5"/>
      <c r="N245" s="5"/>
      <c r="O245" s="5"/>
      <c r="P245" s="5"/>
      <c r="Q245" s="5"/>
      <c r="R245" s="57"/>
      <c r="S245" s="5"/>
      <c r="T245" s="5"/>
      <c r="U245" s="5"/>
      <c r="V245" s="5"/>
      <c r="W245" s="5"/>
      <c r="X245" s="5"/>
      <c r="Y245" s="5"/>
      <c r="Z245" s="5"/>
      <c r="AA245" s="5"/>
      <c r="AB245" s="5"/>
      <c r="AC245" s="5"/>
    </row>
    <row r="246" spans="1:29" ht="12.75" customHeight="1">
      <c r="A246" s="5"/>
      <c r="B246" s="5"/>
      <c r="C246" s="5"/>
      <c r="D246" s="5"/>
      <c r="E246" s="5"/>
      <c r="F246" s="5"/>
      <c r="G246" s="5"/>
      <c r="H246" s="306"/>
      <c r="I246" s="306"/>
      <c r="J246" s="5"/>
      <c r="K246" s="5"/>
      <c r="L246" s="5"/>
      <c r="M246" s="5"/>
      <c r="N246" s="5"/>
      <c r="O246" s="5"/>
      <c r="P246" s="5"/>
      <c r="Q246" s="5"/>
      <c r="R246" s="57"/>
      <c r="S246" s="5"/>
      <c r="T246" s="5"/>
      <c r="U246" s="5"/>
      <c r="V246" s="5"/>
      <c r="W246" s="5"/>
      <c r="X246" s="5"/>
      <c r="Y246" s="5"/>
      <c r="Z246" s="5"/>
      <c r="AA246" s="5"/>
      <c r="AB246" s="5"/>
      <c r="AC246" s="5"/>
    </row>
    <row r="247" spans="1:29" ht="12.75" customHeight="1">
      <c r="A247" s="5"/>
      <c r="B247" s="5"/>
      <c r="C247" s="5"/>
      <c r="D247" s="5"/>
      <c r="E247" s="5"/>
      <c r="F247" s="5"/>
      <c r="G247" s="5"/>
      <c r="H247" s="306"/>
      <c r="I247" s="306"/>
      <c r="J247" s="5"/>
      <c r="K247" s="5"/>
      <c r="L247" s="5"/>
      <c r="M247" s="5"/>
      <c r="N247" s="5"/>
      <c r="O247" s="5"/>
      <c r="P247" s="5"/>
      <c r="Q247" s="5"/>
      <c r="R247" s="57"/>
      <c r="S247" s="5"/>
      <c r="T247" s="5"/>
      <c r="U247" s="5"/>
      <c r="V247" s="5"/>
      <c r="W247" s="5"/>
      <c r="X247" s="5"/>
      <c r="Y247" s="5"/>
      <c r="Z247" s="5"/>
      <c r="AA247" s="5"/>
      <c r="AB247" s="5"/>
      <c r="AC247" s="5"/>
    </row>
    <row r="248" spans="1:29" ht="12.75" customHeight="1">
      <c r="A248" s="5"/>
      <c r="B248" s="5"/>
      <c r="C248" s="5"/>
      <c r="D248" s="5"/>
      <c r="E248" s="5"/>
      <c r="F248" s="5"/>
      <c r="G248" s="5"/>
      <c r="H248" s="306"/>
      <c r="I248" s="306"/>
      <c r="J248" s="5"/>
      <c r="K248" s="5"/>
      <c r="L248" s="5"/>
      <c r="M248" s="5"/>
      <c r="N248" s="5"/>
      <c r="O248" s="5"/>
      <c r="P248" s="5"/>
      <c r="Q248" s="5"/>
      <c r="R248" s="57"/>
      <c r="S248" s="5"/>
      <c r="T248" s="5"/>
      <c r="U248" s="5"/>
      <c r="V248" s="5"/>
      <c r="W248" s="5"/>
      <c r="X248" s="5"/>
      <c r="Y248" s="5"/>
      <c r="Z248" s="5"/>
      <c r="AA248" s="5"/>
      <c r="AB248" s="5"/>
      <c r="AC248" s="5"/>
    </row>
    <row r="249" spans="1:29" ht="12.75" customHeight="1">
      <c r="A249" s="5"/>
      <c r="B249" s="5"/>
      <c r="C249" s="5"/>
      <c r="D249" s="5"/>
      <c r="E249" s="5"/>
      <c r="F249" s="5"/>
      <c r="G249" s="5"/>
      <c r="H249" s="306"/>
      <c r="I249" s="306"/>
      <c r="J249" s="5"/>
      <c r="K249" s="5"/>
      <c r="L249" s="5"/>
      <c r="M249" s="5"/>
      <c r="N249" s="5"/>
      <c r="O249" s="5"/>
      <c r="P249" s="5"/>
      <c r="Q249" s="5"/>
      <c r="R249" s="57"/>
      <c r="S249" s="5"/>
      <c r="T249" s="5"/>
      <c r="U249" s="5"/>
      <c r="V249" s="5"/>
      <c r="W249" s="5"/>
      <c r="X249" s="5"/>
      <c r="Y249" s="5"/>
      <c r="Z249" s="5"/>
      <c r="AA249" s="5"/>
      <c r="AB249" s="5"/>
      <c r="AC249" s="5"/>
    </row>
    <row r="250" spans="1:29" ht="12.75" customHeight="1">
      <c r="A250" s="5"/>
      <c r="B250" s="5"/>
      <c r="C250" s="5"/>
      <c r="D250" s="5"/>
      <c r="E250" s="5"/>
      <c r="F250" s="5"/>
      <c r="G250" s="5"/>
      <c r="H250" s="306"/>
      <c r="I250" s="306"/>
      <c r="J250" s="5"/>
      <c r="K250" s="5"/>
      <c r="L250" s="5"/>
      <c r="M250" s="5"/>
      <c r="N250" s="5"/>
      <c r="O250" s="5"/>
      <c r="P250" s="5"/>
      <c r="Q250" s="5"/>
      <c r="R250" s="57"/>
      <c r="S250" s="5"/>
      <c r="T250" s="5"/>
      <c r="U250" s="5"/>
      <c r="V250" s="5"/>
      <c r="W250" s="5"/>
      <c r="X250" s="5"/>
      <c r="Y250" s="5"/>
      <c r="Z250" s="5"/>
      <c r="AA250" s="5"/>
      <c r="AB250" s="5"/>
      <c r="AC250" s="5"/>
    </row>
    <row r="251" spans="1:29" ht="12.75" customHeight="1">
      <c r="A251" s="5"/>
      <c r="B251" s="5"/>
      <c r="C251" s="5"/>
      <c r="D251" s="5"/>
      <c r="E251" s="5"/>
      <c r="F251" s="5"/>
      <c r="G251" s="5"/>
      <c r="H251" s="306"/>
      <c r="I251" s="306"/>
      <c r="J251" s="5"/>
      <c r="K251" s="5"/>
      <c r="L251" s="5"/>
      <c r="M251" s="5"/>
      <c r="N251" s="5"/>
      <c r="O251" s="5"/>
      <c r="P251" s="5"/>
      <c r="Q251" s="5"/>
      <c r="R251" s="57"/>
      <c r="S251" s="5"/>
      <c r="T251" s="5"/>
      <c r="U251" s="5"/>
      <c r="V251" s="5"/>
      <c r="W251" s="5"/>
      <c r="X251" s="5"/>
      <c r="Y251" s="5"/>
      <c r="Z251" s="5"/>
      <c r="AA251" s="5"/>
      <c r="AB251" s="5"/>
      <c r="AC251" s="5"/>
    </row>
    <row r="252" spans="1:29" ht="12.75" customHeight="1">
      <c r="A252" s="5"/>
      <c r="B252" s="5"/>
      <c r="C252" s="5"/>
      <c r="D252" s="5"/>
      <c r="E252" s="5"/>
      <c r="F252" s="5"/>
      <c r="G252" s="5"/>
      <c r="H252" s="306"/>
      <c r="I252" s="306"/>
      <c r="J252" s="5"/>
      <c r="K252" s="5"/>
      <c r="L252" s="5"/>
      <c r="M252" s="5"/>
      <c r="N252" s="5"/>
      <c r="O252" s="5"/>
      <c r="P252" s="5"/>
      <c r="Q252" s="5"/>
      <c r="R252" s="57"/>
      <c r="S252" s="5"/>
      <c r="T252" s="5"/>
      <c r="U252" s="5"/>
      <c r="V252" s="5"/>
      <c r="W252" s="5"/>
      <c r="X252" s="5"/>
      <c r="Y252" s="5"/>
      <c r="Z252" s="5"/>
      <c r="AA252" s="5"/>
      <c r="AB252" s="5"/>
      <c r="AC252" s="5"/>
    </row>
    <row r="253" spans="1:29" ht="12.75" customHeight="1">
      <c r="A253" s="5"/>
      <c r="B253" s="5"/>
      <c r="C253" s="5"/>
      <c r="D253" s="5"/>
      <c r="E253" s="5"/>
      <c r="F253" s="5"/>
      <c r="G253" s="5"/>
      <c r="H253" s="306"/>
      <c r="I253" s="306"/>
      <c r="J253" s="5"/>
      <c r="K253" s="5"/>
      <c r="L253" s="5"/>
      <c r="M253" s="5"/>
      <c r="N253" s="5"/>
      <c r="O253" s="5"/>
      <c r="P253" s="5"/>
      <c r="Q253" s="5"/>
      <c r="R253" s="57"/>
      <c r="S253" s="5"/>
      <c r="T253" s="5"/>
      <c r="U253" s="5"/>
      <c r="V253" s="5"/>
      <c r="W253" s="5"/>
      <c r="X253" s="5"/>
      <c r="Y253" s="5"/>
      <c r="Z253" s="5"/>
      <c r="AA253" s="5"/>
      <c r="AB253" s="5"/>
      <c r="AC253" s="5"/>
    </row>
    <row r="254" spans="1:29" ht="12.75" customHeight="1">
      <c r="A254" s="5"/>
      <c r="B254" s="5"/>
      <c r="C254" s="5"/>
      <c r="D254" s="5"/>
      <c r="E254" s="5"/>
      <c r="F254" s="5"/>
      <c r="G254" s="5"/>
      <c r="H254" s="306"/>
      <c r="I254" s="306"/>
      <c r="J254" s="5"/>
      <c r="K254" s="5"/>
      <c r="L254" s="5"/>
      <c r="M254" s="5"/>
      <c r="N254" s="5"/>
      <c r="O254" s="5"/>
      <c r="P254" s="5"/>
      <c r="Q254" s="5"/>
      <c r="R254" s="57"/>
      <c r="S254" s="5"/>
      <c r="T254" s="5"/>
      <c r="U254" s="5"/>
      <c r="V254" s="5"/>
      <c r="W254" s="5"/>
      <c r="X254" s="5"/>
      <c r="Y254" s="5"/>
      <c r="Z254" s="5"/>
      <c r="AA254" s="5"/>
      <c r="AB254" s="5"/>
      <c r="AC254" s="5"/>
    </row>
    <row r="255" spans="1:29" ht="12.75" customHeight="1">
      <c r="A255" s="5"/>
      <c r="B255" s="5"/>
      <c r="C255" s="5"/>
      <c r="D255" s="5"/>
      <c r="E255" s="5"/>
      <c r="F255" s="5"/>
      <c r="G255" s="5"/>
      <c r="H255" s="306"/>
      <c r="I255" s="306"/>
      <c r="J255" s="5"/>
      <c r="K255" s="5"/>
      <c r="L255" s="5"/>
      <c r="M255" s="5"/>
      <c r="N255" s="5"/>
      <c r="O255" s="5"/>
      <c r="P255" s="5"/>
      <c r="Q255" s="5"/>
      <c r="R255" s="57"/>
      <c r="S255" s="5"/>
      <c r="T255" s="5"/>
      <c r="U255" s="5"/>
      <c r="V255" s="5"/>
      <c r="W255" s="5"/>
      <c r="X255" s="5"/>
      <c r="Y255" s="5"/>
      <c r="Z255" s="5"/>
      <c r="AA255" s="5"/>
      <c r="AB255" s="5"/>
      <c r="AC255" s="5"/>
    </row>
    <row r="256" spans="1:29" ht="12.75" customHeight="1">
      <c r="A256" s="5"/>
      <c r="B256" s="5"/>
      <c r="C256" s="5"/>
      <c r="D256" s="5"/>
      <c r="E256" s="5"/>
      <c r="F256" s="5"/>
      <c r="G256" s="5"/>
      <c r="H256" s="306"/>
      <c r="I256" s="306"/>
      <c r="J256" s="5"/>
      <c r="K256" s="5"/>
      <c r="L256" s="5"/>
      <c r="M256" s="5"/>
      <c r="N256" s="5"/>
      <c r="O256" s="5"/>
      <c r="P256" s="5"/>
      <c r="Q256" s="5"/>
      <c r="R256" s="57"/>
      <c r="S256" s="5"/>
      <c r="T256" s="5"/>
      <c r="U256" s="5"/>
      <c r="V256" s="5"/>
      <c r="W256" s="5"/>
      <c r="X256" s="5"/>
      <c r="Y256" s="5"/>
      <c r="Z256" s="5"/>
      <c r="AA256" s="5"/>
      <c r="AB256" s="5"/>
      <c r="AC256" s="5"/>
    </row>
    <row r="257" spans="1:29" ht="12.75" customHeight="1">
      <c r="A257" s="5"/>
      <c r="B257" s="5"/>
      <c r="C257" s="5"/>
      <c r="D257" s="5"/>
      <c r="E257" s="5"/>
      <c r="F257" s="5"/>
      <c r="G257" s="5"/>
      <c r="H257" s="306"/>
      <c r="I257" s="306"/>
      <c r="J257" s="5"/>
      <c r="K257" s="5"/>
      <c r="L257" s="5"/>
      <c r="M257" s="5"/>
      <c r="N257" s="5"/>
      <c r="O257" s="5"/>
      <c r="P257" s="5"/>
      <c r="Q257" s="5"/>
      <c r="R257" s="57"/>
      <c r="S257" s="5"/>
      <c r="T257" s="5"/>
      <c r="U257" s="5"/>
      <c r="V257" s="5"/>
      <c r="W257" s="5"/>
      <c r="X257" s="5"/>
      <c r="Y257" s="5"/>
      <c r="Z257" s="5"/>
      <c r="AA257" s="5"/>
      <c r="AB257" s="5"/>
      <c r="AC257" s="5"/>
    </row>
    <row r="258" spans="1:29" ht="12.75" customHeight="1">
      <c r="A258" s="5"/>
      <c r="B258" s="5"/>
      <c r="C258" s="5"/>
      <c r="D258" s="5"/>
      <c r="E258" s="5"/>
      <c r="F258" s="5"/>
      <c r="G258" s="5"/>
      <c r="H258" s="306"/>
      <c r="I258" s="306"/>
      <c r="J258" s="5"/>
      <c r="K258" s="5"/>
      <c r="L258" s="5"/>
      <c r="M258" s="5"/>
      <c r="N258" s="5"/>
      <c r="O258" s="5"/>
      <c r="P258" s="5"/>
      <c r="Q258" s="5"/>
      <c r="R258" s="57"/>
      <c r="S258" s="5"/>
      <c r="T258" s="5"/>
      <c r="U258" s="5"/>
      <c r="V258" s="5"/>
      <c r="W258" s="5"/>
      <c r="X258" s="5"/>
      <c r="Y258" s="5"/>
      <c r="Z258" s="5"/>
      <c r="AA258" s="5"/>
      <c r="AB258" s="5"/>
      <c r="AC258" s="5"/>
    </row>
    <row r="259" spans="1:29" ht="12.75" customHeight="1">
      <c r="A259" s="5"/>
      <c r="B259" s="5"/>
      <c r="C259" s="5"/>
      <c r="D259" s="5"/>
      <c r="E259" s="5"/>
      <c r="F259" s="5"/>
      <c r="G259" s="5"/>
      <c r="H259" s="306"/>
      <c r="I259" s="306"/>
      <c r="J259" s="5"/>
      <c r="K259" s="5"/>
      <c r="L259" s="5"/>
      <c r="M259" s="5"/>
      <c r="N259" s="5"/>
      <c r="O259" s="5"/>
      <c r="P259" s="5"/>
      <c r="Q259" s="5"/>
      <c r="R259" s="57"/>
      <c r="S259" s="5"/>
      <c r="T259" s="5"/>
      <c r="U259" s="5"/>
      <c r="V259" s="5"/>
      <c r="W259" s="5"/>
      <c r="X259" s="5"/>
      <c r="Y259" s="5"/>
      <c r="Z259" s="5"/>
      <c r="AA259" s="5"/>
      <c r="AB259" s="5"/>
      <c r="AC259" s="5"/>
    </row>
    <row r="260" spans="1:29" ht="12.75" customHeight="1">
      <c r="A260" s="5"/>
      <c r="B260" s="5"/>
      <c r="C260" s="5"/>
      <c r="D260" s="5"/>
      <c r="E260" s="5"/>
      <c r="F260" s="5"/>
      <c r="G260" s="5"/>
      <c r="H260" s="306"/>
      <c r="I260" s="306"/>
      <c r="J260" s="5"/>
      <c r="K260" s="5"/>
      <c r="L260" s="5"/>
      <c r="M260" s="5"/>
      <c r="N260" s="5"/>
      <c r="O260" s="5"/>
      <c r="P260" s="5"/>
      <c r="Q260" s="5"/>
      <c r="R260" s="57"/>
      <c r="S260" s="5"/>
      <c r="T260" s="5"/>
      <c r="U260" s="5"/>
      <c r="V260" s="5"/>
      <c r="W260" s="5"/>
      <c r="X260" s="5"/>
      <c r="Y260" s="5"/>
      <c r="Z260" s="5"/>
      <c r="AA260" s="5"/>
      <c r="AB260" s="5"/>
      <c r="AC260" s="5"/>
    </row>
    <row r="261" spans="1:29" ht="12.75" customHeight="1">
      <c r="A261" s="5"/>
      <c r="B261" s="5"/>
      <c r="C261" s="5"/>
      <c r="D261" s="5"/>
      <c r="E261" s="5"/>
      <c r="F261" s="5"/>
      <c r="G261" s="5"/>
      <c r="H261" s="306"/>
      <c r="I261" s="306"/>
      <c r="J261" s="5"/>
      <c r="K261" s="5"/>
      <c r="L261" s="5"/>
      <c r="M261" s="5"/>
      <c r="N261" s="5"/>
      <c r="O261" s="5"/>
      <c r="P261" s="5"/>
      <c r="Q261" s="5"/>
      <c r="R261" s="57"/>
      <c r="S261" s="5"/>
      <c r="T261" s="5"/>
      <c r="U261" s="5"/>
      <c r="V261" s="5"/>
      <c r="W261" s="5"/>
      <c r="X261" s="5"/>
      <c r="Y261" s="5"/>
      <c r="Z261" s="5"/>
      <c r="AA261" s="5"/>
      <c r="AB261" s="5"/>
      <c r="AC261" s="5"/>
    </row>
    <row r="262" spans="1:29" ht="12.75" customHeight="1">
      <c r="A262" s="5"/>
      <c r="B262" s="5"/>
      <c r="C262" s="5"/>
      <c r="D262" s="5"/>
      <c r="E262" s="5"/>
      <c r="F262" s="5"/>
      <c r="G262" s="5"/>
      <c r="H262" s="306"/>
      <c r="I262" s="306"/>
      <c r="J262" s="5"/>
      <c r="K262" s="5"/>
      <c r="L262" s="5"/>
      <c r="M262" s="5"/>
      <c r="N262" s="5"/>
      <c r="O262" s="5"/>
      <c r="P262" s="5"/>
      <c r="Q262" s="5"/>
      <c r="R262" s="57"/>
      <c r="S262" s="5"/>
      <c r="T262" s="5"/>
      <c r="U262" s="5"/>
      <c r="V262" s="5"/>
      <c r="W262" s="5"/>
      <c r="X262" s="5"/>
      <c r="Y262" s="5"/>
      <c r="Z262" s="5"/>
      <c r="AA262" s="5"/>
      <c r="AB262" s="5"/>
      <c r="AC262" s="5"/>
    </row>
    <row r="263" spans="1:29" ht="12.75" customHeight="1">
      <c r="A263" s="5"/>
      <c r="B263" s="5"/>
      <c r="C263" s="5"/>
      <c r="D263" s="5"/>
      <c r="E263" s="5"/>
      <c r="F263" s="5"/>
      <c r="G263" s="5"/>
      <c r="H263" s="306"/>
      <c r="I263" s="306"/>
      <c r="J263" s="5"/>
      <c r="K263" s="5"/>
      <c r="L263" s="5"/>
      <c r="M263" s="5"/>
      <c r="N263" s="5"/>
      <c r="O263" s="5"/>
      <c r="P263" s="5"/>
      <c r="Q263" s="5"/>
      <c r="R263" s="57"/>
      <c r="S263" s="5"/>
      <c r="T263" s="5"/>
      <c r="U263" s="5"/>
      <c r="V263" s="5"/>
      <c r="W263" s="5"/>
      <c r="X263" s="5"/>
      <c r="Y263" s="5"/>
      <c r="Z263" s="5"/>
      <c r="AA263" s="5"/>
      <c r="AB263" s="5"/>
      <c r="AC263" s="5"/>
    </row>
    <row r="264" spans="1:29" ht="12.75" customHeight="1">
      <c r="A264" s="5"/>
      <c r="B264" s="5"/>
      <c r="C264" s="5"/>
      <c r="D264" s="5"/>
      <c r="E264" s="5"/>
      <c r="F264" s="5"/>
      <c r="G264" s="5"/>
      <c r="H264" s="306"/>
      <c r="I264" s="306"/>
      <c r="J264" s="5"/>
      <c r="K264" s="5"/>
      <c r="L264" s="5"/>
      <c r="M264" s="5"/>
      <c r="N264" s="5"/>
      <c r="O264" s="5"/>
      <c r="P264" s="5"/>
      <c r="Q264" s="5"/>
      <c r="R264" s="57"/>
      <c r="S264" s="5"/>
      <c r="T264" s="5"/>
      <c r="U264" s="5"/>
      <c r="V264" s="5"/>
      <c r="W264" s="5"/>
      <c r="X264" s="5"/>
      <c r="Y264" s="5"/>
      <c r="Z264" s="5"/>
      <c r="AA264" s="5"/>
      <c r="AB264" s="5"/>
      <c r="AC264" s="5"/>
    </row>
    <row r="265" spans="1:29" ht="12.75" customHeight="1">
      <c r="A265" s="5"/>
      <c r="B265" s="5"/>
      <c r="C265" s="5"/>
      <c r="D265" s="5"/>
      <c r="E265" s="5"/>
      <c r="F265" s="5"/>
      <c r="G265" s="5"/>
      <c r="H265" s="306"/>
      <c r="I265" s="306"/>
      <c r="J265" s="5"/>
      <c r="K265" s="5"/>
      <c r="L265" s="5"/>
      <c r="M265" s="5"/>
      <c r="N265" s="5"/>
      <c r="O265" s="5"/>
      <c r="P265" s="5"/>
      <c r="Q265" s="5"/>
      <c r="R265" s="57"/>
      <c r="S265" s="5"/>
      <c r="T265" s="5"/>
      <c r="U265" s="5"/>
      <c r="V265" s="5"/>
      <c r="W265" s="5"/>
      <c r="X265" s="5"/>
      <c r="Y265" s="5"/>
      <c r="Z265" s="5"/>
      <c r="AA265" s="5"/>
      <c r="AB265" s="5"/>
      <c r="AC265" s="5"/>
    </row>
    <row r="266" spans="1:29" ht="12.75" customHeight="1">
      <c r="A266" s="5"/>
      <c r="B266" s="5"/>
      <c r="C266" s="5"/>
      <c r="D266" s="5"/>
      <c r="E266" s="5"/>
      <c r="F266" s="5"/>
      <c r="G266" s="5"/>
      <c r="H266" s="306"/>
      <c r="I266" s="306"/>
      <c r="J266" s="5"/>
      <c r="K266" s="5"/>
      <c r="L266" s="5"/>
      <c r="M266" s="5"/>
      <c r="N266" s="5"/>
      <c r="O266" s="5"/>
      <c r="P266" s="5"/>
      <c r="Q266" s="5"/>
      <c r="R266" s="57"/>
      <c r="S266" s="5"/>
      <c r="T266" s="5"/>
      <c r="U266" s="5"/>
      <c r="V266" s="5"/>
      <c r="W266" s="5"/>
      <c r="X266" s="5"/>
      <c r="Y266" s="5"/>
      <c r="Z266" s="5"/>
      <c r="AA266" s="5"/>
      <c r="AB266" s="5"/>
      <c r="AC266" s="5"/>
    </row>
    <row r="267" spans="1:29" ht="12.75" customHeight="1">
      <c r="A267" s="5"/>
      <c r="B267" s="5"/>
      <c r="C267" s="5"/>
      <c r="D267" s="5"/>
      <c r="E267" s="5"/>
      <c r="F267" s="5"/>
      <c r="G267" s="5"/>
      <c r="H267" s="306"/>
      <c r="I267" s="306"/>
      <c r="J267" s="5"/>
      <c r="K267" s="5"/>
      <c r="L267" s="5"/>
      <c r="M267" s="5"/>
      <c r="N267" s="5"/>
      <c r="O267" s="5"/>
      <c r="P267" s="5"/>
      <c r="Q267" s="5"/>
      <c r="R267" s="57"/>
      <c r="S267" s="5"/>
      <c r="T267" s="5"/>
      <c r="U267" s="5"/>
      <c r="V267" s="5"/>
      <c r="W267" s="5"/>
      <c r="X267" s="5"/>
      <c r="Y267" s="5"/>
      <c r="Z267" s="5"/>
      <c r="AA267" s="5"/>
      <c r="AB267" s="5"/>
      <c r="AC267" s="5"/>
    </row>
    <row r="268" spans="1:29" ht="12.75" customHeight="1">
      <c r="A268" s="5"/>
      <c r="B268" s="5"/>
      <c r="C268" s="5"/>
      <c r="D268" s="5"/>
      <c r="E268" s="5"/>
      <c r="F268" s="5"/>
      <c r="G268" s="5"/>
      <c r="H268" s="306"/>
      <c r="I268" s="306"/>
      <c r="J268" s="5"/>
      <c r="K268" s="5"/>
      <c r="L268" s="5"/>
      <c r="M268" s="5"/>
      <c r="N268" s="5"/>
      <c r="O268" s="5"/>
      <c r="P268" s="5"/>
      <c r="Q268" s="5"/>
      <c r="R268" s="57"/>
      <c r="S268" s="5"/>
      <c r="T268" s="5"/>
      <c r="U268" s="5"/>
      <c r="V268" s="5"/>
      <c r="W268" s="5"/>
      <c r="X268" s="5"/>
      <c r="Y268" s="5"/>
      <c r="Z268" s="5"/>
      <c r="AA268" s="5"/>
      <c r="AB268" s="5"/>
      <c r="AC268" s="5"/>
    </row>
    <row r="269" spans="1:29" ht="12.75" customHeight="1">
      <c r="A269" s="5"/>
      <c r="B269" s="5"/>
      <c r="C269" s="5"/>
      <c r="D269" s="5"/>
      <c r="E269" s="5"/>
      <c r="F269" s="5"/>
      <c r="G269" s="5"/>
      <c r="H269" s="306"/>
      <c r="I269" s="306"/>
      <c r="J269" s="5"/>
      <c r="K269" s="5"/>
      <c r="L269" s="5"/>
      <c r="M269" s="5"/>
      <c r="N269" s="5"/>
      <c r="O269" s="5"/>
      <c r="P269" s="5"/>
      <c r="Q269" s="5"/>
      <c r="R269" s="57"/>
      <c r="S269" s="5"/>
      <c r="T269" s="5"/>
      <c r="U269" s="5"/>
      <c r="V269" s="5"/>
      <c r="W269" s="5"/>
      <c r="X269" s="5"/>
      <c r="Y269" s="5"/>
      <c r="Z269" s="5"/>
      <c r="AA269" s="5"/>
      <c r="AB269" s="5"/>
      <c r="AC269" s="5"/>
    </row>
    <row r="270" spans="1:29" ht="12.75" customHeight="1">
      <c r="A270" s="5"/>
      <c r="B270" s="5"/>
      <c r="C270" s="5"/>
      <c r="D270" s="5"/>
      <c r="E270" s="5"/>
      <c r="F270" s="5"/>
      <c r="G270" s="5"/>
      <c r="H270" s="306"/>
      <c r="I270" s="306"/>
      <c r="J270" s="5"/>
      <c r="K270" s="5"/>
      <c r="L270" s="5"/>
      <c r="M270" s="5"/>
      <c r="N270" s="5"/>
      <c r="O270" s="5"/>
      <c r="P270" s="5"/>
      <c r="Q270" s="5"/>
      <c r="R270" s="57"/>
      <c r="S270" s="5"/>
      <c r="T270" s="5"/>
      <c r="U270" s="5"/>
      <c r="V270" s="5"/>
      <c r="W270" s="5"/>
      <c r="X270" s="5"/>
      <c r="Y270" s="5"/>
      <c r="Z270" s="5"/>
      <c r="AA270" s="5"/>
      <c r="AB270" s="5"/>
      <c r="AC270" s="5"/>
    </row>
    <row r="271" spans="1:29" ht="12.75" customHeight="1">
      <c r="A271" s="5"/>
      <c r="B271" s="5"/>
      <c r="C271" s="5"/>
      <c r="D271" s="5"/>
      <c r="E271" s="5"/>
      <c r="F271" s="5"/>
      <c r="G271" s="5"/>
      <c r="H271" s="306"/>
      <c r="I271" s="306"/>
      <c r="J271" s="5"/>
      <c r="K271" s="5"/>
      <c r="L271" s="5"/>
      <c r="M271" s="5"/>
      <c r="N271" s="5"/>
      <c r="O271" s="5"/>
      <c r="P271" s="5"/>
      <c r="Q271" s="5"/>
      <c r="R271" s="57"/>
      <c r="S271" s="5"/>
      <c r="T271" s="5"/>
      <c r="U271" s="5"/>
      <c r="V271" s="5"/>
      <c r="W271" s="5"/>
      <c r="X271" s="5"/>
      <c r="Y271" s="5"/>
      <c r="Z271" s="5"/>
      <c r="AA271" s="5"/>
      <c r="AB271" s="5"/>
      <c r="AC271" s="5"/>
    </row>
    <row r="272" spans="1:29" ht="12.75" customHeight="1">
      <c r="A272" s="5"/>
      <c r="B272" s="5"/>
      <c r="C272" s="5"/>
      <c r="D272" s="5"/>
      <c r="E272" s="5"/>
      <c r="F272" s="5"/>
      <c r="G272" s="5"/>
      <c r="H272" s="306"/>
      <c r="I272" s="306"/>
      <c r="J272" s="5"/>
      <c r="K272" s="5"/>
      <c r="L272" s="5"/>
      <c r="M272" s="5"/>
      <c r="N272" s="5"/>
      <c r="O272" s="5"/>
      <c r="P272" s="5"/>
      <c r="Q272" s="5"/>
      <c r="R272" s="57"/>
      <c r="S272" s="5"/>
      <c r="T272" s="5"/>
      <c r="U272" s="5"/>
      <c r="V272" s="5"/>
      <c r="W272" s="5"/>
      <c r="X272" s="5"/>
      <c r="Y272" s="5"/>
      <c r="Z272" s="5"/>
      <c r="AA272" s="5"/>
      <c r="AB272" s="5"/>
      <c r="AC272" s="5"/>
    </row>
    <row r="273" spans="1:29" ht="12.75" customHeight="1">
      <c r="A273" s="5"/>
      <c r="B273" s="5"/>
      <c r="C273" s="5"/>
      <c r="D273" s="5"/>
      <c r="E273" s="5"/>
      <c r="F273" s="5"/>
      <c r="G273" s="5"/>
      <c r="H273" s="306"/>
      <c r="I273" s="306"/>
      <c r="J273" s="5"/>
      <c r="K273" s="5"/>
      <c r="L273" s="5"/>
      <c r="M273" s="5"/>
      <c r="N273" s="5"/>
      <c r="O273" s="5"/>
      <c r="P273" s="5"/>
      <c r="Q273" s="5"/>
      <c r="R273" s="57"/>
      <c r="S273" s="5"/>
      <c r="T273" s="5"/>
      <c r="U273" s="5"/>
      <c r="V273" s="5"/>
      <c r="W273" s="5"/>
      <c r="X273" s="5"/>
      <c r="Y273" s="5"/>
      <c r="Z273" s="5"/>
      <c r="AA273" s="5"/>
      <c r="AB273" s="5"/>
      <c r="AC273" s="5"/>
    </row>
    <row r="274" spans="1:29" ht="12.75" customHeight="1">
      <c r="A274" s="5"/>
      <c r="B274" s="5"/>
      <c r="C274" s="5"/>
      <c r="D274" s="5"/>
      <c r="E274" s="5"/>
      <c r="F274" s="5"/>
      <c r="G274" s="5"/>
      <c r="H274" s="306"/>
      <c r="I274" s="306"/>
      <c r="J274" s="5"/>
      <c r="K274" s="5"/>
      <c r="L274" s="5"/>
      <c r="M274" s="5"/>
      <c r="N274" s="5"/>
      <c r="O274" s="5"/>
      <c r="P274" s="5"/>
      <c r="Q274" s="5"/>
      <c r="R274" s="57"/>
      <c r="S274" s="5"/>
      <c r="T274" s="5"/>
      <c r="U274" s="5"/>
      <c r="V274" s="5"/>
      <c r="W274" s="5"/>
      <c r="X274" s="5"/>
      <c r="Y274" s="5"/>
      <c r="Z274" s="5"/>
      <c r="AA274" s="5"/>
      <c r="AB274" s="5"/>
      <c r="AC274" s="5"/>
    </row>
    <row r="275" spans="1:29" ht="12.75" customHeight="1">
      <c r="A275" s="5"/>
      <c r="B275" s="5"/>
      <c r="C275" s="5"/>
      <c r="D275" s="5"/>
      <c r="E275" s="5"/>
      <c r="F275" s="5"/>
      <c r="G275" s="5"/>
      <c r="H275" s="306"/>
      <c r="I275" s="306"/>
      <c r="J275" s="5"/>
      <c r="K275" s="5"/>
      <c r="L275" s="5"/>
      <c r="M275" s="5"/>
      <c r="N275" s="5"/>
      <c r="O275" s="5"/>
      <c r="P275" s="5"/>
      <c r="Q275" s="5"/>
      <c r="R275" s="57"/>
      <c r="S275" s="5"/>
      <c r="T275" s="5"/>
      <c r="U275" s="5"/>
      <c r="V275" s="5"/>
      <c r="W275" s="5"/>
      <c r="X275" s="5"/>
      <c r="Y275" s="5"/>
      <c r="Z275" s="5"/>
      <c r="AA275" s="5"/>
      <c r="AB275" s="5"/>
      <c r="AC275" s="5"/>
    </row>
    <row r="276" spans="1:29" ht="12.75" customHeight="1">
      <c r="A276" s="5"/>
      <c r="B276" s="5"/>
      <c r="C276" s="5"/>
      <c r="D276" s="5"/>
      <c r="E276" s="5"/>
      <c r="F276" s="5"/>
      <c r="G276" s="5"/>
      <c r="H276" s="306"/>
      <c r="I276" s="306"/>
      <c r="J276" s="5"/>
      <c r="K276" s="5"/>
      <c r="L276" s="5"/>
      <c r="M276" s="5"/>
      <c r="N276" s="5"/>
      <c r="O276" s="5"/>
      <c r="P276" s="5"/>
      <c r="Q276" s="5"/>
      <c r="R276" s="57"/>
      <c r="S276" s="5"/>
      <c r="T276" s="5"/>
      <c r="U276" s="5"/>
      <c r="V276" s="5"/>
      <c r="W276" s="5"/>
      <c r="X276" s="5"/>
      <c r="Y276" s="5"/>
      <c r="Z276" s="5"/>
      <c r="AA276" s="5"/>
      <c r="AB276" s="5"/>
      <c r="AC276" s="5"/>
    </row>
    <row r="277" spans="1:29" ht="12.75" customHeight="1">
      <c r="A277" s="5"/>
      <c r="B277" s="5"/>
      <c r="C277" s="5"/>
      <c r="D277" s="5"/>
      <c r="E277" s="5"/>
      <c r="F277" s="5"/>
      <c r="G277" s="5"/>
      <c r="H277" s="306"/>
      <c r="I277" s="306"/>
      <c r="J277" s="5"/>
      <c r="K277" s="5"/>
      <c r="L277" s="5"/>
      <c r="M277" s="5"/>
      <c r="N277" s="5"/>
      <c r="O277" s="5"/>
      <c r="P277" s="5"/>
      <c r="Q277" s="5"/>
      <c r="R277" s="57"/>
      <c r="S277" s="5"/>
      <c r="T277" s="5"/>
      <c r="U277" s="5"/>
      <c r="V277" s="5"/>
      <c r="W277" s="5"/>
      <c r="X277" s="5"/>
      <c r="Y277" s="5"/>
      <c r="Z277" s="5"/>
      <c r="AA277" s="5"/>
      <c r="AB277" s="5"/>
      <c r="AC277" s="5"/>
    </row>
    <row r="278" spans="1:29" ht="12.75" customHeight="1">
      <c r="A278" s="5"/>
      <c r="B278" s="5"/>
      <c r="C278" s="5"/>
      <c r="D278" s="5"/>
      <c r="E278" s="5"/>
      <c r="F278" s="5"/>
      <c r="G278" s="5"/>
      <c r="H278" s="306"/>
      <c r="I278" s="306"/>
      <c r="J278" s="5"/>
      <c r="K278" s="5"/>
      <c r="L278" s="5"/>
      <c r="M278" s="5"/>
      <c r="N278" s="5"/>
      <c r="O278" s="5"/>
      <c r="P278" s="5"/>
      <c r="Q278" s="5"/>
      <c r="R278" s="57"/>
      <c r="S278" s="5"/>
      <c r="T278" s="5"/>
      <c r="U278" s="5"/>
      <c r="V278" s="5"/>
      <c r="W278" s="5"/>
      <c r="X278" s="5"/>
      <c r="Y278" s="5"/>
      <c r="Z278" s="5"/>
      <c r="AA278" s="5"/>
      <c r="AB278" s="5"/>
      <c r="AC278" s="5"/>
    </row>
    <row r="279" spans="1:29" ht="12.75" customHeight="1">
      <c r="A279" s="5"/>
      <c r="B279" s="5"/>
      <c r="C279" s="5"/>
      <c r="D279" s="5"/>
      <c r="E279" s="5"/>
      <c r="F279" s="5"/>
      <c r="G279" s="5"/>
      <c r="H279" s="306"/>
      <c r="I279" s="306"/>
      <c r="J279" s="5"/>
      <c r="K279" s="5"/>
      <c r="L279" s="5"/>
      <c r="M279" s="5"/>
      <c r="N279" s="5"/>
      <c r="O279" s="5"/>
      <c r="P279" s="5"/>
      <c r="Q279" s="5"/>
      <c r="R279" s="57"/>
      <c r="S279" s="5"/>
      <c r="T279" s="5"/>
      <c r="U279" s="5"/>
      <c r="V279" s="5"/>
      <c r="W279" s="5"/>
      <c r="X279" s="5"/>
      <c r="Y279" s="5"/>
      <c r="Z279" s="5"/>
      <c r="AA279" s="5"/>
      <c r="AB279" s="5"/>
      <c r="AC279" s="5"/>
    </row>
    <row r="280" spans="1:29" ht="12.75" customHeight="1">
      <c r="A280" s="5"/>
      <c r="B280" s="5"/>
      <c r="C280" s="5"/>
      <c r="D280" s="5"/>
      <c r="E280" s="5"/>
      <c r="F280" s="5"/>
      <c r="G280" s="5"/>
      <c r="H280" s="306"/>
      <c r="I280" s="306"/>
      <c r="J280" s="5"/>
      <c r="K280" s="5"/>
      <c r="L280" s="5"/>
      <c r="M280" s="5"/>
      <c r="N280" s="5"/>
      <c r="O280" s="5"/>
      <c r="P280" s="5"/>
      <c r="Q280" s="5"/>
      <c r="R280" s="57"/>
      <c r="S280" s="5"/>
      <c r="T280" s="5"/>
      <c r="U280" s="5"/>
      <c r="V280" s="5"/>
      <c r="W280" s="5"/>
      <c r="X280" s="5"/>
      <c r="Y280" s="5"/>
      <c r="Z280" s="5"/>
      <c r="AA280" s="5"/>
      <c r="AB280" s="5"/>
      <c r="AC280" s="5"/>
    </row>
    <row r="281" spans="1:29" ht="12.75" customHeight="1">
      <c r="A281" s="5"/>
      <c r="B281" s="5"/>
      <c r="C281" s="5"/>
      <c r="D281" s="5"/>
      <c r="E281" s="5"/>
      <c r="F281" s="5"/>
      <c r="G281" s="5"/>
      <c r="H281" s="306"/>
      <c r="I281" s="306"/>
      <c r="J281" s="5"/>
      <c r="K281" s="5"/>
      <c r="L281" s="5"/>
      <c r="M281" s="5"/>
      <c r="N281" s="5"/>
      <c r="O281" s="5"/>
      <c r="P281" s="5"/>
      <c r="Q281" s="5"/>
      <c r="R281" s="57"/>
      <c r="S281" s="5"/>
      <c r="T281" s="5"/>
      <c r="U281" s="5"/>
      <c r="V281" s="5"/>
      <c r="W281" s="5"/>
      <c r="X281" s="5"/>
      <c r="Y281" s="5"/>
      <c r="Z281" s="5"/>
      <c r="AA281" s="5"/>
      <c r="AB281" s="5"/>
      <c r="AC281" s="5"/>
    </row>
    <row r="282" spans="1:29" ht="12.75" customHeight="1">
      <c r="A282" s="5"/>
      <c r="B282" s="5"/>
      <c r="C282" s="5"/>
      <c r="D282" s="5"/>
      <c r="E282" s="5"/>
      <c r="F282" s="5"/>
      <c r="G282" s="5"/>
      <c r="H282" s="306"/>
      <c r="I282" s="306"/>
      <c r="J282" s="5"/>
      <c r="K282" s="5"/>
      <c r="L282" s="5"/>
      <c r="M282" s="5"/>
      <c r="N282" s="5"/>
      <c r="O282" s="5"/>
      <c r="P282" s="5"/>
      <c r="Q282" s="5"/>
      <c r="R282" s="57"/>
      <c r="S282" s="5"/>
      <c r="T282" s="5"/>
      <c r="U282" s="5"/>
      <c r="V282" s="5"/>
      <c r="W282" s="5"/>
      <c r="X282" s="5"/>
      <c r="Y282" s="5"/>
      <c r="Z282" s="5"/>
      <c r="AA282" s="5"/>
      <c r="AB282" s="5"/>
      <c r="AC282" s="5"/>
    </row>
    <row r="283" spans="1:29" ht="12.75" customHeight="1">
      <c r="A283" s="5"/>
      <c r="B283" s="5"/>
      <c r="C283" s="5"/>
      <c r="D283" s="5"/>
      <c r="E283" s="5"/>
      <c r="F283" s="5"/>
      <c r="G283" s="5"/>
      <c r="H283" s="306"/>
      <c r="I283" s="306"/>
      <c r="J283" s="5"/>
      <c r="K283" s="5"/>
      <c r="L283" s="5"/>
      <c r="M283" s="5"/>
      <c r="N283" s="5"/>
      <c r="O283" s="5"/>
      <c r="P283" s="5"/>
      <c r="Q283" s="5"/>
      <c r="R283" s="57"/>
      <c r="S283" s="5"/>
      <c r="T283" s="5"/>
      <c r="U283" s="5"/>
      <c r="V283" s="5"/>
      <c r="W283" s="5"/>
      <c r="X283" s="5"/>
      <c r="Y283" s="5"/>
      <c r="Z283" s="5"/>
      <c r="AA283" s="5"/>
      <c r="AB283" s="5"/>
      <c r="AC283" s="5"/>
    </row>
    <row r="284" spans="1:29" ht="12.75" customHeight="1">
      <c r="A284" s="5"/>
      <c r="B284" s="5"/>
      <c r="C284" s="5"/>
      <c r="D284" s="5"/>
      <c r="E284" s="5"/>
      <c r="F284" s="5"/>
      <c r="G284" s="5"/>
      <c r="H284" s="306"/>
      <c r="I284" s="306"/>
      <c r="J284" s="5"/>
      <c r="K284" s="5"/>
      <c r="L284" s="5"/>
      <c r="M284" s="5"/>
      <c r="N284" s="5"/>
      <c r="O284" s="5"/>
      <c r="P284" s="5"/>
      <c r="Q284" s="5"/>
      <c r="R284" s="57"/>
      <c r="S284" s="5"/>
      <c r="T284" s="5"/>
      <c r="U284" s="5"/>
      <c r="V284" s="5"/>
      <c r="W284" s="5"/>
      <c r="X284" s="5"/>
      <c r="Y284" s="5"/>
      <c r="Z284" s="5"/>
      <c r="AA284" s="5"/>
      <c r="AB284" s="5"/>
      <c r="AC284" s="5"/>
    </row>
    <row r="285" spans="1:29" ht="12.75" customHeight="1">
      <c r="A285" s="5"/>
      <c r="B285" s="5"/>
      <c r="C285" s="5"/>
      <c r="D285" s="5"/>
      <c r="E285" s="5"/>
      <c r="F285" s="5"/>
      <c r="G285" s="5"/>
      <c r="H285" s="306"/>
      <c r="I285" s="306"/>
      <c r="J285" s="5"/>
      <c r="K285" s="5"/>
      <c r="L285" s="5"/>
      <c r="M285" s="5"/>
      <c r="N285" s="5"/>
      <c r="O285" s="5"/>
      <c r="P285" s="5"/>
      <c r="Q285" s="5"/>
      <c r="R285" s="57"/>
      <c r="S285" s="5"/>
      <c r="T285" s="5"/>
      <c r="U285" s="5"/>
      <c r="V285" s="5"/>
      <c r="W285" s="5"/>
      <c r="X285" s="5"/>
      <c r="Y285" s="5"/>
      <c r="Z285" s="5"/>
      <c r="AA285" s="5"/>
      <c r="AB285" s="5"/>
      <c r="AC285" s="5"/>
    </row>
    <row r="286" spans="1:29" ht="12.75" customHeight="1">
      <c r="A286" s="5"/>
      <c r="B286" s="5"/>
      <c r="C286" s="5"/>
      <c r="D286" s="5"/>
      <c r="E286" s="5"/>
      <c r="F286" s="5"/>
      <c r="G286" s="5"/>
      <c r="H286" s="306"/>
      <c r="I286" s="306"/>
      <c r="J286" s="5"/>
      <c r="K286" s="5"/>
      <c r="L286" s="5"/>
      <c r="M286" s="5"/>
      <c r="N286" s="5"/>
      <c r="O286" s="5"/>
      <c r="P286" s="5"/>
      <c r="Q286" s="5"/>
      <c r="R286" s="57"/>
      <c r="S286" s="5"/>
      <c r="T286" s="5"/>
      <c r="U286" s="5"/>
      <c r="V286" s="5"/>
      <c r="W286" s="5"/>
      <c r="X286" s="5"/>
      <c r="Y286" s="5"/>
      <c r="Z286" s="5"/>
      <c r="AA286" s="5"/>
      <c r="AB286" s="5"/>
      <c r="AC286" s="5"/>
    </row>
    <row r="287" spans="1:29" ht="12.75" customHeight="1">
      <c r="A287" s="5"/>
      <c r="B287" s="5"/>
      <c r="C287" s="5"/>
      <c r="D287" s="5"/>
      <c r="E287" s="5"/>
      <c r="F287" s="5"/>
      <c r="G287" s="5"/>
      <c r="H287" s="306"/>
      <c r="I287" s="306"/>
      <c r="J287" s="5"/>
      <c r="K287" s="5"/>
      <c r="L287" s="5"/>
      <c r="M287" s="5"/>
      <c r="N287" s="5"/>
      <c r="O287" s="5"/>
      <c r="P287" s="5"/>
      <c r="Q287" s="5"/>
      <c r="R287" s="57"/>
      <c r="S287" s="5"/>
      <c r="T287" s="5"/>
      <c r="U287" s="5"/>
      <c r="V287" s="5"/>
      <c r="W287" s="5"/>
      <c r="X287" s="5"/>
      <c r="Y287" s="5"/>
      <c r="Z287" s="5"/>
      <c r="AA287" s="5"/>
      <c r="AB287" s="5"/>
      <c r="AC287" s="5"/>
    </row>
    <row r="288" spans="1:29" ht="12.75" customHeight="1">
      <c r="A288" s="5"/>
      <c r="B288" s="5"/>
      <c r="C288" s="5"/>
      <c r="D288" s="5"/>
      <c r="E288" s="5"/>
      <c r="F288" s="5"/>
      <c r="G288" s="5"/>
      <c r="H288" s="306"/>
      <c r="I288" s="306"/>
      <c r="J288" s="5"/>
      <c r="K288" s="5"/>
      <c r="L288" s="5"/>
      <c r="M288" s="5"/>
      <c r="N288" s="5"/>
      <c r="O288" s="5"/>
      <c r="P288" s="5"/>
      <c r="Q288" s="5"/>
      <c r="R288" s="57"/>
      <c r="S288" s="5"/>
      <c r="T288" s="5"/>
      <c r="U288" s="5"/>
      <c r="V288" s="5"/>
      <c r="W288" s="5"/>
      <c r="X288" s="5"/>
      <c r="Y288" s="5"/>
      <c r="Z288" s="5"/>
      <c r="AA288" s="5"/>
      <c r="AB288" s="5"/>
      <c r="AC288" s="5"/>
    </row>
    <row r="289" spans="1:29" ht="12.75" customHeight="1">
      <c r="A289" s="5"/>
      <c r="B289" s="5"/>
      <c r="C289" s="5"/>
      <c r="D289" s="5"/>
      <c r="E289" s="5"/>
      <c r="F289" s="5"/>
      <c r="G289" s="5"/>
      <c r="H289" s="306"/>
      <c r="I289" s="306"/>
      <c r="J289" s="5"/>
      <c r="K289" s="5"/>
      <c r="L289" s="5"/>
      <c r="M289" s="5"/>
      <c r="N289" s="5"/>
      <c r="O289" s="5"/>
      <c r="P289" s="5"/>
      <c r="Q289" s="5"/>
      <c r="R289" s="57"/>
      <c r="S289" s="5"/>
      <c r="T289" s="5"/>
      <c r="U289" s="5"/>
      <c r="V289" s="5"/>
      <c r="W289" s="5"/>
      <c r="X289" s="5"/>
      <c r="Y289" s="5"/>
      <c r="Z289" s="5"/>
      <c r="AA289" s="5"/>
      <c r="AB289" s="5"/>
      <c r="AC289" s="5"/>
    </row>
    <row r="290" spans="1:29" ht="12.75" customHeight="1">
      <c r="A290" s="5"/>
      <c r="B290" s="5"/>
      <c r="C290" s="5"/>
      <c r="D290" s="5"/>
      <c r="E290" s="5"/>
      <c r="F290" s="5"/>
      <c r="G290" s="5"/>
      <c r="H290" s="306"/>
      <c r="I290" s="306"/>
      <c r="J290" s="5"/>
      <c r="K290" s="5"/>
      <c r="L290" s="5"/>
      <c r="M290" s="5"/>
      <c r="N290" s="5"/>
      <c r="O290" s="5"/>
      <c r="P290" s="5"/>
      <c r="Q290" s="5"/>
      <c r="R290" s="57"/>
      <c r="S290" s="5"/>
      <c r="T290" s="5"/>
      <c r="U290" s="5"/>
      <c r="V290" s="5"/>
      <c r="W290" s="5"/>
      <c r="X290" s="5"/>
      <c r="Y290" s="5"/>
      <c r="Z290" s="5"/>
      <c r="AA290" s="5"/>
      <c r="AB290" s="5"/>
      <c r="AC290" s="5"/>
    </row>
    <row r="291" spans="1:29" ht="12.75" customHeight="1">
      <c r="A291" s="5"/>
      <c r="B291" s="5"/>
      <c r="C291" s="5"/>
      <c r="D291" s="5"/>
      <c r="E291" s="5"/>
      <c r="F291" s="5"/>
      <c r="G291" s="5"/>
      <c r="H291" s="306"/>
      <c r="I291" s="306"/>
      <c r="J291" s="5"/>
      <c r="K291" s="5"/>
      <c r="L291" s="5"/>
      <c r="M291" s="5"/>
      <c r="N291" s="5"/>
      <c r="O291" s="5"/>
      <c r="P291" s="5"/>
      <c r="Q291" s="5"/>
      <c r="R291" s="57"/>
      <c r="S291" s="5"/>
      <c r="T291" s="5"/>
      <c r="U291" s="5"/>
      <c r="V291" s="5"/>
      <c r="W291" s="5"/>
      <c r="X291" s="5"/>
      <c r="Y291" s="5"/>
      <c r="Z291" s="5"/>
      <c r="AA291" s="5"/>
      <c r="AB291" s="5"/>
      <c r="AC291" s="5"/>
    </row>
    <row r="292" spans="1:29" ht="12.75" customHeight="1">
      <c r="A292" s="5"/>
      <c r="B292" s="5"/>
      <c r="C292" s="5"/>
      <c r="D292" s="5"/>
      <c r="E292" s="5"/>
      <c r="F292" s="5"/>
      <c r="G292" s="5"/>
      <c r="H292" s="306"/>
      <c r="I292" s="306"/>
      <c r="J292" s="5"/>
      <c r="K292" s="5"/>
      <c r="L292" s="5"/>
      <c r="M292" s="5"/>
      <c r="N292" s="5"/>
      <c r="O292" s="5"/>
      <c r="P292" s="5"/>
      <c r="Q292" s="5"/>
      <c r="R292" s="57"/>
      <c r="S292" s="5"/>
      <c r="T292" s="5"/>
      <c r="U292" s="5"/>
      <c r="V292" s="5"/>
      <c r="W292" s="5"/>
      <c r="X292" s="5"/>
      <c r="Y292" s="5"/>
      <c r="Z292" s="5"/>
      <c r="AA292" s="5"/>
      <c r="AB292" s="5"/>
      <c r="AC292" s="5"/>
    </row>
    <row r="293" spans="1:29" ht="12.75" customHeight="1">
      <c r="A293" s="5"/>
      <c r="B293" s="5"/>
      <c r="C293" s="5"/>
      <c r="D293" s="5"/>
      <c r="E293" s="5"/>
      <c r="F293" s="5"/>
      <c r="G293" s="5"/>
      <c r="H293" s="306"/>
      <c r="I293" s="306"/>
      <c r="J293" s="5"/>
      <c r="K293" s="5"/>
      <c r="L293" s="5"/>
      <c r="M293" s="5"/>
      <c r="N293" s="5"/>
      <c r="O293" s="5"/>
      <c r="P293" s="5"/>
      <c r="Q293" s="5"/>
      <c r="R293" s="57"/>
      <c r="S293" s="5"/>
      <c r="T293" s="5"/>
      <c r="U293" s="5"/>
      <c r="V293" s="5"/>
      <c r="W293" s="5"/>
      <c r="X293" s="5"/>
      <c r="Y293" s="5"/>
      <c r="Z293" s="5"/>
      <c r="AA293" s="5"/>
      <c r="AB293" s="5"/>
      <c r="AC293" s="5"/>
    </row>
    <row r="294" spans="1:29" ht="12.75" customHeight="1">
      <c r="A294" s="5"/>
      <c r="B294" s="5"/>
      <c r="C294" s="5"/>
      <c r="D294" s="5"/>
      <c r="E294" s="5"/>
      <c r="F294" s="5"/>
      <c r="G294" s="5"/>
      <c r="H294" s="306"/>
      <c r="I294" s="306"/>
      <c r="J294" s="5"/>
      <c r="K294" s="5"/>
      <c r="L294" s="5"/>
      <c r="M294" s="5"/>
      <c r="N294" s="5"/>
      <c r="O294" s="5"/>
      <c r="P294" s="5"/>
      <c r="Q294" s="5"/>
      <c r="R294" s="57"/>
      <c r="S294" s="5"/>
      <c r="T294" s="5"/>
      <c r="U294" s="5"/>
      <c r="V294" s="5"/>
      <c r="W294" s="5"/>
      <c r="X294" s="5"/>
      <c r="Y294" s="5"/>
      <c r="Z294" s="5"/>
      <c r="AA294" s="5"/>
      <c r="AB294" s="5"/>
      <c r="AC294" s="5"/>
    </row>
    <row r="295" spans="1:29" ht="12.75" customHeight="1">
      <c r="A295" s="5"/>
      <c r="B295" s="5"/>
      <c r="C295" s="5"/>
      <c r="D295" s="5"/>
      <c r="E295" s="5"/>
      <c r="F295" s="5"/>
      <c r="G295" s="5"/>
      <c r="H295" s="306"/>
      <c r="I295" s="306"/>
      <c r="J295" s="5"/>
      <c r="K295" s="5"/>
      <c r="L295" s="5"/>
      <c r="M295" s="5"/>
      <c r="N295" s="5"/>
      <c r="O295" s="5"/>
      <c r="P295" s="5"/>
      <c r="Q295" s="5"/>
      <c r="R295" s="57"/>
      <c r="S295" s="5"/>
      <c r="T295" s="5"/>
      <c r="U295" s="5"/>
      <c r="V295" s="5"/>
      <c r="W295" s="5"/>
      <c r="X295" s="5"/>
      <c r="Y295" s="5"/>
      <c r="Z295" s="5"/>
      <c r="AA295" s="5"/>
      <c r="AB295" s="5"/>
      <c r="AC295" s="5"/>
    </row>
    <row r="296" spans="1:29" ht="12.75" customHeight="1">
      <c r="A296" s="5"/>
      <c r="B296" s="5"/>
      <c r="C296" s="5"/>
      <c r="D296" s="5"/>
      <c r="E296" s="5"/>
      <c r="F296" s="5"/>
      <c r="G296" s="5"/>
      <c r="H296" s="306"/>
      <c r="I296" s="306"/>
      <c r="J296" s="5"/>
      <c r="K296" s="5"/>
      <c r="L296" s="5"/>
      <c r="M296" s="5"/>
      <c r="N296" s="5"/>
      <c r="O296" s="5"/>
      <c r="P296" s="5"/>
      <c r="Q296" s="5"/>
      <c r="R296" s="57"/>
      <c r="S296" s="5"/>
      <c r="T296" s="5"/>
      <c r="U296" s="5"/>
      <c r="V296" s="5"/>
      <c r="W296" s="5"/>
      <c r="X296" s="5"/>
      <c r="Y296" s="5"/>
      <c r="Z296" s="5"/>
      <c r="AA296" s="5"/>
      <c r="AB296" s="5"/>
      <c r="AC296" s="5"/>
    </row>
    <row r="297" spans="1:29" ht="12.75" customHeight="1">
      <c r="A297" s="5"/>
      <c r="B297" s="5"/>
      <c r="C297" s="5"/>
      <c r="D297" s="5"/>
      <c r="E297" s="5"/>
      <c r="F297" s="5"/>
      <c r="G297" s="5"/>
      <c r="H297" s="306"/>
      <c r="I297" s="306"/>
      <c r="J297" s="5"/>
      <c r="K297" s="5"/>
      <c r="L297" s="5"/>
      <c r="M297" s="5"/>
      <c r="N297" s="5"/>
      <c r="O297" s="5"/>
      <c r="P297" s="5"/>
      <c r="Q297" s="5"/>
      <c r="R297" s="57"/>
      <c r="S297" s="5"/>
      <c r="T297" s="5"/>
      <c r="U297" s="5"/>
      <c r="V297" s="5"/>
      <c r="W297" s="5"/>
      <c r="X297" s="5"/>
      <c r="Y297" s="5"/>
      <c r="Z297" s="5"/>
      <c r="AA297" s="5"/>
      <c r="AB297" s="5"/>
      <c r="AC297" s="5"/>
    </row>
    <row r="298" spans="1:29" ht="12.75" customHeight="1">
      <c r="A298" s="5"/>
      <c r="B298" s="5"/>
      <c r="C298" s="5"/>
      <c r="D298" s="5"/>
      <c r="E298" s="5"/>
      <c r="F298" s="5"/>
      <c r="G298" s="5"/>
      <c r="H298" s="306"/>
      <c r="I298" s="306"/>
      <c r="J298" s="5"/>
      <c r="K298" s="5"/>
      <c r="L298" s="5"/>
      <c r="M298" s="5"/>
      <c r="N298" s="5"/>
      <c r="O298" s="5"/>
      <c r="P298" s="5"/>
      <c r="Q298" s="5"/>
      <c r="R298" s="57"/>
      <c r="S298" s="5"/>
      <c r="T298" s="5"/>
      <c r="U298" s="5"/>
      <c r="V298" s="5"/>
      <c r="W298" s="5"/>
      <c r="X298" s="5"/>
      <c r="Y298" s="5"/>
      <c r="Z298" s="5"/>
      <c r="AA298" s="5"/>
      <c r="AB298" s="5"/>
      <c r="AC298" s="5"/>
    </row>
    <row r="299" spans="1:29" ht="12.75" customHeight="1">
      <c r="A299" s="5"/>
      <c r="B299" s="5"/>
      <c r="C299" s="5"/>
      <c r="D299" s="5"/>
      <c r="E299" s="5"/>
      <c r="F299" s="5"/>
      <c r="G299" s="5"/>
      <c r="H299" s="306"/>
      <c r="I299" s="306"/>
      <c r="J299" s="5"/>
      <c r="K299" s="5"/>
      <c r="L299" s="5"/>
      <c r="M299" s="5"/>
      <c r="N299" s="5"/>
      <c r="O299" s="5"/>
      <c r="P299" s="5"/>
      <c r="Q299" s="5"/>
      <c r="R299" s="57"/>
      <c r="S299" s="5"/>
      <c r="T299" s="5"/>
      <c r="U299" s="5"/>
      <c r="V299" s="5"/>
      <c r="W299" s="5"/>
      <c r="X299" s="5"/>
      <c r="Y299" s="5"/>
      <c r="Z299" s="5"/>
      <c r="AA299" s="5"/>
      <c r="AB299" s="5"/>
      <c r="AC299" s="5"/>
    </row>
    <row r="300" spans="1:29" ht="12.75" customHeight="1">
      <c r="A300" s="5"/>
      <c r="B300" s="5"/>
      <c r="C300" s="5"/>
      <c r="D300" s="5"/>
      <c r="E300" s="5"/>
      <c r="F300" s="5"/>
      <c r="G300" s="5"/>
      <c r="H300" s="306"/>
      <c r="I300" s="306"/>
      <c r="J300" s="5"/>
      <c r="K300" s="5"/>
      <c r="L300" s="5"/>
      <c r="M300" s="5"/>
      <c r="N300" s="5"/>
      <c r="O300" s="5"/>
      <c r="P300" s="5"/>
      <c r="Q300" s="5"/>
      <c r="R300" s="57"/>
      <c r="S300" s="5"/>
      <c r="T300" s="5"/>
      <c r="U300" s="5"/>
      <c r="V300" s="5"/>
      <c r="W300" s="5"/>
      <c r="X300" s="5"/>
      <c r="Y300" s="5"/>
      <c r="Z300" s="5"/>
      <c r="AA300" s="5"/>
      <c r="AB300" s="5"/>
      <c r="AC300" s="5"/>
    </row>
    <row r="301" spans="1:29" ht="12.75" customHeight="1">
      <c r="A301" s="5"/>
      <c r="B301" s="5"/>
      <c r="C301" s="5"/>
      <c r="D301" s="5"/>
      <c r="E301" s="5"/>
      <c r="F301" s="5"/>
      <c r="G301" s="5"/>
      <c r="H301" s="306"/>
      <c r="I301" s="306"/>
      <c r="J301" s="5"/>
      <c r="K301" s="5"/>
      <c r="L301" s="5"/>
      <c r="M301" s="5"/>
      <c r="N301" s="5"/>
      <c r="O301" s="5"/>
      <c r="P301" s="5"/>
      <c r="Q301" s="5"/>
      <c r="R301" s="57"/>
      <c r="S301" s="5"/>
      <c r="T301" s="5"/>
      <c r="U301" s="5"/>
      <c r="V301" s="5"/>
      <c r="W301" s="5"/>
      <c r="X301" s="5"/>
      <c r="Y301" s="5"/>
      <c r="Z301" s="5"/>
      <c r="AA301" s="5"/>
      <c r="AB301" s="5"/>
      <c r="AC301" s="5"/>
    </row>
    <row r="302" spans="1:29" ht="12.75" customHeight="1">
      <c r="A302" s="5"/>
      <c r="B302" s="5"/>
      <c r="C302" s="5"/>
      <c r="D302" s="5"/>
      <c r="E302" s="5"/>
      <c r="F302" s="5"/>
      <c r="G302" s="5"/>
      <c r="H302" s="306"/>
      <c r="I302" s="306"/>
      <c r="J302" s="5"/>
      <c r="K302" s="5"/>
      <c r="L302" s="5"/>
      <c r="M302" s="5"/>
      <c r="N302" s="5"/>
      <c r="O302" s="5"/>
      <c r="P302" s="5"/>
      <c r="Q302" s="5"/>
      <c r="R302" s="57"/>
      <c r="S302" s="5"/>
      <c r="T302" s="5"/>
      <c r="U302" s="5"/>
      <c r="V302" s="5"/>
      <c r="W302" s="5"/>
      <c r="X302" s="5"/>
      <c r="Y302" s="5"/>
      <c r="Z302" s="5"/>
      <c r="AA302" s="5"/>
      <c r="AB302" s="5"/>
      <c r="AC302" s="5"/>
    </row>
    <row r="303" spans="1:29" ht="12.75" customHeight="1">
      <c r="A303" s="5"/>
      <c r="B303" s="5"/>
      <c r="C303" s="5"/>
      <c r="D303" s="5"/>
      <c r="E303" s="5"/>
      <c r="F303" s="5"/>
      <c r="G303" s="5"/>
      <c r="H303" s="306"/>
      <c r="I303" s="306"/>
      <c r="J303" s="5"/>
      <c r="K303" s="5"/>
      <c r="L303" s="5"/>
      <c r="M303" s="5"/>
      <c r="N303" s="5"/>
      <c r="O303" s="5"/>
      <c r="P303" s="5"/>
      <c r="Q303" s="5"/>
      <c r="R303" s="57"/>
      <c r="S303" s="5"/>
      <c r="T303" s="5"/>
      <c r="U303" s="5"/>
      <c r="V303" s="5"/>
      <c r="W303" s="5"/>
      <c r="X303" s="5"/>
      <c r="Y303" s="5"/>
      <c r="Z303" s="5"/>
      <c r="AA303" s="5"/>
      <c r="AB303" s="5"/>
      <c r="AC303" s="5"/>
    </row>
    <row r="304" spans="1:29" ht="12.75" customHeight="1">
      <c r="A304" s="5"/>
      <c r="B304" s="5"/>
      <c r="C304" s="5"/>
      <c r="D304" s="5"/>
      <c r="E304" s="5"/>
      <c r="F304" s="5"/>
      <c r="G304" s="5"/>
      <c r="H304" s="306"/>
      <c r="I304" s="306"/>
      <c r="J304" s="5"/>
      <c r="K304" s="5"/>
      <c r="L304" s="5"/>
      <c r="M304" s="5"/>
      <c r="N304" s="5"/>
      <c r="O304" s="5"/>
      <c r="P304" s="5"/>
      <c r="Q304" s="5"/>
      <c r="R304" s="57"/>
      <c r="S304" s="5"/>
      <c r="T304" s="5"/>
      <c r="U304" s="5"/>
      <c r="V304" s="5"/>
      <c r="W304" s="5"/>
      <c r="X304" s="5"/>
      <c r="Y304" s="5"/>
      <c r="Z304" s="5"/>
      <c r="AA304" s="5"/>
      <c r="AB304" s="5"/>
      <c r="AC304" s="5"/>
    </row>
    <row r="305" spans="1:29" ht="12.75" customHeight="1">
      <c r="A305" s="5"/>
      <c r="B305" s="5"/>
      <c r="C305" s="5"/>
      <c r="D305" s="5"/>
      <c r="E305" s="5"/>
      <c r="F305" s="5"/>
      <c r="G305" s="5"/>
      <c r="H305" s="306"/>
      <c r="I305" s="306"/>
      <c r="J305" s="5"/>
      <c r="K305" s="5"/>
      <c r="L305" s="5"/>
      <c r="M305" s="5"/>
      <c r="N305" s="5"/>
      <c r="O305" s="5"/>
      <c r="P305" s="5"/>
      <c r="Q305" s="5"/>
      <c r="R305" s="57"/>
      <c r="S305" s="5"/>
      <c r="T305" s="5"/>
      <c r="U305" s="5"/>
      <c r="V305" s="5"/>
      <c r="W305" s="5"/>
      <c r="X305" s="5"/>
      <c r="Y305" s="5"/>
      <c r="Z305" s="5"/>
      <c r="AA305" s="5"/>
      <c r="AB305" s="5"/>
      <c r="AC305" s="5"/>
    </row>
    <row r="306" spans="1:29" ht="12.75" customHeight="1">
      <c r="A306" s="5"/>
      <c r="B306" s="5"/>
      <c r="C306" s="5"/>
      <c r="D306" s="5"/>
      <c r="E306" s="5"/>
      <c r="F306" s="5"/>
      <c r="G306" s="5"/>
      <c r="H306" s="306"/>
      <c r="I306" s="306"/>
      <c r="J306" s="5"/>
      <c r="K306" s="5"/>
      <c r="L306" s="5"/>
      <c r="M306" s="5"/>
      <c r="N306" s="5"/>
      <c r="O306" s="5"/>
      <c r="P306" s="5"/>
      <c r="Q306" s="5"/>
      <c r="R306" s="57"/>
      <c r="S306" s="5"/>
      <c r="T306" s="5"/>
      <c r="U306" s="5"/>
      <c r="V306" s="5"/>
      <c r="W306" s="5"/>
      <c r="X306" s="5"/>
      <c r="Y306" s="5"/>
      <c r="Z306" s="5"/>
      <c r="AA306" s="5"/>
      <c r="AB306" s="5"/>
      <c r="AC306" s="5"/>
    </row>
    <row r="307" spans="1:29" ht="12.75" customHeight="1">
      <c r="A307" s="5"/>
      <c r="B307" s="5"/>
      <c r="C307" s="5"/>
      <c r="D307" s="5"/>
      <c r="E307" s="5"/>
      <c r="F307" s="5"/>
      <c r="G307" s="5"/>
      <c r="H307" s="306"/>
      <c r="I307" s="306"/>
      <c r="J307" s="5"/>
      <c r="K307" s="5"/>
      <c r="L307" s="5"/>
      <c r="M307" s="5"/>
      <c r="N307" s="5"/>
      <c r="O307" s="5"/>
      <c r="P307" s="5"/>
      <c r="Q307" s="5"/>
      <c r="R307" s="57"/>
      <c r="S307" s="5"/>
      <c r="T307" s="5"/>
      <c r="U307" s="5"/>
      <c r="V307" s="5"/>
      <c r="W307" s="5"/>
      <c r="X307" s="5"/>
      <c r="Y307" s="5"/>
      <c r="Z307" s="5"/>
      <c r="AA307" s="5"/>
      <c r="AB307" s="5"/>
      <c r="AC307" s="5"/>
    </row>
    <row r="308" spans="1:29" ht="12.75" customHeight="1">
      <c r="A308" s="5"/>
      <c r="B308" s="5"/>
      <c r="C308" s="5"/>
      <c r="D308" s="5"/>
      <c r="E308" s="5"/>
      <c r="F308" s="5"/>
      <c r="G308" s="5"/>
      <c r="H308" s="306"/>
      <c r="I308" s="306"/>
      <c r="J308" s="5"/>
      <c r="K308" s="5"/>
      <c r="L308" s="5"/>
      <c r="M308" s="5"/>
      <c r="N308" s="5"/>
      <c r="O308" s="5"/>
      <c r="P308" s="5"/>
      <c r="Q308" s="5"/>
      <c r="R308" s="57"/>
      <c r="S308" s="5"/>
      <c r="T308" s="5"/>
      <c r="U308" s="5"/>
      <c r="V308" s="5"/>
      <c r="W308" s="5"/>
      <c r="X308" s="5"/>
      <c r="Y308" s="5"/>
      <c r="Z308" s="5"/>
      <c r="AA308" s="5"/>
      <c r="AB308" s="5"/>
      <c r="AC308" s="5"/>
    </row>
    <row r="309" spans="1:29" ht="12.75" customHeight="1">
      <c r="A309" s="5"/>
      <c r="B309" s="5"/>
      <c r="C309" s="5"/>
      <c r="D309" s="5"/>
      <c r="E309" s="5"/>
      <c r="F309" s="5"/>
      <c r="G309" s="5"/>
      <c r="H309" s="306"/>
      <c r="I309" s="306"/>
      <c r="J309" s="5"/>
      <c r="K309" s="5"/>
      <c r="L309" s="5"/>
      <c r="M309" s="5"/>
      <c r="N309" s="5"/>
      <c r="O309" s="5"/>
      <c r="P309" s="5"/>
      <c r="Q309" s="5"/>
      <c r="R309" s="57"/>
      <c r="S309" s="5"/>
      <c r="T309" s="5"/>
      <c r="U309" s="5"/>
      <c r="V309" s="5"/>
      <c r="W309" s="5"/>
      <c r="X309" s="5"/>
      <c r="Y309" s="5"/>
      <c r="Z309" s="5"/>
      <c r="AA309" s="5"/>
      <c r="AB309" s="5"/>
      <c r="AC309" s="5"/>
    </row>
    <row r="310" spans="1:29" ht="12.75" customHeight="1">
      <c r="A310" s="5"/>
      <c r="B310" s="5"/>
      <c r="C310" s="5"/>
      <c r="D310" s="5"/>
      <c r="E310" s="5"/>
      <c r="F310" s="5"/>
      <c r="G310" s="5"/>
      <c r="H310" s="306"/>
      <c r="I310" s="306"/>
      <c r="J310" s="5"/>
      <c r="K310" s="5"/>
      <c r="L310" s="5"/>
      <c r="M310" s="5"/>
      <c r="N310" s="5"/>
      <c r="O310" s="5"/>
      <c r="P310" s="5"/>
      <c r="Q310" s="5"/>
      <c r="R310" s="57"/>
      <c r="S310" s="5"/>
      <c r="T310" s="5"/>
      <c r="U310" s="5"/>
      <c r="V310" s="5"/>
      <c r="W310" s="5"/>
      <c r="X310" s="5"/>
      <c r="Y310" s="5"/>
      <c r="Z310" s="5"/>
      <c r="AA310" s="5"/>
      <c r="AB310" s="5"/>
      <c r="AC310" s="5"/>
    </row>
    <row r="311" spans="1:29" ht="12.75" customHeight="1">
      <c r="A311" s="5"/>
      <c r="B311" s="5"/>
      <c r="C311" s="5"/>
      <c r="D311" s="5"/>
      <c r="E311" s="5"/>
      <c r="F311" s="5"/>
      <c r="G311" s="5"/>
      <c r="H311" s="306"/>
      <c r="I311" s="306"/>
      <c r="J311" s="5"/>
      <c r="K311" s="5"/>
      <c r="L311" s="5"/>
      <c r="M311" s="5"/>
      <c r="N311" s="5"/>
      <c r="O311" s="5"/>
      <c r="P311" s="5"/>
      <c r="Q311" s="5"/>
      <c r="R311" s="57"/>
      <c r="S311" s="5"/>
      <c r="T311" s="5"/>
      <c r="U311" s="5"/>
      <c r="V311" s="5"/>
      <c r="W311" s="5"/>
      <c r="X311" s="5"/>
      <c r="Y311" s="5"/>
      <c r="Z311" s="5"/>
      <c r="AA311" s="5"/>
      <c r="AB311" s="5"/>
      <c r="AC311" s="5"/>
    </row>
    <row r="312" spans="1:29" ht="12.75" customHeight="1">
      <c r="A312" s="5"/>
      <c r="B312" s="5"/>
      <c r="C312" s="5"/>
      <c r="D312" s="5"/>
      <c r="E312" s="5"/>
      <c r="F312" s="5"/>
      <c r="G312" s="5"/>
      <c r="H312" s="306"/>
      <c r="I312" s="306"/>
      <c r="J312" s="5"/>
      <c r="K312" s="5"/>
      <c r="L312" s="5"/>
      <c r="M312" s="5"/>
      <c r="N312" s="5"/>
      <c r="O312" s="5"/>
      <c r="P312" s="5"/>
      <c r="Q312" s="5"/>
      <c r="R312" s="57"/>
      <c r="S312" s="5"/>
      <c r="T312" s="5"/>
      <c r="U312" s="5"/>
      <c r="V312" s="5"/>
      <c r="W312" s="5"/>
      <c r="X312" s="5"/>
      <c r="Y312" s="5"/>
      <c r="Z312" s="5"/>
      <c r="AA312" s="5"/>
      <c r="AB312" s="5"/>
      <c r="AC312" s="5"/>
    </row>
    <row r="313" spans="1:29" ht="12.75" customHeight="1">
      <c r="A313" s="5"/>
      <c r="B313" s="5"/>
      <c r="C313" s="5"/>
      <c r="D313" s="5"/>
      <c r="E313" s="5"/>
      <c r="F313" s="5"/>
      <c r="G313" s="5"/>
      <c r="H313" s="306"/>
      <c r="I313" s="306"/>
      <c r="J313" s="5"/>
      <c r="K313" s="5"/>
      <c r="L313" s="5"/>
      <c r="M313" s="5"/>
      <c r="N313" s="5"/>
      <c r="O313" s="5"/>
      <c r="P313" s="5"/>
      <c r="Q313" s="5"/>
      <c r="R313" s="57"/>
      <c r="S313" s="5"/>
      <c r="T313" s="5"/>
      <c r="U313" s="5"/>
      <c r="V313" s="5"/>
      <c r="W313" s="5"/>
      <c r="X313" s="5"/>
      <c r="Y313" s="5"/>
      <c r="Z313" s="5"/>
      <c r="AA313" s="5"/>
      <c r="AB313" s="5"/>
      <c r="AC313" s="5"/>
    </row>
    <row r="314" spans="1:29" ht="12.75" customHeight="1">
      <c r="A314" s="5"/>
      <c r="B314" s="5"/>
      <c r="C314" s="5"/>
      <c r="D314" s="5"/>
      <c r="E314" s="5"/>
      <c r="F314" s="5"/>
      <c r="G314" s="5"/>
      <c r="H314" s="306"/>
      <c r="I314" s="306"/>
      <c r="J314" s="5"/>
      <c r="K314" s="5"/>
      <c r="L314" s="5"/>
      <c r="M314" s="5"/>
      <c r="N314" s="5"/>
      <c r="O314" s="5"/>
      <c r="P314" s="5"/>
      <c r="Q314" s="5"/>
      <c r="R314" s="57"/>
      <c r="S314" s="5"/>
      <c r="T314" s="5"/>
      <c r="U314" s="5"/>
      <c r="V314" s="5"/>
      <c r="W314" s="5"/>
      <c r="X314" s="5"/>
      <c r="Y314" s="5"/>
      <c r="Z314" s="5"/>
      <c r="AA314" s="5"/>
      <c r="AB314" s="5"/>
      <c r="AC314" s="5"/>
    </row>
    <row r="315" spans="1:29" ht="12.75" customHeight="1">
      <c r="A315" s="5"/>
      <c r="B315" s="5"/>
      <c r="C315" s="5"/>
      <c r="D315" s="5"/>
      <c r="E315" s="5"/>
      <c r="F315" s="5"/>
      <c r="G315" s="5"/>
      <c r="H315" s="306"/>
      <c r="I315" s="306"/>
      <c r="J315" s="5"/>
      <c r="K315" s="5"/>
      <c r="L315" s="5"/>
      <c r="M315" s="5"/>
      <c r="N315" s="5"/>
      <c r="O315" s="5"/>
      <c r="P315" s="5"/>
      <c r="Q315" s="5"/>
      <c r="R315" s="57"/>
      <c r="S315" s="5"/>
      <c r="T315" s="5"/>
      <c r="U315" s="5"/>
      <c r="V315" s="5"/>
      <c r="W315" s="5"/>
      <c r="X315" s="5"/>
      <c r="Y315" s="5"/>
      <c r="Z315" s="5"/>
      <c r="AA315" s="5"/>
      <c r="AB315" s="5"/>
      <c r="AC315" s="5"/>
    </row>
    <row r="316" spans="1:29" ht="12.75" customHeight="1">
      <c r="A316" s="5"/>
      <c r="B316" s="5"/>
      <c r="C316" s="5"/>
      <c r="D316" s="5"/>
      <c r="E316" s="5"/>
      <c r="F316" s="5"/>
      <c r="G316" s="5"/>
      <c r="H316" s="306"/>
      <c r="I316" s="306"/>
      <c r="J316" s="5"/>
      <c r="K316" s="5"/>
      <c r="L316" s="5"/>
      <c r="M316" s="5"/>
      <c r="N316" s="5"/>
      <c r="O316" s="5"/>
      <c r="P316" s="5"/>
      <c r="Q316" s="5"/>
      <c r="R316" s="57"/>
      <c r="S316" s="5"/>
      <c r="T316" s="5"/>
      <c r="U316" s="5"/>
      <c r="V316" s="5"/>
      <c r="W316" s="5"/>
      <c r="X316" s="5"/>
      <c r="Y316" s="5"/>
      <c r="Z316" s="5"/>
      <c r="AA316" s="5"/>
      <c r="AB316" s="5"/>
      <c r="AC316" s="5"/>
    </row>
    <row r="317" spans="1:29" ht="12.75" customHeight="1">
      <c r="A317" s="5"/>
      <c r="B317" s="5"/>
      <c r="C317" s="5"/>
      <c r="D317" s="5"/>
      <c r="E317" s="5"/>
      <c r="F317" s="5"/>
      <c r="G317" s="5"/>
      <c r="H317" s="306"/>
      <c r="I317" s="306"/>
      <c r="J317" s="5"/>
      <c r="K317" s="5"/>
      <c r="L317" s="5"/>
      <c r="M317" s="5"/>
      <c r="N317" s="5"/>
      <c r="O317" s="5"/>
      <c r="P317" s="5"/>
      <c r="Q317" s="5"/>
      <c r="R317" s="57"/>
      <c r="S317" s="5"/>
      <c r="T317" s="5"/>
      <c r="U317" s="5"/>
      <c r="V317" s="5"/>
      <c r="W317" s="5"/>
      <c r="X317" s="5"/>
      <c r="Y317" s="5"/>
      <c r="Z317" s="5"/>
      <c r="AA317" s="5"/>
      <c r="AB317" s="5"/>
      <c r="AC317" s="5"/>
    </row>
    <row r="318" spans="1:29" ht="12.75" customHeight="1">
      <c r="A318" s="5"/>
      <c r="B318" s="5"/>
      <c r="C318" s="5"/>
      <c r="D318" s="5"/>
      <c r="E318" s="5"/>
      <c r="F318" s="5"/>
      <c r="G318" s="5"/>
      <c r="H318" s="306"/>
      <c r="I318" s="306"/>
      <c r="J318" s="5"/>
      <c r="K318" s="5"/>
      <c r="L318" s="5"/>
      <c r="M318" s="5"/>
      <c r="N318" s="5"/>
      <c r="O318" s="5"/>
      <c r="P318" s="5"/>
      <c r="Q318" s="5"/>
      <c r="R318" s="57"/>
      <c r="S318" s="5"/>
      <c r="T318" s="5"/>
      <c r="U318" s="5"/>
      <c r="V318" s="5"/>
      <c r="W318" s="5"/>
      <c r="X318" s="5"/>
      <c r="Y318" s="5"/>
      <c r="Z318" s="5"/>
      <c r="AA318" s="5"/>
      <c r="AB318" s="5"/>
      <c r="AC318" s="5"/>
    </row>
    <row r="319" spans="1:29" ht="12.75" customHeight="1">
      <c r="A319" s="5"/>
      <c r="B319" s="5"/>
      <c r="C319" s="5"/>
      <c r="D319" s="5"/>
      <c r="E319" s="5"/>
      <c r="F319" s="5"/>
      <c r="G319" s="5"/>
      <c r="H319" s="306"/>
      <c r="I319" s="306"/>
      <c r="J319" s="5"/>
      <c r="K319" s="5"/>
      <c r="L319" s="5"/>
      <c r="M319" s="5"/>
      <c r="N319" s="5"/>
      <c r="O319" s="5"/>
      <c r="P319" s="5"/>
      <c r="Q319" s="5"/>
      <c r="R319" s="57"/>
      <c r="S319" s="5"/>
      <c r="T319" s="5"/>
      <c r="U319" s="5"/>
      <c r="V319" s="5"/>
      <c r="W319" s="5"/>
      <c r="X319" s="5"/>
      <c r="Y319" s="5"/>
      <c r="Z319" s="5"/>
      <c r="AA319" s="5"/>
      <c r="AB319" s="5"/>
      <c r="AC319" s="5"/>
    </row>
    <row r="320" spans="1:29" ht="12.75" customHeight="1">
      <c r="A320" s="5"/>
      <c r="B320" s="5"/>
      <c r="C320" s="5"/>
      <c r="D320" s="5"/>
      <c r="E320" s="5"/>
      <c r="F320" s="5"/>
      <c r="G320" s="5"/>
      <c r="H320" s="306"/>
      <c r="I320" s="306"/>
      <c r="J320" s="5"/>
      <c r="K320" s="5"/>
      <c r="L320" s="5"/>
      <c r="M320" s="5"/>
      <c r="N320" s="5"/>
      <c r="O320" s="5"/>
      <c r="P320" s="5"/>
      <c r="Q320" s="5"/>
      <c r="R320" s="57"/>
      <c r="S320" s="5"/>
      <c r="T320" s="5"/>
      <c r="U320" s="5"/>
      <c r="V320" s="5"/>
      <c r="W320" s="5"/>
      <c r="X320" s="5"/>
      <c r="Y320" s="5"/>
      <c r="Z320" s="5"/>
      <c r="AA320" s="5"/>
      <c r="AB320" s="5"/>
      <c r="AC320" s="5"/>
    </row>
    <row r="321" spans="1:29" ht="12.75" customHeight="1">
      <c r="A321" s="5"/>
      <c r="B321" s="5"/>
      <c r="C321" s="5"/>
      <c r="D321" s="5"/>
      <c r="E321" s="5"/>
      <c r="F321" s="5"/>
      <c r="G321" s="5"/>
      <c r="H321" s="306"/>
      <c r="I321" s="306"/>
      <c r="J321" s="5"/>
      <c r="K321" s="5"/>
      <c r="L321" s="5"/>
      <c r="M321" s="5"/>
      <c r="N321" s="5"/>
      <c r="O321" s="5"/>
      <c r="P321" s="5"/>
      <c r="Q321" s="5"/>
      <c r="R321" s="57"/>
      <c r="S321" s="5"/>
      <c r="T321" s="5"/>
      <c r="U321" s="5"/>
      <c r="V321" s="5"/>
      <c r="W321" s="5"/>
      <c r="X321" s="5"/>
      <c r="Y321" s="5"/>
      <c r="Z321" s="5"/>
      <c r="AA321" s="5"/>
      <c r="AB321" s="5"/>
      <c r="AC321" s="5"/>
    </row>
    <row r="322" spans="1:29" ht="12.75" customHeight="1">
      <c r="A322" s="5"/>
      <c r="B322" s="5"/>
      <c r="C322" s="5"/>
      <c r="D322" s="5"/>
      <c r="E322" s="5"/>
      <c r="F322" s="5"/>
      <c r="G322" s="5"/>
      <c r="H322" s="306"/>
      <c r="I322" s="306"/>
      <c r="J322" s="5"/>
      <c r="K322" s="5"/>
      <c r="L322" s="5"/>
      <c r="M322" s="5"/>
      <c r="N322" s="5"/>
      <c r="O322" s="5"/>
      <c r="P322" s="5"/>
      <c r="Q322" s="5"/>
      <c r="R322" s="57"/>
      <c r="S322" s="5"/>
      <c r="T322" s="5"/>
      <c r="U322" s="5"/>
      <c r="V322" s="5"/>
      <c r="W322" s="5"/>
      <c r="X322" s="5"/>
      <c r="Y322" s="5"/>
      <c r="Z322" s="5"/>
      <c r="AA322" s="5"/>
      <c r="AB322" s="5"/>
      <c r="AC322" s="5"/>
    </row>
    <row r="323" spans="1:29" ht="12.75" customHeight="1">
      <c r="A323" s="5"/>
      <c r="B323" s="5"/>
      <c r="C323" s="5"/>
      <c r="D323" s="5"/>
      <c r="E323" s="5"/>
      <c r="F323" s="5"/>
      <c r="G323" s="5"/>
      <c r="H323" s="306"/>
      <c r="I323" s="306"/>
      <c r="J323" s="5"/>
      <c r="K323" s="5"/>
      <c r="L323" s="5"/>
      <c r="M323" s="5"/>
      <c r="N323" s="5"/>
      <c r="O323" s="5"/>
      <c r="P323" s="5"/>
      <c r="Q323" s="5"/>
      <c r="R323" s="57"/>
      <c r="S323" s="5"/>
      <c r="T323" s="5"/>
      <c r="U323" s="5"/>
      <c r="V323" s="5"/>
      <c r="W323" s="5"/>
      <c r="X323" s="5"/>
      <c r="Y323" s="5"/>
      <c r="Z323" s="5"/>
      <c r="AA323" s="5"/>
      <c r="AB323" s="5"/>
      <c r="AC323" s="5"/>
    </row>
    <row r="324" spans="1:29" ht="12.75" customHeight="1">
      <c r="A324" s="5"/>
      <c r="B324" s="5"/>
      <c r="C324" s="5"/>
      <c r="D324" s="5"/>
      <c r="E324" s="5"/>
      <c r="F324" s="5"/>
      <c r="G324" s="5"/>
      <c r="H324" s="306"/>
      <c r="I324" s="306"/>
      <c r="J324" s="5"/>
      <c r="K324" s="5"/>
      <c r="L324" s="5"/>
      <c r="M324" s="5"/>
      <c r="N324" s="5"/>
      <c r="O324" s="5"/>
      <c r="P324" s="5"/>
      <c r="Q324" s="5"/>
      <c r="R324" s="57"/>
      <c r="S324" s="5"/>
      <c r="T324" s="5"/>
      <c r="U324" s="5"/>
      <c r="V324" s="5"/>
      <c r="W324" s="5"/>
      <c r="X324" s="5"/>
      <c r="Y324" s="5"/>
      <c r="Z324" s="5"/>
      <c r="AA324" s="5"/>
      <c r="AB324" s="5"/>
      <c r="AC324" s="5"/>
    </row>
    <row r="325" spans="1:29" ht="12.75" customHeight="1">
      <c r="A325" s="5"/>
      <c r="B325" s="5"/>
      <c r="C325" s="5"/>
      <c r="D325" s="5"/>
      <c r="E325" s="5"/>
      <c r="F325" s="5"/>
      <c r="G325" s="5"/>
      <c r="H325" s="306"/>
      <c r="I325" s="306"/>
      <c r="J325" s="5"/>
      <c r="K325" s="5"/>
      <c r="L325" s="5"/>
      <c r="M325" s="5"/>
      <c r="N325" s="5"/>
      <c r="O325" s="5"/>
      <c r="P325" s="5"/>
      <c r="Q325" s="5"/>
      <c r="R325" s="57"/>
      <c r="S325" s="5"/>
      <c r="T325" s="5"/>
      <c r="U325" s="5"/>
      <c r="V325" s="5"/>
      <c r="W325" s="5"/>
      <c r="X325" s="5"/>
      <c r="Y325" s="5"/>
      <c r="Z325" s="5"/>
      <c r="AA325" s="5"/>
      <c r="AB325" s="5"/>
      <c r="AC325" s="5"/>
    </row>
    <row r="326" spans="1:29" ht="12.75" customHeight="1">
      <c r="A326" s="5"/>
      <c r="B326" s="5"/>
      <c r="C326" s="5"/>
      <c r="D326" s="5"/>
      <c r="E326" s="5"/>
      <c r="F326" s="5"/>
      <c r="G326" s="5"/>
      <c r="H326" s="306"/>
      <c r="I326" s="306"/>
      <c r="J326" s="5"/>
      <c r="K326" s="5"/>
      <c r="L326" s="5"/>
      <c r="M326" s="5"/>
      <c r="N326" s="5"/>
      <c r="O326" s="5"/>
      <c r="P326" s="5"/>
      <c r="Q326" s="5"/>
      <c r="R326" s="57"/>
      <c r="S326" s="5"/>
      <c r="T326" s="5"/>
      <c r="U326" s="5"/>
      <c r="V326" s="5"/>
      <c r="W326" s="5"/>
      <c r="X326" s="5"/>
      <c r="Y326" s="5"/>
      <c r="Z326" s="5"/>
      <c r="AA326" s="5"/>
      <c r="AB326" s="5"/>
      <c r="AC326" s="5"/>
    </row>
    <row r="327" spans="1:29" ht="12.75" customHeight="1">
      <c r="A327" s="5"/>
      <c r="B327" s="5"/>
      <c r="C327" s="5"/>
      <c r="D327" s="5"/>
      <c r="E327" s="5"/>
      <c r="F327" s="5"/>
      <c r="G327" s="5"/>
      <c r="H327" s="306"/>
      <c r="I327" s="306"/>
      <c r="J327" s="5"/>
      <c r="K327" s="5"/>
      <c r="L327" s="5"/>
      <c r="M327" s="5"/>
      <c r="N327" s="5"/>
      <c r="O327" s="5"/>
      <c r="P327" s="5"/>
      <c r="Q327" s="5"/>
      <c r="R327" s="57"/>
      <c r="S327" s="5"/>
      <c r="T327" s="5"/>
      <c r="U327" s="5"/>
      <c r="V327" s="5"/>
      <c r="W327" s="5"/>
      <c r="X327" s="5"/>
      <c r="Y327" s="5"/>
      <c r="Z327" s="5"/>
      <c r="AA327" s="5"/>
      <c r="AB327" s="5"/>
      <c r="AC327" s="5"/>
    </row>
    <row r="328" spans="1:29" ht="12.75" customHeight="1">
      <c r="A328" s="5"/>
      <c r="B328" s="5"/>
      <c r="C328" s="5"/>
      <c r="D328" s="5"/>
      <c r="E328" s="5"/>
      <c r="F328" s="5"/>
      <c r="G328" s="5"/>
      <c r="H328" s="306"/>
      <c r="I328" s="306"/>
      <c r="J328" s="5"/>
      <c r="K328" s="5"/>
      <c r="L328" s="5"/>
      <c r="M328" s="5"/>
      <c r="N328" s="5"/>
      <c r="O328" s="5"/>
      <c r="P328" s="5"/>
      <c r="Q328" s="5"/>
      <c r="R328" s="57"/>
      <c r="S328" s="5"/>
      <c r="T328" s="5"/>
      <c r="U328" s="5"/>
      <c r="V328" s="5"/>
      <c r="W328" s="5"/>
      <c r="X328" s="5"/>
      <c r="Y328" s="5"/>
      <c r="Z328" s="5"/>
      <c r="AA328" s="5"/>
      <c r="AB328" s="5"/>
      <c r="AC328" s="5"/>
    </row>
    <row r="329" spans="1:29" ht="12.75" customHeight="1">
      <c r="A329" s="5"/>
      <c r="B329" s="5"/>
      <c r="C329" s="5"/>
      <c r="D329" s="5"/>
      <c r="E329" s="5"/>
      <c r="F329" s="5"/>
      <c r="G329" s="5"/>
      <c r="H329" s="306"/>
      <c r="I329" s="306"/>
      <c r="J329" s="5"/>
      <c r="K329" s="5"/>
      <c r="L329" s="5"/>
      <c r="M329" s="5"/>
      <c r="N329" s="5"/>
      <c r="O329" s="5"/>
      <c r="P329" s="5"/>
      <c r="Q329" s="5"/>
      <c r="R329" s="57"/>
      <c r="S329" s="5"/>
      <c r="T329" s="5"/>
      <c r="U329" s="5"/>
      <c r="V329" s="5"/>
      <c r="W329" s="5"/>
      <c r="X329" s="5"/>
      <c r="Y329" s="5"/>
      <c r="Z329" s="5"/>
      <c r="AA329" s="5"/>
      <c r="AB329" s="5"/>
      <c r="AC329" s="5"/>
    </row>
    <row r="330" spans="1:29" ht="12.75" customHeight="1">
      <c r="A330" s="5"/>
      <c r="B330" s="5"/>
      <c r="C330" s="5"/>
      <c r="D330" s="5"/>
      <c r="E330" s="5"/>
      <c r="F330" s="5"/>
      <c r="G330" s="5"/>
      <c r="H330" s="306"/>
      <c r="I330" s="306"/>
      <c r="J330" s="5"/>
      <c r="K330" s="5"/>
      <c r="L330" s="5"/>
      <c r="M330" s="5"/>
      <c r="N330" s="5"/>
      <c r="O330" s="5"/>
      <c r="P330" s="5"/>
      <c r="Q330" s="5"/>
      <c r="R330" s="57"/>
      <c r="S330" s="5"/>
      <c r="T330" s="5"/>
      <c r="U330" s="5"/>
      <c r="V330" s="5"/>
      <c r="W330" s="5"/>
      <c r="X330" s="5"/>
      <c r="Y330" s="5"/>
      <c r="Z330" s="5"/>
      <c r="AA330" s="5"/>
      <c r="AB330" s="5"/>
      <c r="AC330" s="5"/>
    </row>
    <row r="331" spans="1:29" ht="12.75" customHeight="1">
      <c r="A331" s="5"/>
      <c r="B331" s="5"/>
      <c r="C331" s="5"/>
      <c r="D331" s="5"/>
      <c r="E331" s="5"/>
      <c r="F331" s="5"/>
      <c r="G331" s="5"/>
      <c r="H331" s="306"/>
      <c r="I331" s="306"/>
      <c r="J331" s="5"/>
      <c r="K331" s="5"/>
      <c r="L331" s="5"/>
      <c r="M331" s="5"/>
      <c r="N331" s="5"/>
      <c r="O331" s="5"/>
      <c r="P331" s="5"/>
      <c r="Q331" s="5"/>
      <c r="R331" s="57"/>
      <c r="S331" s="5"/>
      <c r="T331" s="5"/>
      <c r="U331" s="5"/>
      <c r="V331" s="5"/>
      <c r="W331" s="5"/>
      <c r="X331" s="5"/>
      <c r="Y331" s="5"/>
      <c r="Z331" s="5"/>
      <c r="AA331" s="5"/>
      <c r="AB331" s="5"/>
      <c r="AC331" s="5"/>
    </row>
    <row r="332" spans="1:29" ht="12.75" customHeight="1">
      <c r="A332" s="5"/>
      <c r="B332" s="5"/>
      <c r="C332" s="5"/>
      <c r="D332" s="5"/>
      <c r="E332" s="5"/>
      <c r="F332" s="5"/>
      <c r="G332" s="5"/>
      <c r="H332" s="306"/>
      <c r="I332" s="306"/>
      <c r="J332" s="5"/>
      <c r="K332" s="5"/>
      <c r="L332" s="5"/>
      <c r="M332" s="5"/>
      <c r="N332" s="5"/>
      <c r="O332" s="5"/>
      <c r="P332" s="5"/>
      <c r="Q332" s="5"/>
      <c r="R332" s="57"/>
      <c r="S332" s="5"/>
      <c r="T332" s="5"/>
      <c r="U332" s="5"/>
      <c r="V332" s="5"/>
      <c r="W332" s="5"/>
      <c r="X332" s="5"/>
      <c r="Y332" s="5"/>
      <c r="Z332" s="5"/>
      <c r="AA332" s="5"/>
      <c r="AB332" s="5"/>
      <c r="AC332" s="5"/>
    </row>
    <row r="333" spans="1:29" ht="12.75" customHeight="1">
      <c r="A333" s="5"/>
      <c r="B333" s="5"/>
      <c r="C333" s="5"/>
      <c r="D333" s="5"/>
      <c r="E333" s="5"/>
      <c r="F333" s="5"/>
      <c r="G333" s="5"/>
      <c r="H333" s="306"/>
      <c r="I333" s="306"/>
      <c r="J333" s="5"/>
      <c r="K333" s="5"/>
      <c r="L333" s="5"/>
      <c r="M333" s="5"/>
      <c r="N333" s="5"/>
      <c r="O333" s="5"/>
      <c r="P333" s="5"/>
      <c r="Q333" s="5"/>
      <c r="R333" s="57"/>
      <c r="S333" s="5"/>
      <c r="T333" s="5"/>
      <c r="U333" s="5"/>
      <c r="V333" s="5"/>
      <c r="W333" s="5"/>
      <c r="X333" s="5"/>
      <c r="Y333" s="5"/>
      <c r="Z333" s="5"/>
      <c r="AA333" s="5"/>
      <c r="AB333" s="5"/>
      <c r="AC333" s="5"/>
    </row>
    <row r="334" spans="1:29" ht="12.75" customHeight="1">
      <c r="A334" s="5"/>
      <c r="B334" s="5"/>
      <c r="C334" s="5"/>
      <c r="D334" s="5"/>
      <c r="E334" s="5"/>
      <c r="F334" s="5"/>
      <c r="G334" s="5"/>
      <c r="H334" s="306"/>
      <c r="I334" s="306"/>
      <c r="J334" s="5"/>
      <c r="K334" s="5"/>
      <c r="L334" s="5"/>
      <c r="M334" s="5"/>
      <c r="N334" s="5"/>
      <c r="O334" s="5"/>
      <c r="P334" s="5"/>
      <c r="Q334" s="5"/>
      <c r="R334" s="57"/>
      <c r="S334" s="5"/>
      <c r="T334" s="5"/>
      <c r="U334" s="5"/>
      <c r="V334" s="5"/>
      <c r="W334" s="5"/>
      <c r="X334" s="5"/>
      <c r="Y334" s="5"/>
      <c r="Z334" s="5"/>
      <c r="AA334" s="5"/>
      <c r="AB334" s="5"/>
      <c r="AC334" s="5"/>
    </row>
    <row r="335" spans="1:29" ht="12.75" customHeight="1">
      <c r="A335" s="5"/>
      <c r="B335" s="5"/>
      <c r="C335" s="5"/>
      <c r="D335" s="5"/>
      <c r="E335" s="5"/>
      <c r="F335" s="5"/>
      <c r="G335" s="5"/>
      <c r="H335" s="306"/>
      <c r="I335" s="306"/>
      <c r="J335" s="5"/>
      <c r="K335" s="5"/>
      <c r="L335" s="5"/>
      <c r="M335" s="5"/>
      <c r="N335" s="5"/>
      <c r="O335" s="5"/>
      <c r="P335" s="5"/>
      <c r="Q335" s="5"/>
      <c r="R335" s="57"/>
      <c r="S335" s="5"/>
      <c r="T335" s="5"/>
      <c r="U335" s="5"/>
      <c r="V335" s="5"/>
      <c r="W335" s="5"/>
      <c r="X335" s="5"/>
      <c r="Y335" s="5"/>
      <c r="Z335" s="5"/>
      <c r="AA335" s="5"/>
      <c r="AB335" s="5"/>
      <c r="AC335" s="5"/>
    </row>
    <row r="336" spans="1:29" ht="12.75" customHeight="1">
      <c r="A336" s="5"/>
      <c r="B336" s="5"/>
      <c r="C336" s="5"/>
      <c r="D336" s="5"/>
      <c r="E336" s="5"/>
      <c r="F336" s="5"/>
      <c r="G336" s="5"/>
      <c r="H336" s="306"/>
      <c r="I336" s="306"/>
      <c r="J336" s="5"/>
      <c r="K336" s="5"/>
      <c r="L336" s="5"/>
      <c r="M336" s="5"/>
      <c r="N336" s="5"/>
      <c r="O336" s="5"/>
      <c r="P336" s="5"/>
      <c r="Q336" s="5"/>
      <c r="R336" s="57"/>
      <c r="S336" s="5"/>
      <c r="T336" s="5"/>
      <c r="U336" s="5"/>
      <c r="V336" s="5"/>
      <c r="W336" s="5"/>
      <c r="X336" s="5"/>
      <c r="Y336" s="5"/>
      <c r="Z336" s="5"/>
      <c r="AA336" s="5"/>
      <c r="AB336" s="5"/>
      <c r="AC336" s="5"/>
    </row>
    <row r="337" spans="1:29" ht="12.75" customHeight="1">
      <c r="A337" s="5"/>
      <c r="B337" s="5"/>
      <c r="C337" s="5"/>
      <c r="D337" s="5"/>
      <c r="E337" s="5"/>
      <c r="F337" s="5"/>
      <c r="G337" s="5"/>
      <c r="H337" s="306"/>
      <c r="I337" s="306"/>
      <c r="J337" s="5"/>
      <c r="K337" s="5"/>
      <c r="L337" s="5"/>
      <c r="M337" s="5"/>
      <c r="N337" s="5"/>
      <c r="O337" s="5"/>
      <c r="P337" s="5"/>
      <c r="Q337" s="5"/>
      <c r="R337" s="57"/>
      <c r="S337" s="5"/>
      <c r="T337" s="5"/>
      <c r="U337" s="5"/>
      <c r="V337" s="5"/>
      <c r="W337" s="5"/>
      <c r="X337" s="5"/>
      <c r="Y337" s="5"/>
      <c r="Z337" s="5"/>
      <c r="AA337" s="5"/>
      <c r="AB337" s="5"/>
      <c r="AC337" s="5"/>
    </row>
    <row r="338" spans="1:29" ht="12.75" customHeight="1">
      <c r="A338" s="5"/>
      <c r="B338" s="5"/>
      <c r="C338" s="5"/>
      <c r="D338" s="5"/>
      <c r="E338" s="5"/>
      <c r="F338" s="5"/>
      <c r="G338" s="5"/>
      <c r="H338" s="306"/>
      <c r="I338" s="306"/>
      <c r="J338" s="5"/>
      <c r="K338" s="5"/>
      <c r="L338" s="5"/>
      <c r="M338" s="5"/>
      <c r="N338" s="5"/>
      <c r="O338" s="5"/>
      <c r="P338" s="5"/>
      <c r="Q338" s="5"/>
      <c r="R338" s="57"/>
      <c r="S338" s="5"/>
      <c r="T338" s="5"/>
      <c r="U338" s="5"/>
      <c r="V338" s="5"/>
      <c r="W338" s="5"/>
      <c r="X338" s="5"/>
      <c r="Y338" s="5"/>
      <c r="Z338" s="5"/>
      <c r="AA338" s="5"/>
      <c r="AB338" s="5"/>
      <c r="AC338" s="5"/>
    </row>
    <row r="339" spans="1:29" ht="12.75" customHeight="1">
      <c r="A339" s="5"/>
      <c r="B339" s="5"/>
      <c r="C339" s="5"/>
      <c r="D339" s="5"/>
      <c r="E339" s="5"/>
      <c r="F339" s="5"/>
      <c r="G339" s="5"/>
      <c r="H339" s="306"/>
      <c r="I339" s="306"/>
      <c r="J339" s="5"/>
      <c r="K339" s="5"/>
      <c r="L339" s="5"/>
      <c r="M339" s="5"/>
      <c r="N339" s="5"/>
      <c r="O339" s="5"/>
      <c r="P339" s="5"/>
      <c r="Q339" s="5"/>
      <c r="R339" s="57"/>
      <c r="S339" s="5"/>
      <c r="T339" s="5"/>
      <c r="U339" s="5"/>
      <c r="V339" s="5"/>
      <c r="W339" s="5"/>
      <c r="X339" s="5"/>
      <c r="Y339" s="5"/>
      <c r="Z339" s="5"/>
      <c r="AA339" s="5"/>
      <c r="AB339" s="5"/>
      <c r="AC339" s="5"/>
    </row>
    <row r="340" spans="1:29" ht="12.75" customHeight="1">
      <c r="A340" s="5"/>
      <c r="B340" s="5"/>
      <c r="C340" s="5"/>
      <c r="D340" s="5"/>
      <c r="E340" s="5"/>
      <c r="F340" s="5"/>
      <c r="G340" s="5"/>
      <c r="H340" s="306"/>
      <c r="I340" s="306"/>
      <c r="J340" s="5"/>
      <c r="K340" s="5"/>
      <c r="L340" s="5"/>
      <c r="M340" s="5"/>
      <c r="N340" s="5"/>
      <c r="O340" s="5"/>
      <c r="P340" s="5"/>
      <c r="Q340" s="5"/>
      <c r="R340" s="57"/>
      <c r="S340" s="5"/>
      <c r="T340" s="5"/>
      <c r="U340" s="5"/>
      <c r="V340" s="5"/>
      <c r="W340" s="5"/>
      <c r="X340" s="5"/>
      <c r="Y340" s="5"/>
      <c r="Z340" s="5"/>
      <c r="AA340" s="5"/>
      <c r="AB340" s="5"/>
      <c r="AC340" s="5"/>
    </row>
    <row r="341" spans="1:29" ht="12.75" customHeight="1">
      <c r="A341" s="5"/>
      <c r="B341" s="5"/>
      <c r="C341" s="5"/>
      <c r="D341" s="5"/>
      <c r="E341" s="5"/>
      <c r="F341" s="5"/>
      <c r="G341" s="5"/>
      <c r="H341" s="306"/>
      <c r="I341" s="306"/>
      <c r="J341" s="5"/>
      <c r="K341" s="5"/>
      <c r="L341" s="5"/>
      <c r="M341" s="5"/>
      <c r="N341" s="5"/>
      <c r="O341" s="5"/>
      <c r="P341" s="5"/>
      <c r="Q341" s="5"/>
      <c r="R341" s="57"/>
      <c r="S341" s="5"/>
      <c r="T341" s="5"/>
      <c r="U341" s="5"/>
      <c r="V341" s="5"/>
      <c r="W341" s="5"/>
      <c r="X341" s="5"/>
      <c r="Y341" s="5"/>
      <c r="Z341" s="5"/>
      <c r="AA341" s="5"/>
      <c r="AB341" s="5"/>
      <c r="AC341" s="5"/>
    </row>
    <row r="342" spans="1:29" ht="12.75" customHeight="1">
      <c r="A342" s="5"/>
      <c r="B342" s="5"/>
      <c r="C342" s="5"/>
      <c r="D342" s="5"/>
      <c r="E342" s="5"/>
      <c r="F342" s="5"/>
      <c r="G342" s="5"/>
      <c r="H342" s="306"/>
      <c r="I342" s="306"/>
      <c r="J342" s="5"/>
      <c r="K342" s="5"/>
      <c r="L342" s="5"/>
      <c r="M342" s="5"/>
      <c r="N342" s="5"/>
      <c r="O342" s="5"/>
      <c r="P342" s="5"/>
      <c r="Q342" s="5"/>
      <c r="R342" s="57"/>
      <c r="S342" s="5"/>
      <c r="T342" s="5"/>
      <c r="U342" s="5"/>
      <c r="V342" s="5"/>
      <c r="W342" s="5"/>
      <c r="X342" s="5"/>
      <c r="Y342" s="5"/>
      <c r="Z342" s="5"/>
      <c r="AA342" s="5"/>
      <c r="AB342" s="5"/>
      <c r="AC342" s="5"/>
    </row>
    <row r="343" spans="1:29" ht="12.75" customHeight="1">
      <c r="A343" s="5"/>
      <c r="B343" s="5"/>
      <c r="C343" s="5"/>
      <c r="D343" s="5"/>
      <c r="E343" s="5"/>
      <c r="F343" s="5"/>
      <c r="G343" s="5"/>
      <c r="H343" s="306"/>
      <c r="I343" s="306"/>
      <c r="J343" s="5"/>
      <c r="K343" s="5"/>
      <c r="L343" s="5"/>
      <c r="M343" s="5"/>
      <c r="N343" s="5"/>
      <c r="O343" s="5"/>
      <c r="P343" s="5"/>
      <c r="Q343" s="5"/>
      <c r="R343" s="57"/>
      <c r="S343" s="5"/>
      <c r="T343" s="5"/>
      <c r="U343" s="5"/>
      <c r="V343" s="5"/>
      <c r="W343" s="5"/>
      <c r="X343" s="5"/>
      <c r="Y343" s="5"/>
      <c r="Z343" s="5"/>
      <c r="AA343" s="5"/>
      <c r="AB343" s="5"/>
      <c r="AC343" s="5"/>
    </row>
    <row r="344" spans="1:29" ht="12.75" customHeight="1">
      <c r="A344" s="5"/>
      <c r="B344" s="5"/>
      <c r="C344" s="5"/>
      <c r="D344" s="5"/>
      <c r="E344" s="5"/>
      <c r="F344" s="5"/>
      <c r="G344" s="5"/>
      <c r="H344" s="306"/>
      <c r="I344" s="306"/>
      <c r="J344" s="5"/>
      <c r="K344" s="5"/>
      <c r="L344" s="5"/>
      <c r="M344" s="5"/>
      <c r="N344" s="5"/>
      <c r="O344" s="5"/>
      <c r="P344" s="5"/>
      <c r="Q344" s="5"/>
      <c r="R344" s="57"/>
      <c r="S344" s="5"/>
      <c r="T344" s="5"/>
      <c r="U344" s="5"/>
      <c r="V344" s="5"/>
      <c r="W344" s="5"/>
      <c r="X344" s="5"/>
      <c r="Y344" s="5"/>
      <c r="Z344" s="5"/>
      <c r="AA344" s="5"/>
      <c r="AB344" s="5"/>
      <c r="AC344" s="5"/>
    </row>
    <row r="345" spans="1:29" ht="12.75" customHeight="1">
      <c r="A345" s="5"/>
      <c r="B345" s="5"/>
      <c r="C345" s="5"/>
      <c r="D345" s="5"/>
      <c r="E345" s="5"/>
      <c r="F345" s="5"/>
      <c r="G345" s="5"/>
      <c r="H345" s="306"/>
      <c r="I345" s="306"/>
      <c r="J345" s="5"/>
      <c r="K345" s="5"/>
      <c r="L345" s="5"/>
      <c r="M345" s="5"/>
      <c r="N345" s="5"/>
      <c r="O345" s="5"/>
      <c r="P345" s="5"/>
      <c r="Q345" s="5"/>
      <c r="R345" s="57"/>
      <c r="S345" s="5"/>
      <c r="T345" s="5"/>
      <c r="U345" s="5"/>
      <c r="V345" s="5"/>
      <c r="W345" s="5"/>
      <c r="X345" s="5"/>
      <c r="Y345" s="5"/>
      <c r="Z345" s="5"/>
      <c r="AA345" s="5"/>
      <c r="AB345" s="5"/>
      <c r="AC345" s="5"/>
    </row>
    <row r="346" spans="1:29" ht="12.75" customHeight="1">
      <c r="A346" s="5"/>
      <c r="B346" s="5"/>
      <c r="C346" s="5"/>
      <c r="D346" s="5"/>
      <c r="E346" s="5"/>
      <c r="F346" s="5"/>
      <c r="G346" s="5"/>
      <c r="H346" s="306"/>
      <c r="I346" s="306"/>
      <c r="J346" s="5"/>
      <c r="K346" s="5"/>
      <c r="L346" s="5"/>
      <c r="M346" s="5"/>
      <c r="N346" s="5"/>
      <c r="O346" s="5"/>
      <c r="P346" s="5"/>
      <c r="Q346" s="5"/>
      <c r="R346" s="57"/>
      <c r="S346" s="5"/>
      <c r="T346" s="5"/>
      <c r="U346" s="5"/>
      <c r="V346" s="5"/>
      <c r="W346" s="5"/>
      <c r="X346" s="5"/>
      <c r="Y346" s="5"/>
      <c r="Z346" s="5"/>
      <c r="AA346" s="5"/>
      <c r="AB346" s="5"/>
      <c r="AC346" s="5"/>
    </row>
    <row r="347" spans="1:29" ht="12.75" customHeight="1">
      <c r="A347" s="5"/>
      <c r="B347" s="5"/>
      <c r="C347" s="5"/>
      <c r="D347" s="5"/>
      <c r="E347" s="5"/>
      <c r="F347" s="5"/>
      <c r="G347" s="5"/>
      <c r="H347" s="306"/>
      <c r="I347" s="306"/>
      <c r="J347" s="5"/>
      <c r="K347" s="5"/>
      <c r="L347" s="5"/>
      <c r="M347" s="5"/>
      <c r="N347" s="5"/>
      <c r="O347" s="5"/>
      <c r="P347" s="5"/>
      <c r="Q347" s="5"/>
      <c r="R347" s="57"/>
      <c r="S347" s="5"/>
      <c r="T347" s="5"/>
      <c r="U347" s="5"/>
      <c r="V347" s="5"/>
      <c r="W347" s="5"/>
      <c r="X347" s="5"/>
      <c r="Y347" s="5"/>
      <c r="Z347" s="5"/>
      <c r="AA347" s="5"/>
      <c r="AB347" s="5"/>
      <c r="AC347" s="5"/>
    </row>
    <row r="348" spans="1:29" ht="12.75" customHeight="1">
      <c r="A348" s="5"/>
      <c r="B348" s="5"/>
      <c r="C348" s="5"/>
      <c r="D348" s="5"/>
      <c r="E348" s="5"/>
      <c r="F348" s="5"/>
      <c r="G348" s="5"/>
      <c r="H348" s="306"/>
      <c r="I348" s="306"/>
      <c r="J348" s="5"/>
      <c r="K348" s="5"/>
      <c r="L348" s="5"/>
      <c r="M348" s="5"/>
      <c r="N348" s="5"/>
      <c r="O348" s="5"/>
      <c r="P348" s="5"/>
      <c r="Q348" s="5"/>
      <c r="R348" s="57"/>
      <c r="S348" s="5"/>
      <c r="T348" s="5"/>
      <c r="U348" s="5"/>
      <c r="V348" s="5"/>
      <c r="W348" s="5"/>
      <c r="X348" s="5"/>
      <c r="Y348" s="5"/>
      <c r="Z348" s="5"/>
      <c r="AA348" s="5"/>
      <c r="AB348" s="5"/>
      <c r="AC348" s="5"/>
    </row>
    <row r="349" spans="1:29" ht="12.75" customHeight="1">
      <c r="A349" s="5"/>
      <c r="B349" s="5"/>
      <c r="C349" s="5"/>
      <c r="D349" s="5"/>
      <c r="E349" s="5"/>
      <c r="F349" s="5"/>
      <c r="G349" s="5"/>
      <c r="H349" s="306"/>
      <c r="I349" s="306"/>
      <c r="J349" s="5"/>
      <c r="K349" s="5"/>
      <c r="L349" s="5"/>
      <c r="M349" s="5"/>
      <c r="N349" s="5"/>
      <c r="O349" s="5"/>
      <c r="P349" s="5"/>
      <c r="Q349" s="5"/>
      <c r="R349" s="57"/>
      <c r="S349" s="5"/>
      <c r="T349" s="5"/>
      <c r="U349" s="5"/>
      <c r="V349" s="5"/>
      <c r="W349" s="5"/>
      <c r="X349" s="5"/>
      <c r="Y349" s="5"/>
      <c r="Z349" s="5"/>
      <c r="AA349" s="5"/>
      <c r="AB349" s="5"/>
      <c r="AC349" s="5"/>
    </row>
    <row r="350" spans="1:29" ht="12.75" customHeight="1">
      <c r="A350" s="5"/>
      <c r="B350" s="5"/>
      <c r="C350" s="5"/>
      <c r="D350" s="5"/>
      <c r="E350" s="5"/>
      <c r="F350" s="5"/>
      <c r="G350" s="5"/>
      <c r="H350" s="306"/>
      <c r="I350" s="306"/>
      <c r="J350" s="5"/>
      <c r="K350" s="5"/>
      <c r="L350" s="5"/>
      <c r="M350" s="5"/>
      <c r="N350" s="5"/>
      <c r="O350" s="5"/>
      <c r="P350" s="5"/>
      <c r="Q350" s="5"/>
      <c r="R350" s="57"/>
      <c r="S350" s="5"/>
      <c r="T350" s="5"/>
      <c r="U350" s="5"/>
      <c r="V350" s="5"/>
      <c r="W350" s="5"/>
      <c r="X350" s="5"/>
      <c r="Y350" s="5"/>
      <c r="Z350" s="5"/>
      <c r="AA350" s="5"/>
      <c r="AB350" s="5"/>
      <c r="AC350" s="5"/>
    </row>
    <row r="351" spans="1:29" ht="12.75" customHeight="1">
      <c r="A351" s="5"/>
      <c r="B351" s="5"/>
      <c r="C351" s="5"/>
      <c r="D351" s="5"/>
      <c r="E351" s="5"/>
      <c r="F351" s="5"/>
      <c r="G351" s="5"/>
      <c r="H351" s="306"/>
      <c r="I351" s="306"/>
      <c r="J351" s="5"/>
      <c r="K351" s="5"/>
      <c r="L351" s="5"/>
      <c r="M351" s="5"/>
      <c r="N351" s="5"/>
      <c r="O351" s="5"/>
      <c r="P351" s="5"/>
      <c r="Q351" s="5"/>
      <c r="R351" s="57"/>
      <c r="S351" s="5"/>
      <c r="T351" s="5"/>
      <c r="U351" s="5"/>
      <c r="V351" s="5"/>
      <c r="W351" s="5"/>
      <c r="X351" s="5"/>
      <c r="Y351" s="5"/>
      <c r="Z351" s="5"/>
      <c r="AA351" s="5"/>
      <c r="AB351" s="5"/>
      <c r="AC351" s="5"/>
    </row>
    <row r="352" spans="1:29" ht="12.75" customHeight="1">
      <c r="A352" s="5"/>
      <c r="B352" s="5"/>
      <c r="C352" s="5"/>
      <c r="D352" s="5"/>
      <c r="E352" s="5"/>
      <c r="F352" s="5"/>
      <c r="G352" s="5"/>
      <c r="H352" s="306"/>
      <c r="I352" s="306"/>
      <c r="J352" s="5"/>
      <c r="K352" s="5"/>
      <c r="L352" s="5"/>
      <c r="M352" s="5"/>
      <c r="N352" s="5"/>
      <c r="O352" s="5"/>
      <c r="P352" s="5"/>
      <c r="Q352" s="5"/>
      <c r="R352" s="57"/>
      <c r="S352" s="5"/>
      <c r="T352" s="5"/>
      <c r="U352" s="5"/>
      <c r="V352" s="5"/>
      <c r="W352" s="5"/>
      <c r="X352" s="5"/>
      <c r="Y352" s="5"/>
      <c r="Z352" s="5"/>
      <c r="AA352" s="5"/>
      <c r="AB352" s="5"/>
      <c r="AC352" s="5"/>
    </row>
    <row r="353" spans="1:29" ht="12.75" customHeight="1">
      <c r="A353" s="5"/>
      <c r="B353" s="5"/>
      <c r="C353" s="5"/>
      <c r="D353" s="5"/>
      <c r="E353" s="5"/>
      <c r="F353" s="5"/>
      <c r="G353" s="5"/>
      <c r="H353" s="306"/>
      <c r="I353" s="306"/>
      <c r="J353" s="5"/>
      <c r="K353" s="5"/>
      <c r="L353" s="5"/>
      <c r="M353" s="5"/>
      <c r="N353" s="5"/>
      <c r="O353" s="5"/>
      <c r="P353" s="5"/>
      <c r="Q353" s="5"/>
      <c r="R353" s="57"/>
      <c r="S353" s="5"/>
      <c r="T353" s="5"/>
      <c r="U353" s="5"/>
      <c r="V353" s="5"/>
      <c r="W353" s="5"/>
      <c r="X353" s="5"/>
      <c r="Y353" s="5"/>
      <c r="Z353" s="5"/>
      <c r="AA353" s="5"/>
      <c r="AB353" s="5"/>
      <c r="AC353" s="5"/>
    </row>
    <row r="354" spans="1:29" ht="12.75" customHeight="1">
      <c r="A354" s="5"/>
      <c r="B354" s="5"/>
      <c r="C354" s="5"/>
      <c r="D354" s="5"/>
      <c r="E354" s="5"/>
      <c r="F354" s="5"/>
      <c r="G354" s="5"/>
      <c r="H354" s="306"/>
      <c r="I354" s="306"/>
      <c r="J354" s="5"/>
      <c r="K354" s="5"/>
      <c r="L354" s="5"/>
      <c r="M354" s="5"/>
      <c r="N354" s="5"/>
      <c r="O354" s="5"/>
      <c r="P354" s="5"/>
      <c r="Q354" s="5"/>
      <c r="R354" s="57"/>
      <c r="S354" s="5"/>
      <c r="T354" s="5"/>
      <c r="U354" s="5"/>
      <c r="V354" s="5"/>
      <c r="W354" s="5"/>
      <c r="X354" s="5"/>
      <c r="Y354" s="5"/>
      <c r="Z354" s="5"/>
      <c r="AA354" s="5"/>
      <c r="AB354" s="5"/>
      <c r="AC354" s="5"/>
    </row>
    <row r="355" spans="1:29" ht="12.75" customHeight="1">
      <c r="A355" s="5"/>
      <c r="B355" s="5"/>
      <c r="C355" s="5"/>
      <c r="D355" s="5"/>
      <c r="E355" s="5"/>
      <c r="F355" s="5"/>
      <c r="G355" s="5"/>
      <c r="H355" s="306"/>
      <c r="I355" s="306"/>
      <c r="J355" s="5"/>
      <c r="K355" s="5"/>
      <c r="L355" s="5"/>
      <c r="M355" s="5"/>
      <c r="N355" s="5"/>
      <c r="O355" s="5"/>
      <c r="P355" s="5"/>
      <c r="Q355" s="5"/>
      <c r="R355" s="57"/>
      <c r="S355" s="5"/>
      <c r="T355" s="5"/>
      <c r="U355" s="5"/>
      <c r="V355" s="5"/>
      <c r="W355" s="5"/>
      <c r="X355" s="5"/>
      <c r="Y355" s="5"/>
      <c r="Z355" s="5"/>
      <c r="AA355" s="5"/>
      <c r="AB355" s="5"/>
      <c r="AC355" s="5"/>
    </row>
    <row r="356" spans="1:29" ht="12.75" customHeight="1">
      <c r="A356" s="5"/>
      <c r="B356" s="5"/>
      <c r="C356" s="5"/>
      <c r="D356" s="5"/>
      <c r="E356" s="5"/>
      <c r="F356" s="5"/>
      <c r="G356" s="5"/>
      <c r="H356" s="306"/>
      <c r="I356" s="306"/>
      <c r="J356" s="5"/>
      <c r="K356" s="5"/>
      <c r="L356" s="5"/>
      <c r="M356" s="5"/>
      <c r="N356" s="5"/>
      <c r="O356" s="5"/>
      <c r="P356" s="5"/>
      <c r="Q356" s="5"/>
      <c r="R356" s="57"/>
      <c r="S356" s="5"/>
      <c r="T356" s="5"/>
      <c r="U356" s="5"/>
      <c r="V356" s="5"/>
      <c r="W356" s="5"/>
      <c r="X356" s="5"/>
      <c r="Y356" s="5"/>
      <c r="Z356" s="5"/>
      <c r="AA356" s="5"/>
      <c r="AB356" s="5"/>
      <c r="AC356" s="5"/>
    </row>
    <row r="357" spans="1:29" ht="12.75" customHeight="1">
      <c r="A357" s="5"/>
      <c r="B357" s="5"/>
      <c r="C357" s="5"/>
      <c r="D357" s="5"/>
      <c r="E357" s="5"/>
      <c r="F357" s="5"/>
      <c r="G357" s="5"/>
      <c r="H357" s="306"/>
      <c r="I357" s="306"/>
      <c r="J357" s="5"/>
      <c r="K357" s="5"/>
      <c r="L357" s="5"/>
      <c r="M357" s="5"/>
      <c r="N357" s="5"/>
      <c r="O357" s="5"/>
      <c r="P357" s="5"/>
      <c r="Q357" s="5"/>
      <c r="R357" s="57"/>
      <c r="S357" s="5"/>
      <c r="T357" s="5"/>
      <c r="U357" s="5"/>
      <c r="V357" s="5"/>
      <c r="W357" s="5"/>
      <c r="X357" s="5"/>
      <c r="Y357" s="5"/>
      <c r="Z357" s="5"/>
      <c r="AA357" s="5"/>
      <c r="AB357" s="5"/>
      <c r="AC357" s="5"/>
    </row>
    <row r="358" spans="1:29" ht="12.75" customHeight="1">
      <c r="A358" s="5"/>
      <c r="B358" s="5"/>
      <c r="C358" s="5"/>
      <c r="D358" s="5"/>
      <c r="E358" s="5"/>
      <c r="F358" s="5"/>
      <c r="G358" s="5"/>
      <c r="H358" s="306"/>
      <c r="I358" s="306"/>
      <c r="J358" s="5"/>
      <c r="K358" s="5"/>
      <c r="L358" s="5"/>
      <c r="M358" s="5"/>
      <c r="N358" s="5"/>
      <c r="O358" s="5"/>
      <c r="P358" s="5"/>
      <c r="Q358" s="5"/>
      <c r="R358" s="57"/>
      <c r="S358" s="5"/>
      <c r="T358" s="5"/>
      <c r="U358" s="5"/>
      <c r="V358" s="5"/>
      <c r="W358" s="5"/>
      <c r="X358" s="5"/>
      <c r="Y358" s="5"/>
      <c r="Z358" s="5"/>
      <c r="AA358" s="5"/>
      <c r="AB358" s="5"/>
      <c r="AC358" s="5"/>
    </row>
    <row r="359" spans="1:29" ht="12.75" customHeight="1">
      <c r="A359" s="5"/>
      <c r="B359" s="5"/>
      <c r="C359" s="5"/>
      <c r="D359" s="5"/>
      <c r="E359" s="5"/>
      <c r="F359" s="5"/>
      <c r="G359" s="5"/>
      <c r="H359" s="306"/>
      <c r="I359" s="306"/>
      <c r="J359" s="5"/>
      <c r="K359" s="5"/>
      <c r="L359" s="5"/>
      <c r="M359" s="5"/>
      <c r="N359" s="5"/>
      <c r="O359" s="5"/>
      <c r="P359" s="5"/>
      <c r="Q359" s="5"/>
      <c r="R359" s="57"/>
      <c r="S359" s="5"/>
      <c r="T359" s="5"/>
      <c r="U359" s="5"/>
      <c r="V359" s="5"/>
      <c r="W359" s="5"/>
      <c r="X359" s="5"/>
      <c r="Y359" s="5"/>
      <c r="Z359" s="5"/>
      <c r="AA359" s="5"/>
      <c r="AB359" s="5"/>
      <c r="AC359" s="5"/>
    </row>
    <row r="360" spans="1:29" ht="12.75" customHeight="1">
      <c r="A360" s="5"/>
      <c r="B360" s="5"/>
      <c r="C360" s="5"/>
      <c r="D360" s="5"/>
      <c r="E360" s="5"/>
      <c r="F360" s="5"/>
      <c r="G360" s="5"/>
      <c r="H360" s="306"/>
      <c r="I360" s="306"/>
      <c r="J360" s="5"/>
      <c r="K360" s="5"/>
      <c r="L360" s="5"/>
      <c r="M360" s="5"/>
      <c r="N360" s="5"/>
      <c r="O360" s="5"/>
      <c r="P360" s="5"/>
      <c r="Q360" s="5"/>
      <c r="R360" s="57"/>
      <c r="S360" s="5"/>
      <c r="T360" s="5"/>
      <c r="U360" s="5"/>
      <c r="V360" s="5"/>
      <c r="W360" s="5"/>
      <c r="X360" s="5"/>
      <c r="Y360" s="5"/>
      <c r="Z360" s="5"/>
      <c r="AA360" s="5"/>
      <c r="AB360" s="5"/>
      <c r="AC360" s="5"/>
    </row>
    <row r="361" spans="1:29" ht="12.75" customHeight="1">
      <c r="A361" s="5"/>
      <c r="B361" s="5"/>
      <c r="C361" s="5"/>
      <c r="D361" s="5"/>
      <c r="E361" s="5"/>
      <c r="F361" s="5"/>
      <c r="G361" s="5"/>
      <c r="H361" s="306"/>
      <c r="I361" s="306"/>
      <c r="J361" s="5"/>
      <c r="K361" s="5"/>
      <c r="L361" s="5"/>
      <c r="M361" s="5"/>
      <c r="N361" s="5"/>
      <c r="O361" s="5"/>
      <c r="P361" s="5"/>
      <c r="Q361" s="5"/>
      <c r="R361" s="57"/>
      <c r="S361" s="5"/>
      <c r="T361" s="5"/>
      <c r="U361" s="5"/>
      <c r="V361" s="5"/>
      <c r="W361" s="5"/>
      <c r="X361" s="5"/>
      <c r="Y361" s="5"/>
      <c r="Z361" s="5"/>
      <c r="AA361" s="5"/>
      <c r="AB361" s="5"/>
      <c r="AC361" s="5"/>
    </row>
    <row r="362" spans="1:29" ht="12.75" customHeight="1">
      <c r="A362" s="5"/>
      <c r="B362" s="5"/>
      <c r="C362" s="5"/>
      <c r="D362" s="5"/>
      <c r="E362" s="5"/>
      <c r="F362" s="5"/>
      <c r="G362" s="5"/>
      <c r="H362" s="306"/>
      <c r="I362" s="306"/>
      <c r="J362" s="5"/>
      <c r="K362" s="5"/>
      <c r="L362" s="5"/>
      <c r="M362" s="5"/>
      <c r="N362" s="5"/>
      <c r="O362" s="5"/>
      <c r="P362" s="5"/>
      <c r="Q362" s="5"/>
      <c r="R362" s="57"/>
      <c r="S362" s="5"/>
      <c r="T362" s="5"/>
      <c r="U362" s="5"/>
      <c r="V362" s="5"/>
      <c r="W362" s="5"/>
      <c r="X362" s="5"/>
      <c r="Y362" s="5"/>
      <c r="Z362" s="5"/>
      <c r="AA362" s="5"/>
      <c r="AB362" s="5"/>
      <c r="AC362" s="5"/>
    </row>
    <row r="363" spans="1:29" ht="12.75" customHeight="1">
      <c r="A363" s="5"/>
      <c r="B363" s="5"/>
      <c r="C363" s="5"/>
      <c r="D363" s="5"/>
      <c r="E363" s="5"/>
      <c r="F363" s="5"/>
      <c r="G363" s="5"/>
      <c r="H363" s="306"/>
      <c r="I363" s="306"/>
      <c r="J363" s="5"/>
      <c r="K363" s="5"/>
      <c r="L363" s="5"/>
      <c r="M363" s="5"/>
      <c r="N363" s="5"/>
      <c r="O363" s="5"/>
      <c r="P363" s="5"/>
      <c r="Q363" s="5"/>
      <c r="R363" s="57"/>
      <c r="S363" s="5"/>
      <c r="T363" s="5"/>
      <c r="U363" s="5"/>
      <c r="V363" s="5"/>
      <c r="W363" s="5"/>
      <c r="X363" s="5"/>
      <c r="Y363" s="5"/>
      <c r="Z363" s="5"/>
      <c r="AA363" s="5"/>
      <c r="AB363" s="5"/>
      <c r="AC363" s="5"/>
    </row>
    <row r="364" spans="1:29" ht="12.75" customHeight="1">
      <c r="A364" s="5"/>
      <c r="B364" s="5"/>
      <c r="C364" s="5"/>
      <c r="D364" s="5"/>
      <c r="E364" s="5"/>
      <c r="F364" s="5"/>
      <c r="G364" s="5"/>
      <c r="H364" s="306"/>
      <c r="I364" s="306"/>
      <c r="J364" s="5"/>
      <c r="K364" s="5"/>
      <c r="L364" s="5"/>
      <c r="M364" s="5"/>
      <c r="N364" s="5"/>
      <c r="O364" s="5"/>
      <c r="P364" s="5"/>
      <c r="Q364" s="5"/>
      <c r="R364" s="57"/>
      <c r="S364" s="5"/>
      <c r="T364" s="5"/>
      <c r="U364" s="5"/>
      <c r="V364" s="5"/>
      <c r="W364" s="5"/>
      <c r="X364" s="5"/>
      <c r="Y364" s="5"/>
      <c r="Z364" s="5"/>
      <c r="AA364" s="5"/>
      <c r="AB364" s="5"/>
      <c r="AC364" s="5"/>
    </row>
    <row r="365" spans="1:29" ht="12.75" customHeight="1">
      <c r="A365" s="5"/>
      <c r="B365" s="5"/>
      <c r="C365" s="5"/>
      <c r="D365" s="5"/>
      <c r="E365" s="5"/>
      <c r="F365" s="5"/>
      <c r="G365" s="5"/>
      <c r="H365" s="306"/>
      <c r="I365" s="306"/>
      <c r="J365" s="5"/>
      <c r="K365" s="5"/>
      <c r="L365" s="5"/>
      <c r="M365" s="5"/>
      <c r="N365" s="5"/>
      <c r="O365" s="5"/>
      <c r="P365" s="5"/>
      <c r="Q365" s="5"/>
      <c r="R365" s="57"/>
      <c r="S365" s="5"/>
      <c r="T365" s="5"/>
      <c r="U365" s="5"/>
      <c r="V365" s="5"/>
      <c r="W365" s="5"/>
      <c r="X365" s="5"/>
      <c r="Y365" s="5"/>
      <c r="Z365" s="5"/>
      <c r="AA365" s="5"/>
      <c r="AB365" s="5"/>
      <c r="AC365" s="5"/>
    </row>
    <row r="366" spans="1:29" ht="12.75" customHeight="1">
      <c r="A366" s="5"/>
      <c r="B366" s="5"/>
      <c r="C366" s="5"/>
      <c r="D366" s="5"/>
      <c r="E366" s="5"/>
      <c r="F366" s="5"/>
      <c r="G366" s="5"/>
      <c r="H366" s="306"/>
      <c r="I366" s="306"/>
      <c r="J366" s="5"/>
      <c r="K366" s="5"/>
      <c r="L366" s="5"/>
      <c r="M366" s="5"/>
      <c r="N366" s="5"/>
      <c r="O366" s="5"/>
      <c r="P366" s="5"/>
      <c r="Q366" s="5"/>
      <c r="R366" s="57"/>
      <c r="S366" s="5"/>
      <c r="T366" s="5"/>
      <c r="U366" s="5"/>
      <c r="V366" s="5"/>
      <c r="W366" s="5"/>
      <c r="X366" s="5"/>
      <c r="Y366" s="5"/>
      <c r="Z366" s="5"/>
      <c r="AA366" s="5"/>
      <c r="AB366" s="5"/>
      <c r="AC366" s="5"/>
    </row>
    <row r="367" spans="1:29" ht="12.75" customHeight="1">
      <c r="A367" s="5"/>
      <c r="B367" s="5"/>
      <c r="C367" s="5"/>
      <c r="D367" s="5"/>
      <c r="E367" s="5"/>
      <c r="F367" s="5"/>
      <c r="G367" s="5"/>
      <c r="H367" s="306"/>
      <c r="I367" s="306"/>
      <c r="J367" s="5"/>
      <c r="K367" s="5"/>
      <c r="L367" s="5"/>
      <c r="M367" s="5"/>
      <c r="N367" s="5"/>
      <c r="O367" s="5"/>
      <c r="P367" s="5"/>
      <c r="Q367" s="5"/>
      <c r="R367" s="57"/>
      <c r="S367" s="5"/>
      <c r="T367" s="5"/>
      <c r="U367" s="5"/>
      <c r="V367" s="5"/>
      <c r="W367" s="5"/>
      <c r="X367" s="5"/>
      <c r="Y367" s="5"/>
      <c r="Z367" s="5"/>
      <c r="AA367" s="5"/>
      <c r="AB367" s="5"/>
      <c r="AC367" s="5"/>
    </row>
    <row r="368" spans="1:29" ht="12.75" customHeight="1">
      <c r="A368" s="5"/>
      <c r="B368" s="5"/>
      <c r="C368" s="5"/>
      <c r="D368" s="5"/>
      <c r="E368" s="5"/>
      <c r="F368" s="5"/>
      <c r="G368" s="5"/>
      <c r="H368" s="306"/>
      <c r="I368" s="306"/>
      <c r="J368" s="5"/>
      <c r="K368" s="5"/>
      <c r="L368" s="5"/>
      <c r="M368" s="5"/>
      <c r="N368" s="5"/>
      <c r="O368" s="5"/>
      <c r="P368" s="5"/>
      <c r="Q368" s="5"/>
      <c r="R368" s="57"/>
      <c r="S368" s="5"/>
      <c r="T368" s="5"/>
      <c r="U368" s="5"/>
      <c r="V368" s="5"/>
      <c r="W368" s="5"/>
      <c r="X368" s="5"/>
      <c r="Y368" s="5"/>
      <c r="Z368" s="5"/>
      <c r="AA368" s="5"/>
      <c r="AB368" s="5"/>
      <c r="AC368" s="5"/>
    </row>
    <row r="369" spans="1:29" ht="12.75" customHeight="1">
      <c r="A369" s="5"/>
      <c r="B369" s="5"/>
      <c r="C369" s="5"/>
      <c r="D369" s="5"/>
      <c r="E369" s="5"/>
      <c r="F369" s="5"/>
      <c r="G369" s="5"/>
      <c r="H369" s="306"/>
      <c r="I369" s="306"/>
      <c r="J369" s="5"/>
      <c r="K369" s="5"/>
      <c r="L369" s="5"/>
      <c r="M369" s="5"/>
      <c r="N369" s="5"/>
      <c r="O369" s="5"/>
      <c r="P369" s="5"/>
      <c r="Q369" s="5"/>
      <c r="R369" s="57"/>
      <c r="S369" s="5"/>
      <c r="T369" s="5"/>
      <c r="U369" s="5"/>
      <c r="V369" s="5"/>
      <c r="W369" s="5"/>
      <c r="X369" s="5"/>
      <c r="Y369" s="5"/>
      <c r="Z369" s="5"/>
      <c r="AA369" s="5"/>
      <c r="AB369" s="5"/>
      <c r="AC369" s="5"/>
    </row>
    <row r="370" spans="1:29" ht="12.75" customHeight="1">
      <c r="A370" s="5"/>
      <c r="B370" s="5"/>
      <c r="C370" s="5"/>
      <c r="D370" s="5"/>
      <c r="E370" s="5"/>
      <c r="F370" s="5"/>
      <c r="G370" s="5"/>
      <c r="H370" s="306"/>
      <c r="I370" s="306"/>
      <c r="J370" s="5"/>
      <c r="K370" s="5"/>
      <c r="L370" s="5"/>
      <c r="M370" s="5"/>
      <c r="N370" s="5"/>
      <c r="O370" s="5"/>
      <c r="P370" s="5"/>
      <c r="Q370" s="5"/>
      <c r="R370" s="57"/>
      <c r="S370" s="5"/>
      <c r="T370" s="5"/>
      <c r="U370" s="5"/>
      <c r="V370" s="5"/>
      <c r="W370" s="5"/>
      <c r="X370" s="5"/>
      <c r="Y370" s="5"/>
      <c r="Z370" s="5"/>
      <c r="AA370" s="5"/>
      <c r="AB370" s="5"/>
      <c r="AC370" s="5"/>
    </row>
    <row r="371" spans="1:29" ht="12.75" customHeight="1">
      <c r="A371" s="5"/>
      <c r="B371" s="5"/>
      <c r="C371" s="5"/>
      <c r="D371" s="5"/>
      <c r="E371" s="5"/>
      <c r="F371" s="5"/>
      <c r="G371" s="5"/>
      <c r="H371" s="306"/>
      <c r="I371" s="306"/>
      <c r="J371" s="5"/>
      <c r="K371" s="5"/>
      <c r="L371" s="5"/>
      <c r="M371" s="5"/>
      <c r="N371" s="5"/>
      <c r="O371" s="5"/>
      <c r="P371" s="5"/>
      <c r="Q371" s="5"/>
      <c r="R371" s="57"/>
      <c r="S371" s="5"/>
      <c r="T371" s="5"/>
      <c r="U371" s="5"/>
      <c r="V371" s="5"/>
      <c r="W371" s="5"/>
      <c r="X371" s="5"/>
      <c r="Y371" s="5"/>
      <c r="Z371" s="5"/>
      <c r="AA371" s="5"/>
      <c r="AB371" s="5"/>
      <c r="AC371" s="5"/>
    </row>
    <row r="372" spans="1:29" ht="12.75" customHeight="1">
      <c r="A372" s="5"/>
      <c r="B372" s="5"/>
      <c r="C372" s="5"/>
      <c r="D372" s="5"/>
      <c r="E372" s="5"/>
      <c r="F372" s="5"/>
      <c r="G372" s="5"/>
      <c r="H372" s="306"/>
      <c r="I372" s="306"/>
      <c r="J372" s="5"/>
      <c r="K372" s="5"/>
      <c r="L372" s="5"/>
      <c r="M372" s="5"/>
      <c r="N372" s="5"/>
      <c r="O372" s="5"/>
      <c r="P372" s="5"/>
      <c r="Q372" s="5"/>
      <c r="R372" s="57"/>
      <c r="S372" s="5"/>
      <c r="T372" s="5"/>
      <c r="U372" s="5"/>
      <c r="V372" s="5"/>
      <c r="W372" s="5"/>
      <c r="X372" s="5"/>
      <c r="Y372" s="5"/>
      <c r="Z372" s="5"/>
      <c r="AA372" s="5"/>
      <c r="AB372" s="5"/>
      <c r="AC372" s="5"/>
    </row>
    <row r="373" spans="1:29" ht="12.75" customHeight="1">
      <c r="A373" s="5"/>
      <c r="B373" s="5"/>
      <c r="C373" s="5"/>
      <c r="D373" s="5"/>
      <c r="E373" s="5"/>
      <c r="F373" s="5"/>
      <c r="G373" s="5"/>
      <c r="H373" s="306"/>
      <c r="I373" s="306"/>
      <c r="J373" s="5"/>
      <c r="K373" s="5"/>
      <c r="L373" s="5"/>
      <c r="M373" s="5"/>
      <c r="N373" s="5"/>
      <c r="O373" s="5"/>
      <c r="P373" s="5"/>
      <c r="Q373" s="5"/>
      <c r="R373" s="57"/>
      <c r="S373" s="5"/>
      <c r="T373" s="5"/>
      <c r="U373" s="5"/>
      <c r="V373" s="5"/>
      <c r="W373" s="5"/>
      <c r="X373" s="5"/>
      <c r="Y373" s="5"/>
      <c r="Z373" s="5"/>
      <c r="AA373" s="5"/>
      <c r="AB373" s="5"/>
      <c r="AC373" s="5"/>
    </row>
    <row r="374" spans="1:29" ht="12.75" customHeight="1">
      <c r="A374" s="5"/>
      <c r="B374" s="5"/>
      <c r="C374" s="5"/>
      <c r="D374" s="5"/>
      <c r="E374" s="5"/>
      <c r="F374" s="5"/>
      <c r="G374" s="5"/>
      <c r="H374" s="306"/>
      <c r="I374" s="306"/>
      <c r="J374" s="5"/>
      <c r="K374" s="5"/>
      <c r="L374" s="5"/>
      <c r="M374" s="5"/>
      <c r="N374" s="5"/>
      <c r="O374" s="5"/>
      <c r="P374" s="5"/>
      <c r="Q374" s="5"/>
      <c r="R374" s="57"/>
      <c r="S374" s="5"/>
      <c r="T374" s="5"/>
      <c r="U374" s="5"/>
      <c r="V374" s="5"/>
      <c r="W374" s="5"/>
      <c r="X374" s="5"/>
      <c r="Y374" s="5"/>
      <c r="Z374" s="5"/>
      <c r="AA374" s="5"/>
      <c r="AB374" s="5"/>
      <c r="AC374" s="5"/>
    </row>
    <row r="375" spans="1:29" ht="12.75" customHeight="1">
      <c r="A375" s="5"/>
      <c r="B375" s="5"/>
      <c r="C375" s="5"/>
      <c r="D375" s="5"/>
      <c r="E375" s="5"/>
      <c r="F375" s="5"/>
      <c r="G375" s="5"/>
      <c r="H375" s="306"/>
      <c r="I375" s="306"/>
      <c r="J375" s="5"/>
      <c r="K375" s="5"/>
      <c r="L375" s="5"/>
      <c r="M375" s="5"/>
      <c r="N375" s="5"/>
      <c r="O375" s="5"/>
      <c r="P375" s="5"/>
      <c r="Q375" s="5"/>
      <c r="R375" s="57"/>
      <c r="S375" s="5"/>
      <c r="T375" s="5"/>
      <c r="U375" s="5"/>
      <c r="V375" s="5"/>
      <c r="W375" s="5"/>
      <c r="X375" s="5"/>
      <c r="Y375" s="5"/>
      <c r="Z375" s="5"/>
      <c r="AA375" s="5"/>
      <c r="AB375" s="5"/>
      <c r="AC375" s="5"/>
    </row>
    <row r="376" spans="1:29" ht="12.75" customHeight="1">
      <c r="A376" s="5"/>
      <c r="B376" s="5"/>
      <c r="C376" s="5"/>
      <c r="D376" s="5"/>
      <c r="E376" s="5"/>
      <c r="F376" s="5"/>
      <c r="G376" s="5"/>
      <c r="H376" s="306"/>
      <c r="I376" s="306"/>
      <c r="J376" s="5"/>
      <c r="K376" s="5"/>
      <c r="L376" s="5"/>
      <c r="M376" s="5"/>
      <c r="N376" s="5"/>
      <c r="O376" s="5"/>
      <c r="P376" s="5"/>
      <c r="Q376" s="5"/>
      <c r="R376" s="57"/>
      <c r="S376" s="5"/>
      <c r="T376" s="5"/>
      <c r="U376" s="5"/>
      <c r="V376" s="5"/>
      <c r="W376" s="5"/>
      <c r="X376" s="5"/>
      <c r="Y376" s="5"/>
      <c r="Z376" s="5"/>
      <c r="AA376" s="5"/>
      <c r="AB376" s="5"/>
      <c r="AC376" s="5"/>
    </row>
    <row r="377" spans="1:29" ht="12.75" customHeight="1">
      <c r="A377" s="5"/>
      <c r="B377" s="5"/>
      <c r="C377" s="5"/>
      <c r="D377" s="5"/>
      <c r="E377" s="5"/>
      <c r="F377" s="5"/>
      <c r="G377" s="5"/>
      <c r="H377" s="306"/>
      <c r="I377" s="306"/>
      <c r="J377" s="5"/>
      <c r="K377" s="5"/>
      <c r="L377" s="5"/>
      <c r="M377" s="5"/>
      <c r="N377" s="5"/>
      <c r="O377" s="5"/>
      <c r="P377" s="5"/>
      <c r="Q377" s="5"/>
      <c r="R377" s="57"/>
      <c r="S377" s="5"/>
      <c r="T377" s="5"/>
      <c r="U377" s="5"/>
      <c r="V377" s="5"/>
      <c r="W377" s="5"/>
      <c r="X377" s="5"/>
      <c r="Y377" s="5"/>
      <c r="Z377" s="5"/>
      <c r="AA377" s="5"/>
      <c r="AB377" s="5"/>
      <c r="AC377" s="5"/>
    </row>
    <row r="378" spans="1:29" ht="12.75" customHeight="1">
      <c r="A378" s="5"/>
      <c r="B378" s="5"/>
      <c r="C378" s="5"/>
      <c r="D378" s="5"/>
      <c r="E378" s="5"/>
      <c r="F378" s="5"/>
      <c r="G378" s="5"/>
      <c r="H378" s="306"/>
      <c r="I378" s="306"/>
      <c r="J378" s="5"/>
      <c r="K378" s="5"/>
      <c r="L378" s="5"/>
      <c r="M378" s="5"/>
      <c r="N378" s="5"/>
      <c r="O378" s="5"/>
      <c r="P378" s="5"/>
      <c r="Q378" s="5"/>
      <c r="R378" s="57"/>
      <c r="S378" s="5"/>
      <c r="T378" s="5"/>
      <c r="U378" s="5"/>
      <c r="V378" s="5"/>
      <c r="W378" s="5"/>
      <c r="X378" s="5"/>
      <c r="Y378" s="5"/>
      <c r="Z378" s="5"/>
      <c r="AA378" s="5"/>
      <c r="AB378" s="5"/>
      <c r="AC378" s="5"/>
    </row>
    <row r="379" spans="1:29" ht="12.75" customHeight="1">
      <c r="A379" s="5"/>
      <c r="B379" s="5"/>
      <c r="C379" s="5"/>
      <c r="D379" s="5"/>
      <c r="E379" s="5"/>
      <c r="F379" s="5"/>
      <c r="G379" s="5"/>
      <c r="H379" s="306"/>
      <c r="I379" s="306"/>
      <c r="J379" s="5"/>
      <c r="K379" s="5"/>
      <c r="L379" s="5"/>
      <c r="M379" s="5"/>
      <c r="N379" s="5"/>
      <c r="O379" s="5"/>
      <c r="P379" s="5"/>
      <c r="Q379" s="5"/>
      <c r="R379" s="57"/>
      <c r="S379" s="5"/>
      <c r="T379" s="5"/>
      <c r="U379" s="5"/>
      <c r="V379" s="5"/>
      <c r="W379" s="5"/>
      <c r="X379" s="5"/>
      <c r="Y379" s="5"/>
      <c r="Z379" s="5"/>
      <c r="AA379" s="5"/>
      <c r="AB379" s="5"/>
      <c r="AC379" s="5"/>
    </row>
    <row r="380" spans="1:29" ht="12.75" customHeight="1">
      <c r="A380" s="5"/>
      <c r="B380" s="5"/>
      <c r="C380" s="5"/>
      <c r="D380" s="5"/>
      <c r="E380" s="5"/>
      <c r="F380" s="5"/>
      <c r="G380" s="5"/>
      <c r="H380" s="306"/>
      <c r="I380" s="306"/>
      <c r="J380" s="5"/>
      <c r="K380" s="5"/>
      <c r="L380" s="5"/>
      <c r="M380" s="5"/>
      <c r="N380" s="5"/>
      <c r="O380" s="5"/>
      <c r="P380" s="5"/>
      <c r="Q380" s="5"/>
      <c r="R380" s="57"/>
      <c r="S380" s="5"/>
      <c r="T380" s="5"/>
      <c r="U380" s="5"/>
      <c r="V380" s="5"/>
      <c r="W380" s="5"/>
      <c r="X380" s="5"/>
      <c r="Y380" s="5"/>
      <c r="Z380" s="5"/>
      <c r="AA380" s="5"/>
      <c r="AB380" s="5"/>
      <c r="AC380" s="5"/>
    </row>
    <row r="381" spans="1:29" ht="12.75" customHeight="1">
      <c r="A381" s="5"/>
      <c r="B381" s="5"/>
      <c r="C381" s="5"/>
      <c r="D381" s="5"/>
      <c r="E381" s="5"/>
      <c r="F381" s="5"/>
      <c r="G381" s="5"/>
      <c r="H381" s="306"/>
      <c r="I381" s="306"/>
      <c r="J381" s="5"/>
      <c r="K381" s="5"/>
      <c r="L381" s="5"/>
      <c r="M381" s="5"/>
      <c r="N381" s="5"/>
      <c r="O381" s="5"/>
      <c r="P381" s="5"/>
      <c r="Q381" s="5"/>
      <c r="R381" s="57"/>
      <c r="S381" s="5"/>
      <c r="T381" s="5"/>
      <c r="U381" s="5"/>
      <c r="V381" s="5"/>
      <c r="W381" s="5"/>
      <c r="X381" s="5"/>
      <c r="Y381" s="5"/>
      <c r="Z381" s="5"/>
      <c r="AA381" s="5"/>
      <c r="AB381" s="5"/>
      <c r="AC381" s="5"/>
    </row>
    <row r="382" spans="1:29" ht="12.75" customHeight="1">
      <c r="A382" s="5"/>
      <c r="B382" s="5"/>
      <c r="C382" s="5"/>
      <c r="D382" s="5"/>
      <c r="E382" s="5"/>
      <c r="F382" s="5"/>
      <c r="G382" s="5"/>
      <c r="H382" s="306"/>
      <c r="I382" s="306"/>
      <c r="J382" s="5"/>
      <c r="K382" s="5"/>
      <c r="L382" s="5"/>
      <c r="M382" s="5"/>
      <c r="N382" s="5"/>
      <c r="O382" s="5"/>
      <c r="P382" s="5"/>
      <c r="Q382" s="5"/>
      <c r="R382" s="57"/>
      <c r="S382" s="5"/>
      <c r="T382" s="5"/>
      <c r="U382" s="5"/>
      <c r="V382" s="5"/>
      <c r="W382" s="5"/>
      <c r="X382" s="5"/>
      <c r="Y382" s="5"/>
      <c r="Z382" s="5"/>
      <c r="AA382" s="5"/>
      <c r="AB382" s="5"/>
      <c r="AC382" s="5"/>
    </row>
    <row r="383" spans="1:29" ht="12.75" customHeight="1">
      <c r="A383" s="5"/>
      <c r="B383" s="5"/>
      <c r="C383" s="5"/>
      <c r="D383" s="5"/>
      <c r="E383" s="5"/>
      <c r="F383" s="5"/>
      <c r="G383" s="5"/>
      <c r="H383" s="306"/>
      <c r="I383" s="306"/>
      <c r="J383" s="5"/>
      <c r="K383" s="5"/>
      <c r="L383" s="5"/>
      <c r="M383" s="5"/>
      <c r="N383" s="5"/>
      <c r="O383" s="5"/>
      <c r="P383" s="5"/>
      <c r="Q383" s="5"/>
      <c r="R383" s="57"/>
      <c r="S383" s="5"/>
      <c r="T383" s="5"/>
      <c r="U383" s="5"/>
      <c r="V383" s="5"/>
      <c r="W383" s="5"/>
      <c r="X383" s="5"/>
      <c r="Y383" s="5"/>
      <c r="Z383" s="5"/>
      <c r="AA383" s="5"/>
      <c r="AB383" s="5"/>
      <c r="AC383" s="5"/>
    </row>
    <row r="384" spans="1:29" ht="12.75" customHeight="1">
      <c r="A384" s="5"/>
      <c r="B384" s="5"/>
      <c r="C384" s="5"/>
      <c r="D384" s="5"/>
      <c r="E384" s="5"/>
      <c r="F384" s="5"/>
      <c r="G384" s="5"/>
      <c r="H384" s="306"/>
      <c r="I384" s="306"/>
      <c r="J384" s="5"/>
      <c r="K384" s="5"/>
      <c r="L384" s="5"/>
      <c r="M384" s="5"/>
      <c r="N384" s="5"/>
      <c r="O384" s="5"/>
      <c r="P384" s="5"/>
      <c r="Q384" s="5"/>
      <c r="R384" s="57"/>
      <c r="S384" s="5"/>
      <c r="T384" s="5"/>
      <c r="U384" s="5"/>
      <c r="V384" s="5"/>
      <c r="W384" s="5"/>
      <c r="X384" s="5"/>
      <c r="Y384" s="5"/>
      <c r="Z384" s="5"/>
      <c r="AA384" s="5"/>
      <c r="AB384" s="5"/>
      <c r="AC384" s="5"/>
    </row>
    <row r="385" spans="1:29" ht="12.75" customHeight="1">
      <c r="A385" s="5"/>
      <c r="B385" s="5"/>
      <c r="C385" s="5"/>
      <c r="D385" s="5"/>
      <c r="E385" s="5"/>
      <c r="F385" s="5"/>
      <c r="G385" s="5"/>
      <c r="H385" s="306"/>
      <c r="I385" s="306"/>
      <c r="J385" s="5"/>
      <c r="K385" s="5"/>
      <c r="L385" s="5"/>
      <c r="M385" s="5"/>
      <c r="N385" s="5"/>
      <c r="O385" s="5"/>
      <c r="P385" s="5"/>
      <c r="Q385" s="5"/>
      <c r="R385" s="57"/>
      <c r="S385" s="5"/>
      <c r="T385" s="5"/>
      <c r="U385" s="5"/>
      <c r="V385" s="5"/>
      <c r="W385" s="5"/>
      <c r="X385" s="5"/>
      <c r="Y385" s="5"/>
      <c r="Z385" s="5"/>
      <c r="AA385" s="5"/>
      <c r="AB385" s="5"/>
      <c r="AC385" s="5"/>
    </row>
    <row r="386" spans="1:29" ht="12.75" customHeight="1">
      <c r="A386" s="5"/>
      <c r="B386" s="5"/>
      <c r="C386" s="5"/>
      <c r="D386" s="5"/>
      <c r="E386" s="5"/>
      <c r="F386" s="5"/>
      <c r="G386" s="5"/>
      <c r="H386" s="306"/>
      <c r="I386" s="306"/>
      <c r="J386" s="5"/>
      <c r="K386" s="5"/>
      <c r="L386" s="5"/>
      <c r="M386" s="5"/>
      <c r="N386" s="5"/>
      <c r="O386" s="5"/>
      <c r="P386" s="5"/>
      <c r="Q386" s="5"/>
      <c r="R386" s="57"/>
      <c r="S386" s="5"/>
      <c r="T386" s="5"/>
      <c r="U386" s="5"/>
      <c r="V386" s="5"/>
      <c r="W386" s="5"/>
      <c r="X386" s="5"/>
      <c r="Y386" s="5"/>
      <c r="Z386" s="5"/>
      <c r="AA386" s="5"/>
      <c r="AB386" s="5"/>
      <c r="AC386" s="5"/>
    </row>
    <row r="387" spans="1:29" ht="12.75" customHeight="1">
      <c r="A387" s="5"/>
      <c r="B387" s="5"/>
      <c r="C387" s="5"/>
      <c r="D387" s="5"/>
      <c r="E387" s="5"/>
      <c r="F387" s="5"/>
      <c r="G387" s="5"/>
      <c r="H387" s="306"/>
      <c r="I387" s="306"/>
      <c r="J387" s="5"/>
      <c r="K387" s="5"/>
      <c r="L387" s="5"/>
      <c r="M387" s="5"/>
      <c r="N387" s="5"/>
      <c r="O387" s="5"/>
      <c r="P387" s="5"/>
      <c r="Q387" s="5"/>
      <c r="R387" s="57"/>
      <c r="S387" s="5"/>
      <c r="T387" s="5"/>
      <c r="U387" s="5"/>
      <c r="V387" s="5"/>
      <c r="W387" s="5"/>
      <c r="X387" s="5"/>
      <c r="Y387" s="5"/>
      <c r="Z387" s="5"/>
      <c r="AA387" s="5"/>
      <c r="AB387" s="5"/>
      <c r="AC387" s="5"/>
    </row>
    <row r="388" spans="1:29" ht="12.75" customHeight="1">
      <c r="A388" s="5"/>
      <c r="B388" s="5"/>
      <c r="C388" s="5"/>
      <c r="D388" s="5"/>
      <c r="E388" s="5"/>
      <c r="F388" s="5"/>
      <c r="G388" s="5"/>
      <c r="H388" s="306"/>
      <c r="I388" s="306"/>
      <c r="J388" s="5"/>
      <c r="K388" s="5"/>
      <c r="L388" s="5"/>
      <c r="M388" s="5"/>
      <c r="N388" s="5"/>
      <c r="O388" s="5"/>
      <c r="P388" s="5"/>
      <c r="Q388" s="5"/>
      <c r="R388" s="57"/>
      <c r="S388" s="5"/>
      <c r="T388" s="5"/>
      <c r="U388" s="5"/>
      <c r="V388" s="5"/>
      <c r="W388" s="5"/>
      <c r="X388" s="5"/>
      <c r="Y388" s="5"/>
      <c r="Z388" s="5"/>
      <c r="AA388" s="5"/>
      <c r="AB388" s="5"/>
      <c r="AC388" s="5"/>
    </row>
    <row r="389" spans="1:29" ht="12.75" customHeight="1">
      <c r="A389" s="5"/>
      <c r="B389" s="5"/>
      <c r="C389" s="5"/>
      <c r="D389" s="5"/>
      <c r="E389" s="5"/>
      <c r="F389" s="5"/>
      <c r="G389" s="5"/>
      <c r="H389" s="306"/>
      <c r="I389" s="306"/>
      <c r="J389" s="5"/>
      <c r="K389" s="5"/>
      <c r="L389" s="5"/>
      <c r="M389" s="5"/>
      <c r="N389" s="5"/>
      <c r="O389" s="5"/>
      <c r="P389" s="5"/>
      <c r="Q389" s="5"/>
      <c r="R389" s="57"/>
      <c r="S389" s="5"/>
      <c r="T389" s="5"/>
      <c r="U389" s="5"/>
      <c r="V389" s="5"/>
      <c r="W389" s="5"/>
      <c r="X389" s="5"/>
      <c r="Y389" s="5"/>
      <c r="Z389" s="5"/>
      <c r="AA389" s="5"/>
      <c r="AB389" s="5"/>
      <c r="AC389" s="5"/>
    </row>
    <row r="390" spans="1:29" ht="12.75" customHeight="1">
      <c r="A390" s="5"/>
      <c r="B390" s="5"/>
      <c r="C390" s="5"/>
      <c r="D390" s="5"/>
      <c r="E390" s="5"/>
      <c r="F390" s="5"/>
      <c r="G390" s="5"/>
      <c r="H390" s="306"/>
      <c r="I390" s="306"/>
      <c r="J390" s="5"/>
      <c r="K390" s="5"/>
      <c r="L390" s="5"/>
      <c r="M390" s="5"/>
      <c r="N390" s="5"/>
      <c r="O390" s="5"/>
      <c r="P390" s="5"/>
      <c r="Q390" s="5"/>
      <c r="R390" s="57"/>
      <c r="S390" s="5"/>
      <c r="T390" s="5"/>
      <c r="U390" s="5"/>
      <c r="V390" s="5"/>
      <c r="W390" s="5"/>
      <c r="X390" s="5"/>
      <c r="Y390" s="5"/>
      <c r="Z390" s="5"/>
      <c r="AA390" s="5"/>
      <c r="AB390" s="5"/>
      <c r="AC390" s="5"/>
    </row>
    <row r="391" spans="1:29" ht="12.75" customHeight="1">
      <c r="A391" s="5"/>
      <c r="B391" s="5"/>
      <c r="C391" s="5"/>
      <c r="D391" s="5"/>
      <c r="E391" s="5"/>
      <c r="F391" s="5"/>
      <c r="G391" s="5"/>
      <c r="H391" s="306"/>
      <c r="I391" s="306"/>
      <c r="J391" s="5"/>
      <c r="K391" s="5"/>
      <c r="L391" s="5"/>
      <c r="M391" s="5"/>
      <c r="N391" s="5"/>
      <c r="O391" s="5"/>
      <c r="P391" s="5"/>
      <c r="Q391" s="5"/>
      <c r="R391" s="57"/>
      <c r="S391" s="5"/>
      <c r="T391" s="5"/>
      <c r="U391" s="5"/>
      <c r="V391" s="5"/>
      <c r="W391" s="5"/>
      <c r="X391" s="5"/>
      <c r="Y391" s="5"/>
      <c r="Z391" s="5"/>
      <c r="AA391" s="5"/>
      <c r="AB391" s="5"/>
      <c r="AC391" s="5"/>
    </row>
    <row r="392" spans="1:29" ht="12.75" customHeight="1">
      <c r="A392" s="5"/>
      <c r="B392" s="5"/>
      <c r="C392" s="5"/>
      <c r="D392" s="5"/>
      <c r="E392" s="5"/>
      <c r="F392" s="5"/>
      <c r="G392" s="5"/>
      <c r="H392" s="306"/>
      <c r="I392" s="306"/>
      <c r="J392" s="5"/>
      <c r="K392" s="5"/>
      <c r="L392" s="5"/>
      <c r="M392" s="5"/>
      <c r="N392" s="5"/>
      <c r="O392" s="5"/>
      <c r="P392" s="5"/>
      <c r="Q392" s="5"/>
      <c r="R392" s="57"/>
      <c r="S392" s="5"/>
      <c r="T392" s="5"/>
      <c r="U392" s="5"/>
      <c r="V392" s="5"/>
      <c r="W392" s="5"/>
      <c r="X392" s="5"/>
      <c r="Y392" s="5"/>
      <c r="Z392" s="5"/>
      <c r="AA392" s="5"/>
      <c r="AB392" s="5"/>
      <c r="AC392" s="5"/>
    </row>
    <row r="393" spans="1:29" ht="12.75" customHeight="1">
      <c r="A393" s="5"/>
      <c r="B393" s="5"/>
      <c r="C393" s="5"/>
      <c r="D393" s="5"/>
      <c r="E393" s="5"/>
      <c r="F393" s="5"/>
      <c r="G393" s="5"/>
      <c r="H393" s="306"/>
      <c r="I393" s="306"/>
      <c r="J393" s="5"/>
      <c r="K393" s="5"/>
      <c r="L393" s="5"/>
      <c r="M393" s="5"/>
      <c r="N393" s="5"/>
      <c r="O393" s="5"/>
      <c r="P393" s="5"/>
      <c r="Q393" s="5"/>
      <c r="R393" s="57"/>
      <c r="S393" s="5"/>
      <c r="T393" s="5"/>
      <c r="U393" s="5"/>
      <c r="V393" s="5"/>
      <c r="W393" s="5"/>
      <c r="X393" s="5"/>
      <c r="Y393" s="5"/>
      <c r="Z393" s="5"/>
      <c r="AA393" s="5"/>
      <c r="AB393" s="5"/>
      <c r="AC393" s="5"/>
    </row>
    <row r="394" spans="1:29" ht="12.75" customHeight="1">
      <c r="A394" s="5"/>
      <c r="B394" s="5"/>
      <c r="C394" s="5"/>
      <c r="D394" s="5"/>
      <c r="E394" s="5"/>
      <c r="F394" s="5"/>
      <c r="G394" s="5"/>
      <c r="H394" s="306"/>
      <c r="I394" s="306"/>
      <c r="J394" s="5"/>
      <c r="K394" s="5"/>
      <c r="L394" s="5"/>
      <c r="M394" s="5"/>
      <c r="N394" s="5"/>
      <c r="O394" s="5"/>
      <c r="P394" s="5"/>
      <c r="Q394" s="5"/>
      <c r="R394" s="57"/>
      <c r="S394" s="5"/>
      <c r="T394" s="5"/>
      <c r="U394" s="5"/>
      <c r="V394" s="5"/>
      <c r="W394" s="5"/>
      <c r="X394" s="5"/>
      <c r="Y394" s="5"/>
      <c r="Z394" s="5"/>
      <c r="AA394" s="5"/>
      <c r="AB394" s="5"/>
      <c r="AC394" s="5"/>
    </row>
    <row r="395" spans="1:29" ht="12.75" customHeight="1">
      <c r="A395" s="5"/>
      <c r="B395" s="5"/>
      <c r="C395" s="5"/>
      <c r="D395" s="5"/>
      <c r="E395" s="5"/>
      <c r="F395" s="5"/>
      <c r="G395" s="5"/>
      <c r="H395" s="306"/>
      <c r="I395" s="306"/>
      <c r="J395" s="5"/>
      <c r="K395" s="5"/>
      <c r="L395" s="5"/>
      <c r="M395" s="5"/>
      <c r="N395" s="5"/>
      <c r="O395" s="5"/>
      <c r="P395" s="5"/>
      <c r="Q395" s="5"/>
      <c r="R395" s="57"/>
      <c r="S395" s="5"/>
      <c r="T395" s="5"/>
      <c r="U395" s="5"/>
      <c r="V395" s="5"/>
      <c r="W395" s="5"/>
      <c r="X395" s="5"/>
      <c r="Y395" s="5"/>
      <c r="Z395" s="5"/>
      <c r="AA395" s="5"/>
      <c r="AB395" s="5"/>
      <c r="AC395" s="5"/>
    </row>
    <row r="396" spans="1:29" ht="12.75" customHeight="1">
      <c r="A396" s="5"/>
      <c r="B396" s="5"/>
      <c r="C396" s="5"/>
      <c r="D396" s="5"/>
      <c r="E396" s="5"/>
      <c r="F396" s="5"/>
      <c r="G396" s="5"/>
      <c r="H396" s="306"/>
      <c r="I396" s="306"/>
      <c r="J396" s="5"/>
      <c r="K396" s="5"/>
      <c r="L396" s="5"/>
      <c r="M396" s="5"/>
      <c r="N396" s="5"/>
      <c r="O396" s="5"/>
      <c r="P396" s="5"/>
      <c r="Q396" s="5"/>
      <c r="R396" s="57"/>
      <c r="S396" s="5"/>
      <c r="T396" s="5"/>
      <c r="U396" s="5"/>
      <c r="V396" s="5"/>
      <c r="W396" s="5"/>
      <c r="X396" s="5"/>
      <c r="Y396" s="5"/>
      <c r="Z396" s="5"/>
      <c r="AA396" s="5"/>
      <c r="AB396" s="5"/>
      <c r="AC396" s="5"/>
    </row>
    <row r="397" spans="1:29" ht="12.75" customHeight="1">
      <c r="A397" s="5"/>
      <c r="B397" s="5"/>
      <c r="C397" s="5"/>
      <c r="D397" s="5"/>
      <c r="E397" s="5"/>
      <c r="F397" s="5"/>
      <c r="G397" s="5"/>
      <c r="H397" s="306"/>
      <c r="I397" s="306"/>
      <c r="J397" s="5"/>
      <c r="K397" s="5"/>
      <c r="L397" s="5"/>
      <c r="M397" s="5"/>
      <c r="N397" s="5"/>
      <c r="O397" s="5"/>
      <c r="P397" s="5"/>
      <c r="Q397" s="5"/>
      <c r="R397" s="57"/>
      <c r="S397" s="5"/>
      <c r="T397" s="5"/>
      <c r="U397" s="5"/>
      <c r="V397" s="5"/>
      <c r="W397" s="5"/>
      <c r="X397" s="5"/>
      <c r="Y397" s="5"/>
      <c r="Z397" s="5"/>
      <c r="AA397" s="5"/>
      <c r="AB397" s="5"/>
      <c r="AC397" s="5"/>
    </row>
    <row r="398" spans="1:29" ht="12.75" customHeight="1">
      <c r="A398" s="5"/>
      <c r="B398" s="5"/>
      <c r="C398" s="5"/>
      <c r="D398" s="5"/>
      <c r="E398" s="5"/>
      <c r="F398" s="5"/>
      <c r="G398" s="5"/>
      <c r="H398" s="306"/>
      <c r="I398" s="306"/>
      <c r="J398" s="5"/>
      <c r="K398" s="5"/>
      <c r="L398" s="5"/>
      <c r="M398" s="5"/>
      <c r="N398" s="5"/>
      <c r="O398" s="5"/>
      <c r="P398" s="5"/>
      <c r="Q398" s="5"/>
      <c r="R398" s="57"/>
      <c r="S398" s="5"/>
      <c r="T398" s="5"/>
      <c r="U398" s="5"/>
      <c r="V398" s="5"/>
      <c r="W398" s="5"/>
      <c r="X398" s="5"/>
      <c r="Y398" s="5"/>
      <c r="Z398" s="5"/>
      <c r="AA398" s="5"/>
      <c r="AB398" s="5"/>
      <c r="AC398" s="5"/>
    </row>
    <row r="399" spans="1:29" ht="12.75" customHeight="1">
      <c r="A399" s="5"/>
      <c r="B399" s="5"/>
      <c r="C399" s="5"/>
      <c r="D399" s="5"/>
      <c r="E399" s="5"/>
      <c r="F399" s="5"/>
      <c r="G399" s="5"/>
      <c r="H399" s="306"/>
      <c r="I399" s="306"/>
      <c r="J399" s="5"/>
      <c r="K399" s="5"/>
      <c r="L399" s="5"/>
      <c r="M399" s="5"/>
      <c r="N399" s="5"/>
      <c r="O399" s="5"/>
      <c r="P399" s="5"/>
      <c r="Q399" s="5"/>
      <c r="R399" s="57"/>
      <c r="S399" s="5"/>
      <c r="T399" s="5"/>
      <c r="U399" s="5"/>
      <c r="V399" s="5"/>
      <c r="W399" s="5"/>
      <c r="X399" s="5"/>
      <c r="Y399" s="5"/>
      <c r="Z399" s="5"/>
      <c r="AA399" s="5"/>
      <c r="AB399" s="5"/>
      <c r="AC399" s="5"/>
    </row>
    <row r="400" spans="1:29" ht="12.75" customHeight="1">
      <c r="A400" s="5"/>
      <c r="B400" s="5"/>
      <c r="C400" s="5"/>
      <c r="D400" s="5"/>
      <c r="E400" s="5"/>
      <c r="F400" s="5"/>
      <c r="G400" s="5"/>
      <c r="H400" s="306"/>
      <c r="I400" s="306"/>
      <c r="J400" s="5"/>
      <c r="K400" s="5"/>
      <c r="L400" s="5"/>
      <c r="M400" s="5"/>
      <c r="N400" s="5"/>
      <c r="O400" s="5"/>
      <c r="P400" s="5"/>
      <c r="Q400" s="5"/>
      <c r="R400" s="57"/>
      <c r="S400" s="5"/>
      <c r="T400" s="5"/>
      <c r="U400" s="5"/>
      <c r="V400" s="5"/>
      <c r="W400" s="5"/>
      <c r="X400" s="5"/>
      <c r="Y400" s="5"/>
      <c r="Z400" s="5"/>
      <c r="AA400" s="5"/>
      <c r="AB400" s="5"/>
      <c r="AC400" s="5"/>
    </row>
    <row r="401" spans="1:29" ht="12.75" customHeight="1">
      <c r="A401" s="5"/>
      <c r="B401" s="5"/>
      <c r="C401" s="5"/>
      <c r="D401" s="5"/>
      <c r="E401" s="5"/>
      <c r="F401" s="5"/>
      <c r="G401" s="5"/>
      <c r="H401" s="306"/>
      <c r="I401" s="306"/>
      <c r="J401" s="5"/>
      <c r="K401" s="5"/>
      <c r="L401" s="5"/>
      <c r="M401" s="5"/>
      <c r="N401" s="5"/>
      <c r="O401" s="5"/>
      <c r="P401" s="5"/>
      <c r="Q401" s="5"/>
      <c r="R401" s="57"/>
      <c r="S401" s="5"/>
      <c r="T401" s="5"/>
      <c r="U401" s="5"/>
      <c r="V401" s="5"/>
      <c r="W401" s="5"/>
      <c r="X401" s="5"/>
      <c r="Y401" s="5"/>
      <c r="Z401" s="5"/>
      <c r="AA401" s="5"/>
      <c r="AB401" s="5"/>
      <c r="AC401" s="5"/>
    </row>
    <row r="402" spans="1:29" ht="12.75" customHeight="1">
      <c r="A402" s="5"/>
      <c r="B402" s="5"/>
      <c r="C402" s="5"/>
      <c r="D402" s="5"/>
      <c r="E402" s="5"/>
      <c r="F402" s="5"/>
      <c r="G402" s="5"/>
      <c r="H402" s="306"/>
      <c r="I402" s="306"/>
      <c r="J402" s="5"/>
      <c r="K402" s="5"/>
      <c r="L402" s="5"/>
      <c r="M402" s="5"/>
      <c r="N402" s="5"/>
      <c r="O402" s="5"/>
      <c r="P402" s="5"/>
      <c r="Q402" s="5"/>
      <c r="R402" s="57"/>
      <c r="S402" s="5"/>
      <c r="T402" s="5"/>
      <c r="U402" s="5"/>
      <c r="V402" s="5"/>
      <c r="W402" s="5"/>
      <c r="X402" s="5"/>
      <c r="Y402" s="5"/>
      <c r="Z402" s="5"/>
      <c r="AA402" s="5"/>
      <c r="AB402" s="5"/>
      <c r="AC402" s="5"/>
    </row>
    <row r="403" spans="1:29" ht="12.75" customHeight="1">
      <c r="A403" s="5"/>
      <c r="B403" s="5"/>
      <c r="C403" s="5"/>
      <c r="D403" s="5"/>
      <c r="E403" s="5"/>
      <c r="F403" s="5"/>
      <c r="G403" s="5"/>
      <c r="H403" s="306"/>
      <c r="I403" s="306"/>
      <c r="J403" s="5"/>
      <c r="K403" s="5"/>
      <c r="L403" s="5"/>
      <c r="M403" s="5"/>
      <c r="N403" s="5"/>
      <c r="O403" s="5"/>
      <c r="P403" s="5"/>
      <c r="Q403" s="5"/>
      <c r="R403" s="57"/>
      <c r="S403" s="5"/>
      <c r="T403" s="5"/>
      <c r="U403" s="5"/>
      <c r="V403" s="5"/>
      <c r="W403" s="5"/>
      <c r="X403" s="5"/>
      <c r="Y403" s="5"/>
      <c r="Z403" s="5"/>
      <c r="AA403" s="5"/>
      <c r="AB403" s="5"/>
      <c r="AC403" s="5"/>
    </row>
    <row r="404" spans="1:29" ht="12.75" customHeight="1">
      <c r="A404" s="5"/>
      <c r="B404" s="5"/>
      <c r="C404" s="5"/>
      <c r="D404" s="5"/>
      <c r="E404" s="5"/>
      <c r="F404" s="5"/>
      <c r="G404" s="5"/>
      <c r="H404" s="306"/>
      <c r="I404" s="306"/>
      <c r="J404" s="5"/>
      <c r="K404" s="5"/>
      <c r="L404" s="5"/>
      <c r="M404" s="5"/>
      <c r="N404" s="5"/>
      <c r="O404" s="5"/>
      <c r="P404" s="5"/>
      <c r="Q404" s="5"/>
      <c r="R404" s="57"/>
      <c r="S404" s="5"/>
      <c r="T404" s="5"/>
      <c r="U404" s="5"/>
      <c r="V404" s="5"/>
      <c r="W404" s="5"/>
      <c r="X404" s="5"/>
      <c r="Y404" s="5"/>
      <c r="Z404" s="5"/>
      <c r="AA404" s="5"/>
      <c r="AB404" s="5"/>
      <c r="AC404" s="5"/>
    </row>
    <row r="405" spans="1:29" ht="12.75" customHeight="1">
      <c r="A405" s="5"/>
      <c r="B405" s="5"/>
      <c r="C405" s="5"/>
      <c r="D405" s="5"/>
      <c r="E405" s="5"/>
      <c r="F405" s="5"/>
      <c r="G405" s="5"/>
      <c r="H405" s="306"/>
      <c r="I405" s="306"/>
      <c r="J405" s="5"/>
      <c r="K405" s="5"/>
      <c r="L405" s="5"/>
      <c r="M405" s="5"/>
      <c r="N405" s="5"/>
      <c r="O405" s="5"/>
      <c r="P405" s="5"/>
      <c r="Q405" s="5"/>
      <c r="R405" s="57"/>
      <c r="S405" s="5"/>
      <c r="T405" s="5"/>
      <c r="U405" s="5"/>
      <c r="V405" s="5"/>
      <c r="W405" s="5"/>
      <c r="X405" s="5"/>
      <c r="Y405" s="5"/>
      <c r="Z405" s="5"/>
      <c r="AA405" s="5"/>
      <c r="AB405" s="5"/>
      <c r="AC405" s="5"/>
    </row>
    <row r="406" spans="1:29" ht="12.75" customHeight="1">
      <c r="A406" s="5"/>
      <c r="B406" s="5"/>
      <c r="C406" s="5"/>
      <c r="D406" s="5"/>
      <c r="E406" s="5"/>
      <c r="F406" s="5"/>
      <c r="G406" s="5"/>
      <c r="H406" s="306"/>
      <c r="I406" s="306"/>
      <c r="J406" s="5"/>
      <c r="K406" s="5"/>
      <c r="L406" s="5"/>
      <c r="M406" s="5"/>
      <c r="N406" s="5"/>
      <c r="O406" s="5"/>
      <c r="P406" s="5"/>
      <c r="Q406" s="5"/>
      <c r="R406" s="57"/>
      <c r="S406" s="5"/>
      <c r="T406" s="5"/>
      <c r="U406" s="5"/>
      <c r="V406" s="5"/>
      <c r="W406" s="5"/>
      <c r="X406" s="5"/>
      <c r="Y406" s="5"/>
      <c r="Z406" s="5"/>
      <c r="AA406" s="5"/>
      <c r="AB406" s="5"/>
      <c r="AC406" s="5"/>
    </row>
    <row r="407" spans="1:29" ht="12.75" customHeight="1">
      <c r="A407" s="5"/>
      <c r="B407" s="5"/>
      <c r="C407" s="5"/>
      <c r="D407" s="5"/>
      <c r="E407" s="5"/>
      <c r="F407" s="5"/>
      <c r="G407" s="5"/>
      <c r="H407" s="306"/>
      <c r="I407" s="306"/>
      <c r="J407" s="5"/>
      <c r="K407" s="5"/>
      <c r="L407" s="5"/>
      <c r="M407" s="5"/>
      <c r="N407" s="5"/>
      <c r="O407" s="5"/>
      <c r="P407" s="5"/>
      <c r="Q407" s="5"/>
      <c r="R407" s="57"/>
      <c r="S407" s="5"/>
      <c r="T407" s="5"/>
      <c r="U407" s="5"/>
      <c r="V407" s="5"/>
      <c r="W407" s="5"/>
      <c r="X407" s="5"/>
      <c r="Y407" s="5"/>
      <c r="Z407" s="5"/>
      <c r="AA407" s="5"/>
      <c r="AB407" s="5"/>
      <c r="AC407" s="5"/>
    </row>
    <row r="408" spans="1:29" ht="12.75" customHeight="1">
      <c r="A408" s="5"/>
      <c r="B408" s="5"/>
      <c r="C408" s="5"/>
      <c r="D408" s="5"/>
      <c r="E408" s="5"/>
      <c r="F408" s="5"/>
      <c r="G408" s="5"/>
      <c r="H408" s="306"/>
      <c r="I408" s="306"/>
      <c r="J408" s="5"/>
      <c r="K408" s="5"/>
      <c r="L408" s="5"/>
      <c r="M408" s="5"/>
      <c r="N408" s="5"/>
      <c r="O408" s="5"/>
      <c r="P408" s="5"/>
      <c r="Q408" s="5"/>
      <c r="R408" s="57"/>
      <c r="S408" s="5"/>
      <c r="T408" s="5"/>
      <c r="U408" s="5"/>
      <c r="V408" s="5"/>
      <c r="W408" s="5"/>
      <c r="X408" s="5"/>
      <c r="Y408" s="5"/>
      <c r="Z408" s="5"/>
      <c r="AA408" s="5"/>
      <c r="AB408" s="5"/>
      <c r="AC408" s="5"/>
    </row>
    <row r="409" spans="1:29" ht="12.75" customHeight="1">
      <c r="A409" s="5"/>
      <c r="B409" s="5"/>
      <c r="C409" s="5"/>
      <c r="D409" s="5"/>
      <c r="E409" s="5"/>
      <c r="F409" s="5"/>
      <c r="G409" s="5"/>
      <c r="H409" s="306"/>
      <c r="I409" s="306"/>
      <c r="J409" s="5"/>
      <c r="K409" s="5"/>
      <c r="L409" s="5"/>
      <c r="M409" s="5"/>
      <c r="N409" s="5"/>
      <c r="O409" s="5"/>
      <c r="P409" s="5"/>
      <c r="Q409" s="5"/>
      <c r="R409" s="57"/>
      <c r="S409" s="5"/>
      <c r="T409" s="5"/>
      <c r="U409" s="5"/>
      <c r="V409" s="5"/>
      <c r="W409" s="5"/>
      <c r="X409" s="5"/>
      <c r="Y409" s="5"/>
      <c r="Z409" s="5"/>
      <c r="AA409" s="5"/>
      <c r="AB409" s="5"/>
      <c r="AC409" s="5"/>
    </row>
    <row r="410" spans="1:29" ht="12.75" customHeight="1">
      <c r="A410" s="5"/>
      <c r="B410" s="5"/>
      <c r="C410" s="5"/>
      <c r="D410" s="5"/>
      <c r="E410" s="5"/>
      <c r="F410" s="5"/>
      <c r="G410" s="5"/>
      <c r="H410" s="306"/>
      <c r="I410" s="306"/>
      <c r="J410" s="5"/>
      <c r="K410" s="5"/>
      <c r="L410" s="5"/>
      <c r="M410" s="5"/>
      <c r="N410" s="5"/>
      <c r="O410" s="5"/>
      <c r="P410" s="5"/>
      <c r="Q410" s="5"/>
      <c r="R410" s="57"/>
      <c r="S410" s="5"/>
      <c r="T410" s="5"/>
      <c r="U410" s="5"/>
      <c r="V410" s="5"/>
      <c r="W410" s="5"/>
      <c r="X410" s="5"/>
      <c r="Y410" s="5"/>
      <c r="Z410" s="5"/>
      <c r="AA410" s="5"/>
      <c r="AB410" s="5"/>
      <c r="AC410" s="5"/>
    </row>
    <row r="411" spans="1:29" ht="12.75" customHeight="1">
      <c r="A411" s="5"/>
      <c r="B411" s="5"/>
      <c r="C411" s="5"/>
      <c r="D411" s="5"/>
      <c r="E411" s="5"/>
      <c r="F411" s="5"/>
      <c r="G411" s="5"/>
      <c r="H411" s="306"/>
      <c r="I411" s="306"/>
      <c r="J411" s="5"/>
      <c r="K411" s="5"/>
      <c r="L411" s="5"/>
      <c r="M411" s="5"/>
      <c r="N411" s="5"/>
      <c r="O411" s="5"/>
      <c r="P411" s="5"/>
      <c r="Q411" s="5"/>
      <c r="R411" s="57"/>
      <c r="S411" s="5"/>
      <c r="T411" s="5"/>
      <c r="U411" s="5"/>
      <c r="V411" s="5"/>
      <c r="W411" s="5"/>
      <c r="X411" s="5"/>
      <c r="Y411" s="5"/>
      <c r="Z411" s="5"/>
      <c r="AA411" s="5"/>
      <c r="AB411" s="5"/>
      <c r="AC411" s="5"/>
    </row>
    <row r="412" spans="1:29" ht="12.75" customHeight="1">
      <c r="A412" s="5"/>
      <c r="B412" s="5"/>
      <c r="C412" s="5"/>
      <c r="D412" s="5"/>
      <c r="E412" s="5"/>
      <c r="F412" s="5"/>
      <c r="G412" s="5"/>
      <c r="H412" s="306"/>
      <c r="I412" s="306"/>
      <c r="J412" s="5"/>
      <c r="K412" s="5"/>
      <c r="L412" s="5"/>
      <c r="M412" s="5"/>
      <c r="N412" s="5"/>
      <c r="O412" s="5"/>
      <c r="P412" s="5"/>
      <c r="Q412" s="5"/>
      <c r="R412" s="57"/>
      <c r="S412" s="5"/>
      <c r="T412" s="5"/>
      <c r="U412" s="5"/>
      <c r="V412" s="5"/>
      <c r="W412" s="5"/>
      <c r="X412" s="5"/>
      <c r="Y412" s="5"/>
      <c r="Z412" s="5"/>
      <c r="AA412" s="5"/>
      <c r="AB412" s="5"/>
      <c r="AC412" s="5"/>
    </row>
    <row r="413" spans="1:29" ht="12.75" customHeight="1">
      <c r="A413" s="5"/>
      <c r="B413" s="5"/>
      <c r="C413" s="5"/>
      <c r="D413" s="5"/>
      <c r="E413" s="5"/>
      <c r="F413" s="5"/>
      <c r="G413" s="5"/>
      <c r="H413" s="306"/>
      <c r="I413" s="306"/>
      <c r="J413" s="5"/>
      <c r="K413" s="5"/>
      <c r="L413" s="5"/>
      <c r="M413" s="5"/>
      <c r="N413" s="5"/>
      <c r="O413" s="5"/>
      <c r="P413" s="5"/>
      <c r="Q413" s="5"/>
      <c r="R413" s="57"/>
      <c r="S413" s="5"/>
      <c r="T413" s="5"/>
      <c r="U413" s="5"/>
      <c r="V413" s="5"/>
      <c r="W413" s="5"/>
      <c r="X413" s="5"/>
      <c r="Y413" s="5"/>
      <c r="Z413" s="5"/>
      <c r="AA413" s="5"/>
      <c r="AB413" s="5"/>
      <c r="AC413" s="5"/>
    </row>
    <row r="414" spans="1:29" ht="12.75" customHeight="1">
      <c r="A414" s="5"/>
      <c r="B414" s="5"/>
      <c r="C414" s="5"/>
      <c r="D414" s="5"/>
      <c r="E414" s="5"/>
      <c r="F414" s="5"/>
      <c r="G414" s="5"/>
      <c r="H414" s="306"/>
      <c r="I414" s="306"/>
      <c r="J414" s="5"/>
      <c r="K414" s="5"/>
      <c r="L414" s="5"/>
      <c r="M414" s="5"/>
      <c r="N414" s="5"/>
      <c r="O414" s="5"/>
      <c r="P414" s="5"/>
      <c r="Q414" s="5"/>
      <c r="R414" s="57"/>
      <c r="S414" s="5"/>
      <c r="T414" s="5"/>
      <c r="U414" s="5"/>
      <c r="V414" s="5"/>
      <c r="W414" s="5"/>
      <c r="X414" s="5"/>
      <c r="Y414" s="5"/>
      <c r="Z414" s="5"/>
      <c r="AA414" s="5"/>
      <c r="AB414" s="5"/>
      <c r="AC414" s="5"/>
    </row>
    <row r="415" spans="1:29" ht="12.75" customHeight="1">
      <c r="A415" s="5"/>
      <c r="B415" s="5"/>
      <c r="C415" s="5"/>
      <c r="D415" s="5"/>
      <c r="E415" s="5"/>
      <c r="F415" s="5"/>
      <c r="G415" s="5"/>
      <c r="H415" s="306"/>
      <c r="I415" s="306"/>
      <c r="J415" s="5"/>
      <c r="K415" s="5"/>
      <c r="L415" s="5"/>
      <c r="M415" s="5"/>
      <c r="N415" s="5"/>
      <c r="O415" s="5"/>
      <c r="P415" s="5"/>
      <c r="Q415" s="5"/>
      <c r="R415" s="57"/>
      <c r="S415" s="5"/>
      <c r="T415" s="5"/>
      <c r="U415" s="5"/>
      <c r="V415" s="5"/>
      <c r="W415" s="5"/>
      <c r="X415" s="5"/>
      <c r="Y415" s="5"/>
      <c r="Z415" s="5"/>
      <c r="AA415" s="5"/>
      <c r="AB415" s="5"/>
      <c r="AC415" s="5"/>
    </row>
    <row r="416" spans="1:29" ht="12.75" customHeight="1">
      <c r="A416" s="5"/>
      <c r="B416" s="5"/>
      <c r="C416" s="5"/>
      <c r="D416" s="5"/>
      <c r="E416" s="5"/>
      <c r="F416" s="5"/>
      <c r="G416" s="5"/>
      <c r="H416" s="306"/>
      <c r="I416" s="306"/>
      <c r="J416" s="5"/>
      <c r="K416" s="5"/>
      <c r="L416" s="5"/>
      <c r="M416" s="5"/>
      <c r="N416" s="5"/>
      <c r="O416" s="5"/>
      <c r="P416" s="5"/>
      <c r="Q416" s="5"/>
      <c r="R416" s="57"/>
      <c r="S416" s="5"/>
      <c r="T416" s="5"/>
      <c r="U416" s="5"/>
      <c r="V416" s="5"/>
      <c r="W416" s="5"/>
      <c r="X416" s="5"/>
      <c r="Y416" s="5"/>
      <c r="Z416" s="5"/>
      <c r="AA416" s="5"/>
      <c r="AB416" s="5"/>
      <c r="AC416" s="5"/>
    </row>
    <row r="417" spans="1:29" ht="12.75" customHeight="1">
      <c r="A417" s="5"/>
      <c r="B417" s="5"/>
      <c r="C417" s="5"/>
      <c r="D417" s="5"/>
      <c r="E417" s="5"/>
      <c r="F417" s="5"/>
      <c r="G417" s="5"/>
      <c r="H417" s="306"/>
      <c r="I417" s="306"/>
      <c r="J417" s="5"/>
      <c r="K417" s="5"/>
      <c r="L417" s="5"/>
      <c r="M417" s="5"/>
      <c r="N417" s="5"/>
      <c r="O417" s="5"/>
      <c r="P417" s="5"/>
      <c r="Q417" s="5"/>
      <c r="R417" s="57"/>
      <c r="S417" s="5"/>
      <c r="T417" s="5"/>
      <c r="U417" s="5"/>
      <c r="V417" s="5"/>
      <c r="W417" s="5"/>
      <c r="X417" s="5"/>
      <c r="Y417" s="5"/>
      <c r="Z417" s="5"/>
      <c r="AA417" s="5"/>
      <c r="AB417" s="5"/>
      <c r="AC417" s="5"/>
    </row>
    <row r="418" spans="1:29" ht="12.75" customHeight="1">
      <c r="A418" s="5"/>
      <c r="B418" s="5"/>
      <c r="C418" s="5"/>
      <c r="D418" s="5"/>
      <c r="E418" s="5"/>
      <c r="F418" s="5"/>
      <c r="G418" s="5"/>
      <c r="H418" s="306"/>
      <c r="I418" s="306"/>
      <c r="J418" s="5"/>
      <c r="K418" s="5"/>
      <c r="L418" s="5"/>
      <c r="M418" s="5"/>
      <c r="N418" s="5"/>
      <c r="O418" s="5"/>
      <c r="P418" s="5"/>
      <c r="Q418" s="5"/>
      <c r="R418" s="57"/>
      <c r="S418" s="5"/>
      <c r="T418" s="5"/>
      <c r="U418" s="5"/>
      <c r="V418" s="5"/>
      <c r="W418" s="5"/>
      <c r="X418" s="5"/>
      <c r="Y418" s="5"/>
      <c r="Z418" s="5"/>
      <c r="AA418" s="5"/>
      <c r="AB418" s="5"/>
      <c r="AC418" s="5"/>
    </row>
    <row r="419" spans="1:29" ht="12.75" customHeight="1">
      <c r="A419" s="5"/>
      <c r="B419" s="5"/>
      <c r="C419" s="5"/>
      <c r="D419" s="5"/>
      <c r="E419" s="5"/>
      <c r="F419" s="5"/>
      <c r="G419" s="5"/>
      <c r="H419" s="306"/>
      <c r="I419" s="306"/>
      <c r="J419" s="5"/>
      <c r="K419" s="5"/>
      <c r="L419" s="5"/>
      <c r="M419" s="5"/>
      <c r="N419" s="5"/>
      <c r="O419" s="5"/>
      <c r="P419" s="5"/>
      <c r="Q419" s="5"/>
      <c r="R419" s="57"/>
      <c r="S419" s="5"/>
      <c r="T419" s="5"/>
      <c r="U419" s="5"/>
      <c r="V419" s="5"/>
      <c r="W419" s="5"/>
      <c r="X419" s="5"/>
      <c r="Y419" s="5"/>
      <c r="Z419" s="5"/>
      <c r="AA419" s="5"/>
      <c r="AB419" s="5"/>
      <c r="AC419" s="5"/>
    </row>
    <row r="420" spans="1:29" ht="12.75" customHeight="1">
      <c r="A420" s="5"/>
      <c r="B420" s="5"/>
      <c r="C420" s="5"/>
      <c r="D420" s="5"/>
      <c r="E420" s="5"/>
      <c r="F420" s="5"/>
      <c r="G420" s="5"/>
      <c r="H420" s="306"/>
      <c r="I420" s="306"/>
      <c r="J420" s="5"/>
      <c r="K420" s="5"/>
      <c r="L420" s="5"/>
      <c r="M420" s="5"/>
      <c r="N420" s="5"/>
      <c r="O420" s="5"/>
      <c r="P420" s="5"/>
      <c r="Q420" s="5"/>
      <c r="R420" s="57"/>
      <c r="S420" s="5"/>
      <c r="T420" s="5"/>
      <c r="U420" s="5"/>
      <c r="V420" s="5"/>
      <c r="W420" s="5"/>
      <c r="X420" s="5"/>
      <c r="Y420" s="5"/>
      <c r="Z420" s="5"/>
      <c r="AA420" s="5"/>
      <c r="AB420" s="5"/>
      <c r="AC420" s="5"/>
    </row>
    <row r="421" spans="1:29" ht="12.75" customHeight="1">
      <c r="A421" s="5"/>
      <c r="B421" s="5"/>
      <c r="C421" s="5"/>
      <c r="D421" s="5"/>
      <c r="E421" s="5"/>
      <c r="F421" s="5"/>
      <c r="G421" s="5"/>
      <c r="H421" s="306"/>
      <c r="I421" s="306"/>
      <c r="J421" s="5"/>
      <c r="K421" s="5"/>
      <c r="L421" s="5"/>
      <c r="M421" s="5"/>
      <c r="N421" s="5"/>
      <c r="O421" s="5"/>
      <c r="P421" s="5"/>
      <c r="Q421" s="5"/>
      <c r="R421" s="57"/>
      <c r="S421" s="5"/>
      <c r="T421" s="5"/>
      <c r="U421" s="5"/>
      <c r="V421" s="5"/>
      <c r="W421" s="5"/>
      <c r="X421" s="5"/>
      <c r="Y421" s="5"/>
      <c r="Z421" s="5"/>
      <c r="AA421" s="5"/>
      <c r="AB421" s="5"/>
      <c r="AC421" s="5"/>
    </row>
    <row r="422" spans="1:29" ht="12.75" customHeight="1">
      <c r="A422" s="5"/>
      <c r="B422" s="5"/>
      <c r="C422" s="5"/>
      <c r="D422" s="5"/>
      <c r="E422" s="5"/>
      <c r="F422" s="5"/>
      <c r="G422" s="5"/>
      <c r="H422" s="306"/>
      <c r="I422" s="306"/>
      <c r="J422" s="5"/>
      <c r="K422" s="5"/>
      <c r="L422" s="5"/>
      <c r="M422" s="5"/>
      <c r="N422" s="5"/>
      <c r="O422" s="5"/>
      <c r="P422" s="5"/>
      <c r="Q422" s="5"/>
      <c r="R422" s="57"/>
      <c r="S422" s="5"/>
      <c r="T422" s="5"/>
      <c r="U422" s="5"/>
      <c r="V422" s="5"/>
      <c r="W422" s="5"/>
      <c r="X422" s="5"/>
      <c r="Y422" s="5"/>
      <c r="Z422" s="5"/>
      <c r="AA422" s="5"/>
      <c r="AB422" s="5"/>
      <c r="AC422" s="5"/>
    </row>
    <row r="423" spans="1:29" ht="12.75" customHeight="1">
      <c r="A423" s="5"/>
      <c r="B423" s="5"/>
      <c r="C423" s="5"/>
      <c r="D423" s="5"/>
      <c r="E423" s="5"/>
      <c r="F423" s="5"/>
      <c r="G423" s="5"/>
      <c r="H423" s="306"/>
      <c r="I423" s="306"/>
      <c r="J423" s="5"/>
      <c r="K423" s="5"/>
      <c r="L423" s="5"/>
      <c r="M423" s="5"/>
      <c r="N423" s="5"/>
      <c r="O423" s="5"/>
      <c r="P423" s="5"/>
      <c r="Q423" s="5"/>
      <c r="R423" s="57"/>
      <c r="S423" s="5"/>
      <c r="T423" s="5"/>
      <c r="U423" s="5"/>
      <c r="V423" s="5"/>
      <c r="W423" s="5"/>
      <c r="X423" s="5"/>
      <c r="Y423" s="5"/>
      <c r="Z423" s="5"/>
      <c r="AA423" s="5"/>
      <c r="AB423" s="5"/>
      <c r="AC423" s="5"/>
    </row>
    <row r="424" spans="1:29" ht="12.75" customHeight="1">
      <c r="A424" s="5"/>
      <c r="B424" s="5"/>
      <c r="C424" s="5"/>
      <c r="D424" s="5"/>
      <c r="E424" s="5"/>
      <c r="F424" s="5"/>
      <c r="G424" s="5"/>
      <c r="H424" s="306"/>
      <c r="I424" s="306"/>
      <c r="J424" s="5"/>
      <c r="K424" s="5"/>
      <c r="L424" s="5"/>
      <c r="M424" s="5"/>
      <c r="N424" s="5"/>
      <c r="O424" s="5"/>
      <c r="P424" s="5"/>
      <c r="Q424" s="5"/>
      <c r="R424" s="57"/>
      <c r="S424" s="5"/>
      <c r="T424" s="5"/>
      <c r="U424" s="5"/>
      <c r="V424" s="5"/>
      <c r="W424" s="5"/>
      <c r="X424" s="5"/>
      <c r="Y424" s="5"/>
      <c r="Z424" s="5"/>
      <c r="AA424" s="5"/>
      <c r="AB424" s="5"/>
      <c r="AC424" s="5"/>
    </row>
    <row r="425" spans="1:29" ht="12.75" customHeight="1">
      <c r="A425" s="5"/>
      <c r="B425" s="5"/>
      <c r="C425" s="5"/>
      <c r="D425" s="5"/>
      <c r="E425" s="5"/>
      <c r="F425" s="5"/>
      <c r="G425" s="5"/>
      <c r="H425" s="306"/>
      <c r="I425" s="306"/>
      <c r="J425" s="5"/>
      <c r="K425" s="5"/>
      <c r="L425" s="5"/>
      <c r="M425" s="5"/>
      <c r="N425" s="5"/>
      <c r="O425" s="5"/>
      <c r="P425" s="5"/>
      <c r="Q425" s="5"/>
      <c r="R425" s="57"/>
      <c r="S425" s="5"/>
      <c r="T425" s="5"/>
      <c r="U425" s="5"/>
      <c r="V425" s="5"/>
      <c r="W425" s="5"/>
      <c r="X425" s="5"/>
      <c r="Y425" s="5"/>
      <c r="Z425" s="5"/>
      <c r="AA425" s="5"/>
      <c r="AB425" s="5"/>
      <c r="AC425" s="5"/>
    </row>
    <row r="426" spans="1:29" ht="12.75" customHeight="1">
      <c r="A426" s="5"/>
      <c r="B426" s="5"/>
      <c r="C426" s="5"/>
      <c r="D426" s="5"/>
      <c r="E426" s="5"/>
      <c r="F426" s="5"/>
      <c r="G426" s="5"/>
      <c r="H426" s="306"/>
      <c r="I426" s="306"/>
      <c r="J426" s="5"/>
      <c r="K426" s="5"/>
      <c r="L426" s="5"/>
      <c r="M426" s="5"/>
      <c r="N426" s="5"/>
      <c r="O426" s="5"/>
      <c r="P426" s="5"/>
      <c r="Q426" s="5"/>
      <c r="R426" s="57"/>
      <c r="S426" s="5"/>
      <c r="T426" s="5"/>
      <c r="U426" s="5"/>
      <c r="V426" s="5"/>
      <c r="W426" s="5"/>
      <c r="X426" s="5"/>
      <c r="Y426" s="5"/>
      <c r="Z426" s="5"/>
      <c r="AA426" s="5"/>
      <c r="AB426" s="5"/>
      <c r="AC426" s="5"/>
    </row>
    <row r="427" spans="1:29" ht="12.75" customHeight="1">
      <c r="A427" s="5"/>
      <c r="B427" s="5"/>
      <c r="C427" s="5"/>
      <c r="D427" s="5"/>
      <c r="E427" s="5"/>
      <c r="F427" s="5"/>
      <c r="G427" s="5"/>
      <c r="H427" s="306"/>
      <c r="I427" s="306"/>
      <c r="J427" s="5"/>
      <c r="K427" s="5"/>
      <c r="L427" s="5"/>
      <c r="M427" s="5"/>
      <c r="N427" s="5"/>
      <c r="O427" s="5"/>
      <c r="P427" s="5"/>
      <c r="Q427" s="5"/>
      <c r="R427" s="57"/>
      <c r="S427" s="5"/>
      <c r="T427" s="5"/>
      <c r="U427" s="5"/>
      <c r="V427" s="5"/>
      <c r="W427" s="5"/>
      <c r="X427" s="5"/>
      <c r="Y427" s="5"/>
      <c r="Z427" s="5"/>
      <c r="AA427" s="5"/>
      <c r="AB427" s="5"/>
      <c r="AC427" s="5"/>
    </row>
    <row r="428" spans="1:29" ht="12.75" customHeight="1">
      <c r="A428" s="5"/>
      <c r="B428" s="5"/>
      <c r="C428" s="5"/>
      <c r="D428" s="5"/>
      <c r="E428" s="5"/>
      <c r="F428" s="5"/>
      <c r="G428" s="5"/>
      <c r="H428" s="306"/>
      <c r="I428" s="306"/>
      <c r="J428" s="5"/>
      <c r="K428" s="5"/>
      <c r="L428" s="5"/>
      <c r="M428" s="5"/>
      <c r="N428" s="5"/>
      <c r="O428" s="5"/>
      <c r="P428" s="5"/>
      <c r="Q428" s="5"/>
      <c r="R428" s="57"/>
      <c r="S428" s="5"/>
      <c r="T428" s="5"/>
      <c r="U428" s="5"/>
      <c r="V428" s="5"/>
      <c r="W428" s="5"/>
      <c r="X428" s="5"/>
      <c r="Y428" s="5"/>
      <c r="Z428" s="5"/>
      <c r="AA428" s="5"/>
      <c r="AB428" s="5"/>
      <c r="AC428" s="5"/>
    </row>
    <row r="429" spans="1:29" ht="12.75" customHeight="1">
      <c r="A429" s="5"/>
      <c r="B429" s="5"/>
      <c r="C429" s="5"/>
      <c r="D429" s="5"/>
      <c r="E429" s="5"/>
      <c r="F429" s="5"/>
      <c r="G429" s="5"/>
      <c r="H429" s="306"/>
      <c r="I429" s="306"/>
      <c r="J429" s="5"/>
      <c r="K429" s="5"/>
      <c r="L429" s="5"/>
      <c r="M429" s="5"/>
      <c r="N429" s="5"/>
      <c r="O429" s="5"/>
      <c r="P429" s="5"/>
      <c r="Q429" s="5"/>
      <c r="R429" s="57"/>
      <c r="S429" s="5"/>
      <c r="T429" s="5"/>
      <c r="U429" s="5"/>
      <c r="V429" s="5"/>
      <c r="W429" s="5"/>
      <c r="X429" s="5"/>
      <c r="Y429" s="5"/>
      <c r="Z429" s="5"/>
      <c r="AA429" s="5"/>
      <c r="AB429" s="5"/>
      <c r="AC429" s="5"/>
    </row>
    <row r="430" spans="1:29" ht="12.75" customHeight="1">
      <c r="A430" s="5"/>
      <c r="B430" s="5"/>
      <c r="C430" s="5"/>
      <c r="D430" s="5"/>
      <c r="E430" s="5"/>
      <c r="F430" s="5"/>
      <c r="G430" s="5"/>
      <c r="H430" s="306"/>
      <c r="I430" s="306"/>
      <c r="J430" s="5"/>
      <c r="K430" s="5"/>
      <c r="L430" s="5"/>
      <c r="M430" s="5"/>
      <c r="N430" s="5"/>
      <c r="O430" s="5"/>
      <c r="P430" s="5"/>
      <c r="Q430" s="5"/>
      <c r="R430" s="57"/>
      <c r="S430" s="5"/>
      <c r="T430" s="5"/>
      <c r="U430" s="5"/>
      <c r="V430" s="5"/>
      <c r="W430" s="5"/>
      <c r="X430" s="5"/>
      <c r="Y430" s="5"/>
      <c r="Z430" s="5"/>
      <c r="AA430" s="5"/>
      <c r="AB430" s="5"/>
      <c r="AC430" s="5"/>
    </row>
    <row r="431" spans="1:29" ht="12.75" customHeight="1">
      <c r="A431" s="5"/>
      <c r="B431" s="5"/>
      <c r="C431" s="5"/>
      <c r="D431" s="5"/>
      <c r="E431" s="5"/>
      <c r="F431" s="5"/>
      <c r="G431" s="5"/>
      <c r="H431" s="306"/>
      <c r="I431" s="306"/>
      <c r="J431" s="5"/>
      <c r="K431" s="5"/>
      <c r="L431" s="5"/>
      <c r="M431" s="5"/>
      <c r="N431" s="5"/>
      <c r="O431" s="5"/>
      <c r="P431" s="5"/>
      <c r="Q431" s="5"/>
      <c r="R431" s="57"/>
      <c r="S431" s="5"/>
      <c r="T431" s="5"/>
      <c r="U431" s="5"/>
      <c r="V431" s="5"/>
      <c r="W431" s="5"/>
      <c r="X431" s="5"/>
      <c r="Y431" s="5"/>
      <c r="Z431" s="5"/>
      <c r="AA431" s="5"/>
      <c r="AB431" s="5"/>
      <c r="AC431" s="5"/>
    </row>
    <row r="432" spans="1:29" ht="12.75" customHeight="1">
      <c r="A432" s="5"/>
      <c r="B432" s="5"/>
      <c r="C432" s="5"/>
      <c r="D432" s="5"/>
      <c r="E432" s="5"/>
      <c r="F432" s="5"/>
      <c r="G432" s="5"/>
      <c r="H432" s="306"/>
      <c r="I432" s="306"/>
      <c r="J432" s="5"/>
      <c r="K432" s="5"/>
      <c r="L432" s="5"/>
      <c r="M432" s="5"/>
      <c r="N432" s="5"/>
      <c r="O432" s="5"/>
      <c r="P432" s="5"/>
      <c r="Q432" s="5"/>
      <c r="R432" s="57"/>
      <c r="S432" s="5"/>
      <c r="T432" s="5"/>
      <c r="U432" s="5"/>
      <c r="V432" s="5"/>
      <c r="W432" s="5"/>
      <c r="X432" s="5"/>
      <c r="Y432" s="5"/>
      <c r="Z432" s="5"/>
      <c r="AA432" s="5"/>
      <c r="AB432" s="5"/>
      <c r="AC432" s="5"/>
    </row>
    <row r="433" spans="1:29" ht="12.75" customHeight="1">
      <c r="A433" s="5"/>
      <c r="B433" s="5"/>
      <c r="C433" s="5"/>
      <c r="D433" s="5"/>
      <c r="E433" s="5"/>
      <c r="F433" s="5"/>
      <c r="G433" s="5"/>
      <c r="H433" s="306"/>
      <c r="I433" s="306"/>
      <c r="J433" s="5"/>
      <c r="K433" s="5"/>
      <c r="L433" s="5"/>
      <c r="M433" s="5"/>
      <c r="N433" s="5"/>
      <c r="O433" s="5"/>
      <c r="P433" s="5"/>
      <c r="Q433" s="5"/>
      <c r="R433" s="57"/>
      <c r="S433" s="5"/>
      <c r="T433" s="5"/>
      <c r="U433" s="5"/>
      <c r="V433" s="5"/>
      <c r="W433" s="5"/>
      <c r="X433" s="5"/>
      <c r="Y433" s="5"/>
      <c r="Z433" s="5"/>
      <c r="AA433" s="5"/>
      <c r="AB433" s="5"/>
      <c r="AC433" s="5"/>
    </row>
    <row r="434" spans="1:29" ht="12.75" customHeight="1">
      <c r="A434" s="5"/>
      <c r="B434" s="5"/>
      <c r="C434" s="5"/>
      <c r="D434" s="5"/>
      <c r="E434" s="5"/>
      <c r="F434" s="5"/>
      <c r="G434" s="5"/>
      <c r="H434" s="306"/>
      <c r="I434" s="306"/>
      <c r="J434" s="5"/>
      <c r="K434" s="5"/>
      <c r="L434" s="5"/>
      <c r="M434" s="5"/>
      <c r="N434" s="5"/>
      <c r="O434" s="5"/>
      <c r="P434" s="5"/>
      <c r="Q434" s="5"/>
      <c r="R434" s="57"/>
      <c r="S434" s="5"/>
      <c r="T434" s="5"/>
      <c r="U434" s="5"/>
      <c r="V434" s="5"/>
      <c r="W434" s="5"/>
      <c r="X434" s="5"/>
      <c r="Y434" s="5"/>
      <c r="Z434" s="5"/>
      <c r="AA434" s="5"/>
      <c r="AB434" s="5"/>
      <c r="AC434" s="5"/>
    </row>
    <row r="435" spans="1:29" ht="12.75" customHeight="1">
      <c r="A435" s="5"/>
      <c r="B435" s="5"/>
      <c r="C435" s="5"/>
      <c r="D435" s="5"/>
      <c r="E435" s="5"/>
      <c r="F435" s="5"/>
      <c r="G435" s="5"/>
      <c r="H435" s="306"/>
      <c r="I435" s="306"/>
      <c r="J435" s="5"/>
      <c r="K435" s="5"/>
      <c r="L435" s="5"/>
      <c r="M435" s="5"/>
      <c r="N435" s="5"/>
      <c r="O435" s="5"/>
      <c r="P435" s="5"/>
      <c r="Q435" s="5"/>
      <c r="R435" s="57"/>
      <c r="S435" s="5"/>
      <c r="T435" s="5"/>
      <c r="U435" s="5"/>
      <c r="V435" s="5"/>
      <c r="W435" s="5"/>
      <c r="X435" s="5"/>
      <c r="Y435" s="5"/>
      <c r="Z435" s="5"/>
      <c r="AA435" s="5"/>
      <c r="AB435" s="5"/>
      <c r="AC435" s="5"/>
    </row>
    <row r="436" spans="1:29" ht="12.75" customHeight="1">
      <c r="A436" s="5"/>
      <c r="B436" s="5"/>
      <c r="C436" s="5"/>
      <c r="D436" s="5"/>
      <c r="E436" s="5"/>
      <c r="F436" s="5"/>
      <c r="G436" s="5"/>
      <c r="H436" s="306"/>
      <c r="I436" s="306"/>
      <c r="J436" s="5"/>
      <c r="K436" s="5"/>
      <c r="L436" s="5"/>
      <c r="M436" s="5"/>
      <c r="N436" s="5"/>
      <c r="O436" s="5"/>
      <c r="P436" s="5"/>
      <c r="Q436" s="5"/>
      <c r="R436" s="57"/>
      <c r="S436" s="5"/>
      <c r="T436" s="5"/>
      <c r="U436" s="5"/>
      <c r="V436" s="5"/>
      <c r="W436" s="5"/>
      <c r="X436" s="5"/>
      <c r="Y436" s="5"/>
      <c r="Z436" s="5"/>
      <c r="AA436" s="5"/>
      <c r="AB436" s="5"/>
      <c r="AC436" s="5"/>
    </row>
    <row r="437" spans="1:29" ht="12.75" customHeight="1">
      <c r="A437" s="5"/>
      <c r="B437" s="5"/>
      <c r="C437" s="5"/>
      <c r="D437" s="5"/>
      <c r="E437" s="5"/>
      <c r="F437" s="5"/>
      <c r="G437" s="5"/>
      <c r="H437" s="306"/>
      <c r="I437" s="306"/>
      <c r="J437" s="5"/>
      <c r="K437" s="5"/>
      <c r="L437" s="5"/>
      <c r="M437" s="5"/>
      <c r="N437" s="5"/>
      <c r="O437" s="5"/>
      <c r="P437" s="5"/>
      <c r="Q437" s="5"/>
      <c r="R437" s="57"/>
      <c r="S437" s="5"/>
      <c r="T437" s="5"/>
      <c r="U437" s="5"/>
      <c r="V437" s="5"/>
      <c r="W437" s="5"/>
      <c r="X437" s="5"/>
      <c r="Y437" s="5"/>
      <c r="Z437" s="5"/>
      <c r="AA437" s="5"/>
      <c r="AB437" s="5"/>
      <c r="AC437" s="5"/>
    </row>
    <row r="438" spans="1:29" ht="12.75" customHeight="1">
      <c r="A438" s="5"/>
      <c r="B438" s="5"/>
      <c r="C438" s="5"/>
      <c r="D438" s="5"/>
      <c r="E438" s="5"/>
      <c r="F438" s="5"/>
      <c r="G438" s="5"/>
      <c r="H438" s="306"/>
      <c r="I438" s="306"/>
      <c r="J438" s="5"/>
      <c r="K438" s="5"/>
      <c r="L438" s="5"/>
      <c r="M438" s="5"/>
      <c r="N438" s="5"/>
      <c r="O438" s="5"/>
      <c r="P438" s="5"/>
      <c r="Q438" s="5"/>
      <c r="R438" s="57"/>
      <c r="S438" s="5"/>
      <c r="T438" s="5"/>
      <c r="U438" s="5"/>
      <c r="V438" s="5"/>
      <c r="W438" s="5"/>
      <c r="X438" s="5"/>
      <c r="Y438" s="5"/>
      <c r="Z438" s="5"/>
      <c r="AA438" s="5"/>
      <c r="AB438" s="5"/>
      <c r="AC438" s="5"/>
    </row>
    <row r="439" spans="1:29" ht="12.75" customHeight="1">
      <c r="A439" s="5"/>
      <c r="B439" s="5"/>
      <c r="C439" s="5"/>
      <c r="D439" s="5"/>
      <c r="E439" s="5"/>
      <c r="F439" s="5"/>
      <c r="G439" s="5"/>
      <c r="H439" s="306"/>
      <c r="I439" s="306"/>
      <c r="J439" s="5"/>
      <c r="K439" s="5"/>
      <c r="L439" s="5"/>
      <c r="M439" s="5"/>
      <c r="N439" s="5"/>
      <c r="O439" s="5"/>
      <c r="P439" s="5"/>
      <c r="Q439" s="5"/>
      <c r="R439" s="57"/>
      <c r="S439" s="5"/>
      <c r="T439" s="5"/>
      <c r="U439" s="5"/>
      <c r="V439" s="5"/>
      <c r="W439" s="5"/>
      <c r="X439" s="5"/>
      <c r="Y439" s="5"/>
      <c r="Z439" s="5"/>
      <c r="AA439" s="5"/>
      <c r="AB439" s="5"/>
      <c r="AC439" s="5"/>
    </row>
    <row r="440" spans="1:29" ht="12.75" customHeight="1">
      <c r="A440" s="5"/>
      <c r="B440" s="5"/>
      <c r="C440" s="5"/>
      <c r="D440" s="5"/>
      <c r="E440" s="5"/>
      <c r="F440" s="5"/>
      <c r="G440" s="5"/>
      <c r="H440" s="306"/>
      <c r="I440" s="306"/>
      <c r="J440" s="5"/>
      <c r="K440" s="5"/>
      <c r="L440" s="5"/>
      <c r="M440" s="5"/>
      <c r="N440" s="5"/>
      <c r="O440" s="5"/>
      <c r="P440" s="5"/>
      <c r="Q440" s="5"/>
      <c r="R440" s="57"/>
      <c r="S440" s="5"/>
      <c r="T440" s="5"/>
      <c r="U440" s="5"/>
      <c r="V440" s="5"/>
      <c r="W440" s="5"/>
      <c r="X440" s="5"/>
      <c r="Y440" s="5"/>
      <c r="Z440" s="5"/>
      <c r="AA440" s="5"/>
      <c r="AB440" s="5"/>
      <c r="AC440" s="5"/>
    </row>
    <row r="441" spans="1:29" ht="12.75" customHeight="1">
      <c r="A441" s="5"/>
      <c r="B441" s="5"/>
      <c r="C441" s="5"/>
      <c r="D441" s="5"/>
      <c r="E441" s="5"/>
      <c r="F441" s="5"/>
      <c r="G441" s="5"/>
      <c r="H441" s="306"/>
      <c r="I441" s="306"/>
      <c r="J441" s="5"/>
      <c r="K441" s="5"/>
      <c r="L441" s="5"/>
      <c r="M441" s="5"/>
      <c r="N441" s="5"/>
      <c r="O441" s="5"/>
      <c r="P441" s="5"/>
      <c r="Q441" s="5"/>
      <c r="R441" s="57"/>
      <c r="S441" s="5"/>
      <c r="T441" s="5"/>
      <c r="U441" s="5"/>
      <c r="V441" s="5"/>
      <c r="W441" s="5"/>
      <c r="X441" s="5"/>
      <c r="Y441" s="5"/>
      <c r="Z441" s="5"/>
      <c r="AA441" s="5"/>
      <c r="AB441" s="5"/>
      <c r="AC441" s="5"/>
    </row>
    <row r="442" spans="1:29" ht="12.75" customHeight="1">
      <c r="A442" s="5"/>
      <c r="B442" s="5"/>
      <c r="C442" s="5"/>
      <c r="D442" s="5"/>
      <c r="E442" s="5"/>
      <c r="F442" s="5"/>
      <c r="G442" s="5"/>
      <c r="H442" s="306"/>
      <c r="I442" s="306"/>
      <c r="J442" s="5"/>
      <c r="K442" s="5"/>
      <c r="L442" s="5"/>
      <c r="M442" s="5"/>
      <c r="N442" s="5"/>
      <c r="O442" s="5"/>
      <c r="P442" s="5"/>
      <c r="Q442" s="5"/>
      <c r="R442" s="57"/>
      <c r="S442" s="5"/>
      <c r="T442" s="5"/>
      <c r="U442" s="5"/>
      <c r="V442" s="5"/>
      <c r="W442" s="5"/>
      <c r="X442" s="5"/>
      <c r="Y442" s="5"/>
      <c r="Z442" s="5"/>
      <c r="AA442" s="5"/>
      <c r="AB442" s="5"/>
      <c r="AC442" s="5"/>
    </row>
    <row r="443" spans="1:29" ht="12.75" customHeight="1">
      <c r="A443" s="5"/>
      <c r="B443" s="5"/>
      <c r="C443" s="5"/>
      <c r="D443" s="5"/>
      <c r="E443" s="5"/>
      <c r="F443" s="5"/>
      <c r="G443" s="5"/>
      <c r="H443" s="306"/>
      <c r="I443" s="306"/>
      <c r="J443" s="5"/>
      <c r="K443" s="5"/>
      <c r="L443" s="5"/>
      <c r="M443" s="5"/>
      <c r="N443" s="5"/>
      <c r="O443" s="5"/>
      <c r="P443" s="5"/>
      <c r="Q443" s="5"/>
      <c r="R443" s="57"/>
      <c r="S443" s="5"/>
      <c r="T443" s="5"/>
      <c r="U443" s="5"/>
      <c r="V443" s="5"/>
      <c r="W443" s="5"/>
      <c r="X443" s="5"/>
      <c r="Y443" s="5"/>
      <c r="Z443" s="5"/>
      <c r="AA443" s="5"/>
      <c r="AB443" s="5"/>
      <c r="AC443" s="5"/>
    </row>
    <row r="444" spans="1:29" ht="12.75" customHeight="1">
      <c r="A444" s="5"/>
      <c r="B444" s="5"/>
      <c r="C444" s="5"/>
      <c r="D444" s="5"/>
      <c r="E444" s="5"/>
      <c r="F444" s="5"/>
      <c r="G444" s="5"/>
      <c r="H444" s="306"/>
      <c r="I444" s="306"/>
      <c r="J444" s="5"/>
      <c r="K444" s="5"/>
      <c r="L444" s="5"/>
      <c r="M444" s="5"/>
      <c r="N444" s="5"/>
      <c r="O444" s="5"/>
      <c r="P444" s="5"/>
      <c r="Q444" s="5"/>
      <c r="R444" s="57"/>
      <c r="S444" s="5"/>
      <c r="T444" s="5"/>
      <c r="U444" s="5"/>
      <c r="V444" s="5"/>
      <c r="W444" s="5"/>
      <c r="X444" s="5"/>
      <c r="Y444" s="5"/>
      <c r="Z444" s="5"/>
      <c r="AA444" s="5"/>
      <c r="AB444" s="5"/>
      <c r="AC444" s="5"/>
    </row>
    <row r="445" spans="1:29" ht="12.75" customHeight="1">
      <c r="A445" s="5"/>
      <c r="B445" s="5"/>
      <c r="C445" s="5"/>
      <c r="D445" s="5"/>
      <c r="E445" s="5"/>
      <c r="F445" s="5"/>
      <c r="G445" s="5"/>
      <c r="H445" s="306"/>
      <c r="I445" s="306"/>
      <c r="J445" s="5"/>
      <c r="K445" s="5"/>
      <c r="L445" s="5"/>
      <c r="M445" s="5"/>
      <c r="N445" s="5"/>
      <c r="O445" s="5"/>
      <c r="P445" s="5"/>
      <c r="Q445" s="5"/>
      <c r="R445" s="57"/>
      <c r="S445" s="5"/>
      <c r="T445" s="5"/>
      <c r="U445" s="5"/>
      <c r="V445" s="5"/>
      <c r="W445" s="5"/>
      <c r="X445" s="5"/>
      <c r="Y445" s="5"/>
      <c r="Z445" s="5"/>
      <c r="AA445" s="5"/>
      <c r="AB445" s="5"/>
      <c r="AC445" s="5"/>
    </row>
    <row r="446" spans="1:29" ht="12.75" customHeight="1">
      <c r="A446" s="5"/>
      <c r="B446" s="5"/>
      <c r="C446" s="5"/>
      <c r="D446" s="5"/>
      <c r="E446" s="5"/>
      <c r="F446" s="5"/>
      <c r="G446" s="5"/>
      <c r="H446" s="306"/>
      <c r="I446" s="306"/>
      <c r="J446" s="5"/>
      <c r="K446" s="5"/>
      <c r="L446" s="5"/>
      <c r="M446" s="5"/>
      <c r="N446" s="5"/>
      <c r="O446" s="5"/>
      <c r="P446" s="5"/>
      <c r="Q446" s="5"/>
      <c r="R446" s="57"/>
      <c r="S446" s="5"/>
      <c r="T446" s="5"/>
      <c r="U446" s="5"/>
      <c r="V446" s="5"/>
      <c r="W446" s="5"/>
      <c r="X446" s="5"/>
      <c r="Y446" s="5"/>
      <c r="Z446" s="5"/>
      <c r="AA446" s="5"/>
      <c r="AB446" s="5"/>
      <c r="AC446" s="5"/>
    </row>
    <row r="447" spans="1:29" ht="12.75" customHeight="1">
      <c r="A447" s="5"/>
      <c r="B447" s="5"/>
      <c r="C447" s="5"/>
      <c r="D447" s="5"/>
      <c r="E447" s="5"/>
      <c r="F447" s="5"/>
      <c r="G447" s="5"/>
      <c r="H447" s="306"/>
      <c r="I447" s="306"/>
      <c r="J447" s="5"/>
      <c r="K447" s="5"/>
      <c r="L447" s="5"/>
      <c r="M447" s="5"/>
      <c r="N447" s="5"/>
      <c r="O447" s="5"/>
      <c r="P447" s="5"/>
      <c r="Q447" s="5"/>
      <c r="R447" s="57"/>
      <c r="S447" s="5"/>
      <c r="T447" s="5"/>
      <c r="U447" s="5"/>
      <c r="V447" s="5"/>
      <c r="W447" s="5"/>
      <c r="X447" s="5"/>
      <c r="Y447" s="5"/>
      <c r="Z447" s="5"/>
      <c r="AA447" s="5"/>
      <c r="AB447" s="5"/>
      <c r="AC447" s="5"/>
    </row>
    <row r="448" spans="1:29" ht="12.75" customHeight="1">
      <c r="A448" s="5"/>
      <c r="B448" s="5"/>
      <c r="C448" s="5"/>
      <c r="D448" s="5"/>
      <c r="E448" s="5"/>
      <c r="F448" s="5"/>
      <c r="G448" s="5"/>
      <c r="H448" s="306"/>
      <c r="I448" s="306"/>
      <c r="J448" s="5"/>
      <c r="K448" s="5"/>
      <c r="L448" s="5"/>
      <c r="M448" s="5"/>
      <c r="N448" s="5"/>
      <c r="O448" s="5"/>
      <c r="P448" s="5"/>
      <c r="Q448" s="5"/>
      <c r="R448" s="57"/>
      <c r="S448" s="5"/>
      <c r="T448" s="5"/>
      <c r="U448" s="5"/>
      <c r="V448" s="5"/>
      <c r="W448" s="5"/>
      <c r="X448" s="5"/>
      <c r="Y448" s="5"/>
      <c r="Z448" s="5"/>
      <c r="AA448" s="5"/>
      <c r="AB448" s="5"/>
      <c r="AC448" s="5"/>
    </row>
    <row r="449" spans="1:29" ht="12.75" customHeight="1">
      <c r="A449" s="5"/>
      <c r="B449" s="5"/>
      <c r="C449" s="5"/>
      <c r="D449" s="5"/>
      <c r="E449" s="5"/>
      <c r="F449" s="5"/>
      <c r="G449" s="5"/>
      <c r="H449" s="306"/>
      <c r="I449" s="306"/>
      <c r="J449" s="5"/>
      <c r="K449" s="5"/>
      <c r="L449" s="5"/>
      <c r="M449" s="5"/>
      <c r="N449" s="5"/>
      <c r="O449" s="5"/>
      <c r="P449" s="5"/>
      <c r="Q449" s="5"/>
      <c r="R449" s="57"/>
      <c r="S449" s="5"/>
      <c r="T449" s="5"/>
      <c r="U449" s="5"/>
      <c r="V449" s="5"/>
      <c r="W449" s="5"/>
      <c r="X449" s="5"/>
      <c r="Y449" s="5"/>
      <c r="Z449" s="5"/>
      <c r="AA449" s="5"/>
      <c r="AB449" s="5"/>
      <c r="AC449" s="5"/>
    </row>
    <row r="450" spans="1:29" ht="12.75" customHeight="1">
      <c r="A450" s="5"/>
      <c r="B450" s="5"/>
      <c r="C450" s="5"/>
      <c r="D450" s="5"/>
      <c r="E450" s="5"/>
      <c r="F450" s="5"/>
      <c r="G450" s="5"/>
      <c r="H450" s="306"/>
      <c r="I450" s="306"/>
      <c r="J450" s="5"/>
      <c r="K450" s="5"/>
      <c r="L450" s="5"/>
      <c r="M450" s="5"/>
      <c r="N450" s="5"/>
      <c r="O450" s="5"/>
      <c r="P450" s="5"/>
      <c r="Q450" s="5"/>
      <c r="R450" s="57"/>
      <c r="S450" s="5"/>
      <c r="T450" s="5"/>
      <c r="U450" s="5"/>
      <c r="V450" s="5"/>
      <c r="W450" s="5"/>
      <c r="X450" s="5"/>
      <c r="Y450" s="5"/>
      <c r="Z450" s="5"/>
      <c r="AA450" s="5"/>
      <c r="AB450" s="5"/>
      <c r="AC450" s="5"/>
    </row>
    <row r="451" spans="1:29" ht="12.75" customHeight="1">
      <c r="A451" s="5"/>
      <c r="B451" s="5"/>
      <c r="C451" s="5"/>
      <c r="D451" s="5"/>
      <c r="E451" s="5"/>
      <c r="F451" s="5"/>
      <c r="G451" s="5"/>
      <c r="H451" s="306"/>
      <c r="I451" s="306"/>
      <c r="J451" s="5"/>
      <c r="K451" s="5"/>
      <c r="L451" s="5"/>
      <c r="M451" s="5"/>
      <c r="N451" s="5"/>
      <c r="O451" s="5"/>
      <c r="P451" s="5"/>
      <c r="Q451" s="5"/>
      <c r="R451" s="57"/>
      <c r="S451" s="5"/>
      <c r="T451" s="5"/>
      <c r="U451" s="5"/>
      <c r="V451" s="5"/>
      <c r="W451" s="5"/>
      <c r="X451" s="5"/>
      <c r="Y451" s="5"/>
      <c r="Z451" s="5"/>
      <c r="AA451" s="5"/>
      <c r="AB451" s="5"/>
      <c r="AC451" s="5"/>
    </row>
    <row r="452" spans="1:29" ht="12.75" customHeight="1">
      <c r="A452" s="5"/>
      <c r="B452" s="5"/>
      <c r="C452" s="5"/>
      <c r="D452" s="5"/>
      <c r="E452" s="5"/>
      <c r="F452" s="5"/>
      <c r="G452" s="5"/>
      <c r="H452" s="306"/>
      <c r="I452" s="306"/>
      <c r="J452" s="5"/>
      <c r="K452" s="5"/>
      <c r="L452" s="5"/>
      <c r="M452" s="5"/>
      <c r="N452" s="5"/>
      <c r="O452" s="5"/>
      <c r="P452" s="5"/>
      <c r="Q452" s="5"/>
      <c r="R452" s="57"/>
      <c r="S452" s="5"/>
      <c r="T452" s="5"/>
      <c r="U452" s="5"/>
      <c r="V452" s="5"/>
      <c r="W452" s="5"/>
      <c r="X452" s="5"/>
      <c r="Y452" s="5"/>
      <c r="Z452" s="5"/>
      <c r="AA452" s="5"/>
      <c r="AB452" s="5"/>
      <c r="AC452" s="5"/>
    </row>
    <row r="453" spans="1:29" ht="12.75" customHeight="1">
      <c r="A453" s="5"/>
      <c r="B453" s="5"/>
      <c r="C453" s="5"/>
      <c r="D453" s="5"/>
      <c r="E453" s="5"/>
      <c r="F453" s="5"/>
      <c r="G453" s="5"/>
      <c r="H453" s="306"/>
      <c r="I453" s="306"/>
      <c r="J453" s="5"/>
      <c r="K453" s="5"/>
      <c r="L453" s="5"/>
      <c r="M453" s="5"/>
      <c r="N453" s="5"/>
      <c r="O453" s="5"/>
      <c r="P453" s="5"/>
      <c r="Q453" s="5"/>
      <c r="R453" s="57"/>
      <c r="S453" s="5"/>
      <c r="T453" s="5"/>
      <c r="U453" s="5"/>
      <c r="V453" s="5"/>
      <c r="W453" s="5"/>
      <c r="X453" s="5"/>
      <c r="Y453" s="5"/>
      <c r="Z453" s="5"/>
      <c r="AA453" s="5"/>
      <c r="AB453" s="5"/>
      <c r="AC453" s="5"/>
    </row>
    <row r="454" spans="1:29" ht="12.75" customHeight="1">
      <c r="A454" s="5"/>
      <c r="B454" s="5"/>
      <c r="C454" s="5"/>
      <c r="D454" s="5"/>
      <c r="E454" s="5"/>
      <c r="F454" s="5"/>
      <c r="G454" s="5"/>
      <c r="H454" s="306"/>
      <c r="I454" s="306"/>
      <c r="J454" s="5"/>
      <c r="K454" s="5"/>
      <c r="L454" s="5"/>
      <c r="M454" s="5"/>
      <c r="N454" s="5"/>
      <c r="O454" s="5"/>
      <c r="P454" s="5"/>
      <c r="Q454" s="5"/>
      <c r="R454" s="57"/>
      <c r="S454" s="5"/>
      <c r="T454" s="5"/>
      <c r="U454" s="5"/>
      <c r="V454" s="5"/>
      <c r="W454" s="5"/>
      <c r="X454" s="5"/>
      <c r="Y454" s="5"/>
      <c r="Z454" s="5"/>
      <c r="AA454" s="5"/>
      <c r="AB454" s="5"/>
      <c r="AC454" s="5"/>
    </row>
    <row r="455" spans="1:29" ht="12.75" customHeight="1">
      <c r="A455" s="5"/>
      <c r="B455" s="5"/>
      <c r="C455" s="5"/>
      <c r="D455" s="5"/>
      <c r="E455" s="5"/>
      <c r="F455" s="5"/>
      <c r="G455" s="5"/>
      <c r="H455" s="306"/>
      <c r="I455" s="306"/>
      <c r="J455" s="5"/>
      <c r="K455" s="5"/>
      <c r="L455" s="5"/>
      <c r="M455" s="5"/>
      <c r="N455" s="5"/>
      <c r="O455" s="5"/>
      <c r="P455" s="5"/>
      <c r="Q455" s="5"/>
      <c r="R455" s="57"/>
      <c r="S455" s="5"/>
      <c r="T455" s="5"/>
      <c r="U455" s="5"/>
      <c r="V455" s="5"/>
      <c r="W455" s="5"/>
      <c r="X455" s="5"/>
      <c r="Y455" s="5"/>
      <c r="Z455" s="5"/>
      <c r="AA455" s="5"/>
      <c r="AB455" s="5"/>
      <c r="AC455" s="5"/>
    </row>
    <row r="456" spans="1:29" ht="12.75" customHeight="1">
      <c r="A456" s="5"/>
      <c r="B456" s="5"/>
      <c r="C456" s="5"/>
      <c r="D456" s="5"/>
      <c r="E456" s="5"/>
      <c r="F456" s="5"/>
      <c r="G456" s="5"/>
      <c r="H456" s="306"/>
      <c r="I456" s="306"/>
      <c r="J456" s="5"/>
      <c r="K456" s="5"/>
      <c r="L456" s="5"/>
      <c r="M456" s="5"/>
      <c r="N456" s="5"/>
      <c r="O456" s="5"/>
      <c r="P456" s="5"/>
      <c r="Q456" s="5"/>
      <c r="R456" s="57"/>
      <c r="S456" s="5"/>
      <c r="T456" s="5"/>
      <c r="U456" s="5"/>
      <c r="V456" s="5"/>
      <c r="W456" s="5"/>
      <c r="X456" s="5"/>
      <c r="Y456" s="5"/>
      <c r="Z456" s="5"/>
      <c r="AA456" s="5"/>
      <c r="AB456" s="5"/>
      <c r="AC456" s="5"/>
    </row>
    <row r="457" spans="1:29" ht="12.75" customHeight="1">
      <c r="A457" s="5"/>
      <c r="B457" s="5"/>
      <c r="C457" s="5"/>
      <c r="D457" s="5"/>
      <c r="E457" s="5"/>
      <c r="F457" s="5"/>
      <c r="G457" s="5"/>
      <c r="H457" s="306"/>
      <c r="I457" s="306"/>
      <c r="J457" s="5"/>
      <c r="K457" s="5"/>
      <c r="L457" s="5"/>
      <c r="M457" s="5"/>
      <c r="N457" s="5"/>
      <c r="O457" s="5"/>
      <c r="P457" s="5"/>
      <c r="Q457" s="5"/>
      <c r="R457" s="57"/>
      <c r="S457" s="5"/>
      <c r="T457" s="5"/>
      <c r="U457" s="5"/>
      <c r="V457" s="5"/>
      <c r="W457" s="5"/>
      <c r="X457" s="5"/>
      <c r="Y457" s="5"/>
      <c r="Z457" s="5"/>
      <c r="AA457" s="5"/>
      <c r="AB457" s="5"/>
      <c r="AC457" s="5"/>
    </row>
    <row r="458" spans="1:29" ht="12.75" customHeight="1">
      <c r="A458" s="5"/>
      <c r="B458" s="5"/>
      <c r="C458" s="5"/>
      <c r="D458" s="5"/>
      <c r="E458" s="5"/>
      <c r="F458" s="5"/>
      <c r="G458" s="5"/>
      <c r="H458" s="306"/>
      <c r="I458" s="306"/>
      <c r="J458" s="5"/>
      <c r="K458" s="5"/>
      <c r="L458" s="5"/>
      <c r="M458" s="5"/>
      <c r="N458" s="5"/>
      <c r="O458" s="5"/>
      <c r="P458" s="5"/>
      <c r="Q458" s="5"/>
      <c r="R458" s="57"/>
      <c r="S458" s="5"/>
      <c r="T458" s="5"/>
      <c r="U458" s="5"/>
      <c r="V458" s="5"/>
      <c r="W458" s="5"/>
      <c r="X458" s="5"/>
      <c r="Y458" s="5"/>
      <c r="Z458" s="5"/>
      <c r="AA458" s="5"/>
      <c r="AB458" s="5"/>
      <c r="AC458" s="5"/>
    </row>
    <row r="459" spans="1:29" ht="12.75" customHeight="1">
      <c r="A459" s="5"/>
      <c r="B459" s="5"/>
      <c r="C459" s="5"/>
      <c r="D459" s="5"/>
      <c r="E459" s="5"/>
      <c r="F459" s="5"/>
      <c r="G459" s="5"/>
      <c r="H459" s="306"/>
      <c r="I459" s="306"/>
      <c r="J459" s="5"/>
      <c r="K459" s="5"/>
      <c r="L459" s="5"/>
      <c r="M459" s="5"/>
      <c r="N459" s="5"/>
      <c r="O459" s="5"/>
      <c r="P459" s="5"/>
      <c r="Q459" s="5"/>
      <c r="R459" s="57"/>
      <c r="S459" s="5"/>
      <c r="T459" s="5"/>
      <c r="U459" s="5"/>
      <c r="V459" s="5"/>
      <c r="W459" s="5"/>
      <c r="X459" s="5"/>
      <c r="Y459" s="5"/>
      <c r="Z459" s="5"/>
      <c r="AA459" s="5"/>
      <c r="AB459" s="5"/>
      <c r="AC459" s="5"/>
    </row>
    <row r="460" spans="1:29" ht="12.75" customHeight="1">
      <c r="A460" s="5"/>
      <c r="B460" s="5"/>
      <c r="C460" s="5"/>
      <c r="D460" s="5"/>
      <c r="E460" s="5"/>
      <c r="F460" s="5"/>
      <c r="G460" s="5"/>
      <c r="H460" s="306"/>
      <c r="I460" s="306"/>
      <c r="J460" s="5"/>
      <c r="K460" s="5"/>
      <c r="L460" s="5"/>
      <c r="M460" s="5"/>
      <c r="N460" s="5"/>
      <c r="O460" s="5"/>
      <c r="P460" s="5"/>
      <c r="Q460" s="5"/>
      <c r="R460" s="57"/>
      <c r="S460" s="5"/>
      <c r="T460" s="5"/>
      <c r="U460" s="5"/>
      <c r="V460" s="5"/>
      <c r="W460" s="5"/>
      <c r="X460" s="5"/>
      <c r="Y460" s="5"/>
      <c r="Z460" s="5"/>
      <c r="AA460" s="5"/>
      <c r="AB460" s="5"/>
      <c r="AC460" s="5"/>
    </row>
    <row r="461" spans="1:29" ht="12.75" customHeight="1">
      <c r="A461" s="5"/>
      <c r="B461" s="5"/>
      <c r="C461" s="5"/>
      <c r="D461" s="5"/>
      <c r="E461" s="5"/>
      <c r="F461" s="5"/>
      <c r="G461" s="5"/>
      <c r="H461" s="306"/>
      <c r="I461" s="306"/>
      <c r="J461" s="5"/>
      <c r="K461" s="5"/>
      <c r="L461" s="5"/>
      <c r="M461" s="5"/>
      <c r="N461" s="5"/>
      <c r="O461" s="5"/>
      <c r="P461" s="5"/>
      <c r="Q461" s="5"/>
      <c r="R461" s="57"/>
      <c r="S461" s="5"/>
      <c r="T461" s="5"/>
      <c r="U461" s="5"/>
      <c r="V461" s="5"/>
      <c r="W461" s="5"/>
      <c r="X461" s="5"/>
      <c r="Y461" s="5"/>
      <c r="Z461" s="5"/>
      <c r="AA461" s="5"/>
      <c r="AB461" s="5"/>
      <c r="AC461" s="5"/>
    </row>
    <row r="462" spans="1:29" ht="12.75" customHeight="1">
      <c r="A462" s="5"/>
      <c r="B462" s="5"/>
      <c r="C462" s="5"/>
      <c r="D462" s="5"/>
      <c r="E462" s="5"/>
      <c r="F462" s="5"/>
      <c r="G462" s="5"/>
      <c r="H462" s="306"/>
      <c r="I462" s="306"/>
      <c r="J462" s="5"/>
      <c r="K462" s="5"/>
      <c r="L462" s="5"/>
      <c r="M462" s="5"/>
      <c r="N462" s="5"/>
      <c r="O462" s="5"/>
      <c r="P462" s="5"/>
      <c r="Q462" s="5"/>
      <c r="R462" s="57"/>
      <c r="S462" s="5"/>
      <c r="T462" s="5"/>
      <c r="U462" s="5"/>
      <c r="V462" s="5"/>
      <c r="W462" s="5"/>
      <c r="X462" s="5"/>
      <c r="Y462" s="5"/>
      <c r="Z462" s="5"/>
      <c r="AA462" s="5"/>
      <c r="AB462" s="5"/>
      <c r="AC462" s="5"/>
    </row>
    <row r="463" spans="1:29" ht="12.75" customHeight="1">
      <c r="A463" s="5"/>
      <c r="B463" s="5"/>
      <c r="C463" s="5"/>
      <c r="D463" s="5"/>
      <c r="E463" s="5"/>
      <c r="F463" s="5"/>
      <c r="G463" s="5"/>
      <c r="H463" s="306"/>
      <c r="I463" s="306"/>
      <c r="J463" s="5"/>
      <c r="K463" s="5"/>
      <c r="L463" s="5"/>
      <c r="M463" s="5"/>
      <c r="N463" s="5"/>
      <c r="O463" s="5"/>
      <c r="P463" s="5"/>
      <c r="Q463" s="5"/>
      <c r="R463" s="57"/>
      <c r="S463" s="5"/>
      <c r="T463" s="5"/>
      <c r="U463" s="5"/>
      <c r="V463" s="5"/>
      <c r="W463" s="5"/>
      <c r="X463" s="5"/>
      <c r="Y463" s="5"/>
      <c r="Z463" s="5"/>
      <c r="AA463" s="5"/>
      <c r="AB463" s="5"/>
      <c r="AC463" s="5"/>
    </row>
    <row r="464" spans="1:29" ht="12.75" customHeight="1">
      <c r="A464" s="5"/>
      <c r="B464" s="5"/>
      <c r="C464" s="5"/>
      <c r="D464" s="5"/>
      <c r="E464" s="5"/>
      <c r="F464" s="5"/>
      <c r="G464" s="5"/>
      <c r="H464" s="306"/>
      <c r="I464" s="306"/>
      <c r="J464" s="5"/>
      <c r="K464" s="5"/>
      <c r="L464" s="5"/>
      <c r="M464" s="5"/>
      <c r="N464" s="5"/>
      <c r="O464" s="5"/>
      <c r="P464" s="5"/>
      <c r="Q464" s="5"/>
      <c r="R464" s="57"/>
      <c r="S464" s="5"/>
      <c r="T464" s="5"/>
      <c r="U464" s="5"/>
      <c r="V464" s="5"/>
      <c r="W464" s="5"/>
      <c r="X464" s="5"/>
      <c r="Y464" s="5"/>
      <c r="Z464" s="5"/>
      <c r="AA464" s="5"/>
      <c r="AB464" s="5"/>
      <c r="AC464" s="5"/>
    </row>
    <row r="465" spans="1:29" ht="12.75" customHeight="1">
      <c r="A465" s="5"/>
      <c r="B465" s="5"/>
      <c r="C465" s="5"/>
      <c r="D465" s="5"/>
      <c r="E465" s="5"/>
      <c r="F465" s="5"/>
      <c r="G465" s="5"/>
      <c r="H465" s="306"/>
      <c r="I465" s="306"/>
      <c r="J465" s="5"/>
      <c r="K465" s="5"/>
      <c r="L465" s="5"/>
      <c r="M465" s="5"/>
      <c r="N465" s="5"/>
      <c r="O465" s="5"/>
      <c r="P465" s="5"/>
      <c r="Q465" s="5"/>
      <c r="R465" s="57"/>
      <c r="S465" s="5"/>
      <c r="T465" s="5"/>
      <c r="U465" s="5"/>
      <c r="V465" s="5"/>
      <c r="W465" s="5"/>
      <c r="X465" s="5"/>
      <c r="Y465" s="5"/>
      <c r="Z465" s="5"/>
      <c r="AA465" s="5"/>
      <c r="AB465" s="5"/>
      <c r="AC465" s="5"/>
    </row>
    <row r="466" spans="1:29" ht="12.75" customHeight="1">
      <c r="A466" s="5"/>
      <c r="B466" s="5"/>
      <c r="C466" s="5"/>
      <c r="D466" s="5"/>
      <c r="E466" s="5"/>
      <c r="F466" s="5"/>
      <c r="G466" s="5"/>
      <c r="H466" s="306"/>
      <c r="I466" s="306"/>
      <c r="J466" s="5"/>
      <c r="K466" s="5"/>
      <c r="L466" s="5"/>
      <c r="M466" s="5"/>
      <c r="N466" s="5"/>
      <c r="O466" s="5"/>
      <c r="P466" s="5"/>
      <c r="Q466" s="5"/>
      <c r="R466" s="57"/>
      <c r="S466" s="5"/>
      <c r="T466" s="5"/>
      <c r="U466" s="5"/>
      <c r="V466" s="5"/>
      <c r="W466" s="5"/>
      <c r="X466" s="5"/>
      <c r="Y466" s="5"/>
      <c r="Z466" s="5"/>
      <c r="AA466" s="5"/>
      <c r="AB466" s="5"/>
      <c r="AC466" s="5"/>
    </row>
    <row r="467" spans="1:29" ht="12.75" customHeight="1">
      <c r="A467" s="5"/>
      <c r="B467" s="5"/>
      <c r="C467" s="5"/>
      <c r="D467" s="5"/>
      <c r="E467" s="5"/>
      <c r="F467" s="5"/>
      <c r="G467" s="5"/>
      <c r="H467" s="306"/>
      <c r="I467" s="306"/>
      <c r="J467" s="5"/>
      <c r="K467" s="5"/>
      <c r="L467" s="5"/>
      <c r="M467" s="5"/>
      <c r="N467" s="5"/>
      <c r="O467" s="5"/>
      <c r="P467" s="5"/>
      <c r="Q467" s="5"/>
      <c r="R467" s="57"/>
      <c r="S467" s="5"/>
      <c r="T467" s="5"/>
      <c r="U467" s="5"/>
      <c r="V467" s="5"/>
      <c r="W467" s="5"/>
      <c r="X467" s="5"/>
      <c r="Y467" s="5"/>
      <c r="Z467" s="5"/>
      <c r="AA467" s="5"/>
      <c r="AB467" s="5"/>
      <c r="AC467" s="5"/>
    </row>
    <row r="468" spans="1:29" ht="12.75" customHeight="1">
      <c r="A468" s="5"/>
      <c r="B468" s="5"/>
      <c r="C468" s="5"/>
      <c r="D468" s="5"/>
      <c r="E468" s="5"/>
      <c r="F468" s="5"/>
      <c r="G468" s="5"/>
      <c r="H468" s="306"/>
      <c r="I468" s="306"/>
      <c r="J468" s="5"/>
      <c r="K468" s="5"/>
      <c r="L468" s="5"/>
      <c r="M468" s="5"/>
      <c r="N468" s="5"/>
      <c r="O468" s="5"/>
      <c r="P468" s="5"/>
      <c r="Q468" s="5"/>
      <c r="R468" s="57"/>
      <c r="S468" s="5"/>
      <c r="T468" s="5"/>
      <c r="U468" s="5"/>
      <c r="V468" s="5"/>
      <c r="W468" s="5"/>
      <c r="X468" s="5"/>
      <c r="Y468" s="5"/>
      <c r="Z468" s="5"/>
      <c r="AA468" s="5"/>
      <c r="AB468" s="5"/>
      <c r="AC468" s="5"/>
    </row>
    <row r="469" spans="1:29" ht="12.75" customHeight="1">
      <c r="A469" s="5"/>
      <c r="B469" s="5"/>
      <c r="C469" s="5"/>
      <c r="D469" s="5"/>
      <c r="E469" s="5"/>
      <c r="F469" s="5"/>
      <c r="G469" s="5"/>
      <c r="H469" s="306"/>
      <c r="I469" s="306"/>
      <c r="J469" s="5"/>
      <c r="K469" s="5"/>
      <c r="L469" s="5"/>
      <c r="M469" s="5"/>
      <c r="N469" s="5"/>
      <c r="O469" s="5"/>
      <c r="P469" s="5"/>
      <c r="Q469" s="5"/>
      <c r="R469" s="57"/>
      <c r="S469" s="5"/>
      <c r="T469" s="5"/>
      <c r="U469" s="5"/>
      <c r="V469" s="5"/>
      <c r="W469" s="5"/>
      <c r="X469" s="5"/>
      <c r="Y469" s="5"/>
      <c r="Z469" s="5"/>
      <c r="AA469" s="5"/>
      <c r="AB469" s="5"/>
      <c r="AC469" s="5"/>
    </row>
    <row r="470" spans="1:29" ht="12.75" customHeight="1">
      <c r="A470" s="5"/>
      <c r="B470" s="5"/>
      <c r="C470" s="5"/>
      <c r="D470" s="5"/>
      <c r="E470" s="5"/>
      <c r="F470" s="5"/>
      <c r="G470" s="5"/>
      <c r="H470" s="306"/>
      <c r="I470" s="306"/>
      <c r="J470" s="5"/>
      <c r="K470" s="5"/>
      <c r="L470" s="5"/>
      <c r="M470" s="5"/>
      <c r="N470" s="5"/>
      <c r="O470" s="5"/>
      <c r="P470" s="5"/>
      <c r="Q470" s="5"/>
      <c r="R470" s="57"/>
      <c r="S470" s="5"/>
      <c r="T470" s="5"/>
      <c r="U470" s="5"/>
      <c r="V470" s="5"/>
      <c r="W470" s="5"/>
      <c r="X470" s="5"/>
      <c r="Y470" s="5"/>
      <c r="Z470" s="5"/>
      <c r="AA470" s="5"/>
      <c r="AB470" s="5"/>
      <c r="AC470" s="5"/>
    </row>
    <row r="471" spans="1:29" ht="12.75" customHeight="1">
      <c r="A471" s="5"/>
      <c r="B471" s="5"/>
      <c r="C471" s="5"/>
      <c r="D471" s="5"/>
      <c r="E471" s="5"/>
      <c r="F471" s="5"/>
      <c r="G471" s="5"/>
      <c r="H471" s="306"/>
      <c r="I471" s="306"/>
      <c r="J471" s="5"/>
      <c r="K471" s="5"/>
      <c r="L471" s="5"/>
      <c r="M471" s="5"/>
      <c r="N471" s="5"/>
      <c r="O471" s="5"/>
      <c r="P471" s="5"/>
      <c r="Q471" s="5"/>
      <c r="R471" s="57"/>
      <c r="S471" s="5"/>
      <c r="T471" s="5"/>
      <c r="U471" s="5"/>
      <c r="V471" s="5"/>
      <c r="W471" s="5"/>
      <c r="X471" s="5"/>
      <c r="Y471" s="5"/>
      <c r="Z471" s="5"/>
      <c r="AA471" s="5"/>
      <c r="AB471" s="5"/>
      <c r="AC471" s="5"/>
    </row>
    <row r="472" spans="1:29" ht="12.75" customHeight="1">
      <c r="A472" s="5"/>
      <c r="B472" s="5"/>
      <c r="C472" s="5"/>
      <c r="D472" s="5"/>
      <c r="E472" s="5"/>
      <c r="F472" s="5"/>
      <c r="G472" s="5"/>
      <c r="H472" s="306"/>
      <c r="I472" s="306"/>
      <c r="J472" s="5"/>
      <c r="K472" s="5"/>
      <c r="L472" s="5"/>
      <c r="M472" s="5"/>
      <c r="N472" s="5"/>
      <c r="O472" s="5"/>
      <c r="P472" s="5"/>
      <c r="Q472" s="5"/>
      <c r="R472" s="57"/>
      <c r="S472" s="5"/>
      <c r="T472" s="5"/>
      <c r="U472" s="5"/>
      <c r="V472" s="5"/>
      <c r="W472" s="5"/>
      <c r="X472" s="5"/>
      <c r="Y472" s="5"/>
      <c r="Z472" s="5"/>
      <c r="AA472" s="5"/>
      <c r="AB472" s="5"/>
      <c r="AC472" s="5"/>
    </row>
    <row r="473" spans="1:29" ht="12.75" customHeight="1">
      <c r="A473" s="5"/>
      <c r="B473" s="5"/>
      <c r="C473" s="5"/>
      <c r="D473" s="5"/>
      <c r="E473" s="5"/>
      <c r="F473" s="5"/>
      <c r="G473" s="5"/>
      <c r="H473" s="306"/>
      <c r="I473" s="306"/>
      <c r="J473" s="5"/>
      <c r="K473" s="5"/>
      <c r="L473" s="5"/>
      <c r="M473" s="5"/>
      <c r="N473" s="5"/>
      <c r="O473" s="5"/>
      <c r="P473" s="5"/>
      <c r="Q473" s="5"/>
      <c r="R473" s="57"/>
      <c r="S473" s="5"/>
      <c r="T473" s="5"/>
      <c r="U473" s="5"/>
      <c r="V473" s="5"/>
      <c r="W473" s="5"/>
      <c r="X473" s="5"/>
      <c r="Y473" s="5"/>
      <c r="Z473" s="5"/>
      <c r="AA473" s="5"/>
      <c r="AB473" s="5"/>
      <c r="AC473" s="5"/>
    </row>
    <row r="474" spans="1:29" ht="12.75" customHeight="1">
      <c r="A474" s="5"/>
      <c r="B474" s="5"/>
      <c r="C474" s="5"/>
      <c r="D474" s="5"/>
      <c r="E474" s="5"/>
      <c r="F474" s="5"/>
      <c r="G474" s="5"/>
      <c r="H474" s="306"/>
      <c r="I474" s="306"/>
      <c r="J474" s="5"/>
      <c r="K474" s="5"/>
      <c r="L474" s="5"/>
      <c r="M474" s="5"/>
      <c r="N474" s="5"/>
      <c r="O474" s="5"/>
      <c r="P474" s="5"/>
      <c r="Q474" s="5"/>
      <c r="R474" s="57"/>
      <c r="S474" s="5"/>
      <c r="T474" s="5"/>
      <c r="U474" s="5"/>
      <c r="V474" s="5"/>
      <c r="W474" s="5"/>
      <c r="X474" s="5"/>
      <c r="Y474" s="5"/>
      <c r="Z474" s="5"/>
      <c r="AA474" s="5"/>
      <c r="AB474" s="5"/>
      <c r="AC474" s="5"/>
    </row>
    <row r="475" spans="1:29" ht="12.75" customHeight="1">
      <c r="A475" s="5"/>
      <c r="B475" s="5"/>
      <c r="C475" s="5"/>
      <c r="D475" s="5"/>
      <c r="E475" s="5"/>
      <c r="F475" s="5"/>
      <c r="G475" s="5"/>
      <c r="H475" s="306"/>
      <c r="I475" s="306"/>
      <c r="J475" s="5"/>
      <c r="K475" s="5"/>
      <c r="L475" s="5"/>
      <c r="M475" s="5"/>
      <c r="N475" s="5"/>
      <c r="O475" s="5"/>
      <c r="P475" s="5"/>
      <c r="Q475" s="5"/>
      <c r="R475" s="57"/>
      <c r="S475" s="5"/>
      <c r="T475" s="5"/>
      <c r="U475" s="5"/>
      <c r="V475" s="5"/>
      <c r="W475" s="5"/>
      <c r="X475" s="5"/>
      <c r="Y475" s="5"/>
      <c r="Z475" s="5"/>
      <c r="AA475" s="5"/>
      <c r="AB475" s="5"/>
      <c r="AC475" s="5"/>
    </row>
    <row r="476" spans="1:29" ht="12.75" customHeight="1">
      <c r="A476" s="5"/>
      <c r="B476" s="5"/>
      <c r="C476" s="5"/>
      <c r="D476" s="5"/>
      <c r="E476" s="5"/>
      <c r="F476" s="5"/>
      <c r="G476" s="5"/>
      <c r="H476" s="306"/>
      <c r="I476" s="306"/>
      <c r="J476" s="5"/>
      <c r="K476" s="5"/>
      <c r="L476" s="5"/>
      <c r="M476" s="5"/>
      <c r="N476" s="5"/>
      <c r="O476" s="5"/>
      <c r="P476" s="5"/>
      <c r="Q476" s="5"/>
      <c r="R476" s="57"/>
      <c r="S476" s="5"/>
      <c r="T476" s="5"/>
      <c r="U476" s="5"/>
      <c r="V476" s="5"/>
      <c r="W476" s="5"/>
      <c r="X476" s="5"/>
      <c r="Y476" s="5"/>
      <c r="Z476" s="5"/>
      <c r="AA476" s="5"/>
      <c r="AB476" s="5"/>
      <c r="AC476" s="5"/>
    </row>
    <row r="477" spans="1:29" ht="12.75" customHeight="1">
      <c r="A477" s="5"/>
      <c r="B477" s="5"/>
      <c r="C477" s="5"/>
      <c r="D477" s="5"/>
      <c r="E477" s="5"/>
      <c r="F477" s="5"/>
      <c r="G477" s="5"/>
      <c r="H477" s="306"/>
      <c r="I477" s="306"/>
      <c r="J477" s="5"/>
      <c r="K477" s="5"/>
      <c r="L477" s="5"/>
      <c r="M477" s="5"/>
      <c r="N477" s="5"/>
      <c r="O477" s="5"/>
      <c r="P477" s="5"/>
      <c r="Q477" s="5"/>
      <c r="R477" s="57"/>
      <c r="S477" s="5"/>
      <c r="T477" s="5"/>
      <c r="U477" s="5"/>
      <c r="V477" s="5"/>
      <c r="W477" s="5"/>
      <c r="X477" s="5"/>
      <c r="Y477" s="5"/>
      <c r="Z477" s="5"/>
      <c r="AA477" s="5"/>
      <c r="AB477" s="5"/>
      <c r="AC477" s="5"/>
    </row>
    <row r="478" spans="1:29" ht="12.75" customHeight="1">
      <c r="A478" s="5"/>
      <c r="B478" s="5"/>
      <c r="C478" s="5"/>
      <c r="D478" s="5"/>
      <c r="E478" s="5"/>
      <c r="F478" s="5"/>
      <c r="G478" s="5"/>
      <c r="H478" s="306"/>
      <c r="I478" s="306"/>
      <c r="J478" s="5"/>
      <c r="K478" s="5"/>
      <c r="L478" s="5"/>
      <c r="M478" s="5"/>
      <c r="N478" s="5"/>
      <c r="O478" s="5"/>
      <c r="P478" s="5"/>
      <c r="Q478" s="5"/>
      <c r="R478" s="57"/>
      <c r="S478" s="5"/>
      <c r="T478" s="5"/>
      <c r="U478" s="5"/>
      <c r="V478" s="5"/>
      <c r="W478" s="5"/>
      <c r="X478" s="5"/>
      <c r="Y478" s="5"/>
      <c r="Z478" s="5"/>
      <c r="AA478" s="5"/>
      <c r="AB478" s="5"/>
      <c r="AC478" s="5"/>
    </row>
    <row r="479" spans="1:29" ht="12.75" customHeight="1">
      <c r="A479" s="5"/>
      <c r="B479" s="5"/>
      <c r="C479" s="5"/>
      <c r="D479" s="5"/>
      <c r="E479" s="5"/>
      <c r="F479" s="5"/>
      <c r="G479" s="5"/>
      <c r="H479" s="306"/>
      <c r="I479" s="306"/>
      <c r="J479" s="5"/>
      <c r="K479" s="5"/>
      <c r="L479" s="5"/>
      <c r="M479" s="5"/>
      <c r="N479" s="5"/>
      <c r="O479" s="5"/>
      <c r="P479" s="5"/>
      <c r="Q479" s="5"/>
      <c r="R479" s="57"/>
      <c r="S479" s="5"/>
      <c r="T479" s="5"/>
      <c r="U479" s="5"/>
      <c r="V479" s="5"/>
      <c r="W479" s="5"/>
      <c r="X479" s="5"/>
      <c r="Y479" s="5"/>
      <c r="Z479" s="5"/>
      <c r="AA479" s="5"/>
      <c r="AB479" s="5"/>
      <c r="AC479" s="5"/>
    </row>
    <row r="480" spans="1:29" ht="12.75" customHeight="1">
      <c r="A480" s="5"/>
      <c r="B480" s="5"/>
      <c r="C480" s="5"/>
      <c r="D480" s="5"/>
      <c r="E480" s="5"/>
      <c r="F480" s="5"/>
      <c r="G480" s="5"/>
      <c r="H480" s="306"/>
      <c r="I480" s="306"/>
      <c r="J480" s="5"/>
      <c r="K480" s="5"/>
      <c r="L480" s="5"/>
      <c r="M480" s="5"/>
      <c r="N480" s="5"/>
      <c r="O480" s="5"/>
      <c r="P480" s="5"/>
      <c r="Q480" s="5"/>
      <c r="R480" s="57"/>
      <c r="S480" s="5"/>
      <c r="T480" s="5"/>
      <c r="U480" s="5"/>
      <c r="V480" s="5"/>
      <c r="W480" s="5"/>
      <c r="X480" s="5"/>
      <c r="Y480" s="5"/>
      <c r="Z480" s="5"/>
      <c r="AA480" s="5"/>
      <c r="AB480" s="5"/>
      <c r="AC480" s="5"/>
    </row>
    <row r="481" spans="1:29" ht="12.75" customHeight="1">
      <c r="A481" s="5"/>
      <c r="B481" s="5"/>
      <c r="C481" s="5"/>
      <c r="D481" s="5"/>
      <c r="E481" s="5"/>
      <c r="F481" s="5"/>
      <c r="G481" s="5"/>
      <c r="H481" s="306"/>
      <c r="I481" s="306"/>
      <c r="J481" s="5"/>
      <c r="K481" s="5"/>
      <c r="L481" s="5"/>
      <c r="M481" s="5"/>
      <c r="N481" s="5"/>
      <c r="O481" s="5"/>
      <c r="P481" s="5"/>
      <c r="Q481" s="5"/>
      <c r="R481" s="57"/>
      <c r="S481" s="5"/>
      <c r="T481" s="5"/>
      <c r="U481" s="5"/>
      <c r="V481" s="5"/>
      <c r="W481" s="5"/>
      <c r="X481" s="5"/>
      <c r="Y481" s="5"/>
      <c r="Z481" s="5"/>
      <c r="AA481" s="5"/>
      <c r="AB481" s="5"/>
      <c r="AC481" s="5"/>
    </row>
    <row r="482" spans="1:29" ht="12.75" customHeight="1">
      <c r="A482" s="5"/>
      <c r="B482" s="5"/>
      <c r="C482" s="5"/>
      <c r="D482" s="5"/>
      <c r="E482" s="5"/>
      <c r="F482" s="5"/>
      <c r="G482" s="5"/>
      <c r="H482" s="306"/>
      <c r="I482" s="306"/>
      <c r="J482" s="5"/>
      <c r="K482" s="5"/>
      <c r="L482" s="5"/>
      <c r="M482" s="5"/>
      <c r="N482" s="5"/>
      <c r="O482" s="5"/>
      <c r="P482" s="5"/>
      <c r="Q482" s="5"/>
      <c r="R482" s="57"/>
      <c r="S482" s="5"/>
      <c r="T482" s="5"/>
      <c r="U482" s="5"/>
      <c r="V482" s="5"/>
      <c r="W482" s="5"/>
      <c r="X482" s="5"/>
      <c r="Y482" s="5"/>
      <c r="Z482" s="5"/>
      <c r="AA482" s="5"/>
      <c r="AB482" s="5"/>
      <c r="AC482" s="5"/>
    </row>
    <row r="483" spans="1:29" ht="12.75" customHeight="1">
      <c r="A483" s="5"/>
      <c r="B483" s="5"/>
      <c r="C483" s="5"/>
      <c r="D483" s="5"/>
      <c r="E483" s="5"/>
      <c r="F483" s="5"/>
      <c r="G483" s="5"/>
      <c r="H483" s="306"/>
      <c r="I483" s="306"/>
      <c r="J483" s="5"/>
      <c r="K483" s="5"/>
      <c r="L483" s="5"/>
      <c r="M483" s="5"/>
      <c r="N483" s="5"/>
      <c r="O483" s="5"/>
      <c r="P483" s="5"/>
      <c r="Q483" s="5"/>
      <c r="R483" s="57"/>
      <c r="S483" s="5"/>
      <c r="T483" s="5"/>
      <c r="U483" s="5"/>
      <c r="V483" s="5"/>
      <c r="W483" s="5"/>
      <c r="X483" s="5"/>
      <c r="Y483" s="5"/>
      <c r="Z483" s="5"/>
      <c r="AA483" s="5"/>
      <c r="AB483" s="5"/>
      <c r="AC483" s="5"/>
    </row>
    <row r="484" spans="1:29" ht="12.75" customHeight="1">
      <c r="A484" s="5"/>
      <c r="B484" s="5"/>
      <c r="C484" s="5"/>
      <c r="D484" s="5"/>
      <c r="E484" s="5"/>
      <c r="F484" s="5"/>
      <c r="G484" s="5"/>
      <c r="H484" s="306"/>
      <c r="I484" s="306"/>
      <c r="J484" s="5"/>
      <c r="K484" s="5"/>
      <c r="L484" s="5"/>
      <c r="M484" s="5"/>
      <c r="N484" s="5"/>
      <c r="O484" s="5"/>
      <c r="P484" s="5"/>
      <c r="Q484" s="5"/>
      <c r="R484" s="57"/>
      <c r="S484" s="5"/>
      <c r="T484" s="5"/>
      <c r="U484" s="5"/>
      <c r="V484" s="5"/>
      <c r="W484" s="5"/>
      <c r="X484" s="5"/>
      <c r="Y484" s="5"/>
      <c r="Z484" s="5"/>
      <c r="AA484" s="5"/>
      <c r="AB484" s="5"/>
      <c r="AC484" s="5"/>
    </row>
    <row r="485" spans="1:29" ht="12.75" customHeight="1">
      <c r="A485" s="5"/>
      <c r="B485" s="5"/>
      <c r="C485" s="5"/>
      <c r="D485" s="5"/>
      <c r="E485" s="5"/>
      <c r="F485" s="5"/>
      <c r="G485" s="5"/>
      <c r="H485" s="306"/>
      <c r="I485" s="306"/>
      <c r="J485" s="5"/>
      <c r="K485" s="5"/>
      <c r="L485" s="5"/>
      <c r="M485" s="5"/>
      <c r="N485" s="5"/>
      <c r="O485" s="5"/>
      <c r="P485" s="5"/>
      <c r="Q485" s="5"/>
      <c r="R485" s="57"/>
      <c r="S485" s="5"/>
      <c r="T485" s="5"/>
      <c r="U485" s="5"/>
      <c r="V485" s="5"/>
      <c r="W485" s="5"/>
      <c r="X485" s="5"/>
      <c r="Y485" s="5"/>
      <c r="Z485" s="5"/>
      <c r="AA485" s="5"/>
      <c r="AB485" s="5"/>
      <c r="AC485" s="5"/>
    </row>
    <row r="486" spans="1:29" ht="12.75" customHeight="1">
      <c r="A486" s="5"/>
      <c r="B486" s="5"/>
      <c r="C486" s="5"/>
      <c r="D486" s="5"/>
      <c r="E486" s="5"/>
      <c r="F486" s="5"/>
      <c r="G486" s="5"/>
      <c r="H486" s="306"/>
      <c r="I486" s="306"/>
      <c r="J486" s="5"/>
      <c r="K486" s="5"/>
      <c r="L486" s="5"/>
      <c r="M486" s="5"/>
      <c r="N486" s="5"/>
      <c r="O486" s="5"/>
      <c r="P486" s="5"/>
      <c r="Q486" s="5"/>
      <c r="R486" s="57"/>
      <c r="S486" s="5"/>
      <c r="T486" s="5"/>
      <c r="U486" s="5"/>
      <c r="V486" s="5"/>
      <c r="W486" s="5"/>
      <c r="X486" s="5"/>
      <c r="Y486" s="5"/>
      <c r="Z486" s="5"/>
      <c r="AA486" s="5"/>
      <c r="AB486" s="5"/>
      <c r="AC486" s="5"/>
    </row>
    <row r="487" spans="1:29" ht="12.75" customHeight="1">
      <c r="A487" s="5"/>
      <c r="B487" s="5"/>
      <c r="C487" s="5"/>
      <c r="D487" s="5"/>
      <c r="E487" s="5"/>
      <c r="F487" s="5"/>
      <c r="G487" s="5"/>
      <c r="H487" s="306"/>
      <c r="I487" s="306"/>
      <c r="J487" s="5"/>
      <c r="K487" s="5"/>
      <c r="L487" s="5"/>
      <c r="M487" s="5"/>
      <c r="N487" s="5"/>
      <c r="O487" s="5"/>
      <c r="P487" s="5"/>
      <c r="Q487" s="5"/>
      <c r="R487" s="57"/>
      <c r="S487" s="5"/>
      <c r="T487" s="5"/>
      <c r="U487" s="5"/>
      <c r="V487" s="5"/>
      <c r="W487" s="5"/>
      <c r="X487" s="5"/>
      <c r="Y487" s="5"/>
      <c r="Z487" s="5"/>
      <c r="AA487" s="5"/>
      <c r="AB487" s="5"/>
      <c r="AC487" s="5"/>
    </row>
    <row r="488" spans="1:29" ht="12.75" customHeight="1">
      <c r="A488" s="5"/>
      <c r="B488" s="5"/>
      <c r="C488" s="5"/>
      <c r="D488" s="5"/>
      <c r="E488" s="5"/>
      <c r="F488" s="5"/>
      <c r="G488" s="5"/>
      <c r="H488" s="306"/>
      <c r="I488" s="306"/>
      <c r="J488" s="5"/>
      <c r="K488" s="5"/>
      <c r="L488" s="5"/>
      <c r="M488" s="5"/>
      <c r="N488" s="5"/>
      <c r="O488" s="5"/>
      <c r="P488" s="5"/>
      <c r="Q488" s="5"/>
      <c r="R488" s="57"/>
      <c r="S488" s="5"/>
      <c r="T488" s="5"/>
      <c r="U488" s="5"/>
      <c r="V488" s="5"/>
      <c r="W488" s="5"/>
      <c r="X488" s="5"/>
      <c r="Y488" s="5"/>
      <c r="Z488" s="5"/>
      <c r="AA488" s="5"/>
      <c r="AB488" s="5"/>
      <c r="AC488" s="5"/>
    </row>
    <row r="489" spans="1:29" ht="12.75" customHeight="1">
      <c r="A489" s="5"/>
      <c r="B489" s="5"/>
      <c r="C489" s="5"/>
      <c r="D489" s="5"/>
      <c r="E489" s="5"/>
      <c r="F489" s="5"/>
      <c r="G489" s="5"/>
      <c r="H489" s="306"/>
      <c r="I489" s="306"/>
      <c r="J489" s="5"/>
      <c r="K489" s="5"/>
      <c r="L489" s="5"/>
      <c r="M489" s="5"/>
      <c r="N489" s="5"/>
      <c r="O489" s="5"/>
      <c r="P489" s="5"/>
      <c r="Q489" s="5"/>
      <c r="R489" s="57"/>
      <c r="S489" s="5"/>
      <c r="T489" s="5"/>
      <c r="U489" s="5"/>
      <c r="V489" s="5"/>
      <c r="W489" s="5"/>
      <c r="X489" s="5"/>
      <c r="Y489" s="5"/>
      <c r="Z489" s="5"/>
      <c r="AA489" s="5"/>
      <c r="AB489" s="5"/>
      <c r="AC489" s="5"/>
    </row>
    <row r="490" spans="1:29" ht="12.75" customHeight="1">
      <c r="A490" s="5"/>
      <c r="B490" s="5"/>
      <c r="C490" s="5"/>
      <c r="D490" s="5"/>
      <c r="E490" s="5"/>
      <c r="F490" s="5"/>
      <c r="G490" s="5"/>
      <c r="H490" s="306"/>
      <c r="I490" s="306"/>
      <c r="J490" s="5"/>
      <c r="K490" s="5"/>
      <c r="L490" s="5"/>
      <c r="M490" s="5"/>
      <c r="N490" s="5"/>
      <c r="O490" s="5"/>
      <c r="P490" s="5"/>
      <c r="Q490" s="5"/>
      <c r="R490" s="57"/>
      <c r="S490" s="5"/>
      <c r="T490" s="5"/>
      <c r="U490" s="5"/>
      <c r="V490" s="5"/>
      <c r="W490" s="5"/>
      <c r="X490" s="5"/>
      <c r="Y490" s="5"/>
      <c r="Z490" s="5"/>
      <c r="AA490" s="5"/>
      <c r="AB490" s="5"/>
      <c r="AC490" s="5"/>
    </row>
    <row r="491" spans="1:29" ht="12.75" customHeight="1">
      <c r="A491" s="5"/>
      <c r="B491" s="5"/>
      <c r="C491" s="5"/>
      <c r="D491" s="5"/>
      <c r="E491" s="5"/>
      <c r="F491" s="5"/>
      <c r="G491" s="5"/>
      <c r="H491" s="306"/>
      <c r="I491" s="306"/>
      <c r="J491" s="5"/>
      <c r="K491" s="5"/>
      <c r="L491" s="5"/>
      <c r="M491" s="5"/>
      <c r="N491" s="5"/>
      <c r="O491" s="5"/>
      <c r="P491" s="5"/>
      <c r="Q491" s="5"/>
      <c r="R491" s="57"/>
      <c r="S491" s="5"/>
      <c r="T491" s="5"/>
      <c r="U491" s="5"/>
      <c r="V491" s="5"/>
      <c r="W491" s="5"/>
      <c r="X491" s="5"/>
      <c r="Y491" s="5"/>
      <c r="Z491" s="5"/>
      <c r="AA491" s="5"/>
      <c r="AB491" s="5"/>
      <c r="AC491" s="5"/>
    </row>
    <row r="492" spans="1:29" ht="12.75" customHeight="1">
      <c r="A492" s="5"/>
      <c r="B492" s="5"/>
      <c r="C492" s="5"/>
      <c r="D492" s="5"/>
      <c r="E492" s="5"/>
      <c r="F492" s="5"/>
      <c r="G492" s="5"/>
      <c r="H492" s="306"/>
      <c r="I492" s="306"/>
      <c r="J492" s="5"/>
      <c r="K492" s="5"/>
      <c r="L492" s="5"/>
      <c r="M492" s="5"/>
      <c r="N492" s="5"/>
      <c r="O492" s="5"/>
      <c r="P492" s="5"/>
      <c r="Q492" s="5"/>
      <c r="R492" s="57"/>
      <c r="S492" s="5"/>
      <c r="T492" s="5"/>
      <c r="U492" s="5"/>
      <c r="V492" s="5"/>
      <c r="W492" s="5"/>
      <c r="X492" s="5"/>
      <c r="Y492" s="5"/>
      <c r="Z492" s="5"/>
      <c r="AA492" s="5"/>
      <c r="AB492" s="5"/>
      <c r="AC492" s="5"/>
    </row>
    <row r="493" spans="1:29" ht="12.75" customHeight="1">
      <c r="A493" s="5"/>
      <c r="B493" s="5"/>
      <c r="C493" s="5"/>
      <c r="D493" s="5"/>
      <c r="E493" s="5"/>
      <c r="F493" s="5"/>
      <c r="G493" s="5"/>
      <c r="H493" s="306"/>
      <c r="I493" s="306"/>
      <c r="J493" s="5"/>
      <c r="K493" s="5"/>
      <c r="L493" s="5"/>
      <c r="M493" s="5"/>
      <c r="N493" s="5"/>
      <c r="O493" s="5"/>
      <c r="P493" s="5"/>
      <c r="Q493" s="5"/>
      <c r="R493" s="57"/>
      <c r="S493" s="5"/>
      <c r="T493" s="5"/>
      <c r="U493" s="5"/>
      <c r="V493" s="5"/>
      <c r="W493" s="5"/>
      <c r="X493" s="5"/>
      <c r="Y493" s="5"/>
      <c r="Z493" s="5"/>
      <c r="AA493" s="5"/>
      <c r="AB493" s="5"/>
      <c r="AC493" s="5"/>
    </row>
    <row r="494" spans="1:29" ht="12.75" customHeight="1">
      <c r="A494" s="5"/>
      <c r="B494" s="5"/>
      <c r="C494" s="5"/>
      <c r="D494" s="5"/>
      <c r="E494" s="5"/>
      <c r="F494" s="5"/>
      <c r="G494" s="5"/>
      <c r="H494" s="306"/>
      <c r="I494" s="306"/>
      <c r="J494" s="5"/>
      <c r="K494" s="5"/>
      <c r="L494" s="5"/>
      <c r="M494" s="5"/>
      <c r="N494" s="5"/>
      <c r="O494" s="5"/>
      <c r="P494" s="5"/>
      <c r="Q494" s="5"/>
      <c r="R494" s="57"/>
      <c r="S494" s="5"/>
      <c r="T494" s="5"/>
      <c r="U494" s="5"/>
      <c r="V494" s="5"/>
      <c r="W494" s="5"/>
      <c r="X494" s="5"/>
      <c r="Y494" s="5"/>
      <c r="Z494" s="5"/>
      <c r="AA494" s="5"/>
      <c r="AB494" s="5"/>
      <c r="AC494" s="5"/>
    </row>
    <row r="495" spans="1:29" ht="12.75" customHeight="1">
      <c r="A495" s="5"/>
      <c r="B495" s="5"/>
      <c r="C495" s="5"/>
      <c r="D495" s="5"/>
      <c r="E495" s="5"/>
      <c r="F495" s="5"/>
      <c r="G495" s="5"/>
      <c r="H495" s="306"/>
      <c r="I495" s="306"/>
      <c r="J495" s="5"/>
      <c r="K495" s="5"/>
      <c r="L495" s="5"/>
      <c r="M495" s="5"/>
      <c r="N495" s="5"/>
      <c r="O495" s="5"/>
      <c r="P495" s="5"/>
      <c r="Q495" s="5"/>
      <c r="R495" s="57"/>
      <c r="S495" s="5"/>
      <c r="T495" s="5"/>
      <c r="U495" s="5"/>
      <c r="V495" s="5"/>
      <c r="W495" s="5"/>
      <c r="X495" s="5"/>
      <c r="Y495" s="5"/>
      <c r="Z495" s="5"/>
      <c r="AA495" s="5"/>
      <c r="AB495" s="5"/>
      <c r="AC495" s="5"/>
    </row>
    <row r="496" spans="1:29" ht="12.75" customHeight="1">
      <c r="A496" s="5"/>
      <c r="B496" s="5"/>
      <c r="C496" s="5"/>
      <c r="D496" s="5"/>
      <c r="E496" s="5"/>
      <c r="F496" s="5"/>
      <c r="G496" s="5"/>
      <c r="H496" s="306"/>
      <c r="I496" s="306"/>
      <c r="J496" s="5"/>
      <c r="K496" s="5"/>
      <c r="L496" s="5"/>
      <c r="M496" s="5"/>
      <c r="N496" s="5"/>
      <c r="O496" s="5"/>
      <c r="P496" s="5"/>
      <c r="Q496" s="5"/>
      <c r="R496" s="57"/>
      <c r="S496" s="5"/>
      <c r="T496" s="5"/>
      <c r="U496" s="5"/>
      <c r="V496" s="5"/>
      <c r="W496" s="5"/>
      <c r="X496" s="5"/>
      <c r="Y496" s="5"/>
      <c r="Z496" s="5"/>
      <c r="AA496" s="5"/>
      <c r="AB496" s="5"/>
      <c r="AC496" s="5"/>
    </row>
    <row r="497" spans="1:29" ht="12.75" customHeight="1">
      <c r="A497" s="5"/>
      <c r="B497" s="5"/>
      <c r="C497" s="5"/>
      <c r="D497" s="5"/>
      <c r="E497" s="5"/>
      <c r="F497" s="5"/>
      <c r="G497" s="5"/>
      <c r="H497" s="306"/>
      <c r="I497" s="306"/>
      <c r="J497" s="5"/>
      <c r="K497" s="5"/>
      <c r="L497" s="5"/>
      <c r="M497" s="5"/>
      <c r="N497" s="5"/>
      <c r="O497" s="5"/>
      <c r="P497" s="5"/>
      <c r="Q497" s="5"/>
      <c r="R497" s="57"/>
      <c r="S497" s="5"/>
      <c r="T497" s="5"/>
      <c r="U497" s="5"/>
      <c r="V497" s="5"/>
      <c r="W497" s="5"/>
      <c r="X497" s="5"/>
      <c r="Y497" s="5"/>
      <c r="Z497" s="5"/>
      <c r="AA497" s="5"/>
      <c r="AB497" s="5"/>
      <c r="AC497" s="5"/>
    </row>
    <row r="498" spans="1:29" ht="12.75" customHeight="1">
      <c r="A498" s="5"/>
      <c r="B498" s="5"/>
      <c r="C498" s="5"/>
      <c r="D498" s="5"/>
      <c r="E498" s="5"/>
      <c r="F498" s="5"/>
      <c r="G498" s="5"/>
      <c r="H498" s="306"/>
      <c r="I498" s="306"/>
      <c r="J498" s="5"/>
      <c r="K498" s="5"/>
      <c r="L498" s="5"/>
      <c r="M498" s="5"/>
      <c r="N498" s="5"/>
      <c r="O498" s="5"/>
      <c r="P498" s="5"/>
      <c r="Q498" s="5"/>
      <c r="R498" s="57"/>
      <c r="S498" s="5"/>
      <c r="T498" s="5"/>
      <c r="U498" s="5"/>
      <c r="V498" s="5"/>
      <c r="W498" s="5"/>
      <c r="X498" s="5"/>
      <c r="Y498" s="5"/>
      <c r="Z498" s="5"/>
      <c r="AA498" s="5"/>
      <c r="AB498" s="5"/>
      <c r="AC498" s="5"/>
    </row>
    <row r="499" spans="1:29" ht="12.75" customHeight="1">
      <c r="A499" s="5"/>
      <c r="B499" s="5"/>
      <c r="C499" s="5"/>
      <c r="D499" s="5"/>
      <c r="E499" s="5"/>
      <c r="F499" s="5"/>
      <c r="G499" s="5"/>
      <c r="H499" s="306"/>
      <c r="I499" s="306"/>
      <c r="J499" s="5"/>
      <c r="K499" s="5"/>
      <c r="L499" s="5"/>
      <c r="M499" s="5"/>
      <c r="N499" s="5"/>
      <c r="O499" s="5"/>
      <c r="P499" s="5"/>
      <c r="Q499" s="5"/>
      <c r="R499" s="57"/>
      <c r="S499" s="5"/>
      <c r="T499" s="5"/>
      <c r="U499" s="5"/>
      <c r="V499" s="5"/>
      <c r="W499" s="5"/>
      <c r="X499" s="5"/>
      <c r="Y499" s="5"/>
      <c r="Z499" s="5"/>
      <c r="AA499" s="5"/>
      <c r="AB499" s="5"/>
      <c r="AC499" s="5"/>
    </row>
    <row r="500" spans="1:29" ht="12.75" customHeight="1">
      <c r="A500" s="5"/>
      <c r="B500" s="5"/>
      <c r="C500" s="5"/>
      <c r="D500" s="5"/>
      <c r="E500" s="5"/>
      <c r="F500" s="5"/>
      <c r="G500" s="5"/>
      <c r="H500" s="306"/>
      <c r="I500" s="306"/>
      <c r="J500" s="5"/>
      <c r="K500" s="5"/>
      <c r="L500" s="5"/>
      <c r="M500" s="5"/>
      <c r="N500" s="5"/>
      <c r="O500" s="5"/>
      <c r="P500" s="5"/>
      <c r="Q500" s="5"/>
      <c r="R500" s="57"/>
      <c r="S500" s="5"/>
      <c r="T500" s="5"/>
      <c r="U500" s="5"/>
      <c r="V500" s="5"/>
      <c r="W500" s="5"/>
      <c r="X500" s="5"/>
      <c r="Y500" s="5"/>
      <c r="Z500" s="5"/>
      <c r="AA500" s="5"/>
      <c r="AB500" s="5"/>
      <c r="AC500" s="5"/>
    </row>
    <row r="501" spans="1:29" ht="12.75" customHeight="1">
      <c r="A501" s="5"/>
      <c r="B501" s="5"/>
      <c r="C501" s="5"/>
      <c r="D501" s="5"/>
      <c r="E501" s="5"/>
      <c r="F501" s="5"/>
      <c r="G501" s="5"/>
      <c r="H501" s="306"/>
      <c r="I501" s="306"/>
      <c r="J501" s="5"/>
      <c r="K501" s="5"/>
      <c r="L501" s="5"/>
      <c r="M501" s="5"/>
      <c r="N501" s="5"/>
      <c r="O501" s="5"/>
      <c r="P501" s="5"/>
      <c r="Q501" s="5"/>
      <c r="R501" s="57"/>
      <c r="S501" s="5"/>
      <c r="T501" s="5"/>
      <c r="U501" s="5"/>
      <c r="V501" s="5"/>
      <c r="W501" s="5"/>
      <c r="X501" s="5"/>
      <c r="Y501" s="5"/>
      <c r="Z501" s="5"/>
      <c r="AA501" s="5"/>
      <c r="AB501" s="5"/>
      <c r="AC501" s="5"/>
    </row>
    <row r="502" spans="1:29" ht="12.75" customHeight="1">
      <c r="A502" s="5"/>
      <c r="B502" s="5"/>
      <c r="C502" s="5"/>
      <c r="D502" s="5"/>
      <c r="E502" s="5"/>
      <c r="F502" s="5"/>
      <c r="G502" s="5"/>
      <c r="H502" s="306"/>
      <c r="I502" s="306"/>
      <c r="J502" s="5"/>
      <c r="K502" s="5"/>
      <c r="L502" s="5"/>
      <c r="M502" s="5"/>
      <c r="N502" s="5"/>
      <c r="O502" s="5"/>
      <c r="P502" s="5"/>
      <c r="Q502" s="5"/>
      <c r="R502" s="57"/>
      <c r="S502" s="5"/>
      <c r="T502" s="5"/>
      <c r="U502" s="5"/>
      <c r="V502" s="5"/>
      <c r="W502" s="5"/>
      <c r="X502" s="5"/>
      <c r="Y502" s="5"/>
      <c r="Z502" s="5"/>
      <c r="AA502" s="5"/>
      <c r="AB502" s="5"/>
      <c r="AC502" s="5"/>
    </row>
    <row r="503" spans="1:29" ht="12.75" customHeight="1">
      <c r="A503" s="5"/>
      <c r="B503" s="5"/>
      <c r="C503" s="5"/>
      <c r="D503" s="5"/>
      <c r="E503" s="5"/>
      <c r="F503" s="5"/>
      <c r="G503" s="5"/>
      <c r="H503" s="306"/>
      <c r="I503" s="306"/>
      <c r="J503" s="5"/>
      <c r="K503" s="5"/>
      <c r="L503" s="5"/>
      <c r="M503" s="5"/>
      <c r="N503" s="5"/>
      <c r="O503" s="5"/>
      <c r="P503" s="5"/>
      <c r="Q503" s="5"/>
      <c r="R503" s="57"/>
      <c r="S503" s="5"/>
      <c r="T503" s="5"/>
      <c r="U503" s="5"/>
      <c r="V503" s="5"/>
      <c r="W503" s="5"/>
      <c r="X503" s="5"/>
      <c r="Y503" s="5"/>
      <c r="Z503" s="5"/>
      <c r="AA503" s="5"/>
      <c r="AB503" s="5"/>
      <c r="AC503" s="5"/>
    </row>
    <row r="504" spans="1:29" ht="12.75" customHeight="1">
      <c r="A504" s="5"/>
      <c r="B504" s="5"/>
      <c r="C504" s="5"/>
      <c r="D504" s="5"/>
      <c r="E504" s="5"/>
      <c r="F504" s="5"/>
      <c r="G504" s="5"/>
      <c r="H504" s="306"/>
      <c r="I504" s="306"/>
      <c r="J504" s="5"/>
      <c r="K504" s="5"/>
      <c r="L504" s="5"/>
      <c r="M504" s="5"/>
      <c r="N504" s="5"/>
      <c r="O504" s="5"/>
      <c r="P504" s="5"/>
      <c r="Q504" s="5"/>
      <c r="R504" s="57"/>
      <c r="S504" s="5"/>
      <c r="T504" s="5"/>
      <c r="U504" s="5"/>
      <c r="V504" s="5"/>
      <c r="W504" s="5"/>
      <c r="X504" s="5"/>
      <c r="Y504" s="5"/>
      <c r="Z504" s="5"/>
      <c r="AA504" s="5"/>
      <c r="AB504" s="5"/>
      <c r="AC504" s="5"/>
    </row>
    <row r="505" spans="1:29" ht="12.75" customHeight="1">
      <c r="A505" s="5"/>
      <c r="B505" s="5"/>
      <c r="C505" s="5"/>
      <c r="D505" s="5"/>
      <c r="E505" s="5"/>
      <c r="F505" s="5"/>
      <c r="G505" s="5"/>
      <c r="H505" s="306"/>
      <c r="I505" s="306"/>
      <c r="J505" s="5"/>
      <c r="K505" s="5"/>
      <c r="L505" s="5"/>
      <c r="M505" s="5"/>
      <c r="N505" s="5"/>
      <c r="O505" s="5"/>
      <c r="P505" s="5"/>
      <c r="Q505" s="5"/>
      <c r="R505" s="57"/>
      <c r="S505" s="5"/>
      <c r="T505" s="5"/>
      <c r="U505" s="5"/>
      <c r="V505" s="5"/>
      <c r="W505" s="5"/>
      <c r="X505" s="5"/>
      <c r="Y505" s="5"/>
      <c r="Z505" s="5"/>
      <c r="AA505" s="5"/>
      <c r="AB505" s="5"/>
      <c r="AC505" s="5"/>
    </row>
    <row r="506" spans="1:29" ht="12.75" customHeight="1">
      <c r="A506" s="5"/>
      <c r="B506" s="5"/>
      <c r="C506" s="5"/>
      <c r="D506" s="5"/>
      <c r="E506" s="5"/>
      <c r="F506" s="5"/>
      <c r="G506" s="5"/>
      <c r="H506" s="306"/>
      <c r="I506" s="306"/>
      <c r="J506" s="5"/>
      <c r="K506" s="5"/>
      <c r="L506" s="5"/>
      <c r="M506" s="5"/>
      <c r="N506" s="5"/>
      <c r="O506" s="5"/>
      <c r="P506" s="5"/>
      <c r="Q506" s="5"/>
      <c r="R506" s="57"/>
      <c r="S506" s="5"/>
      <c r="T506" s="5"/>
      <c r="U506" s="5"/>
      <c r="V506" s="5"/>
      <c r="W506" s="5"/>
      <c r="X506" s="5"/>
      <c r="Y506" s="5"/>
      <c r="Z506" s="5"/>
      <c r="AA506" s="5"/>
      <c r="AB506" s="5"/>
      <c r="AC506" s="5"/>
    </row>
    <row r="507" spans="1:29" ht="12.75" customHeight="1">
      <c r="A507" s="5"/>
      <c r="B507" s="5"/>
      <c r="C507" s="5"/>
      <c r="D507" s="5"/>
      <c r="E507" s="5"/>
      <c r="F507" s="5"/>
      <c r="G507" s="5"/>
      <c r="H507" s="306"/>
      <c r="I507" s="306"/>
      <c r="J507" s="5"/>
      <c r="K507" s="5"/>
      <c r="L507" s="5"/>
      <c r="M507" s="5"/>
      <c r="N507" s="5"/>
      <c r="O507" s="5"/>
      <c r="P507" s="5"/>
      <c r="Q507" s="5"/>
      <c r="R507" s="57"/>
      <c r="S507" s="5"/>
      <c r="T507" s="5"/>
      <c r="U507" s="5"/>
      <c r="V507" s="5"/>
      <c r="W507" s="5"/>
      <c r="X507" s="5"/>
      <c r="Y507" s="5"/>
      <c r="Z507" s="5"/>
      <c r="AA507" s="5"/>
      <c r="AB507" s="5"/>
      <c r="AC507" s="5"/>
    </row>
    <row r="508" spans="1:29" ht="12.75" customHeight="1">
      <c r="A508" s="5"/>
      <c r="B508" s="5"/>
      <c r="C508" s="5"/>
      <c r="D508" s="5"/>
      <c r="E508" s="5"/>
      <c r="F508" s="5"/>
      <c r="G508" s="5"/>
      <c r="H508" s="306"/>
      <c r="I508" s="306"/>
      <c r="J508" s="5"/>
      <c r="K508" s="5"/>
      <c r="L508" s="5"/>
      <c r="M508" s="5"/>
      <c r="N508" s="5"/>
      <c r="O508" s="5"/>
      <c r="P508" s="5"/>
      <c r="Q508" s="5"/>
      <c r="R508" s="57"/>
      <c r="S508" s="5"/>
      <c r="T508" s="5"/>
      <c r="U508" s="5"/>
      <c r="V508" s="5"/>
      <c r="W508" s="5"/>
      <c r="X508" s="5"/>
      <c r="Y508" s="5"/>
      <c r="Z508" s="5"/>
      <c r="AA508" s="5"/>
      <c r="AB508" s="5"/>
      <c r="AC508" s="5"/>
    </row>
    <row r="509" spans="1:29" ht="12.75" customHeight="1">
      <c r="A509" s="5"/>
      <c r="B509" s="5"/>
      <c r="C509" s="5"/>
      <c r="D509" s="5"/>
      <c r="E509" s="5"/>
      <c r="F509" s="5"/>
      <c r="G509" s="5"/>
      <c r="H509" s="306"/>
      <c r="I509" s="306"/>
      <c r="J509" s="5"/>
      <c r="K509" s="5"/>
      <c r="L509" s="5"/>
      <c r="M509" s="5"/>
      <c r="N509" s="5"/>
      <c r="O509" s="5"/>
      <c r="P509" s="5"/>
      <c r="Q509" s="5"/>
      <c r="R509" s="57"/>
      <c r="S509" s="5"/>
      <c r="T509" s="5"/>
      <c r="U509" s="5"/>
      <c r="V509" s="5"/>
      <c r="W509" s="5"/>
      <c r="X509" s="5"/>
      <c r="Y509" s="5"/>
      <c r="Z509" s="5"/>
      <c r="AA509" s="5"/>
      <c r="AB509" s="5"/>
      <c r="AC509" s="5"/>
    </row>
    <row r="510" spans="1:29" ht="12.75" customHeight="1">
      <c r="A510" s="5"/>
      <c r="B510" s="5"/>
      <c r="C510" s="5"/>
      <c r="D510" s="5"/>
      <c r="E510" s="5"/>
      <c r="F510" s="5"/>
      <c r="G510" s="5"/>
      <c r="H510" s="306"/>
      <c r="I510" s="306"/>
      <c r="J510" s="5"/>
      <c r="K510" s="5"/>
      <c r="L510" s="5"/>
      <c r="M510" s="5"/>
      <c r="N510" s="5"/>
      <c r="O510" s="5"/>
      <c r="P510" s="5"/>
      <c r="Q510" s="5"/>
      <c r="R510" s="57"/>
      <c r="S510" s="5"/>
      <c r="T510" s="5"/>
      <c r="U510" s="5"/>
      <c r="V510" s="5"/>
      <c r="W510" s="5"/>
      <c r="X510" s="5"/>
      <c r="Y510" s="5"/>
      <c r="Z510" s="5"/>
      <c r="AA510" s="5"/>
      <c r="AB510" s="5"/>
      <c r="AC510" s="5"/>
    </row>
    <row r="511" spans="1:29" ht="12.75" customHeight="1">
      <c r="A511" s="5"/>
      <c r="B511" s="5"/>
      <c r="C511" s="5"/>
      <c r="D511" s="5"/>
      <c r="E511" s="5"/>
      <c r="F511" s="5"/>
      <c r="G511" s="5"/>
      <c r="H511" s="306"/>
      <c r="I511" s="306"/>
      <c r="J511" s="5"/>
      <c r="K511" s="5"/>
      <c r="L511" s="5"/>
      <c r="M511" s="5"/>
      <c r="N511" s="5"/>
      <c r="O511" s="5"/>
      <c r="P511" s="5"/>
      <c r="Q511" s="5"/>
      <c r="R511" s="57"/>
      <c r="S511" s="5"/>
      <c r="T511" s="5"/>
      <c r="U511" s="5"/>
      <c r="V511" s="5"/>
      <c r="W511" s="5"/>
      <c r="X511" s="5"/>
      <c r="Y511" s="5"/>
      <c r="Z511" s="5"/>
      <c r="AA511" s="5"/>
      <c r="AB511" s="5"/>
      <c r="AC511" s="5"/>
    </row>
    <row r="512" spans="1:29" ht="12.75" customHeight="1">
      <c r="A512" s="5"/>
      <c r="B512" s="5"/>
      <c r="C512" s="5"/>
      <c r="D512" s="5"/>
      <c r="E512" s="5"/>
      <c r="F512" s="5"/>
      <c r="G512" s="5"/>
      <c r="H512" s="306"/>
      <c r="I512" s="306"/>
      <c r="J512" s="5"/>
      <c r="K512" s="5"/>
      <c r="L512" s="5"/>
      <c r="M512" s="5"/>
      <c r="N512" s="5"/>
      <c r="O512" s="5"/>
      <c r="P512" s="5"/>
      <c r="Q512" s="5"/>
      <c r="R512" s="57"/>
      <c r="S512" s="5"/>
      <c r="T512" s="5"/>
      <c r="U512" s="5"/>
      <c r="V512" s="5"/>
      <c r="W512" s="5"/>
      <c r="X512" s="5"/>
      <c r="Y512" s="5"/>
      <c r="Z512" s="5"/>
      <c r="AA512" s="5"/>
      <c r="AB512" s="5"/>
      <c r="AC512" s="5"/>
    </row>
    <row r="513" spans="1:29" ht="12.75" customHeight="1">
      <c r="A513" s="5"/>
      <c r="B513" s="5"/>
      <c r="C513" s="5"/>
      <c r="D513" s="5"/>
      <c r="E513" s="5"/>
      <c r="F513" s="5"/>
      <c r="G513" s="5"/>
      <c r="H513" s="306"/>
      <c r="I513" s="306"/>
      <c r="J513" s="5"/>
      <c r="K513" s="5"/>
      <c r="L513" s="5"/>
      <c r="M513" s="5"/>
      <c r="N513" s="5"/>
      <c r="O513" s="5"/>
      <c r="P513" s="5"/>
      <c r="Q513" s="5"/>
      <c r="R513" s="57"/>
      <c r="S513" s="5"/>
      <c r="T513" s="5"/>
      <c r="U513" s="5"/>
      <c r="V513" s="5"/>
      <c r="W513" s="5"/>
      <c r="X513" s="5"/>
      <c r="Y513" s="5"/>
      <c r="Z513" s="5"/>
      <c r="AA513" s="5"/>
      <c r="AB513" s="5"/>
      <c r="AC513" s="5"/>
    </row>
    <row r="514" spans="1:29" ht="12.75" customHeight="1">
      <c r="A514" s="5"/>
      <c r="B514" s="5"/>
      <c r="C514" s="5"/>
      <c r="D514" s="5"/>
      <c r="E514" s="5"/>
      <c r="F514" s="5"/>
      <c r="G514" s="5"/>
      <c r="H514" s="306"/>
      <c r="I514" s="306"/>
      <c r="J514" s="5"/>
      <c r="K514" s="5"/>
      <c r="L514" s="5"/>
      <c r="M514" s="5"/>
      <c r="N514" s="5"/>
      <c r="O514" s="5"/>
      <c r="P514" s="5"/>
      <c r="Q514" s="5"/>
      <c r="R514" s="57"/>
      <c r="S514" s="5"/>
      <c r="T514" s="5"/>
      <c r="U514" s="5"/>
      <c r="V514" s="5"/>
      <c r="W514" s="5"/>
      <c r="X514" s="5"/>
      <c r="Y514" s="5"/>
      <c r="Z514" s="5"/>
      <c r="AA514" s="5"/>
      <c r="AB514" s="5"/>
      <c r="AC514" s="5"/>
    </row>
    <row r="515" spans="1:29" ht="12.75" customHeight="1">
      <c r="A515" s="5"/>
      <c r="B515" s="5"/>
      <c r="C515" s="5"/>
      <c r="D515" s="5"/>
      <c r="E515" s="5"/>
      <c r="F515" s="5"/>
      <c r="G515" s="5"/>
      <c r="H515" s="306"/>
      <c r="I515" s="306"/>
      <c r="J515" s="5"/>
      <c r="K515" s="5"/>
      <c r="L515" s="5"/>
      <c r="M515" s="5"/>
      <c r="N515" s="5"/>
      <c r="O515" s="5"/>
      <c r="P515" s="5"/>
      <c r="Q515" s="5"/>
      <c r="R515" s="57"/>
      <c r="S515" s="5"/>
      <c r="T515" s="5"/>
      <c r="U515" s="5"/>
      <c r="V515" s="5"/>
      <c r="W515" s="5"/>
      <c r="X515" s="5"/>
      <c r="Y515" s="5"/>
      <c r="Z515" s="5"/>
      <c r="AA515" s="5"/>
      <c r="AB515" s="5"/>
      <c r="AC515" s="5"/>
    </row>
    <row r="516" spans="1:29" ht="12.75" customHeight="1">
      <c r="A516" s="5"/>
      <c r="B516" s="5"/>
      <c r="C516" s="5"/>
      <c r="D516" s="5"/>
      <c r="E516" s="5"/>
      <c r="F516" s="5"/>
      <c r="G516" s="5"/>
      <c r="H516" s="306"/>
      <c r="I516" s="306"/>
      <c r="J516" s="5"/>
      <c r="K516" s="5"/>
      <c r="L516" s="5"/>
      <c r="M516" s="5"/>
      <c r="N516" s="5"/>
      <c r="O516" s="5"/>
      <c r="P516" s="5"/>
      <c r="Q516" s="5"/>
      <c r="R516" s="57"/>
      <c r="S516" s="5"/>
      <c r="T516" s="5"/>
      <c r="U516" s="5"/>
      <c r="V516" s="5"/>
      <c r="W516" s="5"/>
      <c r="X516" s="5"/>
      <c r="Y516" s="5"/>
      <c r="Z516" s="5"/>
      <c r="AA516" s="5"/>
      <c r="AB516" s="5"/>
      <c r="AC516" s="5"/>
    </row>
    <row r="517" spans="1:29" ht="12.75" customHeight="1">
      <c r="A517" s="5"/>
      <c r="B517" s="5"/>
      <c r="C517" s="5"/>
      <c r="D517" s="5"/>
      <c r="E517" s="5"/>
      <c r="F517" s="5"/>
      <c r="G517" s="5"/>
      <c r="H517" s="306"/>
      <c r="I517" s="306"/>
      <c r="J517" s="5"/>
      <c r="K517" s="5"/>
      <c r="L517" s="5"/>
      <c r="M517" s="5"/>
      <c r="N517" s="5"/>
      <c r="O517" s="5"/>
      <c r="P517" s="5"/>
      <c r="Q517" s="5"/>
      <c r="R517" s="57"/>
      <c r="S517" s="5"/>
      <c r="T517" s="5"/>
      <c r="U517" s="5"/>
      <c r="V517" s="5"/>
      <c r="W517" s="5"/>
      <c r="X517" s="5"/>
      <c r="Y517" s="5"/>
      <c r="Z517" s="5"/>
      <c r="AA517" s="5"/>
      <c r="AB517" s="5"/>
      <c r="AC517" s="5"/>
    </row>
    <row r="518" spans="1:29" ht="12.75" customHeight="1">
      <c r="A518" s="5"/>
      <c r="B518" s="5"/>
      <c r="C518" s="5"/>
      <c r="D518" s="5"/>
      <c r="E518" s="5"/>
      <c r="F518" s="5"/>
      <c r="G518" s="5"/>
      <c r="H518" s="306"/>
      <c r="I518" s="306"/>
      <c r="J518" s="5"/>
      <c r="K518" s="5"/>
      <c r="L518" s="5"/>
      <c r="M518" s="5"/>
      <c r="N518" s="5"/>
      <c r="O518" s="5"/>
      <c r="P518" s="5"/>
      <c r="Q518" s="5"/>
      <c r="R518" s="57"/>
      <c r="S518" s="5"/>
      <c r="T518" s="5"/>
      <c r="U518" s="5"/>
      <c r="V518" s="5"/>
      <c r="W518" s="5"/>
      <c r="X518" s="5"/>
      <c r="Y518" s="5"/>
      <c r="Z518" s="5"/>
      <c r="AA518" s="5"/>
      <c r="AB518" s="5"/>
      <c r="AC518" s="5"/>
    </row>
    <row r="519" spans="1:29" ht="12.75" customHeight="1">
      <c r="A519" s="5"/>
      <c r="B519" s="5"/>
      <c r="C519" s="5"/>
      <c r="D519" s="5"/>
      <c r="E519" s="5"/>
      <c r="F519" s="5"/>
      <c r="G519" s="5"/>
      <c r="H519" s="306"/>
      <c r="I519" s="306"/>
      <c r="J519" s="5"/>
      <c r="K519" s="5"/>
      <c r="L519" s="5"/>
      <c r="M519" s="5"/>
      <c r="N519" s="5"/>
      <c r="O519" s="5"/>
      <c r="P519" s="5"/>
      <c r="Q519" s="5"/>
      <c r="R519" s="57"/>
      <c r="S519" s="5"/>
      <c r="T519" s="5"/>
      <c r="U519" s="5"/>
      <c r="V519" s="5"/>
      <c r="W519" s="5"/>
      <c r="X519" s="5"/>
      <c r="Y519" s="5"/>
      <c r="Z519" s="5"/>
      <c r="AA519" s="5"/>
      <c r="AB519" s="5"/>
      <c r="AC519" s="5"/>
    </row>
    <row r="520" spans="1:29" ht="12.75" customHeight="1">
      <c r="A520" s="5"/>
      <c r="B520" s="5"/>
      <c r="C520" s="5"/>
      <c r="D520" s="5"/>
      <c r="E520" s="5"/>
      <c r="F520" s="5"/>
      <c r="G520" s="5"/>
      <c r="H520" s="306"/>
      <c r="I520" s="306"/>
      <c r="J520" s="5"/>
      <c r="K520" s="5"/>
      <c r="L520" s="5"/>
      <c r="M520" s="5"/>
      <c r="N520" s="5"/>
      <c r="O520" s="5"/>
      <c r="P520" s="5"/>
      <c r="Q520" s="5"/>
      <c r="R520" s="57"/>
      <c r="S520" s="5"/>
      <c r="T520" s="5"/>
      <c r="U520" s="5"/>
      <c r="V520" s="5"/>
      <c r="W520" s="5"/>
      <c r="X520" s="5"/>
      <c r="Y520" s="5"/>
      <c r="Z520" s="5"/>
      <c r="AA520" s="5"/>
      <c r="AB520" s="5"/>
      <c r="AC520" s="5"/>
    </row>
    <row r="521" spans="1:29" ht="12.75" customHeight="1">
      <c r="A521" s="5"/>
      <c r="B521" s="5"/>
      <c r="C521" s="5"/>
      <c r="D521" s="5"/>
      <c r="E521" s="5"/>
      <c r="F521" s="5"/>
      <c r="G521" s="5"/>
      <c r="H521" s="306"/>
      <c r="I521" s="306"/>
      <c r="J521" s="5"/>
      <c r="K521" s="5"/>
      <c r="L521" s="5"/>
      <c r="M521" s="5"/>
      <c r="N521" s="5"/>
      <c r="O521" s="5"/>
      <c r="P521" s="5"/>
      <c r="Q521" s="5"/>
      <c r="R521" s="57"/>
      <c r="S521" s="5"/>
      <c r="T521" s="5"/>
      <c r="U521" s="5"/>
      <c r="V521" s="5"/>
      <c r="W521" s="5"/>
      <c r="X521" s="5"/>
      <c r="Y521" s="5"/>
      <c r="Z521" s="5"/>
      <c r="AA521" s="5"/>
      <c r="AB521" s="5"/>
      <c r="AC521" s="5"/>
    </row>
    <row r="522" spans="1:29" ht="12.75" customHeight="1">
      <c r="A522" s="5"/>
      <c r="B522" s="5"/>
      <c r="C522" s="5"/>
      <c r="D522" s="5"/>
      <c r="E522" s="5"/>
      <c r="F522" s="5"/>
      <c r="G522" s="5"/>
      <c r="H522" s="306"/>
      <c r="I522" s="306"/>
      <c r="J522" s="5"/>
      <c r="K522" s="5"/>
      <c r="L522" s="5"/>
      <c r="M522" s="5"/>
      <c r="N522" s="5"/>
      <c r="O522" s="5"/>
      <c r="P522" s="5"/>
      <c r="Q522" s="5"/>
      <c r="R522" s="57"/>
      <c r="S522" s="5"/>
      <c r="T522" s="5"/>
      <c r="U522" s="5"/>
      <c r="V522" s="5"/>
      <c r="W522" s="5"/>
      <c r="X522" s="5"/>
      <c r="Y522" s="5"/>
      <c r="Z522" s="5"/>
      <c r="AA522" s="5"/>
      <c r="AB522" s="5"/>
      <c r="AC522" s="5"/>
    </row>
    <row r="523" spans="1:29" ht="12.75" customHeight="1">
      <c r="A523" s="5"/>
      <c r="B523" s="5"/>
      <c r="C523" s="5"/>
      <c r="D523" s="5"/>
      <c r="E523" s="5"/>
      <c r="F523" s="5"/>
      <c r="G523" s="5"/>
      <c r="H523" s="306"/>
      <c r="I523" s="306"/>
      <c r="J523" s="5"/>
      <c r="K523" s="5"/>
      <c r="L523" s="5"/>
      <c r="M523" s="5"/>
      <c r="N523" s="5"/>
      <c r="O523" s="5"/>
      <c r="P523" s="5"/>
      <c r="Q523" s="5"/>
      <c r="R523" s="57"/>
      <c r="S523" s="5"/>
      <c r="T523" s="5"/>
      <c r="U523" s="5"/>
      <c r="V523" s="5"/>
      <c r="W523" s="5"/>
      <c r="X523" s="5"/>
      <c r="Y523" s="5"/>
      <c r="Z523" s="5"/>
      <c r="AA523" s="5"/>
      <c r="AB523" s="5"/>
      <c r="AC523" s="5"/>
    </row>
    <row r="524" spans="1:29" ht="12.75" customHeight="1">
      <c r="A524" s="5"/>
      <c r="B524" s="5"/>
      <c r="C524" s="5"/>
      <c r="D524" s="5"/>
      <c r="E524" s="5"/>
      <c r="F524" s="5"/>
      <c r="G524" s="5"/>
      <c r="H524" s="306"/>
      <c r="I524" s="306"/>
      <c r="J524" s="5"/>
      <c r="K524" s="5"/>
      <c r="L524" s="5"/>
      <c r="M524" s="5"/>
      <c r="N524" s="5"/>
      <c r="O524" s="5"/>
      <c r="P524" s="5"/>
      <c r="Q524" s="5"/>
      <c r="R524" s="57"/>
      <c r="S524" s="5"/>
      <c r="T524" s="5"/>
      <c r="U524" s="5"/>
      <c r="V524" s="5"/>
      <c r="W524" s="5"/>
      <c r="X524" s="5"/>
      <c r="Y524" s="5"/>
      <c r="Z524" s="5"/>
      <c r="AA524" s="5"/>
      <c r="AB524" s="5"/>
      <c r="AC524" s="5"/>
    </row>
    <row r="525" spans="1:29" ht="12.75" customHeight="1">
      <c r="A525" s="5"/>
      <c r="B525" s="5"/>
      <c r="C525" s="5"/>
      <c r="D525" s="5"/>
      <c r="E525" s="5"/>
      <c r="F525" s="5"/>
      <c r="G525" s="5"/>
      <c r="H525" s="306"/>
      <c r="I525" s="306"/>
      <c r="J525" s="5"/>
      <c r="K525" s="5"/>
      <c r="L525" s="5"/>
      <c r="M525" s="5"/>
      <c r="N525" s="5"/>
      <c r="O525" s="5"/>
      <c r="P525" s="5"/>
      <c r="Q525" s="5"/>
      <c r="R525" s="57"/>
      <c r="S525" s="5"/>
      <c r="T525" s="5"/>
      <c r="U525" s="5"/>
      <c r="V525" s="5"/>
      <c r="W525" s="5"/>
      <c r="X525" s="5"/>
      <c r="Y525" s="5"/>
      <c r="Z525" s="5"/>
      <c r="AA525" s="5"/>
      <c r="AB525" s="5"/>
      <c r="AC525" s="5"/>
    </row>
    <row r="526" spans="1:29" ht="12.75" customHeight="1">
      <c r="A526" s="5"/>
      <c r="B526" s="5"/>
      <c r="C526" s="5"/>
      <c r="D526" s="5"/>
      <c r="E526" s="5"/>
      <c r="F526" s="5"/>
      <c r="G526" s="5"/>
      <c r="H526" s="306"/>
      <c r="I526" s="306"/>
      <c r="J526" s="5"/>
      <c r="K526" s="5"/>
      <c r="L526" s="5"/>
      <c r="M526" s="5"/>
      <c r="N526" s="5"/>
      <c r="O526" s="5"/>
      <c r="P526" s="5"/>
      <c r="Q526" s="5"/>
      <c r="R526" s="57"/>
      <c r="S526" s="5"/>
      <c r="T526" s="5"/>
      <c r="U526" s="5"/>
      <c r="V526" s="5"/>
      <c r="W526" s="5"/>
      <c r="X526" s="5"/>
      <c r="Y526" s="5"/>
      <c r="Z526" s="5"/>
      <c r="AA526" s="5"/>
      <c r="AB526" s="5"/>
      <c r="AC526" s="5"/>
    </row>
    <row r="527" spans="1:29" ht="12.75" customHeight="1">
      <c r="A527" s="5"/>
      <c r="B527" s="5"/>
      <c r="C527" s="5"/>
      <c r="D527" s="5"/>
      <c r="E527" s="5"/>
      <c r="F527" s="5"/>
      <c r="G527" s="5"/>
      <c r="H527" s="306"/>
      <c r="I527" s="306"/>
      <c r="J527" s="5"/>
      <c r="K527" s="5"/>
      <c r="L527" s="5"/>
      <c r="M527" s="5"/>
      <c r="N527" s="5"/>
      <c r="O527" s="5"/>
      <c r="P527" s="5"/>
      <c r="Q527" s="5"/>
      <c r="R527" s="57"/>
      <c r="S527" s="5"/>
      <c r="T527" s="5"/>
      <c r="U527" s="5"/>
      <c r="V527" s="5"/>
      <c r="W527" s="5"/>
      <c r="X527" s="5"/>
      <c r="Y527" s="5"/>
      <c r="Z527" s="5"/>
      <c r="AA527" s="5"/>
      <c r="AB527" s="5"/>
      <c r="AC527" s="5"/>
    </row>
    <row r="528" spans="1:29" ht="12.75" customHeight="1">
      <c r="A528" s="5"/>
      <c r="B528" s="5"/>
      <c r="C528" s="5"/>
      <c r="D528" s="5"/>
      <c r="E528" s="5"/>
      <c r="F528" s="5"/>
      <c r="G528" s="5"/>
      <c r="H528" s="306"/>
      <c r="I528" s="306"/>
      <c r="J528" s="5"/>
      <c r="K528" s="5"/>
      <c r="L528" s="5"/>
      <c r="M528" s="5"/>
      <c r="N528" s="5"/>
      <c r="O528" s="5"/>
      <c r="P528" s="5"/>
      <c r="Q528" s="5"/>
      <c r="R528" s="57"/>
      <c r="S528" s="5"/>
      <c r="T528" s="5"/>
      <c r="U528" s="5"/>
      <c r="V528" s="5"/>
      <c r="W528" s="5"/>
      <c r="X528" s="5"/>
      <c r="Y528" s="5"/>
      <c r="Z528" s="5"/>
      <c r="AA528" s="5"/>
      <c r="AB528" s="5"/>
      <c r="AC528" s="5"/>
    </row>
    <row r="529" spans="1:29" ht="12.75" customHeight="1">
      <c r="A529" s="5"/>
      <c r="B529" s="5"/>
      <c r="C529" s="5"/>
      <c r="D529" s="5"/>
      <c r="E529" s="5"/>
      <c r="F529" s="5"/>
      <c r="G529" s="5"/>
      <c r="H529" s="306"/>
      <c r="I529" s="306"/>
      <c r="J529" s="5"/>
      <c r="K529" s="5"/>
      <c r="L529" s="5"/>
      <c r="M529" s="5"/>
      <c r="N529" s="5"/>
      <c r="O529" s="5"/>
      <c r="P529" s="5"/>
      <c r="Q529" s="5"/>
      <c r="R529" s="57"/>
      <c r="S529" s="5"/>
      <c r="T529" s="5"/>
      <c r="U529" s="5"/>
      <c r="V529" s="5"/>
      <c r="W529" s="5"/>
      <c r="X529" s="5"/>
      <c r="Y529" s="5"/>
      <c r="Z529" s="5"/>
      <c r="AA529" s="5"/>
      <c r="AB529" s="5"/>
      <c r="AC529" s="5"/>
    </row>
    <row r="530" spans="1:29" ht="12.75" customHeight="1">
      <c r="A530" s="5"/>
      <c r="B530" s="5"/>
      <c r="C530" s="5"/>
      <c r="D530" s="5"/>
      <c r="E530" s="5"/>
      <c r="F530" s="5"/>
      <c r="G530" s="5"/>
      <c r="H530" s="306"/>
      <c r="I530" s="306"/>
      <c r="J530" s="5"/>
      <c r="K530" s="5"/>
      <c r="L530" s="5"/>
      <c r="M530" s="5"/>
      <c r="N530" s="5"/>
      <c r="O530" s="5"/>
      <c r="P530" s="5"/>
      <c r="Q530" s="5"/>
      <c r="R530" s="57"/>
      <c r="S530" s="5"/>
      <c r="T530" s="5"/>
      <c r="U530" s="5"/>
      <c r="V530" s="5"/>
      <c r="W530" s="5"/>
      <c r="X530" s="5"/>
      <c r="Y530" s="5"/>
      <c r="Z530" s="5"/>
      <c r="AA530" s="5"/>
      <c r="AB530" s="5"/>
      <c r="AC530" s="5"/>
    </row>
    <row r="531" spans="1:29" ht="12.75" customHeight="1">
      <c r="A531" s="5"/>
      <c r="B531" s="5"/>
      <c r="C531" s="5"/>
      <c r="D531" s="5"/>
      <c r="E531" s="5"/>
      <c r="F531" s="5"/>
      <c r="G531" s="5"/>
      <c r="H531" s="306"/>
      <c r="I531" s="306"/>
      <c r="J531" s="5"/>
      <c r="K531" s="5"/>
      <c r="L531" s="5"/>
      <c r="M531" s="5"/>
      <c r="N531" s="5"/>
      <c r="O531" s="5"/>
      <c r="P531" s="5"/>
      <c r="Q531" s="5"/>
      <c r="R531" s="57"/>
      <c r="S531" s="5"/>
      <c r="T531" s="5"/>
      <c r="U531" s="5"/>
      <c r="V531" s="5"/>
      <c r="W531" s="5"/>
      <c r="X531" s="5"/>
      <c r="Y531" s="5"/>
      <c r="Z531" s="5"/>
      <c r="AA531" s="5"/>
      <c r="AB531" s="5"/>
      <c r="AC531" s="5"/>
    </row>
    <row r="532" spans="1:29" ht="12.75" customHeight="1">
      <c r="A532" s="5"/>
      <c r="B532" s="5"/>
      <c r="C532" s="5"/>
      <c r="D532" s="5"/>
      <c r="E532" s="5"/>
      <c r="F532" s="5"/>
      <c r="G532" s="5"/>
      <c r="H532" s="306"/>
      <c r="I532" s="306"/>
      <c r="J532" s="5"/>
      <c r="K532" s="5"/>
      <c r="L532" s="5"/>
      <c r="M532" s="5"/>
      <c r="N532" s="5"/>
      <c r="O532" s="5"/>
      <c r="P532" s="5"/>
      <c r="Q532" s="5"/>
      <c r="R532" s="57"/>
      <c r="S532" s="5"/>
      <c r="T532" s="5"/>
      <c r="U532" s="5"/>
      <c r="V532" s="5"/>
      <c r="W532" s="5"/>
      <c r="X532" s="5"/>
      <c r="Y532" s="5"/>
      <c r="Z532" s="5"/>
      <c r="AA532" s="5"/>
      <c r="AB532" s="5"/>
      <c r="AC532" s="5"/>
    </row>
    <row r="533" spans="1:29" ht="12.75" customHeight="1">
      <c r="A533" s="5"/>
      <c r="B533" s="5"/>
      <c r="C533" s="5"/>
      <c r="D533" s="5"/>
      <c r="E533" s="5"/>
      <c r="F533" s="5"/>
      <c r="G533" s="5"/>
      <c r="H533" s="306"/>
      <c r="I533" s="306"/>
      <c r="J533" s="5"/>
      <c r="K533" s="5"/>
      <c r="L533" s="5"/>
      <c r="M533" s="5"/>
      <c r="N533" s="5"/>
      <c r="O533" s="5"/>
      <c r="P533" s="5"/>
      <c r="Q533" s="5"/>
      <c r="R533" s="57"/>
      <c r="S533" s="5"/>
      <c r="T533" s="5"/>
      <c r="U533" s="5"/>
      <c r="V533" s="5"/>
      <c r="W533" s="5"/>
      <c r="X533" s="5"/>
      <c r="Y533" s="5"/>
      <c r="Z533" s="5"/>
      <c r="AA533" s="5"/>
      <c r="AB533" s="5"/>
      <c r="AC533" s="5"/>
    </row>
    <row r="534" spans="1:29" ht="12.75" customHeight="1">
      <c r="A534" s="5"/>
      <c r="B534" s="5"/>
      <c r="C534" s="5"/>
      <c r="D534" s="5"/>
      <c r="E534" s="5"/>
      <c r="F534" s="5"/>
      <c r="G534" s="5"/>
      <c r="H534" s="306"/>
      <c r="I534" s="306"/>
      <c r="J534" s="5"/>
      <c r="K534" s="5"/>
      <c r="L534" s="5"/>
      <c r="M534" s="5"/>
      <c r="N534" s="5"/>
      <c r="O534" s="5"/>
      <c r="P534" s="5"/>
      <c r="Q534" s="5"/>
      <c r="R534" s="57"/>
      <c r="S534" s="5"/>
      <c r="T534" s="5"/>
      <c r="U534" s="5"/>
      <c r="V534" s="5"/>
      <c r="W534" s="5"/>
      <c r="X534" s="5"/>
      <c r="Y534" s="5"/>
      <c r="Z534" s="5"/>
      <c r="AA534" s="5"/>
      <c r="AB534" s="5"/>
      <c r="AC534" s="5"/>
    </row>
    <row r="535" spans="1:29" ht="12.75" customHeight="1">
      <c r="A535" s="5"/>
      <c r="B535" s="5"/>
      <c r="C535" s="5"/>
      <c r="D535" s="5"/>
      <c r="E535" s="5"/>
      <c r="F535" s="5"/>
      <c r="G535" s="5"/>
      <c r="H535" s="306"/>
      <c r="I535" s="306"/>
      <c r="J535" s="5"/>
      <c r="K535" s="5"/>
      <c r="L535" s="5"/>
      <c r="M535" s="5"/>
      <c r="N535" s="5"/>
      <c r="O535" s="5"/>
      <c r="P535" s="5"/>
      <c r="Q535" s="5"/>
      <c r="R535" s="57"/>
      <c r="S535" s="5"/>
      <c r="T535" s="5"/>
      <c r="U535" s="5"/>
      <c r="V535" s="5"/>
      <c r="W535" s="5"/>
      <c r="X535" s="5"/>
      <c r="Y535" s="5"/>
      <c r="Z535" s="5"/>
      <c r="AA535" s="5"/>
      <c r="AB535" s="5"/>
      <c r="AC535" s="5"/>
    </row>
    <row r="536" spans="1:29" ht="12.75" customHeight="1">
      <c r="A536" s="5"/>
      <c r="B536" s="5"/>
      <c r="C536" s="5"/>
      <c r="D536" s="5"/>
      <c r="E536" s="5"/>
      <c r="F536" s="5"/>
      <c r="G536" s="5"/>
      <c r="H536" s="306"/>
      <c r="I536" s="306"/>
      <c r="J536" s="5"/>
      <c r="K536" s="5"/>
      <c r="L536" s="5"/>
      <c r="M536" s="5"/>
      <c r="N536" s="5"/>
      <c r="O536" s="5"/>
      <c r="P536" s="5"/>
      <c r="Q536" s="5"/>
      <c r="R536" s="57"/>
      <c r="S536" s="5"/>
      <c r="T536" s="5"/>
      <c r="U536" s="5"/>
      <c r="V536" s="5"/>
      <c r="W536" s="5"/>
      <c r="X536" s="5"/>
      <c r="Y536" s="5"/>
      <c r="Z536" s="5"/>
      <c r="AA536" s="5"/>
      <c r="AB536" s="5"/>
      <c r="AC536" s="5"/>
    </row>
    <row r="537" spans="1:29" ht="12.75" customHeight="1">
      <c r="A537" s="5"/>
      <c r="B537" s="5"/>
      <c r="C537" s="5"/>
      <c r="D537" s="5"/>
      <c r="E537" s="5"/>
      <c r="F537" s="5"/>
      <c r="G537" s="5"/>
      <c r="H537" s="306"/>
      <c r="I537" s="306"/>
      <c r="J537" s="5"/>
      <c r="K537" s="5"/>
      <c r="L537" s="5"/>
      <c r="M537" s="5"/>
      <c r="N537" s="5"/>
      <c r="O537" s="5"/>
      <c r="P537" s="5"/>
      <c r="Q537" s="5"/>
      <c r="R537" s="57"/>
      <c r="S537" s="5"/>
      <c r="T537" s="5"/>
      <c r="U537" s="5"/>
      <c r="V537" s="5"/>
      <c r="W537" s="5"/>
      <c r="X537" s="5"/>
      <c r="Y537" s="5"/>
      <c r="Z537" s="5"/>
      <c r="AA537" s="5"/>
      <c r="AB537" s="5"/>
      <c r="AC537" s="5"/>
    </row>
    <row r="538" spans="1:29" ht="12.75" customHeight="1">
      <c r="A538" s="5"/>
      <c r="B538" s="5"/>
      <c r="C538" s="5"/>
      <c r="D538" s="5"/>
      <c r="E538" s="5"/>
      <c r="F538" s="5"/>
      <c r="G538" s="5"/>
      <c r="H538" s="306"/>
      <c r="I538" s="306"/>
      <c r="J538" s="5"/>
      <c r="K538" s="5"/>
      <c r="L538" s="5"/>
      <c r="M538" s="5"/>
      <c r="N538" s="5"/>
      <c r="O538" s="5"/>
      <c r="P538" s="5"/>
      <c r="Q538" s="5"/>
      <c r="R538" s="57"/>
      <c r="S538" s="5"/>
      <c r="T538" s="5"/>
      <c r="U538" s="5"/>
      <c r="V538" s="5"/>
      <c r="W538" s="5"/>
      <c r="X538" s="5"/>
      <c r="Y538" s="5"/>
      <c r="Z538" s="5"/>
      <c r="AA538" s="5"/>
      <c r="AB538" s="5"/>
      <c r="AC538" s="5"/>
    </row>
    <row r="539" spans="1:29" ht="12.75" customHeight="1">
      <c r="A539" s="5"/>
      <c r="B539" s="5"/>
      <c r="C539" s="5"/>
      <c r="D539" s="5"/>
      <c r="E539" s="5"/>
      <c r="F539" s="5"/>
      <c r="G539" s="5"/>
      <c r="H539" s="306"/>
      <c r="I539" s="306"/>
      <c r="J539" s="5"/>
      <c r="K539" s="5"/>
      <c r="L539" s="5"/>
      <c r="M539" s="5"/>
      <c r="N539" s="5"/>
      <c r="O539" s="5"/>
      <c r="P539" s="5"/>
      <c r="Q539" s="5"/>
      <c r="R539" s="57"/>
      <c r="S539" s="5"/>
      <c r="T539" s="5"/>
      <c r="U539" s="5"/>
      <c r="V539" s="5"/>
      <c r="W539" s="5"/>
      <c r="X539" s="5"/>
      <c r="Y539" s="5"/>
      <c r="Z539" s="5"/>
      <c r="AA539" s="5"/>
      <c r="AB539" s="5"/>
      <c r="AC539" s="5"/>
    </row>
    <row r="540" spans="1:29" ht="12.75" customHeight="1">
      <c r="A540" s="5"/>
      <c r="B540" s="5"/>
      <c r="C540" s="5"/>
      <c r="D540" s="5"/>
      <c r="E540" s="5"/>
      <c r="F540" s="5"/>
      <c r="G540" s="5"/>
      <c r="H540" s="306"/>
      <c r="I540" s="306"/>
      <c r="J540" s="5"/>
      <c r="K540" s="5"/>
      <c r="L540" s="5"/>
      <c r="M540" s="5"/>
      <c r="N540" s="5"/>
      <c r="O540" s="5"/>
      <c r="P540" s="5"/>
      <c r="Q540" s="5"/>
      <c r="R540" s="57"/>
      <c r="S540" s="5"/>
      <c r="T540" s="5"/>
      <c r="U540" s="5"/>
      <c r="V540" s="5"/>
      <c r="W540" s="5"/>
      <c r="X540" s="5"/>
      <c r="Y540" s="5"/>
      <c r="Z540" s="5"/>
      <c r="AA540" s="5"/>
      <c r="AB540" s="5"/>
      <c r="AC540" s="5"/>
    </row>
    <row r="541" spans="1:29" ht="12.75" customHeight="1">
      <c r="A541" s="5"/>
      <c r="B541" s="5"/>
      <c r="C541" s="5"/>
      <c r="D541" s="5"/>
      <c r="E541" s="5"/>
      <c r="F541" s="5"/>
      <c r="G541" s="5"/>
      <c r="H541" s="306"/>
      <c r="I541" s="306"/>
      <c r="J541" s="5"/>
      <c r="K541" s="5"/>
      <c r="L541" s="5"/>
      <c r="M541" s="5"/>
      <c r="N541" s="5"/>
      <c r="O541" s="5"/>
      <c r="P541" s="5"/>
      <c r="Q541" s="5"/>
      <c r="R541" s="57"/>
      <c r="S541" s="5"/>
      <c r="T541" s="5"/>
      <c r="U541" s="5"/>
      <c r="V541" s="5"/>
      <c r="W541" s="5"/>
      <c r="X541" s="5"/>
      <c r="Y541" s="5"/>
      <c r="Z541" s="5"/>
      <c r="AA541" s="5"/>
      <c r="AB541" s="5"/>
      <c r="AC541" s="5"/>
    </row>
    <row r="542" spans="1:29" ht="12.75" customHeight="1">
      <c r="A542" s="5"/>
      <c r="B542" s="5"/>
      <c r="C542" s="5"/>
      <c r="D542" s="5"/>
      <c r="E542" s="5"/>
      <c r="F542" s="5"/>
      <c r="G542" s="5"/>
      <c r="H542" s="306"/>
      <c r="I542" s="306"/>
      <c r="J542" s="5"/>
      <c r="K542" s="5"/>
      <c r="L542" s="5"/>
      <c r="M542" s="5"/>
      <c r="N542" s="5"/>
      <c r="O542" s="5"/>
      <c r="P542" s="5"/>
      <c r="Q542" s="5"/>
      <c r="R542" s="57"/>
      <c r="S542" s="5"/>
      <c r="T542" s="5"/>
      <c r="U542" s="5"/>
      <c r="V542" s="5"/>
      <c r="W542" s="5"/>
      <c r="X542" s="5"/>
      <c r="Y542" s="5"/>
      <c r="Z542" s="5"/>
      <c r="AA542" s="5"/>
      <c r="AB542" s="5"/>
      <c r="AC542" s="5"/>
    </row>
    <row r="543" spans="1:29" ht="12.75" customHeight="1">
      <c r="A543" s="5"/>
      <c r="B543" s="5"/>
      <c r="C543" s="5"/>
      <c r="D543" s="5"/>
      <c r="E543" s="5"/>
      <c r="F543" s="5"/>
      <c r="G543" s="5"/>
      <c r="H543" s="306"/>
      <c r="I543" s="306"/>
      <c r="J543" s="5"/>
      <c r="K543" s="5"/>
      <c r="L543" s="5"/>
      <c r="M543" s="5"/>
      <c r="N543" s="5"/>
      <c r="O543" s="5"/>
      <c r="P543" s="5"/>
      <c r="Q543" s="5"/>
      <c r="R543" s="57"/>
      <c r="S543" s="5"/>
      <c r="T543" s="5"/>
      <c r="U543" s="5"/>
      <c r="V543" s="5"/>
      <c r="W543" s="5"/>
      <c r="X543" s="5"/>
      <c r="Y543" s="5"/>
      <c r="Z543" s="5"/>
      <c r="AA543" s="5"/>
      <c r="AB543" s="5"/>
      <c r="AC543" s="5"/>
    </row>
    <row r="544" spans="1:29" ht="12.75" customHeight="1">
      <c r="A544" s="5"/>
      <c r="B544" s="5"/>
      <c r="C544" s="5"/>
      <c r="D544" s="5"/>
      <c r="E544" s="5"/>
      <c r="F544" s="5"/>
      <c r="G544" s="5"/>
      <c r="H544" s="306"/>
      <c r="I544" s="306"/>
      <c r="J544" s="5"/>
      <c r="K544" s="5"/>
      <c r="L544" s="5"/>
      <c r="M544" s="5"/>
      <c r="N544" s="5"/>
      <c r="O544" s="5"/>
      <c r="P544" s="5"/>
      <c r="Q544" s="5"/>
      <c r="R544" s="57"/>
      <c r="S544" s="5"/>
      <c r="T544" s="5"/>
      <c r="U544" s="5"/>
      <c r="V544" s="5"/>
      <c r="W544" s="5"/>
      <c r="X544" s="5"/>
      <c r="Y544" s="5"/>
      <c r="Z544" s="5"/>
      <c r="AA544" s="5"/>
      <c r="AB544" s="5"/>
      <c r="AC544" s="5"/>
    </row>
    <row r="545" spans="1:29" ht="12.75" customHeight="1">
      <c r="A545" s="5"/>
      <c r="B545" s="5"/>
      <c r="C545" s="5"/>
      <c r="D545" s="5"/>
      <c r="E545" s="5"/>
      <c r="F545" s="5"/>
      <c r="G545" s="5"/>
      <c r="H545" s="306"/>
      <c r="I545" s="306"/>
      <c r="J545" s="5"/>
      <c r="K545" s="5"/>
      <c r="L545" s="5"/>
      <c r="M545" s="5"/>
      <c r="N545" s="5"/>
      <c r="O545" s="5"/>
      <c r="P545" s="5"/>
      <c r="Q545" s="5"/>
      <c r="R545" s="57"/>
      <c r="S545" s="5"/>
      <c r="T545" s="5"/>
      <c r="U545" s="5"/>
      <c r="V545" s="5"/>
      <c r="W545" s="5"/>
      <c r="X545" s="5"/>
      <c r="Y545" s="5"/>
      <c r="Z545" s="5"/>
      <c r="AA545" s="5"/>
      <c r="AB545" s="5"/>
      <c r="AC545" s="5"/>
    </row>
    <row r="546" spans="1:29" ht="12.75" customHeight="1">
      <c r="A546" s="5"/>
      <c r="B546" s="5"/>
      <c r="C546" s="5"/>
      <c r="D546" s="5"/>
      <c r="E546" s="5"/>
      <c r="F546" s="5"/>
      <c r="G546" s="5"/>
      <c r="H546" s="306"/>
      <c r="I546" s="306"/>
      <c r="J546" s="5"/>
      <c r="K546" s="5"/>
      <c r="L546" s="5"/>
      <c r="M546" s="5"/>
      <c r="N546" s="5"/>
      <c r="O546" s="5"/>
      <c r="P546" s="5"/>
      <c r="Q546" s="5"/>
      <c r="R546" s="57"/>
      <c r="S546" s="5"/>
      <c r="T546" s="5"/>
      <c r="U546" s="5"/>
      <c r="V546" s="5"/>
      <c r="W546" s="5"/>
      <c r="X546" s="5"/>
      <c r="Y546" s="5"/>
      <c r="Z546" s="5"/>
      <c r="AA546" s="5"/>
      <c r="AB546" s="5"/>
      <c r="AC546" s="5"/>
    </row>
    <row r="547" spans="1:29" ht="12.75" customHeight="1">
      <c r="A547" s="5"/>
      <c r="B547" s="5"/>
      <c r="C547" s="5"/>
      <c r="D547" s="5"/>
      <c r="E547" s="5"/>
      <c r="F547" s="5"/>
      <c r="G547" s="5"/>
      <c r="H547" s="306"/>
      <c r="I547" s="306"/>
      <c r="J547" s="5"/>
      <c r="K547" s="5"/>
      <c r="L547" s="5"/>
      <c r="M547" s="5"/>
      <c r="N547" s="5"/>
      <c r="O547" s="5"/>
      <c r="P547" s="5"/>
      <c r="Q547" s="5"/>
      <c r="R547" s="57"/>
      <c r="S547" s="5"/>
      <c r="T547" s="5"/>
      <c r="U547" s="5"/>
      <c r="V547" s="5"/>
      <c r="W547" s="5"/>
      <c r="X547" s="5"/>
      <c r="Y547" s="5"/>
      <c r="Z547" s="5"/>
      <c r="AA547" s="5"/>
      <c r="AB547" s="5"/>
      <c r="AC547" s="5"/>
    </row>
    <row r="548" spans="1:29" ht="12.75" customHeight="1">
      <c r="A548" s="5"/>
      <c r="B548" s="5"/>
      <c r="C548" s="5"/>
      <c r="D548" s="5"/>
      <c r="E548" s="5"/>
      <c r="F548" s="5"/>
      <c r="G548" s="5"/>
      <c r="H548" s="306"/>
      <c r="I548" s="306"/>
      <c r="J548" s="5"/>
      <c r="K548" s="5"/>
      <c r="L548" s="5"/>
      <c r="M548" s="5"/>
      <c r="N548" s="5"/>
      <c r="O548" s="5"/>
      <c r="P548" s="5"/>
      <c r="Q548" s="5"/>
      <c r="R548" s="57"/>
      <c r="S548" s="5"/>
      <c r="T548" s="5"/>
      <c r="U548" s="5"/>
      <c r="V548" s="5"/>
      <c r="W548" s="5"/>
      <c r="X548" s="5"/>
      <c r="Y548" s="5"/>
      <c r="Z548" s="5"/>
      <c r="AA548" s="5"/>
      <c r="AB548" s="5"/>
      <c r="AC548" s="5"/>
    </row>
    <row r="549" spans="1:29" ht="12.75" customHeight="1">
      <c r="A549" s="5"/>
      <c r="B549" s="5"/>
      <c r="C549" s="5"/>
      <c r="D549" s="5"/>
      <c r="E549" s="5"/>
      <c r="F549" s="5"/>
      <c r="G549" s="5"/>
      <c r="H549" s="306"/>
      <c r="I549" s="306"/>
      <c r="J549" s="5"/>
      <c r="K549" s="5"/>
      <c r="L549" s="5"/>
      <c r="M549" s="5"/>
      <c r="N549" s="5"/>
      <c r="O549" s="5"/>
      <c r="P549" s="5"/>
      <c r="Q549" s="5"/>
      <c r="R549" s="57"/>
      <c r="S549" s="5"/>
      <c r="T549" s="5"/>
      <c r="U549" s="5"/>
      <c r="V549" s="5"/>
      <c r="W549" s="5"/>
      <c r="X549" s="5"/>
      <c r="Y549" s="5"/>
      <c r="Z549" s="5"/>
      <c r="AA549" s="5"/>
      <c r="AB549" s="5"/>
      <c r="AC549" s="5"/>
    </row>
    <row r="550" spans="1:29" ht="12.75" customHeight="1">
      <c r="A550" s="5"/>
      <c r="B550" s="5"/>
      <c r="C550" s="5"/>
      <c r="D550" s="5"/>
      <c r="E550" s="5"/>
      <c r="F550" s="5"/>
      <c r="G550" s="5"/>
      <c r="H550" s="306"/>
      <c r="I550" s="306"/>
      <c r="J550" s="5"/>
      <c r="K550" s="5"/>
      <c r="L550" s="5"/>
      <c r="M550" s="5"/>
      <c r="N550" s="5"/>
      <c r="O550" s="5"/>
      <c r="P550" s="5"/>
      <c r="Q550" s="5"/>
      <c r="R550" s="57"/>
      <c r="S550" s="5"/>
      <c r="T550" s="5"/>
      <c r="U550" s="5"/>
      <c r="V550" s="5"/>
      <c r="W550" s="5"/>
      <c r="X550" s="5"/>
      <c r="Y550" s="5"/>
      <c r="Z550" s="5"/>
      <c r="AA550" s="5"/>
      <c r="AB550" s="5"/>
      <c r="AC550" s="5"/>
    </row>
    <row r="551" spans="1:29" ht="12.75" customHeight="1">
      <c r="A551" s="5"/>
      <c r="B551" s="5"/>
      <c r="C551" s="5"/>
      <c r="D551" s="5"/>
      <c r="E551" s="5"/>
      <c r="F551" s="5"/>
      <c r="G551" s="5"/>
      <c r="H551" s="306"/>
      <c r="I551" s="306"/>
      <c r="J551" s="5"/>
      <c r="K551" s="5"/>
      <c r="L551" s="5"/>
      <c r="M551" s="5"/>
      <c r="N551" s="5"/>
      <c r="O551" s="5"/>
      <c r="P551" s="5"/>
      <c r="Q551" s="5"/>
      <c r="R551" s="57"/>
      <c r="S551" s="5"/>
      <c r="T551" s="5"/>
      <c r="U551" s="5"/>
      <c r="V551" s="5"/>
      <c r="W551" s="5"/>
      <c r="X551" s="5"/>
      <c r="Y551" s="5"/>
      <c r="Z551" s="5"/>
      <c r="AA551" s="5"/>
      <c r="AB551" s="5"/>
      <c r="AC551" s="5"/>
    </row>
    <row r="552" spans="1:29" ht="12.75" customHeight="1">
      <c r="A552" s="5"/>
      <c r="B552" s="5"/>
      <c r="C552" s="5"/>
      <c r="D552" s="5"/>
      <c r="E552" s="5"/>
      <c r="F552" s="5"/>
      <c r="G552" s="5"/>
      <c r="H552" s="306"/>
      <c r="I552" s="306"/>
      <c r="J552" s="5"/>
      <c r="K552" s="5"/>
      <c r="L552" s="5"/>
      <c r="M552" s="5"/>
      <c r="N552" s="5"/>
      <c r="O552" s="5"/>
      <c r="P552" s="5"/>
      <c r="Q552" s="5"/>
      <c r="R552" s="57"/>
      <c r="S552" s="5"/>
      <c r="T552" s="5"/>
      <c r="U552" s="5"/>
      <c r="V552" s="5"/>
      <c r="W552" s="5"/>
      <c r="X552" s="5"/>
      <c r="Y552" s="5"/>
      <c r="Z552" s="5"/>
      <c r="AA552" s="5"/>
      <c r="AB552" s="5"/>
      <c r="AC552" s="5"/>
    </row>
    <row r="553" spans="1:29" ht="12.75" customHeight="1">
      <c r="A553" s="5"/>
      <c r="B553" s="5"/>
      <c r="C553" s="5"/>
      <c r="D553" s="5"/>
      <c r="E553" s="5"/>
      <c r="F553" s="5"/>
      <c r="G553" s="5"/>
      <c r="H553" s="306"/>
      <c r="I553" s="306"/>
      <c r="J553" s="5"/>
      <c r="K553" s="5"/>
      <c r="L553" s="5"/>
      <c r="M553" s="5"/>
      <c r="N553" s="5"/>
      <c r="O553" s="5"/>
      <c r="P553" s="5"/>
      <c r="Q553" s="5"/>
      <c r="R553" s="57"/>
      <c r="S553" s="5"/>
      <c r="T553" s="5"/>
      <c r="U553" s="5"/>
      <c r="V553" s="5"/>
      <c r="W553" s="5"/>
      <c r="X553" s="5"/>
      <c r="Y553" s="5"/>
      <c r="Z553" s="5"/>
      <c r="AA553" s="5"/>
      <c r="AB553" s="5"/>
      <c r="AC553" s="5"/>
    </row>
    <row r="554" spans="1:29" ht="12.75" customHeight="1">
      <c r="A554" s="5"/>
      <c r="B554" s="5"/>
      <c r="C554" s="5"/>
      <c r="D554" s="5"/>
      <c r="E554" s="5"/>
      <c r="F554" s="5"/>
      <c r="G554" s="5"/>
      <c r="H554" s="306"/>
      <c r="I554" s="306"/>
      <c r="J554" s="5"/>
      <c r="K554" s="5"/>
      <c r="L554" s="5"/>
      <c r="M554" s="5"/>
      <c r="N554" s="5"/>
      <c r="O554" s="5"/>
      <c r="P554" s="5"/>
      <c r="Q554" s="5"/>
      <c r="R554" s="57"/>
      <c r="S554" s="5"/>
      <c r="T554" s="5"/>
      <c r="U554" s="5"/>
      <c r="V554" s="5"/>
      <c r="W554" s="5"/>
      <c r="X554" s="5"/>
      <c r="Y554" s="5"/>
      <c r="Z554" s="5"/>
      <c r="AA554" s="5"/>
      <c r="AB554" s="5"/>
      <c r="AC554" s="5"/>
    </row>
    <row r="555" spans="1:29" ht="12.75" customHeight="1">
      <c r="A555" s="5"/>
      <c r="B555" s="5"/>
      <c r="C555" s="5"/>
      <c r="D555" s="5"/>
      <c r="E555" s="5"/>
      <c r="F555" s="5"/>
      <c r="G555" s="5"/>
      <c r="H555" s="306"/>
      <c r="I555" s="306"/>
      <c r="J555" s="5"/>
      <c r="K555" s="5"/>
      <c r="L555" s="5"/>
      <c r="M555" s="5"/>
      <c r="N555" s="5"/>
      <c r="O555" s="5"/>
      <c r="P555" s="5"/>
      <c r="Q555" s="5"/>
      <c r="R555" s="57"/>
      <c r="S555" s="5"/>
      <c r="T555" s="5"/>
      <c r="U555" s="5"/>
      <c r="V555" s="5"/>
      <c r="W555" s="5"/>
      <c r="X555" s="5"/>
      <c r="Y555" s="5"/>
      <c r="Z555" s="5"/>
      <c r="AA555" s="5"/>
      <c r="AB555" s="5"/>
      <c r="AC555" s="5"/>
    </row>
    <row r="556" spans="1:29" ht="12.75" customHeight="1">
      <c r="A556" s="5"/>
      <c r="B556" s="5"/>
      <c r="C556" s="5"/>
      <c r="D556" s="5"/>
      <c r="E556" s="5"/>
      <c r="F556" s="5"/>
      <c r="G556" s="5"/>
      <c r="H556" s="306"/>
      <c r="I556" s="306"/>
      <c r="J556" s="5"/>
      <c r="K556" s="5"/>
      <c r="L556" s="5"/>
      <c r="M556" s="5"/>
      <c r="N556" s="5"/>
      <c r="O556" s="5"/>
      <c r="P556" s="5"/>
      <c r="Q556" s="5"/>
      <c r="R556" s="57"/>
      <c r="S556" s="5"/>
      <c r="T556" s="5"/>
      <c r="U556" s="5"/>
      <c r="V556" s="5"/>
      <c r="W556" s="5"/>
      <c r="X556" s="5"/>
      <c r="Y556" s="5"/>
      <c r="Z556" s="5"/>
      <c r="AA556" s="5"/>
      <c r="AB556" s="5"/>
      <c r="AC556" s="5"/>
    </row>
    <row r="557" spans="1:29" ht="12.75" customHeight="1">
      <c r="A557" s="5"/>
      <c r="B557" s="5"/>
      <c r="C557" s="5"/>
      <c r="D557" s="5"/>
      <c r="E557" s="5"/>
      <c r="F557" s="5"/>
      <c r="G557" s="5"/>
      <c r="H557" s="306"/>
      <c r="I557" s="306"/>
      <c r="J557" s="5"/>
      <c r="K557" s="5"/>
      <c r="L557" s="5"/>
      <c r="M557" s="5"/>
      <c r="N557" s="5"/>
      <c r="O557" s="5"/>
      <c r="P557" s="5"/>
      <c r="Q557" s="5"/>
      <c r="R557" s="57"/>
      <c r="S557" s="5"/>
      <c r="T557" s="5"/>
      <c r="U557" s="5"/>
      <c r="V557" s="5"/>
      <c r="W557" s="5"/>
      <c r="X557" s="5"/>
      <c r="Y557" s="5"/>
      <c r="Z557" s="5"/>
      <c r="AA557" s="5"/>
      <c r="AB557" s="5"/>
      <c r="AC557" s="5"/>
    </row>
    <row r="558" spans="1:29" ht="12.75" customHeight="1">
      <c r="A558" s="5"/>
      <c r="B558" s="5"/>
      <c r="C558" s="5"/>
      <c r="D558" s="5"/>
      <c r="E558" s="5"/>
      <c r="F558" s="5"/>
      <c r="G558" s="5"/>
      <c r="H558" s="306"/>
      <c r="I558" s="306"/>
      <c r="J558" s="5"/>
      <c r="K558" s="5"/>
      <c r="L558" s="5"/>
      <c r="M558" s="5"/>
      <c r="N558" s="5"/>
      <c r="O558" s="5"/>
      <c r="P558" s="5"/>
      <c r="Q558" s="5"/>
      <c r="R558" s="57"/>
      <c r="S558" s="5"/>
      <c r="T558" s="5"/>
      <c r="U558" s="5"/>
      <c r="V558" s="5"/>
      <c r="W558" s="5"/>
      <c r="X558" s="5"/>
      <c r="Y558" s="5"/>
      <c r="Z558" s="5"/>
      <c r="AA558" s="5"/>
      <c r="AB558" s="5"/>
      <c r="AC558" s="5"/>
    </row>
    <row r="559" spans="1:29" ht="12.75" customHeight="1">
      <c r="A559" s="5"/>
      <c r="B559" s="5"/>
      <c r="C559" s="5"/>
      <c r="D559" s="5"/>
      <c r="E559" s="5"/>
      <c r="F559" s="5"/>
      <c r="G559" s="5"/>
      <c r="H559" s="306"/>
      <c r="I559" s="306"/>
      <c r="J559" s="5"/>
      <c r="K559" s="5"/>
      <c r="L559" s="5"/>
      <c r="M559" s="5"/>
      <c r="N559" s="5"/>
      <c r="O559" s="5"/>
      <c r="P559" s="5"/>
      <c r="Q559" s="5"/>
      <c r="R559" s="57"/>
      <c r="S559" s="5"/>
      <c r="T559" s="5"/>
      <c r="U559" s="5"/>
      <c r="V559" s="5"/>
      <c r="W559" s="5"/>
      <c r="X559" s="5"/>
      <c r="Y559" s="5"/>
      <c r="Z559" s="5"/>
      <c r="AA559" s="5"/>
      <c r="AB559" s="5"/>
      <c r="AC559" s="5"/>
    </row>
    <row r="560" spans="1:29" ht="12.75" customHeight="1">
      <c r="A560" s="5"/>
      <c r="B560" s="5"/>
      <c r="C560" s="5"/>
      <c r="D560" s="5"/>
      <c r="E560" s="5"/>
      <c r="F560" s="5"/>
      <c r="G560" s="5"/>
      <c r="H560" s="306"/>
      <c r="I560" s="306"/>
      <c r="J560" s="5"/>
      <c r="K560" s="5"/>
      <c r="L560" s="5"/>
      <c r="M560" s="5"/>
      <c r="N560" s="5"/>
      <c r="O560" s="5"/>
      <c r="P560" s="5"/>
      <c r="Q560" s="5"/>
      <c r="R560" s="57"/>
      <c r="S560" s="5"/>
      <c r="T560" s="5"/>
      <c r="U560" s="5"/>
      <c r="V560" s="5"/>
      <c r="W560" s="5"/>
      <c r="X560" s="5"/>
      <c r="Y560" s="5"/>
      <c r="Z560" s="5"/>
      <c r="AA560" s="5"/>
      <c r="AB560" s="5"/>
      <c r="AC560" s="5"/>
    </row>
    <row r="561" spans="1:29" ht="12.75" customHeight="1">
      <c r="A561" s="5"/>
      <c r="B561" s="5"/>
      <c r="C561" s="5"/>
      <c r="D561" s="5"/>
      <c r="E561" s="5"/>
      <c r="F561" s="5"/>
      <c r="G561" s="5"/>
      <c r="H561" s="306"/>
      <c r="I561" s="306"/>
      <c r="J561" s="5"/>
      <c r="K561" s="5"/>
      <c r="L561" s="5"/>
      <c r="M561" s="5"/>
      <c r="N561" s="5"/>
      <c r="O561" s="5"/>
      <c r="P561" s="5"/>
      <c r="Q561" s="5"/>
      <c r="R561" s="57"/>
      <c r="S561" s="5"/>
      <c r="T561" s="5"/>
      <c r="U561" s="5"/>
      <c r="V561" s="5"/>
      <c r="W561" s="5"/>
      <c r="X561" s="5"/>
      <c r="Y561" s="5"/>
      <c r="Z561" s="5"/>
      <c r="AA561" s="5"/>
      <c r="AB561" s="5"/>
      <c r="AC561" s="5"/>
    </row>
    <row r="562" spans="1:29" ht="12.75" customHeight="1">
      <c r="A562" s="5"/>
      <c r="B562" s="5"/>
      <c r="C562" s="5"/>
      <c r="D562" s="5"/>
      <c r="E562" s="5"/>
      <c r="F562" s="5"/>
      <c r="G562" s="5"/>
      <c r="H562" s="306"/>
      <c r="I562" s="306"/>
      <c r="J562" s="5"/>
      <c r="K562" s="5"/>
      <c r="L562" s="5"/>
      <c r="M562" s="5"/>
      <c r="N562" s="5"/>
      <c r="O562" s="5"/>
      <c r="P562" s="5"/>
      <c r="Q562" s="5"/>
      <c r="R562" s="57"/>
      <c r="S562" s="5"/>
      <c r="T562" s="5"/>
      <c r="U562" s="5"/>
      <c r="V562" s="5"/>
      <c r="W562" s="5"/>
      <c r="X562" s="5"/>
      <c r="Y562" s="5"/>
      <c r="Z562" s="5"/>
      <c r="AA562" s="5"/>
      <c r="AB562" s="5"/>
      <c r="AC562" s="5"/>
    </row>
    <row r="563" spans="1:29" ht="12.75" customHeight="1">
      <c r="A563" s="5"/>
      <c r="B563" s="5"/>
      <c r="C563" s="5"/>
      <c r="D563" s="5"/>
      <c r="E563" s="5"/>
      <c r="F563" s="5"/>
      <c r="G563" s="5"/>
      <c r="H563" s="306"/>
      <c r="I563" s="306"/>
      <c r="J563" s="5"/>
      <c r="K563" s="5"/>
      <c r="L563" s="5"/>
      <c r="M563" s="5"/>
      <c r="N563" s="5"/>
      <c r="O563" s="5"/>
      <c r="P563" s="5"/>
      <c r="Q563" s="5"/>
      <c r="R563" s="57"/>
      <c r="S563" s="5"/>
      <c r="T563" s="5"/>
      <c r="U563" s="5"/>
      <c r="V563" s="5"/>
      <c r="W563" s="5"/>
      <c r="X563" s="5"/>
      <c r="Y563" s="5"/>
      <c r="Z563" s="5"/>
      <c r="AA563" s="5"/>
      <c r="AB563" s="5"/>
      <c r="AC563" s="5"/>
    </row>
    <row r="564" spans="1:29" ht="12.75" customHeight="1">
      <c r="A564" s="5"/>
      <c r="B564" s="5"/>
      <c r="C564" s="5"/>
      <c r="D564" s="5"/>
      <c r="E564" s="5"/>
      <c r="F564" s="5"/>
      <c r="G564" s="5"/>
      <c r="H564" s="306"/>
      <c r="I564" s="306"/>
      <c r="J564" s="5"/>
      <c r="K564" s="5"/>
      <c r="L564" s="5"/>
      <c r="M564" s="5"/>
      <c r="N564" s="5"/>
      <c r="O564" s="5"/>
      <c r="P564" s="5"/>
      <c r="Q564" s="5"/>
      <c r="R564" s="57"/>
      <c r="S564" s="5"/>
      <c r="T564" s="5"/>
      <c r="U564" s="5"/>
      <c r="V564" s="5"/>
      <c r="W564" s="5"/>
      <c r="X564" s="5"/>
      <c r="Y564" s="5"/>
      <c r="Z564" s="5"/>
      <c r="AA564" s="5"/>
      <c r="AB564" s="5"/>
      <c r="AC564" s="5"/>
    </row>
    <row r="565" spans="1:29" ht="12.75" customHeight="1">
      <c r="A565" s="5"/>
      <c r="B565" s="5"/>
      <c r="C565" s="5"/>
      <c r="D565" s="5"/>
      <c r="E565" s="5"/>
      <c r="F565" s="5"/>
      <c r="G565" s="5"/>
      <c r="H565" s="306"/>
      <c r="I565" s="306"/>
      <c r="J565" s="5"/>
      <c r="K565" s="5"/>
      <c r="L565" s="5"/>
      <c r="M565" s="5"/>
      <c r="N565" s="5"/>
      <c r="O565" s="5"/>
      <c r="P565" s="5"/>
      <c r="Q565" s="5"/>
      <c r="R565" s="57"/>
      <c r="S565" s="5"/>
      <c r="T565" s="5"/>
      <c r="U565" s="5"/>
      <c r="V565" s="5"/>
      <c r="W565" s="5"/>
      <c r="X565" s="5"/>
      <c r="Y565" s="5"/>
      <c r="Z565" s="5"/>
      <c r="AA565" s="5"/>
      <c r="AB565" s="5"/>
      <c r="AC565" s="5"/>
    </row>
    <row r="566" spans="1:29" ht="12.75" customHeight="1">
      <c r="A566" s="5"/>
      <c r="B566" s="5"/>
      <c r="C566" s="5"/>
      <c r="D566" s="5"/>
      <c r="E566" s="5"/>
      <c r="F566" s="5"/>
      <c r="G566" s="5"/>
      <c r="H566" s="306"/>
      <c r="I566" s="306"/>
      <c r="J566" s="5"/>
      <c r="K566" s="5"/>
      <c r="L566" s="5"/>
      <c r="M566" s="5"/>
      <c r="N566" s="5"/>
      <c r="O566" s="5"/>
      <c r="P566" s="5"/>
      <c r="Q566" s="5"/>
      <c r="R566" s="57"/>
      <c r="S566" s="5"/>
      <c r="T566" s="5"/>
      <c r="U566" s="5"/>
      <c r="V566" s="5"/>
      <c r="W566" s="5"/>
      <c r="X566" s="5"/>
      <c r="Y566" s="5"/>
      <c r="Z566" s="5"/>
      <c r="AA566" s="5"/>
      <c r="AB566" s="5"/>
      <c r="AC566" s="5"/>
    </row>
    <row r="567" spans="1:29" ht="12.75" customHeight="1">
      <c r="A567" s="5"/>
      <c r="B567" s="5"/>
      <c r="C567" s="5"/>
      <c r="D567" s="5"/>
      <c r="E567" s="5"/>
      <c r="F567" s="5"/>
      <c r="G567" s="5"/>
      <c r="H567" s="306"/>
      <c r="I567" s="306"/>
      <c r="J567" s="5"/>
      <c r="K567" s="5"/>
      <c r="L567" s="5"/>
      <c r="M567" s="5"/>
      <c r="N567" s="5"/>
      <c r="O567" s="5"/>
      <c r="P567" s="5"/>
      <c r="Q567" s="5"/>
      <c r="R567" s="57"/>
      <c r="S567" s="5"/>
      <c r="T567" s="5"/>
      <c r="U567" s="5"/>
      <c r="V567" s="5"/>
      <c r="W567" s="5"/>
      <c r="X567" s="5"/>
      <c r="Y567" s="5"/>
      <c r="Z567" s="5"/>
      <c r="AA567" s="5"/>
      <c r="AB567" s="5"/>
      <c r="AC567" s="5"/>
    </row>
    <row r="568" spans="1:29" ht="12.75" customHeight="1">
      <c r="A568" s="5"/>
      <c r="B568" s="5"/>
      <c r="C568" s="5"/>
      <c r="D568" s="5"/>
      <c r="E568" s="5"/>
      <c r="F568" s="5"/>
      <c r="G568" s="5"/>
      <c r="H568" s="306"/>
      <c r="I568" s="306"/>
      <c r="J568" s="5"/>
      <c r="K568" s="5"/>
      <c r="L568" s="5"/>
      <c r="M568" s="5"/>
      <c r="N568" s="5"/>
      <c r="O568" s="5"/>
      <c r="P568" s="5"/>
      <c r="Q568" s="5"/>
      <c r="R568" s="57"/>
      <c r="S568" s="5"/>
      <c r="T568" s="5"/>
      <c r="U568" s="5"/>
      <c r="V568" s="5"/>
      <c r="W568" s="5"/>
      <c r="X568" s="5"/>
      <c r="Y568" s="5"/>
      <c r="Z568" s="5"/>
      <c r="AA568" s="5"/>
      <c r="AB568" s="5"/>
      <c r="AC568" s="5"/>
    </row>
    <row r="569" spans="1:29" ht="12.75" customHeight="1">
      <c r="A569" s="5"/>
      <c r="B569" s="5"/>
      <c r="C569" s="5"/>
      <c r="D569" s="5"/>
      <c r="E569" s="5"/>
      <c r="F569" s="5"/>
      <c r="G569" s="5"/>
      <c r="H569" s="306"/>
      <c r="I569" s="306"/>
      <c r="J569" s="5"/>
      <c r="K569" s="5"/>
      <c r="L569" s="5"/>
      <c r="M569" s="5"/>
      <c r="N569" s="5"/>
      <c r="O569" s="5"/>
      <c r="P569" s="5"/>
      <c r="Q569" s="5"/>
      <c r="R569" s="57"/>
      <c r="S569" s="5"/>
      <c r="T569" s="5"/>
      <c r="U569" s="5"/>
      <c r="V569" s="5"/>
      <c r="W569" s="5"/>
      <c r="X569" s="5"/>
      <c r="Y569" s="5"/>
      <c r="Z569" s="5"/>
      <c r="AA569" s="5"/>
      <c r="AB569" s="5"/>
      <c r="AC569" s="5"/>
    </row>
    <row r="570" spans="1:29" ht="12.75" customHeight="1">
      <c r="A570" s="5"/>
      <c r="B570" s="5"/>
      <c r="C570" s="5"/>
      <c r="D570" s="5"/>
      <c r="E570" s="5"/>
      <c r="F570" s="5"/>
      <c r="G570" s="5"/>
      <c r="H570" s="306"/>
      <c r="I570" s="306"/>
      <c r="J570" s="5"/>
      <c r="K570" s="5"/>
      <c r="L570" s="5"/>
      <c r="M570" s="5"/>
      <c r="N570" s="5"/>
      <c r="O570" s="5"/>
      <c r="P570" s="5"/>
      <c r="Q570" s="5"/>
      <c r="R570" s="57"/>
      <c r="S570" s="5"/>
      <c r="T570" s="5"/>
      <c r="U570" s="5"/>
      <c r="V570" s="5"/>
      <c r="W570" s="5"/>
      <c r="X570" s="5"/>
      <c r="Y570" s="5"/>
      <c r="Z570" s="5"/>
      <c r="AA570" s="5"/>
      <c r="AB570" s="5"/>
      <c r="AC570" s="5"/>
    </row>
    <row r="571" spans="1:29" ht="12.75" customHeight="1">
      <c r="A571" s="5"/>
      <c r="B571" s="5"/>
      <c r="C571" s="5"/>
      <c r="D571" s="5"/>
      <c r="E571" s="5"/>
      <c r="F571" s="5"/>
      <c r="G571" s="5"/>
      <c r="H571" s="306"/>
      <c r="I571" s="306"/>
      <c r="J571" s="5"/>
      <c r="K571" s="5"/>
      <c r="L571" s="5"/>
      <c r="M571" s="5"/>
      <c r="N571" s="5"/>
      <c r="O571" s="5"/>
      <c r="P571" s="5"/>
      <c r="Q571" s="5"/>
      <c r="R571" s="57"/>
      <c r="S571" s="5"/>
      <c r="T571" s="5"/>
      <c r="U571" s="5"/>
      <c r="V571" s="5"/>
      <c r="W571" s="5"/>
      <c r="X571" s="5"/>
      <c r="Y571" s="5"/>
      <c r="Z571" s="5"/>
      <c r="AA571" s="5"/>
      <c r="AB571" s="5"/>
      <c r="AC571" s="5"/>
    </row>
    <row r="572" spans="1:29" ht="12.75" customHeight="1">
      <c r="A572" s="5"/>
      <c r="B572" s="5"/>
      <c r="C572" s="5"/>
      <c r="D572" s="5"/>
      <c r="E572" s="5"/>
      <c r="F572" s="5"/>
      <c r="G572" s="5"/>
      <c r="H572" s="306"/>
      <c r="I572" s="306"/>
      <c r="J572" s="5"/>
      <c r="K572" s="5"/>
      <c r="L572" s="5"/>
      <c r="M572" s="5"/>
      <c r="N572" s="5"/>
      <c r="O572" s="5"/>
      <c r="P572" s="5"/>
      <c r="Q572" s="5"/>
      <c r="R572" s="57"/>
      <c r="S572" s="5"/>
      <c r="T572" s="5"/>
      <c r="U572" s="5"/>
      <c r="V572" s="5"/>
      <c r="W572" s="5"/>
      <c r="X572" s="5"/>
      <c r="Y572" s="5"/>
      <c r="Z572" s="5"/>
      <c r="AA572" s="5"/>
      <c r="AB572" s="5"/>
      <c r="AC572" s="5"/>
    </row>
    <row r="573" spans="1:29" ht="12.75" customHeight="1">
      <c r="A573" s="5"/>
      <c r="B573" s="5"/>
      <c r="C573" s="5"/>
      <c r="D573" s="5"/>
      <c r="E573" s="5"/>
      <c r="F573" s="5"/>
      <c r="G573" s="5"/>
      <c r="H573" s="306"/>
      <c r="I573" s="306"/>
      <c r="J573" s="5"/>
      <c r="K573" s="5"/>
      <c r="L573" s="5"/>
      <c r="M573" s="5"/>
      <c r="N573" s="5"/>
      <c r="O573" s="5"/>
      <c r="P573" s="5"/>
      <c r="Q573" s="5"/>
      <c r="R573" s="57"/>
      <c r="S573" s="5"/>
      <c r="T573" s="5"/>
      <c r="U573" s="5"/>
      <c r="V573" s="5"/>
      <c r="W573" s="5"/>
      <c r="X573" s="5"/>
      <c r="Y573" s="5"/>
      <c r="Z573" s="5"/>
      <c r="AA573" s="5"/>
      <c r="AB573" s="5"/>
      <c r="AC573" s="5"/>
    </row>
    <row r="574" spans="1:29" ht="12.75" customHeight="1">
      <c r="A574" s="5"/>
      <c r="B574" s="5"/>
      <c r="C574" s="5"/>
      <c r="D574" s="5"/>
      <c r="E574" s="5"/>
      <c r="F574" s="5"/>
      <c r="G574" s="5"/>
      <c r="H574" s="306"/>
      <c r="I574" s="306"/>
      <c r="J574" s="5"/>
      <c r="K574" s="5"/>
      <c r="L574" s="5"/>
      <c r="M574" s="5"/>
      <c r="N574" s="5"/>
      <c r="O574" s="5"/>
      <c r="P574" s="5"/>
      <c r="Q574" s="5"/>
      <c r="R574" s="57"/>
      <c r="S574" s="5"/>
      <c r="T574" s="5"/>
      <c r="U574" s="5"/>
      <c r="V574" s="5"/>
      <c r="W574" s="5"/>
      <c r="X574" s="5"/>
      <c r="Y574" s="5"/>
      <c r="Z574" s="5"/>
      <c r="AA574" s="5"/>
      <c r="AB574" s="5"/>
      <c r="AC574" s="5"/>
    </row>
    <row r="575" spans="1:29" ht="12.75" customHeight="1">
      <c r="A575" s="5"/>
      <c r="B575" s="5"/>
      <c r="C575" s="5"/>
      <c r="D575" s="5"/>
      <c r="E575" s="5"/>
      <c r="F575" s="5"/>
      <c r="G575" s="5"/>
      <c r="H575" s="306"/>
      <c r="I575" s="306"/>
      <c r="J575" s="5"/>
      <c r="K575" s="5"/>
      <c r="L575" s="5"/>
      <c r="M575" s="5"/>
      <c r="N575" s="5"/>
      <c r="O575" s="5"/>
      <c r="P575" s="5"/>
      <c r="Q575" s="5"/>
      <c r="R575" s="57"/>
      <c r="S575" s="5"/>
      <c r="T575" s="5"/>
      <c r="U575" s="5"/>
      <c r="V575" s="5"/>
      <c r="W575" s="5"/>
      <c r="X575" s="5"/>
      <c r="Y575" s="5"/>
      <c r="Z575" s="5"/>
      <c r="AA575" s="5"/>
      <c r="AB575" s="5"/>
      <c r="AC575" s="5"/>
    </row>
    <row r="576" spans="1:29" ht="12.75" customHeight="1">
      <c r="A576" s="5"/>
      <c r="B576" s="5"/>
      <c r="C576" s="5"/>
      <c r="D576" s="5"/>
      <c r="E576" s="5"/>
      <c r="F576" s="5"/>
      <c r="G576" s="5"/>
      <c r="H576" s="306"/>
      <c r="I576" s="306"/>
      <c r="J576" s="5"/>
      <c r="K576" s="5"/>
      <c r="L576" s="5"/>
      <c r="M576" s="5"/>
      <c r="N576" s="5"/>
      <c r="O576" s="5"/>
      <c r="P576" s="5"/>
      <c r="Q576" s="5"/>
      <c r="R576" s="57"/>
      <c r="S576" s="5"/>
      <c r="T576" s="5"/>
      <c r="U576" s="5"/>
      <c r="V576" s="5"/>
      <c r="W576" s="5"/>
      <c r="X576" s="5"/>
      <c r="Y576" s="5"/>
      <c r="Z576" s="5"/>
      <c r="AA576" s="5"/>
      <c r="AB576" s="5"/>
      <c r="AC576" s="5"/>
    </row>
    <row r="577" spans="1:29" ht="12.75" customHeight="1">
      <c r="A577" s="5"/>
      <c r="B577" s="5"/>
      <c r="C577" s="5"/>
      <c r="D577" s="5"/>
      <c r="E577" s="5"/>
      <c r="F577" s="5"/>
      <c r="G577" s="5"/>
      <c r="H577" s="306"/>
      <c r="I577" s="306"/>
      <c r="J577" s="5"/>
      <c r="K577" s="5"/>
      <c r="L577" s="5"/>
      <c r="M577" s="5"/>
      <c r="N577" s="5"/>
      <c r="O577" s="5"/>
      <c r="P577" s="5"/>
      <c r="Q577" s="5"/>
      <c r="R577" s="57"/>
      <c r="S577" s="5"/>
      <c r="T577" s="5"/>
      <c r="U577" s="5"/>
      <c r="V577" s="5"/>
      <c r="W577" s="5"/>
      <c r="X577" s="5"/>
      <c r="Y577" s="5"/>
      <c r="Z577" s="5"/>
      <c r="AA577" s="5"/>
      <c r="AB577" s="5"/>
      <c r="AC577" s="5"/>
    </row>
    <row r="578" spans="1:29" ht="12.75" customHeight="1">
      <c r="A578" s="5"/>
      <c r="B578" s="5"/>
      <c r="C578" s="5"/>
      <c r="D578" s="5"/>
      <c r="E578" s="5"/>
      <c r="F578" s="5"/>
      <c r="G578" s="5"/>
      <c r="H578" s="306"/>
      <c r="I578" s="306"/>
      <c r="J578" s="5"/>
      <c r="K578" s="5"/>
      <c r="L578" s="5"/>
      <c r="M578" s="5"/>
      <c r="N578" s="5"/>
      <c r="O578" s="5"/>
      <c r="P578" s="5"/>
      <c r="Q578" s="5"/>
      <c r="R578" s="57"/>
      <c r="S578" s="5"/>
      <c r="T578" s="5"/>
      <c r="U578" s="5"/>
      <c r="V578" s="5"/>
      <c r="W578" s="5"/>
      <c r="X578" s="5"/>
      <c r="Y578" s="5"/>
      <c r="Z578" s="5"/>
      <c r="AA578" s="5"/>
      <c r="AB578" s="5"/>
      <c r="AC578" s="5"/>
    </row>
    <row r="579" spans="1:29" ht="12.75" customHeight="1">
      <c r="A579" s="5"/>
      <c r="B579" s="5"/>
      <c r="C579" s="5"/>
      <c r="D579" s="5"/>
      <c r="E579" s="5"/>
      <c r="F579" s="5"/>
      <c r="G579" s="5"/>
      <c r="H579" s="306"/>
      <c r="I579" s="306"/>
      <c r="J579" s="5"/>
      <c r="K579" s="5"/>
      <c r="L579" s="5"/>
      <c r="M579" s="5"/>
      <c r="N579" s="5"/>
      <c r="O579" s="5"/>
      <c r="P579" s="5"/>
      <c r="Q579" s="5"/>
      <c r="R579" s="57"/>
      <c r="S579" s="5"/>
      <c r="T579" s="5"/>
      <c r="U579" s="5"/>
      <c r="V579" s="5"/>
      <c r="W579" s="5"/>
      <c r="X579" s="5"/>
      <c r="Y579" s="5"/>
      <c r="Z579" s="5"/>
      <c r="AA579" s="5"/>
      <c r="AB579" s="5"/>
      <c r="AC579" s="5"/>
    </row>
    <row r="580" spans="1:29" ht="12.75" customHeight="1">
      <c r="A580" s="5"/>
      <c r="B580" s="5"/>
      <c r="C580" s="5"/>
      <c r="D580" s="5"/>
      <c r="E580" s="5"/>
      <c r="F580" s="5"/>
      <c r="G580" s="5"/>
      <c r="H580" s="306"/>
      <c r="I580" s="306"/>
      <c r="J580" s="5"/>
      <c r="K580" s="5"/>
      <c r="L580" s="5"/>
      <c r="M580" s="5"/>
      <c r="N580" s="5"/>
      <c r="O580" s="5"/>
      <c r="P580" s="5"/>
      <c r="Q580" s="5"/>
      <c r="R580" s="57"/>
      <c r="S580" s="5"/>
      <c r="T580" s="5"/>
      <c r="U580" s="5"/>
      <c r="V580" s="5"/>
      <c r="W580" s="5"/>
      <c r="X580" s="5"/>
      <c r="Y580" s="5"/>
      <c r="Z580" s="5"/>
      <c r="AA580" s="5"/>
      <c r="AB580" s="5"/>
      <c r="AC580" s="5"/>
    </row>
    <row r="581" spans="1:29" ht="12.75" customHeight="1">
      <c r="A581" s="5"/>
      <c r="B581" s="5"/>
      <c r="C581" s="5"/>
      <c r="D581" s="5"/>
      <c r="E581" s="5"/>
      <c r="F581" s="5"/>
      <c r="G581" s="5"/>
      <c r="H581" s="306"/>
      <c r="I581" s="306"/>
      <c r="J581" s="5"/>
      <c r="K581" s="5"/>
      <c r="L581" s="5"/>
      <c r="M581" s="5"/>
      <c r="N581" s="5"/>
      <c r="O581" s="5"/>
      <c r="P581" s="5"/>
      <c r="Q581" s="5"/>
      <c r="R581" s="57"/>
      <c r="S581" s="5"/>
      <c r="T581" s="5"/>
      <c r="U581" s="5"/>
      <c r="V581" s="5"/>
      <c r="W581" s="5"/>
      <c r="X581" s="5"/>
      <c r="Y581" s="5"/>
      <c r="Z581" s="5"/>
      <c r="AA581" s="5"/>
      <c r="AB581" s="5"/>
      <c r="AC581" s="5"/>
    </row>
    <row r="582" spans="1:29" ht="12.75" customHeight="1">
      <c r="A582" s="5"/>
      <c r="B582" s="5"/>
      <c r="C582" s="5"/>
      <c r="D582" s="5"/>
      <c r="E582" s="5"/>
      <c r="F582" s="5"/>
      <c r="G582" s="5"/>
      <c r="H582" s="306"/>
      <c r="I582" s="306"/>
      <c r="J582" s="5"/>
      <c r="K582" s="5"/>
      <c r="L582" s="5"/>
      <c r="M582" s="5"/>
      <c r="N582" s="5"/>
      <c r="O582" s="5"/>
      <c r="P582" s="5"/>
      <c r="Q582" s="5"/>
      <c r="R582" s="57"/>
      <c r="S582" s="5"/>
      <c r="T582" s="5"/>
      <c r="U582" s="5"/>
      <c r="V582" s="5"/>
      <c r="W582" s="5"/>
      <c r="X582" s="5"/>
      <c r="Y582" s="5"/>
      <c r="Z582" s="5"/>
      <c r="AA582" s="5"/>
      <c r="AB582" s="5"/>
      <c r="AC582" s="5"/>
    </row>
    <row r="583" spans="1:29" ht="12.75" customHeight="1">
      <c r="A583" s="5"/>
      <c r="B583" s="5"/>
      <c r="C583" s="5"/>
      <c r="D583" s="5"/>
      <c r="E583" s="5"/>
      <c r="F583" s="5"/>
      <c r="G583" s="5"/>
      <c r="H583" s="306"/>
      <c r="I583" s="306"/>
      <c r="J583" s="5"/>
      <c r="K583" s="5"/>
      <c r="L583" s="5"/>
      <c r="M583" s="5"/>
      <c r="N583" s="5"/>
      <c r="O583" s="5"/>
      <c r="P583" s="5"/>
      <c r="Q583" s="5"/>
      <c r="R583" s="57"/>
      <c r="S583" s="5"/>
      <c r="T583" s="5"/>
      <c r="U583" s="5"/>
      <c r="V583" s="5"/>
      <c r="W583" s="5"/>
      <c r="X583" s="5"/>
      <c r="Y583" s="5"/>
      <c r="Z583" s="5"/>
      <c r="AA583" s="5"/>
      <c r="AB583" s="5"/>
      <c r="AC583" s="5"/>
    </row>
    <row r="584" spans="1:29" ht="12.75" customHeight="1">
      <c r="A584" s="5"/>
      <c r="B584" s="5"/>
      <c r="C584" s="5"/>
      <c r="D584" s="5"/>
      <c r="E584" s="5"/>
      <c r="F584" s="5"/>
      <c r="G584" s="5"/>
      <c r="H584" s="306"/>
      <c r="I584" s="306"/>
      <c r="J584" s="5"/>
      <c r="K584" s="5"/>
      <c r="L584" s="5"/>
      <c r="M584" s="5"/>
      <c r="N584" s="5"/>
      <c r="O584" s="5"/>
      <c r="P584" s="5"/>
      <c r="Q584" s="5"/>
      <c r="R584" s="57"/>
      <c r="S584" s="5"/>
      <c r="T584" s="5"/>
      <c r="U584" s="5"/>
      <c r="V584" s="5"/>
      <c r="W584" s="5"/>
      <c r="X584" s="5"/>
      <c r="Y584" s="5"/>
      <c r="Z584" s="5"/>
      <c r="AA584" s="5"/>
      <c r="AB584" s="5"/>
      <c r="AC584" s="5"/>
    </row>
    <row r="585" spans="1:29" ht="12.75" customHeight="1">
      <c r="A585" s="5"/>
      <c r="B585" s="5"/>
      <c r="C585" s="5"/>
      <c r="D585" s="5"/>
      <c r="E585" s="5"/>
      <c r="F585" s="5"/>
      <c r="G585" s="5"/>
      <c r="H585" s="306"/>
      <c r="I585" s="306"/>
      <c r="J585" s="5"/>
      <c r="K585" s="5"/>
      <c r="L585" s="5"/>
      <c r="M585" s="5"/>
      <c r="N585" s="5"/>
      <c r="O585" s="5"/>
      <c r="P585" s="5"/>
      <c r="Q585" s="5"/>
      <c r="R585" s="57"/>
      <c r="S585" s="5"/>
      <c r="T585" s="5"/>
      <c r="U585" s="5"/>
      <c r="V585" s="5"/>
      <c r="W585" s="5"/>
      <c r="X585" s="5"/>
      <c r="Y585" s="5"/>
      <c r="Z585" s="5"/>
      <c r="AA585" s="5"/>
      <c r="AB585" s="5"/>
      <c r="AC585" s="5"/>
    </row>
    <row r="586" spans="1:29" ht="12.75" customHeight="1">
      <c r="A586" s="5"/>
      <c r="B586" s="5"/>
      <c r="C586" s="5"/>
      <c r="D586" s="5"/>
      <c r="E586" s="5"/>
      <c r="F586" s="5"/>
      <c r="G586" s="5"/>
      <c r="H586" s="306"/>
      <c r="I586" s="306"/>
      <c r="J586" s="5"/>
      <c r="K586" s="5"/>
      <c r="L586" s="5"/>
      <c r="M586" s="5"/>
      <c r="N586" s="5"/>
      <c r="O586" s="5"/>
      <c r="P586" s="5"/>
      <c r="Q586" s="5"/>
      <c r="R586" s="57"/>
      <c r="S586" s="5"/>
      <c r="T586" s="5"/>
      <c r="U586" s="5"/>
      <c r="V586" s="5"/>
      <c r="W586" s="5"/>
      <c r="X586" s="5"/>
      <c r="Y586" s="5"/>
      <c r="Z586" s="5"/>
      <c r="AA586" s="5"/>
      <c r="AB586" s="5"/>
      <c r="AC586" s="5"/>
    </row>
    <row r="587" spans="1:29" ht="12.75" customHeight="1">
      <c r="A587" s="5"/>
      <c r="B587" s="5"/>
      <c r="C587" s="5"/>
      <c r="D587" s="5"/>
      <c r="E587" s="5"/>
      <c r="F587" s="5"/>
      <c r="G587" s="5"/>
      <c r="H587" s="306"/>
      <c r="I587" s="306"/>
      <c r="J587" s="5"/>
      <c r="K587" s="5"/>
      <c r="L587" s="5"/>
      <c r="M587" s="5"/>
      <c r="N587" s="5"/>
      <c r="O587" s="5"/>
      <c r="P587" s="5"/>
      <c r="Q587" s="5"/>
      <c r="R587" s="57"/>
      <c r="S587" s="5"/>
      <c r="T587" s="5"/>
      <c r="U587" s="5"/>
      <c r="V587" s="5"/>
      <c r="W587" s="5"/>
      <c r="X587" s="5"/>
      <c r="Y587" s="5"/>
      <c r="Z587" s="5"/>
      <c r="AA587" s="5"/>
      <c r="AB587" s="5"/>
      <c r="AC587" s="5"/>
    </row>
    <row r="588" spans="1:29" ht="12.75" customHeight="1">
      <c r="A588" s="5"/>
      <c r="B588" s="5"/>
      <c r="C588" s="5"/>
      <c r="D588" s="5"/>
      <c r="E588" s="5"/>
      <c r="F588" s="5"/>
      <c r="G588" s="5"/>
      <c r="H588" s="306"/>
      <c r="I588" s="306"/>
      <c r="J588" s="5"/>
      <c r="K588" s="5"/>
      <c r="L588" s="5"/>
      <c r="M588" s="5"/>
      <c r="N588" s="5"/>
      <c r="O588" s="5"/>
      <c r="P588" s="5"/>
      <c r="Q588" s="5"/>
      <c r="R588" s="57"/>
      <c r="S588" s="5"/>
      <c r="T588" s="5"/>
      <c r="U588" s="5"/>
      <c r="V588" s="5"/>
      <c r="W588" s="5"/>
      <c r="X588" s="5"/>
      <c r="Y588" s="5"/>
      <c r="Z588" s="5"/>
      <c r="AA588" s="5"/>
      <c r="AB588" s="5"/>
      <c r="AC588" s="5"/>
    </row>
    <row r="589" spans="1:29" ht="12.75" customHeight="1">
      <c r="A589" s="5"/>
      <c r="B589" s="5"/>
      <c r="C589" s="5"/>
      <c r="D589" s="5"/>
      <c r="E589" s="5"/>
      <c r="F589" s="5"/>
      <c r="G589" s="5"/>
      <c r="H589" s="306"/>
      <c r="I589" s="306"/>
      <c r="J589" s="5"/>
      <c r="K589" s="5"/>
      <c r="L589" s="5"/>
      <c r="M589" s="5"/>
      <c r="N589" s="5"/>
      <c r="O589" s="5"/>
      <c r="P589" s="5"/>
      <c r="Q589" s="5"/>
      <c r="R589" s="57"/>
      <c r="S589" s="5"/>
      <c r="T589" s="5"/>
      <c r="U589" s="5"/>
      <c r="V589" s="5"/>
      <c r="W589" s="5"/>
      <c r="X589" s="5"/>
      <c r="Y589" s="5"/>
      <c r="Z589" s="5"/>
      <c r="AA589" s="5"/>
      <c r="AB589" s="5"/>
      <c r="AC589" s="5"/>
    </row>
    <row r="590" spans="1:29" ht="12.75" customHeight="1">
      <c r="A590" s="5"/>
      <c r="B590" s="5"/>
      <c r="C590" s="5"/>
      <c r="D590" s="5"/>
      <c r="E590" s="5"/>
      <c r="F590" s="5"/>
      <c r="G590" s="5"/>
      <c r="H590" s="306"/>
      <c r="I590" s="306"/>
      <c r="J590" s="5"/>
      <c r="K590" s="5"/>
      <c r="L590" s="5"/>
      <c r="M590" s="5"/>
      <c r="N590" s="5"/>
      <c r="O590" s="5"/>
      <c r="P590" s="5"/>
      <c r="Q590" s="5"/>
      <c r="R590" s="57"/>
      <c r="S590" s="5"/>
      <c r="T590" s="5"/>
      <c r="U590" s="5"/>
      <c r="V590" s="5"/>
      <c r="W590" s="5"/>
      <c r="X590" s="5"/>
      <c r="Y590" s="5"/>
      <c r="Z590" s="5"/>
      <c r="AA590" s="5"/>
      <c r="AB590" s="5"/>
      <c r="AC590" s="5"/>
    </row>
    <row r="591" spans="1:29" ht="12.75" customHeight="1">
      <c r="A591" s="5"/>
      <c r="B591" s="5"/>
      <c r="C591" s="5"/>
      <c r="D591" s="5"/>
      <c r="E591" s="5"/>
      <c r="F591" s="5"/>
      <c r="G591" s="5"/>
      <c r="H591" s="306"/>
      <c r="I591" s="306"/>
      <c r="J591" s="5"/>
      <c r="K591" s="5"/>
      <c r="L591" s="5"/>
      <c r="M591" s="5"/>
      <c r="N591" s="5"/>
      <c r="O591" s="5"/>
      <c r="P591" s="5"/>
      <c r="Q591" s="5"/>
      <c r="R591" s="57"/>
      <c r="S591" s="5"/>
      <c r="T591" s="5"/>
      <c r="U591" s="5"/>
      <c r="V591" s="5"/>
      <c r="W591" s="5"/>
      <c r="X591" s="5"/>
      <c r="Y591" s="5"/>
      <c r="Z591" s="5"/>
      <c r="AA591" s="5"/>
      <c r="AB591" s="5"/>
      <c r="AC591" s="5"/>
    </row>
    <row r="592" spans="1:29" ht="12.75" customHeight="1">
      <c r="A592" s="5"/>
      <c r="B592" s="5"/>
      <c r="C592" s="5"/>
      <c r="D592" s="5"/>
      <c r="E592" s="5"/>
      <c r="F592" s="5"/>
      <c r="G592" s="5"/>
      <c r="H592" s="306"/>
      <c r="I592" s="306"/>
      <c r="J592" s="5"/>
      <c r="K592" s="5"/>
      <c r="L592" s="5"/>
      <c r="M592" s="5"/>
      <c r="N592" s="5"/>
      <c r="O592" s="5"/>
      <c r="P592" s="5"/>
      <c r="Q592" s="5"/>
      <c r="R592" s="57"/>
      <c r="S592" s="5"/>
      <c r="T592" s="5"/>
      <c r="U592" s="5"/>
      <c r="V592" s="5"/>
      <c r="W592" s="5"/>
      <c r="X592" s="5"/>
      <c r="Y592" s="5"/>
      <c r="Z592" s="5"/>
      <c r="AA592" s="5"/>
      <c r="AB592" s="5"/>
      <c r="AC592" s="5"/>
    </row>
    <row r="593" spans="1:29" ht="12.75" customHeight="1">
      <c r="A593" s="5"/>
      <c r="B593" s="5"/>
      <c r="C593" s="5"/>
      <c r="D593" s="5"/>
      <c r="E593" s="5"/>
      <c r="F593" s="5"/>
      <c r="G593" s="5"/>
      <c r="H593" s="306"/>
      <c r="I593" s="306"/>
      <c r="J593" s="5"/>
      <c r="K593" s="5"/>
      <c r="L593" s="5"/>
      <c r="M593" s="5"/>
      <c r="N593" s="5"/>
      <c r="O593" s="5"/>
      <c r="P593" s="5"/>
      <c r="Q593" s="5"/>
      <c r="R593" s="57"/>
      <c r="S593" s="5"/>
      <c r="T593" s="5"/>
      <c r="U593" s="5"/>
      <c r="V593" s="5"/>
      <c r="W593" s="5"/>
      <c r="X593" s="5"/>
      <c r="Y593" s="5"/>
      <c r="Z593" s="5"/>
      <c r="AA593" s="5"/>
      <c r="AB593" s="5"/>
      <c r="AC593" s="5"/>
    </row>
    <row r="594" spans="1:29" ht="12.75" customHeight="1">
      <c r="A594" s="5"/>
      <c r="B594" s="5"/>
      <c r="C594" s="5"/>
      <c r="D594" s="5"/>
      <c r="E594" s="5"/>
      <c r="F594" s="5"/>
      <c r="G594" s="5"/>
      <c r="H594" s="306"/>
      <c r="I594" s="306"/>
      <c r="J594" s="5"/>
      <c r="K594" s="5"/>
      <c r="L594" s="5"/>
      <c r="M594" s="5"/>
      <c r="N594" s="5"/>
      <c r="O594" s="5"/>
      <c r="P594" s="5"/>
      <c r="Q594" s="5"/>
      <c r="R594" s="57"/>
      <c r="S594" s="5"/>
      <c r="T594" s="5"/>
      <c r="U594" s="5"/>
      <c r="V594" s="5"/>
      <c r="W594" s="5"/>
      <c r="X594" s="5"/>
      <c r="Y594" s="5"/>
      <c r="Z594" s="5"/>
      <c r="AA594" s="5"/>
      <c r="AB594" s="5"/>
      <c r="AC594" s="5"/>
    </row>
    <row r="595" spans="1:29" ht="12.75" customHeight="1">
      <c r="A595" s="5"/>
      <c r="B595" s="5"/>
      <c r="C595" s="5"/>
      <c r="D595" s="5"/>
      <c r="E595" s="5"/>
      <c r="F595" s="5"/>
      <c r="G595" s="5"/>
      <c r="H595" s="306"/>
      <c r="I595" s="306"/>
      <c r="J595" s="5"/>
      <c r="K595" s="5"/>
      <c r="L595" s="5"/>
      <c r="M595" s="5"/>
      <c r="N595" s="5"/>
      <c r="O595" s="5"/>
      <c r="P595" s="5"/>
      <c r="Q595" s="5"/>
      <c r="R595" s="57"/>
      <c r="S595" s="5"/>
      <c r="T595" s="5"/>
      <c r="U595" s="5"/>
      <c r="V595" s="5"/>
      <c r="W595" s="5"/>
      <c r="X595" s="5"/>
      <c r="Y595" s="5"/>
      <c r="Z595" s="5"/>
      <c r="AA595" s="5"/>
      <c r="AB595" s="5"/>
      <c r="AC595" s="5"/>
    </row>
    <row r="596" spans="1:29" ht="12.75" customHeight="1">
      <c r="A596" s="5"/>
      <c r="B596" s="5"/>
      <c r="C596" s="5"/>
      <c r="D596" s="5"/>
      <c r="E596" s="5"/>
      <c r="F596" s="5"/>
      <c r="G596" s="5"/>
      <c r="H596" s="306"/>
      <c r="I596" s="306"/>
      <c r="J596" s="5"/>
      <c r="K596" s="5"/>
      <c r="L596" s="5"/>
      <c r="M596" s="5"/>
      <c r="N596" s="5"/>
      <c r="O596" s="5"/>
      <c r="P596" s="5"/>
      <c r="Q596" s="5"/>
      <c r="R596" s="57"/>
      <c r="S596" s="5"/>
      <c r="T596" s="5"/>
      <c r="U596" s="5"/>
      <c r="V596" s="5"/>
      <c r="W596" s="5"/>
      <c r="X596" s="5"/>
      <c r="Y596" s="5"/>
      <c r="Z596" s="5"/>
      <c r="AA596" s="5"/>
      <c r="AB596" s="5"/>
      <c r="AC596" s="5"/>
    </row>
    <row r="597" spans="1:29" ht="12.75" customHeight="1">
      <c r="A597" s="5"/>
      <c r="B597" s="5"/>
      <c r="C597" s="5"/>
      <c r="D597" s="5"/>
      <c r="E597" s="5"/>
      <c r="F597" s="5"/>
      <c r="G597" s="5"/>
      <c r="H597" s="306"/>
      <c r="I597" s="306"/>
      <c r="J597" s="5"/>
      <c r="K597" s="5"/>
      <c r="L597" s="5"/>
      <c r="M597" s="5"/>
      <c r="N597" s="5"/>
      <c r="O597" s="5"/>
      <c r="P597" s="5"/>
      <c r="Q597" s="5"/>
      <c r="R597" s="57"/>
      <c r="S597" s="5"/>
      <c r="T597" s="5"/>
      <c r="U597" s="5"/>
      <c r="V597" s="5"/>
      <c r="W597" s="5"/>
      <c r="X597" s="5"/>
      <c r="Y597" s="5"/>
      <c r="Z597" s="5"/>
      <c r="AA597" s="5"/>
      <c r="AB597" s="5"/>
      <c r="AC597" s="5"/>
    </row>
    <row r="598" spans="1:29" ht="12.75" customHeight="1">
      <c r="A598" s="5"/>
      <c r="B598" s="5"/>
      <c r="C598" s="5"/>
      <c r="D598" s="5"/>
      <c r="E598" s="5"/>
      <c r="F598" s="5"/>
      <c r="G598" s="5"/>
      <c r="H598" s="306"/>
      <c r="I598" s="306"/>
      <c r="J598" s="5"/>
      <c r="K598" s="5"/>
      <c r="L598" s="5"/>
      <c r="M598" s="5"/>
      <c r="N598" s="5"/>
      <c r="O598" s="5"/>
      <c r="P598" s="5"/>
      <c r="Q598" s="5"/>
      <c r="R598" s="57"/>
      <c r="S598" s="5"/>
      <c r="T598" s="5"/>
      <c r="U598" s="5"/>
      <c r="V598" s="5"/>
      <c r="W598" s="5"/>
      <c r="X598" s="5"/>
      <c r="Y598" s="5"/>
      <c r="Z598" s="5"/>
      <c r="AA598" s="5"/>
      <c r="AB598" s="5"/>
      <c r="AC598" s="5"/>
    </row>
    <row r="599" spans="1:29" ht="12.75" customHeight="1">
      <c r="A599" s="5"/>
      <c r="B599" s="5"/>
      <c r="C599" s="5"/>
      <c r="D599" s="5"/>
      <c r="E599" s="5"/>
      <c r="F599" s="5"/>
      <c r="G599" s="5"/>
      <c r="H599" s="306"/>
      <c r="I599" s="306"/>
      <c r="J599" s="5"/>
      <c r="K599" s="5"/>
      <c r="L599" s="5"/>
      <c r="M599" s="5"/>
      <c r="N599" s="5"/>
      <c r="O599" s="5"/>
      <c r="P599" s="5"/>
      <c r="Q599" s="5"/>
      <c r="R599" s="57"/>
      <c r="S599" s="5"/>
      <c r="T599" s="5"/>
      <c r="U599" s="5"/>
      <c r="V599" s="5"/>
      <c r="W599" s="5"/>
      <c r="X599" s="5"/>
      <c r="Y599" s="5"/>
      <c r="Z599" s="5"/>
      <c r="AA599" s="5"/>
      <c r="AB599" s="5"/>
      <c r="AC599" s="5"/>
    </row>
    <row r="600" spans="1:29" ht="12.75" customHeight="1">
      <c r="A600" s="5"/>
      <c r="B600" s="5"/>
      <c r="C600" s="5"/>
      <c r="D600" s="5"/>
      <c r="E600" s="5"/>
      <c r="F600" s="5"/>
      <c r="G600" s="5"/>
      <c r="H600" s="306"/>
      <c r="I600" s="306"/>
      <c r="J600" s="5"/>
      <c r="K600" s="5"/>
      <c r="L600" s="5"/>
      <c r="M600" s="5"/>
      <c r="N600" s="5"/>
      <c r="O600" s="5"/>
      <c r="P600" s="5"/>
      <c r="Q600" s="5"/>
      <c r="R600" s="57"/>
      <c r="S600" s="5"/>
      <c r="T600" s="5"/>
      <c r="U600" s="5"/>
      <c r="V600" s="5"/>
      <c r="W600" s="5"/>
      <c r="X600" s="5"/>
      <c r="Y600" s="5"/>
      <c r="Z600" s="5"/>
      <c r="AA600" s="5"/>
      <c r="AB600" s="5"/>
      <c r="AC600" s="5"/>
    </row>
    <row r="601" spans="1:29" ht="12.75" customHeight="1">
      <c r="A601" s="5"/>
      <c r="B601" s="5"/>
      <c r="C601" s="5"/>
      <c r="D601" s="5"/>
      <c r="E601" s="5"/>
      <c r="F601" s="5"/>
      <c r="G601" s="5"/>
      <c r="H601" s="306"/>
      <c r="I601" s="306"/>
      <c r="J601" s="5"/>
      <c r="K601" s="5"/>
      <c r="L601" s="5"/>
      <c r="M601" s="5"/>
      <c r="N601" s="5"/>
      <c r="O601" s="5"/>
      <c r="P601" s="5"/>
      <c r="Q601" s="5"/>
      <c r="R601" s="57"/>
      <c r="S601" s="5"/>
      <c r="T601" s="5"/>
      <c r="U601" s="5"/>
      <c r="V601" s="5"/>
      <c r="W601" s="5"/>
      <c r="X601" s="5"/>
      <c r="Y601" s="5"/>
      <c r="Z601" s="5"/>
      <c r="AA601" s="5"/>
      <c r="AB601" s="5"/>
      <c r="AC601" s="5"/>
    </row>
    <row r="602" spans="1:29" ht="12.75" customHeight="1">
      <c r="A602" s="5"/>
      <c r="B602" s="5"/>
      <c r="C602" s="5"/>
      <c r="D602" s="5"/>
      <c r="E602" s="5"/>
      <c r="F602" s="5"/>
      <c r="G602" s="5"/>
      <c r="H602" s="306"/>
      <c r="I602" s="306"/>
      <c r="J602" s="5"/>
      <c r="K602" s="5"/>
      <c r="L602" s="5"/>
      <c r="M602" s="5"/>
      <c r="N602" s="5"/>
      <c r="O602" s="5"/>
      <c r="P602" s="5"/>
      <c r="Q602" s="5"/>
      <c r="R602" s="57"/>
      <c r="S602" s="5"/>
      <c r="T602" s="5"/>
      <c r="U602" s="5"/>
      <c r="V602" s="5"/>
      <c r="W602" s="5"/>
      <c r="X602" s="5"/>
      <c r="Y602" s="5"/>
      <c r="Z602" s="5"/>
      <c r="AA602" s="5"/>
      <c r="AB602" s="5"/>
      <c r="AC602" s="5"/>
    </row>
    <row r="603" spans="1:29" ht="12.75" customHeight="1">
      <c r="A603" s="5"/>
      <c r="B603" s="5"/>
      <c r="C603" s="5"/>
      <c r="D603" s="5"/>
      <c r="E603" s="5"/>
      <c r="F603" s="5"/>
      <c r="G603" s="5"/>
      <c r="H603" s="306"/>
      <c r="I603" s="306"/>
      <c r="J603" s="5"/>
      <c r="K603" s="5"/>
      <c r="L603" s="5"/>
      <c r="M603" s="5"/>
      <c r="N603" s="5"/>
      <c r="O603" s="5"/>
      <c r="P603" s="5"/>
      <c r="Q603" s="5"/>
      <c r="R603" s="57"/>
      <c r="S603" s="5"/>
      <c r="T603" s="5"/>
      <c r="U603" s="5"/>
      <c r="V603" s="5"/>
      <c r="W603" s="5"/>
      <c r="X603" s="5"/>
      <c r="Y603" s="5"/>
      <c r="Z603" s="5"/>
      <c r="AA603" s="5"/>
      <c r="AB603" s="5"/>
      <c r="AC603" s="5"/>
    </row>
    <row r="604" spans="1:29" ht="12.75" customHeight="1">
      <c r="A604" s="5"/>
      <c r="B604" s="5"/>
      <c r="C604" s="5"/>
      <c r="D604" s="5"/>
      <c r="E604" s="5"/>
      <c r="F604" s="5"/>
      <c r="G604" s="5"/>
      <c r="H604" s="306"/>
      <c r="I604" s="306"/>
      <c r="J604" s="5"/>
      <c r="K604" s="5"/>
      <c r="L604" s="5"/>
      <c r="M604" s="5"/>
      <c r="N604" s="5"/>
      <c r="O604" s="5"/>
      <c r="P604" s="5"/>
      <c r="Q604" s="5"/>
      <c r="R604" s="57"/>
      <c r="S604" s="5"/>
      <c r="T604" s="5"/>
      <c r="U604" s="5"/>
      <c r="V604" s="5"/>
      <c r="W604" s="5"/>
      <c r="X604" s="5"/>
      <c r="Y604" s="5"/>
      <c r="Z604" s="5"/>
      <c r="AA604" s="5"/>
      <c r="AB604" s="5"/>
      <c r="AC604" s="5"/>
    </row>
    <row r="605" spans="1:29" ht="12.75" customHeight="1">
      <c r="A605" s="5"/>
      <c r="B605" s="5"/>
      <c r="C605" s="5"/>
      <c r="D605" s="5"/>
      <c r="E605" s="5"/>
      <c r="F605" s="5"/>
      <c r="G605" s="5"/>
      <c r="H605" s="306"/>
      <c r="I605" s="306"/>
      <c r="J605" s="5"/>
      <c r="K605" s="5"/>
      <c r="L605" s="5"/>
      <c r="M605" s="5"/>
      <c r="N605" s="5"/>
      <c r="O605" s="5"/>
      <c r="P605" s="5"/>
      <c r="Q605" s="5"/>
      <c r="R605" s="57"/>
      <c r="S605" s="5"/>
      <c r="T605" s="5"/>
      <c r="U605" s="5"/>
      <c r="V605" s="5"/>
      <c r="W605" s="5"/>
      <c r="X605" s="5"/>
      <c r="Y605" s="5"/>
      <c r="Z605" s="5"/>
      <c r="AA605" s="5"/>
      <c r="AB605" s="5"/>
      <c r="AC605" s="5"/>
    </row>
    <row r="606" spans="1:29" ht="12.75" customHeight="1">
      <c r="A606" s="5"/>
      <c r="B606" s="5"/>
      <c r="C606" s="5"/>
      <c r="D606" s="5"/>
      <c r="E606" s="5"/>
      <c r="F606" s="5"/>
      <c r="G606" s="5"/>
      <c r="H606" s="306"/>
      <c r="I606" s="306"/>
      <c r="J606" s="5"/>
      <c r="K606" s="5"/>
      <c r="L606" s="5"/>
      <c r="M606" s="5"/>
      <c r="N606" s="5"/>
      <c r="O606" s="5"/>
      <c r="P606" s="5"/>
      <c r="Q606" s="5"/>
      <c r="R606" s="57"/>
      <c r="S606" s="5"/>
      <c r="T606" s="5"/>
      <c r="U606" s="5"/>
      <c r="V606" s="5"/>
      <c r="W606" s="5"/>
      <c r="X606" s="5"/>
      <c r="Y606" s="5"/>
      <c r="Z606" s="5"/>
      <c r="AA606" s="5"/>
      <c r="AB606" s="5"/>
      <c r="AC606" s="5"/>
    </row>
    <row r="607" spans="1:29" ht="12.75" customHeight="1">
      <c r="A607" s="5"/>
      <c r="B607" s="5"/>
      <c r="C607" s="5"/>
      <c r="D607" s="5"/>
      <c r="E607" s="5"/>
      <c r="F607" s="5"/>
      <c r="G607" s="5"/>
      <c r="H607" s="306"/>
      <c r="I607" s="306"/>
      <c r="J607" s="5"/>
      <c r="K607" s="5"/>
      <c r="L607" s="5"/>
      <c r="M607" s="5"/>
      <c r="N607" s="5"/>
      <c r="O607" s="5"/>
      <c r="P607" s="5"/>
      <c r="Q607" s="5"/>
      <c r="R607" s="57"/>
      <c r="S607" s="5"/>
      <c r="T607" s="5"/>
      <c r="U607" s="5"/>
      <c r="V607" s="5"/>
      <c r="W607" s="5"/>
      <c r="X607" s="5"/>
      <c r="Y607" s="5"/>
      <c r="Z607" s="5"/>
      <c r="AA607" s="5"/>
      <c r="AB607" s="5"/>
      <c r="AC607" s="5"/>
    </row>
    <row r="608" spans="1:29" ht="12.75" customHeight="1">
      <c r="A608" s="5"/>
      <c r="B608" s="5"/>
      <c r="C608" s="5"/>
      <c r="D608" s="5"/>
      <c r="E608" s="5"/>
      <c r="F608" s="5"/>
      <c r="G608" s="5"/>
      <c r="H608" s="306"/>
      <c r="I608" s="306"/>
      <c r="J608" s="5"/>
      <c r="K608" s="5"/>
      <c r="L608" s="5"/>
      <c r="M608" s="5"/>
      <c r="N608" s="5"/>
      <c r="O608" s="5"/>
      <c r="P608" s="5"/>
      <c r="Q608" s="5"/>
      <c r="R608" s="57"/>
      <c r="S608" s="5"/>
      <c r="T608" s="5"/>
      <c r="U608" s="5"/>
      <c r="V608" s="5"/>
      <c r="W608" s="5"/>
      <c r="X608" s="5"/>
      <c r="Y608" s="5"/>
      <c r="Z608" s="5"/>
      <c r="AA608" s="5"/>
      <c r="AB608" s="5"/>
      <c r="AC608" s="5"/>
    </row>
    <row r="609" spans="1:29" ht="12.75" customHeight="1">
      <c r="A609" s="5"/>
      <c r="B609" s="5"/>
      <c r="C609" s="5"/>
      <c r="D609" s="5"/>
      <c r="E609" s="5"/>
      <c r="F609" s="5"/>
      <c r="G609" s="5"/>
      <c r="H609" s="306"/>
      <c r="I609" s="306"/>
      <c r="J609" s="5"/>
      <c r="K609" s="5"/>
      <c r="L609" s="5"/>
      <c r="M609" s="5"/>
      <c r="N609" s="5"/>
      <c r="O609" s="5"/>
      <c r="P609" s="5"/>
      <c r="Q609" s="5"/>
      <c r="R609" s="57"/>
      <c r="S609" s="5"/>
      <c r="T609" s="5"/>
      <c r="U609" s="5"/>
      <c r="V609" s="5"/>
      <c r="W609" s="5"/>
      <c r="X609" s="5"/>
      <c r="Y609" s="5"/>
      <c r="Z609" s="5"/>
      <c r="AA609" s="5"/>
      <c r="AB609" s="5"/>
      <c r="AC609" s="5"/>
    </row>
    <row r="610" spans="1:29" ht="12.75" customHeight="1">
      <c r="A610" s="5"/>
      <c r="B610" s="5"/>
      <c r="C610" s="5"/>
      <c r="D610" s="5"/>
      <c r="E610" s="5"/>
      <c r="F610" s="5"/>
      <c r="G610" s="5"/>
      <c r="H610" s="306"/>
      <c r="I610" s="306"/>
      <c r="J610" s="5"/>
      <c r="K610" s="5"/>
      <c r="L610" s="5"/>
      <c r="M610" s="5"/>
      <c r="N610" s="5"/>
      <c r="O610" s="5"/>
      <c r="P610" s="5"/>
      <c r="Q610" s="5"/>
      <c r="R610" s="57"/>
      <c r="S610" s="5"/>
      <c r="T610" s="5"/>
      <c r="U610" s="5"/>
      <c r="V610" s="5"/>
      <c r="W610" s="5"/>
      <c r="X610" s="5"/>
      <c r="Y610" s="5"/>
      <c r="Z610" s="5"/>
      <c r="AA610" s="5"/>
      <c r="AB610" s="5"/>
      <c r="AC610" s="5"/>
    </row>
    <row r="611" spans="1:29" ht="12.75" customHeight="1">
      <c r="A611" s="5"/>
      <c r="B611" s="5"/>
      <c r="C611" s="5"/>
      <c r="D611" s="5"/>
      <c r="E611" s="5"/>
      <c r="F611" s="5"/>
      <c r="G611" s="5"/>
      <c r="H611" s="306"/>
      <c r="I611" s="306"/>
      <c r="J611" s="5"/>
      <c r="K611" s="5"/>
      <c r="L611" s="5"/>
      <c r="M611" s="5"/>
      <c r="N611" s="5"/>
      <c r="O611" s="5"/>
      <c r="P611" s="5"/>
      <c r="Q611" s="5"/>
      <c r="R611" s="57"/>
      <c r="S611" s="5"/>
      <c r="T611" s="5"/>
      <c r="U611" s="5"/>
      <c r="V611" s="5"/>
      <c r="W611" s="5"/>
      <c r="X611" s="5"/>
      <c r="Y611" s="5"/>
      <c r="Z611" s="5"/>
      <c r="AA611" s="5"/>
      <c r="AB611" s="5"/>
      <c r="AC611" s="5"/>
    </row>
    <row r="612" spans="1:29" ht="12.75" customHeight="1">
      <c r="A612" s="5"/>
      <c r="B612" s="5"/>
      <c r="C612" s="5"/>
      <c r="D612" s="5"/>
      <c r="E612" s="5"/>
      <c r="F612" s="5"/>
      <c r="G612" s="5"/>
      <c r="H612" s="306"/>
      <c r="I612" s="306"/>
      <c r="J612" s="5"/>
      <c r="K612" s="5"/>
      <c r="L612" s="5"/>
      <c r="M612" s="5"/>
      <c r="N612" s="5"/>
      <c r="O612" s="5"/>
      <c r="P612" s="5"/>
      <c r="Q612" s="5"/>
      <c r="R612" s="57"/>
      <c r="S612" s="5"/>
      <c r="T612" s="5"/>
      <c r="U612" s="5"/>
      <c r="V612" s="5"/>
      <c r="W612" s="5"/>
      <c r="X612" s="5"/>
      <c r="Y612" s="5"/>
      <c r="Z612" s="5"/>
      <c r="AA612" s="5"/>
      <c r="AB612" s="5"/>
      <c r="AC612" s="5"/>
    </row>
    <row r="613" spans="1:29" ht="12.75" customHeight="1">
      <c r="A613" s="5"/>
      <c r="B613" s="5"/>
      <c r="C613" s="5"/>
      <c r="D613" s="5"/>
      <c r="E613" s="5"/>
      <c r="F613" s="5"/>
      <c r="G613" s="5"/>
      <c r="H613" s="306"/>
      <c r="I613" s="306"/>
      <c r="J613" s="5"/>
      <c r="K613" s="5"/>
      <c r="L613" s="5"/>
      <c r="M613" s="5"/>
      <c r="N613" s="5"/>
      <c r="O613" s="5"/>
      <c r="P613" s="5"/>
      <c r="Q613" s="5"/>
      <c r="R613" s="57"/>
      <c r="S613" s="5"/>
      <c r="T613" s="5"/>
      <c r="U613" s="5"/>
      <c r="V613" s="5"/>
      <c r="W613" s="5"/>
      <c r="X613" s="5"/>
      <c r="Y613" s="5"/>
      <c r="Z613" s="5"/>
      <c r="AA613" s="5"/>
      <c r="AB613" s="5"/>
      <c r="AC613" s="5"/>
    </row>
    <row r="614" spans="1:29" ht="12.75" customHeight="1">
      <c r="A614" s="5"/>
      <c r="B614" s="5"/>
      <c r="C614" s="5"/>
      <c r="D614" s="5"/>
      <c r="E614" s="5"/>
      <c r="F614" s="5"/>
      <c r="G614" s="5"/>
      <c r="H614" s="306"/>
      <c r="I614" s="306"/>
      <c r="J614" s="5"/>
      <c r="K614" s="5"/>
      <c r="L614" s="5"/>
      <c r="M614" s="5"/>
      <c r="N614" s="5"/>
      <c r="O614" s="5"/>
      <c r="P614" s="5"/>
      <c r="Q614" s="5"/>
      <c r="R614" s="57"/>
      <c r="S614" s="5"/>
      <c r="T614" s="5"/>
      <c r="U614" s="5"/>
      <c r="V614" s="5"/>
      <c r="W614" s="5"/>
      <c r="X614" s="5"/>
      <c r="Y614" s="5"/>
      <c r="Z614" s="5"/>
      <c r="AA614" s="5"/>
      <c r="AB614" s="5"/>
      <c r="AC614" s="5"/>
    </row>
    <row r="615" spans="1:29" ht="12.75" customHeight="1">
      <c r="A615" s="5"/>
      <c r="B615" s="5"/>
      <c r="C615" s="5"/>
      <c r="D615" s="5"/>
      <c r="E615" s="5"/>
      <c r="F615" s="5"/>
      <c r="G615" s="5"/>
      <c r="H615" s="306"/>
      <c r="I615" s="306"/>
      <c r="J615" s="5"/>
      <c r="K615" s="5"/>
      <c r="L615" s="5"/>
      <c r="M615" s="5"/>
      <c r="N615" s="5"/>
      <c r="O615" s="5"/>
      <c r="P615" s="5"/>
      <c r="Q615" s="5"/>
      <c r="R615" s="57"/>
      <c r="S615" s="5"/>
      <c r="T615" s="5"/>
      <c r="U615" s="5"/>
      <c r="V615" s="5"/>
      <c r="W615" s="5"/>
      <c r="X615" s="5"/>
      <c r="Y615" s="5"/>
      <c r="Z615" s="5"/>
      <c r="AA615" s="5"/>
      <c r="AB615" s="5"/>
      <c r="AC615" s="5"/>
    </row>
    <row r="616" spans="1:29" ht="12.75" customHeight="1">
      <c r="A616" s="5"/>
      <c r="B616" s="5"/>
      <c r="C616" s="5"/>
      <c r="D616" s="5"/>
      <c r="E616" s="5"/>
      <c r="F616" s="5"/>
      <c r="G616" s="5"/>
      <c r="H616" s="306"/>
      <c r="I616" s="306"/>
      <c r="J616" s="5"/>
      <c r="K616" s="5"/>
      <c r="L616" s="5"/>
      <c r="M616" s="5"/>
      <c r="N616" s="5"/>
      <c r="O616" s="5"/>
      <c r="P616" s="5"/>
      <c r="Q616" s="5"/>
      <c r="R616" s="57"/>
      <c r="S616" s="5"/>
      <c r="T616" s="5"/>
      <c r="U616" s="5"/>
      <c r="V616" s="5"/>
      <c r="W616" s="5"/>
      <c r="X616" s="5"/>
      <c r="Y616" s="5"/>
      <c r="Z616" s="5"/>
      <c r="AA616" s="5"/>
      <c r="AB616" s="5"/>
      <c r="AC616" s="5"/>
    </row>
    <row r="617" spans="1:29" ht="12.75" customHeight="1">
      <c r="A617" s="5"/>
      <c r="B617" s="5"/>
      <c r="C617" s="5"/>
      <c r="D617" s="5"/>
      <c r="E617" s="5"/>
      <c r="F617" s="5"/>
      <c r="G617" s="5"/>
      <c r="H617" s="306"/>
      <c r="I617" s="306"/>
      <c r="J617" s="5"/>
      <c r="K617" s="5"/>
      <c r="L617" s="5"/>
      <c r="M617" s="5"/>
      <c r="N617" s="5"/>
      <c r="O617" s="5"/>
      <c r="P617" s="5"/>
      <c r="Q617" s="5"/>
      <c r="R617" s="57"/>
      <c r="S617" s="5"/>
      <c r="T617" s="5"/>
      <c r="U617" s="5"/>
      <c r="V617" s="5"/>
      <c r="W617" s="5"/>
      <c r="X617" s="5"/>
      <c r="Y617" s="5"/>
      <c r="Z617" s="5"/>
      <c r="AA617" s="5"/>
      <c r="AB617" s="5"/>
      <c r="AC617" s="5"/>
    </row>
    <row r="618" spans="1:29" ht="12.75" customHeight="1">
      <c r="A618" s="5"/>
      <c r="B618" s="5"/>
      <c r="C618" s="5"/>
      <c r="D618" s="5"/>
      <c r="E618" s="5"/>
      <c r="F618" s="5"/>
      <c r="G618" s="5"/>
      <c r="H618" s="306"/>
      <c r="I618" s="306"/>
      <c r="J618" s="5"/>
      <c r="K618" s="5"/>
      <c r="L618" s="5"/>
      <c r="M618" s="5"/>
      <c r="N618" s="5"/>
      <c r="O618" s="5"/>
      <c r="P618" s="5"/>
      <c r="Q618" s="5"/>
      <c r="R618" s="57"/>
      <c r="S618" s="5"/>
      <c r="T618" s="5"/>
      <c r="U618" s="5"/>
      <c r="V618" s="5"/>
      <c r="W618" s="5"/>
      <c r="X618" s="5"/>
      <c r="Y618" s="5"/>
      <c r="Z618" s="5"/>
      <c r="AA618" s="5"/>
      <c r="AB618" s="5"/>
      <c r="AC618" s="5"/>
    </row>
    <row r="619" spans="1:29" ht="12.75" customHeight="1">
      <c r="A619" s="5"/>
      <c r="B619" s="5"/>
      <c r="C619" s="5"/>
      <c r="D619" s="5"/>
      <c r="E619" s="5"/>
      <c r="F619" s="5"/>
      <c r="G619" s="5"/>
      <c r="H619" s="306"/>
      <c r="I619" s="306"/>
      <c r="J619" s="5"/>
      <c r="K619" s="5"/>
      <c r="L619" s="5"/>
      <c r="M619" s="5"/>
      <c r="N619" s="5"/>
      <c r="O619" s="5"/>
      <c r="P619" s="5"/>
      <c r="Q619" s="5"/>
      <c r="R619" s="57"/>
      <c r="S619" s="5"/>
      <c r="T619" s="5"/>
      <c r="U619" s="5"/>
      <c r="V619" s="5"/>
      <c r="W619" s="5"/>
      <c r="X619" s="5"/>
      <c r="Y619" s="5"/>
      <c r="Z619" s="5"/>
      <c r="AA619" s="5"/>
      <c r="AB619" s="5"/>
      <c r="AC619" s="5"/>
    </row>
    <row r="620" spans="1:29" ht="12.75" customHeight="1">
      <c r="A620" s="5"/>
      <c r="B620" s="5"/>
      <c r="C620" s="5"/>
      <c r="D620" s="5"/>
      <c r="E620" s="5"/>
      <c r="F620" s="5"/>
      <c r="G620" s="5"/>
      <c r="H620" s="306"/>
      <c r="I620" s="306"/>
      <c r="J620" s="5"/>
      <c r="K620" s="5"/>
      <c r="L620" s="5"/>
      <c r="M620" s="5"/>
      <c r="N620" s="5"/>
      <c r="O620" s="5"/>
      <c r="P620" s="5"/>
      <c r="Q620" s="5"/>
      <c r="R620" s="57"/>
      <c r="S620" s="5"/>
      <c r="T620" s="5"/>
      <c r="U620" s="5"/>
      <c r="V620" s="5"/>
      <c r="W620" s="5"/>
      <c r="X620" s="5"/>
      <c r="Y620" s="5"/>
      <c r="Z620" s="5"/>
      <c r="AA620" s="5"/>
      <c r="AB620" s="5"/>
      <c r="AC620" s="5"/>
    </row>
    <row r="621" spans="1:29" ht="12.75" customHeight="1">
      <c r="A621" s="5"/>
      <c r="B621" s="5"/>
      <c r="C621" s="5"/>
      <c r="D621" s="5"/>
      <c r="E621" s="5"/>
      <c r="F621" s="5"/>
      <c r="G621" s="5"/>
      <c r="H621" s="306"/>
      <c r="I621" s="306"/>
      <c r="J621" s="5"/>
      <c r="K621" s="5"/>
      <c r="L621" s="5"/>
      <c r="M621" s="5"/>
      <c r="N621" s="5"/>
      <c r="O621" s="5"/>
      <c r="P621" s="5"/>
      <c r="Q621" s="5"/>
      <c r="R621" s="57"/>
      <c r="S621" s="5"/>
      <c r="T621" s="5"/>
      <c r="U621" s="5"/>
      <c r="V621" s="5"/>
      <c r="W621" s="5"/>
      <c r="X621" s="5"/>
      <c r="Y621" s="5"/>
      <c r="Z621" s="5"/>
      <c r="AA621" s="5"/>
      <c r="AB621" s="5"/>
      <c r="AC621" s="5"/>
    </row>
    <row r="622" spans="1:29" ht="12.75" customHeight="1">
      <c r="A622" s="5"/>
      <c r="B622" s="5"/>
      <c r="C622" s="5"/>
      <c r="D622" s="5"/>
      <c r="E622" s="5"/>
      <c r="F622" s="5"/>
      <c r="G622" s="5"/>
      <c r="H622" s="306"/>
      <c r="I622" s="306"/>
      <c r="J622" s="5"/>
      <c r="K622" s="5"/>
      <c r="L622" s="5"/>
      <c r="M622" s="5"/>
      <c r="N622" s="5"/>
      <c r="O622" s="5"/>
      <c r="P622" s="5"/>
      <c r="Q622" s="5"/>
      <c r="R622" s="57"/>
      <c r="S622" s="5"/>
      <c r="T622" s="5"/>
      <c r="U622" s="5"/>
      <c r="V622" s="5"/>
      <c r="W622" s="5"/>
      <c r="X622" s="5"/>
      <c r="Y622" s="5"/>
      <c r="Z622" s="5"/>
      <c r="AA622" s="5"/>
      <c r="AB622" s="5"/>
      <c r="AC622" s="5"/>
    </row>
    <row r="623" spans="1:29" ht="12.75" customHeight="1">
      <c r="A623" s="5"/>
      <c r="B623" s="5"/>
      <c r="C623" s="5"/>
      <c r="D623" s="5"/>
      <c r="E623" s="5"/>
      <c r="F623" s="5"/>
      <c r="G623" s="5"/>
      <c r="H623" s="306"/>
      <c r="I623" s="306"/>
      <c r="J623" s="5"/>
      <c r="K623" s="5"/>
      <c r="L623" s="5"/>
      <c r="M623" s="5"/>
      <c r="N623" s="5"/>
      <c r="O623" s="5"/>
      <c r="P623" s="5"/>
      <c r="Q623" s="5"/>
      <c r="R623" s="57"/>
      <c r="S623" s="5"/>
      <c r="T623" s="5"/>
      <c r="U623" s="5"/>
      <c r="V623" s="5"/>
      <c r="W623" s="5"/>
      <c r="X623" s="5"/>
      <c r="Y623" s="5"/>
      <c r="Z623" s="5"/>
      <c r="AA623" s="5"/>
      <c r="AB623" s="5"/>
      <c r="AC623" s="5"/>
    </row>
    <row r="624" spans="1:29" ht="12.75" customHeight="1">
      <c r="A624" s="5"/>
      <c r="B624" s="5"/>
      <c r="C624" s="5"/>
      <c r="D624" s="5"/>
      <c r="E624" s="5"/>
      <c r="F624" s="5"/>
      <c r="G624" s="5"/>
      <c r="H624" s="306"/>
      <c r="I624" s="306"/>
      <c r="J624" s="5"/>
      <c r="K624" s="5"/>
      <c r="L624" s="5"/>
      <c r="M624" s="5"/>
      <c r="N624" s="5"/>
      <c r="O624" s="5"/>
      <c r="P624" s="5"/>
      <c r="Q624" s="5"/>
      <c r="R624" s="57"/>
      <c r="S624" s="5"/>
      <c r="T624" s="5"/>
      <c r="U624" s="5"/>
      <c r="V624" s="5"/>
      <c r="W624" s="5"/>
      <c r="X624" s="5"/>
      <c r="Y624" s="5"/>
      <c r="Z624" s="5"/>
      <c r="AA624" s="5"/>
      <c r="AB624" s="5"/>
      <c r="AC624" s="5"/>
    </row>
    <row r="625" spans="1:29" ht="12.75" customHeight="1">
      <c r="A625" s="5"/>
      <c r="B625" s="5"/>
      <c r="C625" s="5"/>
      <c r="D625" s="5"/>
      <c r="E625" s="5"/>
      <c r="F625" s="5"/>
      <c r="G625" s="5"/>
      <c r="H625" s="306"/>
      <c r="I625" s="306"/>
      <c r="J625" s="5"/>
      <c r="K625" s="5"/>
      <c r="L625" s="5"/>
      <c r="M625" s="5"/>
      <c r="N625" s="5"/>
      <c r="O625" s="5"/>
      <c r="P625" s="5"/>
      <c r="Q625" s="5"/>
      <c r="R625" s="57"/>
      <c r="S625" s="5"/>
      <c r="T625" s="5"/>
      <c r="U625" s="5"/>
      <c r="V625" s="5"/>
      <c r="W625" s="5"/>
      <c r="X625" s="5"/>
      <c r="Y625" s="5"/>
      <c r="Z625" s="5"/>
      <c r="AA625" s="5"/>
      <c r="AB625" s="5"/>
      <c r="AC625" s="5"/>
    </row>
    <row r="626" spans="1:29" ht="12.75" customHeight="1">
      <c r="A626" s="5"/>
      <c r="B626" s="5"/>
      <c r="C626" s="5"/>
      <c r="D626" s="5"/>
      <c r="E626" s="5"/>
      <c r="F626" s="5"/>
      <c r="G626" s="5"/>
      <c r="H626" s="306"/>
      <c r="I626" s="306"/>
      <c r="J626" s="5"/>
      <c r="K626" s="5"/>
      <c r="L626" s="5"/>
      <c r="M626" s="5"/>
      <c r="N626" s="5"/>
      <c r="O626" s="5"/>
      <c r="P626" s="5"/>
      <c r="Q626" s="5"/>
      <c r="R626" s="57"/>
      <c r="S626" s="5"/>
      <c r="T626" s="5"/>
      <c r="U626" s="5"/>
      <c r="V626" s="5"/>
      <c r="W626" s="5"/>
      <c r="X626" s="5"/>
      <c r="Y626" s="5"/>
      <c r="Z626" s="5"/>
      <c r="AA626" s="5"/>
      <c r="AB626" s="5"/>
      <c r="AC626" s="5"/>
    </row>
    <row r="627" spans="1:29" ht="12.75" customHeight="1">
      <c r="A627" s="5"/>
      <c r="B627" s="5"/>
      <c r="C627" s="5"/>
      <c r="D627" s="5"/>
      <c r="E627" s="5"/>
      <c r="F627" s="5"/>
      <c r="G627" s="5"/>
      <c r="H627" s="306"/>
      <c r="I627" s="306"/>
      <c r="J627" s="5"/>
      <c r="K627" s="5"/>
      <c r="L627" s="5"/>
      <c r="M627" s="5"/>
      <c r="N627" s="5"/>
      <c r="O627" s="5"/>
      <c r="P627" s="5"/>
      <c r="Q627" s="5"/>
      <c r="R627" s="57"/>
      <c r="S627" s="5"/>
      <c r="T627" s="5"/>
      <c r="U627" s="5"/>
      <c r="V627" s="5"/>
      <c r="W627" s="5"/>
      <c r="X627" s="5"/>
      <c r="Y627" s="5"/>
      <c r="Z627" s="5"/>
      <c r="AA627" s="5"/>
      <c r="AB627" s="5"/>
      <c r="AC627" s="5"/>
    </row>
    <row r="628" spans="1:29" ht="12.75" customHeight="1">
      <c r="A628" s="5"/>
      <c r="B628" s="5"/>
      <c r="C628" s="5"/>
      <c r="D628" s="5"/>
      <c r="E628" s="5"/>
      <c r="F628" s="5"/>
      <c r="G628" s="5"/>
      <c r="H628" s="306"/>
      <c r="I628" s="306"/>
      <c r="J628" s="5"/>
      <c r="K628" s="5"/>
      <c r="L628" s="5"/>
      <c r="M628" s="5"/>
      <c r="N628" s="5"/>
      <c r="O628" s="5"/>
      <c r="P628" s="5"/>
      <c r="Q628" s="5"/>
      <c r="R628" s="57"/>
      <c r="S628" s="5"/>
      <c r="T628" s="5"/>
      <c r="U628" s="5"/>
      <c r="V628" s="5"/>
      <c r="W628" s="5"/>
      <c r="X628" s="5"/>
      <c r="Y628" s="5"/>
      <c r="Z628" s="5"/>
      <c r="AA628" s="5"/>
      <c r="AB628" s="5"/>
      <c r="AC628" s="5"/>
    </row>
    <row r="629" spans="1:29" ht="12.75" customHeight="1">
      <c r="A629" s="5"/>
      <c r="B629" s="5"/>
      <c r="C629" s="5"/>
      <c r="D629" s="5"/>
      <c r="E629" s="5"/>
      <c r="F629" s="5"/>
      <c r="G629" s="5"/>
      <c r="H629" s="306"/>
      <c r="I629" s="306"/>
      <c r="J629" s="5"/>
      <c r="K629" s="5"/>
      <c r="L629" s="5"/>
      <c r="M629" s="5"/>
      <c r="N629" s="5"/>
      <c r="O629" s="5"/>
      <c r="P629" s="5"/>
      <c r="Q629" s="5"/>
      <c r="R629" s="57"/>
      <c r="S629" s="5"/>
      <c r="T629" s="5"/>
      <c r="U629" s="5"/>
      <c r="V629" s="5"/>
      <c r="W629" s="5"/>
      <c r="X629" s="5"/>
      <c r="Y629" s="5"/>
      <c r="Z629" s="5"/>
      <c r="AA629" s="5"/>
      <c r="AB629" s="5"/>
      <c r="AC629" s="5"/>
    </row>
    <row r="630" spans="1:29" ht="12.75" customHeight="1">
      <c r="A630" s="5"/>
      <c r="B630" s="5"/>
      <c r="C630" s="5"/>
      <c r="D630" s="5"/>
      <c r="E630" s="5"/>
      <c r="F630" s="5"/>
      <c r="G630" s="5"/>
      <c r="H630" s="306"/>
      <c r="I630" s="306"/>
      <c r="J630" s="5"/>
      <c r="K630" s="5"/>
      <c r="L630" s="5"/>
      <c r="M630" s="5"/>
      <c r="N630" s="5"/>
      <c r="O630" s="5"/>
      <c r="P630" s="5"/>
      <c r="Q630" s="5"/>
      <c r="R630" s="57"/>
      <c r="S630" s="5"/>
      <c r="T630" s="5"/>
      <c r="U630" s="5"/>
      <c r="V630" s="5"/>
      <c r="W630" s="5"/>
      <c r="X630" s="5"/>
      <c r="Y630" s="5"/>
      <c r="Z630" s="5"/>
      <c r="AA630" s="5"/>
      <c r="AB630" s="5"/>
      <c r="AC630" s="5"/>
    </row>
    <row r="631" spans="1:29" ht="12.75" customHeight="1">
      <c r="A631" s="5"/>
      <c r="B631" s="5"/>
      <c r="C631" s="5"/>
      <c r="D631" s="5"/>
      <c r="E631" s="5"/>
      <c r="F631" s="5"/>
      <c r="G631" s="5"/>
      <c r="H631" s="306"/>
      <c r="I631" s="306"/>
      <c r="J631" s="5"/>
      <c r="K631" s="5"/>
      <c r="L631" s="5"/>
      <c r="M631" s="5"/>
      <c r="N631" s="5"/>
      <c r="O631" s="5"/>
      <c r="P631" s="5"/>
      <c r="Q631" s="5"/>
      <c r="R631" s="57"/>
      <c r="S631" s="5"/>
      <c r="T631" s="5"/>
      <c r="U631" s="5"/>
      <c r="V631" s="5"/>
      <c r="W631" s="5"/>
      <c r="X631" s="5"/>
      <c r="Y631" s="5"/>
      <c r="Z631" s="5"/>
      <c r="AA631" s="5"/>
      <c r="AB631" s="5"/>
      <c r="AC631" s="5"/>
    </row>
    <row r="632" spans="1:29" ht="12.75" customHeight="1">
      <c r="A632" s="5"/>
      <c r="B632" s="5"/>
      <c r="C632" s="5"/>
      <c r="D632" s="5"/>
      <c r="E632" s="5"/>
      <c r="F632" s="5"/>
      <c r="G632" s="5"/>
      <c r="H632" s="306"/>
      <c r="I632" s="306"/>
      <c r="J632" s="5"/>
      <c r="K632" s="5"/>
      <c r="L632" s="5"/>
      <c r="M632" s="5"/>
      <c r="N632" s="5"/>
      <c r="O632" s="5"/>
      <c r="P632" s="5"/>
      <c r="Q632" s="5"/>
      <c r="R632" s="57"/>
      <c r="S632" s="5"/>
      <c r="T632" s="5"/>
      <c r="U632" s="5"/>
      <c r="V632" s="5"/>
      <c r="W632" s="5"/>
      <c r="X632" s="5"/>
      <c r="Y632" s="5"/>
      <c r="Z632" s="5"/>
      <c r="AA632" s="5"/>
      <c r="AB632" s="5"/>
      <c r="AC632" s="5"/>
    </row>
    <row r="633" spans="1:29" ht="12.75" customHeight="1">
      <c r="A633" s="5"/>
      <c r="B633" s="5"/>
      <c r="C633" s="5"/>
      <c r="D633" s="5"/>
      <c r="E633" s="5"/>
      <c r="F633" s="5"/>
      <c r="G633" s="5"/>
      <c r="H633" s="306"/>
      <c r="I633" s="306"/>
      <c r="J633" s="5"/>
      <c r="K633" s="5"/>
      <c r="L633" s="5"/>
      <c r="M633" s="5"/>
      <c r="N633" s="5"/>
      <c r="O633" s="5"/>
      <c r="P633" s="5"/>
      <c r="Q633" s="5"/>
      <c r="R633" s="57"/>
      <c r="S633" s="5"/>
      <c r="T633" s="5"/>
      <c r="U633" s="5"/>
      <c r="V633" s="5"/>
      <c r="W633" s="5"/>
      <c r="X633" s="5"/>
      <c r="Y633" s="5"/>
      <c r="Z633" s="5"/>
      <c r="AA633" s="5"/>
      <c r="AB633" s="5"/>
      <c r="AC633" s="5"/>
    </row>
    <row r="634" spans="1:29" ht="12.75" customHeight="1">
      <c r="A634" s="5"/>
      <c r="B634" s="5"/>
      <c r="C634" s="5"/>
      <c r="D634" s="5"/>
      <c r="E634" s="5"/>
      <c r="F634" s="5"/>
      <c r="G634" s="5"/>
      <c r="H634" s="306"/>
      <c r="I634" s="306"/>
      <c r="J634" s="5"/>
      <c r="K634" s="5"/>
      <c r="L634" s="5"/>
      <c r="M634" s="5"/>
      <c r="N634" s="5"/>
      <c r="O634" s="5"/>
      <c r="P634" s="5"/>
      <c r="Q634" s="5"/>
      <c r="R634" s="57"/>
      <c r="S634" s="5"/>
      <c r="T634" s="5"/>
      <c r="U634" s="5"/>
      <c r="V634" s="5"/>
      <c r="W634" s="5"/>
      <c r="X634" s="5"/>
      <c r="Y634" s="5"/>
      <c r="Z634" s="5"/>
      <c r="AA634" s="5"/>
      <c r="AB634" s="5"/>
      <c r="AC634" s="5"/>
    </row>
    <row r="635" spans="1:29" ht="12.75" customHeight="1">
      <c r="A635" s="5"/>
      <c r="B635" s="5"/>
      <c r="C635" s="5"/>
      <c r="D635" s="5"/>
      <c r="E635" s="5"/>
      <c r="F635" s="5"/>
      <c r="G635" s="5"/>
      <c r="H635" s="306"/>
      <c r="I635" s="306"/>
      <c r="J635" s="5"/>
      <c r="K635" s="5"/>
      <c r="L635" s="5"/>
      <c r="M635" s="5"/>
      <c r="N635" s="5"/>
      <c r="O635" s="5"/>
      <c r="P635" s="5"/>
      <c r="Q635" s="5"/>
      <c r="R635" s="57"/>
      <c r="S635" s="5"/>
      <c r="T635" s="5"/>
      <c r="U635" s="5"/>
      <c r="V635" s="5"/>
      <c r="W635" s="5"/>
      <c r="X635" s="5"/>
      <c r="Y635" s="5"/>
      <c r="Z635" s="5"/>
      <c r="AA635" s="5"/>
      <c r="AB635" s="5"/>
      <c r="AC635" s="5"/>
    </row>
    <row r="636" spans="1:29" ht="12.75" customHeight="1">
      <c r="A636" s="5"/>
      <c r="B636" s="5"/>
      <c r="C636" s="5"/>
      <c r="D636" s="5"/>
      <c r="E636" s="5"/>
      <c r="F636" s="5"/>
      <c r="G636" s="5"/>
      <c r="H636" s="306"/>
      <c r="I636" s="306"/>
      <c r="J636" s="5"/>
      <c r="K636" s="5"/>
      <c r="L636" s="5"/>
      <c r="M636" s="5"/>
      <c r="N636" s="5"/>
      <c r="O636" s="5"/>
      <c r="P636" s="5"/>
      <c r="Q636" s="5"/>
      <c r="R636" s="57"/>
      <c r="S636" s="5"/>
      <c r="T636" s="5"/>
      <c r="U636" s="5"/>
      <c r="V636" s="5"/>
      <c r="W636" s="5"/>
      <c r="X636" s="5"/>
      <c r="Y636" s="5"/>
      <c r="Z636" s="5"/>
      <c r="AA636" s="5"/>
      <c r="AB636" s="5"/>
      <c r="AC636" s="5"/>
    </row>
    <row r="637" spans="1:29" ht="12.75" customHeight="1">
      <c r="A637" s="5"/>
      <c r="B637" s="5"/>
      <c r="C637" s="5"/>
      <c r="D637" s="5"/>
      <c r="E637" s="5"/>
      <c r="F637" s="5"/>
      <c r="G637" s="5"/>
      <c r="H637" s="306"/>
      <c r="I637" s="306"/>
      <c r="J637" s="5"/>
      <c r="K637" s="5"/>
      <c r="L637" s="5"/>
      <c r="M637" s="5"/>
      <c r="N637" s="5"/>
      <c r="O637" s="5"/>
      <c r="P637" s="5"/>
      <c r="Q637" s="5"/>
      <c r="R637" s="57"/>
      <c r="S637" s="5"/>
      <c r="T637" s="5"/>
      <c r="U637" s="5"/>
      <c r="V637" s="5"/>
      <c r="W637" s="5"/>
      <c r="X637" s="5"/>
      <c r="Y637" s="5"/>
      <c r="Z637" s="5"/>
      <c r="AA637" s="5"/>
      <c r="AB637" s="5"/>
      <c r="AC637" s="5"/>
    </row>
    <row r="638" spans="1:29" ht="12.75" customHeight="1">
      <c r="A638" s="5"/>
      <c r="B638" s="5"/>
      <c r="C638" s="5"/>
      <c r="D638" s="5"/>
      <c r="E638" s="5"/>
      <c r="F638" s="5"/>
      <c r="G638" s="5"/>
      <c r="H638" s="306"/>
      <c r="I638" s="306"/>
      <c r="J638" s="5"/>
      <c r="K638" s="5"/>
      <c r="L638" s="5"/>
      <c r="M638" s="5"/>
      <c r="N638" s="5"/>
      <c r="O638" s="5"/>
      <c r="P638" s="5"/>
      <c r="Q638" s="5"/>
      <c r="R638" s="57"/>
      <c r="S638" s="5"/>
      <c r="T638" s="5"/>
      <c r="U638" s="5"/>
      <c r="V638" s="5"/>
      <c r="W638" s="5"/>
      <c r="X638" s="5"/>
      <c r="Y638" s="5"/>
      <c r="Z638" s="5"/>
      <c r="AA638" s="5"/>
      <c r="AB638" s="5"/>
      <c r="AC638" s="5"/>
    </row>
    <row r="639" spans="1:29" ht="12.75" customHeight="1">
      <c r="A639" s="5"/>
      <c r="B639" s="5"/>
      <c r="C639" s="5"/>
      <c r="D639" s="5"/>
      <c r="E639" s="5"/>
      <c r="F639" s="5"/>
      <c r="G639" s="5"/>
      <c r="H639" s="306"/>
      <c r="I639" s="306"/>
      <c r="J639" s="5"/>
      <c r="K639" s="5"/>
      <c r="L639" s="5"/>
      <c r="M639" s="5"/>
      <c r="N639" s="5"/>
      <c r="O639" s="5"/>
      <c r="P639" s="5"/>
      <c r="Q639" s="5"/>
      <c r="R639" s="57"/>
      <c r="S639" s="5"/>
      <c r="T639" s="5"/>
      <c r="U639" s="5"/>
      <c r="V639" s="5"/>
      <c r="W639" s="5"/>
      <c r="X639" s="5"/>
      <c r="Y639" s="5"/>
      <c r="Z639" s="5"/>
      <c r="AA639" s="5"/>
      <c r="AB639" s="5"/>
      <c r="AC639" s="5"/>
    </row>
    <row r="640" spans="1:29" ht="12.75" customHeight="1">
      <c r="A640" s="5"/>
      <c r="B640" s="5"/>
      <c r="C640" s="5"/>
      <c r="D640" s="5"/>
      <c r="E640" s="5"/>
      <c r="F640" s="5"/>
      <c r="G640" s="5"/>
      <c r="H640" s="306"/>
      <c r="I640" s="306"/>
      <c r="J640" s="5"/>
      <c r="K640" s="5"/>
      <c r="L640" s="5"/>
      <c r="M640" s="5"/>
      <c r="N640" s="5"/>
      <c r="O640" s="5"/>
      <c r="P640" s="5"/>
      <c r="Q640" s="5"/>
      <c r="R640" s="57"/>
      <c r="S640" s="5"/>
      <c r="T640" s="5"/>
      <c r="U640" s="5"/>
      <c r="V640" s="5"/>
      <c r="W640" s="5"/>
      <c r="X640" s="5"/>
      <c r="Y640" s="5"/>
      <c r="Z640" s="5"/>
      <c r="AA640" s="5"/>
      <c r="AB640" s="5"/>
      <c r="AC640" s="5"/>
    </row>
    <row r="641" spans="1:29" ht="12.75" customHeight="1">
      <c r="A641" s="5"/>
      <c r="B641" s="5"/>
      <c r="C641" s="5"/>
      <c r="D641" s="5"/>
      <c r="E641" s="5"/>
      <c r="F641" s="5"/>
      <c r="G641" s="5"/>
      <c r="H641" s="306"/>
      <c r="I641" s="306"/>
      <c r="J641" s="5"/>
      <c r="K641" s="5"/>
      <c r="L641" s="5"/>
      <c r="M641" s="5"/>
      <c r="N641" s="5"/>
      <c r="O641" s="5"/>
      <c r="P641" s="5"/>
      <c r="Q641" s="5"/>
      <c r="R641" s="57"/>
      <c r="S641" s="5"/>
      <c r="T641" s="5"/>
      <c r="U641" s="5"/>
      <c r="V641" s="5"/>
      <c r="W641" s="5"/>
      <c r="X641" s="5"/>
      <c r="Y641" s="5"/>
      <c r="Z641" s="5"/>
      <c r="AA641" s="5"/>
      <c r="AB641" s="5"/>
      <c r="AC641" s="5"/>
    </row>
    <row r="642" spans="1:29" ht="12.75" customHeight="1">
      <c r="A642" s="5"/>
      <c r="B642" s="5"/>
      <c r="C642" s="5"/>
      <c r="D642" s="5"/>
      <c r="E642" s="5"/>
      <c r="F642" s="5"/>
      <c r="G642" s="5"/>
      <c r="H642" s="306"/>
      <c r="I642" s="306"/>
      <c r="J642" s="5"/>
      <c r="K642" s="5"/>
      <c r="L642" s="5"/>
      <c r="M642" s="5"/>
      <c r="N642" s="5"/>
      <c r="O642" s="5"/>
      <c r="P642" s="5"/>
      <c r="Q642" s="5"/>
      <c r="R642" s="57"/>
      <c r="S642" s="5"/>
      <c r="T642" s="5"/>
      <c r="U642" s="5"/>
      <c r="V642" s="5"/>
      <c r="W642" s="5"/>
      <c r="X642" s="5"/>
      <c r="Y642" s="5"/>
      <c r="Z642" s="5"/>
      <c r="AA642" s="5"/>
      <c r="AB642" s="5"/>
      <c r="AC642" s="5"/>
    </row>
    <row r="643" spans="1:29" ht="12.75" customHeight="1">
      <c r="A643" s="5"/>
      <c r="B643" s="5"/>
      <c r="C643" s="5"/>
      <c r="D643" s="5"/>
      <c r="E643" s="5"/>
      <c r="F643" s="5"/>
      <c r="G643" s="5"/>
      <c r="H643" s="306"/>
      <c r="I643" s="306"/>
      <c r="J643" s="5"/>
      <c r="K643" s="5"/>
      <c r="L643" s="5"/>
      <c r="M643" s="5"/>
      <c r="N643" s="5"/>
      <c r="O643" s="5"/>
      <c r="P643" s="5"/>
      <c r="Q643" s="5"/>
      <c r="R643" s="57"/>
      <c r="S643" s="5"/>
      <c r="T643" s="5"/>
      <c r="U643" s="5"/>
      <c r="V643" s="5"/>
      <c r="W643" s="5"/>
      <c r="X643" s="5"/>
      <c r="Y643" s="5"/>
      <c r="Z643" s="5"/>
      <c r="AA643" s="5"/>
      <c r="AB643" s="5"/>
      <c r="AC643" s="5"/>
    </row>
    <row r="644" spans="1:29" ht="12.75" customHeight="1">
      <c r="A644" s="5"/>
      <c r="B644" s="5"/>
      <c r="C644" s="5"/>
      <c r="D644" s="5"/>
      <c r="E644" s="5"/>
      <c r="F644" s="5"/>
      <c r="G644" s="5"/>
      <c r="H644" s="306"/>
      <c r="I644" s="306"/>
      <c r="J644" s="5"/>
      <c r="K644" s="5"/>
      <c r="L644" s="5"/>
      <c r="M644" s="5"/>
      <c r="N644" s="5"/>
      <c r="O644" s="5"/>
      <c r="P644" s="5"/>
      <c r="Q644" s="5"/>
      <c r="R644" s="57"/>
      <c r="S644" s="5"/>
      <c r="T644" s="5"/>
      <c r="U644" s="5"/>
      <c r="V644" s="5"/>
      <c r="W644" s="5"/>
      <c r="X644" s="5"/>
      <c r="Y644" s="5"/>
      <c r="Z644" s="5"/>
      <c r="AA644" s="5"/>
      <c r="AB644" s="5"/>
      <c r="AC644" s="5"/>
    </row>
    <row r="645" spans="1:29" ht="12.75" customHeight="1">
      <c r="A645" s="5"/>
      <c r="B645" s="5"/>
      <c r="C645" s="5"/>
      <c r="D645" s="5"/>
      <c r="E645" s="5"/>
      <c r="F645" s="5"/>
      <c r="G645" s="5"/>
      <c r="H645" s="306"/>
      <c r="I645" s="306"/>
      <c r="J645" s="5"/>
      <c r="K645" s="5"/>
      <c r="L645" s="5"/>
      <c r="M645" s="5"/>
      <c r="N645" s="5"/>
      <c r="O645" s="5"/>
      <c r="P645" s="5"/>
      <c r="Q645" s="5"/>
      <c r="R645" s="57"/>
      <c r="S645" s="5"/>
      <c r="T645" s="5"/>
      <c r="U645" s="5"/>
      <c r="V645" s="5"/>
      <c r="W645" s="5"/>
      <c r="X645" s="5"/>
      <c r="Y645" s="5"/>
      <c r="Z645" s="5"/>
      <c r="AA645" s="5"/>
      <c r="AB645" s="5"/>
      <c r="AC645" s="5"/>
    </row>
    <row r="646" spans="1:29" ht="12.75" customHeight="1">
      <c r="A646" s="5"/>
      <c r="B646" s="5"/>
      <c r="C646" s="5"/>
      <c r="D646" s="5"/>
      <c r="E646" s="5"/>
      <c r="F646" s="5"/>
      <c r="G646" s="5"/>
      <c r="H646" s="306"/>
      <c r="I646" s="306"/>
      <c r="J646" s="5"/>
      <c r="K646" s="5"/>
      <c r="L646" s="5"/>
      <c r="M646" s="5"/>
      <c r="N646" s="5"/>
      <c r="O646" s="5"/>
      <c r="P646" s="5"/>
      <c r="Q646" s="5"/>
      <c r="R646" s="57"/>
      <c r="S646" s="5"/>
      <c r="T646" s="5"/>
      <c r="U646" s="5"/>
      <c r="V646" s="5"/>
      <c r="W646" s="5"/>
      <c r="X646" s="5"/>
      <c r="Y646" s="5"/>
      <c r="Z646" s="5"/>
      <c r="AA646" s="5"/>
      <c r="AB646" s="5"/>
      <c r="AC646" s="5"/>
    </row>
    <row r="647" spans="1:29" ht="12.75" customHeight="1">
      <c r="A647" s="5"/>
      <c r="B647" s="5"/>
      <c r="C647" s="5"/>
      <c r="D647" s="5"/>
      <c r="E647" s="5"/>
      <c r="F647" s="5"/>
      <c r="G647" s="5"/>
      <c r="H647" s="306"/>
      <c r="I647" s="306"/>
      <c r="J647" s="5"/>
      <c r="K647" s="5"/>
      <c r="L647" s="5"/>
      <c r="M647" s="5"/>
      <c r="N647" s="5"/>
      <c r="O647" s="5"/>
      <c r="P647" s="5"/>
      <c r="Q647" s="5"/>
      <c r="R647" s="57"/>
      <c r="S647" s="5"/>
      <c r="T647" s="5"/>
      <c r="U647" s="5"/>
      <c r="V647" s="5"/>
      <c r="W647" s="5"/>
      <c r="X647" s="5"/>
      <c r="Y647" s="5"/>
      <c r="Z647" s="5"/>
      <c r="AA647" s="5"/>
      <c r="AB647" s="5"/>
      <c r="AC647" s="5"/>
    </row>
    <row r="648" spans="1:29" ht="12.75" customHeight="1">
      <c r="A648" s="5"/>
      <c r="B648" s="5"/>
      <c r="C648" s="5"/>
      <c r="D648" s="5"/>
      <c r="E648" s="5"/>
      <c r="F648" s="5"/>
      <c r="G648" s="5"/>
      <c r="H648" s="306"/>
      <c r="I648" s="306"/>
      <c r="J648" s="5"/>
      <c r="K648" s="5"/>
      <c r="L648" s="5"/>
      <c r="M648" s="5"/>
      <c r="N648" s="5"/>
      <c r="O648" s="5"/>
      <c r="P648" s="5"/>
      <c r="Q648" s="5"/>
      <c r="R648" s="57"/>
      <c r="S648" s="5"/>
      <c r="T648" s="5"/>
      <c r="U648" s="5"/>
      <c r="V648" s="5"/>
      <c r="W648" s="5"/>
      <c r="X648" s="5"/>
      <c r="Y648" s="5"/>
      <c r="Z648" s="5"/>
      <c r="AA648" s="5"/>
      <c r="AB648" s="5"/>
      <c r="AC648" s="5"/>
    </row>
    <row r="649" spans="1:29" ht="12.75" customHeight="1">
      <c r="A649" s="5"/>
      <c r="B649" s="5"/>
      <c r="C649" s="5"/>
      <c r="D649" s="5"/>
      <c r="E649" s="5"/>
      <c r="F649" s="5"/>
      <c r="G649" s="5"/>
      <c r="H649" s="306"/>
      <c r="I649" s="306"/>
      <c r="J649" s="5"/>
      <c r="K649" s="5"/>
      <c r="L649" s="5"/>
      <c r="M649" s="5"/>
      <c r="N649" s="5"/>
      <c r="O649" s="5"/>
      <c r="P649" s="5"/>
      <c r="Q649" s="5"/>
      <c r="R649" s="57"/>
      <c r="S649" s="5"/>
      <c r="T649" s="5"/>
      <c r="U649" s="5"/>
      <c r="V649" s="5"/>
      <c r="W649" s="5"/>
      <c r="X649" s="5"/>
      <c r="Y649" s="5"/>
      <c r="Z649" s="5"/>
      <c r="AA649" s="5"/>
      <c r="AB649" s="5"/>
      <c r="AC649" s="5"/>
    </row>
    <row r="650" spans="1:29" ht="12.75" customHeight="1">
      <c r="A650" s="5"/>
      <c r="B650" s="5"/>
      <c r="C650" s="5"/>
      <c r="D650" s="5"/>
      <c r="E650" s="5"/>
      <c r="F650" s="5"/>
      <c r="G650" s="5"/>
      <c r="H650" s="306"/>
      <c r="I650" s="306"/>
      <c r="J650" s="5"/>
      <c r="K650" s="5"/>
      <c r="L650" s="5"/>
      <c r="M650" s="5"/>
      <c r="N650" s="5"/>
      <c r="O650" s="5"/>
      <c r="P650" s="5"/>
      <c r="Q650" s="5"/>
      <c r="R650" s="57"/>
      <c r="S650" s="5"/>
      <c r="T650" s="5"/>
      <c r="U650" s="5"/>
      <c r="V650" s="5"/>
      <c r="W650" s="5"/>
      <c r="X650" s="5"/>
      <c r="Y650" s="5"/>
      <c r="Z650" s="5"/>
      <c r="AA650" s="5"/>
      <c r="AB650" s="5"/>
      <c r="AC650" s="5"/>
    </row>
    <row r="651" spans="1:29" ht="12.75" customHeight="1">
      <c r="A651" s="5"/>
      <c r="B651" s="5"/>
      <c r="C651" s="5"/>
      <c r="D651" s="5"/>
      <c r="E651" s="5"/>
      <c r="F651" s="5"/>
      <c r="G651" s="5"/>
      <c r="H651" s="306"/>
      <c r="I651" s="306"/>
      <c r="J651" s="5"/>
      <c r="K651" s="5"/>
      <c r="L651" s="5"/>
      <c r="M651" s="5"/>
      <c r="N651" s="5"/>
      <c r="O651" s="5"/>
      <c r="P651" s="5"/>
      <c r="Q651" s="5"/>
      <c r="R651" s="57"/>
      <c r="S651" s="5"/>
      <c r="T651" s="5"/>
      <c r="U651" s="5"/>
      <c r="V651" s="5"/>
      <c r="W651" s="5"/>
      <c r="X651" s="5"/>
      <c r="Y651" s="5"/>
      <c r="Z651" s="5"/>
      <c r="AA651" s="5"/>
      <c r="AB651" s="5"/>
      <c r="AC651" s="5"/>
    </row>
    <row r="652" spans="1:29" ht="12.75" customHeight="1">
      <c r="A652" s="5"/>
      <c r="B652" s="5"/>
      <c r="C652" s="5"/>
      <c r="D652" s="5"/>
      <c r="E652" s="5"/>
      <c r="F652" s="5"/>
      <c r="G652" s="5"/>
      <c r="H652" s="306"/>
      <c r="I652" s="306"/>
      <c r="J652" s="5"/>
      <c r="K652" s="5"/>
      <c r="L652" s="5"/>
      <c r="M652" s="5"/>
      <c r="N652" s="5"/>
      <c r="O652" s="5"/>
      <c r="P652" s="5"/>
      <c r="Q652" s="5"/>
      <c r="R652" s="57"/>
      <c r="S652" s="5"/>
      <c r="T652" s="5"/>
      <c r="U652" s="5"/>
      <c r="V652" s="5"/>
      <c r="W652" s="5"/>
      <c r="X652" s="5"/>
      <c r="Y652" s="5"/>
      <c r="Z652" s="5"/>
      <c r="AA652" s="5"/>
      <c r="AB652" s="5"/>
      <c r="AC652" s="5"/>
    </row>
    <row r="653" spans="1:29" ht="12.75" customHeight="1">
      <c r="A653" s="5"/>
      <c r="B653" s="5"/>
      <c r="C653" s="5"/>
      <c r="D653" s="5"/>
      <c r="E653" s="5"/>
      <c r="F653" s="5"/>
      <c r="G653" s="5"/>
      <c r="H653" s="306"/>
      <c r="I653" s="306"/>
      <c r="J653" s="5"/>
      <c r="K653" s="5"/>
      <c r="L653" s="5"/>
      <c r="M653" s="5"/>
      <c r="N653" s="5"/>
      <c r="O653" s="5"/>
      <c r="P653" s="5"/>
      <c r="Q653" s="5"/>
      <c r="R653" s="57"/>
      <c r="S653" s="5"/>
      <c r="T653" s="5"/>
      <c r="U653" s="5"/>
      <c r="V653" s="5"/>
      <c r="W653" s="5"/>
      <c r="X653" s="5"/>
      <c r="Y653" s="5"/>
      <c r="Z653" s="5"/>
      <c r="AA653" s="5"/>
      <c r="AB653" s="5"/>
      <c r="AC653" s="5"/>
    </row>
    <row r="654" spans="1:29" ht="12.75" customHeight="1">
      <c r="A654" s="5"/>
      <c r="B654" s="5"/>
      <c r="C654" s="5"/>
      <c r="D654" s="5"/>
      <c r="E654" s="5"/>
      <c r="F654" s="5"/>
      <c r="G654" s="5"/>
      <c r="H654" s="306"/>
      <c r="I654" s="306"/>
      <c r="J654" s="5"/>
      <c r="K654" s="5"/>
      <c r="L654" s="5"/>
      <c r="M654" s="5"/>
      <c r="N654" s="5"/>
      <c r="O654" s="5"/>
      <c r="P654" s="5"/>
      <c r="Q654" s="5"/>
      <c r="R654" s="57"/>
      <c r="S654" s="5"/>
      <c r="T654" s="5"/>
      <c r="U654" s="5"/>
      <c r="V654" s="5"/>
      <c r="W654" s="5"/>
      <c r="X654" s="5"/>
      <c r="Y654" s="5"/>
      <c r="Z654" s="5"/>
      <c r="AA654" s="5"/>
      <c r="AB654" s="5"/>
      <c r="AC654" s="5"/>
    </row>
    <row r="655" spans="1:29" ht="12.75" customHeight="1">
      <c r="A655" s="5"/>
      <c r="B655" s="5"/>
      <c r="C655" s="5"/>
      <c r="D655" s="5"/>
      <c r="E655" s="5"/>
      <c r="F655" s="5"/>
      <c r="G655" s="5"/>
      <c r="H655" s="306"/>
      <c r="I655" s="306"/>
      <c r="J655" s="5"/>
      <c r="K655" s="5"/>
      <c r="L655" s="5"/>
      <c r="M655" s="5"/>
      <c r="N655" s="5"/>
      <c r="O655" s="5"/>
      <c r="P655" s="5"/>
      <c r="Q655" s="5"/>
      <c r="R655" s="57"/>
      <c r="S655" s="5"/>
      <c r="T655" s="5"/>
      <c r="U655" s="5"/>
      <c r="V655" s="5"/>
      <c r="W655" s="5"/>
      <c r="X655" s="5"/>
      <c r="Y655" s="5"/>
      <c r="Z655" s="5"/>
      <c r="AA655" s="5"/>
      <c r="AB655" s="5"/>
      <c r="AC655" s="5"/>
    </row>
    <row r="656" spans="1:29" ht="12.75" customHeight="1">
      <c r="A656" s="5"/>
      <c r="B656" s="5"/>
      <c r="C656" s="5"/>
      <c r="D656" s="5"/>
      <c r="E656" s="5"/>
      <c r="F656" s="5"/>
      <c r="G656" s="5"/>
      <c r="H656" s="306"/>
      <c r="I656" s="306"/>
      <c r="J656" s="5"/>
      <c r="K656" s="5"/>
      <c r="L656" s="5"/>
      <c r="M656" s="5"/>
      <c r="N656" s="5"/>
      <c r="O656" s="5"/>
      <c r="P656" s="5"/>
      <c r="Q656" s="5"/>
      <c r="R656" s="57"/>
      <c r="S656" s="5"/>
      <c r="T656" s="5"/>
      <c r="U656" s="5"/>
      <c r="V656" s="5"/>
      <c r="W656" s="5"/>
      <c r="X656" s="5"/>
      <c r="Y656" s="5"/>
      <c r="Z656" s="5"/>
      <c r="AA656" s="5"/>
      <c r="AB656" s="5"/>
      <c r="AC656" s="5"/>
    </row>
    <row r="657" spans="1:29" ht="12.75" customHeight="1">
      <c r="A657" s="5"/>
      <c r="B657" s="5"/>
      <c r="C657" s="5"/>
      <c r="D657" s="5"/>
      <c r="E657" s="5"/>
      <c r="F657" s="5"/>
      <c r="G657" s="5"/>
      <c r="H657" s="306"/>
      <c r="I657" s="306"/>
      <c r="J657" s="5"/>
      <c r="K657" s="5"/>
      <c r="L657" s="5"/>
      <c r="M657" s="5"/>
      <c r="N657" s="5"/>
      <c r="O657" s="5"/>
      <c r="P657" s="5"/>
      <c r="Q657" s="5"/>
      <c r="R657" s="57"/>
      <c r="S657" s="5"/>
      <c r="T657" s="5"/>
      <c r="U657" s="5"/>
      <c r="V657" s="5"/>
      <c r="W657" s="5"/>
      <c r="X657" s="5"/>
      <c r="Y657" s="5"/>
      <c r="Z657" s="5"/>
      <c r="AA657" s="5"/>
      <c r="AB657" s="5"/>
      <c r="AC657" s="5"/>
    </row>
    <row r="658" spans="1:29" ht="12.75" customHeight="1">
      <c r="A658" s="5"/>
      <c r="B658" s="5"/>
      <c r="C658" s="5"/>
      <c r="D658" s="5"/>
      <c r="E658" s="5"/>
      <c r="F658" s="5"/>
      <c r="G658" s="5"/>
      <c r="H658" s="306"/>
      <c r="I658" s="306"/>
      <c r="J658" s="5"/>
      <c r="K658" s="5"/>
      <c r="L658" s="5"/>
      <c r="M658" s="5"/>
      <c r="N658" s="5"/>
      <c r="O658" s="5"/>
      <c r="P658" s="5"/>
      <c r="Q658" s="5"/>
      <c r="R658" s="57"/>
      <c r="S658" s="5"/>
      <c r="T658" s="5"/>
      <c r="U658" s="5"/>
      <c r="V658" s="5"/>
      <c r="W658" s="5"/>
      <c r="X658" s="5"/>
      <c r="Y658" s="5"/>
      <c r="Z658" s="5"/>
      <c r="AA658" s="5"/>
      <c r="AB658" s="5"/>
      <c r="AC658" s="5"/>
    </row>
    <row r="659" spans="1:29" ht="12.75" customHeight="1">
      <c r="A659" s="5"/>
      <c r="B659" s="5"/>
      <c r="C659" s="5"/>
      <c r="D659" s="5"/>
      <c r="E659" s="5"/>
      <c r="F659" s="5"/>
      <c r="G659" s="5"/>
      <c r="H659" s="306"/>
      <c r="I659" s="306"/>
      <c r="J659" s="5"/>
      <c r="K659" s="5"/>
      <c r="L659" s="5"/>
      <c r="M659" s="5"/>
      <c r="N659" s="5"/>
      <c r="O659" s="5"/>
      <c r="P659" s="5"/>
      <c r="Q659" s="5"/>
      <c r="R659" s="57"/>
      <c r="S659" s="5"/>
      <c r="T659" s="5"/>
      <c r="U659" s="5"/>
      <c r="V659" s="5"/>
      <c r="W659" s="5"/>
      <c r="X659" s="5"/>
      <c r="Y659" s="5"/>
      <c r="Z659" s="5"/>
      <c r="AA659" s="5"/>
      <c r="AB659" s="5"/>
      <c r="AC659" s="5"/>
    </row>
    <row r="660" spans="1:29" ht="12.75" customHeight="1">
      <c r="A660" s="5"/>
      <c r="B660" s="5"/>
      <c r="C660" s="5"/>
      <c r="D660" s="5"/>
      <c r="E660" s="5"/>
      <c r="F660" s="5"/>
      <c r="G660" s="5"/>
      <c r="H660" s="306"/>
      <c r="I660" s="306"/>
      <c r="J660" s="5"/>
      <c r="K660" s="5"/>
      <c r="L660" s="5"/>
      <c r="M660" s="5"/>
      <c r="N660" s="5"/>
      <c r="O660" s="5"/>
      <c r="P660" s="5"/>
      <c r="Q660" s="5"/>
      <c r="R660" s="57"/>
      <c r="S660" s="5"/>
      <c r="T660" s="5"/>
      <c r="U660" s="5"/>
      <c r="V660" s="5"/>
      <c r="W660" s="5"/>
      <c r="X660" s="5"/>
      <c r="Y660" s="5"/>
      <c r="Z660" s="5"/>
      <c r="AA660" s="5"/>
      <c r="AB660" s="5"/>
      <c r="AC660" s="5"/>
    </row>
    <row r="661" spans="1:29" ht="12.75" customHeight="1">
      <c r="A661" s="5"/>
      <c r="B661" s="5"/>
      <c r="C661" s="5"/>
      <c r="D661" s="5"/>
      <c r="E661" s="5"/>
      <c r="F661" s="5"/>
      <c r="G661" s="5"/>
      <c r="H661" s="306"/>
      <c r="I661" s="306"/>
      <c r="J661" s="5"/>
      <c r="K661" s="5"/>
      <c r="L661" s="5"/>
      <c r="M661" s="5"/>
      <c r="N661" s="5"/>
      <c r="O661" s="5"/>
      <c r="P661" s="5"/>
      <c r="Q661" s="5"/>
      <c r="R661" s="57"/>
      <c r="S661" s="5"/>
      <c r="T661" s="5"/>
      <c r="U661" s="5"/>
      <c r="V661" s="5"/>
      <c r="W661" s="5"/>
      <c r="X661" s="5"/>
      <c r="Y661" s="5"/>
      <c r="Z661" s="5"/>
      <c r="AA661" s="5"/>
      <c r="AB661" s="5"/>
      <c r="AC661" s="5"/>
    </row>
    <row r="662" spans="1:29" ht="12.75" customHeight="1">
      <c r="A662" s="5"/>
      <c r="B662" s="5"/>
      <c r="C662" s="5"/>
      <c r="D662" s="5"/>
      <c r="E662" s="5"/>
      <c r="F662" s="5"/>
      <c r="G662" s="5"/>
      <c r="H662" s="306"/>
      <c r="I662" s="306"/>
      <c r="J662" s="5"/>
      <c r="K662" s="5"/>
      <c r="L662" s="5"/>
      <c r="M662" s="5"/>
      <c r="N662" s="5"/>
      <c r="O662" s="5"/>
      <c r="P662" s="5"/>
      <c r="Q662" s="5"/>
      <c r="R662" s="57"/>
      <c r="S662" s="5"/>
      <c r="T662" s="5"/>
      <c r="U662" s="5"/>
      <c r="V662" s="5"/>
      <c r="W662" s="5"/>
      <c r="X662" s="5"/>
      <c r="Y662" s="5"/>
      <c r="Z662" s="5"/>
      <c r="AA662" s="5"/>
      <c r="AB662" s="5"/>
      <c r="AC662" s="5"/>
    </row>
    <row r="663" spans="1:29" ht="12.75" customHeight="1">
      <c r="A663" s="5"/>
      <c r="B663" s="5"/>
      <c r="C663" s="5"/>
      <c r="D663" s="5"/>
      <c r="E663" s="5"/>
      <c r="F663" s="5"/>
      <c r="G663" s="5"/>
      <c r="H663" s="306"/>
      <c r="I663" s="306"/>
      <c r="J663" s="5"/>
      <c r="K663" s="5"/>
      <c r="L663" s="5"/>
      <c r="M663" s="5"/>
      <c r="N663" s="5"/>
      <c r="O663" s="5"/>
      <c r="P663" s="5"/>
      <c r="Q663" s="5"/>
      <c r="R663" s="57"/>
      <c r="S663" s="5"/>
      <c r="T663" s="5"/>
      <c r="U663" s="5"/>
      <c r="V663" s="5"/>
      <c r="W663" s="5"/>
      <c r="X663" s="5"/>
      <c r="Y663" s="5"/>
      <c r="Z663" s="5"/>
      <c r="AA663" s="5"/>
      <c r="AB663" s="5"/>
      <c r="AC663" s="5"/>
    </row>
    <row r="664" spans="1:29" ht="12.75" customHeight="1">
      <c r="A664" s="5"/>
      <c r="B664" s="5"/>
      <c r="C664" s="5"/>
      <c r="D664" s="5"/>
      <c r="E664" s="5"/>
      <c r="F664" s="5"/>
      <c r="G664" s="5"/>
      <c r="H664" s="306"/>
      <c r="I664" s="306"/>
      <c r="J664" s="5"/>
      <c r="K664" s="5"/>
      <c r="L664" s="5"/>
      <c r="M664" s="5"/>
      <c r="N664" s="5"/>
      <c r="O664" s="5"/>
      <c r="P664" s="5"/>
      <c r="Q664" s="5"/>
      <c r="R664" s="57"/>
      <c r="S664" s="5"/>
      <c r="T664" s="5"/>
      <c r="U664" s="5"/>
      <c r="V664" s="5"/>
      <c r="W664" s="5"/>
      <c r="X664" s="5"/>
      <c r="Y664" s="5"/>
      <c r="Z664" s="5"/>
      <c r="AA664" s="5"/>
      <c r="AB664" s="5"/>
      <c r="AC664" s="5"/>
    </row>
    <row r="665" spans="1:29" ht="12.75" customHeight="1">
      <c r="A665" s="5"/>
      <c r="B665" s="5"/>
      <c r="C665" s="5"/>
      <c r="D665" s="5"/>
      <c r="E665" s="5"/>
      <c r="F665" s="5"/>
      <c r="G665" s="5"/>
      <c r="H665" s="306"/>
      <c r="I665" s="306"/>
      <c r="J665" s="5"/>
      <c r="K665" s="5"/>
      <c r="L665" s="5"/>
      <c r="M665" s="5"/>
      <c r="N665" s="5"/>
      <c r="O665" s="5"/>
      <c r="P665" s="5"/>
      <c r="Q665" s="5"/>
      <c r="R665" s="57"/>
      <c r="S665" s="5"/>
      <c r="T665" s="5"/>
      <c r="U665" s="5"/>
      <c r="V665" s="5"/>
      <c r="W665" s="5"/>
      <c r="X665" s="5"/>
      <c r="Y665" s="5"/>
      <c r="Z665" s="5"/>
      <c r="AA665" s="5"/>
      <c r="AB665" s="5"/>
      <c r="AC665" s="5"/>
    </row>
    <row r="666" spans="1:29" ht="12.75" customHeight="1">
      <c r="A666" s="5"/>
      <c r="B666" s="5"/>
      <c r="C666" s="5"/>
      <c r="D666" s="5"/>
      <c r="E666" s="5"/>
      <c r="F666" s="5"/>
      <c r="G666" s="5"/>
      <c r="H666" s="306"/>
      <c r="I666" s="306"/>
      <c r="J666" s="5"/>
      <c r="K666" s="5"/>
      <c r="L666" s="5"/>
      <c r="M666" s="5"/>
      <c r="N666" s="5"/>
      <c r="O666" s="5"/>
      <c r="P666" s="5"/>
      <c r="Q666" s="5"/>
      <c r="R666" s="57"/>
      <c r="S666" s="5"/>
      <c r="T666" s="5"/>
      <c r="U666" s="5"/>
      <c r="V666" s="5"/>
      <c r="W666" s="5"/>
      <c r="X666" s="5"/>
      <c r="Y666" s="5"/>
      <c r="Z666" s="5"/>
      <c r="AA666" s="5"/>
      <c r="AB666" s="5"/>
      <c r="AC666" s="5"/>
    </row>
    <row r="667" spans="1:29" ht="12.75" customHeight="1">
      <c r="A667" s="5"/>
      <c r="B667" s="5"/>
      <c r="C667" s="5"/>
      <c r="D667" s="5"/>
      <c r="E667" s="5"/>
      <c r="F667" s="5"/>
      <c r="G667" s="5"/>
      <c r="H667" s="306"/>
      <c r="I667" s="306"/>
      <c r="J667" s="5"/>
      <c r="K667" s="5"/>
      <c r="L667" s="5"/>
      <c r="M667" s="5"/>
      <c r="N667" s="5"/>
      <c r="O667" s="5"/>
      <c r="P667" s="5"/>
      <c r="Q667" s="5"/>
      <c r="R667" s="57"/>
      <c r="S667" s="5"/>
      <c r="T667" s="5"/>
      <c r="U667" s="5"/>
      <c r="V667" s="5"/>
      <c r="W667" s="5"/>
      <c r="X667" s="5"/>
      <c r="Y667" s="5"/>
      <c r="Z667" s="5"/>
      <c r="AA667" s="5"/>
      <c r="AB667" s="5"/>
      <c r="AC667" s="5"/>
    </row>
    <row r="668" spans="1:29" ht="12.75" customHeight="1">
      <c r="A668" s="5"/>
      <c r="B668" s="5"/>
      <c r="C668" s="5"/>
      <c r="D668" s="5"/>
      <c r="E668" s="5"/>
      <c r="F668" s="5"/>
      <c r="G668" s="5"/>
      <c r="H668" s="306"/>
      <c r="I668" s="306"/>
      <c r="J668" s="5"/>
      <c r="K668" s="5"/>
      <c r="L668" s="5"/>
      <c r="M668" s="5"/>
      <c r="N668" s="5"/>
      <c r="O668" s="5"/>
      <c r="P668" s="5"/>
      <c r="Q668" s="5"/>
      <c r="R668" s="57"/>
      <c r="S668" s="5"/>
      <c r="T668" s="5"/>
      <c r="U668" s="5"/>
      <c r="V668" s="5"/>
      <c r="W668" s="5"/>
      <c r="X668" s="5"/>
      <c r="Y668" s="5"/>
      <c r="Z668" s="5"/>
      <c r="AA668" s="5"/>
      <c r="AB668" s="5"/>
      <c r="AC668" s="5"/>
    </row>
    <row r="669" spans="1:29" ht="12.75" customHeight="1">
      <c r="A669" s="5"/>
      <c r="B669" s="5"/>
      <c r="C669" s="5"/>
      <c r="D669" s="5"/>
      <c r="E669" s="5"/>
      <c r="F669" s="5"/>
      <c r="G669" s="5"/>
      <c r="H669" s="306"/>
      <c r="I669" s="306"/>
      <c r="J669" s="5"/>
      <c r="K669" s="5"/>
      <c r="L669" s="5"/>
      <c r="M669" s="5"/>
      <c r="N669" s="5"/>
      <c r="O669" s="5"/>
      <c r="P669" s="5"/>
      <c r="Q669" s="5"/>
      <c r="R669" s="57"/>
      <c r="S669" s="5"/>
      <c r="T669" s="5"/>
      <c r="U669" s="5"/>
      <c r="V669" s="5"/>
      <c r="W669" s="5"/>
      <c r="X669" s="5"/>
      <c r="Y669" s="5"/>
      <c r="Z669" s="5"/>
      <c r="AA669" s="5"/>
      <c r="AB669" s="5"/>
      <c r="AC669" s="5"/>
    </row>
    <row r="670" spans="1:29" ht="12.75" customHeight="1">
      <c r="A670" s="5"/>
      <c r="B670" s="5"/>
      <c r="C670" s="5"/>
      <c r="D670" s="5"/>
      <c r="E670" s="5"/>
      <c r="F670" s="5"/>
      <c r="G670" s="5"/>
      <c r="H670" s="306"/>
      <c r="I670" s="306"/>
      <c r="J670" s="5"/>
      <c r="K670" s="5"/>
      <c r="L670" s="5"/>
      <c r="M670" s="5"/>
      <c r="N670" s="5"/>
      <c r="O670" s="5"/>
      <c r="P670" s="5"/>
      <c r="Q670" s="5"/>
      <c r="R670" s="57"/>
      <c r="S670" s="5"/>
      <c r="T670" s="5"/>
      <c r="U670" s="5"/>
      <c r="V670" s="5"/>
      <c r="W670" s="5"/>
      <c r="X670" s="5"/>
      <c r="Y670" s="5"/>
      <c r="Z670" s="5"/>
      <c r="AA670" s="5"/>
      <c r="AB670" s="5"/>
      <c r="AC670" s="5"/>
    </row>
    <row r="671" spans="1:29" ht="12.75" customHeight="1">
      <c r="A671" s="5"/>
      <c r="B671" s="5"/>
      <c r="C671" s="5"/>
      <c r="D671" s="5"/>
      <c r="E671" s="5"/>
      <c r="F671" s="5"/>
      <c r="G671" s="5"/>
      <c r="H671" s="306"/>
      <c r="I671" s="306"/>
      <c r="J671" s="5"/>
      <c r="K671" s="5"/>
      <c r="L671" s="5"/>
      <c r="M671" s="5"/>
      <c r="N671" s="5"/>
      <c r="O671" s="5"/>
      <c r="P671" s="5"/>
      <c r="Q671" s="5"/>
      <c r="R671" s="57"/>
      <c r="S671" s="5"/>
      <c r="T671" s="5"/>
      <c r="U671" s="5"/>
      <c r="V671" s="5"/>
      <c r="W671" s="5"/>
      <c r="X671" s="5"/>
      <c r="Y671" s="5"/>
      <c r="Z671" s="5"/>
      <c r="AA671" s="5"/>
      <c r="AB671" s="5"/>
      <c r="AC671" s="5"/>
    </row>
    <row r="672" spans="1:29" ht="12.75" customHeight="1">
      <c r="A672" s="5"/>
      <c r="B672" s="5"/>
      <c r="C672" s="5"/>
      <c r="D672" s="5"/>
      <c r="E672" s="5"/>
      <c r="F672" s="5"/>
      <c r="G672" s="5"/>
      <c r="H672" s="306"/>
      <c r="I672" s="306"/>
      <c r="J672" s="5"/>
      <c r="K672" s="5"/>
      <c r="L672" s="5"/>
      <c r="M672" s="5"/>
      <c r="N672" s="5"/>
      <c r="O672" s="5"/>
      <c r="P672" s="5"/>
      <c r="Q672" s="5"/>
      <c r="R672" s="57"/>
      <c r="S672" s="5"/>
      <c r="T672" s="5"/>
      <c r="U672" s="5"/>
      <c r="V672" s="5"/>
      <c r="W672" s="5"/>
      <c r="X672" s="5"/>
      <c r="Y672" s="5"/>
      <c r="Z672" s="5"/>
      <c r="AA672" s="5"/>
      <c r="AB672" s="5"/>
      <c r="AC672" s="5"/>
    </row>
    <row r="673" spans="1:29" ht="12.75" customHeight="1">
      <c r="A673" s="5"/>
      <c r="B673" s="5"/>
      <c r="C673" s="5"/>
      <c r="D673" s="5"/>
      <c r="E673" s="5"/>
      <c r="F673" s="5"/>
      <c r="G673" s="5"/>
      <c r="H673" s="306"/>
      <c r="I673" s="306"/>
      <c r="J673" s="5"/>
      <c r="K673" s="5"/>
      <c r="L673" s="5"/>
      <c r="M673" s="5"/>
      <c r="N673" s="5"/>
      <c r="O673" s="5"/>
      <c r="P673" s="5"/>
      <c r="Q673" s="5"/>
      <c r="R673" s="57"/>
      <c r="S673" s="5"/>
      <c r="T673" s="5"/>
      <c r="U673" s="5"/>
      <c r="V673" s="5"/>
      <c r="W673" s="5"/>
      <c r="X673" s="5"/>
      <c r="Y673" s="5"/>
      <c r="Z673" s="5"/>
      <c r="AA673" s="5"/>
      <c r="AB673" s="5"/>
      <c r="AC673" s="5"/>
    </row>
    <row r="674" spans="1:29" ht="12.75" customHeight="1">
      <c r="A674" s="5"/>
      <c r="B674" s="5"/>
      <c r="C674" s="5"/>
      <c r="D674" s="5"/>
      <c r="E674" s="5"/>
      <c r="F674" s="5"/>
      <c r="G674" s="5"/>
      <c r="H674" s="306"/>
      <c r="I674" s="306"/>
      <c r="J674" s="5"/>
      <c r="K674" s="5"/>
      <c r="L674" s="5"/>
      <c r="M674" s="5"/>
      <c r="N674" s="5"/>
      <c r="O674" s="5"/>
      <c r="P674" s="5"/>
      <c r="Q674" s="5"/>
      <c r="R674" s="57"/>
      <c r="S674" s="5"/>
      <c r="T674" s="5"/>
      <c r="U674" s="5"/>
      <c r="V674" s="5"/>
      <c r="W674" s="5"/>
      <c r="X674" s="5"/>
      <c r="Y674" s="5"/>
      <c r="Z674" s="5"/>
      <c r="AA674" s="5"/>
      <c r="AB674" s="5"/>
      <c r="AC674" s="5"/>
    </row>
    <row r="675" spans="1:29" ht="12.75" customHeight="1">
      <c r="A675" s="5"/>
      <c r="B675" s="5"/>
      <c r="C675" s="5"/>
      <c r="D675" s="5"/>
      <c r="E675" s="5"/>
      <c r="F675" s="5"/>
      <c r="G675" s="5"/>
      <c r="H675" s="306"/>
      <c r="I675" s="306"/>
      <c r="J675" s="5"/>
      <c r="K675" s="5"/>
      <c r="L675" s="5"/>
      <c r="M675" s="5"/>
      <c r="N675" s="5"/>
      <c r="O675" s="5"/>
      <c r="P675" s="5"/>
      <c r="Q675" s="5"/>
      <c r="R675" s="57"/>
      <c r="S675" s="5"/>
      <c r="T675" s="5"/>
      <c r="U675" s="5"/>
      <c r="V675" s="5"/>
      <c r="W675" s="5"/>
      <c r="X675" s="5"/>
      <c r="Y675" s="5"/>
      <c r="Z675" s="5"/>
      <c r="AA675" s="5"/>
      <c r="AB675" s="5"/>
      <c r="AC675" s="5"/>
    </row>
    <row r="676" spans="1:29" ht="12.75" customHeight="1">
      <c r="A676" s="5"/>
      <c r="B676" s="5"/>
      <c r="C676" s="5"/>
      <c r="D676" s="5"/>
      <c r="E676" s="5"/>
      <c r="F676" s="5"/>
      <c r="G676" s="5"/>
      <c r="H676" s="306"/>
      <c r="I676" s="306"/>
      <c r="J676" s="5"/>
      <c r="K676" s="5"/>
      <c r="L676" s="5"/>
      <c r="M676" s="5"/>
      <c r="N676" s="5"/>
      <c r="O676" s="5"/>
      <c r="P676" s="5"/>
      <c r="Q676" s="5"/>
      <c r="R676" s="57"/>
      <c r="S676" s="5"/>
      <c r="T676" s="5"/>
      <c r="U676" s="5"/>
      <c r="V676" s="5"/>
      <c r="W676" s="5"/>
      <c r="X676" s="5"/>
      <c r="Y676" s="5"/>
      <c r="Z676" s="5"/>
      <c r="AA676" s="5"/>
      <c r="AB676" s="5"/>
      <c r="AC676" s="5"/>
    </row>
    <row r="677" spans="1:29" ht="12.75" customHeight="1">
      <c r="A677" s="5"/>
      <c r="B677" s="5"/>
      <c r="C677" s="5"/>
      <c r="D677" s="5"/>
      <c r="E677" s="5"/>
      <c r="F677" s="5"/>
      <c r="G677" s="5"/>
      <c r="H677" s="306"/>
      <c r="I677" s="306"/>
      <c r="J677" s="5"/>
      <c r="K677" s="5"/>
      <c r="L677" s="5"/>
      <c r="M677" s="5"/>
      <c r="N677" s="5"/>
      <c r="O677" s="5"/>
      <c r="P677" s="5"/>
      <c r="Q677" s="5"/>
      <c r="R677" s="57"/>
      <c r="S677" s="5"/>
      <c r="T677" s="5"/>
      <c r="U677" s="5"/>
      <c r="V677" s="5"/>
      <c r="W677" s="5"/>
      <c r="X677" s="5"/>
      <c r="Y677" s="5"/>
      <c r="Z677" s="5"/>
      <c r="AA677" s="5"/>
      <c r="AB677" s="5"/>
      <c r="AC677" s="5"/>
    </row>
    <row r="678" spans="1:29" ht="12.75" customHeight="1">
      <c r="A678" s="5"/>
      <c r="B678" s="5"/>
      <c r="C678" s="5"/>
      <c r="D678" s="5"/>
      <c r="E678" s="5"/>
      <c r="F678" s="5"/>
      <c r="G678" s="5"/>
      <c r="H678" s="306"/>
      <c r="I678" s="306"/>
      <c r="J678" s="5"/>
      <c r="K678" s="5"/>
      <c r="L678" s="5"/>
      <c r="M678" s="5"/>
      <c r="N678" s="5"/>
      <c r="O678" s="5"/>
      <c r="P678" s="5"/>
      <c r="Q678" s="5"/>
      <c r="R678" s="57"/>
      <c r="S678" s="5"/>
      <c r="T678" s="5"/>
      <c r="U678" s="5"/>
      <c r="V678" s="5"/>
      <c r="W678" s="5"/>
      <c r="X678" s="5"/>
      <c r="Y678" s="5"/>
      <c r="Z678" s="5"/>
      <c r="AA678" s="5"/>
      <c r="AB678" s="5"/>
      <c r="AC678" s="5"/>
    </row>
    <row r="679" spans="1:29" ht="12.75" customHeight="1">
      <c r="A679" s="5"/>
      <c r="B679" s="5"/>
      <c r="C679" s="5"/>
      <c r="D679" s="5"/>
      <c r="E679" s="5"/>
      <c r="F679" s="5"/>
      <c r="G679" s="5"/>
      <c r="H679" s="306"/>
      <c r="I679" s="306"/>
      <c r="J679" s="5"/>
      <c r="K679" s="5"/>
      <c r="L679" s="5"/>
      <c r="M679" s="5"/>
      <c r="N679" s="5"/>
      <c r="O679" s="5"/>
      <c r="P679" s="5"/>
      <c r="Q679" s="5"/>
      <c r="R679" s="57"/>
      <c r="S679" s="5"/>
      <c r="T679" s="5"/>
      <c r="U679" s="5"/>
      <c r="V679" s="5"/>
      <c r="W679" s="5"/>
      <c r="X679" s="5"/>
      <c r="Y679" s="5"/>
      <c r="Z679" s="5"/>
      <c r="AA679" s="5"/>
      <c r="AB679" s="5"/>
      <c r="AC679" s="5"/>
    </row>
    <row r="680" spans="1:29" ht="12.75" customHeight="1">
      <c r="A680" s="5"/>
      <c r="B680" s="5"/>
      <c r="C680" s="5"/>
      <c r="D680" s="5"/>
      <c r="E680" s="5"/>
      <c r="F680" s="5"/>
      <c r="G680" s="5"/>
      <c r="H680" s="306"/>
      <c r="I680" s="306"/>
      <c r="J680" s="5"/>
      <c r="K680" s="5"/>
      <c r="L680" s="5"/>
      <c r="M680" s="5"/>
      <c r="N680" s="5"/>
      <c r="O680" s="5"/>
      <c r="P680" s="5"/>
      <c r="Q680" s="5"/>
      <c r="R680" s="57"/>
      <c r="S680" s="5"/>
      <c r="T680" s="5"/>
      <c r="U680" s="5"/>
      <c r="V680" s="5"/>
      <c r="W680" s="5"/>
      <c r="X680" s="5"/>
      <c r="Y680" s="5"/>
      <c r="Z680" s="5"/>
      <c r="AA680" s="5"/>
      <c r="AB680" s="5"/>
      <c r="AC680" s="5"/>
    </row>
    <row r="681" spans="1:29" ht="12.75" customHeight="1">
      <c r="A681" s="5"/>
      <c r="B681" s="5"/>
      <c r="C681" s="5"/>
      <c r="D681" s="5"/>
      <c r="E681" s="5"/>
      <c r="F681" s="5"/>
      <c r="G681" s="5"/>
      <c r="H681" s="306"/>
      <c r="I681" s="306"/>
      <c r="J681" s="5"/>
      <c r="K681" s="5"/>
      <c r="L681" s="5"/>
      <c r="M681" s="5"/>
      <c r="N681" s="5"/>
      <c r="O681" s="5"/>
      <c r="P681" s="5"/>
      <c r="Q681" s="5"/>
      <c r="R681" s="57"/>
      <c r="S681" s="5"/>
      <c r="T681" s="5"/>
      <c r="U681" s="5"/>
      <c r="V681" s="5"/>
      <c r="W681" s="5"/>
      <c r="X681" s="5"/>
      <c r="Y681" s="5"/>
      <c r="Z681" s="5"/>
      <c r="AA681" s="5"/>
      <c r="AB681" s="5"/>
      <c r="AC681" s="5"/>
    </row>
    <row r="682" spans="1:29" ht="12.75" customHeight="1">
      <c r="A682" s="5"/>
      <c r="B682" s="5"/>
      <c r="C682" s="5"/>
      <c r="D682" s="5"/>
      <c r="E682" s="5"/>
      <c r="F682" s="5"/>
      <c r="G682" s="5"/>
      <c r="H682" s="306"/>
      <c r="I682" s="306"/>
      <c r="J682" s="5"/>
      <c r="K682" s="5"/>
      <c r="L682" s="5"/>
      <c r="M682" s="5"/>
      <c r="N682" s="5"/>
      <c r="O682" s="5"/>
      <c r="P682" s="5"/>
      <c r="Q682" s="5"/>
      <c r="R682" s="57"/>
      <c r="S682" s="5"/>
      <c r="T682" s="5"/>
      <c r="U682" s="5"/>
      <c r="V682" s="5"/>
      <c r="W682" s="5"/>
      <c r="X682" s="5"/>
      <c r="Y682" s="5"/>
      <c r="Z682" s="5"/>
      <c r="AA682" s="5"/>
      <c r="AB682" s="5"/>
      <c r="AC682" s="5"/>
    </row>
    <row r="683" spans="1:29" ht="12.75" customHeight="1">
      <c r="A683" s="5"/>
      <c r="B683" s="5"/>
      <c r="C683" s="5"/>
      <c r="D683" s="5"/>
      <c r="E683" s="5"/>
      <c r="F683" s="5"/>
      <c r="G683" s="5"/>
      <c r="H683" s="306"/>
      <c r="I683" s="306"/>
      <c r="J683" s="5"/>
      <c r="K683" s="5"/>
      <c r="L683" s="5"/>
      <c r="M683" s="5"/>
      <c r="N683" s="5"/>
      <c r="O683" s="5"/>
      <c r="P683" s="5"/>
      <c r="Q683" s="5"/>
      <c r="R683" s="57"/>
      <c r="S683" s="5"/>
      <c r="T683" s="5"/>
      <c r="U683" s="5"/>
      <c r="V683" s="5"/>
      <c r="W683" s="5"/>
      <c r="X683" s="5"/>
      <c r="Y683" s="5"/>
      <c r="Z683" s="5"/>
      <c r="AA683" s="5"/>
      <c r="AB683" s="5"/>
      <c r="AC683" s="5"/>
    </row>
    <row r="684" spans="1:29" ht="12.75" customHeight="1">
      <c r="A684" s="5"/>
      <c r="B684" s="5"/>
      <c r="C684" s="5"/>
      <c r="D684" s="5"/>
      <c r="E684" s="5"/>
      <c r="F684" s="5"/>
      <c r="G684" s="5"/>
      <c r="H684" s="306"/>
      <c r="I684" s="306"/>
      <c r="J684" s="5"/>
      <c r="K684" s="5"/>
      <c r="L684" s="5"/>
      <c r="M684" s="5"/>
      <c r="N684" s="5"/>
      <c r="O684" s="5"/>
      <c r="P684" s="5"/>
      <c r="Q684" s="5"/>
      <c r="R684" s="57"/>
      <c r="S684" s="5"/>
      <c r="T684" s="5"/>
      <c r="U684" s="5"/>
      <c r="V684" s="5"/>
      <c r="W684" s="5"/>
      <c r="X684" s="5"/>
      <c r="Y684" s="5"/>
      <c r="Z684" s="5"/>
      <c r="AA684" s="5"/>
      <c r="AB684" s="5"/>
      <c r="AC684" s="5"/>
    </row>
    <row r="685" spans="1:29" ht="12.75" customHeight="1">
      <c r="A685" s="5"/>
      <c r="B685" s="5"/>
      <c r="C685" s="5"/>
      <c r="D685" s="5"/>
      <c r="E685" s="5"/>
      <c r="F685" s="5"/>
      <c r="G685" s="5"/>
      <c r="H685" s="306"/>
      <c r="I685" s="306"/>
      <c r="J685" s="5"/>
      <c r="K685" s="5"/>
      <c r="L685" s="5"/>
      <c r="M685" s="5"/>
      <c r="N685" s="5"/>
      <c r="O685" s="5"/>
      <c r="P685" s="5"/>
      <c r="Q685" s="5"/>
      <c r="R685" s="57"/>
      <c r="S685" s="5"/>
      <c r="T685" s="5"/>
      <c r="U685" s="5"/>
      <c r="V685" s="5"/>
      <c r="W685" s="5"/>
      <c r="X685" s="5"/>
      <c r="Y685" s="5"/>
      <c r="Z685" s="5"/>
      <c r="AA685" s="5"/>
      <c r="AB685" s="5"/>
      <c r="AC685" s="5"/>
    </row>
    <row r="686" spans="1:29" ht="12.75" customHeight="1">
      <c r="A686" s="5"/>
      <c r="B686" s="5"/>
      <c r="C686" s="5"/>
      <c r="D686" s="5"/>
      <c r="E686" s="5"/>
      <c r="F686" s="5"/>
      <c r="G686" s="5"/>
      <c r="H686" s="306"/>
      <c r="I686" s="306"/>
      <c r="J686" s="5"/>
      <c r="K686" s="5"/>
      <c r="L686" s="5"/>
      <c r="M686" s="5"/>
      <c r="N686" s="5"/>
      <c r="O686" s="5"/>
      <c r="P686" s="5"/>
      <c r="Q686" s="5"/>
      <c r="R686" s="57"/>
      <c r="S686" s="5"/>
      <c r="T686" s="5"/>
      <c r="U686" s="5"/>
      <c r="V686" s="5"/>
      <c r="W686" s="5"/>
      <c r="X686" s="5"/>
      <c r="Y686" s="5"/>
      <c r="Z686" s="5"/>
      <c r="AA686" s="5"/>
      <c r="AB686" s="5"/>
      <c r="AC686" s="5"/>
    </row>
    <row r="687" spans="1:29" ht="12.75" customHeight="1">
      <c r="A687" s="5"/>
      <c r="B687" s="5"/>
      <c r="C687" s="5"/>
      <c r="D687" s="5"/>
      <c r="E687" s="5"/>
      <c r="F687" s="5"/>
      <c r="G687" s="5"/>
      <c r="H687" s="306"/>
      <c r="I687" s="306"/>
      <c r="J687" s="5"/>
      <c r="K687" s="5"/>
      <c r="L687" s="5"/>
      <c r="M687" s="5"/>
      <c r="N687" s="5"/>
      <c r="O687" s="5"/>
      <c r="P687" s="5"/>
      <c r="Q687" s="5"/>
      <c r="R687" s="57"/>
      <c r="S687" s="5"/>
      <c r="T687" s="5"/>
      <c r="U687" s="5"/>
      <c r="V687" s="5"/>
      <c r="W687" s="5"/>
      <c r="X687" s="5"/>
      <c r="Y687" s="5"/>
      <c r="Z687" s="5"/>
      <c r="AA687" s="5"/>
      <c r="AB687" s="5"/>
      <c r="AC687" s="5"/>
    </row>
    <row r="688" spans="1:29" ht="12.75" customHeight="1">
      <c r="A688" s="5"/>
      <c r="B688" s="5"/>
      <c r="C688" s="5"/>
      <c r="D688" s="5"/>
      <c r="E688" s="5"/>
      <c r="F688" s="5"/>
      <c r="G688" s="5"/>
      <c r="H688" s="306"/>
      <c r="I688" s="306"/>
      <c r="J688" s="5"/>
      <c r="K688" s="5"/>
      <c r="L688" s="5"/>
      <c r="M688" s="5"/>
      <c r="N688" s="5"/>
      <c r="O688" s="5"/>
      <c r="P688" s="5"/>
      <c r="Q688" s="5"/>
      <c r="R688" s="57"/>
      <c r="S688" s="5"/>
      <c r="T688" s="5"/>
      <c r="U688" s="5"/>
      <c r="V688" s="5"/>
      <c r="W688" s="5"/>
      <c r="X688" s="5"/>
      <c r="Y688" s="5"/>
      <c r="Z688" s="5"/>
      <c r="AA688" s="5"/>
      <c r="AB688" s="5"/>
      <c r="AC688" s="5"/>
    </row>
    <row r="689" spans="1:29" ht="12.75" customHeight="1">
      <c r="A689" s="5"/>
      <c r="B689" s="5"/>
      <c r="C689" s="5"/>
      <c r="D689" s="5"/>
      <c r="E689" s="5"/>
      <c r="F689" s="5"/>
      <c r="G689" s="5"/>
      <c r="H689" s="306"/>
      <c r="I689" s="306"/>
      <c r="J689" s="5"/>
      <c r="K689" s="5"/>
      <c r="L689" s="5"/>
      <c r="M689" s="5"/>
      <c r="N689" s="5"/>
      <c r="O689" s="5"/>
      <c r="P689" s="5"/>
      <c r="Q689" s="5"/>
      <c r="R689" s="57"/>
      <c r="S689" s="5"/>
      <c r="T689" s="5"/>
      <c r="U689" s="5"/>
      <c r="V689" s="5"/>
      <c r="W689" s="5"/>
      <c r="X689" s="5"/>
      <c r="Y689" s="5"/>
      <c r="Z689" s="5"/>
      <c r="AA689" s="5"/>
      <c r="AB689" s="5"/>
      <c r="AC689" s="5"/>
    </row>
    <row r="690" spans="1:29" ht="12.75" customHeight="1">
      <c r="A690" s="5"/>
      <c r="B690" s="5"/>
      <c r="C690" s="5"/>
      <c r="D690" s="5"/>
      <c r="E690" s="5"/>
      <c r="F690" s="5"/>
      <c r="G690" s="5"/>
      <c r="H690" s="306"/>
      <c r="I690" s="306"/>
      <c r="J690" s="5"/>
      <c r="K690" s="5"/>
      <c r="L690" s="5"/>
      <c r="M690" s="5"/>
      <c r="N690" s="5"/>
      <c r="O690" s="5"/>
      <c r="P690" s="5"/>
      <c r="Q690" s="5"/>
      <c r="R690" s="57"/>
      <c r="S690" s="5"/>
      <c r="T690" s="5"/>
      <c r="U690" s="5"/>
      <c r="V690" s="5"/>
      <c r="W690" s="5"/>
      <c r="X690" s="5"/>
      <c r="Y690" s="5"/>
      <c r="Z690" s="5"/>
      <c r="AA690" s="5"/>
      <c r="AB690" s="5"/>
      <c r="AC690" s="5"/>
    </row>
    <row r="691" spans="1:29" ht="12.75" customHeight="1">
      <c r="A691" s="5"/>
      <c r="B691" s="5"/>
      <c r="C691" s="5"/>
      <c r="D691" s="5"/>
      <c r="E691" s="5"/>
      <c r="F691" s="5"/>
      <c r="G691" s="5"/>
      <c r="H691" s="306"/>
      <c r="I691" s="306"/>
      <c r="J691" s="5"/>
      <c r="K691" s="5"/>
      <c r="L691" s="5"/>
      <c r="M691" s="5"/>
      <c r="N691" s="5"/>
      <c r="O691" s="5"/>
      <c r="P691" s="5"/>
      <c r="Q691" s="5"/>
      <c r="R691" s="57"/>
      <c r="S691" s="5"/>
      <c r="T691" s="5"/>
      <c r="U691" s="5"/>
      <c r="V691" s="5"/>
      <c r="W691" s="5"/>
      <c r="X691" s="5"/>
      <c r="Y691" s="5"/>
      <c r="Z691" s="5"/>
      <c r="AA691" s="5"/>
      <c r="AB691" s="5"/>
      <c r="AC691" s="5"/>
    </row>
    <row r="692" spans="1:29" ht="12.75" customHeight="1">
      <c r="A692" s="5"/>
      <c r="B692" s="5"/>
      <c r="C692" s="5"/>
      <c r="D692" s="5"/>
      <c r="E692" s="5"/>
      <c r="F692" s="5"/>
      <c r="G692" s="5"/>
      <c r="H692" s="306"/>
      <c r="I692" s="306"/>
      <c r="J692" s="5"/>
      <c r="K692" s="5"/>
      <c r="L692" s="5"/>
      <c r="M692" s="5"/>
      <c r="N692" s="5"/>
      <c r="O692" s="5"/>
      <c r="P692" s="5"/>
      <c r="Q692" s="5"/>
      <c r="R692" s="57"/>
      <c r="S692" s="5"/>
      <c r="T692" s="5"/>
      <c r="U692" s="5"/>
      <c r="V692" s="5"/>
      <c r="W692" s="5"/>
      <c r="X692" s="5"/>
      <c r="Y692" s="5"/>
      <c r="Z692" s="5"/>
      <c r="AA692" s="5"/>
      <c r="AB692" s="5"/>
      <c r="AC692" s="5"/>
    </row>
    <row r="693" spans="1:29" ht="12.75" customHeight="1">
      <c r="A693" s="5"/>
      <c r="B693" s="5"/>
      <c r="C693" s="5"/>
      <c r="D693" s="5"/>
      <c r="E693" s="5"/>
      <c r="F693" s="5"/>
      <c r="G693" s="5"/>
      <c r="H693" s="306"/>
      <c r="I693" s="306"/>
      <c r="J693" s="5"/>
      <c r="K693" s="5"/>
      <c r="L693" s="5"/>
      <c r="M693" s="5"/>
      <c r="N693" s="5"/>
      <c r="O693" s="5"/>
      <c r="P693" s="5"/>
      <c r="Q693" s="5"/>
      <c r="R693" s="57"/>
      <c r="S693" s="5"/>
      <c r="T693" s="5"/>
      <c r="U693" s="5"/>
      <c r="V693" s="5"/>
      <c r="W693" s="5"/>
      <c r="X693" s="5"/>
      <c r="Y693" s="5"/>
      <c r="Z693" s="5"/>
      <c r="AA693" s="5"/>
      <c r="AB693" s="5"/>
      <c r="AC693" s="5"/>
    </row>
    <row r="694" spans="1:29" ht="12.75" customHeight="1">
      <c r="A694" s="5"/>
      <c r="B694" s="5"/>
      <c r="C694" s="5"/>
      <c r="D694" s="5"/>
      <c r="E694" s="5"/>
      <c r="F694" s="5"/>
      <c r="G694" s="5"/>
      <c r="H694" s="306"/>
      <c r="I694" s="306"/>
      <c r="J694" s="5"/>
      <c r="K694" s="5"/>
      <c r="L694" s="5"/>
      <c r="M694" s="5"/>
      <c r="N694" s="5"/>
      <c r="O694" s="5"/>
      <c r="P694" s="5"/>
      <c r="Q694" s="5"/>
      <c r="R694" s="57"/>
      <c r="S694" s="5"/>
      <c r="T694" s="5"/>
      <c r="U694" s="5"/>
      <c r="V694" s="5"/>
      <c r="W694" s="5"/>
      <c r="X694" s="5"/>
      <c r="Y694" s="5"/>
      <c r="Z694" s="5"/>
      <c r="AA694" s="5"/>
      <c r="AB694" s="5"/>
      <c r="AC694" s="5"/>
    </row>
    <row r="695" spans="1:29" ht="12.75" customHeight="1">
      <c r="A695" s="5"/>
      <c r="B695" s="5"/>
      <c r="C695" s="5"/>
      <c r="D695" s="5"/>
      <c r="E695" s="5"/>
      <c r="F695" s="5"/>
      <c r="G695" s="5"/>
      <c r="H695" s="306"/>
      <c r="I695" s="306"/>
      <c r="J695" s="5"/>
      <c r="K695" s="5"/>
      <c r="L695" s="5"/>
      <c r="M695" s="5"/>
      <c r="N695" s="5"/>
      <c r="O695" s="5"/>
      <c r="P695" s="5"/>
      <c r="Q695" s="5"/>
      <c r="R695" s="57"/>
      <c r="S695" s="5"/>
      <c r="T695" s="5"/>
      <c r="U695" s="5"/>
      <c r="V695" s="5"/>
      <c r="W695" s="5"/>
      <c r="X695" s="5"/>
      <c r="Y695" s="5"/>
      <c r="Z695" s="5"/>
      <c r="AA695" s="5"/>
      <c r="AB695" s="5"/>
      <c r="AC695" s="5"/>
    </row>
    <row r="696" spans="1:29" ht="12.75" customHeight="1">
      <c r="A696" s="5"/>
      <c r="B696" s="5"/>
      <c r="C696" s="5"/>
      <c r="D696" s="5"/>
      <c r="E696" s="5"/>
      <c r="F696" s="5"/>
      <c r="G696" s="5"/>
      <c r="H696" s="306"/>
      <c r="I696" s="306"/>
      <c r="J696" s="5"/>
      <c r="K696" s="5"/>
      <c r="L696" s="5"/>
      <c r="M696" s="5"/>
      <c r="N696" s="5"/>
      <c r="O696" s="5"/>
      <c r="P696" s="5"/>
      <c r="Q696" s="5"/>
      <c r="R696" s="57"/>
      <c r="S696" s="5"/>
      <c r="T696" s="5"/>
      <c r="U696" s="5"/>
      <c r="V696" s="5"/>
      <c r="W696" s="5"/>
      <c r="X696" s="5"/>
      <c r="Y696" s="5"/>
      <c r="Z696" s="5"/>
      <c r="AA696" s="5"/>
      <c r="AB696" s="5"/>
      <c r="AC696" s="5"/>
    </row>
    <row r="697" spans="1:29" ht="12.75" customHeight="1">
      <c r="A697" s="5"/>
      <c r="B697" s="5"/>
      <c r="C697" s="5"/>
      <c r="D697" s="5"/>
      <c r="E697" s="5"/>
      <c r="F697" s="5"/>
      <c r="G697" s="5"/>
      <c r="H697" s="306"/>
      <c r="I697" s="306"/>
      <c r="J697" s="5"/>
      <c r="K697" s="5"/>
      <c r="L697" s="5"/>
      <c r="M697" s="5"/>
      <c r="N697" s="5"/>
      <c r="O697" s="5"/>
      <c r="P697" s="5"/>
      <c r="Q697" s="5"/>
      <c r="R697" s="57"/>
      <c r="S697" s="5"/>
      <c r="T697" s="5"/>
      <c r="U697" s="5"/>
      <c r="V697" s="5"/>
      <c r="W697" s="5"/>
      <c r="X697" s="5"/>
      <c r="Y697" s="5"/>
      <c r="Z697" s="5"/>
      <c r="AA697" s="5"/>
      <c r="AB697" s="5"/>
      <c r="AC697" s="5"/>
    </row>
    <row r="698" spans="1:29" ht="12.75" customHeight="1">
      <c r="A698" s="5"/>
      <c r="B698" s="5"/>
      <c r="C698" s="5"/>
      <c r="D698" s="5"/>
      <c r="E698" s="5"/>
      <c r="F698" s="5"/>
      <c r="G698" s="5"/>
      <c r="H698" s="306"/>
      <c r="I698" s="306"/>
      <c r="J698" s="5"/>
      <c r="K698" s="5"/>
      <c r="L698" s="5"/>
      <c r="M698" s="5"/>
      <c r="N698" s="5"/>
      <c r="O698" s="5"/>
      <c r="P698" s="5"/>
      <c r="Q698" s="5"/>
      <c r="R698" s="57"/>
      <c r="S698" s="5"/>
      <c r="T698" s="5"/>
      <c r="U698" s="5"/>
      <c r="V698" s="5"/>
      <c r="W698" s="5"/>
      <c r="X698" s="5"/>
      <c r="Y698" s="5"/>
      <c r="Z698" s="5"/>
      <c r="AA698" s="5"/>
      <c r="AB698" s="5"/>
      <c r="AC698" s="5"/>
    </row>
    <row r="699" spans="1:29" ht="12.75" customHeight="1">
      <c r="A699" s="5"/>
      <c r="B699" s="5"/>
      <c r="C699" s="5"/>
      <c r="D699" s="5"/>
      <c r="E699" s="5"/>
      <c r="F699" s="5"/>
      <c r="G699" s="5"/>
      <c r="H699" s="306"/>
      <c r="I699" s="306"/>
      <c r="J699" s="5"/>
      <c r="K699" s="5"/>
      <c r="L699" s="5"/>
      <c r="M699" s="5"/>
      <c r="N699" s="5"/>
      <c r="O699" s="5"/>
      <c r="P699" s="5"/>
      <c r="Q699" s="5"/>
      <c r="R699" s="57"/>
      <c r="S699" s="5"/>
      <c r="T699" s="5"/>
      <c r="U699" s="5"/>
      <c r="V699" s="5"/>
      <c r="W699" s="5"/>
      <c r="X699" s="5"/>
      <c r="Y699" s="5"/>
      <c r="Z699" s="5"/>
      <c r="AA699" s="5"/>
      <c r="AB699" s="5"/>
      <c r="AC699" s="5"/>
    </row>
    <row r="700" spans="1:29" ht="12.75" customHeight="1">
      <c r="A700" s="5"/>
      <c r="B700" s="5"/>
      <c r="C700" s="5"/>
      <c r="D700" s="5"/>
      <c r="E700" s="5"/>
      <c r="F700" s="5"/>
      <c r="G700" s="5"/>
      <c r="H700" s="306"/>
      <c r="I700" s="306"/>
      <c r="J700" s="5"/>
      <c r="K700" s="5"/>
      <c r="L700" s="5"/>
      <c r="M700" s="5"/>
      <c r="N700" s="5"/>
      <c r="O700" s="5"/>
      <c r="P700" s="5"/>
      <c r="Q700" s="5"/>
      <c r="R700" s="57"/>
      <c r="S700" s="5"/>
      <c r="T700" s="5"/>
      <c r="U700" s="5"/>
      <c r="V700" s="5"/>
      <c r="W700" s="5"/>
      <c r="X700" s="5"/>
      <c r="Y700" s="5"/>
      <c r="Z700" s="5"/>
      <c r="AA700" s="5"/>
      <c r="AB700" s="5"/>
      <c r="AC700" s="5"/>
    </row>
    <row r="701" spans="1:29" ht="12.75" customHeight="1">
      <c r="A701" s="5"/>
      <c r="B701" s="5"/>
      <c r="C701" s="5"/>
      <c r="D701" s="5"/>
      <c r="E701" s="5"/>
      <c r="F701" s="5"/>
      <c r="G701" s="5"/>
      <c r="H701" s="306"/>
      <c r="I701" s="306"/>
      <c r="J701" s="5"/>
      <c r="K701" s="5"/>
      <c r="L701" s="5"/>
      <c r="M701" s="5"/>
      <c r="N701" s="5"/>
      <c r="O701" s="5"/>
      <c r="P701" s="5"/>
      <c r="Q701" s="5"/>
      <c r="R701" s="57"/>
      <c r="S701" s="5"/>
      <c r="T701" s="5"/>
      <c r="U701" s="5"/>
      <c r="V701" s="5"/>
      <c r="W701" s="5"/>
      <c r="X701" s="5"/>
      <c r="Y701" s="5"/>
      <c r="Z701" s="5"/>
      <c r="AA701" s="5"/>
      <c r="AB701" s="5"/>
      <c r="AC701" s="5"/>
    </row>
    <row r="702" spans="1:29" ht="12.75" customHeight="1">
      <c r="A702" s="5"/>
      <c r="B702" s="5"/>
      <c r="C702" s="5"/>
      <c r="D702" s="5"/>
      <c r="E702" s="5"/>
      <c r="F702" s="5"/>
      <c r="G702" s="5"/>
      <c r="H702" s="306"/>
      <c r="I702" s="306"/>
      <c r="J702" s="5"/>
      <c r="K702" s="5"/>
      <c r="L702" s="5"/>
      <c r="M702" s="5"/>
      <c r="N702" s="5"/>
      <c r="O702" s="5"/>
      <c r="P702" s="5"/>
      <c r="Q702" s="5"/>
      <c r="R702" s="57"/>
      <c r="S702" s="5"/>
      <c r="T702" s="5"/>
      <c r="U702" s="5"/>
      <c r="V702" s="5"/>
      <c r="W702" s="5"/>
      <c r="X702" s="5"/>
      <c r="Y702" s="5"/>
      <c r="Z702" s="5"/>
      <c r="AA702" s="5"/>
      <c r="AB702" s="5"/>
      <c r="AC702" s="5"/>
    </row>
    <row r="703" spans="1:29" ht="12.75" customHeight="1">
      <c r="A703" s="5"/>
      <c r="B703" s="5"/>
      <c r="C703" s="5"/>
      <c r="D703" s="5"/>
      <c r="E703" s="5"/>
      <c r="F703" s="5"/>
      <c r="G703" s="5"/>
      <c r="H703" s="306"/>
      <c r="I703" s="306"/>
      <c r="J703" s="5"/>
      <c r="K703" s="5"/>
      <c r="L703" s="5"/>
      <c r="M703" s="5"/>
      <c r="N703" s="5"/>
      <c r="O703" s="5"/>
      <c r="P703" s="5"/>
      <c r="Q703" s="5"/>
      <c r="R703" s="57"/>
      <c r="S703" s="5"/>
      <c r="T703" s="5"/>
      <c r="U703" s="5"/>
      <c r="V703" s="5"/>
      <c r="W703" s="5"/>
      <c r="X703" s="5"/>
      <c r="Y703" s="5"/>
      <c r="Z703" s="5"/>
      <c r="AA703" s="5"/>
      <c r="AB703" s="5"/>
      <c r="AC703" s="5"/>
    </row>
    <row r="704" spans="1:29" ht="12.75" customHeight="1">
      <c r="A704" s="5"/>
      <c r="B704" s="5"/>
      <c r="C704" s="5"/>
      <c r="D704" s="5"/>
      <c r="E704" s="5"/>
      <c r="F704" s="5"/>
      <c r="G704" s="5"/>
      <c r="H704" s="306"/>
      <c r="I704" s="306"/>
      <c r="J704" s="5"/>
      <c r="K704" s="5"/>
      <c r="L704" s="5"/>
      <c r="M704" s="5"/>
      <c r="N704" s="5"/>
      <c r="O704" s="5"/>
      <c r="P704" s="5"/>
      <c r="Q704" s="5"/>
      <c r="R704" s="57"/>
      <c r="S704" s="5"/>
      <c r="T704" s="5"/>
      <c r="U704" s="5"/>
      <c r="V704" s="5"/>
      <c r="W704" s="5"/>
      <c r="X704" s="5"/>
      <c r="Y704" s="5"/>
      <c r="Z704" s="5"/>
      <c r="AA704" s="5"/>
      <c r="AB704" s="5"/>
      <c r="AC704" s="5"/>
    </row>
    <row r="705" spans="1:29" ht="12.75" customHeight="1">
      <c r="A705" s="5"/>
      <c r="B705" s="5"/>
      <c r="C705" s="5"/>
      <c r="D705" s="5"/>
      <c r="E705" s="5"/>
      <c r="F705" s="5"/>
      <c r="G705" s="5"/>
      <c r="H705" s="306"/>
      <c r="I705" s="306"/>
      <c r="J705" s="5"/>
      <c r="K705" s="5"/>
      <c r="L705" s="5"/>
      <c r="M705" s="5"/>
      <c r="N705" s="5"/>
      <c r="O705" s="5"/>
      <c r="P705" s="5"/>
      <c r="Q705" s="5"/>
      <c r="R705" s="57"/>
      <c r="S705" s="5"/>
      <c r="T705" s="5"/>
      <c r="U705" s="5"/>
      <c r="V705" s="5"/>
      <c r="W705" s="5"/>
      <c r="X705" s="5"/>
      <c r="Y705" s="5"/>
      <c r="Z705" s="5"/>
      <c r="AA705" s="5"/>
      <c r="AB705" s="5"/>
      <c r="AC705" s="5"/>
    </row>
    <row r="706" spans="1:29" ht="12.75" customHeight="1">
      <c r="A706" s="5"/>
      <c r="B706" s="5"/>
      <c r="C706" s="5"/>
      <c r="D706" s="5"/>
      <c r="E706" s="5"/>
      <c r="F706" s="5"/>
      <c r="G706" s="5"/>
      <c r="H706" s="306"/>
      <c r="I706" s="306"/>
      <c r="J706" s="5"/>
      <c r="K706" s="5"/>
      <c r="L706" s="5"/>
      <c r="M706" s="5"/>
      <c r="N706" s="5"/>
      <c r="O706" s="5"/>
      <c r="P706" s="5"/>
      <c r="Q706" s="5"/>
      <c r="R706" s="57"/>
      <c r="S706" s="5"/>
      <c r="T706" s="5"/>
      <c r="U706" s="5"/>
      <c r="V706" s="5"/>
      <c r="W706" s="5"/>
      <c r="X706" s="5"/>
      <c r="Y706" s="5"/>
      <c r="Z706" s="5"/>
      <c r="AA706" s="5"/>
      <c r="AB706" s="5"/>
      <c r="AC706" s="5"/>
    </row>
    <row r="707" spans="1:29" ht="12.75" customHeight="1">
      <c r="A707" s="5"/>
      <c r="B707" s="5"/>
      <c r="C707" s="5"/>
      <c r="D707" s="5"/>
      <c r="E707" s="5"/>
      <c r="F707" s="5"/>
      <c r="G707" s="5"/>
      <c r="H707" s="306"/>
      <c r="I707" s="306"/>
      <c r="J707" s="5"/>
      <c r="K707" s="5"/>
      <c r="L707" s="5"/>
      <c r="M707" s="5"/>
      <c r="N707" s="5"/>
      <c r="O707" s="5"/>
      <c r="P707" s="5"/>
      <c r="Q707" s="5"/>
      <c r="R707" s="57"/>
      <c r="S707" s="5"/>
      <c r="T707" s="5"/>
      <c r="U707" s="5"/>
      <c r="V707" s="5"/>
      <c r="W707" s="5"/>
      <c r="X707" s="5"/>
      <c r="Y707" s="5"/>
      <c r="Z707" s="5"/>
      <c r="AA707" s="5"/>
      <c r="AB707" s="5"/>
      <c r="AC707" s="5"/>
    </row>
    <row r="708" spans="1:29" ht="12.75" customHeight="1">
      <c r="A708" s="5"/>
      <c r="B708" s="5"/>
      <c r="C708" s="5"/>
      <c r="D708" s="5"/>
      <c r="E708" s="5"/>
      <c r="F708" s="5"/>
      <c r="G708" s="5"/>
      <c r="H708" s="306"/>
      <c r="I708" s="306"/>
      <c r="J708" s="5"/>
      <c r="K708" s="5"/>
      <c r="L708" s="5"/>
      <c r="M708" s="5"/>
      <c r="N708" s="5"/>
      <c r="O708" s="5"/>
      <c r="P708" s="5"/>
      <c r="Q708" s="5"/>
      <c r="R708" s="57"/>
      <c r="S708" s="5"/>
      <c r="T708" s="5"/>
      <c r="U708" s="5"/>
      <c r="V708" s="5"/>
      <c r="W708" s="5"/>
      <c r="X708" s="5"/>
      <c r="Y708" s="5"/>
      <c r="Z708" s="5"/>
      <c r="AA708" s="5"/>
      <c r="AB708" s="5"/>
      <c r="AC708" s="5"/>
    </row>
    <row r="709" spans="1:29" ht="12.75" customHeight="1">
      <c r="A709" s="5"/>
      <c r="B709" s="5"/>
      <c r="C709" s="5"/>
      <c r="D709" s="5"/>
      <c r="E709" s="5"/>
      <c r="F709" s="5"/>
      <c r="G709" s="5"/>
      <c r="H709" s="306"/>
      <c r="I709" s="306"/>
      <c r="J709" s="5"/>
      <c r="K709" s="5"/>
      <c r="L709" s="5"/>
      <c r="M709" s="5"/>
      <c r="N709" s="5"/>
      <c r="O709" s="5"/>
      <c r="P709" s="5"/>
      <c r="Q709" s="5"/>
      <c r="R709" s="57"/>
      <c r="S709" s="5"/>
      <c r="T709" s="5"/>
      <c r="U709" s="5"/>
      <c r="V709" s="5"/>
      <c r="W709" s="5"/>
      <c r="X709" s="5"/>
      <c r="Y709" s="5"/>
      <c r="Z709" s="5"/>
      <c r="AA709" s="5"/>
      <c r="AB709" s="5"/>
      <c r="AC709" s="5"/>
    </row>
    <row r="710" spans="1:29" ht="12.75" customHeight="1">
      <c r="A710" s="5"/>
      <c r="B710" s="5"/>
      <c r="C710" s="5"/>
      <c r="D710" s="5"/>
      <c r="E710" s="5"/>
      <c r="F710" s="5"/>
      <c r="G710" s="5"/>
      <c r="H710" s="306"/>
      <c r="I710" s="306"/>
      <c r="J710" s="5"/>
      <c r="K710" s="5"/>
      <c r="L710" s="5"/>
      <c r="M710" s="5"/>
      <c r="N710" s="5"/>
      <c r="O710" s="5"/>
      <c r="P710" s="5"/>
      <c r="Q710" s="5"/>
      <c r="R710" s="57"/>
      <c r="S710" s="5"/>
      <c r="T710" s="5"/>
      <c r="U710" s="5"/>
      <c r="V710" s="5"/>
      <c r="W710" s="5"/>
      <c r="X710" s="5"/>
      <c r="Y710" s="5"/>
      <c r="Z710" s="5"/>
      <c r="AA710" s="5"/>
      <c r="AB710" s="5"/>
      <c r="AC710" s="5"/>
    </row>
    <row r="711" spans="1:29" ht="12.75" customHeight="1">
      <c r="A711" s="5"/>
      <c r="B711" s="5"/>
      <c r="C711" s="5"/>
      <c r="D711" s="5"/>
      <c r="E711" s="5"/>
      <c r="F711" s="5"/>
      <c r="G711" s="5"/>
      <c r="H711" s="306"/>
      <c r="I711" s="306"/>
      <c r="J711" s="5"/>
      <c r="K711" s="5"/>
      <c r="L711" s="5"/>
      <c r="M711" s="5"/>
      <c r="N711" s="5"/>
      <c r="O711" s="5"/>
      <c r="P711" s="5"/>
      <c r="Q711" s="5"/>
      <c r="R711" s="57"/>
      <c r="S711" s="5"/>
      <c r="T711" s="5"/>
      <c r="U711" s="5"/>
      <c r="V711" s="5"/>
      <c r="W711" s="5"/>
      <c r="X711" s="5"/>
      <c r="Y711" s="5"/>
      <c r="Z711" s="5"/>
      <c r="AA711" s="5"/>
      <c r="AB711" s="5"/>
      <c r="AC711" s="5"/>
    </row>
    <row r="712" spans="1:29" ht="12.75" customHeight="1">
      <c r="A712" s="5"/>
      <c r="B712" s="5"/>
      <c r="C712" s="5"/>
      <c r="D712" s="5"/>
      <c r="E712" s="5"/>
      <c r="F712" s="5"/>
      <c r="G712" s="5"/>
      <c r="H712" s="306"/>
      <c r="I712" s="306"/>
      <c r="J712" s="5"/>
      <c r="K712" s="5"/>
      <c r="L712" s="5"/>
      <c r="M712" s="5"/>
      <c r="N712" s="5"/>
      <c r="O712" s="5"/>
      <c r="P712" s="5"/>
      <c r="Q712" s="5"/>
      <c r="R712" s="57"/>
      <c r="S712" s="5"/>
      <c r="T712" s="5"/>
      <c r="U712" s="5"/>
      <c r="V712" s="5"/>
      <c r="W712" s="5"/>
      <c r="X712" s="5"/>
      <c r="Y712" s="5"/>
      <c r="Z712" s="5"/>
      <c r="AA712" s="5"/>
      <c r="AB712" s="5"/>
      <c r="AC712" s="5"/>
    </row>
    <row r="713" spans="1:29" ht="12.75" customHeight="1">
      <c r="A713" s="5"/>
      <c r="B713" s="5"/>
      <c r="C713" s="5"/>
      <c r="D713" s="5"/>
      <c r="E713" s="5"/>
      <c r="F713" s="5"/>
      <c r="G713" s="5"/>
      <c r="H713" s="306"/>
      <c r="I713" s="306"/>
      <c r="J713" s="5"/>
      <c r="K713" s="5"/>
      <c r="L713" s="5"/>
      <c r="M713" s="5"/>
      <c r="N713" s="5"/>
      <c r="O713" s="5"/>
      <c r="P713" s="5"/>
      <c r="Q713" s="5"/>
      <c r="R713" s="57"/>
      <c r="S713" s="5"/>
      <c r="T713" s="5"/>
      <c r="U713" s="5"/>
      <c r="V713" s="5"/>
      <c r="W713" s="5"/>
      <c r="X713" s="5"/>
      <c r="Y713" s="5"/>
      <c r="Z713" s="5"/>
      <c r="AA713" s="5"/>
      <c r="AB713" s="5"/>
      <c r="AC713" s="5"/>
    </row>
    <row r="714" spans="1:29" ht="12.75" customHeight="1">
      <c r="A714" s="5"/>
      <c r="B714" s="5"/>
      <c r="C714" s="5"/>
      <c r="D714" s="5"/>
      <c r="E714" s="5"/>
      <c r="F714" s="5"/>
      <c r="G714" s="5"/>
      <c r="H714" s="306"/>
      <c r="I714" s="306"/>
      <c r="J714" s="5"/>
      <c r="K714" s="5"/>
      <c r="L714" s="5"/>
      <c r="M714" s="5"/>
      <c r="N714" s="5"/>
      <c r="O714" s="5"/>
      <c r="P714" s="5"/>
      <c r="Q714" s="5"/>
      <c r="R714" s="57"/>
      <c r="S714" s="5"/>
      <c r="T714" s="5"/>
      <c r="U714" s="5"/>
      <c r="V714" s="5"/>
      <c r="W714" s="5"/>
      <c r="X714" s="5"/>
      <c r="Y714" s="5"/>
      <c r="Z714" s="5"/>
      <c r="AA714" s="5"/>
      <c r="AB714" s="5"/>
      <c r="AC714" s="5"/>
    </row>
    <row r="715" spans="1:29" ht="12.75" customHeight="1">
      <c r="A715" s="5"/>
      <c r="B715" s="5"/>
      <c r="C715" s="5"/>
      <c r="D715" s="5"/>
      <c r="E715" s="5"/>
      <c r="F715" s="5"/>
      <c r="G715" s="5"/>
      <c r="H715" s="306"/>
      <c r="I715" s="306"/>
      <c r="J715" s="5"/>
      <c r="K715" s="5"/>
      <c r="L715" s="5"/>
      <c r="M715" s="5"/>
      <c r="N715" s="5"/>
      <c r="O715" s="5"/>
      <c r="P715" s="5"/>
      <c r="Q715" s="5"/>
      <c r="R715" s="57"/>
      <c r="S715" s="5"/>
      <c r="T715" s="5"/>
      <c r="U715" s="5"/>
      <c r="V715" s="5"/>
      <c r="W715" s="5"/>
      <c r="X715" s="5"/>
      <c r="Y715" s="5"/>
      <c r="Z715" s="5"/>
      <c r="AA715" s="5"/>
      <c r="AB715" s="5"/>
      <c r="AC715" s="5"/>
    </row>
    <row r="716" spans="1:29" ht="12.75" customHeight="1">
      <c r="A716" s="5"/>
      <c r="B716" s="5"/>
      <c r="C716" s="5"/>
      <c r="D716" s="5"/>
      <c r="E716" s="5"/>
      <c r="F716" s="5"/>
      <c r="G716" s="5"/>
      <c r="H716" s="306"/>
      <c r="I716" s="306"/>
      <c r="J716" s="5"/>
      <c r="K716" s="5"/>
      <c r="L716" s="5"/>
      <c r="M716" s="5"/>
      <c r="N716" s="5"/>
      <c r="O716" s="5"/>
      <c r="P716" s="5"/>
      <c r="Q716" s="5"/>
      <c r="R716" s="57"/>
      <c r="S716" s="5"/>
      <c r="T716" s="5"/>
      <c r="U716" s="5"/>
      <c r="V716" s="5"/>
      <c r="W716" s="5"/>
      <c r="X716" s="5"/>
      <c r="Y716" s="5"/>
      <c r="Z716" s="5"/>
      <c r="AA716" s="5"/>
      <c r="AB716" s="5"/>
      <c r="AC716" s="5"/>
    </row>
    <row r="717" spans="1:29" ht="12.75" customHeight="1">
      <c r="A717" s="5"/>
      <c r="B717" s="5"/>
      <c r="C717" s="5"/>
      <c r="D717" s="5"/>
      <c r="E717" s="5"/>
      <c r="F717" s="5"/>
      <c r="G717" s="5"/>
      <c r="H717" s="306"/>
      <c r="I717" s="306"/>
      <c r="J717" s="5"/>
      <c r="K717" s="5"/>
      <c r="L717" s="5"/>
      <c r="M717" s="5"/>
      <c r="N717" s="5"/>
      <c r="O717" s="5"/>
      <c r="P717" s="5"/>
      <c r="Q717" s="5"/>
      <c r="R717" s="57"/>
      <c r="S717" s="5"/>
      <c r="T717" s="5"/>
      <c r="U717" s="5"/>
      <c r="V717" s="5"/>
      <c r="W717" s="5"/>
      <c r="X717" s="5"/>
      <c r="Y717" s="5"/>
      <c r="Z717" s="5"/>
      <c r="AA717" s="5"/>
      <c r="AB717" s="5"/>
      <c r="AC717" s="5"/>
    </row>
    <row r="718" spans="1:29" ht="12.75" customHeight="1">
      <c r="A718" s="5"/>
      <c r="B718" s="5"/>
      <c r="C718" s="5"/>
      <c r="D718" s="5"/>
      <c r="E718" s="5"/>
      <c r="F718" s="5"/>
      <c r="G718" s="5"/>
      <c r="H718" s="306"/>
      <c r="I718" s="306"/>
      <c r="J718" s="5"/>
      <c r="K718" s="5"/>
      <c r="L718" s="5"/>
      <c r="M718" s="5"/>
      <c r="N718" s="5"/>
      <c r="O718" s="5"/>
      <c r="P718" s="5"/>
      <c r="Q718" s="5"/>
      <c r="R718" s="57"/>
      <c r="S718" s="5"/>
      <c r="T718" s="5"/>
      <c r="U718" s="5"/>
      <c r="V718" s="5"/>
      <c r="W718" s="5"/>
      <c r="X718" s="5"/>
      <c r="Y718" s="5"/>
      <c r="Z718" s="5"/>
      <c r="AA718" s="5"/>
      <c r="AB718" s="5"/>
      <c r="AC718" s="5"/>
    </row>
    <row r="719" spans="1:29" ht="12.75" customHeight="1">
      <c r="A719" s="5"/>
      <c r="B719" s="5"/>
      <c r="C719" s="5"/>
      <c r="D719" s="5"/>
      <c r="E719" s="5"/>
      <c r="F719" s="5"/>
      <c r="G719" s="5"/>
      <c r="H719" s="306"/>
      <c r="I719" s="306"/>
      <c r="J719" s="5"/>
      <c r="K719" s="5"/>
      <c r="L719" s="5"/>
      <c r="M719" s="5"/>
      <c r="N719" s="5"/>
      <c r="O719" s="5"/>
      <c r="P719" s="5"/>
      <c r="Q719" s="5"/>
      <c r="R719" s="57"/>
      <c r="S719" s="5"/>
      <c r="T719" s="5"/>
      <c r="U719" s="5"/>
      <c r="V719" s="5"/>
      <c r="W719" s="5"/>
      <c r="X719" s="5"/>
      <c r="Y719" s="5"/>
      <c r="Z719" s="5"/>
      <c r="AA719" s="5"/>
      <c r="AB719" s="5"/>
      <c r="AC719" s="5"/>
    </row>
    <row r="720" spans="1:29" ht="12.75" customHeight="1">
      <c r="A720" s="5"/>
      <c r="B720" s="5"/>
      <c r="C720" s="5"/>
      <c r="D720" s="5"/>
      <c r="E720" s="5"/>
      <c r="F720" s="5"/>
      <c r="G720" s="5"/>
      <c r="H720" s="306"/>
      <c r="I720" s="306"/>
      <c r="J720" s="5"/>
      <c r="K720" s="5"/>
      <c r="L720" s="5"/>
      <c r="M720" s="5"/>
      <c r="N720" s="5"/>
      <c r="O720" s="5"/>
      <c r="P720" s="5"/>
      <c r="Q720" s="5"/>
      <c r="R720" s="57"/>
      <c r="S720" s="5"/>
      <c r="T720" s="5"/>
      <c r="U720" s="5"/>
      <c r="V720" s="5"/>
      <c r="W720" s="5"/>
      <c r="X720" s="5"/>
      <c r="Y720" s="5"/>
      <c r="Z720" s="5"/>
      <c r="AA720" s="5"/>
      <c r="AB720" s="5"/>
      <c r="AC720" s="5"/>
    </row>
    <row r="721" spans="1:29" ht="12.75" customHeight="1">
      <c r="A721" s="5"/>
      <c r="B721" s="5"/>
      <c r="C721" s="5"/>
      <c r="D721" s="5"/>
      <c r="E721" s="5"/>
      <c r="F721" s="5"/>
      <c r="G721" s="5"/>
      <c r="H721" s="306"/>
      <c r="I721" s="306"/>
      <c r="J721" s="5"/>
      <c r="K721" s="5"/>
      <c r="L721" s="5"/>
      <c r="M721" s="5"/>
      <c r="N721" s="5"/>
      <c r="O721" s="5"/>
      <c r="P721" s="5"/>
      <c r="Q721" s="5"/>
      <c r="R721" s="57"/>
      <c r="S721" s="5"/>
      <c r="T721" s="5"/>
      <c r="U721" s="5"/>
      <c r="V721" s="5"/>
      <c r="W721" s="5"/>
      <c r="X721" s="5"/>
      <c r="Y721" s="5"/>
      <c r="Z721" s="5"/>
      <c r="AA721" s="5"/>
      <c r="AB721" s="5"/>
      <c r="AC721" s="5"/>
    </row>
    <row r="722" spans="1:29" ht="12.75" customHeight="1">
      <c r="A722" s="5"/>
      <c r="B722" s="5"/>
      <c r="C722" s="5"/>
      <c r="D722" s="5"/>
      <c r="E722" s="5"/>
      <c r="F722" s="5"/>
      <c r="G722" s="5"/>
      <c r="H722" s="306"/>
      <c r="I722" s="306"/>
      <c r="J722" s="5"/>
      <c r="K722" s="5"/>
      <c r="L722" s="5"/>
      <c r="M722" s="5"/>
      <c r="N722" s="5"/>
      <c r="O722" s="5"/>
      <c r="P722" s="5"/>
      <c r="Q722" s="5"/>
      <c r="R722" s="57"/>
      <c r="S722" s="5"/>
      <c r="T722" s="5"/>
      <c r="U722" s="5"/>
      <c r="V722" s="5"/>
      <c r="W722" s="5"/>
      <c r="X722" s="5"/>
      <c r="Y722" s="5"/>
      <c r="Z722" s="5"/>
      <c r="AA722" s="5"/>
      <c r="AB722" s="5"/>
      <c r="AC722" s="5"/>
    </row>
    <row r="723" spans="1:29" ht="12.75" customHeight="1">
      <c r="A723" s="5"/>
      <c r="B723" s="5"/>
      <c r="C723" s="5"/>
      <c r="D723" s="5"/>
      <c r="E723" s="5"/>
      <c r="F723" s="5"/>
      <c r="G723" s="5"/>
      <c r="H723" s="306"/>
      <c r="I723" s="306"/>
      <c r="J723" s="5"/>
      <c r="K723" s="5"/>
      <c r="L723" s="5"/>
      <c r="M723" s="5"/>
      <c r="N723" s="5"/>
      <c r="O723" s="5"/>
      <c r="P723" s="5"/>
      <c r="Q723" s="5"/>
      <c r="R723" s="57"/>
      <c r="S723" s="5"/>
      <c r="T723" s="5"/>
      <c r="U723" s="5"/>
      <c r="V723" s="5"/>
      <c r="W723" s="5"/>
      <c r="X723" s="5"/>
      <c r="Y723" s="5"/>
      <c r="Z723" s="5"/>
      <c r="AA723" s="5"/>
      <c r="AB723" s="5"/>
      <c r="AC723" s="5"/>
    </row>
    <row r="724" spans="1:29" ht="12.75" customHeight="1">
      <c r="A724" s="5"/>
      <c r="B724" s="5"/>
      <c r="C724" s="5"/>
      <c r="D724" s="5"/>
      <c r="E724" s="5"/>
      <c r="F724" s="5"/>
      <c r="G724" s="5"/>
      <c r="H724" s="306"/>
      <c r="I724" s="306"/>
      <c r="J724" s="5"/>
      <c r="K724" s="5"/>
      <c r="L724" s="5"/>
      <c r="M724" s="5"/>
      <c r="N724" s="5"/>
      <c r="O724" s="5"/>
      <c r="P724" s="5"/>
      <c r="Q724" s="5"/>
      <c r="R724" s="57"/>
      <c r="S724" s="5"/>
      <c r="T724" s="5"/>
      <c r="U724" s="5"/>
      <c r="V724" s="5"/>
      <c r="W724" s="5"/>
      <c r="X724" s="5"/>
      <c r="Y724" s="5"/>
      <c r="Z724" s="5"/>
      <c r="AA724" s="5"/>
      <c r="AB724" s="5"/>
      <c r="AC724" s="5"/>
    </row>
    <row r="725" spans="1:29" ht="12.75" customHeight="1">
      <c r="A725" s="5"/>
      <c r="B725" s="5"/>
      <c r="C725" s="5"/>
      <c r="D725" s="5"/>
      <c r="E725" s="5"/>
      <c r="F725" s="5"/>
      <c r="G725" s="5"/>
      <c r="H725" s="306"/>
      <c r="I725" s="306"/>
      <c r="J725" s="5"/>
      <c r="K725" s="5"/>
      <c r="L725" s="5"/>
      <c r="M725" s="5"/>
      <c r="N725" s="5"/>
      <c r="O725" s="5"/>
      <c r="P725" s="5"/>
      <c r="Q725" s="5"/>
      <c r="R725" s="57"/>
      <c r="S725" s="5"/>
      <c r="T725" s="5"/>
      <c r="U725" s="5"/>
      <c r="V725" s="5"/>
      <c r="W725" s="5"/>
      <c r="X725" s="5"/>
      <c r="Y725" s="5"/>
      <c r="Z725" s="5"/>
      <c r="AA725" s="5"/>
      <c r="AB725" s="5"/>
      <c r="AC725" s="5"/>
    </row>
    <row r="726" spans="1:29" ht="12.75" customHeight="1">
      <c r="A726" s="5"/>
      <c r="B726" s="5"/>
      <c r="C726" s="5"/>
      <c r="D726" s="5"/>
      <c r="E726" s="5"/>
      <c r="F726" s="5"/>
      <c r="G726" s="5"/>
      <c r="H726" s="306"/>
      <c r="I726" s="306"/>
      <c r="J726" s="5"/>
      <c r="K726" s="5"/>
      <c r="L726" s="5"/>
      <c r="M726" s="5"/>
      <c r="N726" s="5"/>
      <c r="O726" s="5"/>
      <c r="P726" s="5"/>
      <c r="Q726" s="5"/>
      <c r="R726" s="57"/>
      <c r="S726" s="5"/>
      <c r="T726" s="5"/>
      <c r="U726" s="5"/>
      <c r="V726" s="5"/>
      <c r="W726" s="5"/>
      <c r="X726" s="5"/>
      <c r="Y726" s="5"/>
      <c r="Z726" s="5"/>
      <c r="AA726" s="5"/>
      <c r="AB726" s="5"/>
      <c r="AC726" s="5"/>
    </row>
    <row r="727" spans="1:29" ht="12.75" customHeight="1">
      <c r="A727" s="5"/>
      <c r="B727" s="5"/>
      <c r="C727" s="5"/>
      <c r="D727" s="5"/>
      <c r="E727" s="5"/>
      <c r="F727" s="5"/>
      <c r="G727" s="5"/>
      <c r="H727" s="306"/>
      <c r="I727" s="306"/>
      <c r="J727" s="5"/>
      <c r="K727" s="5"/>
      <c r="L727" s="5"/>
      <c r="M727" s="5"/>
      <c r="N727" s="5"/>
      <c r="O727" s="5"/>
      <c r="P727" s="5"/>
      <c r="Q727" s="5"/>
      <c r="R727" s="57"/>
      <c r="S727" s="5"/>
      <c r="T727" s="5"/>
      <c r="U727" s="5"/>
      <c r="V727" s="5"/>
      <c r="W727" s="5"/>
      <c r="X727" s="5"/>
      <c r="Y727" s="5"/>
      <c r="Z727" s="5"/>
      <c r="AA727" s="5"/>
      <c r="AB727" s="5"/>
      <c r="AC727" s="5"/>
    </row>
    <row r="728" spans="1:29" ht="12.75" customHeight="1">
      <c r="A728" s="5"/>
      <c r="B728" s="5"/>
      <c r="C728" s="5"/>
      <c r="D728" s="5"/>
      <c r="E728" s="5"/>
      <c r="F728" s="5"/>
      <c r="G728" s="5"/>
      <c r="H728" s="306"/>
      <c r="I728" s="306"/>
      <c r="J728" s="5"/>
      <c r="K728" s="5"/>
      <c r="L728" s="5"/>
      <c r="M728" s="5"/>
      <c r="N728" s="5"/>
      <c r="O728" s="5"/>
      <c r="P728" s="5"/>
      <c r="Q728" s="5"/>
      <c r="R728" s="57"/>
      <c r="S728" s="5"/>
      <c r="T728" s="5"/>
      <c r="U728" s="5"/>
      <c r="V728" s="5"/>
      <c r="W728" s="5"/>
      <c r="X728" s="5"/>
      <c r="Y728" s="5"/>
      <c r="Z728" s="5"/>
      <c r="AA728" s="5"/>
      <c r="AB728" s="5"/>
      <c r="AC728" s="5"/>
    </row>
    <row r="729" spans="1:29" ht="12.75" customHeight="1">
      <c r="A729" s="5"/>
      <c r="B729" s="5"/>
      <c r="C729" s="5"/>
      <c r="D729" s="5"/>
      <c r="E729" s="5"/>
      <c r="F729" s="5"/>
      <c r="G729" s="5"/>
      <c r="H729" s="306"/>
      <c r="I729" s="306"/>
      <c r="J729" s="5"/>
      <c r="K729" s="5"/>
      <c r="L729" s="5"/>
      <c r="M729" s="5"/>
      <c r="N729" s="5"/>
      <c r="O729" s="5"/>
      <c r="P729" s="5"/>
      <c r="Q729" s="5"/>
      <c r="R729" s="57"/>
      <c r="S729" s="5"/>
      <c r="T729" s="5"/>
      <c r="U729" s="5"/>
      <c r="V729" s="5"/>
      <c r="W729" s="5"/>
      <c r="X729" s="5"/>
      <c r="Y729" s="5"/>
      <c r="Z729" s="5"/>
      <c r="AA729" s="5"/>
      <c r="AB729" s="5"/>
      <c r="AC729" s="5"/>
    </row>
    <row r="730" spans="1:29" ht="12.75" customHeight="1">
      <c r="A730" s="5"/>
      <c r="B730" s="5"/>
      <c r="C730" s="5"/>
      <c r="D730" s="5"/>
      <c r="E730" s="5"/>
      <c r="F730" s="5"/>
      <c r="G730" s="5"/>
      <c r="H730" s="306"/>
      <c r="I730" s="306"/>
      <c r="J730" s="5"/>
      <c r="K730" s="5"/>
      <c r="L730" s="5"/>
      <c r="M730" s="5"/>
      <c r="N730" s="5"/>
      <c r="O730" s="5"/>
      <c r="P730" s="5"/>
      <c r="Q730" s="5"/>
      <c r="R730" s="57"/>
      <c r="S730" s="5"/>
      <c r="T730" s="5"/>
      <c r="U730" s="5"/>
      <c r="V730" s="5"/>
      <c r="W730" s="5"/>
      <c r="X730" s="5"/>
      <c r="Y730" s="5"/>
      <c r="Z730" s="5"/>
      <c r="AA730" s="5"/>
      <c r="AB730" s="5"/>
      <c r="AC730" s="5"/>
    </row>
    <row r="731" spans="1:29" ht="12.75" customHeight="1">
      <c r="A731" s="5"/>
      <c r="B731" s="5"/>
      <c r="C731" s="5"/>
      <c r="D731" s="5"/>
      <c r="E731" s="5"/>
      <c r="F731" s="5"/>
      <c r="G731" s="5"/>
      <c r="H731" s="306"/>
      <c r="I731" s="306"/>
      <c r="J731" s="5"/>
      <c r="K731" s="5"/>
      <c r="L731" s="5"/>
      <c r="M731" s="5"/>
      <c r="N731" s="5"/>
      <c r="O731" s="5"/>
      <c r="P731" s="5"/>
      <c r="Q731" s="5"/>
      <c r="R731" s="57"/>
      <c r="S731" s="5"/>
      <c r="T731" s="5"/>
      <c r="U731" s="5"/>
      <c r="V731" s="5"/>
      <c r="W731" s="5"/>
      <c r="X731" s="5"/>
      <c r="Y731" s="5"/>
      <c r="Z731" s="5"/>
      <c r="AA731" s="5"/>
      <c r="AB731" s="5"/>
      <c r="AC731" s="5"/>
    </row>
    <row r="732" spans="1:29" ht="12.75" customHeight="1">
      <c r="A732" s="5"/>
      <c r="B732" s="5"/>
      <c r="C732" s="5"/>
      <c r="D732" s="5"/>
      <c r="E732" s="5"/>
      <c r="F732" s="5"/>
      <c r="G732" s="5"/>
      <c r="H732" s="306"/>
      <c r="I732" s="306"/>
      <c r="J732" s="5"/>
      <c r="K732" s="5"/>
      <c r="L732" s="5"/>
      <c r="M732" s="5"/>
      <c r="N732" s="5"/>
      <c r="O732" s="5"/>
      <c r="P732" s="5"/>
      <c r="Q732" s="5"/>
      <c r="R732" s="57"/>
      <c r="S732" s="5"/>
      <c r="T732" s="5"/>
      <c r="U732" s="5"/>
      <c r="V732" s="5"/>
      <c r="W732" s="5"/>
      <c r="X732" s="5"/>
      <c r="Y732" s="5"/>
      <c r="Z732" s="5"/>
      <c r="AA732" s="5"/>
      <c r="AB732" s="5"/>
      <c r="AC732" s="5"/>
    </row>
    <row r="733" spans="1:29" ht="12.75" customHeight="1">
      <c r="A733" s="5"/>
      <c r="B733" s="5"/>
      <c r="C733" s="5"/>
      <c r="D733" s="5"/>
      <c r="E733" s="5"/>
      <c r="F733" s="5"/>
      <c r="G733" s="5"/>
      <c r="H733" s="306"/>
      <c r="I733" s="306"/>
      <c r="J733" s="5"/>
      <c r="K733" s="5"/>
      <c r="L733" s="5"/>
      <c r="M733" s="5"/>
      <c r="N733" s="5"/>
      <c r="O733" s="5"/>
      <c r="P733" s="5"/>
      <c r="Q733" s="5"/>
      <c r="R733" s="57"/>
      <c r="S733" s="5"/>
      <c r="T733" s="5"/>
      <c r="U733" s="5"/>
      <c r="V733" s="5"/>
      <c r="W733" s="5"/>
      <c r="X733" s="5"/>
      <c r="Y733" s="5"/>
      <c r="Z733" s="5"/>
      <c r="AA733" s="5"/>
      <c r="AB733" s="5"/>
      <c r="AC733" s="5"/>
    </row>
    <row r="734" spans="1:29" ht="12.75" customHeight="1">
      <c r="A734" s="5"/>
      <c r="B734" s="5"/>
      <c r="C734" s="5"/>
      <c r="D734" s="5"/>
      <c r="E734" s="5"/>
      <c r="F734" s="5"/>
      <c r="G734" s="5"/>
      <c r="H734" s="306"/>
      <c r="I734" s="306"/>
      <c r="J734" s="5"/>
      <c r="K734" s="5"/>
      <c r="L734" s="5"/>
      <c r="M734" s="5"/>
      <c r="N734" s="5"/>
      <c r="O734" s="5"/>
      <c r="P734" s="5"/>
      <c r="Q734" s="5"/>
      <c r="R734" s="57"/>
      <c r="S734" s="5"/>
      <c r="T734" s="5"/>
      <c r="U734" s="5"/>
      <c r="V734" s="5"/>
      <c r="W734" s="5"/>
      <c r="X734" s="5"/>
      <c r="Y734" s="5"/>
      <c r="Z734" s="5"/>
      <c r="AA734" s="5"/>
      <c r="AB734" s="5"/>
      <c r="AC734" s="5"/>
    </row>
    <row r="735" spans="1:29" ht="12.75" customHeight="1">
      <c r="A735" s="5"/>
      <c r="B735" s="5"/>
      <c r="C735" s="5"/>
      <c r="D735" s="5"/>
      <c r="E735" s="5"/>
      <c r="F735" s="5"/>
      <c r="G735" s="5"/>
      <c r="H735" s="306"/>
      <c r="I735" s="306"/>
      <c r="J735" s="5"/>
      <c r="K735" s="5"/>
      <c r="L735" s="5"/>
      <c r="M735" s="5"/>
      <c r="N735" s="5"/>
      <c r="O735" s="5"/>
      <c r="P735" s="5"/>
      <c r="Q735" s="5"/>
      <c r="R735" s="57"/>
      <c r="S735" s="5"/>
      <c r="T735" s="5"/>
      <c r="U735" s="5"/>
      <c r="V735" s="5"/>
      <c r="W735" s="5"/>
      <c r="X735" s="5"/>
      <c r="Y735" s="5"/>
      <c r="Z735" s="5"/>
      <c r="AA735" s="5"/>
      <c r="AB735" s="5"/>
      <c r="AC735" s="5"/>
    </row>
    <row r="736" spans="1:29" ht="12.75" customHeight="1">
      <c r="A736" s="5"/>
      <c r="B736" s="5"/>
      <c r="C736" s="5"/>
      <c r="D736" s="5"/>
      <c r="E736" s="5"/>
      <c r="F736" s="5"/>
      <c r="G736" s="5"/>
      <c r="H736" s="306"/>
      <c r="I736" s="306"/>
      <c r="J736" s="5"/>
      <c r="K736" s="5"/>
      <c r="L736" s="5"/>
      <c r="M736" s="5"/>
      <c r="N736" s="5"/>
      <c r="O736" s="5"/>
      <c r="P736" s="5"/>
      <c r="Q736" s="5"/>
      <c r="R736" s="57"/>
      <c r="S736" s="5"/>
      <c r="T736" s="5"/>
      <c r="U736" s="5"/>
      <c r="V736" s="5"/>
      <c r="W736" s="5"/>
      <c r="X736" s="5"/>
      <c r="Y736" s="5"/>
      <c r="Z736" s="5"/>
      <c r="AA736" s="5"/>
      <c r="AB736" s="5"/>
      <c r="AC736" s="5"/>
    </row>
    <row r="737" spans="1:29" ht="12.75" customHeight="1">
      <c r="A737" s="5"/>
      <c r="B737" s="5"/>
      <c r="C737" s="5"/>
      <c r="D737" s="5"/>
      <c r="E737" s="5"/>
      <c r="F737" s="5"/>
      <c r="G737" s="5"/>
      <c r="H737" s="306"/>
      <c r="I737" s="306"/>
      <c r="J737" s="5"/>
      <c r="K737" s="5"/>
      <c r="L737" s="5"/>
      <c r="M737" s="5"/>
      <c r="N737" s="5"/>
      <c r="O737" s="5"/>
      <c r="P737" s="5"/>
      <c r="Q737" s="5"/>
      <c r="R737" s="57"/>
      <c r="S737" s="5"/>
      <c r="T737" s="5"/>
      <c r="U737" s="5"/>
      <c r="V737" s="5"/>
      <c r="W737" s="5"/>
      <c r="X737" s="5"/>
      <c r="Y737" s="5"/>
      <c r="Z737" s="5"/>
      <c r="AA737" s="5"/>
      <c r="AB737" s="5"/>
      <c r="AC737" s="5"/>
    </row>
    <row r="738" spans="1:29" ht="12.75" customHeight="1">
      <c r="A738" s="5"/>
      <c r="B738" s="5"/>
      <c r="C738" s="5"/>
      <c r="D738" s="5"/>
      <c r="E738" s="5"/>
      <c r="F738" s="5"/>
      <c r="G738" s="5"/>
      <c r="H738" s="306"/>
      <c r="I738" s="306"/>
      <c r="J738" s="5"/>
      <c r="K738" s="5"/>
      <c r="L738" s="5"/>
      <c r="M738" s="5"/>
      <c r="N738" s="5"/>
      <c r="O738" s="5"/>
      <c r="P738" s="5"/>
      <c r="Q738" s="5"/>
      <c r="R738" s="57"/>
      <c r="S738" s="5"/>
      <c r="T738" s="5"/>
      <c r="U738" s="5"/>
      <c r="V738" s="5"/>
      <c r="W738" s="5"/>
      <c r="X738" s="5"/>
      <c r="Y738" s="5"/>
      <c r="Z738" s="5"/>
      <c r="AA738" s="5"/>
      <c r="AB738" s="5"/>
      <c r="AC738" s="5"/>
    </row>
    <row r="739" spans="1:29" ht="12.75" customHeight="1">
      <c r="A739" s="5"/>
      <c r="B739" s="5"/>
      <c r="C739" s="5"/>
      <c r="D739" s="5"/>
      <c r="E739" s="5"/>
      <c r="F739" s="5"/>
      <c r="G739" s="5"/>
      <c r="H739" s="306"/>
      <c r="I739" s="306"/>
      <c r="J739" s="5"/>
      <c r="K739" s="5"/>
      <c r="L739" s="5"/>
      <c r="M739" s="5"/>
      <c r="N739" s="5"/>
      <c r="O739" s="5"/>
      <c r="P739" s="5"/>
      <c r="Q739" s="5"/>
      <c r="R739" s="57"/>
      <c r="S739" s="5"/>
      <c r="T739" s="5"/>
      <c r="U739" s="5"/>
      <c r="V739" s="5"/>
      <c r="W739" s="5"/>
      <c r="X739" s="5"/>
      <c r="Y739" s="5"/>
      <c r="Z739" s="5"/>
      <c r="AA739" s="5"/>
      <c r="AB739" s="5"/>
      <c r="AC739" s="5"/>
    </row>
    <row r="740" spans="1:29" ht="12.75" customHeight="1">
      <c r="A740" s="5"/>
      <c r="B740" s="5"/>
      <c r="C740" s="5"/>
      <c r="D740" s="5"/>
      <c r="E740" s="5"/>
      <c r="F740" s="5"/>
      <c r="G740" s="5"/>
      <c r="H740" s="306"/>
      <c r="I740" s="306"/>
      <c r="J740" s="5"/>
      <c r="K740" s="5"/>
      <c r="L740" s="5"/>
      <c r="M740" s="5"/>
      <c r="N740" s="5"/>
      <c r="O740" s="5"/>
      <c r="P740" s="5"/>
      <c r="Q740" s="5"/>
      <c r="R740" s="57"/>
      <c r="S740" s="5"/>
      <c r="T740" s="5"/>
      <c r="U740" s="5"/>
      <c r="V740" s="5"/>
      <c r="W740" s="5"/>
      <c r="X740" s="5"/>
      <c r="Y740" s="5"/>
      <c r="Z740" s="5"/>
      <c r="AA740" s="5"/>
      <c r="AB740" s="5"/>
      <c r="AC740" s="5"/>
    </row>
    <row r="741" spans="1:29" ht="12.75" customHeight="1">
      <c r="A741" s="5"/>
      <c r="B741" s="5"/>
      <c r="C741" s="5"/>
      <c r="D741" s="5"/>
      <c r="E741" s="5"/>
      <c r="F741" s="5"/>
      <c r="G741" s="5"/>
      <c r="H741" s="306"/>
      <c r="I741" s="306"/>
      <c r="J741" s="5"/>
      <c r="K741" s="5"/>
      <c r="L741" s="5"/>
      <c r="M741" s="5"/>
      <c r="N741" s="5"/>
      <c r="O741" s="5"/>
      <c r="P741" s="5"/>
      <c r="Q741" s="5"/>
      <c r="R741" s="57"/>
      <c r="S741" s="5"/>
      <c r="T741" s="5"/>
      <c r="U741" s="5"/>
      <c r="V741" s="5"/>
      <c r="W741" s="5"/>
      <c r="X741" s="5"/>
      <c r="Y741" s="5"/>
      <c r="Z741" s="5"/>
      <c r="AA741" s="5"/>
      <c r="AB741" s="5"/>
      <c r="AC741" s="5"/>
    </row>
    <row r="742" spans="1:29" ht="12.75" customHeight="1">
      <c r="A742" s="5"/>
      <c r="B742" s="5"/>
      <c r="C742" s="5"/>
      <c r="D742" s="5"/>
      <c r="E742" s="5"/>
      <c r="F742" s="5"/>
      <c r="G742" s="5"/>
      <c r="H742" s="306"/>
      <c r="I742" s="306"/>
      <c r="J742" s="5"/>
      <c r="K742" s="5"/>
      <c r="L742" s="5"/>
      <c r="M742" s="5"/>
      <c r="N742" s="5"/>
      <c r="O742" s="5"/>
      <c r="P742" s="5"/>
      <c r="Q742" s="5"/>
      <c r="R742" s="57"/>
      <c r="S742" s="5"/>
      <c r="T742" s="5"/>
      <c r="U742" s="5"/>
      <c r="V742" s="5"/>
      <c r="W742" s="5"/>
      <c r="X742" s="5"/>
      <c r="Y742" s="5"/>
      <c r="Z742" s="5"/>
      <c r="AA742" s="5"/>
      <c r="AB742" s="5"/>
      <c r="AC742" s="5"/>
    </row>
    <row r="743" spans="1:29" ht="12.75" customHeight="1">
      <c r="A743" s="5"/>
      <c r="B743" s="5"/>
      <c r="C743" s="5"/>
      <c r="D743" s="5"/>
      <c r="E743" s="5"/>
      <c r="F743" s="5"/>
      <c r="G743" s="5"/>
      <c r="H743" s="306"/>
      <c r="I743" s="306"/>
      <c r="J743" s="5"/>
      <c r="K743" s="5"/>
      <c r="L743" s="5"/>
      <c r="M743" s="5"/>
      <c r="N743" s="5"/>
      <c r="O743" s="5"/>
      <c r="P743" s="5"/>
      <c r="Q743" s="5"/>
      <c r="R743" s="57"/>
      <c r="S743" s="5"/>
      <c r="T743" s="5"/>
      <c r="U743" s="5"/>
      <c r="V743" s="5"/>
      <c r="W743" s="5"/>
      <c r="X743" s="5"/>
      <c r="Y743" s="5"/>
      <c r="Z743" s="5"/>
      <c r="AA743" s="5"/>
      <c r="AB743" s="5"/>
      <c r="AC743" s="5"/>
    </row>
    <row r="744" spans="1:29" ht="12.75" customHeight="1">
      <c r="A744" s="5"/>
      <c r="B744" s="5"/>
      <c r="C744" s="5"/>
      <c r="D744" s="5"/>
      <c r="E744" s="5"/>
      <c r="F744" s="5"/>
      <c r="G744" s="5"/>
      <c r="H744" s="306"/>
      <c r="I744" s="306"/>
      <c r="J744" s="5"/>
      <c r="K744" s="5"/>
      <c r="L744" s="5"/>
      <c r="M744" s="5"/>
      <c r="N744" s="5"/>
      <c r="O744" s="5"/>
      <c r="P744" s="5"/>
      <c r="Q744" s="5"/>
      <c r="R744" s="57"/>
      <c r="S744" s="5"/>
      <c r="T744" s="5"/>
      <c r="U744" s="5"/>
      <c r="V744" s="5"/>
      <c r="W744" s="5"/>
      <c r="X744" s="5"/>
      <c r="Y744" s="5"/>
      <c r="Z744" s="5"/>
      <c r="AA744" s="5"/>
      <c r="AB744" s="5"/>
      <c r="AC744" s="5"/>
    </row>
    <row r="745" spans="1:29" ht="12.75" customHeight="1">
      <c r="A745" s="5"/>
      <c r="B745" s="5"/>
      <c r="C745" s="5"/>
      <c r="D745" s="5"/>
      <c r="E745" s="5"/>
      <c r="F745" s="5"/>
      <c r="G745" s="5"/>
      <c r="H745" s="306"/>
      <c r="I745" s="306"/>
      <c r="J745" s="5"/>
      <c r="K745" s="5"/>
      <c r="L745" s="5"/>
      <c r="M745" s="5"/>
      <c r="N745" s="5"/>
      <c r="O745" s="5"/>
      <c r="P745" s="5"/>
      <c r="Q745" s="5"/>
      <c r="R745" s="57"/>
      <c r="S745" s="5"/>
      <c r="T745" s="5"/>
      <c r="U745" s="5"/>
      <c r="V745" s="5"/>
      <c r="W745" s="5"/>
      <c r="X745" s="5"/>
      <c r="Y745" s="5"/>
      <c r="Z745" s="5"/>
      <c r="AA745" s="5"/>
      <c r="AB745" s="5"/>
      <c r="AC745" s="5"/>
    </row>
    <row r="746" spans="1:29" ht="12.75" customHeight="1">
      <c r="A746" s="5"/>
      <c r="B746" s="5"/>
      <c r="C746" s="5"/>
      <c r="D746" s="5"/>
      <c r="E746" s="5"/>
      <c r="F746" s="5"/>
      <c r="G746" s="5"/>
      <c r="H746" s="306"/>
      <c r="I746" s="306"/>
      <c r="J746" s="5"/>
      <c r="K746" s="5"/>
      <c r="L746" s="5"/>
      <c r="M746" s="5"/>
      <c r="N746" s="5"/>
      <c r="O746" s="5"/>
      <c r="P746" s="5"/>
      <c r="Q746" s="5"/>
      <c r="R746" s="57"/>
      <c r="S746" s="5"/>
      <c r="T746" s="5"/>
      <c r="U746" s="5"/>
      <c r="V746" s="5"/>
      <c r="W746" s="5"/>
      <c r="X746" s="5"/>
      <c r="Y746" s="5"/>
      <c r="Z746" s="5"/>
      <c r="AA746" s="5"/>
      <c r="AB746" s="5"/>
      <c r="AC746" s="5"/>
    </row>
    <row r="747" spans="1:29" ht="12.75" customHeight="1">
      <c r="A747" s="5"/>
      <c r="B747" s="5"/>
      <c r="C747" s="5"/>
      <c r="D747" s="5"/>
      <c r="E747" s="5"/>
      <c r="F747" s="5"/>
      <c r="G747" s="5"/>
      <c r="H747" s="306"/>
      <c r="I747" s="306"/>
      <c r="J747" s="5"/>
      <c r="K747" s="5"/>
      <c r="L747" s="5"/>
      <c r="M747" s="5"/>
      <c r="N747" s="5"/>
      <c r="O747" s="5"/>
      <c r="P747" s="5"/>
      <c r="Q747" s="5"/>
      <c r="R747" s="57"/>
      <c r="S747" s="5"/>
      <c r="T747" s="5"/>
      <c r="U747" s="5"/>
      <c r="V747" s="5"/>
      <c r="W747" s="5"/>
      <c r="X747" s="5"/>
      <c r="Y747" s="5"/>
      <c r="Z747" s="5"/>
      <c r="AA747" s="5"/>
      <c r="AB747" s="5"/>
      <c r="AC747" s="5"/>
    </row>
    <row r="748" spans="1:29" ht="12.75" customHeight="1">
      <c r="A748" s="5"/>
      <c r="B748" s="5"/>
      <c r="C748" s="5"/>
      <c r="D748" s="5"/>
      <c r="E748" s="5"/>
      <c r="F748" s="5"/>
      <c r="G748" s="5"/>
      <c r="H748" s="306"/>
      <c r="I748" s="306"/>
      <c r="J748" s="5"/>
      <c r="K748" s="5"/>
      <c r="L748" s="5"/>
      <c r="M748" s="5"/>
      <c r="N748" s="5"/>
      <c r="O748" s="5"/>
      <c r="P748" s="5"/>
      <c r="Q748" s="5"/>
      <c r="R748" s="57"/>
      <c r="S748" s="5"/>
      <c r="T748" s="5"/>
      <c r="U748" s="5"/>
      <c r="V748" s="5"/>
      <c r="W748" s="5"/>
      <c r="X748" s="5"/>
      <c r="Y748" s="5"/>
      <c r="Z748" s="5"/>
      <c r="AA748" s="5"/>
      <c r="AB748" s="5"/>
      <c r="AC748" s="5"/>
    </row>
    <row r="749" spans="1:29" ht="12.75" customHeight="1">
      <c r="A749" s="5"/>
      <c r="B749" s="5"/>
      <c r="C749" s="5"/>
      <c r="D749" s="5"/>
      <c r="E749" s="5"/>
      <c r="F749" s="5"/>
      <c r="G749" s="5"/>
      <c r="H749" s="306"/>
      <c r="I749" s="306"/>
      <c r="J749" s="5"/>
      <c r="K749" s="5"/>
      <c r="L749" s="5"/>
      <c r="M749" s="5"/>
      <c r="N749" s="5"/>
      <c r="O749" s="5"/>
      <c r="P749" s="5"/>
      <c r="Q749" s="5"/>
      <c r="R749" s="57"/>
      <c r="S749" s="5"/>
      <c r="T749" s="5"/>
      <c r="U749" s="5"/>
      <c r="V749" s="5"/>
      <c r="W749" s="5"/>
      <c r="X749" s="5"/>
      <c r="Y749" s="5"/>
      <c r="Z749" s="5"/>
      <c r="AA749" s="5"/>
      <c r="AB749" s="5"/>
      <c r="AC749" s="5"/>
    </row>
    <row r="750" spans="1:29" ht="12.75" customHeight="1">
      <c r="A750" s="5"/>
      <c r="B750" s="5"/>
      <c r="C750" s="5"/>
      <c r="D750" s="5"/>
      <c r="E750" s="5"/>
      <c r="F750" s="5"/>
      <c r="G750" s="5"/>
      <c r="H750" s="306"/>
      <c r="I750" s="306"/>
      <c r="J750" s="5"/>
      <c r="K750" s="5"/>
      <c r="L750" s="5"/>
      <c r="M750" s="5"/>
      <c r="N750" s="5"/>
      <c r="O750" s="5"/>
      <c r="P750" s="5"/>
      <c r="Q750" s="5"/>
      <c r="R750" s="57"/>
      <c r="S750" s="5"/>
      <c r="T750" s="5"/>
      <c r="U750" s="5"/>
      <c r="V750" s="5"/>
      <c r="W750" s="5"/>
      <c r="X750" s="5"/>
      <c r="Y750" s="5"/>
      <c r="Z750" s="5"/>
      <c r="AA750" s="5"/>
      <c r="AB750" s="5"/>
      <c r="AC750" s="5"/>
    </row>
    <row r="751" spans="1:29" ht="12.75" customHeight="1">
      <c r="A751" s="5"/>
      <c r="B751" s="5"/>
      <c r="C751" s="5"/>
      <c r="D751" s="5"/>
      <c r="E751" s="5"/>
      <c r="F751" s="5"/>
      <c r="G751" s="5"/>
      <c r="H751" s="306"/>
      <c r="I751" s="306"/>
      <c r="J751" s="5"/>
      <c r="K751" s="5"/>
      <c r="L751" s="5"/>
      <c r="M751" s="5"/>
      <c r="N751" s="5"/>
      <c r="O751" s="5"/>
      <c r="P751" s="5"/>
      <c r="Q751" s="5"/>
      <c r="R751" s="57"/>
      <c r="S751" s="5"/>
      <c r="T751" s="5"/>
      <c r="U751" s="5"/>
      <c r="V751" s="5"/>
      <c r="W751" s="5"/>
      <c r="X751" s="5"/>
      <c r="Y751" s="5"/>
      <c r="Z751" s="5"/>
      <c r="AA751" s="5"/>
      <c r="AB751" s="5"/>
      <c r="AC751" s="5"/>
    </row>
    <row r="752" spans="1:29" ht="12.75" customHeight="1">
      <c r="A752" s="5"/>
      <c r="B752" s="5"/>
      <c r="C752" s="5"/>
      <c r="D752" s="5"/>
      <c r="E752" s="5"/>
      <c r="F752" s="5"/>
      <c r="G752" s="5"/>
      <c r="H752" s="306"/>
      <c r="I752" s="306"/>
      <c r="J752" s="5"/>
      <c r="K752" s="5"/>
      <c r="L752" s="5"/>
      <c r="M752" s="5"/>
      <c r="N752" s="5"/>
      <c r="O752" s="5"/>
      <c r="P752" s="5"/>
      <c r="Q752" s="5"/>
      <c r="R752" s="57"/>
      <c r="S752" s="5"/>
      <c r="T752" s="5"/>
      <c r="U752" s="5"/>
      <c r="V752" s="5"/>
      <c r="W752" s="5"/>
      <c r="X752" s="5"/>
      <c r="Y752" s="5"/>
      <c r="Z752" s="5"/>
      <c r="AA752" s="5"/>
      <c r="AB752" s="5"/>
      <c r="AC752" s="5"/>
    </row>
    <row r="753" spans="1:29" ht="12.75" customHeight="1">
      <c r="A753" s="5"/>
      <c r="B753" s="5"/>
      <c r="C753" s="5"/>
      <c r="D753" s="5"/>
      <c r="E753" s="5"/>
      <c r="F753" s="5"/>
      <c r="G753" s="5"/>
      <c r="H753" s="306"/>
      <c r="I753" s="306"/>
      <c r="J753" s="5"/>
      <c r="K753" s="5"/>
      <c r="L753" s="5"/>
      <c r="M753" s="5"/>
      <c r="N753" s="5"/>
      <c r="O753" s="5"/>
      <c r="P753" s="5"/>
      <c r="Q753" s="5"/>
      <c r="R753" s="57"/>
      <c r="S753" s="5"/>
      <c r="T753" s="5"/>
      <c r="U753" s="5"/>
      <c r="V753" s="5"/>
      <c r="W753" s="5"/>
      <c r="X753" s="5"/>
      <c r="Y753" s="5"/>
      <c r="Z753" s="5"/>
      <c r="AA753" s="5"/>
      <c r="AB753" s="5"/>
      <c r="AC753" s="5"/>
    </row>
    <row r="754" spans="1:29" ht="12.75" customHeight="1">
      <c r="A754" s="5"/>
      <c r="B754" s="5"/>
      <c r="C754" s="5"/>
      <c r="D754" s="5"/>
      <c r="E754" s="5"/>
      <c r="F754" s="5"/>
      <c r="G754" s="5"/>
      <c r="H754" s="306"/>
      <c r="I754" s="306"/>
      <c r="J754" s="5"/>
      <c r="K754" s="5"/>
      <c r="L754" s="5"/>
      <c r="M754" s="5"/>
      <c r="N754" s="5"/>
      <c r="O754" s="5"/>
      <c r="P754" s="5"/>
      <c r="Q754" s="5"/>
      <c r="R754" s="57"/>
      <c r="S754" s="5"/>
      <c r="T754" s="5"/>
      <c r="U754" s="5"/>
      <c r="V754" s="5"/>
      <c r="W754" s="5"/>
      <c r="X754" s="5"/>
      <c r="Y754" s="5"/>
      <c r="Z754" s="5"/>
      <c r="AA754" s="5"/>
      <c r="AB754" s="5"/>
      <c r="AC754" s="5"/>
    </row>
    <row r="755" spans="1:29" ht="12.75" customHeight="1">
      <c r="A755" s="5"/>
      <c r="B755" s="5"/>
      <c r="C755" s="5"/>
      <c r="D755" s="5"/>
      <c r="E755" s="5"/>
      <c r="F755" s="5"/>
      <c r="G755" s="5"/>
      <c r="H755" s="306"/>
      <c r="I755" s="306"/>
      <c r="J755" s="5"/>
      <c r="K755" s="5"/>
      <c r="L755" s="5"/>
      <c r="M755" s="5"/>
      <c r="N755" s="5"/>
      <c r="O755" s="5"/>
      <c r="P755" s="5"/>
      <c r="Q755" s="5"/>
      <c r="R755" s="57"/>
      <c r="S755" s="5"/>
      <c r="T755" s="5"/>
      <c r="U755" s="5"/>
      <c r="V755" s="5"/>
      <c r="W755" s="5"/>
      <c r="X755" s="5"/>
      <c r="Y755" s="5"/>
      <c r="Z755" s="5"/>
      <c r="AA755" s="5"/>
      <c r="AB755" s="5"/>
      <c r="AC755" s="5"/>
    </row>
    <row r="756" spans="1:29" ht="12.75" customHeight="1">
      <c r="A756" s="5"/>
      <c r="B756" s="5"/>
      <c r="C756" s="5"/>
      <c r="D756" s="5"/>
      <c r="E756" s="5"/>
      <c r="F756" s="5"/>
      <c r="G756" s="5"/>
      <c r="H756" s="306"/>
      <c r="I756" s="306"/>
      <c r="J756" s="5"/>
      <c r="K756" s="5"/>
      <c r="L756" s="5"/>
      <c r="M756" s="5"/>
      <c r="N756" s="5"/>
      <c r="O756" s="5"/>
      <c r="P756" s="5"/>
      <c r="Q756" s="5"/>
      <c r="R756" s="57"/>
      <c r="S756" s="5"/>
      <c r="T756" s="5"/>
      <c r="U756" s="5"/>
      <c r="V756" s="5"/>
      <c r="W756" s="5"/>
      <c r="X756" s="5"/>
      <c r="Y756" s="5"/>
      <c r="Z756" s="5"/>
      <c r="AA756" s="5"/>
      <c r="AB756" s="5"/>
      <c r="AC756" s="5"/>
    </row>
    <row r="757" spans="1:29" ht="12.75" customHeight="1">
      <c r="A757" s="5"/>
      <c r="B757" s="5"/>
      <c r="C757" s="5"/>
      <c r="D757" s="5"/>
      <c r="E757" s="5"/>
      <c r="F757" s="5"/>
      <c r="G757" s="5"/>
      <c r="H757" s="306"/>
      <c r="I757" s="306"/>
      <c r="J757" s="5"/>
      <c r="K757" s="5"/>
      <c r="L757" s="5"/>
      <c r="M757" s="5"/>
      <c r="N757" s="5"/>
      <c r="O757" s="5"/>
      <c r="P757" s="5"/>
      <c r="Q757" s="5"/>
      <c r="R757" s="57"/>
      <c r="S757" s="5"/>
      <c r="T757" s="5"/>
      <c r="U757" s="5"/>
      <c r="V757" s="5"/>
      <c r="W757" s="5"/>
      <c r="X757" s="5"/>
      <c r="Y757" s="5"/>
      <c r="Z757" s="5"/>
      <c r="AA757" s="5"/>
      <c r="AB757" s="5"/>
      <c r="AC757" s="5"/>
    </row>
    <row r="758" spans="1:29" ht="12.75" customHeight="1">
      <c r="A758" s="5"/>
      <c r="B758" s="5"/>
      <c r="C758" s="5"/>
      <c r="D758" s="5"/>
      <c r="E758" s="5"/>
      <c r="F758" s="5"/>
      <c r="G758" s="5"/>
      <c r="H758" s="306"/>
      <c r="I758" s="306"/>
      <c r="J758" s="5"/>
      <c r="K758" s="5"/>
      <c r="L758" s="5"/>
      <c r="M758" s="5"/>
      <c r="N758" s="5"/>
      <c r="O758" s="5"/>
      <c r="P758" s="5"/>
      <c r="Q758" s="5"/>
      <c r="R758" s="57"/>
      <c r="S758" s="5"/>
      <c r="T758" s="5"/>
      <c r="U758" s="5"/>
      <c r="V758" s="5"/>
      <c r="W758" s="5"/>
      <c r="X758" s="5"/>
      <c r="Y758" s="5"/>
      <c r="Z758" s="5"/>
      <c r="AA758" s="5"/>
      <c r="AB758" s="5"/>
      <c r="AC758" s="5"/>
    </row>
    <row r="759" spans="1:29" ht="12.75" customHeight="1">
      <c r="A759" s="5"/>
      <c r="B759" s="5"/>
      <c r="C759" s="5"/>
      <c r="D759" s="5"/>
      <c r="E759" s="5"/>
      <c r="F759" s="5"/>
      <c r="G759" s="5"/>
      <c r="H759" s="306"/>
      <c r="I759" s="306"/>
      <c r="J759" s="5"/>
      <c r="K759" s="5"/>
      <c r="L759" s="5"/>
      <c r="M759" s="5"/>
      <c r="N759" s="5"/>
      <c r="O759" s="5"/>
      <c r="P759" s="5"/>
      <c r="Q759" s="5"/>
      <c r="R759" s="57"/>
      <c r="S759" s="5"/>
      <c r="T759" s="5"/>
      <c r="U759" s="5"/>
      <c r="V759" s="5"/>
      <c r="W759" s="5"/>
      <c r="X759" s="5"/>
      <c r="Y759" s="5"/>
      <c r="Z759" s="5"/>
      <c r="AA759" s="5"/>
      <c r="AB759" s="5"/>
      <c r="AC759" s="5"/>
    </row>
    <row r="760" spans="1:29" ht="12.75" customHeight="1">
      <c r="A760" s="5"/>
      <c r="B760" s="5"/>
      <c r="C760" s="5"/>
      <c r="D760" s="5"/>
      <c r="E760" s="5"/>
      <c r="F760" s="5"/>
      <c r="G760" s="5"/>
      <c r="H760" s="306"/>
      <c r="I760" s="306"/>
      <c r="J760" s="5"/>
      <c r="K760" s="5"/>
      <c r="L760" s="5"/>
      <c r="M760" s="5"/>
      <c r="N760" s="5"/>
      <c r="O760" s="5"/>
      <c r="P760" s="5"/>
      <c r="Q760" s="5"/>
      <c r="R760" s="57"/>
      <c r="S760" s="5"/>
      <c r="T760" s="5"/>
      <c r="U760" s="5"/>
      <c r="V760" s="5"/>
      <c r="W760" s="5"/>
      <c r="X760" s="5"/>
      <c r="Y760" s="5"/>
      <c r="Z760" s="5"/>
      <c r="AA760" s="5"/>
      <c r="AB760" s="5"/>
      <c r="AC760" s="5"/>
    </row>
    <row r="761" spans="1:29" ht="12.75" customHeight="1">
      <c r="A761" s="5"/>
      <c r="B761" s="5"/>
      <c r="C761" s="5"/>
      <c r="D761" s="5"/>
      <c r="E761" s="5"/>
      <c r="F761" s="5"/>
      <c r="G761" s="5"/>
      <c r="H761" s="306"/>
      <c r="I761" s="306"/>
      <c r="J761" s="5"/>
      <c r="K761" s="5"/>
      <c r="L761" s="5"/>
      <c r="M761" s="5"/>
      <c r="N761" s="5"/>
      <c r="O761" s="5"/>
      <c r="P761" s="5"/>
      <c r="Q761" s="5"/>
      <c r="R761" s="57"/>
      <c r="S761" s="5"/>
      <c r="T761" s="5"/>
      <c r="U761" s="5"/>
      <c r="V761" s="5"/>
      <c r="W761" s="5"/>
      <c r="X761" s="5"/>
      <c r="Y761" s="5"/>
      <c r="Z761" s="5"/>
      <c r="AA761" s="5"/>
      <c r="AB761" s="5"/>
      <c r="AC761" s="5"/>
    </row>
    <row r="762" spans="1:29" ht="12.75" customHeight="1">
      <c r="A762" s="5"/>
      <c r="B762" s="5"/>
      <c r="C762" s="5"/>
      <c r="D762" s="5"/>
      <c r="E762" s="5"/>
      <c r="F762" s="5"/>
      <c r="G762" s="5"/>
      <c r="H762" s="306"/>
      <c r="I762" s="306"/>
      <c r="J762" s="5"/>
      <c r="K762" s="5"/>
      <c r="L762" s="5"/>
      <c r="M762" s="5"/>
      <c r="N762" s="5"/>
      <c r="O762" s="5"/>
      <c r="P762" s="5"/>
      <c r="Q762" s="5"/>
      <c r="R762" s="57"/>
      <c r="S762" s="5"/>
      <c r="T762" s="5"/>
      <c r="U762" s="5"/>
      <c r="V762" s="5"/>
      <c r="W762" s="5"/>
      <c r="X762" s="5"/>
      <c r="Y762" s="5"/>
      <c r="Z762" s="5"/>
      <c r="AA762" s="5"/>
      <c r="AB762" s="5"/>
      <c r="AC762" s="5"/>
    </row>
    <row r="763" spans="1:29" ht="12.75" customHeight="1">
      <c r="A763" s="5"/>
      <c r="B763" s="5"/>
      <c r="C763" s="5"/>
      <c r="D763" s="5"/>
      <c r="E763" s="5"/>
      <c r="F763" s="5"/>
      <c r="G763" s="5"/>
      <c r="H763" s="306"/>
      <c r="I763" s="306"/>
      <c r="J763" s="5"/>
      <c r="K763" s="5"/>
      <c r="L763" s="5"/>
      <c r="M763" s="5"/>
      <c r="N763" s="5"/>
      <c r="O763" s="5"/>
      <c r="P763" s="5"/>
      <c r="Q763" s="5"/>
      <c r="R763" s="57"/>
      <c r="S763" s="5"/>
      <c r="T763" s="5"/>
      <c r="U763" s="5"/>
      <c r="V763" s="5"/>
      <c r="W763" s="5"/>
      <c r="X763" s="5"/>
      <c r="Y763" s="5"/>
      <c r="Z763" s="5"/>
      <c r="AA763" s="5"/>
      <c r="AB763" s="5"/>
      <c r="AC763" s="5"/>
    </row>
    <row r="764" spans="1:29" ht="12.75" customHeight="1">
      <c r="A764" s="5"/>
      <c r="B764" s="5"/>
      <c r="C764" s="5"/>
      <c r="D764" s="5"/>
      <c r="E764" s="5"/>
      <c r="F764" s="5"/>
      <c r="G764" s="5"/>
      <c r="H764" s="306"/>
      <c r="I764" s="306"/>
      <c r="J764" s="5"/>
      <c r="K764" s="5"/>
      <c r="L764" s="5"/>
      <c r="M764" s="5"/>
      <c r="N764" s="5"/>
      <c r="O764" s="5"/>
      <c r="P764" s="5"/>
      <c r="Q764" s="5"/>
      <c r="R764" s="57"/>
      <c r="S764" s="5"/>
      <c r="T764" s="5"/>
      <c r="U764" s="5"/>
      <c r="V764" s="5"/>
      <c r="W764" s="5"/>
      <c r="X764" s="5"/>
      <c r="Y764" s="5"/>
      <c r="Z764" s="5"/>
      <c r="AA764" s="5"/>
      <c r="AB764" s="5"/>
      <c r="AC764" s="5"/>
    </row>
    <row r="765" spans="1:29" ht="12.75" customHeight="1">
      <c r="A765" s="5"/>
      <c r="B765" s="5"/>
      <c r="C765" s="5"/>
      <c r="D765" s="5"/>
      <c r="E765" s="5"/>
      <c r="F765" s="5"/>
      <c r="G765" s="5"/>
      <c r="H765" s="306"/>
      <c r="I765" s="306"/>
      <c r="J765" s="5"/>
      <c r="K765" s="5"/>
      <c r="L765" s="5"/>
      <c r="M765" s="5"/>
      <c r="N765" s="5"/>
      <c r="O765" s="5"/>
      <c r="P765" s="5"/>
      <c r="Q765" s="5"/>
      <c r="R765" s="57"/>
      <c r="S765" s="5"/>
      <c r="T765" s="5"/>
      <c r="U765" s="5"/>
      <c r="V765" s="5"/>
      <c r="W765" s="5"/>
      <c r="X765" s="5"/>
      <c r="Y765" s="5"/>
      <c r="Z765" s="5"/>
      <c r="AA765" s="5"/>
      <c r="AB765" s="5"/>
      <c r="AC765" s="5"/>
    </row>
    <row r="766" spans="1:29" ht="12.75" customHeight="1">
      <c r="A766" s="5"/>
      <c r="B766" s="5"/>
      <c r="C766" s="5"/>
      <c r="D766" s="5"/>
      <c r="E766" s="5"/>
      <c r="F766" s="5"/>
      <c r="G766" s="5"/>
      <c r="H766" s="306"/>
      <c r="I766" s="306"/>
      <c r="J766" s="5"/>
      <c r="K766" s="5"/>
      <c r="L766" s="5"/>
      <c r="M766" s="5"/>
      <c r="N766" s="5"/>
      <c r="O766" s="5"/>
      <c r="P766" s="5"/>
      <c r="Q766" s="5"/>
      <c r="R766" s="57"/>
      <c r="S766" s="5"/>
      <c r="T766" s="5"/>
      <c r="U766" s="5"/>
      <c r="V766" s="5"/>
      <c r="W766" s="5"/>
      <c r="X766" s="5"/>
      <c r="Y766" s="5"/>
      <c r="Z766" s="5"/>
      <c r="AA766" s="5"/>
      <c r="AB766" s="5"/>
      <c r="AC766" s="5"/>
    </row>
    <row r="767" spans="1:29" ht="12.75" customHeight="1">
      <c r="A767" s="5"/>
      <c r="B767" s="5"/>
      <c r="C767" s="5"/>
      <c r="D767" s="5"/>
      <c r="E767" s="5"/>
      <c r="F767" s="5"/>
      <c r="G767" s="5"/>
      <c r="H767" s="306"/>
      <c r="I767" s="306"/>
      <c r="J767" s="5"/>
      <c r="K767" s="5"/>
      <c r="L767" s="5"/>
      <c r="M767" s="5"/>
      <c r="N767" s="5"/>
      <c r="O767" s="5"/>
      <c r="P767" s="5"/>
      <c r="Q767" s="5"/>
      <c r="R767" s="57"/>
      <c r="S767" s="5"/>
      <c r="T767" s="5"/>
      <c r="U767" s="5"/>
      <c r="V767" s="5"/>
      <c r="W767" s="5"/>
      <c r="X767" s="5"/>
      <c r="Y767" s="5"/>
      <c r="Z767" s="5"/>
      <c r="AA767" s="5"/>
      <c r="AB767" s="5"/>
      <c r="AC767" s="5"/>
    </row>
    <row r="768" spans="1:29" ht="12.75" customHeight="1">
      <c r="A768" s="5"/>
      <c r="B768" s="5"/>
      <c r="C768" s="5"/>
      <c r="D768" s="5"/>
      <c r="E768" s="5"/>
      <c r="F768" s="5"/>
      <c r="G768" s="5"/>
      <c r="H768" s="306"/>
      <c r="I768" s="306"/>
      <c r="J768" s="5"/>
      <c r="K768" s="5"/>
      <c r="L768" s="5"/>
      <c r="M768" s="5"/>
      <c r="N768" s="5"/>
      <c r="O768" s="5"/>
      <c r="P768" s="5"/>
      <c r="Q768" s="5"/>
      <c r="R768" s="57"/>
      <c r="S768" s="5"/>
      <c r="T768" s="5"/>
      <c r="U768" s="5"/>
      <c r="V768" s="5"/>
      <c r="W768" s="5"/>
      <c r="X768" s="5"/>
      <c r="Y768" s="5"/>
      <c r="Z768" s="5"/>
      <c r="AA768" s="5"/>
      <c r="AB768" s="5"/>
      <c r="AC768" s="5"/>
    </row>
    <row r="769" spans="1:29" ht="12.75" customHeight="1">
      <c r="A769" s="5"/>
      <c r="B769" s="5"/>
      <c r="C769" s="5"/>
      <c r="D769" s="5"/>
      <c r="E769" s="5"/>
      <c r="F769" s="5"/>
      <c r="G769" s="5"/>
      <c r="H769" s="306"/>
      <c r="I769" s="306"/>
      <c r="J769" s="5"/>
      <c r="K769" s="5"/>
      <c r="L769" s="5"/>
      <c r="M769" s="5"/>
      <c r="N769" s="5"/>
      <c r="O769" s="5"/>
      <c r="P769" s="5"/>
      <c r="Q769" s="5"/>
      <c r="R769" s="57"/>
      <c r="S769" s="5"/>
      <c r="T769" s="5"/>
      <c r="U769" s="5"/>
      <c r="V769" s="5"/>
      <c r="W769" s="5"/>
      <c r="X769" s="5"/>
      <c r="Y769" s="5"/>
      <c r="Z769" s="5"/>
      <c r="AA769" s="5"/>
      <c r="AB769" s="5"/>
      <c r="AC769" s="5"/>
    </row>
    <row r="770" spans="1:29" ht="12.75" customHeight="1">
      <c r="A770" s="5"/>
      <c r="B770" s="5"/>
      <c r="C770" s="5"/>
      <c r="D770" s="5"/>
      <c r="E770" s="5"/>
      <c r="F770" s="5"/>
      <c r="G770" s="5"/>
      <c r="H770" s="306"/>
      <c r="I770" s="306"/>
      <c r="J770" s="5"/>
      <c r="K770" s="5"/>
      <c r="L770" s="5"/>
      <c r="M770" s="5"/>
      <c r="N770" s="5"/>
      <c r="O770" s="5"/>
      <c r="P770" s="5"/>
      <c r="Q770" s="5"/>
      <c r="R770" s="57"/>
      <c r="S770" s="5"/>
      <c r="T770" s="5"/>
      <c r="U770" s="5"/>
      <c r="V770" s="5"/>
      <c r="W770" s="5"/>
      <c r="X770" s="5"/>
      <c r="Y770" s="5"/>
      <c r="Z770" s="5"/>
      <c r="AA770" s="5"/>
      <c r="AB770" s="5"/>
      <c r="AC770" s="5"/>
    </row>
    <row r="771" spans="1:29" ht="12.75" customHeight="1">
      <c r="A771" s="5"/>
      <c r="B771" s="5"/>
      <c r="C771" s="5"/>
      <c r="D771" s="5"/>
      <c r="E771" s="5"/>
      <c r="F771" s="5"/>
      <c r="G771" s="5"/>
      <c r="H771" s="306"/>
      <c r="I771" s="306"/>
      <c r="J771" s="5"/>
      <c r="K771" s="5"/>
      <c r="L771" s="5"/>
      <c r="M771" s="5"/>
      <c r="N771" s="5"/>
      <c r="O771" s="5"/>
      <c r="P771" s="5"/>
      <c r="Q771" s="5"/>
      <c r="R771" s="57"/>
      <c r="S771" s="5"/>
      <c r="T771" s="5"/>
      <c r="U771" s="5"/>
      <c r="V771" s="5"/>
      <c r="W771" s="5"/>
      <c r="X771" s="5"/>
      <c r="Y771" s="5"/>
      <c r="Z771" s="5"/>
      <c r="AA771" s="5"/>
      <c r="AB771" s="5"/>
      <c r="AC771" s="5"/>
    </row>
    <row r="772" spans="1:29" ht="12.75" customHeight="1">
      <c r="A772" s="5"/>
      <c r="B772" s="5"/>
      <c r="C772" s="5"/>
      <c r="D772" s="5"/>
      <c r="E772" s="5"/>
      <c r="F772" s="5"/>
      <c r="G772" s="5"/>
      <c r="H772" s="306"/>
      <c r="I772" s="306"/>
      <c r="J772" s="5"/>
      <c r="K772" s="5"/>
      <c r="L772" s="5"/>
      <c r="M772" s="5"/>
      <c r="N772" s="5"/>
      <c r="O772" s="5"/>
      <c r="P772" s="5"/>
      <c r="Q772" s="5"/>
      <c r="R772" s="57"/>
      <c r="S772" s="5"/>
      <c r="T772" s="5"/>
      <c r="U772" s="5"/>
      <c r="V772" s="5"/>
      <c r="W772" s="5"/>
      <c r="X772" s="5"/>
      <c r="Y772" s="5"/>
      <c r="Z772" s="5"/>
      <c r="AA772" s="5"/>
      <c r="AB772" s="5"/>
      <c r="AC772" s="5"/>
    </row>
    <row r="773" spans="1:29" ht="12.75" customHeight="1">
      <c r="A773" s="5"/>
      <c r="B773" s="5"/>
      <c r="C773" s="5"/>
      <c r="D773" s="5"/>
      <c r="E773" s="5"/>
      <c r="F773" s="5"/>
      <c r="G773" s="5"/>
      <c r="H773" s="306"/>
      <c r="I773" s="306"/>
      <c r="J773" s="5"/>
      <c r="K773" s="5"/>
      <c r="L773" s="5"/>
      <c r="M773" s="5"/>
      <c r="N773" s="5"/>
      <c r="O773" s="5"/>
      <c r="P773" s="5"/>
      <c r="Q773" s="5"/>
      <c r="R773" s="57"/>
      <c r="S773" s="5"/>
      <c r="T773" s="5"/>
      <c r="U773" s="5"/>
      <c r="V773" s="5"/>
      <c r="W773" s="5"/>
      <c r="X773" s="5"/>
      <c r="Y773" s="5"/>
      <c r="Z773" s="5"/>
      <c r="AA773" s="5"/>
      <c r="AB773" s="5"/>
      <c r="AC773" s="5"/>
    </row>
    <row r="774" spans="1:29" ht="12.75" customHeight="1">
      <c r="A774" s="5"/>
      <c r="B774" s="5"/>
      <c r="C774" s="5"/>
      <c r="D774" s="5"/>
      <c r="E774" s="5"/>
      <c r="F774" s="5"/>
      <c r="G774" s="5"/>
      <c r="H774" s="306"/>
      <c r="I774" s="306"/>
      <c r="J774" s="5"/>
      <c r="K774" s="5"/>
      <c r="L774" s="5"/>
      <c r="M774" s="5"/>
      <c r="N774" s="5"/>
      <c r="O774" s="5"/>
      <c r="P774" s="5"/>
      <c r="Q774" s="5"/>
      <c r="R774" s="57"/>
      <c r="S774" s="5"/>
      <c r="T774" s="5"/>
      <c r="U774" s="5"/>
      <c r="V774" s="5"/>
      <c r="W774" s="5"/>
      <c r="X774" s="5"/>
      <c r="Y774" s="5"/>
      <c r="Z774" s="5"/>
      <c r="AA774" s="5"/>
      <c r="AB774" s="5"/>
      <c r="AC774" s="5"/>
    </row>
    <row r="775" spans="1:29" ht="12.75" customHeight="1">
      <c r="A775" s="5"/>
      <c r="B775" s="5"/>
      <c r="C775" s="5"/>
      <c r="D775" s="5"/>
      <c r="E775" s="5"/>
      <c r="F775" s="5"/>
      <c r="G775" s="5"/>
      <c r="H775" s="306"/>
      <c r="I775" s="306"/>
      <c r="J775" s="5"/>
      <c r="K775" s="5"/>
      <c r="L775" s="5"/>
      <c r="M775" s="5"/>
      <c r="N775" s="5"/>
      <c r="O775" s="5"/>
      <c r="P775" s="5"/>
      <c r="Q775" s="5"/>
      <c r="R775" s="57"/>
      <c r="S775" s="5"/>
      <c r="T775" s="5"/>
      <c r="U775" s="5"/>
      <c r="V775" s="5"/>
      <c r="W775" s="5"/>
      <c r="X775" s="5"/>
      <c r="Y775" s="5"/>
      <c r="Z775" s="5"/>
      <c r="AA775" s="5"/>
      <c r="AB775" s="5"/>
      <c r="AC775" s="5"/>
    </row>
    <row r="776" spans="1:29" ht="12.75" customHeight="1">
      <c r="A776" s="5"/>
      <c r="B776" s="5"/>
      <c r="C776" s="5"/>
      <c r="D776" s="5"/>
      <c r="E776" s="5"/>
      <c r="F776" s="5"/>
      <c r="G776" s="5"/>
      <c r="H776" s="306"/>
      <c r="I776" s="306"/>
      <c r="J776" s="5"/>
      <c r="K776" s="5"/>
      <c r="L776" s="5"/>
      <c r="M776" s="5"/>
      <c r="N776" s="5"/>
      <c r="O776" s="5"/>
      <c r="P776" s="5"/>
      <c r="Q776" s="5"/>
      <c r="R776" s="57"/>
      <c r="S776" s="5"/>
      <c r="T776" s="5"/>
      <c r="U776" s="5"/>
      <c r="V776" s="5"/>
      <c r="W776" s="5"/>
      <c r="X776" s="5"/>
      <c r="Y776" s="5"/>
      <c r="Z776" s="5"/>
      <c r="AA776" s="5"/>
      <c r="AB776" s="5"/>
      <c r="AC776" s="5"/>
    </row>
    <row r="777" spans="1:29" ht="12.75" customHeight="1">
      <c r="A777" s="5"/>
      <c r="B777" s="5"/>
      <c r="C777" s="5"/>
      <c r="D777" s="5"/>
      <c r="E777" s="5"/>
      <c r="F777" s="5"/>
      <c r="G777" s="5"/>
      <c r="H777" s="306"/>
      <c r="I777" s="306"/>
      <c r="J777" s="5"/>
      <c r="K777" s="5"/>
      <c r="L777" s="5"/>
      <c r="M777" s="5"/>
      <c r="N777" s="5"/>
      <c r="O777" s="5"/>
      <c r="P777" s="5"/>
      <c r="Q777" s="5"/>
      <c r="R777" s="57"/>
      <c r="S777" s="5"/>
      <c r="T777" s="5"/>
      <c r="U777" s="5"/>
      <c r="V777" s="5"/>
      <c r="W777" s="5"/>
      <c r="X777" s="5"/>
      <c r="Y777" s="5"/>
      <c r="Z777" s="5"/>
      <c r="AA777" s="5"/>
      <c r="AB777" s="5"/>
      <c r="AC777" s="5"/>
    </row>
    <row r="778" spans="1:29" ht="12.75" customHeight="1">
      <c r="A778" s="5"/>
      <c r="B778" s="5"/>
      <c r="C778" s="5"/>
      <c r="D778" s="5"/>
      <c r="E778" s="5"/>
      <c r="F778" s="5"/>
      <c r="G778" s="5"/>
      <c r="H778" s="306"/>
      <c r="I778" s="306"/>
      <c r="J778" s="5"/>
      <c r="K778" s="5"/>
      <c r="L778" s="5"/>
      <c r="M778" s="5"/>
      <c r="N778" s="5"/>
      <c r="O778" s="5"/>
      <c r="P778" s="5"/>
      <c r="Q778" s="5"/>
      <c r="R778" s="57"/>
      <c r="S778" s="5"/>
      <c r="T778" s="5"/>
      <c r="U778" s="5"/>
      <c r="V778" s="5"/>
      <c r="W778" s="5"/>
      <c r="X778" s="5"/>
      <c r="Y778" s="5"/>
      <c r="Z778" s="5"/>
      <c r="AA778" s="5"/>
      <c r="AB778" s="5"/>
      <c r="AC778" s="5"/>
    </row>
    <row r="779" spans="1:29" ht="12.75" customHeight="1">
      <c r="A779" s="5"/>
      <c r="B779" s="5"/>
      <c r="C779" s="5"/>
      <c r="D779" s="5"/>
      <c r="E779" s="5"/>
      <c r="F779" s="5"/>
      <c r="G779" s="5"/>
      <c r="H779" s="306"/>
      <c r="I779" s="306"/>
      <c r="J779" s="5"/>
      <c r="K779" s="5"/>
      <c r="L779" s="5"/>
      <c r="M779" s="5"/>
      <c r="N779" s="5"/>
      <c r="O779" s="5"/>
      <c r="P779" s="5"/>
      <c r="Q779" s="5"/>
      <c r="R779" s="57"/>
      <c r="S779" s="5"/>
      <c r="T779" s="5"/>
      <c r="U779" s="5"/>
      <c r="V779" s="5"/>
      <c r="W779" s="5"/>
      <c r="X779" s="5"/>
      <c r="Y779" s="5"/>
      <c r="Z779" s="5"/>
      <c r="AA779" s="5"/>
      <c r="AB779" s="5"/>
      <c r="AC779" s="5"/>
    </row>
    <row r="780" spans="1:29" ht="12.75" customHeight="1">
      <c r="A780" s="5"/>
      <c r="B780" s="5"/>
      <c r="C780" s="5"/>
      <c r="D780" s="5"/>
      <c r="E780" s="5"/>
      <c r="F780" s="5"/>
      <c r="G780" s="5"/>
      <c r="H780" s="306"/>
      <c r="I780" s="306"/>
      <c r="J780" s="5"/>
      <c r="K780" s="5"/>
      <c r="L780" s="5"/>
      <c r="M780" s="5"/>
      <c r="N780" s="5"/>
      <c r="O780" s="5"/>
      <c r="P780" s="5"/>
      <c r="Q780" s="5"/>
      <c r="R780" s="57"/>
      <c r="S780" s="5"/>
      <c r="T780" s="5"/>
      <c r="U780" s="5"/>
      <c r="V780" s="5"/>
      <c r="W780" s="5"/>
      <c r="X780" s="5"/>
      <c r="Y780" s="5"/>
      <c r="Z780" s="5"/>
      <c r="AA780" s="5"/>
      <c r="AB780" s="5"/>
      <c r="AC780" s="5"/>
    </row>
    <row r="781" spans="1:29" ht="12.75" customHeight="1">
      <c r="A781" s="5"/>
      <c r="B781" s="5"/>
      <c r="C781" s="5"/>
      <c r="D781" s="5"/>
      <c r="E781" s="5"/>
      <c r="F781" s="5"/>
      <c r="G781" s="5"/>
      <c r="H781" s="306"/>
      <c r="I781" s="306"/>
      <c r="J781" s="5"/>
      <c r="K781" s="5"/>
      <c r="L781" s="5"/>
      <c r="M781" s="5"/>
      <c r="N781" s="5"/>
      <c r="O781" s="5"/>
      <c r="P781" s="5"/>
      <c r="Q781" s="5"/>
      <c r="R781" s="57"/>
      <c r="S781" s="5"/>
      <c r="T781" s="5"/>
      <c r="U781" s="5"/>
      <c r="V781" s="5"/>
      <c r="W781" s="5"/>
      <c r="X781" s="5"/>
      <c r="Y781" s="5"/>
      <c r="Z781" s="5"/>
      <c r="AA781" s="5"/>
      <c r="AB781" s="5"/>
      <c r="AC781" s="5"/>
    </row>
    <row r="782" spans="1:29" ht="12.75" customHeight="1">
      <c r="A782" s="5"/>
      <c r="B782" s="5"/>
      <c r="C782" s="5"/>
      <c r="D782" s="5"/>
      <c r="E782" s="5"/>
      <c r="F782" s="5"/>
      <c r="G782" s="5"/>
      <c r="H782" s="306"/>
      <c r="I782" s="306"/>
      <c r="J782" s="5"/>
      <c r="K782" s="5"/>
      <c r="L782" s="5"/>
      <c r="M782" s="5"/>
      <c r="N782" s="5"/>
      <c r="O782" s="5"/>
      <c r="P782" s="5"/>
      <c r="Q782" s="5"/>
      <c r="R782" s="57"/>
      <c r="S782" s="5"/>
      <c r="T782" s="5"/>
      <c r="U782" s="5"/>
      <c r="V782" s="5"/>
      <c r="W782" s="5"/>
      <c r="X782" s="5"/>
      <c r="Y782" s="5"/>
      <c r="Z782" s="5"/>
      <c r="AA782" s="5"/>
      <c r="AB782" s="5"/>
      <c r="AC782" s="5"/>
    </row>
    <row r="783" spans="1:29" ht="12.75" customHeight="1">
      <c r="A783" s="5"/>
      <c r="B783" s="5"/>
      <c r="C783" s="5"/>
      <c r="D783" s="5"/>
      <c r="E783" s="5"/>
      <c r="F783" s="5"/>
      <c r="G783" s="5"/>
      <c r="H783" s="306"/>
      <c r="I783" s="306"/>
      <c r="J783" s="5"/>
      <c r="K783" s="5"/>
      <c r="L783" s="5"/>
      <c r="M783" s="5"/>
      <c r="N783" s="5"/>
      <c r="O783" s="5"/>
      <c r="P783" s="5"/>
      <c r="Q783" s="5"/>
      <c r="R783" s="57"/>
      <c r="S783" s="5"/>
      <c r="T783" s="5"/>
      <c r="U783" s="5"/>
      <c r="V783" s="5"/>
      <c r="W783" s="5"/>
      <c r="X783" s="5"/>
      <c r="Y783" s="5"/>
      <c r="Z783" s="5"/>
      <c r="AA783" s="5"/>
      <c r="AB783" s="5"/>
      <c r="AC783" s="5"/>
    </row>
    <row r="784" spans="1:29" ht="12.75" customHeight="1">
      <c r="A784" s="5"/>
      <c r="B784" s="5"/>
      <c r="C784" s="5"/>
      <c r="D784" s="5"/>
      <c r="E784" s="5"/>
      <c r="F784" s="5"/>
      <c r="G784" s="5"/>
      <c r="H784" s="306"/>
      <c r="I784" s="306"/>
      <c r="J784" s="5"/>
      <c r="K784" s="5"/>
      <c r="L784" s="5"/>
      <c r="M784" s="5"/>
      <c r="N784" s="5"/>
      <c r="O784" s="5"/>
      <c r="P784" s="5"/>
      <c r="Q784" s="5"/>
      <c r="R784" s="57"/>
      <c r="S784" s="5"/>
      <c r="T784" s="5"/>
      <c r="U784" s="5"/>
      <c r="V784" s="5"/>
      <c r="W784" s="5"/>
      <c r="X784" s="5"/>
      <c r="Y784" s="5"/>
      <c r="Z784" s="5"/>
      <c r="AA784" s="5"/>
      <c r="AB784" s="5"/>
      <c r="AC784" s="5"/>
    </row>
    <row r="785" spans="1:29" ht="12.75" customHeight="1">
      <c r="A785" s="5"/>
      <c r="B785" s="5"/>
      <c r="C785" s="5"/>
      <c r="D785" s="5"/>
      <c r="E785" s="5"/>
      <c r="F785" s="5"/>
      <c r="G785" s="5"/>
      <c r="H785" s="306"/>
      <c r="I785" s="306"/>
      <c r="J785" s="5"/>
      <c r="K785" s="5"/>
      <c r="L785" s="5"/>
      <c r="M785" s="5"/>
      <c r="N785" s="5"/>
      <c r="O785" s="5"/>
      <c r="P785" s="5"/>
      <c r="Q785" s="5"/>
      <c r="R785" s="57"/>
      <c r="S785" s="5"/>
      <c r="T785" s="5"/>
      <c r="U785" s="5"/>
      <c r="V785" s="5"/>
      <c r="W785" s="5"/>
      <c r="X785" s="5"/>
      <c r="Y785" s="5"/>
      <c r="Z785" s="5"/>
      <c r="AA785" s="5"/>
      <c r="AB785" s="5"/>
      <c r="AC785" s="5"/>
    </row>
    <row r="786" spans="1:29" ht="12.75" customHeight="1">
      <c r="A786" s="5"/>
      <c r="B786" s="5"/>
      <c r="C786" s="5"/>
      <c r="D786" s="5"/>
      <c r="E786" s="5"/>
      <c r="F786" s="5"/>
      <c r="G786" s="5"/>
      <c r="H786" s="306"/>
      <c r="I786" s="306"/>
      <c r="J786" s="5"/>
      <c r="K786" s="5"/>
      <c r="L786" s="5"/>
      <c r="M786" s="5"/>
      <c r="N786" s="5"/>
      <c r="O786" s="5"/>
      <c r="P786" s="5"/>
      <c r="Q786" s="5"/>
      <c r="R786" s="57"/>
      <c r="S786" s="5"/>
      <c r="T786" s="5"/>
      <c r="U786" s="5"/>
      <c r="V786" s="5"/>
      <c r="W786" s="5"/>
      <c r="X786" s="5"/>
      <c r="Y786" s="5"/>
      <c r="Z786" s="5"/>
      <c r="AA786" s="5"/>
      <c r="AB786" s="5"/>
      <c r="AC786" s="5"/>
    </row>
    <row r="787" spans="1:29" ht="12.75" customHeight="1">
      <c r="A787" s="5"/>
      <c r="B787" s="5"/>
      <c r="C787" s="5"/>
      <c r="D787" s="5"/>
      <c r="E787" s="5"/>
      <c r="F787" s="5"/>
      <c r="G787" s="5"/>
      <c r="H787" s="306"/>
      <c r="I787" s="306"/>
      <c r="J787" s="5"/>
      <c r="K787" s="5"/>
      <c r="L787" s="5"/>
      <c r="M787" s="5"/>
      <c r="N787" s="5"/>
      <c r="O787" s="5"/>
      <c r="P787" s="5"/>
      <c r="Q787" s="5"/>
      <c r="R787" s="57"/>
      <c r="S787" s="5"/>
      <c r="T787" s="5"/>
      <c r="U787" s="5"/>
      <c r="V787" s="5"/>
      <c r="W787" s="5"/>
      <c r="X787" s="5"/>
      <c r="Y787" s="5"/>
      <c r="Z787" s="5"/>
      <c r="AA787" s="5"/>
      <c r="AB787" s="5"/>
      <c r="AC787" s="5"/>
    </row>
    <row r="788" spans="1:29" ht="12.75" customHeight="1">
      <c r="A788" s="5"/>
      <c r="B788" s="5"/>
      <c r="C788" s="5"/>
      <c r="D788" s="5"/>
      <c r="E788" s="5"/>
      <c r="F788" s="5"/>
      <c r="G788" s="5"/>
      <c r="H788" s="306"/>
      <c r="I788" s="306"/>
      <c r="J788" s="5"/>
      <c r="K788" s="5"/>
      <c r="L788" s="5"/>
      <c r="M788" s="5"/>
      <c r="N788" s="5"/>
      <c r="O788" s="5"/>
      <c r="P788" s="5"/>
      <c r="Q788" s="5"/>
      <c r="R788" s="57"/>
      <c r="S788" s="5"/>
      <c r="T788" s="5"/>
      <c r="U788" s="5"/>
      <c r="V788" s="5"/>
      <c r="W788" s="5"/>
      <c r="X788" s="5"/>
      <c r="Y788" s="5"/>
      <c r="Z788" s="5"/>
      <c r="AA788" s="5"/>
      <c r="AB788" s="5"/>
      <c r="AC788" s="5"/>
    </row>
    <row r="789" spans="1:29" ht="12.75" customHeight="1">
      <c r="A789" s="5"/>
      <c r="B789" s="5"/>
      <c r="C789" s="5"/>
      <c r="D789" s="5"/>
      <c r="E789" s="5"/>
      <c r="F789" s="5"/>
      <c r="G789" s="5"/>
      <c r="H789" s="306"/>
      <c r="I789" s="306"/>
      <c r="J789" s="5"/>
      <c r="K789" s="5"/>
      <c r="L789" s="5"/>
      <c r="M789" s="5"/>
      <c r="N789" s="5"/>
      <c r="O789" s="5"/>
      <c r="P789" s="5"/>
      <c r="Q789" s="5"/>
      <c r="R789" s="57"/>
      <c r="S789" s="5"/>
      <c r="T789" s="5"/>
      <c r="U789" s="5"/>
      <c r="V789" s="5"/>
      <c r="W789" s="5"/>
      <c r="X789" s="5"/>
      <c r="Y789" s="5"/>
      <c r="Z789" s="5"/>
      <c r="AA789" s="5"/>
      <c r="AB789" s="5"/>
      <c r="AC789" s="5"/>
    </row>
    <row r="790" spans="1:29" ht="12.75" customHeight="1">
      <c r="A790" s="5"/>
      <c r="B790" s="5"/>
      <c r="C790" s="5"/>
      <c r="D790" s="5"/>
      <c r="E790" s="5"/>
      <c r="F790" s="5"/>
      <c r="G790" s="5"/>
      <c r="H790" s="306"/>
      <c r="I790" s="306"/>
      <c r="J790" s="5"/>
      <c r="K790" s="5"/>
      <c r="L790" s="5"/>
      <c r="M790" s="5"/>
      <c r="N790" s="5"/>
      <c r="O790" s="5"/>
      <c r="P790" s="5"/>
      <c r="Q790" s="5"/>
      <c r="R790" s="57"/>
      <c r="S790" s="5"/>
      <c r="T790" s="5"/>
      <c r="U790" s="5"/>
      <c r="V790" s="5"/>
      <c r="W790" s="5"/>
      <c r="X790" s="5"/>
      <c r="Y790" s="5"/>
      <c r="Z790" s="5"/>
      <c r="AA790" s="5"/>
      <c r="AB790" s="5"/>
      <c r="AC790" s="5"/>
    </row>
    <row r="791" spans="1:29" ht="12.75" customHeight="1">
      <c r="A791" s="5"/>
      <c r="B791" s="5"/>
      <c r="C791" s="5"/>
      <c r="D791" s="5"/>
      <c r="E791" s="5"/>
      <c r="F791" s="5"/>
      <c r="G791" s="5"/>
      <c r="H791" s="306"/>
      <c r="I791" s="306"/>
      <c r="J791" s="5"/>
      <c r="K791" s="5"/>
      <c r="L791" s="5"/>
      <c r="M791" s="5"/>
      <c r="N791" s="5"/>
      <c r="O791" s="5"/>
      <c r="P791" s="5"/>
      <c r="Q791" s="5"/>
      <c r="R791" s="57"/>
      <c r="S791" s="5"/>
      <c r="T791" s="5"/>
      <c r="U791" s="5"/>
      <c r="V791" s="5"/>
      <c r="W791" s="5"/>
      <c r="X791" s="5"/>
      <c r="Y791" s="5"/>
      <c r="Z791" s="5"/>
      <c r="AA791" s="5"/>
      <c r="AB791" s="5"/>
      <c r="AC791" s="5"/>
    </row>
    <row r="792" spans="1:29" ht="12.75" customHeight="1">
      <c r="A792" s="5"/>
      <c r="B792" s="5"/>
      <c r="C792" s="5"/>
      <c r="D792" s="5"/>
      <c r="E792" s="5"/>
      <c r="F792" s="5"/>
      <c r="G792" s="5"/>
      <c r="H792" s="306"/>
      <c r="I792" s="306"/>
      <c r="J792" s="5"/>
      <c r="K792" s="5"/>
      <c r="L792" s="5"/>
      <c r="M792" s="5"/>
      <c r="N792" s="5"/>
      <c r="O792" s="5"/>
      <c r="P792" s="5"/>
      <c r="Q792" s="5"/>
      <c r="R792" s="57"/>
      <c r="S792" s="5"/>
      <c r="T792" s="5"/>
      <c r="U792" s="5"/>
      <c r="V792" s="5"/>
      <c r="W792" s="5"/>
      <c r="X792" s="5"/>
      <c r="Y792" s="5"/>
      <c r="Z792" s="5"/>
      <c r="AA792" s="5"/>
      <c r="AB792" s="5"/>
      <c r="AC792" s="5"/>
    </row>
    <row r="793" spans="1:29" ht="12.75" customHeight="1">
      <c r="A793" s="5"/>
      <c r="B793" s="5"/>
      <c r="C793" s="5"/>
      <c r="D793" s="5"/>
      <c r="E793" s="5"/>
      <c r="F793" s="5"/>
      <c r="G793" s="5"/>
      <c r="H793" s="306"/>
      <c r="I793" s="306"/>
      <c r="J793" s="5"/>
      <c r="K793" s="5"/>
      <c r="L793" s="5"/>
      <c r="M793" s="5"/>
      <c r="N793" s="5"/>
      <c r="O793" s="5"/>
      <c r="P793" s="5"/>
      <c r="Q793" s="5"/>
      <c r="R793" s="57"/>
      <c r="S793" s="5"/>
      <c r="T793" s="5"/>
      <c r="U793" s="5"/>
      <c r="V793" s="5"/>
      <c r="W793" s="5"/>
      <c r="X793" s="5"/>
      <c r="Y793" s="5"/>
      <c r="Z793" s="5"/>
      <c r="AA793" s="5"/>
      <c r="AB793" s="5"/>
      <c r="AC793" s="5"/>
    </row>
    <row r="794" spans="1:29" ht="12.75" customHeight="1">
      <c r="A794" s="5"/>
      <c r="B794" s="5"/>
      <c r="C794" s="5"/>
      <c r="D794" s="5"/>
      <c r="E794" s="5"/>
      <c r="F794" s="5"/>
      <c r="G794" s="5"/>
      <c r="H794" s="306"/>
      <c r="I794" s="306"/>
      <c r="J794" s="5"/>
      <c r="K794" s="5"/>
      <c r="L794" s="5"/>
      <c r="M794" s="5"/>
      <c r="N794" s="5"/>
      <c r="O794" s="5"/>
      <c r="P794" s="5"/>
      <c r="Q794" s="5"/>
      <c r="R794" s="57"/>
      <c r="S794" s="5"/>
      <c r="T794" s="5"/>
      <c r="U794" s="5"/>
      <c r="V794" s="5"/>
      <c r="W794" s="5"/>
      <c r="X794" s="5"/>
      <c r="Y794" s="5"/>
      <c r="Z794" s="5"/>
      <c r="AA794" s="5"/>
      <c r="AB794" s="5"/>
      <c r="AC794" s="5"/>
    </row>
    <row r="795" spans="1:29" ht="12.75" customHeight="1">
      <c r="A795" s="5"/>
      <c r="B795" s="5"/>
      <c r="C795" s="5"/>
      <c r="D795" s="5"/>
      <c r="E795" s="5"/>
      <c r="F795" s="5"/>
      <c r="G795" s="5"/>
      <c r="H795" s="306"/>
      <c r="I795" s="306"/>
      <c r="J795" s="5"/>
      <c r="K795" s="5"/>
      <c r="L795" s="5"/>
      <c r="M795" s="5"/>
      <c r="N795" s="5"/>
      <c r="O795" s="5"/>
      <c r="P795" s="5"/>
      <c r="Q795" s="5"/>
      <c r="R795" s="57"/>
      <c r="S795" s="5"/>
      <c r="T795" s="5"/>
      <c r="U795" s="5"/>
      <c r="V795" s="5"/>
      <c r="W795" s="5"/>
      <c r="X795" s="5"/>
      <c r="Y795" s="5"/>
      <c r="Z795" s="5"/>
      <c r="AA795" s="5"/>
      <c r="AB795" s="5"/>
      <c r="AC795" s="5"/>
    </row>
    <row r="796" spans="1:29" ht="12.75" customHeight="1">
      <c r="A796" s="5"/>
      <c r="B796" s="5"/>
      <c r="C796" s="5"/>
      <c r="D796" s="5"/>
      <c r="E796" s="5"/>
      <c r="F796" s="5"/>
      <c r="G796" s="5"/>
      <c r="H796" s="306"/>
      <c r="I796" s="306"/>
      <c r="J796" s="5"/>
      <c r="K796" s="5"/>
      <c r="L796" s="5"/>
      <c r="M796" s="5"/>
      <c r="N796" s="5"/>
      <c r="O796" s="5"/>
      <c r="P796" s="5"/>
      <c r="Q796" s="5"/>
      <c r="R796" s="57"/>
      <c r="S796" s="5"/>
      <c r="T796" s="5"/>
      <c r="U796" s="5"/>
      <c r="V796" s="5"/>
      <c r="W796" s="5"/>
      <c r="X796" s="5"/>
      <c r="Y796" s="5"/>
      <c r="Z796" s="5"/>
      <c r="AA796" s="5"/>
      <c r="AB796" s="5"/>
      <c r="AC796" s="5"/>
    </row>
    <row r="797" spans="1:29" ht="12.75" customHeight="1">
      <c r="A797" s="5"/>
      <c r="B797" s="5"/>
      <c r="C797" s="5"/>
      <c r="D797" s="5"/>
      <c r="E797" s="5"/>
      <c r="F797" s="5"/>
      <c r="G797" s="5"/>
      <c r="H797" s="306"/>
      <c r="I797" s="306"/>
      <c r="J797" s="5"/>
      <c r="K797" s="5"/>
      <c r="L797" s="5"/>
      <c r="M797" s="5"/>
      <c r="N797" s="5"/>
      <c r="O797" s="5"/>
      <c r="P797" s="5"/>
      <c r="Q797" s="5"/>
      <c r="R797" s="57"/>
      <c r="S797" s="5"/>
      <c r="T797" s="5"/>
      <c r="U797" s="5"/>
      <c r="V797" s="5"/>
      <c r="W797" s="5"/>
      <c r="X797" s="5"/>
      <c r="Y797" s="5"/>
      <c r="Z797" s="5"/>
      <c r="AA797" s="5"/>
      <c r="AB797" s="5"/>
      <c r="AC797" s="5"/>
    </row>
    <row r="798" spans="1:29" ht="12.75" customHeight="1">
      <c r="A798" s="5"/>
      <c r="B798" s="5"/>
      <c r="C798" s="5"/>
      <c r="D798" s="5"/>
      <c r="E798" s="5"/>
      <c r="F798" s="5"/>
      <c r="G798" s="5"/>
      <c r="H798" s="306"/>
      <c r="I798" s="306"/>
      <c r="J798" s="5"/>
      <c r="K798" s="5"/>
      <c r="L798" s="5"/>
      <c r="M798" s="5"/>
      <c r="N798" s="5"/>
      <c r="O798" s="5"/>
      <c r="P798" s="5"/>
      <c r="Q798" s="5"/>
      <c r="R798" s="57"/>
      <c r="S798" s="5"/>
      <c r="T798" s="5"/>
      <c r="U798" s="5"/>
      <c r="V798" s="5"/>
      <c r="W798" s="5"/>
      <c r="X798" s="5"/>
      <c r="Y798" s="5"/>
      <c r="Z798" s="5"/>
      <c r="AA798" s="5"/>
      <c r="AB798" s="5"/>
      <c r="AC798" s="5"/>
    </row>
    <row r="799" spans="1:29" ht="12.75" customHeight="1">
      <c r="A799" s="5"/>
      <c r="B799" s="5"/>
      <c r="C799" s="5"/>
      <c r="D799" s="5"/>
      <c r="E799" s="5"/>
      <c r="F799" s="5"/>
      <c r="G799" s="5"/>
      <c r="H799" s="306"/>
      <c r="I799" s="306"/>
      <c r="J799" s="5"/>
      <c r="K799" s="5"/>
      <c r="L799" s="5"/>
      <c r="M799" s="5"/>
      <c r="N799" s="5"/>
      <c r="O799" s="5"/>
      <c r="P799" s="5"/>
      <c r="Q799" s="5"/>
      <c r="R799" s="57"/>
      <c r="S799" s="5"/>
      <c r="T799" s="5"/>
      <c r="U799" s="5"/>
      <c r="V799" s="5"/>
      <c r="W799" s="5"/>
      <c r="X799" s="5"/>
      <c r="Y799" s="5"/>
      <c r="Z799" s="5"/>
      <c r="AA799" s="5"/>
      <c r="AB799" s="5"/>
      <c r="AC799" s="5"/>
    </row>
    <row r="800" spans="1:29" ht="12.75" customHeight="1">
      <c r="A800" s="5"/>
      <c r="B800" s="5"/>
      <c r="C800" s="5"/>
      <c r="D800" s="5"/>
      <c r="E800" s="5"/>
      <c r="F800" s="5"/>
      <c r="G800" s="5"/>
      <c r="H800" s="306"/>
      <c r="I800" s="306"/>
      <c r="J800" s="5"/>
      <c r="K800" s="5"/>
      <c r="L800" s="5"/>
      <c r="M800" s="5"/>
      <c r="N800" s="5"/>
      <c r="O800" s="5"/>
      <c r="P800" s="5"/>
      <c r="Q800" s="5"/>
      <c r="R800" s="57"/>
      <c r="S800" s="5"/>
      <c r="T800" s="5"/>
      <c r="U800" s="5"/>
      <c r="V800" s="5"/>
      <c r="W800" s="5"/>
      <c r="X800" s="5"/>
      <c r="Y800" s="5"/>
      <c r="Z800" s="5"/>
      <c r="AA800" s="5"/>
      <c r="AB800" s="5"/>
      <c r="AC800" s="5"/>
    </row>
    <row r="801" spans="1:29" ht="12.75" customHeight="1">
      <c r="A801" s="5"/>
      <c r="B801" s="5"/>
      <c r="C801" s="5"/>
      <c r="D801" s="5"/>
      <c r="E801" s="5"/>
      <c r="F801" s="5"/>
      <c r="G801" s="5"/>
      <c r="H801" s="306"/>
      <c r="I801" s="306"/>
      <c r="J801" s="5"/>
      <c r="K801" s="5"/>
      <c r="L801" s="5"/>
      <c r="M801" s="5"/>
      <c r="N801" s="5"/>
      <c r="O801" s="5"/>
      <c r="P801" s="5"/>
      <c r="Q801" s="5"/>
      <c r="R801" s="57"/>
      <c r="S801" s="5"/>
      <c r="T801" s="5"/>
      <c r="U801" s="5"/>
      <c r="V801" s="5"/>
      <c r="W801" s="5"/>
      <c r="X801" s="5"/>
      <c r="Y801" s="5"/>
      <c r="Z801" s="5"/>
      <c r="AA801" s="5"/>
      <c r="AB801" s="5"/>
      <c r="AC801" s="5"/>
    </row>
    <row r="802" spans="1:29" ht="12.75" customHeight="1">
      <c r="A802" s="5"/>
      <c r="B802" s="5"/>
      <c r="C802" s="5"/>
      <c r="D802" s="5"/>
      <c r="E802" s="5"/>
      <c r="F802" s="5"/>
      <c r="G802" s="5"/>
      <c r="H802" s="306"/>
      <c r="I802" s="306"/>
      <c r="J802" s="5"/>
      <c r="K802" s="5"/>
      <c r="L802" s="5"/>
      <c r="M802" s="5"/>
      <c r="N802" s="5"/>
      <c r="O802" s="5"/>
      <c r="P802" s="5"/>
      <c r="Q802" s="5"/>
      <c r="R802" s="57"/>
      <c r="S802" s="5"/>
      <c r="T802" s="5"/>
      <c r="U802" s="5"/>
      <c r="V802" s="5"/>
      <c r="W802" s="5"/>
      <c r="X802" s="5"/>
      <c r="Y802" s="5"/>
      <c r="Z802" s="5"/>
      <c r="AA802" s="5"/>
      <c r="AB802" s="5"/>
      <c r="AC802" s="5"/>
    </row>
    <row r="803" spans="1:29" ht="12.75" customHeight="1">
      <c r="A803" s="5"/>
      <c r="B803" s="5"/>
      <c r="C803" s="5"/>
      <c r="D803" s="5"/>
      <c r="E803" s="5"/>
      <c r="F803" s="5"/>
      <c r="G803" s="5"/>
      <c r="H803" s="306"/>
      <c r="I803" s="306"/>
      <c r="J803" s="5"/>
      <c r="K803" s="5"/>
      <c r="L803" s="5"/>
      <c r="M803" s="5"/>
      <c r="N803" s="5"/>
      <c r="O803" s="5"/>
      <c r="P803" s="5"/>
      <c r="Q803" s="5"/>
      <c r="R803" s="57"/>
      <c r="S803" s="5"/>
      <c r="T803" s="5"/>
      <c r="U803" s="5"/>
      <c r="V803" s="5"/>
      <c r="W803" s="5"/>
      <c r="X803" s="5"/>
      <c r="Y803" s="5"/>
      <c r="Z803" s="5"/>
      <c r="AA803" s="5"/>
      <c r="AB803" s="5"/>
      <c r="AC803" s="5"/>
    </row>
    <row r="804" spans="1:29" ht="12.75" customHeight="1">
      <c r="A804" s="5"/>
      <c r="B804" s="5"/>
      <c r="C804" s="5"/>
      <c r="D804" s="5"/>
      <c r="E804" s="5"/>
      <c r="F804" s="5"/>
      <c r="G804" s="5"/>
      <c r="H804" s="306"/>
      <c r="I804" s="306"/>
      <c r="J804" s="5"/>
      <c r="K804" s="5"/>
      <c r="L804" s="5"/>
      <c r="M804" s="5"/>
      <c r="N804" s="5"/>
      <c r="O804" s="5"/>
      <c r="P804" s="5"/>
      <c r="Q804" s="5"/>
      <c r="R804" s="57"/>
      <c r="S804" s="5"/>
      <c r="T804" s="5"/>
      <c r="U804" s="5"/>
      <c r="V804" s="5"/>
      <c r="W804" s="5"/>
      <c r="X804" s="5"/>
      <c r="Y804" s="5"/>
      <c r="Z804" s="5"/>
      <c r="AA804" s="5"/>
      <c r="AB804" s="5"/>
      <c r="AC804" s="5"/>
    </row>
    <row r="805" spans="1:29" ht="12.75" customHeight="1">
      <c r="A805" s="5"/>
      <c r="B805" s="5"/>
      <c r="C805" s="5"/>
      <c r="D805" s="5"/>
      <c r="E805" s="5"/>
      <c r="F805" s="5"/>
      <c r="G805" s="5"/>
      <c r="H805" s="306"/>
      <c r="I805" s="306"/>
      <c r="J805" s="5"/>
      <c r="K805" s="5"/>
      <c r="L805" s="5"/>
      <c r="M805" s="5"/>
      <c r="N805" s="5"/>
      <c r="O805" s="5"/>
      <c r="P805" s="5"/>
      <c r="Q805" s="5"/>
      <c r="R805" s="57"/>
      <c r="S805" s="5"/>
      <c r="T805" s="5"/>
      <c r="U805" s="5"/>
      <c r="V805" s="5"/>
      <c r="W805" s="5"/>
      <c r="X805" s="5"/>
      <c r="Y805" s="5"/>
      <c r="Z805" s="5"/>
      <c r="AA805" s="5"/>
      <c r="AB805" s="5"/>
      <c r="AC805" s="5"/>
    </row>
    <row r="806" spans="1:29" ht="12.75" customHeight="1">
      <c r="A806" s="5"/>
      <c r="B806" s="5"/>
      <c r="C806" s="5"/>
      <c r="D806" s="5"/>
      <c r="E806" s="5"/>
      <c r="F806" s="5"/>
      <c r="G806" s="5"/>
      <c r="H806" s="306"/>
      <c r="I806" s="306"/>
      <c r="J806" s="5"/>
      <c r="K806" s="5"/>
      <c r="L806" s="5"/>
      <c r="M806" s="5"/>
      <c r="N806" s="5"/>
      <c r="O806" s="5"/>
      <c r="P806" s="5"/>
      <c r="Q806" s="5"/>
      <c r="R806" s="57"/>
      <c r="S806" s="5"/>
      <c r="T806" s="5"/>
      <c r="U806" s="5"/>
      <c r="V806" s="5"/>
      <c r="W806" s="5"/>
      <c r="X806" s="5"/>
      <c r="Y806" s="5"/>
      <c r="Z806" s="5"/>
      <c r="AA806" s="5"/>
      <c r="AB806" s="5"/>
      <c r="AC806" s="5"/>
    </row>
    <row r="807" spans="1:29" ht="12.75" customHeight="1">
      <c r="A807" s="5"/>
      <c r="B807" s="5"/>
      <c r="C807" s="5"/>
      <c r="D807" s="5"/>
      <c r="E807" s="5"/>
      <c r="F807" s="5"/>
      <c r="G807" s="5"/>
      <c r="H807" s="306"/>
      <c r="I807" s="306"/>
      <c r="J807" s="5"/>
      <c r="K807" s="5"/>
      <c r="L807" s="5"/>
      <c r="M807" s="5"/>
      <c r="N807" s="5"/>
      <c r="O807" s="5"/>
      <c r="P807" s="5"/>
      <c r="Q807" s="5"/>
      <c r="R807" s="57"/>
      <c r="S807" s="5"/>
      <c r="T807" s="5"/>
      <c r="U807" s="5"/>
      <c r="V807" s="5"/>
      <c r="W807" s="5"/>
      <c r="X807" s="5"/>
      <c r="Y807" s="5"/>
      <c r="Z807" s="5"/>
      <c r="AA807" s="5"/>
      <c r="AB807" s="5"/>
      <c r="AC807" s="5"/>
    </row>
    <row r="808" spans="1:29" ht="12.75" customHeight="1">
      <c r="A808" s="5"/>
      <c r="B808" s="5"/>
      <c r="C808" s="5"/>
      <c r="D808" s="5"/>
      <c r="E808" s="5"/>
      <c r="F808" s="5"/>
      <c r="G808" s="5"/>
      <c r="H808" s="306"/>
      <c r="I808" s="306"/>
      <c r="J808" s="5"/>
      <c r="K808" s="5"/>
      <c r="L808" s="5"/>
      <c r="M808" s="5"/>
      <c r="N808" s="5"/>
      <c r="O808" s="5"/>
      <c r="P808" s="5"/>
      <c r="Q808" s="5"/>
      <c r="R808" s="57"/>
      <c r="S808" s="5"/>
      <c r="T808" s="5"/>
      <c r="U808" s="5"/>
      <c r="V808" s="5"/>
      <c r="W808" s="5"/>
      <c r="X808" s="5"/>
      <c r="Y808" s="5"/>
      <c r="Z808" s="5"/>
      <c r="AA808" s="5"/>
      <c r="AB808" s="5"/>
      <c r="AC808" s="5"/>
    </row>
    <row r="809" spans="1:29" ht="12.75" customHeight="1">
      <c r="A809" s="5"/>
      <c r="B809" s="5"/>
      <c r="C809" s="5"/>
      <c r="D809" s="5"/>
      <c r="E809" s="5"/>
      <c r="F809" s="5"/>
      <c r="G809" s="5"/>
      <c r="H809" s="306"/>
      <c r="I809" s="306"/>
      <c r="J809" s="5"/>
      <c r="K809" s="5"/>
      <c r="L809" s="5"/>
      <c r="M809" s="5"/>
      <c r="N809" s="5"/>
      <c r="O809" s="5"/>
      <c r="P809" s="5"/>
      <c r="Q809" s="5"/>
      <c r="R809" s="57"/>
      <c r="S809" s="5"/>
      <c r="T809" s="5"/>
      <c r="U809" s="5"/>
      <c r="V809" s="5"/>
      <c r="W809" s="5"/>
      <c r="X809" s="5"/>
      <c r="Y809" s="5"/>
      <c r="Z809" s="5"/>
      <c r="AA809" s="5"/>
      <c r="AB809" s="5"/>
      <c r="AC809" s="5"/>
    </row>
    <row r="810" spans="1:29" ht="12.75" customHeight="1">
      <c r="A810" s="5"/>
      <c r="B810" s="5"/>
      <c r="C810" s="5"/>
      <c r="D810" s="5"/>
      <c r="E810" s="5"/>
      <c r="F810" s="5"/>
      <c r="G810" s="5"/>
      <c r="H810" s="306"/>
      <c r="I810" s="306"/>
      <c r="J810" s="5"/>
      <c r="K810" s="5"/>
      <c r="L810" s="5"/>
      <c r="M810" s="5"/>
      <c r="N810" s="5"/>
      <c r="O810" s="5"/>
      <c r="P810" s="5"/>
      <c r="Q810" s="5"/>
      <c r="R810" s="57"/>
      <c r="S810" s="5"/>
      <c r="T810" s="5"/>
      <c r="U810" s="5"/>
      <c r="V810" s="5"/>
      <c r="W810" s="5"/>
      <c r="X810" s="5"/>
      <c r="Y810" s="5"/>
      <c r="Z810" s="5"/>
      <c r="AA810" s="5"/>
      <c r="AB810" s="5"/>
      <c r="AC810" s="5"/>
    </row>
    <row r="811" spans="1:29" ht="12.75" customHeight="1">
      <c r="A811" s="5"/>
      <c r="B811" s="5"/>
      <c r="C811" s="5"/>
      <c r="D811" s="5"/>
      <c r="E811" s="5"/>
      <c r="F811" s="5"/>
      <c r="G811" s="5"/>
      <c r="H811" s="306"/>
      <c r="I811" s="306"/>
      <c r="J811" s="5"/>
      <c r="K811" s="5"/>
      <c r="L811" s="5"/>
      <c r="M811" s="5"/>
      <c r="N811" s="5"/>
      <c r="O811" s="5"/>
      <c r="P811" s="5"/>
      <c r="Q811" s="5"/>
      <c r="R811" s="57"/>
      <c r="S811" s="5"/>
      <c r="T811" s="5"/>
      <c r="U811" s="5"/>
      <c r="V811" s="5"/>
      <c r="W811" s="5"/>
      <c r="X811" s="5"/>
      <c r="Y811" s="5"/>
      <c r="Z811" s="5"/>
      <c r="AA811" s="5"/>
      <c r="AB811" s="5"/>
      <c r="AC811" s="5"/>
    </row>
    <row r="812" spans="1:29" ht="12.75" customHeight="1">
      <c r="A812" s="5"/>
      <c r="B812" s="5"/>
      <c r="C812" s="5"/>
      <c r="D812" s="5"/>
      <c r="E812" s="5"/>
      <c r="F812" s="5"/>
      <c r="G812" s="5"/>
      <c r="H812" s="306"/>
      <c r="I812" s="306"/>
      <c r="J812" s="5"/>
      <c r="K812" s="5"/>
      <c r="L812" s="5"/>
      <c r="M812" s="5"/>
      <c r="N812" s="5"/>
      <c r="O812" s="5"/>
      <c r="P812" s="5"/>
      <c r="Q812" s="5"/>
      <c r="R812" s="57"/>
      <c r="S812" s="5"/>
      <c r="T812" s="5"/>
      <c r="U812" s="5"/>
      <c r="V812" s="5"/>
      <c r="W812" s="5"/>
      <c r="X812" s="5"/>
      <c r="Y812" s="5"/>
      <c r="Z812" s="5"/>
      <c r="AA812" s="5"/>
      <c r="AB812" s="5"/>
      <c r="AC812" s="5"/>
    </row>
    <row r="813" spans="1:29" ht="12.75" customHeight="1">
      <c r="A813" s="5"/>
      <c r="B813" s="5"/>
      <c r="C813" s="5"/>
      <c r="D813" s="5"/>
      <c r="E813" s="5"/>
      <c r="F813" s="5"/>
      <c r="G813" s="5"/>
      <c r="H813" s="306"/>
      <c r="I813" s="306"/>
      <c r="J813" s="5"/>
      <c r="K813" s="5"/>
      <c r="L813" s="5"/>
      <c r="M813" s="5"/>
      <c r="N813" s="5"/>
      <c r="O813" s="5"/>
      <c r="P813" s="5"/>
      <c r="Q813" s="5"/>
      <c r="R813" s="57"/>
      <c r="S813" s="5"/>
      <c r="T813" s="5"/>
      <c r="U813" s="5"/>
      <c r="V813" s="5"/>
      <c r="W813" s="5"/>
      <c r="X813" s="5"/>
      <c r="Y813" s="5"/>
      <c r="Z813" s="5"/>
      <c r="AA813" s="5"/>
      <c r="AB813" s="5"/>
      <c r="AC813" s="5"/>
    </row>
    <row r="814" spans="1:29" ht="12.75" customHeight="1">
      <c r="A814" s="5"/>
      <c r="B814" s="5"/>
      <c r="C814" s="5"/>
      <c r="D814" s="5"/>
      <c r="E814" s="5"/>
      <c r="F814" s="5"/>
      <c r="G814" s="5"/>
      <c r="H814" s="306"/>
      <c r="I814" s="306"/>
      <c r="J814" s="5"/>
      <c r="K814" s="5"/>
      <c r="L814" s="5"/>
      <c r="M814" s="5"/>
      <c r="N814" s="5"/>
      <c r="O814" s="5"/>
      <c r="P814" s="5"/>
      <c r="Q814" s="5"/>
      <c r="R814" s="57"/>
      <c r="S814" s="5"/>
      <c r="T814" s="5"/>
      <c r="U814" s="5"/>
      <c r="V814" s="5"/>
      <c r="W814" s="5"/>
      <c r="X814" s="5"/>
      <c r="Y814" s="5"/>
      <c r="Z814" s="5"/>
      <c r="AA814" s="5"/>
      <c r="AB814" s="5"/>
      <c r="AC814" s="5"/>
    </row>
    <row r="815" spans="1:29" ht="12.75" customHeight="1">
      <c r="A815" s="5"/>
      <c r="B815" s="5"/>
      <c r="C815" s="5"/>
      <c r="D815" s="5"/>
      <c r="E815" s="5"/>
      <c r="F815" s="5"/>
      <c r="G815" s="5"/>
      <c r="H815" s="306"/>
      <c r="I815" s="306"/>
      <c r="J815" s="5"/>
      <c r="K815" s="5"/>
      <c r="L815" s="5"/>
      <c r="M815" s="5"/>
      <c r="N815" s="5"/>
      <c r="O815" s="5"/>
      <c r="P815" s="5"/>
      <c r="Q815" s="5"/>
      <c r="R815" s="57"/>
      <c r="S815" s="5"/>
      <c r="T815" s="5"/>
      <c r="U815" s="5"/>
      <c r="V815" s="5"/>
      <c r="W815" s="5"/>
      <c r="X815" s="5"/>
      <c r="Y815" s="5"/>
      <c r="Z815" s="5"/>
      <c r="AA815" s="5"/>
      <c r="AB815" s="5"/>
      <c r="AC815" s="5"/>
    </row>
    <row r="816" spans="1:29" ht="12.75" customHeight="1">
      <c r="A816" s="5"/>
      <c r="B816" s="5"/>
      <c r="C816" s="5"/>
      <c r="D816" s="5"/>
      <c r="E816" s="5"/>
      <c r="F816" s="5"/>
      <c r="G816" s="5"/>
      <c r="H816" s="306"/>
      <c r="I816" s="306"/>
      <c r="J816" s="5"/>
      <c r="K816" s="5"/>
      <c r="L816" s="5"/>
      <c r="M816" s="5"/>
      <c r="N816" s="5"/>
      <c r="O816" s="5"/>
      <c r="P816" s="5"/>
      <c r="Q816" s="5"/>
      <c r="R816" s="57"/>
      <c r="S816" s="5"/>
      <c r="T816" s="5"/>
      <c r="U816" s="5"/>
      <c r="V816" s="5"/>
      <c r="W816" s="5"/>
      <c r="X816" s="5"/>
      <c r="Y816" s="5"/>
      <c r="Z816" s="5"/>
      <c r="AA816" s="5"/>
      <c r="AB816" s="5"/>
      <c r="AC816" s="5"/>
    </row>
    <row r="817" spans="1:29" ht="12.75" customHeight="1">
      <c r="A817" s="5"/>
      <c r="B817" s="5"/>
      <c r="C817" s="5"/>
      <c r="D817" s="5"/>
      <c r="E817" s="5"/>
      <c r="F817" s="5"/>
      <c r="G817" s="5"/>
      <c r="H817" s="306"/>
      <c r="I817" s="306"/>
      <c r="J817" s="5"/>
      <c r="K817" s="5"/>
      <c r="L817" s="5"/>
      <c r="M817" s="5"/>
      <c r="N817" s="5"/>
      <c r="O817" s="5"/>
      <c r="P817" s="5"/>
      <c r="Q817" s="5"/>
      <c r="R817" s="57"/>
      <c r="S817" s="5"/>
      <c r="T817" s="5"/>
      <c r="U817" s="5"/>
      <c r="V817" s="5"/>
      <c r="W817" s="5"/>
      <c r="X817" s="5"/>
      <c r="Y817" s="5"/>
      <c r="Z817" s="5"/>
      <c r="AA817" s="5"/>
      <c r="AB817" s="5"/>
      <c r="AC817" s="5"/>
    </row>
    <row r="818" spans="1:29" ht="12.75" customHeight="1">
      <c r="A818" s="5"/>
      <c r="B818" s="5"/>
      <c r="C818" s="5"/>
      <c r="D818" s="5"/>
      <c r="E818" s="5"/>
      <c r="F818" s="5"/>
      <c r="G818" s="5"/>
      <c r="H818" s="306"/>
      <c r="I818" s="306"/>
      <c r="J818" s="5"/>
      <c r="K818" s="5"/>
      <c r="L818" s="5"/>
      <c r="M818" s="5"/>
      <c r="N818" s="5"/>
      <c r="O818" s="5"/>
      <c r="P818" s="5"/>
      <c r="Q818" s="5"/>
      <c r="R818" s="57"/>
      <c r="S818" s="5"/>
      <c r="T818" s="5"/>
      <c r="U818" s="5"/>
      <c r="V818" s="5"/>
      <c r="W818" s="5"/>
      <c r="X818" s="5"/>
      <c r="Y818" s="5"/>
      <c r="Z818" s="5"/>
      <c r="AA818" s="5"/>
      <c r="AB818" s="5"/>
      <c r="AC818" s="5"/>
    </row>
    <row r="819" spans="1:29" ht="12.75" customHeight="1">
      <c r="A819" s="5"/>
      <c r="B819" s="5"/>
      <c r="C819" s="5"/>
      <c r="D819" s="5"/>
      <c r="E819" s="5"/>
      <c r="F819" s="5"/>
      <c r="G819" s="5"/>
      <c r="H819" s="306"/>
      <c r="I819" s="306"/>
      <c r="J819" s="5"/>
      <c r="K819" s="5"/>
      <c r="L819" s="5"/>
      <c r="M819" s="5"/>
      <c r="N819" s="5"/>
      <c r="O819" s="5"/>
      <c r="P819" s="5"/>
      <c r="Q819" s="5"/>
      <c r="R819" s="57"/>
      <c r="S819" s="5"/>
      <c r="T819" s="5"/>
      <c r="U819" s="5"/>
      <c r="V819" s="5"/>
      <c r="W819" s="5"/>
      <c r="X819" s="5"/>
      <c r="Y819" s="5"/>
      <c r="Z819" s="5"/>
      <c r="AA819" s="5"/>
      <c r="AB819" s="5"/>
      <c r="AC819" s="5"/>
    </row>
    <row r="820" spans="1:29" ht="12.75" customHeight="1">
      <c r="A820" s="5"/>
      <c r="B820" s="5"/>
      <c r="C820" s="5"/>
      <c r="D820" s="5"/>
      <c r="E820" s="5"/>
      <c r="F820" s="5"/>
      <c r="G820" s="5"/>
      <c r="H820" s="306"/>
      <c r="I820" s="306"/>
      <c r="J820" s="5"/>
      <c r="K820" s="5"/>
      <c r="L820" s="5"/>
      <c r="M820" s="5"/>
      <c r="N820" s="5"/>
      <c r="O820" s="5"/>
      <c r="P820" s="5"/>
      <c r="Q820" s="5"/>
      <c r="R820" s="57"/>
      <c r="S820" s="5"/>
      <c r="T820" s="5"/>
      <c r="U820" s="5"/>
      <c r="V820" s="5"/>
      <c r="W820" s="5"/>
      <c r="X820" s="5"/>
      <c r="Y820" s="5"/>
      <c r="Z820" s="5"/>
      <c r="AA820" s="5"/>
      <c r="AB820" s="5"/>
      <c r="AC820" s="5"/>
    </row>
    <row r="821" spans="1:29" ht="12.75" customHeight="1">
      <c r="A821" s="5"/>
      <c r="B821" s="5"/>
      <c r="C821" s="5"/>
      <c r="D821" s="5"/>
      <c r="E821" s="5"/>
      <c r="F821" s="5"/>
      <c r="G821" s="5"/>
      <c r="H821" s="306"/>
      <c r="I821" s="306"/>
      <c r="J821" s="5"/>
      <c r="K821" s="5"/>
      <c r="L821" s="5"/>
      <c r="M821" s="5"/>
      <c r="N821" s="5"/>
      <c r="O821" s="5"/>
      <c r="P821" s="5"/>
      <c r="Q821" s="5"/>
      <c r="R821" s="57"/>
      <c r="S821" s="5"/>
      <c r="T821" s="5"/>
      <c r="U821" s="5"/>
      <c r="V821" s="5"/>
      <c r="W821" s="5"/>
      <c r="X821" s="5"/>
      <c r="Y821" s="5"/>
      <c r="Z821" s="5"/>
      <c r="AA821" s="5"/>
      <c r="AB821" s="5"/>
      <c r="AC821" s="5"/>
    </row>
    <row r="822" spans="1:29" ht="12.75" customHeight="1">
      <c r="A822" s="5"/>
      <c r="B822" s="5"/>
      <c r="C822" s="5"/>
      <c r="D822" s="5"/>
      <c r="E822" s="5"/>
      <c r="F822" s="5"/>
      <c r="G822" s="5"/>
      <c r="H822" s="306"/>
      <c r="I822" s="306"/>
      <c r="J822" s="5"/>
      <c r="K822" s="5"/>
      <c r="L822" s="5"/>
      <c r="M822" s="5"/>
      <c r="N822" s="5"/>
      <c r="O822" s="5"/>
      <c r="P822" s="5"/>
      <c r="Q822" s="5"/>
      <c r="R822" s="57"/>
      <c r="S822" s="5"/>
      <c r="T822" s="5"/>
      <c r="U822" s="5"/>
      <c r="V822" s="5"/>
      <c r="W822" s="5"/>
      <c r="X822" s="5"/>
      <c r="Y822" s="5"/>
      <c r="Z822" s="5"/>
      <c r="AA822" s="5"/>
      <c r="AB822" s="5"/>
      <c r="AC822" s="5"/>
    </row>
    <row r="823" spans="1:29" ht="12.75" customHeight="1">
      <c r="A823" s="5"/>
      <c r="B823" s="5"/>
      <c r="C823" s="5"/>
      <c r="D823" s="5"/>
      <c r="E823" s="5"/>
      <c r="F823" s="5"/>
      <c r="G823" s="5"/>
      <c r="H823" s="306"/>
      <c r="I823" s="306"/>
      <c r="J823" s="5"/>
      <c r="K823" s="5"/>
      <c r="L823" s="5"/>
      <c r="M823" s="5"/>
      <c r="N823" s="5"/>
      <c r="O823" s="5"/>
      <c r="P823" s="5"/>
      <c r="Q823" s="5"/>
      <c r="R823" s="57"/>
      <c r="S823" s="5"/>
      <c r="T823" s="5"/>
      <c r="U823" s="5"/>
      <c r="V823" s="5"/>
      <c r="W823" s="5"/>
      <c r="X823" s="5"/>
      <c r="Y823" s="5"/>
      <c r="Z823" s="5"/>
      <c r="AA823" s="5"/>
      <c r="AB823" s="5"/>
      <c r="AC823" s="5"/>
    </row>
    <row r="824" spans="1:29" ht="12.75" customHeight="1">
      <c r="A824" s="5"/>
      <c r="B824" s="5"/>
      <c r="C824" s="5"/>
      <c r="D824" s="5"/>
      <c r="E824" s="5"/>
      <c r="F824" s="5"/>
      <c r="G824" s="5"/>
      <c r="H824" s="306"/>
      <c r="I824" s="306"/>
      <c r="J824" s="5"/>
      <c r="K824" s="5"/>
      <c r="L824" s="5"/>
      <c r="M824" s="5"/>
      <c r="N824" s="5"/>
      <c r="O824" s="5"/>
      <c r="P824" s="5"/>
      <c r="Q824" s="5"/>
      <c r="R824" s="57"/>
      <c r="S824" s="5"/>
      <c r="T824" s="5"/>
      <c r="U824" s="5"/>
      <c r="V824" s="5"/>
      <c r="W824" s="5"/>
      <c r="X824" s="5"/>
      <c r="Y824" s="5"/>
      <c r="Z824" s="5"/>
      <c r="AA824" s="5"/>
      <c r="AB824" s="5"/>
      <c r="AC824" s="5"/>
    </row>
    <row r="825" spans="1:29" ht="12.75" customHeight="1">
      <c r="A825" s="5"/>
      <c r="B825" s="5"/>
      <c r="C825" s="5"/>
      <c r="D825" s="5"/>
      <c r="E825" s="5"/>
      <c r="F825" s="5"/>
      <c r="G825" s="5"/>
      <c r="H825" s="306"/>
      <c r="I825" s="306"/>
      <c r="J825" s="5"/>
      <c r="K825" s="5"/>
      <c r="L825" s="5"/>
      <c r="M825" s="5"/>
      <c r="N825" s="5"/>
      <c r="O825" s="5"/>
      <c r="P825" s="5"/>
      <c r="Q825" s="5"/>
      <c r="R825" s="57"/>
      <c r="S825" s="5"/>
      <c r="T825" s="5"/>
      <c r="U825" s="5"/>
      <c r="V825" s="5"/>
      <c r="W825" s="5"/>
      <c r="X825" s="5"/>
      <c r="Y825" s="5"/>
      <c r="Z825" s="5"/>
      <c r="AA825" s="5"/>
      <c r="AB825" s="5"/>
      <c r="AC825" s="5"/>
    </row>
    <row r="826" spans="1:29" ht="12.75" customHeight="1">
      <c r="A826" s="5"/>
      <c r="B826" s="5"/>
      <c r="C826" s="5"/>
      <c r="D826" s="5"/>
      <c r="E826" s="5"/>
      <c r="F826" s="5"/>
      <c r="G826" s="5"/>
      <c r="H826" s="306"/>
      <c r="I826" s="306"/>
      <c r="J826" s="5"/>
      <c r="K826" s="5"/>
      <c r="L826" s="5"/>
      <c r="M826" s="5"/>
      <c r="N826" s="5"/>
      <c r="O826" s="5"/>
      <c r="P826" s="5"/>
      <c r="Q826" s="5"/>
      <c r="R826" s="57"/>
      <c r="S826" s="5"/>
      <c r="T826" s="5"/>
      <c r="U826" s="5"/>
      <c r="V826" s="5"/>
      <c r="W826" s="5"/>
      <c r="X826" s="5"/>
      <c r="Y826" s="5"/>
      <c r="Z826" s="5"/>
      <c r="AA826" s="5"/>
      <c r="AB826" s="5"/>
      <c r="AC826" s="5"/>
    </row>
    <row r="827" spans="1:29" ht="12.75" customHeight="1">
      <c r="A827" s="5"/>
      <c r="B827" s="5"/>
      <c r="C827" s="5"/>
      <c r="D827" s="5"/>
      <c r="E827" s="5"/>
      <c r="F827" s="5"/>
      <c r="G827" s="5"/>
      <c r="H827" s="306"/>
      <c r="I827" s="306"/>
      <c r="J827" s="5"/>
      <c r="K827" s="5"/>
      <c r="L827" s="5"/>
      <c r="M827" s="5"/>
      <c r="N827" s="5"/>
      <c r="O827" s="5"/>
      <c r="P827" s="5"/>
      <c r="Q827" s="5"/>
      <c r="R827" s="57"/>
      <c r="S827" s="5"/>
      <c r="T827" s="5"/>
      <c r="U827" s="5"/>
      <c r="V827" s="5"/>
      <c r="W827" s="5"/>
      <c r="X827" s="5"/>
      <c r="Y827" s="5"/>
      <c r="Z827" s="5"/>
      <c r="AA827" s="5"/>
      <c r="AB827" s="5"/>
      <c r="AC827" s="5"/>
    </row>
    <row r="828" spans="1:29" ht="12.75" customHeight="1">
      <c r="A828" s="5"/>
      <c r="B828" s="5"/>
      <c r="C828" s="5"/>
      <c r="D828" s="5"/>
      <c r="E828" s="5"/>
      <c r="F828" s="5"/>
      <c r="G828" s="5"/>
      <c r="H828" s="306"/>
      <c r="I828" s="306"/>
      <c r="J828" s="5"/>
      <c r="K828" s="5"/>
      <c r="L828" s="5"/>
      <c r="M828" s="5"/>
      <c r="N828" s="5"/>
      <c r="O828" s="5"/>
      <c r="P828" s="5"/>
      <c r="Q828" s="5"/>
      <c r="R828" s="57"/>
      <c r="S828" s="5"/>
      <c r="T828" s="5"/>
      <c r="U828" s="5"/>
      <c r="V828" s="5"/>
      <c r="W828" s="5"/>
      <c r="X828" s="5"/>
      <c r="Y828" s="5"/>
      <c r="Z828" s="5"/>
      <c r="AA828" s="5"/>
      <c r="AB828" s="5"/>
      <c r="AC828" s="5"/>
    </row>
    <row r="829" spans="1:29" ht="12.75" customHeight="1">
      <c r="A829" s="5"/>
      <c r="B829" s="5"/>
      <c r="C829" s="5"/>
      <c r="D829" s="5"/>
      <c r="E829" s="5"/>
      <c r="F829" s="5"/>
      <c r="G829" s="5"/>
      <c r="H829" s="306"/>
      <c r="I829" s="306"/>
      <c r="J829" s="5"/>
      <c r="K829" s="5"/>
      <c r="L829" s="5"/>
      <c r="M829" s="5"/>
      <c r="N829" s="5"/>
      <c r="O829" s="5"/>
      <c r="P829" s="5"/>
      <c r="Q829" s="5"/>
      <c r="R829" s="57"/>
      <c r="S829" s="5"/>
      <c r="T829" s="5"/>
      <c r="U829" s="5"/>
      <c r="V829" s="5"/>
      <c r="W829" s="5"/>
      <c r="X829" s="5"/>
      <c r="Y829" s="5"/>
      <c r="Z829" s="5"/>
      <c r="AA829" s="5"/>
      <c r="AB829" s="5"/>
      <c r="AC829" s="5"/>
    </row>
    <row r="830" spans="1:29" ht="12.75" customHeight="1">
      <c r="A830" s="5"/>
      <c r="B830" s="5"/>
      <c r="C830" s="5"/>
      <c r="D830" s="5"/>
      <c r="E830" s="5"/>
      <c r="F830" s="5"/>
      <c r="G830" s="5"/>
      <c r="H830" s="306"/>
      <c r="I830" s="306"/>
      <c r="J830" s="5"/>
      <c r="K830" s="5"/>
      <c r="L830" s="5"/>
      <c r="M830" s="5"/>
      <c r="N830" s="5"/>
      <c r="O830" s="5"/>
      <c r="P830" s="5"/>
      <c r="Q830" s="5"/>
      <c r="R830" s="57"/>
      <c r="S830" s="5"/>
      <c r="T830" s="5"/>
      <c r="U830" s="5"/>
      <c r="V830" s="5"/>
      <c r="W830" s="5"/>
      <c r="X830" s="5"/>
      <c r="Y830" s="5"/>
      <c r="Z830" s="5"/>
      <c r="AA830" s="5"/>
      <c r="AB830" s="5"/>
      <c r="AC830" s="5"/>
    </row>
    <row r="831" spans="1:29" ht="12.75" customHeight="1">
      <c r="A831" s="5"/>
      <c r="B831" s="5"/>
      <c r="C831" s="5"/>
      <c r="D831" s="5"/>
      <c r="E831" s="5"/>
      <c r="F831" s="5"/>
      <c r="G831" s="5"/>
      <c r="H831" s="306"/>
      <c r="I831" s="306"/>
      <c r="J831" s="5"/>
      <c r="K831" s="5"/>
      <c r="L831" s="5"/>
      <c r="M831" s="5"/>
      <c r="N831" s="5"/>
      <c r="O831" s="5"/>
      <c r="P831" s="5"/>
      <c r="Q831" s="5"/>
      <c r="R831" s="57"/>
      <c r="S831" s="5"/>
      <c r="T831" s="5"/>
      <c r="U831" s="5"/>
      <c r="V831" s="5"/>
      <c r="W831" s="5"/>
      <c r="X831" s="5"/>
      <c r="Y831" s="5"/>
      <c r="Z831" s="5"/>
      <c r="AA831" s="5"/>
      <c r="AB831" s="5"/>
      <c r="AC831" s="5"/>
    </row>
    <row r="832" spans="1:29" ht="12.75" customHeight="1">
      <c r="A832" s="5"/>
      <c r="B832" s="5"/>
      <c r="C832" s="5"/>
      <c r="D832" s="5"/>
      <c r="E832" s="5"/>
      <c r="F832" s="5"/>
      <c r="G832" s="5"/>
      <c r="H832" s="306"/>
      <c r="I832" s="306"/>
      <c r="J832" s="5"/>
      <c r="K832" s="5"/>
      <c r="L832" s="5"/>
      <c r="M832" s="5"/>
      <c r="N832" s="5"/>
      <c r="O832" s="5"/>
      <c r="P832" s="5"/>
      <c r="Q832" s="5"/>
      <c r="R832" s="57"/>
      <c r="S832" s="5"/>
      <c r="T832" s="5"/>
      <c r="U832" s="5"/>
      <c r="V832" s="5"/>
      <c r="W832" s="5"/>
      <c r="X832" s="5"/>
      <c r="Y832" s="5"/>
      <c r="Z832" s="5"/>
      <c r="AA832" s="5"/>
      <c r="AB832" s="5"/>
      <c r="AC832" s="5"/>
    </row>
    <row r="833" spans="1:29" ht="12.75" customHeight="1">
      <c r="A833" s="5"/>
      <c r="B833" s="5"/>
      <c r="C833" s="5"/>
      <c r="D833" s="5"/>
      <c r="E833" s="5"/>
      <c r="F833" s="5"/>
      <c r="G833" s="5"/>
      <c r="H833" s="306"/>
      <c r="I833" s="306"/>
      <c r="J833" s="5"/>
      <c r="K833" s="5"/>
      <c r="L833" s="5"/>
      <c r="M833" s="5"/>
      <c r="N833" s="5"/>
      <c r="O833" s="5"/>
      <c r="P833" s="5"/>
      <c r="Q833" s="5"/>
      <c r="R833" s="57"/>
      <c r="S833" s="5"/>
      <c r="T833" s="5"/>
      <c r="U833" s="5"/>
      <c r="V833" s="5"/>
      <c r="W833" s="5"/>
      <c r="X833" s="5"/>
      <c r="Y833" s="5"/>
      <c r="Z833" s="5"/>
      <c r="AA833" s="5"/>
      <c r="AB833" s="5"/>
      <c r="AC833" s="5"/>
    </row>
    <row r="834" spans="1:29" ht="12.75" customHeight="1">
      <c r="A834" s="5"/>
      <c r="B834" s="5"/>
      <c r="C834" s="5"/>
      <c r="D834" s="5"/>
      <c r="E834" s="5"/>
      <c r="F834" s="5"/>
      <c r="G834" s="5"/>
      <c r="H834" s="306"/>
      <c r="I834" s="306"/>
      <c r="J834" s="5"/>
      <c r="K834" s="5"/>
      <c r="L834" s="5"/>
      <c r="M834" s="5"/>
      <c r="N834" s="5"/>
      <c r="O834" s="5"/>
      <c r="P834" s="5"/>
      <c r="Q834" s="5"/>
      <c r="R834" s="57"/>
      <c r="S834" s="5"/>
      <c r="T834" s="5"/>
      <c r="U834" s="5"/>
      <c r="V834" s="5"/>
      <c r="W834" s="5"/>
      <c r="X834" s="5"/>
      <c r="Y834" s="5"/>
      <c r="Z834" s="5"/>
      <c r="AA834" s="5"/>
      <c r="AB834" s="5"/>
      <c r="AC834" s="5"/>
    </row>
    <row r="835" spans="1:29" ht="12.75" customHeight="1">
      <c r="A835" s="5"/>
      <c r="B835" s="5"/>
      <c r="C835" s="5"/>
      <c r="D835" s="5"/>
      <c r="E835" s="5"/>
      <c r="F835" s="5"/>
      <c r="G835" s="5"/>
      <c r="H835" s="306"/>
      <c r="I835" s="306"/>
      <c r="J835" s="5"/>
      <c r="K835" s="5"/>
      <c r="L835" s="5"/>
      <c r="M835" s="5"/>
      <c r="N835" s="5"/>
      <c r="O835" s="5"/>
      <c r="P835" s="5"/>
      <c r="Q835" s="5"/>
      <c r="R835" s="57"/>
      <c r="S835" s="5"/>
      <c r="T835" s="5"/>
      <c r="U835" s="5"/>
      <c r="V835" s="5"/>
      <c r="W835" s="5"/>
      <c r="X835" s="5"/>
      <c r="Y835" s="5"/>
      <c r="Z835" s="5"/>
      <c r="AA835" s="5"/>
      <c r="AB835" s="5"/>
      <c r="AC835" s="5"/>
    </row>
    <row r="836" spans="1:29" ht="12.75" customHeight="1">
      <c r="A836" s="5"/>
      <c r="B836" s="5"/>
      <c r="C836" s="5"/>
      <c r="D836" s="5"/>
      <c r="E836" s="5"/>
      <c r="F836" s="5"/>
      <c r="G836" s="5"/>
      <c r="H836" s="306"/>
      <c r="I836" s="306"/>
      <c r="J836" s="5"/>
      <c r="K836" s="5"/>
      <c r="L836" s="5"/>
      <c r="M836" s="5"/>
      <c r="N836" s="5"/>
      <c r="O836" s="5"/>
      <c r="P836" s="5"/>
      <c r="Q836" s="5"/>
      <c r="R836" s="57"/>
      <c r="S836" s="5"/>
      <c r="T836" s="5"/>
      <c r="U836" s="5"/>
      <c r="V836" s="5"/>
      <c r="W836" s="5"/>
      <c r="X836" s="5"/>
      <c r="Y836" s="5"/>
      <c r="Z836" s="5"/>
      <c r="AA836" s="5"/>
      <c r="AB836" s="5"/>
      <c r="AC836" s="5"/>
    </row>
    <row r="837" spans="1:29" ht="12.75" customHeight="1">
      <c r="A837" s="5"/>
      <c r="B837" s="5"/>
      <c r="C837" s="5"/>
      <c r="D837" s="5"/>
      <c r="E837" s="5"/>
      <c r="F837" s="5"/>
      <c r="G837" s="5"/>
      <c r="H837" s="306"/>
      <c r="I837" s="306"/>
      <c r="J837" s="5"/>
      <c r="K837" s="5"/>
      <c r="L837" s="5"/>
      <c r="M837" s="5"/>
      <c r="N837" s="5"/>
      <c r="O837" s="5"/>
      <c r="P837" s="5"/>
      <c r="Q837" s="5"/>
      <c r="R837" s="57"/>
      <c r="S837" s="5"/>
      <c r="T837" s="5"/>
      <c r="U837" s="5"/>
      <c r="V837" s="5"/>
      <c r="W837" s="5"/>
      <c r="X837" s="5"/>
      <c r="Y837" s="5"/>
      <c r="Z837" s="5"/>
      <c r="AA837" s="5"/>
      <c r="AB837" s="5"/>
      <c r="AC837" s="5"/>
    </row>
    <row r="838" spans="1:29" ht="12.75" customHeight="1">
      <c r="A838" s="5"/>
      <c r="B838" s="5"/>
      <c r="C838" s="5"/>
      <c r="D838" s="5"/>
      <c r="E838" s="5"/>
      <c r="F838" s="5"/>
      <c r="G838" s="5"/>
      <c r="H838" s="306"/>
      <c r="I838" s="306"/>
      <c r="J838" s="5"/>
      <c r="K838" s="5"/>
      <c r="L838" s="5"/>
      <c r="M838" s="5"/>
      <c r="N838" s="5"/>
      <c r="O838" s="5"/>
      <c r="P838" s="5"/>
      <c r="Q838" s="5"/>
      <c r="R838" s="57"/>
      <c r="S838" s="5"/>
      <c r="T838" s="5"/>
      <c r="U838" s="5"/>
      <c r="V838" s="5"/>
      <c r="W838" s="5"/>
      <c r="X838" s="5"/>
      <c r="Y838" s="5"/>
      <c r="Z838" s="5"/>
      <c r="AA838" s="5"/>
      <c r="AB838" s="5"/>
      <c r="AC838" s="5"/>
    </row>
    <row r="839" spans="1:29" ht="12.75" customHeight="1">
      <c r="A839" s="5"/>
      <c r="B839" s="5"/>
      <c r="C839" s="5"/>
      <c r="D839" s="5"/>
      <c r="E839" s="5"/>
      <c r="F839" s="5"/>
      <c r="G839" s="5"/>
      <c r="H839" s="306"/>
      <c r="I839" s="306"/>
      <c r="J839" s="5"/>
      <c r="K839" s="5"/>
      <c r="L839" s="5"/>
      <c r="M839" s="5"/>
      <c r="N839" s="5"/>
      <c r="O839" s="5"/>
      <c r="P839" s="5"/>
      <c r="Q839" s="5"/>
      <c r="R839" s="57"/>
      <c r="S839" s="5"/>
      <c r="T839" s="5"/>
      <c r="U839" s="5"/>
      <c r="V839" s="5"/>
      <c r="W839" s="5"/>
      <c r="X839" s="5"/>
      <c r="Y839" s="5"/>
      <c r="Z839" s="5"/>
      <c r="AA839" s="5"/>
      <c r="AB839" s="5"/>
      <c r="AC839" s="5"/>
    </row>
    <row r="840" spans="1:29" ht="12.75" customHeight="1">
      <c r="A840" s="5"/>
      <c r="B840" s="5"/>
      <c r="C840" s="5"/>
      <c r="D840" s="5"/>
      <c r="E840" s="5"/>
      <c r="F840" s="5"/>
      <c r="G840" s="5"/>
      <c r="H840" s="306"/>
      <c r="I840" s="306"/>
      <c r="J840" s="5"/>
      <c r="K840" s="5"/>
      <c r="L840" s="5"/>
      <c r="M840" s="5"/>
      <c r="N840" s="5"/>
      <c r="O840" s="5"/>
      <c r="P840" s="5"/>
      <c r="Q840" s="5"/>
      <c r="R840" s="57"/>
      <c r="S840" s="5"/>
      <c r="T840" s="5"/>
      <c r="U840" s="5"/>
      <c r="V840" s="5"/>
      <c r="W840" s="5"/>
      <c r="X840" s="5"/>
      <c r="Y840" s="5"/>
      <c r="Z840" s="5"/>
      <c r="AA840" s="5"/>
      <c r="AB840" s="5"/>
      <c r="AC840" s="5"/>
    </row>
    <row r="841" spans="1:29" ht="12.75" customHeight="1">
      <c r="A841" s="5"/>
      <c r="B841" s="5"/>
      <c r="C841" s="5"/>
      <c r="D841" s="5"/>
      <c r="E841" s="5"/>
      <c r="F841" s="5"/>
      <c r="G841" s="5"/>
      <c r="H841" s="306"/>
      <c r="I841" s="306"/>
      <c r="J841" s="5"/>
      <c r="K841" s="5"/>
      <c r="L841" s="5"/>
      <c r="M841" s="5"/>
      <c r="N841" s="5"/>
      <c r="O841" s="5"/>
      <c r="P841" s="5"/>
      <c r="Q841" s="5"/>
      <c r="R841" s="57"/>
      <c r="S841" s="5"/>
      <c r="T841" s="5"/>
      <c r="U841" s="5"/>
      <c r="V841" s="5"/>
      <c r="W841" s="5"/>
      <c r="X841" s="5"/>
      <c r="Y841" s="5"/>
      <c r="Z841" s="5"/>
      <c r="AA841" s="5"/>
      <c r="AB841" s="5"/>
      <c r="AC841" s="5"/>
    </row>
    <row r="842" spans="1:29" ht="12.75" customHeight="1">
      <c r="A842" s="5"/>
      <c r="B842" s="5"/>
      <c r="C842" s="5"/>
      <c r="D842" s="5"/>
      <c r="E842" s="5"/>
      <c r="F842" s="5"/>
      <c r="G842" s="5"/>
      <c r="H842" s="306"/>
      <c r="I842" s="306"/>
      <c r="J842" s="5"/>
      <c r="K842" s="5"/>
      <c r="L842" s="5"/>
      <c r="M842" s="5"/>
      <c r="N842" s="5"/>
      <c r="O842" s="5"/>
      <c r="P842" s="5"/>
      <c r="Q842" s="5"/>
      <c r="R842" s="57"/>
      <c r="S842" s="5"/>
      <c r="T842" s="5"/>
      <c r="U842" s="5"/>
      <c r="V842" s="5"/>
      <c r="W842" s="5"/>
      <c r="X842" s="5"/>
      <c r="Y842" s="5"/>
      <c r="Z842" s="5"/>
      <c r="AA842" s="5"/>
      <c r="AB842" s="5"/>
      <c r="AC842" s="5"/>
    </row>
    <row r="843" spans="1:29" ht="12.75" customHeight="1">
      <c r="A843" s="5"/>
      <c r="B843" s="5"/>
      <c r="C843" s="5"/>
      <c r="D843" s="5"/>
      <c r="E843" s="5"/>
      <c r="F843" s="5"/>
      <c r="G843" s="5"/>
      <c r="H843" s="306"/>
      <c r="I843" s="306"/>
      <c r="J843" s="5"/>
      <c r="K843" s="5"/>
      <c r="L843" s="5"/>
      <c r="M843" s="5"/>
      <c r="N843" s="5"/>
      <c r="O843" s="5"/>
      <c r="P843" s="5"/>
      <c r="Q843" s="5"/>
      <c r="R843" s="57"/>
      <c r="S843" s="5"/>
      <c r="T843" s="5"/>
      <c r="U843" s="5"/>
      <c r="V843" s="5"/>
      <c r="W843" s="5"/>
      <c r="X843" s="5"/>
      <c r="Y843" s="5"/>
      <c r="Z843" s="5"/>
      <c r="AA843" s="5"/>
      <c r="AB843" s="5"/>
      <c r="AC843" s="5"/>
    </row>
    <row r="844" spans="1:29" ht="12.75" customHeight="1">
      <c r="A844" s="5"/>
      <c r="B844" s="5"/>
      <c r="C844" s="5"/>
      <c r="D844" s="5"/>
      <c r="E844" s="5"/>
      <c r="F844" s="5"/>
      <c r="G844" s="5"/>
      <c r="H844" s="306"/>
      <c r="I844" s="306"/>
      <c r="J844" s="5"/>
      <c r="K844" s="5"/>
      <c r="L844" s="5"/>
      <c r="M844" s="5"/>
      <c r="N844" s="5"/>
      <c r="O844" s="5"/>
      <c r="P844" s="5"/>
      <c r="Q844" s="5"/>
      <c r="R844" s="57"/>
      <c r="S844" s="5"/>
      <c r="T844" s="5"/>
      <c r="U844" s="5"/>
      <c r="V844" s="5"/>
      <c r="W844" s="5"/>
      <c r="X844" s="5"/>
      <c r="Y844" s="5"/>
      <c r="Z844" s="5"/>
      <c r="AA844" s="5"/>
      <c r="AB844" s="5"/>
      <c r="AC844" s="5"/>
    </row>
    <row r="845" spans="1:29" ht="12.75" customHeight="1">
      <c r="A845" s="5"/>
      <c r="B845" s="5"/>
      <c r="C845" s="5"/>
      <c r="D845" s="5"/>
      <c r="E845" s="5"/>
      <c r="F845" s="5"/>
      <c r="G845" s="5"/>
      <c r="H845" s="306"/>
      <c r="I845" s="306"/>
      <c r="J845" s="5"/>
      <c r="K845" s="5"/>
      <c r="L845" s="5"/>
      <c r="M845" s="5"/>
      <c r="N845" s="5"/>
      <c r="O845" s="5"/>
      <c r="P845" s="5"/>
      <c r="Q845" s="5"/>
      <c r="R845" s="57"/>
      <c r="S845" s="5"/>
      <c r="T845" s="5"/>
      <c r="U845" s="5"/>
      <c r="V845" s="5"/>
      <c r="W845" s="5"/>
      <c r="X845" s="5"/>
      <c r="Y845" s="5"/>
      <c r="Z845" s="5"/>
      <c r="AA845" s="5"/>
      <c r="AB845" s="5"/>
      <c r="AC845" s="5"/>
    </row>
    <row r="846" spans="1:29" ht="12.75" customHeight="1">
      <c r="A846" s="5"/>
      <c r="B846" s="5"/>
      <c r="C846" s="5"/>
      <c r="D846" s="5"/>
      <c r="E846" s="5"/>
      <c r="F846" s="5"/>
      <c r="G846" s="5"/>
      <c r="H846" s="306"/>
      <c r="I846" s="306"/>
      <c r="J846" s="5"/>
      <c r="K846" s="5"/>
      <c r="L846" s="5"/>
      <c r="M846" s="5"/>
      <c r="N846" s="5"/>
      <c r="O846" s="5"/>
      <c r="P846" s="5"/>
      <c r="Q846" s="5"/>
      <c r="R846" s="57"/>
      <c r="S846" s="5"/>
      <c r="T846" s="5"/>
      <c r="U846" s="5"/>
      <c r="V846" s="5"/>
      <c r="W846" s="5"/>
      <c r="X846" s="5"/>
      <c r="Y846" s="5"/>
      <c r="Z846" s="5"/>
      <c r="AA846" s="5"/>
      <c r="AB846" s="5"/>
      <c r="AC846" s="5"/>
    </row>
    <row r="847" spans="1:29" ht="12.75" customHeight="1">
      <c r="A847" s="5"/>
      <c r="B847" s="5"/>
      <c r="C847" s="5"/>
      <c r="D847" s="5"/>
      <c r="E847" s="5"/>
      <c r="F847" s="5"/>
      <c r="G847" s="5"/>
      <c r="H847" s="306"/>
      <c r="I847" s="306"/>
      <c r="J847" s="5"/>
      <c r="K847" s="5"/>
      <c r="L847" s="5"/>
      <c r="M847" s="5"/>
      <c r="N847" s="5"/>
      <c r="O847" s="5"/>
      <c r="P847" s="5"/>
      <c r="Q847" s="5"/>
      <c r="R847" s="57"/>
      <c r="S847" s="5"/>
      <c r="T847" s="5"/>
      <c r="U847" s="5"/>
      <c r="V847" s="5"/>
      <c r="W847" s="5"/>
      <c r="X847" s="5"/>
      <c r="Y847" s="5"/>
      <c r="Z847" s="5"/>
      <c r="AA847" s="5"/>
      <c r="AB847" s="5"/>
      <c r="AC847" s="5"/>
    </row>
    <row r="848" spans="1:29" ht="12.75" customHeight="1">
      <c r="A848" s="5"/>
      <c r="B848" s="5"/>
      <c r="C848" s="5"/>
      <c r="D848" s="5"/>
      <c r="E848" s="5"/>
      <c r="F848" s="5"/>
      <c r="G848" s="5"/>
      <c r="H848" s="306"/>
      <c r="I848" s="306"/>
      <c r="J848" s="5"/>
      <c r="K848" s="5"/>
      <c r="L848" s="5"/>
      <c r="M848" s="5"/>
      <c r="N848" s="5"/>
      <c r="O848" s="5"/>
      <c r="P848" s="5"/>
      <c r="Q848" s="5"/>
      <c r="R848" s="57"/>
      <c r="S848" s="5"/>
      <c r="T848" s="5"/>
      <c r="U848" s="5"/>
      <c r="V848" s="5"/>
      <c r="W848" s="5"/>
      <c r="X848" s="5"/>
      <c r="Y848" s="5"/>
      <c r="Z848" s="5"/>
      <c r="AA848" s="5"/>
      <c r="AB848" s="5"/>
      <c r="AC848" s="5"/>
    </row>
    <row r="849" spans="1:29" ht="12.75" customHeight="1">
      <c r="A849" s="5"/>
      <c r="B849" s="5"/>
      <c r="C849" s="5"/>
      <c r="D849" s="5"/>
      <c r="E849" s="5"/>
      <c r="F849" s="5"/>
      <c r="G849" s="5"/>
      <c r="H849" s="306"/>
      <c r="I849" s="306"/>
      <c r="J849" s="5"/>
      <c r="K849" s="5"/>
      <c r="L849" s="5"/>
      <c r="M849" s="5"/>
      <c r="N849" s="5"/>
      <c r="O849" s="5"/>
      <c r="P849" s="5"/>
      <c r="Q849" s="5"/>
      <c r="R849" s="57"/>
      <c r="S849" s="5"/>
      <c r="T849" s="5"/>
      <c r="U849" s="5"/>
      <c r="V849" s="5"/>
      <c r="W849" s="5"/>
      <c r="X849" s="5"/>
      <c r="Y849" s="5"/>
      <c r="Z849" s="5"/>
      <c r="AA849" s="5"/>
      <c r="AB849" s="5"/>
      <c r="AC849" s="5"/>
    </row>
    <row r="850" spans="1:29" ht="12.75" customHeight="1">
      <c r="A850" s="5"/>
      <c r="B850" s="5"/>
      <c r="C850" s="5"/>
      <c r="D850" s="5"/>
      <c r="E850" s="5"/>
      <c r="F850" s="5"/>
      <c r="G850" s="5"/>
      <c r="H850" s="306"/>
      <c r="I850" s="306"/>
      <c r="J850" s="5"/>
      <c r="K850" s="5"/>
      <c r="L850" s="5"/>
      <c r="M850" s="5"/>
      <c r="N850" s="5"/>
      <c r="O850" s="5"/>
      <c r="P850" s="5"/>
      <c r="Q850" s="5"/>
      <c r="R850" s="57"/>
      <c r="S850" s="5"/>
      <c r="T850" s="5"/>
      <c r="U850" s="5"/>
      <c r="V850" s="5"/>
      <c r="W850" s="5"/>
      <c r="X850" s="5"/>
      <c r="Y850" s="5"/>
      <c r="Z850" s="5"/>
      <c r="AA850" s="5"/>
      <c r="AB850" s="5"/>
      <c r="AC850" s="5"/>
    </row>
    <row r="851" spans="1:29" ht="12.75" customHeight="1">
      <c r="A851" s="5"/>
      <c r="B851" s="5"/>
      <c r="C851" s="5"/>
      <c r="D851" s="5"/>
      <c r="E851" s="5"/>
      <c r="F851" s="5"/>
      <c r="G851" s="5"/>
      <c r="H851" s="306"/>
      <c r="I851" s="306"/>
      <c r="J851" s="5"/>
      <c r="K851" s="5"/>
      <c r="L851" s="5"/>
      <c r="M851" s="5"/>
      <c r="N851" s="5"/>
      <c r="O851" s="5"/>
      <c r="P851" s="5"/>
      <c r="Q851" s="5"/>
      <c r="R851" s="57"/>
      <c r="S851" s="5"/>
      <c r="T851" s="5"/>
      <c r="U851" s="5"/>
      <c r="V851" s="5"/>
      <c r="W851" s="5"/>
      <c r="X851" s="5"/>
      <c r="Y851" s="5"/>
      <c r="Z851" s="5"/>
      <c r="AA851" s="5"/>
      <c r="AB851" s="5"/>
      <c r="AC851" s="5"/>
    </row>
    <row r="852" spans="1:29" ht="12.75" customHeight="1">
      <c r="A852" s="5"/>
      <c r="B852" s="5"/>
      <c r="C852" s="5"/>
      <c r="D852" s="5"/>
      <c r="E852" s="5"/>
      <c r="F852" s="5"/>
      <c r="G852" s="5"/>
      <c r="H852" s="306"/>
      <c r="I852" s="306"/>
      <c r="J852" s="5"/>
      <c r="K852" s="5"/>
      <c r="L852" s="5"/>
      <c r="M852" s="5"/>
      <c r="N852" s="5"/>
      <c r="O852" s="5"/>
      <c r="P852" s="5"/>
      <c r="Q852" s="5"/>
      <c r="R852" s="57"/>
      <c r="S852" s="5"/>
      <c r="T852" s="5"/>
      <c r="U852" s="5"/>
      <c r="V852" s="5"/>
      <c r="W852" s="5"/>
      <c r="X852" s="5"/>
      <c r="Y852" s="5"/>
      <c r="Z852" s="5"/>
      <c r="AA852" s="5"/>
      <c r="AB852" s="5"/>
      <c r="AC852" s="5"/>
    </row>
    <row r="853" spans="1:29" ht="12.75" customHeight="1">
      <c r="A853" s="5"/>
      <c r="B853" s="5"/>
      <c r="C853" s="5"/>
      <c r="D853" s="5"/>
      <c r="E853" s="5"/>
      <c r="F853" s="5"/>
      <c r="G853" s="5"/>
      <c r="H853" s="306"/>
      <c r="I853" s="306"/>
      <c r="J853" s="5"/>
      <c r="K853" s="5"/>
      <c r="L853" s="5"/>
      <c r="M853" s="5"/>
      <c r="N853" s="5"/>
      <c r="O853" s="5"/>
      <c r="P853" s="5"/>
      <c r="Q853" s="5"/>
      <c r="R853" s="57"/>
      <c r="S853" s="5"/>
      <c r="T853" s="5"/>
      <c r="U853" s="5"/>
      <c r="V853" s="5"/>
      <c r="W853" s="5"/>
      <c r="X853" s="5"/>
      <c r="Y853" s="5"/>
      <c r="Z853" s="5"/>
      <c r="AA853" s="5"/>
      <c r="AB853" s="5"/>
      <c r="AC853" s="5"/>
    </row>
    <row r="854" spans="1:29" ht="12.75" customHeight="1">
      <c r="A854" s="5"/>
      <c r="B854" s="5"/>
      <c r="C854" s="5"/>
      <c r="D854" s="5"/>
      <c r="E854" s="5"/>
      <c r="F854" s="5"/>
      <c r="G854" s="5"/>
      <c r="H854" s="306"/>
      <c r="I854" s="306"/>
      <c r="J854" s="5"/>
      <c r="K854" s="5"/>
      <c r="L854" s="5"/>
      <c r="M854" s="5"/>
      <c r="N854" s="5"/>
      <c r="O854" s="5"/>
      <c r="P854" s="5"/>
      <c r="Q854" s="5"/>
      <c r="R854" s="57"/>
      <c r="S854" s="5"/>
      <c r="T854" s="5"/>
      <c r="U854" s="5"/>
      <c r="V854" s="5"/>
      <c r="W854" s="5"/>
      <c r="X854" s="5"/>
      <c r="Y854" s="5"/>
      <c r="Z854" s="5"/>
      <c r="AA854" s="5"/>
      <c r="AB854" s="5"/>
      <c r="AC854" s="5"/>
    </row>
    <row r="855" spans="1:29" ht="12.75" customHeight="1">
      <c r="A855" s="5"/>
      <c r="B855" s="5"/>
      <c r="C855" s="5"/>
      <c r="D855" s="5"/>
      <c r="E855" s="5"/>
      <c r="F855" s="5"/>
      <c r="G855" s="5"/>
      <c r="H855" s="306"/>
      <c r="I855" s="306"/>
      <c r="J855" s="5"/>
      <c r="K855" s="5"/>
      <c r="L855" s="5"/>
      <c r="M855" s="5"/>
      <c r="N855" s="5"/>
      <c r="O855" s="5"/>
      <c r="P855" s="5"/>
      <c r="Q855" s="5"/>
      <c r="R855" s="57"/>
      <c r="S855" s="5"/>
      <c r="T855" s="5"/>
      <c r="U855" s="5"/>
      <c r="V855" s="5"/>
      <c r="W855" s="5"/>
      <c r="X855" s="5"/>
      <c r="Y855" s="5"/>
      <c r="Z855" s="5"/>
      <c r="AA855" s="5"/>
      <c r="AB855" s="5"/>
      <c r="AC855" s="5"/>
    </row>
    <row r="856" spans="1:29" ht="12.75" customHeight="1">
      <c r="A856" s="5"/>
      <c r="B856" s="5"/>
      <c r="C856" s="5"/>
      <c r="D856" s="5"/>
      <c r="E856" s="5"/>
      <c r="F856" s="5"/>
      <c r="G856" s="5"/>
      <c r="H856" s="306"/>
      <c r="I856" s="306"/>
      <c r="J856" s="5"/>
      <c r="K856" s="5"/>
      <c r="L856" s="5"/>
      <c r="M856" s="5"/>
      <c r="N856" s="5"/>
      <c r="O856" s="5"/>
      <c r="P856" s="5"/>
      <c r="Q856" s="5"/>
      <c r="R856" s="57"/>
      <c r="S856" s="5"/>
      <c r="T856" s="5"/>
      <c r="U856" s="5"/>
      <c r="V856" s="5"/>
      <c r="W856" s="5"/>
      <c r="X856" s="5"/>
      <c r="Y856" s="5"/>
      <c r="Z856" s="5"/>
      <c r="AA856" s="5"/>
      <c r="AB856" s="5"/>
      <c r="AC856" s="5"/>
    </row>
    <row r="857" spans="1:29" ht="12.75" customHeight="1">
      <c r="A857" s="5"/>
      <c r="B857" s="5"/>
      <c r="C857" s="5"/>
      <c r="D857" s="5"/>
      <c r="E857" s="5"/>
      <c r="F857" s="5"/>
      <c r="G857" s="5"/>
      <c r="H857" s="306"/>
      <c r="I857" s="306"/>
      <c r="J857" s="5"/>
      <c r="K857" s="5"/>
      <c r="L857" s="5"/>
      <c r="M857" s="5"/>
      <c r="N857" s="5"/>
      <c r="O857" s="5"/>
      <c r="P857" s="5"/>
      <c r="Q857" s="5"/>
      <c r="R857" s="57"/>
      <c r="S857" s="5"/>
      <c r="T857" s="5"/>
      <c r="U857" s="5"/>
      <c r="V857" s="5"/>
      <c r="W857" s="5"/>
      <c r="X857" s="5"/>
      <c r="Y857" s="5"/>
      <c r="Z857" s="5"/>
      <c r="AA857" s="5"/>
      <c r="AB857" s="5"/>
      <c r="AC857" s="5"/>
    </row>
    <row r="858" spans="1:29" ht="12.75" customHeight="1">
      <c r="A858" s="5"/>
      <c r="B858" s="5"/>
      <c r="C858" s="5"/>
      <c r="D858" s="5"/>
      <c r="E858" s="5"/>
      <c r="F858" s="5"/>
      <c r="G858" s="5"/>
      <c r="H858" s="306"/>
      <c r="I858" s="306"/>
      <c r="J858" s="5"/>
      <c r="K858" s="5"/>
      <c r="L858" s="5"/>
      <c r="M858" s="5"/>
      <c r="N858" s="5"/>
      <c r="O858" s="5"/>
      <c r="P858" s="5"/>
      <c r="Q858" s="5"/>
      <c r="R858" s="57"/>
      <c r="S858" s="5"/>
      <c r="T858" s="5"/>
      <c r="U858" s="5"/>
      <c r="V858" s="5"/>
      <c r="W858" s="5"/>
      <c r="X858" s="5"/>
      <c r="Y858" s="5"/>
      <c r="Z858" s="5"/>
      <c r="AA858" s="5"/>
      <c r="AB858" s="5"/>
      <c r="AC858" s="5"/>
    </row>
    <row r="859" spans="1:29" ht="12.75" customHeight="1">
      <c r="A859" s="5"/>
      <c r="B859" s="5"/>
      <c r="C859" s="5"/>
      <c r="D859" s="5"/>
      <c r="E859" s="5"/>
      <c r="F859" s="5"/>
      <c r="G859" s="5"/>
      <c r="H859" s="306"/>
      <c r="I859" s="306"/>
      <c r="J859" s="5"/>
      <c r="K859" s="5"/>
      <c r="L859" s="5"/>
      <c r="M859" s="5"/>
      <c r="N859" s="5"/>
      <c r="O859" s="5"/>
      <c r="P859" s="5"/>
      <c r="Q859" s="5"/>
      <c r="R859" s="57"/>
      <c r="S859" s="5"/>
      <c r="T859" s="5"/>
      <c r="U859" s="5"/>
      <c r="V859" s="5"/>
      <c r="W859" s="5"/>
      <c r="X859" s="5"/>
      <c r="Y859" s="5"/>
      <c r="Z859" s="5"/>
      <c r="AA859" s="5"/>
      <c r="AB859" s="5"/>
      <c r="AC859" s="5"/>
    </row>
    <row r="860" spans="1:29" ht="12.75" customHeight="1">
      <c r="A860" s="5"/>
      <c r="B860" s="5"/>
      <c r="C860" s="5"/>
      <c r="D860" s="5"/>
      <c r="E860" s="5"/>
      <c r="F860" s="5"/>
      <c r="G860" s="5"/>
      <c r="H860" s="306"/>
      <c r="I860" s="306"/>
      <c r="J860" s="5"/>
      <c r="K860" s="5"/>
      <c r="L860" s="5"/>
      <c r="M860" s="5"/>
      <c r="N860" s="5"/>
      <c r="O860" s="5"/>
      <c r="P860" s="5"/>
      <c r="Q860" s="5"/>
      <c r="R860" s="57"/>
      <c r="S860" s="5"/>
      <c r="T860" s="5"/>
      <c r="U860" s="5"/>
      <c r="V860" s="5"/>
      <c r="W860" s="5"/>
      <c r="X860" s="5"/>
      <c r="Y860" s="5"/>
      <c r="Z860" s="5"/>
      <c r="AA860" s="5"/>
      <c r="AB860" s="5"/>
      <c r="AC860" s="5"/>
    </row>
    <row r="861" spans="1:29" ht="12.75" customHeight="1">
      <c r="A861" s="5"/>
      <c r="B861" s="5"/>
      <c r="C861" s="5"/>
      <c r="D861" s="5"/>
      <c r="E861" s="5"/>
      <c r="F861" s="5"/>
      <c r="G861" s="5"/>
      <c r="H861" s="306"/>
      <c r="I861" s="306"/>
      <c r="J861" s="5"/>
      <c r="K861" s="5"/>
      <c r="L861" s="5"/>
      <c r="M861" s="5"/>
      <c r="N861" s="5"/>
      <c r="O861" s="5"/>
      <c r="P861" s="5"/>
      <c r="Q861" s="5"/>
      <c r="R861" s="57"/>
      <c r="S861" s="5"/>
      <c r="T861" s="5"/>
      <c r="U861" s="5"/>
      <c r="V861" s="5"/>
      <c r="W861" s="5"/>
      <c r="X861" s="5"/>
      <c r="Y861" s="5"/>
      <c r="Z861" s="5"/>
      <c r="AA861" s="5"/>
      <c r="AB861" s="5"/>
      <c r="AC861" s="5"/>
    </row>
    <row r="862" spans="1:29" ht="12.75" customHeight="1">
      <c r="A862" s="5"/>
      <c r="B862" s="5"/>
      <c r="C862" s="5"/>
      <c r="D862" s="5"/>
      <c r="E862" s="5"/>
      <c r="F862" s="5"/>
      <c r="G862" s="5"/>
      <c r="H862" s="306"/>
      <c r="I862" s="306"/>
      <c r="J862" s="5"/>
      <c r="K862" s="5"/>
      <c r="L862" s="5"/>
      <c r="M862" s="5"/>
      <c r="N862" s="5"/>
      <c r="O862" s="5"/>
      <c r="P862" s="5"/>
      <c r="Q862" s="5"/>
      <c r="R862" s="57"/>
      <c r="S862" s="5"/>
      <c r="T862" s="5"/>
      <c r="U862" s="5"/>
      <c r="V862" s="5"/>
      <c r="W862" s="5"/>
      <c r="X862" s="5"/>
      <c r="Y862" s="5"/>
      <c r="Z862" s="5"/>
      <c r="AA862" s="5"/>
      <c r="AB862" s="5"/>
      <c r="AC862" s="5"/>
    </row>
    <row r="863" spans="1:29" ht="12.75" customHeight="1">
      <c r="A863" s="5"/>
      <c r="B863" s="5"/>
      <c r="C863" s="5"/>
      <c r="D863" s="5"/>
      <c r="E863" s="5"/>
      <c r="F863" s="5"/>
      <c r="G863" s="5"/>
      <c r="H863" s="306"/>
      <c r="I863" s="306"/>
      <c r="J863" s="5"/>
      <c r="K863" s="5"/>
      <c r="L863" s="5"/>
      <c r="M863" s="5"/>
      <c r="N863" s="5"/>
      <c r="O863" s="5"/>
      <c r="P863" s="5"/>
      <c r="Q863" s="5"/>
      <c r="R863" s="57"/>
      <c r="S863" s="5"/>
      <c r="T863" s="5"/>
      <c r="U863" s="5"/>
      <c r="V863" s="5"/>
      <c r="W863" s="5"/>
      <c r="X863" s="5"/>
      <c r="Y863" s="5"/>
      <c r="Z863" s="5"/>
      <c r="AA863" s="5"/>
      <c r="AB863" s="5"/>
      <c r="AC863" s="5"/>
    </row>
    <row r="864" spans="1:29" ht="12.75" customHeight="1">
      <c r="A864" s="5"/>
      <c r="B864" s="5"/>
      <c r="C864" s="5"/>
      <c r="D864" s="5"/>
      <c r="E864" s="5"/>
      <c r="F864" s="5"/>
      <c r="G864" s="5"/>
      <c r="H864" s="306"/>
      <c r="I864" s="306"/>
      <c r="J864" s="5"/>
      <c r="K864" s="5"/>
      <c r="L864" s="5"/>
      <c r="M864" s="5"/>
      <c r="N864" s="5"/>
      <c r="O864" s="5"/>
      <c r="P864" s="5"/>
      <c r="Q864" s="5"/>
      <c r="R864" s="57"/>
      <c r="S864" s="5"/>
      <c r="T864" s="5"/>
      <c r="U864" s="5"/>
      <c r="V864" s="5"/>
      <c r="W864" s="5"/>
      <c r="X864" s="5"/>
      <c r="Y864" s="5"/>
      <c r="Z864" s="5"/>
      <c r="AA864" s="5"/>
      <c r="AB864" s="5"/>
      <c r="AC864" s="5"/>
    </row>
    <row r="865" spans="1:29" ht="12.75" customHeight="1">
      <c r="A865" s="5"/>
      <c r="B865" s="5"/>
      <c r="C865" s="5"/>
      <c r="D865" s="5"/>
      <c r="E865" s="5"/>
      <c r="F865" s="5"/>
      <c r="G865" s="5"/>
      <c r="H865" s="306"/>
      <c r="I865" s="306"/>
      <c r="J865" s="5"/>
      <c r="K865" s="5"/>
      <c r="L865" s="5"/>
      <c r="M865" s="5"/>
      <c r="N865" s="5"/>
      <c r="O865" s="5"/>
      <c r="P865" s="5"/>
      <c r="Q865" s="5"/>
      <c r="R865" s="57"/>
      <c r="S865" s="5"/>
      <c r="T865" s="5"/>
      <c r="U865" s="5"/>
      <c r="V865" s="5"/>
      <c r="W865" s="5"/>
      <c r="X865" s="5"/>
      <c r="Y865" s="5"/>
      <c r="Z865" s="5"/>
      <c r="AA865" s="5"/>
      <c r="AB865" s="5"/>
      <c r="AC865" s="5"/>
    </row>
    <row r="866" spans="1:29" ht="12.75" customHeight="1">
      <c r="A866" s="5"/>
      <c r="B866" s="5"/>
      <c r="C866" s="5"/>
      <c r="D866" s="5"/>
      <c r="E866" s="5"/>
      <c r="F866" s="5"/>
      <c r="G866" s="5"/>
      <c r="H866" s="306"/>
      <c r="I866" s="306"/>
      <c r="J866" s="5"/>
      <c r="K866" s="5"/>
      <c r="L866" s="5"/>
      <c r="M866" s="5"/>
      <c r="N866" s="5"/>
      <c r="O866" s="5"/>
      <c r="P866" s="5"/>
      <c r="Q866" s="5"/>
      <c r="R866" s="57"/>
      <c r="S866" s="5"/>
      <c r="T866" s="5"/>
      <c r="U866" s="5"/>
      <c r="V866" s="5"/>
      <c r="W866" s="5"/>
      <c r="X866" s="5"/>
      <c r="Y866" s="5"/>
      <c r="Z866" s="5"/>
      <c r="AA866" s="5"/>
      <c r="AB866" s="5"/>
      <c r="AC866" s="5"/>
    </row>
    <row r="867" spans="1:29" ht="12.75" customHeight="1">
      <c r="A867" s="5"/>
      <c r="B867" s="5"/>
      <c r="C867" s="5"/>
      <c r="D867" s="5"/>
      <c r="E867" s="5"/>
      <c r="F867" s="5"/>
      <c r="G867" s="5"/>
      <c r="H867" s="306"/>
      <c r="I867" s="306"/>
      <c r="J867" s="5"/>
      <c r="K867" s="5"/>
      <c r="L867" s="5"/>
      <c r="M867" s="5"/>
      <c r="N867" s="5"/>
      <c r="O867" s="5"/>
      <c r="P867" s="5"/>
      <c r="Q867" s="5"/>
      <c r="R867" s="57"/>
      <c r="S867" s="5"/>
      <c r="T867" s="5"/>
      <c r="U867" s="5"/>
      <c r="V867" s="5"/>
      <c r="W867" s="5"/>
      <c r="X867" s="5"/>
      <c r="Y867" s="5"/>
      <c r="Z867" s="5"/>
      <c r="AA867" s="5"/>
      <c r="AB867" s="5"/>
      <c r="AC867" s="5"/>
    </row>
    <row r="868" spans="1:29" ht="12.75" customHeight="1">
      <c r="A868" s="5"/>
      <c r="B868" s="5"/>
      <c r="C868" s="5"/>
      <c r="D868" s="5"/>
      <c r="E868" s="5"/>
      <c r="F868" s="5"/>
      <c r="G868" s="5"/>
      <c r="H868" s="306"/>
      <c r="I868" s="306"/>
      <c r="J868" s="5"/>
      <c r="K868" s="5"/>
      <c r="L868" s="5"/>
      <c r="M868" s="5"/>
      <c r="N868" s="5"/>
      <c r="O868" s="5"/>
      <c r="P868" s="5"/>
      <c r="Q868" s="5"/>
      <c r="R868" s="57"/>
      <c r="S868" s="5"/>
      <c r="T868" s="5"/>
      <c r="U868" s="5"/>
      <c r="V868" s="5"/>
      <c r="W868" s="5"/>
      <c r="X868" s="5"/>
      <c r="Y868" s="5"/>
      <c r="Z868" s="5"/>
      <c r="AA868" s="5"/>
      <c r="AB868" s="5"/>
      <c r="AC868" s="5"/>
    </row>
    <row r="869" spans="1:29" ht="12.75" customHeight="1">
      <c r="A869" s="5"/>
      <c r="B869" s="5"/>
      <c r="C869" s="5"/>
      <c r="D869" s="5"/>
      <c r="E869" s="5"/>
      <c r="F869" s="5"/>
      <c r="G869" s="5"/>
      <c r="H869" s="306"/>
      <c r="I869" s="306"/>
      <c r="J869" s="5"/>
      <c r="K869" s="5"/>
      <c r="L869" s="5"/>
      <c r="M869" s="5"/>
      <c r="N869" s="5"/>
      <c r="O869" s="5"/>
      <c r="P869" s="5"/>
      <c r="Q869" s="5"/>
      <c r="R869" s="57"/>
      <c r="S869" s="5"/>
      <c r="T869" s="5"/>
      <c r="U869" s="5"/>
      <c r="V869" s="5"/>
      <c r="W869" s="5"/>
      <c r="X869" s="5"/>
      <c r="Y869" s="5"/>
      <c r="Z869" s="5"/>
      <c r="AA869" s="5"/>
      <c r="AB869" s="5"/>
      <c r="AC869" s="5"/>
    </row>
    <row r="870" spans="1:29" ht="12.75" customHeight="1">
      <c r="A870" s="5"/>
      <c r="B870" s="5"/>
      <c r="C870" s="5"/>
      <c r="D870" s="5"/>
      <c r="E870" s="5"/>
      <c r="F870" s="5"/>
      <c r="G870" s="5"/>
      <c r="H870" s="306"/>
      <c r="I870" s="306"/>
      <c r="J870" s="5"/>
      <c r="K870" s="5"/>
      <c r="L870" s="5"/>
      <c r="M870" s="5"/>
      <c r="N870" s="5"/>
      <c r="O870" s="5"/>
      <c r="P870" s="5"/>
      <c r="Q870" s="5"/>
      <c r="R870" s="57"/>
      <c r="S870" s="5"/>
      <c r="T870" s="5"/>
      <c r="U870" s="5"/>
      <c r="V870" s="5"/>
      <c r="W870" s="5"/>
      <c r="X870" s="5"/>
      <c r="Y870" s="5"/>
      <c r="Z870" s="5"/>
      <c r="AA870" s="5"/>
      <c r="AB870" s="5"/>
      <c r="AC870" s="5"/>
    </row>
    <row r="871" spans="1:29" ht="12.75" customHeight="1">
      <c r="A871" s="5"/>
      <c r="B871" s="5"/>
      <c r="C871" s="5"/>
      <c r="D871" s="5"/>
      <c r="E871" s="5"/>
      <c r="F871" s="5"/>
      <c r="G871" s="5"/>
      <c r="H871" s="306"/>
      <c r="I871" s="306"/>
      <c r="J871" s="5"/>
      <c r="K871" s="5"/>
      <c r="L871" s="5"/>
      <c r="M871" s="5"/>
      <c r="N871" s="5"/>
      <c r="O871" s="5"/>
      <c r="P871" s="5"/>
      <c r="Q871" s="5"/>
      <c r="R871" s="57"/>
      <c r="S871" s="5"/>
      <c r="T871" s="5"/>
      <c r="U871" s="5"/>
      <c r="V871" s="5"/>
      <c r="W871" s="5"/>
      <c r="X871" s="5"/>
      <c r="Y871" s="5"/>
      <c r="Z871" s="5"/>
      <c r="AA871" s="5"/>
      <c r="AB871" s="5"/>
      <c r="AC871" s="5"/>
    </row>
    <row r="872" spans="1:29" ht="12.75" customHeight="1">
      <c r="A872" s="5"/>
      <c r="B872" s="5"/>
      <c r="C872" s="5"/>
      <c r="D872" s="5"/>
      <c r="E872" s="5"/>
      <c r="F872" s="5"/>
      <c r="G872" s="5"/>
      <c r="H872" s="306"/>
      <c r="I872" s="306"/>
      <c r="J872" s="5"/>
      <c r="K872" s="5"/>
      <c r="L872" s="5"/>
      <c r="M872" s="5"/>
      <c r="N872" s="5"/>
      <c r="O872" s="5"/>
      <c r="P872" s="5"/>
      <c r="Q872" s="5"/>
      <c r="R872" s="57"/>
      <c r="S872" s="5"/>
      <c r="T872" s="5"/>
      <c r="U872" s="5"/>
      <c r="V872" s="5"/>
      <c r="W872" s="5"/>
      <c r="X872" s="5"/>
      <c r="Y872" s="5"/>
      <c r="Z872" s="5"/>
      <c r="AA872" s="5"/>
      <c r="AB872" s="5"/>
      <c r="AC872" s="5"/>
    </row>
    <row r="873" spans="1:29" ht="12.75" customHeight="1">
      <c r="A873" s="5"/>
      <c r="B873" s="5"/>
      <c r="C873" s="5"/>
      <c r="D873" s="5"/>
      <c r="E873" s="5"/>
      <c r="F873" s="5"/>
      <c r="G873" s="5"/>
      <c r="H873" s="306"/>
      <c r="I873" s="306"/>
      <c r="J873" s="5"/>
      <c r="K873" s="5"/>
      <c r="L873" s="5"/>
      <c r="M873" s="5"/>
      <c r="N873" s="5"/>
      <c r="O873" s="5"/>
      <c r="P873" s="5"/>
      <c r="Q873" s="5"/>
      <c r="R873" s="57"/>
      <c r="S873" s="5"/>
      <c r="T873" s="5"/>
      <c r="U873" s="5"/>
      <c r="V873" s="5"/>
      <c r="W873" s="5"/>
      <c r="X873" s="5"/>
      <c r="Y873" s="5"/>
      <c r="Z873" s="5"/>
      <c r="AA873" s="5"/>
      <c r="AB873" s="5"/>
      <c r="AC873" s="5"/>
    </row>
    <row r="874" spans="1:29" ht="12.75" customHeight="1">
      <c r="A874" s="5"/>
      <c r="B874" s="5"/>
      <c r="C874" s="5"/>
      <c r="D874" s="5"/>
      <c r="E874" s="5"/>
      <c r="F874" s="5"/>
      <c r="G874" s="5"/>
      <c r="H874" s="306"/>
      <c r="I874" s="306"/>
      <c r="J874" s="5"/>
      <c r="K874" s="5"/>
      <c r="L874" s="5"/>
      <c r="M874" s="5"/>
      <c r="N874" s="5"/>
      <c r="O874" s="5"/>
      <c r="P874" s="5"/>
      <c r="Q874" s="5"/>
      <c r="R874" s="57"/>
      <c r="S874" s="5"/>
      <c r="T874" s="5"/>
      <c r="U874" s="5"/>
      <c r="V874" s="5"/>
      <c r="W874" s="5"/>
      <c r="X874" s="5"/>
      <c r="Y874" s="5"/>
      <c r="Z874" s="5"/>
      <c r="AA874" s="5"/>
      <c r="AB874" s="5"/>
      <c r="AC874" s="5"/>
    </row>
    <row r="875" spans="1:29" ht="12.75" customHeight="1">
      <c r="A875" s="5"/>
      <c r="B875" s="5"/>
      <c r="C875" s="5"/>
      <c r="D875" s="5"/>
      <c r="E875" s="5"/>
      <c r="F875" s="5"/>
      <c r="G875" s="5"/>
      <c r="H875" s="306"/>
      <c r="I875" s="306"/>
      <c r="J875" s="5"/>
      <c r="K875" s="5"/>
      <c r="L875" s="5"/>
      <c r="M875" s="5"/>
      <c r="N875" s="5"/>
      <c r="O875" s="5"/>
      <c r="P875" s="5"/>
      <c r="Q875" s="5"/>
      <c r="R875" s="57"/>
      <c r="S875" s="5"/>
      <c r="T875" s="5"/>
      <c r="U875" s="5"/>
      <c r="V875" s="5"/>
      <c r="W875" s="5"/>
      <c r="X875" s="5"/>
      <c r="Y875" s="5"/>
      <c r="Z875" s="5"/>
      <c r="AA875" s="5"/>
      <c r="AB875" s="5"/>
      <c r="AC875" s="5"/>
    </row>
    <row r="876" spans="1:29" ht="12.75" customHeight="1">
      <c r="A876" s="5"/>
      <c r="B876" s="5"/>
      <c r="C876" s="5"/>
      <c r="D876" s="5"/>
      <c r="E876" s="5"/>
      <c r="F876" s="5"/>
      <c r="G876" s="5"/>
      <c r="H876" s="306"/>
      <c r="I876" s="306"/>
      <c r="J876" s="5"/>
      <c r="K876" s="5"/>
      <c r="L876" s="5"/>
      <c r="M876" s="5"/>
      <c r="N876" s="5"/>
      <c r="O876" s="5"/>
      <c r="P876" s="5"/>
      <c r="Q876" s="5"/>
      <c r="R876" s="57"/>
      <c r="S876" s="5"/>
      <c r="T876" s="5"/>
      <c r="U876" s="5"/>
      <c r="V876" s="5"/>
      <c r="W876" s="5"/>
      <c r="X876" s="5"/>
      <c r="Y876" s="5"/>
      <c r="Z876" s="5"/>
      <c r="AA876" s="5"/>
      <c r="AB876" s="5"/>
      <c r="AC876" s="5"/>
    </row>
    <row r="877" spans="1:29" ht="12.75" customHeight="1">
      <c r="A877" s="5"/>
      <c r="B877" s="5"/>
      <c r="C877" s="5"/>
      <c r="D877" s="5"/>
      <c r="E877" s="5"/>
      <c r="F877" s="5"/>
      <c r="G877" s="5"/>
      <c r="H877" s="306"/>
      <c r="I877" s="306"/>
      <c r="J877" s="5"/>
      <c r="K877" s="5"/>
      <c r="L877" s="5"/>
      <c r="M877" s="5"/>
      <c r="N877" s="5"/>
      <c r="O877" s="5"/>
      <c r="P877" s="5"/>
      <c r="Q877" s="5"/>
      <c r="R877" s="57"/>
      <c r="S877" s="5"/>
      <c r="T877" s="5"/>
      <c r="U877" s="5"/>
      <c r="V877" s="5"/>
      <c r="W877" s="5"/>
      <c r="X877" s="5"/>
      <c r="Y877" s="5"/>
      <c r="Z877" s="5"/>
      <c r="AA877" s="5"/>
      <c r="AB877" s="5"/>
      <c r="AC877" s="5"/>
    </row>
    <row r="878" spans="1:29" ht="12.75" customHeight="1">
      <c r="A878" s="5"/>
      <c r="B878" s="5"/>
      <c r="C878" s="5"/>
      <c r="D878" s="5"/>
      <c r="E878" s="5"/>
      <c r="F878" s="5"/>
      <c r="G878" s="5"/>
      <c r="H878" s="306"/>
      <c r="I878" s="306"/>
      <c r="J878" s="5"/>
      <c r="K878" s="5"/>
      <c r="L878" s="5"/>
      <c r="M878" s="5"/>
      <c r="N878" s="5"/>
      <c r="O878" s="5"/>
      <c r="P878" s="5"/>
      <c r="Q878" s="5"/>
      <c r="R878" s="57"/>
      <c r="S878" s="5"/>
      <c r="T878" s="5"/>
      <c r="U878" s="5"/>
      <c r="V878" s="5"/>
      <c r="W878" s="5"/>
      <c r="X878" s="5"/>
      <c r="Y878" s="5"/>
      <c r="Z878" s="5"/>
      <c r="AA878" s="5"/>
      <c r="AB878" s="5"/>
      <c r="AC878" s="5"/>
    </row>
    <row r="879" spans="1:29" ht="12.75" customHeight="1">
      <c r="A879" s="5"/>
      <c r="B879" s="5"/>
      <c r="C879" s="5"/>
      <c r="D879" s="5"/>
      <c r="E879" s="5"/>
      <c r="F879" s="5"/>
      <c r="G879" s="5"/>
      <c r="H879" s="306"/>
      <c r="I879" s="306"/>
      <c r="J879" s="5"/>
      <c r="K879" s="5"/>
      <c r="L879" s="5"/>
      <c r="M879" s="5"/>
      <c r="N879" s="5"/>
      <c r="O879" s="5"/>
      <c r="P879" s="5"/>
      <c r="Q879" s="5"/>
      <c r="R879" s="57"/>
      <c r="S879" s="5"/>
      <c r="T879" s="5"/>
      <c r="U879" s="5"/>
      <c r="V879" s="5"/>
      <c r="W879" s="5"/>
      <c r="X879" s="5"/>
      <c r="Y879" s="5"/>
      <c r="Z879" s="5"/>
      <c r="AA879" s="5"/>
      <c r="AB879" s="5"/>
      <c r="AC879" s="5"/>
    </row>
    <row r="880" spans="1:29" ht="12.75" customHeight="1">
      <c r="A880" s="5"/>
      <c r="B880" s="5"/>
      <c r="C880" s="5"/>
      <c r="D880" s="5"/>
      <c r="E880" s="5"/>
      <c r="F880" s="5"/>
      <c r="G880" s="5"/>
      <c r="H880" s="306"/>
      <c r="I880" s="306"/>
      <c r="J880" s="5"/>
      <c r="K880" s="5"/>
      <c r="L880" s="5"/>
      <c r="M880" s="5"/>
      <c r="N880" s="5"/>
      <c r="O880" s="5"/>
      <c r="P880" s="5"/>
      <c r="Q880" s="5"/>
      <c r="R880" s="57"/>
      <c r="S880" s="5"/>
      <c r="T880" s="5"/>
      <c r="U880" s="5"/>
      <c r="V880" s="5"/>
      <c r="W880" s="5"/>
      <c r="X880" s="5"/>
      <c r="Y880" s="5"/>
      <c r="Z880" s="5"/>
      <c r="AA880" s="5"/>
      <c r="AB880" s="5"/>
      <c r="AC880" s="5"/>
    </row>
    <row r="881" spans="1:29" ht="12.75" customHeight="1">
      <c r="A881" s="5"/>
      <c r="B881" s="5"/>
      <c r="C881" s="5"/>
      <c r="D881" s="5"/>
      <c r="E881" s="5"/>
      <c r="F881" s="5"/>
      <c r="G881" s="5"/>
      <c r="H881" s="306"/>
      <c r="I881" s="306"/>
      <c r="J881" s="5"/>
      <c r="K881" s="5"/>
      <c r="L881" s="5"/>
      <c r="M881" s="5"/>
      <c r="N881" s="5"/>
      <c r="O881" s="5"/>
      <c r="P881" s="5"/>
      <c r="Q881" s="5"/>
      <c r="R881" s="57"/>
      <c r="S881" s="5"/>
      <c r="T881" s="5"/>
      <c r="U881" s="5"/>
      <c r="V881" s="5"/>
      <c r="W881" s="5"/>
      <c r="X881" s="5"/>
      <c r="Y881" s="5"/>
      <c r="Z881" s="5"/>
      <c r="AA881" s="5"/>
      <c r="AB881" s="5"/>
      <c r="AC881" s="5"/>
    </row>
    <row r="882" spans="1:29" ht="12.75" customHeight="1">
      <c r="A882" s="5"/>
      <c r="B882" s="5"/>
      <c r="C882" s="5"/>
      <c r="D882" s="5"/>
      <c r="E882" s="5"/>
      <c r="F882" s="5"/>
      <c r="G882" s="5"/>
      <c r="H882" s="306"/>
      <c r="I882" s="306"/>
      <c r="J882" s="5"/>
      <c r="K882" s="5"/>
      <c r="L882" s="5"/>
      <c r="M882" s="5"/>
      <c r="N882" s="5"/>
      <c r="O882" s="5"/>
      <c r="P882" s="5"/>
      <c r="Q882" s="5"/>
      <c r="R882" s="57"/>
      <c r="S882" s="5"/>
      <c r="T882" s="5"/>
      <c r="U882" s="5"/>
      <c r="V882" s="5"/>
      <c r="W882" s="5"/>
      <c r="X882" s="5"/>
      <c r="Y882" s="5"/>
      <c r="Z882" s="5"/>
      <c r="AA882" s="5"/>
      <c r="AB882" s="5"/>
      <c r="AC882" s="5"/>
    </row>
    <row r="883" spans="1:29" ht="12.75" customHeight="1">
      <c r="A883" s="5"/>
      <c r="B883" s="5"/>
      <c r="C883" s="5"/>
      <c r="D883" s="5"/>
      <c r="E883" s="5"/>
      <c r="F883" s="5"/>
      <c r="G883" s="5"/>
      <c r="H883" s="306"/>
      <c r="I883" s="306"/>
      <c r="J883" s="5"/>
      <c r="K883" s="5"/>
      <c r="L883" s="5"/>
      <c r="M883" s="5"/>
      <c r="N883" s="5"/>
      <c r="O883" s="5"/>
      <c r="P883" s="5"/>
      <c r="Q883" s="5"/>
      <c r="R883" s="57"/>
      <c r="S883" s="5"/>
      <c r="T883" s="5"/>
      <c r="U883" s="5"/>
      <c r="V883" s="5"/>
      <c r="W883" s="5"/>
      <c r="X883" s="5"/>
      <c r="Y883" s="5"/>
      <c r="Z883" s="5"/>
      <c r="AA883" s="5"/>
      <c r="AB883" s="5"/>
      <c r="AC883" s="5"/>
    </row>
    <row r="884" spans="1:29" ht="12.75" customHeight="1">
      <c r="A884" s="5"/>
      <c r="B884" s="5"/>
      <c r="C884" s="5"/>
      <c r="D884" s="5"/>
      <c r="E884" s="5"/>
      <c r="F884" s="5"/>
      <c r="G884" s="5"/>
      <c r="H884" s="306"/>
      <c r="I884" s="306"/>
      <c r="J884" s="5"/>
      <c r="K884" s="5"/>
      <c r="L884" s="5"/>
      <c r="M884" s="5"/>
      <c r="N884" s="5"/>
      <c r="O884" s="5"/>
      <c r="P884" s="5"/>
      <c r="Q884" s="5"/>
      <c r="R884" s="57"/>
      <c r="S884" s="5"/>
      <c r="T884" s="5"/>
      <c r="U884" s="5"/>
      <c r="V884" s="5"/>
      <c r="W884" s="5"/>
      <c r="X884" s="5"/>
      <c r="Y884" s="5"/>
      <c r="Z884" s="5"/>
      <c r="AA884" s="5"/>
      <c r="AB884" s="5"/>
      <c r="AC884" s="5"/>
    </row>
    <row r="885" spans="1:29" ht="12.75" customHeight="1">
      <c r="A885" s="5"/>
      <c r="B885" s="5"/>
      <c r="C885" s="5"/>
      <c r="D885" s="5"/>
      <c r="E885" s="5"/>
      <c r="F885" s="5"/>
      <c r="G885" s="5"/>
      <c r="H885" s="306"/>
      <c r="I885" s="306"/>
      <c r="J885" s="5"/>
      <c r="K885" s="5"/>
      <c r="L885" s="5"/>
      <c r="M885" s="5"/>
      <c r="N885" s="5"/>
      <c r="O885" s="5"/>
      <c r="P885" s="5"/>
      <c r="Q885" s="5"/>
      <c r="R885" s="57"/>
      <c r="S885" s="5"/>
      <c r="T885" s="5"/>
      <c r="U885" s="5"/>
      <c r="V885" s="5"/>
      <c r="W885" s="5"/>
      <c r="X885" s="5"/>
      <c r="Y885" s="5"/>
      <c r="Z885" s="5"/>
      <c r="AA885" s="5"/>
      <c r="AB885" s="5"/>
      <c r="AC885" s="5"/>
    </row>
    <row r="886" spans="1:29" ht="12.75" customHeight="1">
      <c r="A886" s="5"/>
      <c r="B886" s="5"/>
      <c r="C886" s="5"/>
      <c r="D886" s="5"/>
      <c r="E886" s="5"/>
      <c r="F886" s="5"/>
      <c r="G886" s="5"/>
      <c r="H886" s="306"/>
      <c r="I886" s="306"/>
      <c r="J886" s="5"/>
      <c r="K886" s="5"/>
      <c r="L886" s="5"/>
      <c r="M886" s="5"/>
      <c r="N886" s="5"/>
      <c r="O886" s="5"/>
      <c r="P886" s="5"/>
      <c r="Q886" s="5"/>
      <c r="R886" s="57"/>
      <c r="S886" s="5"/>
      <c r="T886" s="5"/>
      <c r="U886" s="5"/>
      <c r="V886" s="5"/>
      <c r="W886" s="5"/>
      <c r="X886" s="5"/>
      <c r="Y886" s="5"/>
      <c r="Z886" s="5"/>
      <c r="AA886" s="5"/>
      <c r="AB886" s="5"/>
      <c r="AC886" s="5"/>
    </row>
    <row r="887" spans="1:29" ht="12.75" customHeight="1">
      <c r="A887" s="5"/>
      <c r="B887" s="5"/>
      <c r="C887" s="5"/>
      <c r="D887" s="5"/>
      <c r="E887" s="5"/>
      <c r="F887" s="5"/>
      <c r="G887" s="5"/>
      <c r="H887" s="306"/>
      <c r="I887" s="306"/>
      <c r="J887" s="5"/>
      <c r="K887" s="5"/>
      <c r="L887" s="5"/>
      <c r="M887" s="5"/>
      <c r="N887" s="5"/>
      <c r="O887" s="5"/>
      <c r="P887" s="5"/>
      <c r="Q887" s="5"/>
      <c r="R887" s="57"/>
      <c r="S887" s="5"/>
      <c r="T887" s="5"/>
      <c r="U887" s="5"/>
      <c r="V887" s="5"/>
      <c r="W887" s="5"/>
      <c r="X887" s="5"/>
      <c r="Y887" s="5"/>
      <c r="Z887" s="5"/>
      <c r="AA887" s="5"/>
      <c r="AB887" s="5"/>
      <c r="AC887" s="5"/>
    </row>
    <row r="888" spans="1:29" ht="12.75" customHeight="1">
      <c r="A888" s="5"/>
      <c r="B888" s="5"/>
      <c r="C888" s="5"/>
      <c r="D888" s="5"/>
      <c r="E888" s="5"/>
      <c r="F888" s="5"/>
      <c r="G888" s="5"/>
      <c r="H888" s="306"/>
      <c r="I888" s="306"/>
      <c r="J888" s="5"/>
      <c r="K888" s="5"/>
      <c r="L888" s="5"/>
      <c r="M888" s="5"/>
      <c r="N888" s="5"/>
      <c r="O888" s="5"/>
      <c r="P888" s="5"/>
      <c r="Q888" s="5"/>
      <c r="R888" s="57"/>
      <c r="S888" s="5"/>
      <c r="T888" s="5"/>
      <c r="U888" s="5"/>
      <c r="V888" s="5"/>
      <c r="W888" s="5"/>
      <c r="X888" s="5"/>
      <c r="Y888" s="5"/>
      <c r="Z888" s="5"/>
      <c r="AA888" s="5"/>
      <c r="AB888" s="5"/>
      <c r="AC888" s="5"/>
    </row>
    <row r="889" spans="1:29" ht="12.75" customHeight="1">
      <c r="A889" s="5"/>
      <c r="B889" s="5"/>
      <c r="C889" s="5"/>
      <c r="D889" s="5"/>
      <c r="E889" s="5"/>
      <c r="F889" s="5"/>
      <c r="G889" s="5"/>
      <c r="H889" s="306"/>
      <c r="I889" s="306"/>
      <c r="J889" s="5"/>
      <c r="K889" s="5"/>
      <c r="L889" s="5"/>
      <c r="M889" s="5"/>
      <c r="N889" s="5"/>
      <c r="O889" s="5"/>
      <c r="P889" s="5"/>
      <c r="Q889" s="5"/>
      <c r="R889" s="57"/>
      <c r="S889" s="5"/>
      <c r="T889" s="5"/>
      <c r="U889" s="5"/>
      <c r="V889" s="5"/>
      <c r="W889" s="5"/>
      <c r="X889" s="5"/>
      <c r="Y889" s="5"/>
      <c r="Z889" s="5"/>
      <c r="AA889" s="5"/>
      <c r="AB889" s="5"/>
      <c r="AC889" s="5"/>
    </row>
    <row r="890" spans="1:29" ht="12.75" customHeight="1">
      <c r="A890" s="5"/>
      <c r="B890" s="5"/>
      <c r="C890" s="5"/>
      <c r="D890" s="5"/>
      <c r="E890" s="5"/>
      <c r="F890" s="5"/>
      <c r="G890" s="5"/>
      <c r="H890" s="306"/>
      <c r="I890" s="306"/>
      <c r="J890" s="5"/>
      <c r="K890" s="5"/>
      <c r="L890" s="5"/>
      <c r="M890" s="5"/>
      <c r="N890" s="5"/>
      <c r="O890" s="5"/>
      <c r="P890" s="5"/>
      <c r="Q890" s="5"/>
      <c r="R890" s="57"/>
      <c r="S890" s="5"/>
      <c r="T890" s="5"/>
      <c r="U890" s="5"/>
      <c r="V890" s="5"/>
      <c r="W890" s="5"/>
      <c r="X890" s="5"/>
      <c r="Y890" s="5"/>
      <c r="Z890" s="5"/>
      <c r="AA890" s="5"/>
      <c r="AB890" s="5"/>
      <c r="AC890" s="5"/>
    </row>
    <row r="891" spans="1:29" ht="12.75" customHeight="1">
      <c r="A891" s="5"/>
      <c r="B891" s="5"/>
      <c r="C891" s="5"/>
      <c r="D891" s="5"/>
      <c r="E891" s="5"/>
      <c r="F891" s="5"/>
      <c r="G891" s="5"/>
      <c r="H891" s="306"/>
      <c r="I891" s="306"/>
      <c r="J891" s="5"/>
      <c r="K891" s="5"/>
      <c r="L891" s="5"/>
      <c r="M891" s="5"/>
      <c r="N891" s="5"/>
      <c r="O891" s="5"/>
      <c r="P891" s="5"/>
      <c r="Q891" s="5"/>
      <c r="R891" s="57"/>
      <c r="S891" s="5"/>
      <c r="T891" s="5"/>
      <c r="U891" s="5"/>
      <c r="V891" s="5"/>
      <c r="W891" s="5"/>
      <c r="X891" s="5"/>
      <c r="Y891" s="5"/>
      <c r="Z891" s="5"/>
      <c r="AA891" s="5"/>
      <c r="AB891" s="5"/>
      <c r="AC891" s="5"/>
    </row>
    <row r="892" spans="1:29" ht="12.75" customHeight="1">
      <c r="A892" s="5"/>
      <c r="B892" s="5"/>
      <c r="C892" s="5"/>
      <c r="D892" s="5"/>
      <c r="E892" s="5"/>
      <c r="F892" s="5"/>
      <c r="G892" s="5"/>
      <c r="H892" s="306"/>
      <c r="I892" s="306"/>
      <c r="J892" s="5"/>
      <c r="K892" s="5"/>
      <c r="L892" s="5"/>
      <c r="M892" s="5"/>
      <c r="N892" s="5"/>
      <c r="O892" s="5"/>
      <c r="P892" s="5"/>
      <c r="Q892" s="5"/>
      <c r="R892" s="57"/>
      <c r="S892" s="5"/>
      <c r="T892" s="5"/>
      <c r="U892" s="5"/>
      <c r="V892" s="5"/>
      <c r="W892" s="5"/>
      <c r="X892" s="5"/>
      <c r="Y892" s="5"/>
      <c r="Z892" s="5"/>
      <c r="AA892" s="5"/>
      <c r="AB892" s="5"/>
      <c r="AC892" s="5"/>
    </row>
    <row r="893" spans="1:29" ht="12.75" customHeight="1">
      <c r="A893" s="5"/>
      <c r="B893" s="5"/>
      <c r="C893" s="5"/>
      <c r="D893" s="5"/>
      <c r="E893" s="5"/>
      <c r="F893" s="5"/>
      <c r="G893" s="5"/>
      <c r="H893" s="306"/>
      <c r="I893" s="306"/>
      <c r="J893" s="5"/>
      <c r="K893" s="5"/>
      <c r="L893" s="5"/>
      <c r="M893" s="5"/>
      <c r="N893" s="5"/>
      <c r="O893" s="5"/>
      <c r="P893" s="5"/>
      <c r="Q893" s="5"/>
      <c r="R893" s="57"/>
      <c r="S893" s="5"/>
      <c r="T893" s="5"/>
      <c r="U893" s="5"/>
      <c r="V893" s="5"/>
      <c r="W893" s="5"/>
      <c r="X893" s="5"/>
      <c r="Y893" s="5"/>
      <c r="Z893" s="5"/>
      <c r="AA893" s="5"/>
      <c r="AB893" s="5"/>
      <c r="AC893" s="5"/>
    </row>
    <row r="894" spans="1:29" ht="12.75" customHeight="1">
      <c r="A894" s="5"/>
      <c r="B894" s="5"/>
      <c r="C894" s="5"/>
      <c r="D894" s="5"/>
      <c r="E894" s="5"/>
      <c r="F894" s="5"/>
      <c r="G894" s="5"/>
      <c r="H894" s="306"/>
      <c r="I894" s="306"/>
      <c r="J894" s="5"/>
      <c r="K894" s="5"/>
      <c r="L894" s="5"/>
      <c r="M894" s="5"/>
      <c r="N894" s="5"/>
      <c r="O894" s="5"/>
      <c r="P894" s="5"/>
      <c r="Q894" s="5"/>
      <c r="R894" s="57"/>
      <c r="S894" s="5"/>
      <c r="T894" s="5"/>
      <c r="U894" s="5"/>
      <c r="V894" s="5"/>
      <c r="W894" s="5"/>
      <c r="X894" s="5"/>
      <c r="Y894" s="5"/>
      <c r="Z894" s="5"/>
      <c r="AA894" s="5"/>
      <c r="AB894" s="5"/>
      <c r="AC894" s="5"/>
    </row>
    <row r="895" spans="1:29" ht="12.75" customHeight="1">
      <c r="A895" s="5"/>
      <c r="B895" s="5"/>
      <c r="C895" s="5"/>
      <c r="D895" s="5"/>
      <c r="E895" s="5"/>
      <c r="F895" s="5"/>
      <c r="G895" s="5"/>
      <c r="H895" s="306"/>
      <c r="I895" s="306"/>
      <c r="J895" s="5"/>
      <c r="K895" s="5"/>
      <c r="L895" s="5"/>
      <c r="M895" s="5"/>
      <c r="N895" s="5"/>
      <c r="O895" s="5"/>
      <c r="P895" s="5"/>
      <c r="Q895" s="5"/>
      <c r="R895" s="57"/>
      <c r="S895" s="5"/>
      <c r="T895" s="5"/>
      <c r="U895" s="5"/>
      <c r="V895" s="5"/>
      <c r="W895" s="5"/>
      <c r="X895" s="5"/>
      <c r="Y895" s="5"/>
      <c r="Z895" s="5"/>
      <c r="AA895" s="5"/>
      <c r="AB895" s="5"/>
      <c r="AC895" s="5"/>
    </row>
    <row r="896" spans="1:29" ht="12.75" customHeight="1">
      <c r="A896" s="5"/>
      <c r="B896" s="5"/>
      <c r="C896" s="5"/>
      <c r="D896" s="5"/>
      <c r="E896" s="5"/>
      <c r="F896" s="5"/>
      <c r="G896" s="5"/>
      <c r="H896" s="306"/>
      <c r="I896" s="306"/>
      <c r="J896" s="5"/>
      <c r="K896" s="5"/>
      <c r="L896" s="5"/>
      <c r="M896" s="5"/>
      <c r="N896" s="5"/>
      <c r="O896" s="5"/>
      <c r="P896" s="5"/>
      <c r="Q896" s="5"/>
      <c r="R896" s="57"/>
      <c r="S896" s="5"/>
      <c r="T896" s="5"/>
      <c r="U896" s="5"/>
      <c r="V896" s="5"/>
      <c r="W896" s="5"/>
      <c r="X896" s="5"/>
      <c r="Y896" s="5"/>
      <c r="Z896" s="5"/>
      <c r="AA896" s="5"/>
      <c r="AB896" s="5"/>
      <c r="AC896" s="5"/>
    </row>
    <row r="897" spans="1:29" ht="12.75" customHeight="1">
      <c r="A897" s="5"/>
      <c r="B897" s="5"/>
      <c r="C897" s="5"/>
      <c r="D897" s="5"/>
      <c r="E897" s="5"/>
      <c r="F897" s="5"/>
      <c r="G897" s="5"/>
      <c r="H897" s="306"/>
      <c r="I897" s="306"/>
      <c r="J897" s="5"/>
      <c r="K897" s="5"/>
      <c r="L897" s="5"/>
      <c r="M897" s="5"/>
      <c r="N897" s="5"/>
      <c r="O897" s="5"/>
      <c r="P897" s="5"/>
      <c r="Q897" s="5"/>
      <c r="R897" s="57"/>
      <c r="S897" s="5"/>
      <c r="T897" s="5"/>
      <c r="U897" s="5"/>
      <c r="V897" s="5"/>
      <c r="W897" s="5"/>
      <c r="X897" s="5"/>
      <c r="Y897" s="5"/>
      <c r="Z897" s="5"/>
      <c r="AA897" s="5"/>
      <c r="AB897" s="5"/>
      <c r="AC897" s="5"/>
    </row>
    <row r="898" spans="1:29" ht="12.75" customHeight="1">
      <c r="A898" s="5"/>
      <c r="B898" s="5"/>
      <c r="C898" s="5"/>
      <c r="D898" s="5"/>
      <c r="E898" s="5"/>
      <c r="F898" s="5"/>
      <c r="G898" s="5"/>
      <c r="H898" s="306"/>
      <c r="I898" s="306"/>
      <c r="J898" s="5"/>
      <c r="K898" s="5"/>
      <c r="L898" s="5"/>
      <c r="M898" s="5"/>
      <c r="N898" s="5"/>
      <c r="O898" s="5"/>
      <c r="P898" s="5"/>
      <c r="Q898" s="5"/>
      <c r="R898" s="57"/>
      <c r="S898" s="5"/>
      <c r="T898" s="5"/>
      <c r="U898" s="5"/>
      <c r="V898" s="5"/>
      <c r="W898" s="5"/>
      <c r="X898" s="5"/>
      <c r="Y898" s="5"/>
      <c r="Z898" s="5"/>
      <c r="AA898" s="5"/>
      <c r="AB898" s="5"/>
      <c r="AC898" s="5"/>
    </row>
    <row r="899" spans="1:29" ht="12.75" customHeight="1">
      <c r="A899" s="5"/>
      <c r="B899" s="5"/>
      <c r="C899" s="5"/>
      <c r="D899" s="5"/>
      <c r="E899" s="5"/>
      <c r="F899" s="5"/>
      <c r="G899" s="5"/>
      <c r="H899" s="306"/>
      <c r="I899" s="306"/>
      <c r="J899" s="5"/>
      <c r="K899" s="5"/>
      <c r="L899" s="5"/>
      <c r="M899" s="5"/>
      <c r="N899" s="5"/>
      <c r="O899" s="5"/>
      <c r="P899" s="5"/>
      <c r="Q899" s="5"/>
      <c r="R899" s="57"/>
      <c r="S899" s="5"/>
      <c r="T899" s="5"/>
      <c r="U899" s="5"/>
      <c r="V899" s="5"/>
      <c r="W899" s="5"/>
      <c r="X899" s="5"/>
      <c r="Y899" s="5"/>
      <c r="Z899" s="5"/>
      <c r="AA899" s="5"/>
      <c r="AB899" s="5"/>
      <c r="AC899" s="5"/>
    </row>
    <row r="900" spans="1:29" ht="12.75" customHeight="1">
      <c r="A900" s="5"/>
      <c r="B900" s="5"/>
      <c r="C900" s="5"/>
      <c r="D900" s="5"/>
      <c r="E900" s="5"/>
      <c r="F900" s="5"/>
      <c r="G900" s="5"/>
      <c r="H900" s="306"/>
      <c r="I900" s="306"/>
      <c r="J900" s="5"/>
      <c r="K900" s="5"/>
      <c r="L900" s="5"/>
      <c r="M900" s="5"/>
      <c r="N900" s="5"/>
      <c r="O900" s="5"/>
      <c r="P900" s="5"/>
      <c r="Q900" s="5"/>
      <c r="R900" s="57"/>
      <c r="S900" s="5"/>
      <c r="T900" s="5"/>
      <c r="U900" s="5"/>
      <c r="V900" s="5"/>
      <c r="W900" s="5"/>
      <c r="X900" s="5"/>
      <c r="Y900" s="5"/>
      <c r="Z900" s="5"/>
      <c r="AA900" s="5"/>
      <c r="AB900" s="5"/>
      <c r="AC900" s="5"/>
    </row>
    <row r="901" spans="1:29" ht="12.75" customHeight="1">
      <c r="A901" s="5"/>
      <c r="B901" s="5"/>
      <c r="C901" s="5"/>
      <c r="D901" s="5"/>
      <c r="E901" s="5"/>
      <c r="F901" s="5"/>
      <c r="G901" s="5"/>
      <c r="H901" s="306"/>
      <c r="I901" s="306"/>
      <c r="J901" s="5"/>
      <c r="K901" s="5"/>
      <c r="L901" s="5"/>
      <c r="M901" s="5"/>
      <c r="N901" s="5"/>
      <c r="O901" s="5"/>
      <c r="P901" s="5"/>
      <c r="Q901" s="5"/>
      <c r="R901" s="57"/>
      <c r="S901" s="5"/>
      <c r="T901" s="5"/>
      <c r="U901" s="5"/>
      <c r="V901" s="5"/>
      <c r="W901" s="5"/>
      <c r="X901" s="5"/>
      <c r="Y901" s="5"/>
      <c r="Z901" s="5"/>
      <c r="AA901" s="5"/>
      <c r="AB901" s="5"/>
      <c r="AC901" s="5"/>
    </row>
    <row r="902" spans="1:29" ht="12.75" customHeight="1">
      <c r="A902" s="5"/>
      <c r="B902" s="5"/>
      <c r="C902" s="5"/>
      <c r="D902" s="5"/>
      <c r="E902" s="5"/>
      <c r="F902" s="5"/>
      <c r="G902" s="5"/>
      <c r="H902" s="306"/>
      <c r="I902" s="306"/>
      <c r="J902" s="5"/>
      <c r="K902" s="5"/>
      <c r="L902" s="5"/>
      <c r="M902" s="5"/>
      <c r="N902" s="5"/>
      <c r="O902" s="5"/>
      <c r="P902" s="5"/>
      <c r="Q902" s="5"/>
      <c r="R902" s="57"/>
      <c r="S902" s="5"/>
      <c r="T902" s="5"/>
      <c r="U902" s="5"/>
      <c r="V902" s="5"/>
      <c r="W902" s="5"/>
      <c r="X902" s="5"/>
      <c r="Y902" s="5"/>
      <c r="Z902" s="5"/>
      <c r="AA902" s="5"/>
      <c r="AB902" s="5"/>
      <c r="AC902" s="5"/>
    </row>
    <row r="903" spans="1:29" ht="12.75" customHeight="1">
      <c r="A903" s="5"/>
      <c r="B903" s="5"/>
      <c r="C903" s="5"/>
      <c r="D903" s="5"/>
      <c r="E903" s="5"/>
      <c r="F903" s="5"/>
      <c r="G903" s="5"/>
      <c r="H903" s="306"/>
      <c r="I903" s="306"/>
      <c r="J903" s="5"/>
      <c r="K903" s="5"/>
      <c r="L903" s="5"/>
      <c r="M903" s="5"/>
      <c r="N903" s="5"/>
      <c r="O903" s="5"/>
      <c r="P903" s="5"/>
      <c r="Q903" s="5"/>
      <c r="R903" s="57"/>
      <c r="S903" s="5"/>
      <c r="T903" s="5"/>
      <c r="U903" s="5"/>
      <c r="V903" s="5"/>
      <c r="W903" s="5"/>
      <c r="X903" s="5"/>
      <c r="Y903" s="5"/>
      <c r="Z903" s="5"/>
      <c r="AA903" s="5"/>
      <c r="AB903" s="5"/>
      <c r="AC903" s="5"/>
    </row>
    <row r="904" spans="1:29" ht="12.75" customHeight="1">
      <c r="A904" s="5"/>
      <c r="B904" s="5"/>
      <c r="C904" s="5"/>
      <c r="D904" s="5"/>
      <c r="E904" s="5"/>
      <c r="F904" s="5"/>
      <c r="G904" s="5"/>
      <c r="H904" s="306"/>
      <c r="I904" s="306"/>
      <c r="J904" s="5"/>
      <c r="K904" s="5"/>
      <c r="L904" s="5"/>
      <c r="M904" s="5"/>
      <c r="N904" s="5"/>
      <c r="O904" s="5"/>
      <c r="P904" s="5"/>
      <c r="Q904" s="5"/>
      <c r="R904" s="57"/>
      <c r="S904" s="5"/>
      <c r="T904" s="5"/>
      <c r="U904" s="5"/>
      <c r="V904" s="5"/>
      <c r="W904" s="5"/>
      <c r="X904" s="5"/>
      <c r="Y904" s="5"/>
      <c r="Z904" s="5"/>
      <c r="AA904" s="5"/>
      <c r="AB904" s="5"/>
      <c r="AC904" s="5"/>
    </row>
    <row r="905" spans="1:29" ht="12.75" customHeight="1">
      <c r="A905" s="5"/>
      <c r="B905" s="5"/>
      <c r="C905" s="5"/>
      <c r="D905" s="5"/>
      <c r="E905" s="5"/>
      <c r="F905" s="5"/>
      <c r="G905" s="5"/>
      <c r="H905" s="306"/>
      <c r="I905" s="306"/>
      <c r="J905" s="5"/>
      <c r="K905" s="5"/>
      <c r="L905" s="5"/>
      <c r="M905" s="5"/>
      <c r="N905" s="5"/>
      <c r="O905" s="5"/>
      <c r="P905" s="5"/>
      <c r="Q905" s="5"/>
      <c r="R905" s="57"/>
      <c r="S905" s="5"/>
      <c r="T905" s="5"/>
      <c r="U905" s="5"/>
      <c r="V905" s="5"/>
      <c r="W905" s="5"/>
      <c r="X905" s="5"/>
      <c r="Y905" s="5"/>
      <c r="Z905" s="5"/>
      <c r="AA905" s="5"/>
      <c r="AB905" s="5"/>
      <c r="AC905" s="5"/>
    </row>
    <row r="906" spans="1:29" ht="12.75" customHeight="1">
      <c r="A906" s="5"/>
      <c r="B906" s="5"/>
      <c r="C906" s="5"/>
      <c r="D906" s="5"/>
      <c r="E906" s="5"/>
      <c r="F906" s="5"/>
      <c r="G906" s="5"/>
      <c r="H906" s="306"/>
      <c r="I906" s="306"/>
      <c r="J906" s="5"/>
      <c r="K906" s="5"/>
      <c r="L906" s="5"/>
      <c r="M906" s="5"/>
      <c r="N906" s="5"/>
      <c r="O906" s="5"/>
      <c r="P906" s="5"/>
      <c r="Q906" s="5"/>
      <c r="R906" s="57"/>
      <c r="S906" s="5"/>
      <c r="T906" s="5"/>
      <c r="U906" s="5"/>
      <c r="V906" s="5"/>
      <c r="W906" s="5"/>
      <c r="X906" s="5"/>
      <c r="Y906" s="5"/>
      <c r="Z906" s="5"/>
      <c r="AA906" s="5"/>
      <c r="AB906" s="5"/>
      <c r="AC906" s="5"/>
    </row>
    <row r="907" spans="1:29" ht="12.75" customHeight="1">
      <c r="A907" s="5"/>
      <c r="B907" s="5"/>
      <c r="C907" s="5"/>
      <c r="D907" s="5"/>
      <c r="E907" s="5"/>
      <c r="F907" s="5"/>
      <c r="G907" s="5"/>
      <c r="H907" s="306"/>
      <c r="I907" s="306"/>
      <c r="J907" s="5"/>
      <c r="K907" s="5"/>
      <c r="L907" s="5"/>
      <c r="M907" s="5"/>
      <c r="N907" s="5"/>
      <c r="O907" s="5"/>
      <c r="P907" s="5"/>
      <c r="Q907" s="5"/>
      <c r="R907" s="57"/>
      <c r="S907" s="5"/>
      <c r="T907" s="5"/>
      <c r="U907" s="5"/>
      <c r="V907" s="5"/>
      <c r="W907" s="5"/>
      <c r="X907" s="5"/>
      <c r="Y907" s="5"/>
      <c r="Z907" s="5"/>
      <c r="AA907" s="5"/>
      <c r="AB907" s="5"/>
      <c r="AC907" s="5"/>
    </row>
    <row r="908" spans="1:29" ht="12.75" customHeight="1">
      <c r="A908" s="5"/>
      <c r="B908" s="5"/>
      <c r="C908" s="5"/>
      <c r="D908" s="5"/>
      <c r="E908" s="5"/>
      <c r="F908" s="5"/>
      <c r="G908" s="5"/>
      <c r="H908" s="306"/>
      <c r="I908" s="306"/>
      <c r="J908" s="5"/>
      <c r="K908" s="5"/>
      <c r="L908" s="5"/>
      <c r="M908" s="5"/>
      <c r="N908" s="5"/>
      <c r="O908" s="5"/>
      <c r="P908" s="5"/>
      <c r="Q908" s="5"/>
      <c r="R908" s="57"/>
      <c r="S908" s="5"/>
      <c r="T908" s="5"/>
      <c r="U908" s="5"/>
      <c r="V908" s="5"/>
      <c r="W908" s="5"/>
      <c r="X908" s="5"/>
      <c r="Y908" s="5"/>
      <c r="Z908" s="5"/>
      <c r="AA908" s="5"/>
      <c r="AB908" s="5"/>
      <c r="AC908" s="5"/>
    </row>
    <row r="909" spans="1:29" ht="12.75" customHeight="1">
      <c r="A909" s="5"/>
      <c r="B909" s="5"/>
      <c r="C909" s="5"/>
      <c r="D909" s="5"/>
      <c r="E909" s="5"/>
      <c r="F909" s="5"/>
      <c r="G909" s="5"/>
      <c r="H909" s="306"/>
      <c r="I909" s="306"/>
      <c r="J909" s="5"/>
      <c r="K909" s="5"/>
      <c r="L909" s="5"/>
      <c r="M909" s="5"/>
      <c r="N909" s="5"/>
      <c r="O909" s="5"/>
      <c r="P909" s="5"/>
      <c r="Q909" s="5"/>
      <c r="R909" s="57"/>
      <c r="S909" s="5"/>
      <c r="T909" s="5"/>
      <c r="U909" s="5"/>
      <c r="V909" s="5"/>
      <c r="W909" s="5"/>
      <c r="X909" s="5"/>
      <c r="Y909" s="5"/>
      <c r="Z909" s="5"/>
      <c r="AA909" s="5"/>
      <c r="AB909" s="5"/>
      <c r="AC909" s="5"/>
    </row>
    <row r="910" spans="1:29" ht="12.75" customHeight="1">
      <c r="A910" s="5"/>
      <c r="B910" s="5"/>
      <c r="C910" s="5"/>
      <c r="D910" s="5"/>
      <c r="E910" s="5"/>
      <c r="F910" s="5"/>
      <c r="G910" s="5"/>
      <c r="H910" s="306"/>
      <c r="I910" s="306"/>
      <c r="J910" s="5"/>
      <c r="K910" s="5"/>
      <c r="L910" s="5"/>
      <c r="M910" s="5"/>
      <c r="N910" s="5"/>
      <c r="O910" s="5"/>
      <c r="P910" s="5"/>
      <c r="Q910" s="5"/>
      <c r="R910" s="57"/>
      <c r="S910" s="5"/>
      <c r="T910" s="5"/>
      <c r="U910" s="5"/>
      <c r="V910" s="5"/>
      <c r="W910" s="5"/>
      <c r="X910" s="5"/>
      <c r="Y910" s="5"/>
      <c r="Z910" s="5"/>
      <c r="AA910" s="5"/>
      <c r="AB910" s="5"/>
      <c r="AC910" s="5"/>
    </row>
    <row r="911" spans="1:29" ht="12.75" customHeight="1">
      <c r="A911" s="5"/>
      <c r="B911" s="5"/>
      <c r="C911" s="5"/>
      <c r="D911" s="5"/>
      <c r="E911" s="5"/>
      <c r="F911" s="5"/>
      <c r="G911" s="5"/>
      <c r="H911" s="306"/>
      <c r="I911" s="306"/>
      <c r="J911" s="5"/>
      <c r="K911" s="5"/>
      <c r="L911" s="5"/>
      <c r="M911" s="5"/>
      <c r="N911" s="5"/>
      <c r="O911" s="5"/>
      <c r="P911" s="5"/>
      <c r="Q911" s="5"/>
      <c r="R911" s="57"/>
      <c r="S911" s="5"/>
      <c r="T911" s="5"/>
      <c r="U911" s="5"/>
      <c r="V911" s="5"/>
      <c r="W911" s="5"/>
      <c r="X911" s="5"/>
      <c r="Y911" s="5"/>
      <c r="Z911" s="5"/>
      <c r="AA911" s="5"/>
      <c r="AB911" s="5"/>
      <c r="AC911" s="5"/>
    </row>
    <row r="912" spans="1:29" ht="12.75" customHeight="1">
      <c r="A912" s="5"/>
      <c r="B912" s="5"/>
      <c r="C912" s="5"/>
      <c r="D912" s="5"/>
      <c r="E912" s="5"/>
      <c r="F912" s="5"/>
      <c r="G912" s="5"/>
      <c r="H912" s="306"/>
      <c r="I912" s="306"/>
      <c r="J912" s="5"/>
      <c r="K912" s="5"/>
      <c r="L912" s="5"/>
      <c r="M912" s="5"/>
      <c r="N912" s="5"/>
      <c r="O912" s="5"/>
      <c r="P912" s="5"/>
      <c r="Q912" s="5"/>
      <c r="R912" s="57"/>
      <c r="S912" s="5"/>
      <c r="T912" s="5"/>
      <c r="U912" s="5"/>
      <c r="V912" s="5"/>
      <c r="W912" s="5"/>
      <c r="X912" s="5"/>
      <c r="Y912" s="5"/>
      <c r="Z912" s="5"/>
      <c r="AA912" s="5"/>
      <c r="AB912" s="5"/>
      <c r="AC912" s="5"/>
    </row>
    <row r="913" spans="1:29" ht="12.75" customHeight="1">
      <c r="A913" s="5"/>
      <c r="B913" s="5"/>
      <c r="C913" s="5"/>
      <c r="D913" s="5"/>
      <c r="E913" s="5"/>
      <c r="F913" s="5"/>
      <c r="G913" s="5"/>
      <c r="H913" s="306"/>
      <c r="I913" s="306"/>
      <c r="J913" s="5"/>
      <c r="K913" s="5"/>
      <c r="L913" s="5"/>
      <c r="M913" s="5"/>
      <c r="N913" s="5"/>
      <c r="O913" s="5"/>
      <c r="P913" s="5"/>
      <c r="Q913" s="5"/>
      <c r="R913" s="57"/>
      <c r="S913" s="5"/>
      <c r="T913" s="5"/>
      <c r="U913" s="5"/>
      <c r="V913" s="5"/>
      <c r="W913" s="5"/>
      <c r="X913" s="5"/>
      <c r="Y913" s="5"/>
      <c r="Z913" s="5"/>
      <c r="AA913" s="5"/>
      <c r="AB913" s="5"/>
      <c r="AC913" s="5"/>
    </row>
    <row r="914" spans="1:29" ht="12.75" customHeight="1">
      <c r="A914" s="5"/>
      <c r="B914" s="5"/>
      <c r="C914" s="5"/>
      <c r="D914" s="5"/>
      <c r="E914" s="5"/>
      <c r="F914" s="5"/>
      <c r="G914" s="5"/>
      <c r="H914" s="306"/>
      <c r="I914" s="306"/>
      <c r="J914" s="5"/>
      <c r="K914" s="5"/>
      <c r="L914" s="5"/>
      <c r="M914" s="5"/>
      <c r="N914" s="5"/>
      <c r="O914" s="5"/>
      <c r="P914" s="5"/>
      <c r="Q914" s="5"/>
      <c r="R914" s="57"/>
      <c r="S914" s="5"/>
      <c r="T914" s="5"/>
      <c r="U914" s="5"/>
      <c r="V914" s="5"/>
      <c r="W914" s="5"/>
      <c r="X914" s="5"/>
      <c r="Y914" s="5"/>
      <c r="Z914" s="5"/>
      <c r="AA914" s="5"/>
      <c r="AB914" s="5"/>
      <c r="AC914" s="5"/>
    </row>
    <row r="915" spans="1:29" ht="12.75" customHeight="1">
      <c r="A915" s="5"/>
      <c r="B915" s="5"/>
      <c r="C915" s="5"/>
      <c r="D915" s="5"/>
      <c r="E915" s="5"/>
      <c r="F915" s="5"/>
      <c r="G915" s="5"/>
      <c r="H915" s="306"/>
      <c r="I915" s="306"/>
      <c r="J915" s="5"/>
      <c r="K915" s="5"/>
      <c r="L915" s="5"/>
      <c r="M915" s="5"/>
      <c r="N915" s="5"/>
      <c r="O915" s="5"/>
      <c r="P915" s="5"/>
      <c r="Q915" s="5"/>
      <c r="R915" s="57"/>
      <c r="S915" s="5"/>
      <c r="T915" s="5"/>
      <c r="U915" s="5"/>
      <c r="V915" s="5"/>
      <c r="W915" s="5"/>
      <c r="X915" s="5"/>
      <c r="Y915" s="5"/>
      <c r="Z915" s="5"/>
      <c r="AA915" s="5"/>
      <c r="AB915" s="5"/>
      <c r="AC915" s="5"/>
    </row>
    <row r="916" spans="1:29" ht="12.75" customHeight="1">
      <c r="A916" s="5"/>
      <c r="B916" s="5"/>
      <c r="C916" s="5"/>
      <c r="D916" s="5"/>
      <c r="E916" s="5"/>
      <c r="F916" s="5"/>
      <c r="G916" s="5"/>
      <c r="H916" s="306"/>
      <c r="I916" s="306"/>
      <c r="J916" s="5"/>
      <c r="K916" s="5"/>
      <c r="L916" s="5"/>
      <c r="M916" s="5"/>
      <c r="N916" s="5"/>
      <c r="O916" s="5"/>
      <c r="P916" s="5"/>
      <c r="Q916" s="5"/>
      <c r="R916" s="57"/>
      <c r="S916" s="5"/>
      <c r="T916" s="5"/>
      <c r="U916" s="5"/>
      <c r="V916" s="5"/>
      <c r="W916" s="5"/>
      <c r="X916" s="5"/>
      <c r="Y916" s="5"/>
      <c r="Z916" s="5"/>
      <c r="AA916" s="5"/>
      <c r="AB916" s="5"/>
      <c r="AC916" s="5"/>
    </row>
    <row r="917" spans="1:29" ht="12.75" customHeight="1">
      <c r="A917" s="5"/>
      <c r="B917" s="5"/>
      <c r="C917" s="5"/>
      <c r="D917" s="5"/>
      <c r="E917" s="5"/>
      <c r="F917" s="5"/>
      <c r="G917" s="5"/>
      <c r="H917" s="306"/>
      <c r="I917" s="306"/>
      <c r="J917" s="5"/>
      <c r="K917" s="5"/>
      <c r="L917" s="5"/>
      <c r="M917" s="5"/>
      <c r="N917" s="5"/>
      <c r="O917" s="5"/>
      <c r="P917" s="5"/>
      <c r="Q917" s="5"/>
      <c r="R917" s="57"/>
      <c r="S917" s="5"/>
      <c r="T917" s="5"/>
      <c r="U917" s="5"/>
      <c r="V917" s="5"/>
      <c r="W917" s="5"/>
      <c r="X917" s="5"/>
      <c r="Y917" s="5"/>
      <c r="Z917" s="5"/>
      <c r="AA917" s="5"/>
      <c r="AB917" s="5"/>
      <c r="AC917" s="5"/>
    </row>
    <row r="918" spans="1:29" ht="12.75" customHeight="1">
      <c r="A918" s="5"/>
      <c r="B918" s="5"/>
      <c r="C918" s="5"/>
      <c r="D918" s="5"/>
      <c r="E918" s="5"/>
      <c r="F918" s="5"/>
      <c r="G918" s="5"/>
      <c r="H918" s="306"/>
      <c r="I918" s="306"/>
      <c r="J918" s="5"/>
      <c r="K918" s="5"/>
      <c r="L918" s="5"/>
      <c r="M918" s="5"/>
      <c r="N918" s="5"/>
      <c r="O918" s="5"/>
      <c r="P918" s="5"/>
      <c r="Q918" s="5"/>
      <c r="R918" s="57"/>
      <c r="S918" s="5"/>
      <c r="T918" s="5"/>
      <c r="U918" s="5"/>
      <c r="V918" s="5"/>
      <c r="W918" s="5"/>
      <c r="X918" s="5"/>
      <c r="Y918" s="5"/>
      <c r="Z918" s="5"/>
      <c r="AA918" s="5"/>
      <c r="AB918" s="5"/>
      <c r="AC918" s="5"/>
    </row>
    <row r="919" spans="1:29" ht="12.75" customHeight="1">
      <c r="A919" s="5"/>
      <c r="B919" s="5"/>
      <c r="C919" s="5"/>
      <c r="D919" s="5"/>
      <c r="E919" s="5"/>
      <c r="F919" s="5"/>
      <c r="G919" s="5"/>
      <c r="H919" s="306"/>
      <c r="I919" s="306"/>
      <c r="J919" s="5"/>
      <c r="K919" s="5"/>
      <c r="L919" s="5"/>
      <c r="M919" s="5"/>
      <c r="N919" s="5"/>
      <c r="O919" s="5"/>
      <c r="P919" s="5"/>
      <c r="Q919" s="5"/>
      <c r="R919" s="57"/>
      <c r="S919" s="5"/>
      <c r="T919" s="5"/>
      <c r="U919" s="5"/>
      <c r="V919" s="5"/>
      <c r="W919" s="5"/>
      <c r="X919" s="5"/>
      <c r="Y919" s="5"/>
      <c r="Z919" s="5"/>
      <c r="AA919" s="5"/>
      <c r="AB919" s="5"/>
      <c r="AC919" s="5"/>
    </row>
    <row r="920" spans="1:29" ht="12.75" customHeight="1">
      <c r="A920" s="5"/>
      <c r="B920" s="5"/>
      <c r="C920" s="5"/>
      <c r="D920" s="5"/>
      <c r="E920" s="5"/>
      <c r="F920" s="5"/>
      <c r="G920" s="5"/>
      <c r="H920" s="306"/>
      <c r="I920" s="306"/>
      <c r="J920" s="5"/>
      <c r="K920" s="5"/>
      <c r="L920" s="5"/>
      <c r="M920" s="5"/>
      <c r="N920" s="5"/>
      <c r="O920" s="5"/>
      <c r="P920" s="5"/>
      <c r="Q920" s="5"/>
      <c r="R920" s="57"/>
      <c r="S920" s="5"/>
      <c r="T920" s="5"/>
      <c r="U920" s="5"/>
      <c r="V920" s="5"/>
      <c r="W920" s="5"/>
      <c r="X920" s="5"/>
      <c r="Y920" s="5"/>
      <c r="Z920" s="5"/>
      <c r="AA920" s="5"/>
      <c r="AB920" s="5"/>
      <c r="AC920" s="5"/>
    </row>
    <row r="921" spans="1:29" ht="12.75" customHeight="1">
      <c r="A921" s="5"/>
      <c r="B921" s="5"/>
      <c r="C921" s="5"/>
      <c r="D921" s="5"/>
      <c r="E921" s="5"/>
      <c r="F921" s="5"/>
      <c r="G921" s="5"/>
      <c r="H921" s="306"/>
      <c r="I921" s="306"/>
      <c r="J921" s="5"/>
      <c r="K921" s="5"/>
      <c r="L921" s="5"/>
      <c r="M921" s="5"/>
      <c r="N921" s="5"/>
      <c r="O921" s="5"/>
      <c r="P921" s="5"/>
      <c r="Q921" s="5"/>
      <c r="R921" s="57"/>
      <c r="S921" s="5"/>
      <c r="T921" s="5"/>
      <c r="U921" s="5"/>
      <c r="V921" s="5"/>
      <c r="W921" s="5"/>
      <c r="X921" s="5"/>
      <c r="Y921" s="5"/>
      <c r="Z921" s="5"/>
      <c r="AA921" s="5"/>
      <c r="AB921" s="5"/>
      <c r="AC921" s="5"/>
    </row>
    <row r="922" spans="1:29" ht="12.75" customHeight="1">
      <c r="A922" s="5"/>
      <c r="B922" s="5"/>
      <c r="C922" s="5"/>
      <c r="D922" s="5"/>
      <c r="E922" s="5"/>
      <c r="F922" s="5"/>
      <c r="G922" s="5"/>
      <c r="H922" s="306"/>
      <c r="I922" s="306"/>
      <c r="J922" s="5"/>
      <c r="K922" s="5"/>
      <c r="L922" s="5"/>
      <c r="M922" s="5"/>
      <c r="N922" s="5"/>
      <c r="O922" s="5"/>
      <c r="P922" s="5"/>
      <c r="Q922" s="5"/>
      <c r="R922" s="57"/>
      <c r="S922" s="5"/>
      <c r="T922" s="5"/>
      <c r="U922" s="5"/>
      <c r="V922" s="5"/>
      <c r="W922" s="5"/>
      <c r="X922" s="5"/>
      <c r="Y922" s="5"/>
      <c r="Z922" s="5"/>
      <c r="AA922" s="5"/>
      <c r="AB922" s="5"/>
      <c r="AC922" s="5"/>
    </row>
    <row r="923" spans="1:29" ht="12.75" customHeight="1">
      <c r="A923" s="5"/>
      <c r="B923" s="5"/>
      <c r="C923" s="5"/>
      <c r="D923" s="5"/>
      <c r="E923" s="5"/>
      <c r="F923" s="5"/>
      <c r="G923" s="5"/>
      <c r="H923" s="306"/>
      <c r="I923" s="306"/>
      <c r="J923" s="5"/>
      <c r="K923" s="5"/>
      <c r="L923" s="5"/>
      <c r="M923" s="5"/>
      <c r="N923" s="5"/>
      <c r="O923" s="5"/>
      <c r="P923" s="5"/>
      <c r="Q923" s="5"/>
      <c r="R923" s="57"/>
      <c r="S923" s="5"/>
      <c r="T923" s="5"/>
      <c r="U923" s="5"/>
      <c r="V923" s="5"/>
      <c r="W923" s="5"/>
      <c r="X923" s="5"/>
      <c r="Y923" s="5"/>
      <c r="Z923" s="5"/>
      <c r="AA923" s="5"/>
      <c r="AB923" s="5"/>
      <c r="AC923" s="5"/>
    </row>
    <row r="924" spans="1:29" ht="12.75" customHeight="1">
      <c r="A924" s="5"/>
      <c r="B924" s="5"/>
      <c r="C924" s="5"/>
      <c r="D924" s="5"/>
      <c r="E924" s="5"/>
      <c r="F924" s="5"/>
      <c r="G924" s="5"/>
      <c r="H924" s="306"/>
      <c r="I924" s="306"/>
      <c r="J924" s="5"/>
      <c r="K924" s="5"/>
      <c r="L924" s="5"/>
      <c r="M924" s="5"/>
      <c r="N924" s="5"/>
      <c r="O924" s="5"/>
      <c r="P924" s="5"/>
      <c r="Q924" s="5"/>
      <c r="R924" s="57"/>
      <c r="S924" s="5"/>
      <c r="T924" s="5"/>
      <c r="U924" s="5"/>
      <c r="V924" s="5"/>
      <c r="W924" s="5"/>
      <c r="X924" s="5"/>
      <c r="Y924" s="5"/>
      <c r="Z924" s="5"/>
      <c r="AA924" s="5"/>
      <c r="AB924" s="5"/>
      <c r="AC924" s="5"/>
    </row>
    <row r="925" spans="1:29" ht="12.75" customHeight="1">
      <c r="A925" s="5"/>
      <c r="B925" s="5"/>
      <c r="C925" s="5"/>
      <c r="D925" s="5"/>
      <c r="E925" s="5"/>
      <c r="F925" s="5"/>
      <c r="G925" s="5"/>
      <c r="H925" s="306"/>
      <c r="I925" s="306"/>
      <c r="J925" s="5"/>
      <c r="K925" s="5"/>
      <c r="L925" s="5"/>
      <c r="M925" s="5"/>
      <c r="N925" s="5"/>
      <c r="O925" s="5"/>
      <c r="P925" s="5"/>
      <c r="Q925" s="5"/>
      <c r="R925" s="57"/>
      <c r="S925" s="5"/>
      <c r="T925" s="5"/>
      <c r="U925" s="5"/>
      <c r="V925" s="5"/>
      <c r="W925" s="5"/>
      <c r="X925" s="5"/>
      <c r="Y925" s="5"/>
      <c r="Z925" s="5"/>
      <c r="AA925" s="5"/>
      <c r="AB925" s="5"/>
      <c r="AC925" s="5"/>
    </row>
    <row r="926" spans="1:29" ht="12.75" customHeight="1">
      <c r="A926" s="5"/>
      <c r="B926" s="5"/>
      <c r="C926" s="5"/>
      <c r="D926" s="5"/>
      <c r="E926" s="5"/>
      <c r="F926" s="5"/>
      <c r="G926" s="5"/>
      <c r="H926" s="306"/>
      <c r="I926" s="306"/>
      <c r="J926" s="5"/>
      <c r="K926" s="5"/>
      <c r="L926" s="5"/>
      <c r="M926" s="5"/>
      <c r="N926" s="5"/>
      <c r="O926" s="5"/>
      <c r="P926" s="5"/>
      <c r="Q926" s="5"/>
      <c r="R926" s="57"/>
      <c r="S926" s="5"/>
      <c r="T926" s="5"/>
      <c r="U926" s="5"/>
      <c r="V926" s="5"/>
      <c r="W926" s="5"/>
      <c r="X926" s="5"/>
      <c r="Y926" s="5"/>
      <c r="Z926" s="5"/>
      <c r="AA926" s="5"/>
      <c r="AB926" s="5"/>
      <c r="AC926" s="5"/>
    </row>
    <row r="927" spans="1:29" ht="12.75" customHeight="1">
      <c r="A927" s="5"/>
      <c r="B927" s="5"/>
      <c r="C927" s="5"/>
      <c r="D927" s="5"/>
      <c r="E927" s="5"/>
      <c r="F927" s="5"/>
      <c r="G927" s="5"/>
      <c r="H927" s="306"/>
      <c r="I927" s="306"/>
      <c r="J927" s="5"/>
      <c r="K927" s="5"/>
      <c r="L927" s="5"/>
      <c r="M927" s="5"/>
      <c r="N927" s="5"/>
      <c r="O927" s="5"/>
      <c r="P927" s="5"/>
      <c r="Q927" s="5"/>
      <c r="R927" s="57"/>
      <c r="S927" s="5"/>
      <c r="T927" s="5"/>
      <c r="U927" s="5"/>
      <c r="V927" s="5"/>
      <c r="W927" s="5"/>
      <c r="X927" s="5"/>
      <c r="Y927" s="5"/>
      <c r="Z927" s="5"/>
      <c r="AA927" s="5"/>
      <c r="AB927" s="5"/>
      <c r="AC927" s="5"/>
    </row>
    <row r="928" spans="1:29" ht="12.75" customHeight="1">
      <c r="A928" s="5"/>
      <c r="B928" s="5"/>
      <c r="C928" s="5"/>
      <c r="D928" s="5"/>
      <c r="E928" s="5"/>
      <c r="F928" s="5"/>
      <c r="G928" s="5"/>
      <c r="H928" s="306"/>
      <c r="I928" s="306"/>
      <c r="J928" s="5"/>
      <c r="K928" s="5"/>
      <c r="L928" s="5"/>
      <c r="M928" s="5"/>
      <c r="N928" s="5"/>
      <c r="O928" s="5"/>
      <c r="P928" s="5"/>
      <c r="Q928" s="5"/>
      <c r="R928" s="57"/>
      <c r="S928" s="5"/>
      <c r="T928" s="5"/>
      <c r="U928" s="5"/>
      <c r="V928" s="5"/>
      <c r="W928" s="5"/>
      <c r="X928" s="5"/>
      <c r="Y928" s="5"/>
      <c r="Z928" s="5"/>
      <c r="AA928" s="5"/>
      <c r="AB928" s="5"/>
      <c r="AC928" s="5"/>
    </row>
    <row r="929" spans="1:29" ht="12.75" customHeight="1">
      <c r="A929" s="5"/>
      <c r="B929" s="5"/>
      <c r="C929" s="5"/>
      <c r="D929" s="5"/>
      <c r="E929" s="5"/>
      <c r="F929" s="5"/>
      <c r="G929" s="5"/>
      <c r="H929" s="306"/>
      <c r="I929" s="306"/>
      <c r="J929" s="5"/>
      <c r="K929" s="5"/>
      <c r="L929" s="5"/>
      <c r="M929" s="5"/>
      <c r="N929" s="5"/>
      <c r="O929" s="5"/>
      <c r="P929" s="5"/>
      <c r="Q929" s="5"/>
      <c r="R929" s="57"/>
      <c r="S929" s="5"/>
      <c r="T929" s="5"/>
      <c r="U929" s="5"/>
      <c r="V929" s="5"/>
      <c r="W929" s="5"/>
      <c r="X929" s="5"/>
      <c r="Y929" s="5"/>
      <c r="Z929" s="5"/>
      <c r="AA929" s="5"/>
      <c r="AB929" s="5"/>
      <c r="AC929" s="5"/>
    </row>
    <row r="930" spans="1:29" ht="12.75" customHeight="1">
      <c r="A930" s="5"/>
      <c r="B930" s="5"/>
      <c r="C930" s="5"/>
      <c r="D930" s="5"/>
      <c r="E930" s="5"/>
      <c r="F930" s="5"/>
      <c r="G930" s="5"/>
      <c r="H930" s="306"/>
      <c r="I930" s="306"/>
      <c r="J930" s="5"/>
      <c r="K930" s="5"/>
      <c r="L930" s="5"/>
      <c r="M930" s="5"/>
      <c r="N930" s="5"/>
      <c r="O930" s="5"/>
      <c r="P930" s="5"/>
      <c r="Q930" s="5"/>
      <c r="R930" s="57"/>
      <c r="S930" s="5"/>
      <c r="T930" s="5"/>
      <c r="U930" s="5"/>
      <c r="V930" s="5"/>
      <c r="W930" s="5"/>
      <c r="X930" s="5"/>
      <c r="Y930" s="5"/>
      <c r="Z930" s="5"/>
      <c r="AA930" s="5"/>
      <c r="AB930" s="5"/>
      <c r="AC930" s="5"/>
    </row>
    <row r="931" spans="1:29" ht="12.75" customHeight="1">
      <c r="A931" s="5"/>
      <c r="B931" s="5"/>
      <c r="C931" s="5"/>
      <c r="D931" s="5"/>
      <c r="E931" s="5"/>
      <c r="F931" s="5"/>
      <c r="G931" s="5"/>
      <c r="H931" s="306"/>
      <c r="I931" s="306"/>
      <c r="J931" s="5"/>
      <c r="K931" s="5"/>
      <c r="L931" s="5"/>
      <c r="M931" s="5"/>
      <c r="N931" s="5"/>
      <c r="O931" s="5"/>
      <c r="P931" s="5"/>
      <c r="Q931" s="5"/>
      <c r="R931" s="57"/>
      <c r="S931" s="5"/>
      <c r="T931" s="5"/>
      <c r="U931" s="5"/>
      <c r="V931" s="5"/>
      <c r="W931" s="5"/>
      <c r="X931" s="5"/>
      <c r="Y931" s="5"/>
      <c r="Z931" s="5"/>
      <c r="AA931" s="5"/>
      <c r="AB931" s="5"/>
      <c r="AC931" s="5"/>
    </row>
    <row r="932" spans="1:29" ht="12.75" customHeight="1">
      <c r="A932" s="5"/>
      <c r="B932" s="5"/>
      <c r="C932" s="5"/>
      <c r="D932" s="5"/>
      <c r="E932" s="5"/>
      <c r="F932" s="5"/>
      <c r="G932" s="5"/>
      <c r="H932" s="306"/>
      <c r="I932" s="306"/>
      <c r="J932" s="5"/>
      <c r="K932" s="5"/>
      <c r="L932" s="5"/>
      <c r="M932" s="5"/>
      <c r="N932" s="5"/>
      <c r="O932" s="5"/>
      <c r="P932" s="5"/>
      <c r="Q932" s="5"/>
      <c r="R932" s="57"/>
      <c r="S932" s="5"/>
      <c r="T932" s="5"/>
      <c r="U932" s="5"/>
      <c r="V932" s="5"/>
      <c r="W932" s="5"/>
      <c r="X932" s="5"/>
      <c r="Y932" s="5"/>
      <c r="Z932" s="5"/>
      <c r="AA932" s="5"/>
      <c r="AB932" s="5"/>
      <c r="AC932" s="5"/>
    </row>
    <row r="933" spans="1:29" ht="12.75" customHeight="1">
      <c r="A933" s="5"/>
      <c r="B933" s="5"/>
      <c r="C933" s="5"/>
      <c r="D933" s="5"/>
      <c r="E933" s="5"/>
      <c r="F933" s="5"/>
      <c r="G933" s="5"/>
      <c r="H933" s="306"/>
      <c r="I933" s="306"/>
      <c r="J933" s="5"/>
      <c r="K933" s="5"/>
      <c r="L933" s="5"/>
      <c r="M933" s="5"/>
      <c r="N933" s="5"/>
      <c r="O933" s="5"/>
      <c r="P933" s="5"/>
      <c r="Q933" s="5"/>
      <c r="R933" s="57"/>
      <c r="S933" s="5"/>
      <c r="T933" s="5"/>
      <c r="U933" s="5"/>
      <c r="V933" s="5"/>
      <c r="W933" s="5"/>
      <c r="X933" s="5"/>
      <c r="Y933" s="5"/>
      <c r="Z933" s="5"/>
      <c r="AA933" s="5"/>
      <c r="AB933" s="5"/>
      <c r="AC933" s="5"/>
    </row>
    <row r="934" spans="1:29" ht="12.75" customHeight="1">
      <c r="A934" s="5"/>
      <c r="B934" s="5"/>
      <c r="C934" s="5"/>
      <c r="D934" s="5"/>
      <c r="E934" s="5"/>
      <c r="F934" s="5"/>
      <c r="G934" s="5"/>
      <c r="H934" s="306"/>
      <c r="I934" s="306"/>
      <c r="J934" s="5"/>
      <c r="K934" s="5"/>
      <c r="L934" s="5"/>
      <c r="M934" s="5"/>
      <c r="N934" s="5"/>
      <c r="O934" s="5"/>
      <c r="P934" s="5"/>
      <c r="Q934" s="5"/>
      <c r="R934" s="57"/>
      <c r="S934" s="5"/>
      <c r="T934" s="5"/>
      <c r="U934" s="5"/>
      <c r="V934" s="5"/>
      <c r="W934" s="5"/>
      <c r="X934" s="5"/>
      <c r="Y934" s="5"/>
      <c r="Z934" s="5"/>
      <c r="AA934" s="5"/>
      <c r="AB934" s="5"/>
      <c r="AC934" s="5"/>
    </row>
    <row r="935" spans="1:29" ht="12.75" customHeight="1">
      <c r="A935" s="5"/>
      <c r="B935" s="5"/>
      <c r="C935" s="5"/>
      <c r="D935" s="5"/>
      <c r="E935" s="5"/>
      <c r="F935" s="5"/>
      <c r="G935" s="5"/>
      <c r="H935" s="306"/>
      <c r="I935" s="306"/>
      <c r="J935" s="5"/>
      <c r="K935" s="5"/>
      <c r="L935" s="5"/>
      <c r="M935" s="5"/>
      <c r="N935" s="5"/>
      <c r="O935" s="5"/>
      <c r="P935" s="5"/>
      <c r="Q935" s="5"/>
      <c r="R935" s="57"/>
      <c r="S935" s="5"/>
      <c r="T935" s="5"/>
      <c r="U935" s="5"/>
      <c r="V935" s="5"/>
      <c r="W935" s="5"/>
      <c r="X935" s="5"/>
      <c r="Y935" s="5"/>
      <c r="Z935" s="5"/>
      <c r="AA935" s="5"/>
      <c r="AB935" s="5"/>
      <c r="AC935" s="5"/>
    </row>
    <row r="936" spans="1:29" ht="12.75" customHeight="1">
      <c r="A936" s="5"/>
      <c r="B936" s="5"/>
      <c r="C936" s="5"/>
      <c r="D936" s="5"/>
      <c r="E936" s="5"/>
      <c r="F936" s="5"/>
      <c r="G936" s="5"/>
      <c r="H936" s="306"/>
      <c r="I936" s="306"/>
      <c r="J936" s="5"/>
      <c r="K936" s="5"/>
      <c r="L936" s="5"/>
      <c r="M936" s="5"/>
      <c r="N936" s="5"/>
      <c r="O936" s="5"/>
      <c r="P936" s="5"/>
      <c r="Q936" s="5"/>
      <c r="R936" s="57"/>
      <c r="S936" s="5"/>
      <c r="T936" s="5"/>
      <c r="U936" s="5"/>
      <c r="V936" s="5"/>
      <c r="W936" s="5"/>
      <c r="X936" s="5"/>
      <c r="Y936" s="5"/>
      <c r="Z936" s="5"/>
      <c r="AA936" s="5"/>
      <c r="AB936" s="5"/>
      <c r="AC936" s="5"/>
    </row>
    <row r="937" spans="1:29" ht="12.75" customHeight="1">
      <c r="A937" s="5"/>
      <c r="B937" s="5"/>
      <c r="C937" s="5"/>
      <c r="D937" s="5"/>
      <c r="E937" s="5"/>
      <c r="F937" s="5"/>
      <c r="G937" s="5"/>
      <c r="H937" s="306"/>
      <c r="I937" s="306"/>
      <c r="J937" s="5"/>
      <c r="K937" s="5"/>
      <c r="L937" s="5"/>
      <c r="M937" s="5"/>
      <c r="N937" s="5"/>
      <c r="O937" s="5"/>
      <c r="P937" s="5"/>
      <c r="Q937" s="5"/>
      <c r="R937" s="57"/>
      <c r="S937" s="5"/>
      <c r="T937" s="5"/>
      <c r="U937" s="5"/>
      <c r="V937" s="5"/>
      <c r="W937" s="5"/>
      <c r="X937" s="5"/>
      <c r="Y937" s="5"/>
      <c r="Z937" s="5"/>
      <c r="AA937" s="5"/>
      <c r="AB937" s="5"/>
      <c r="AC937" s="5"/>
    </row>
    <row r="938" spans="1:29" ht="12.75" customHeight="1">
      <c r="A938" s="5"/>
      <c r="B938" s="5"/>
      <c r="C938" s="5"/>
      <c r="D938" s="5"/>
      <c r="E938" s="5"/>
      <c r="F938" s="5"/>
      <c r="G938" s="5"/>
      <c r="H938" s="306"/>
      <c r="I938" s="306"/>
      <c r="J938" s="5"/>
      <c r="K938" s="5"/>
      <c r="L938" s="5"/>
      <c r="M938" s="5"/>
      <c r="N938" s="5"/>
      <c r="O938" s="5"/>
      <c r="P938" s="5"/>
      <c r="Q938" s="5"/>
      <c r="R938" s="57"/>
      <c r="S938" s="5"/>
      <c r="T938" s="5"/>
      <c r="U938" s="5"/>
      <c r="V938" s="5"/>
      <c r="W938" s="5"/>
      <c r="X938" s="5"/>
      <c r="Y938" s="5"/>
      <c r="Z938" s="5"/>
      <c r="AA938" s="5"/>
      <c r="AB938" s="5"/>
      <c r="AC938" s="5"/>
    </row>
    <row r="939" spans="1:29" ht="12.75" customHeight="1">
      <c r="A939" s="5"/>
      <c r="B939" s="5"/>
      <c r="C939" s="5"/>
      <c r="D939" s="5"/>
      <c r="E939" s="5"/>
      <c r="F939" s="5"/>
      <c r="G939" s="5"/>
      <c r="H939" s="306"/>
      <c r="I939" s="306"/>
      <c r="J939" s="5"/>
      <c r="K939" s="5"/>
      <c r="L939" s="5"/>
      <c r="M939" s="5"/>
      <c r="N939" s="5"/>
      <c r="O939" s="5"/>
      <c r="P939" s="5"/>
      <c r="Q939" s="5"/>
      <c r="R939" s="57"/>
      <c r="S939" s="5"/>
      <c r="T939" s="5"/>
      <c r="U939" s="5"/>
      <c r="V939" s="5"/>
      <c r="W939" s="5"/>
      <c r="X939" s="5"/>
      <c r="Y939" s="5"/>
      <c r="Z939" s="5"/>
      <c r="AA939" s="5"/>
      <c r="AB939" s="5"/>
      <c r="AC939" s="5"/>
    </row>
    <row r="940" spans="1:29" ht="12.75" customHeight="1">
      <c r="A940" s="5"/>
      <c r="B940" s="5"/>
      <c r="C940" s="5"/>
      <c r="D940" s="5"/>
      <c r="E940" s="5"/>
      <c r="F940" s="5"/>
      <c r="G940" s="5"/>
      <c r="H940" s="306"/>
      <c r="I940" s="306"/>
      <c r="J940" s="5"/>
      <c r="K940" s="5"/>
      <c r="L940" s="5"/>
      <c r="M940" s="5"/>
      <c r="N940" s="5"/>
      <c r="O940" s="5"/>
      <c r="P940" s="5"/>
      <c r="Q940" s="5"/>
      <c r="R940" s="57"/>
      <c r="S940" s="5"/>
      <c r="T940" s="5"/>
      <c r="U940" s="5"/>
      <c r="V940" s="5"/>
      <c r="W940" s="5"/>
      <c r="X940" s="5"/>
      <c r="Y940" s="5"/>
      <c r="Z940" s="5"/>
      <c r="AA940" s="5"/>
      <c r="AB940" s="5"/>
      <c r="AC940" s="5"/>
    </row>
    <row r="941" spans="1:29" ht="12.75" customHeight="1">
      <c r="A941" s="5"/>
      <c r="B941" s="5"/>
      <c r="C941" s="5"/>
      <c r="D941" s="5"/>
      <c r="E941" s="5"/>
      <c r="F941" s="5"/>
      <c r="G941" s="5"/>
      <c r="H941" s="306"/>
      <c r="I941" s="306"/>
      <c r="J941" s="5"/>
      <c r="K941" s="5"/>
      <c r="L941" s="5"/>
      <c r="M941" s="5"/>
      <c r="N941" s="5"/>
      <c r="O941" s="5"/>
      <c r="P941" s="5"/>
      <c r="Q941" s="5"/>
      <c r="R941" s="57"/>
      <c r="S941" s="5"/>
      <c r="T941" s="5"/>
      <c r="U941" s="5"/>
      <c r="V941" s="5"/>
      <c r="W941" s="5"/>
      <c r="X941" s="5"/>
      <c r="Y941" s="5"/>
      <c r="Z941" s="5"/>
      <c r="AA941" s="5"/>
      <c r="AB941" s="5"/>
      <c r="AC941" s="5"/>
    </row>
    <row r="942" spans="1:29" ht="12.75" customHeight="1">
      <c r="A942" s="5"/>
      <c r="B942" s="5"/>
      <c r="C942" s="5"/>
      <c r="D942" s="5"/>
      <c r="E942" s="5"/>
      <c r="F942" s="5"/>
      <c r="G942" s="5"/>
      <c r="H942" s="306"/>
      <c r="I942" s="306"/>
      <c r="J942" s="5"/>
      <c r="K942" s="5"/>
      <c r="L942" s="5"/>
      <c r="M942" s="5"/>
      <c r="N942" s="5"/>
      <c r="O942" s="5"/>
      <c r="P942" s="5"/>
      <c r="Q942" s="5"/>
      <c r="R942" s="57"/>
      <c r="S942" s="5"/>
      <c r="T942" s="5"/>
      <c r="U942" s="5"/>
      <c r="V942" s="5"/>
      <c r="W942" s="5"/>
      <c r="X942" s="5"/>
      <c r="Y942" s="5"/>
      <c r="Z942" s="5"/>
      <c r="AA942" s="5"/>
      <c r="AB942" s="5"/>
      <c r="AC942" s="5"/>
    </row>
    <row r="943" spans="1:29" ht="12.75" customHeight="1">
      <c r="A943" s="5"/>
      <c r="B943" s="5"/>
      <c r="C943" s="5"/>
      <c r="D943" s="5"/>
      <c r="E943" s="5"/>
      <c r="F943" s="5"/>
      <c r="G943" s="5"/>
      <c r="H943" s="306"/>
      <c r="I943" s="306"/>
      <c r="J943" s="5"/>
      <c r="K943" s="5"/>
      <c r="L943" s="5"/>
      <c r="M943" s="5"/>
      <c r="N943" s="5"/>
      <c r="O943" s="5"/>
      <c r="P943" s="5"/>
      <c r="Q943" s="5"/>
      <c r="R943" s="57"/>
      <c r="S943" s="5"/>
      <c r="T943" s="5"/>
      <c r="U943" s="5"/>
      <c r="V943" s="5"/>
      <c r="W943" s="5"/>
      <c r="X943" s="5"/>
      <c r="Y943" s="5"/>
      <c r="Z943" s="5"/>
      <c r="AA943" s="5"/>
      <c r="AB943" s="5"/>
      <c r="AC943" s="5"/>
    </row>
    <row r="944" spans="1:29" ht="12.75" customHeight="1">
      <c r="A944" s="5"/>
      <c r="B944" s="5"/>
      <c r="C944" s="5"/>
      <c r="D944" s="5"/>
      <c r="E944" s="5"/>
      <c r="F944" s="5"/>
      <c r="G944" s="5"/>
      <c r="H944" s="306"/>
      <c r="I944" s="306"/>
      <c r="J944" s="5"/>
      <c r="K944" s="5"/>
      <c r="L944" s="5"/>
      <c r="M944" s="5"/>
      <c r="N944" s="5"/>
      <c r="O944" s="5"/>
      <c r="P944" s="5"/>
      <c r="Q944" s="5"/>
      <c r="R944" s="57"/>
      <c r="S944" s="5"/>
      <c r="T944" s="5"/>
      <c r="U944" s="5"/>
      <c r="V944" s="5"/>
      <c r="W944" s="5"/>
      <c r="X944" s="5"/>
      <c r="Y944" s="5"/>
      <c r="Z944" s="5"/>
      <c r="AA944" s="5"/>
      <c r="AB944" s="5"/>
      <c r="AC944" s="5"/>
    </row>
    <row r="945" spans="1:29" ht="12.75" customHeight="1">
      <c r="A945" s="5"/>
      <c r="B945" s="5"/>
      <c r="C945" s="5"/>
      <c r="D945" s="5"/>
      <c r="E945" s="5"/>
      <c r="F945" s="5"/>
      <c r="G945" s="5"/>
      <c r="H945" s="306"/>
      <c r="I945" s="306"/>
      <c r="J945" s="5"/>
      <c r="K945" s="5"/>
      <c r="L945" s="5"/>
      <c r="M945" s="5"/>
      <c r="N945" s="5"/>
      <c r="O945" s="5"/>
      <c r="P945" s="5"/>
      <c r="Q945" s="5"/>
      <c r="R945" s="57"/>
      <c r="S945" s="5"/>
      <c r="T945" s="5"/>
      <c r="U945" s="5"/>
      <c r="V945" s="5"/>
      <c r="W945" s="5"/>
      <c r="X945" s="5"/>
      <c r="Y945" s="5"/>
      <c r="Z945" s="5"/>
      <c r="AA945" s="5"/>
      <c r="AB945" s="5"/>
      <c r="AC945" s="5"/>
    </row>
    <row r="946" spans="1:29" ht="12.75" customHeight="1">
      <c r="A946" s="5"/>
      <c r="B946" s="5"/>
      <c r="C946" s="5"/>
      <c r="D946" s="5"/>
      <c r="E946" s="5"/>
      <c r="F946" s="5"/>
      <c r="G946" s="5"/>
      <c r="H946" s="306"/>
      <c r="I946" s="306"/>
      <c r="J946" s="5"/>
      <c r="K946" s="5"/>
      <c r="L946" s="5"/>
      <c r="M946" s="5"/>
      <c r="N946" s="5"/>
      <c r="O946" s="5"/>
      <c r="P946" s="5"/>
      <c r="Q946" s="5"/>
      <c r="R946" s="57"/>
      <c r="S946" s="5"/>
      <c r="T946" s="5"/>
      <c r="U946" s="5"/>
      <c r="V946" s="5"/>
      <c r="W946" s="5"/>
      <c r="X946" s="5"/>
      <c r="Y946" s="5"/>
      <c r="Z946" s="5"/>
      <c r="AA946" s="5"/>
      <c r="AB946" s="5"/>
      <c r="AC946" s="5"/>
    </row>
    <row r="947" spans="1:29" ht="12.75" customHeight="1">
      <c r="A947" s="5"/>
      <c r="B947" s="5"/>
      <c r="C947" s="5"/>
      <c r="D947" s="5"/>
      <c r="E947" s="5"/>
      <c r="F947" s="5"/>
      <c r="G947" s="5"/>
      <c r="H947" s="306"/>
      <c r="I947" s="306"/>
      <c r="J947" s="5"/>
      <c r="K947" s="5"/>
      <c r="L947" s="5"/>
      <c r="M947" s="5"/>
      <c r="N947" s="5"/>
      <c r="O947" s="5"/>
      <c r="P947" s="5"/>
      <c r="Q947" s="5"/>
      <c r="R947" s="57"/>
      <c r="S947" s="5"/>
      <c r="T947" s="5"/>
      <c r="U947" s="5"/>
      <c r="V947" s="5"/>
      <c r="W947" s="5"/>
      <c r="X947" s="5"/>
      <c r="Y947" s="5"/>
      <c r="Z947" s="5"/>
      <c r="AA947" s="5"/>
      <c r="AB947" s="5"/>
      <c r="AC947" s="5"/>
    </row>
    <row r="948" spans="1:29" ht="12.75" customHeight="1">
      <c r="A948" s="5"/>
      <c r="B948" s="5"/>
      <c r="C948" s="5"/>
      <c r="D948" s="5"/>
      <c r="E948" s="5"/>
      <c r="F948" s="5"/>
      <c r="G948" s="5"/>
      <c r="H948" s="306"/>
      <c r="I948" s="306"/>
      <c r="J948" s="5"/>
      <c r="K948" s="5"/>
      <c r="L948" s="5"/>
      <c r="M948" s="5"/>
      <c r="N948" s="5"/>
      <c r="O948" s="5"/>
      <c r="P948" s="5"/>
      <c r="Q948" s="5"/>
      <c r="R948" s="57"/>
      <c r="S948" s="5"/>
      <c r="T948" s="5"/>
      <c r="U948" s="5"/>
      <c r="V948" s="5"/>
      <c r="W948" s="5"/>
      <c r="X948" s="5"/>
      <c r="Y948" s="5"/>
      <c r="Z948" s="5"/>
      <c r="AA948" s="5"/>
      <c r="AB948" s="5"/>
      <c r="AC948" s="5"/>
    </row>
    <row r="949" spans="1:29" ht="12.75" customHeight="1">
      <c r="A949" s="5"/>
      <c r="B949" s="5"/>
      <c r="C949" s="5"/>
      <c r="D949" s="5"/>
      <c r="E949" s="5"/>
      <c r="F949" s="5"/>
      <c r="G949" s="5"/>
      <c r="H949" s="306"/>
      <c r="I949" s="306"/>
      <c r="J949" s="5"/>
      <c r="K949" s="5"/>
      <c r="L949" s="5"/>
      <c r="M949" s="5"/>
      <c r="N949" s="5"/>
      <c r="O949" s="5"/>
      <c r="P949" s="5"/>
      <c r="Q949" s="5"/>
      <c r="R949" s="57"/>
      <c r="S949" s="5"/>
      <c r="T949" s="5"/>
      <c r="U949" s="5"/>
      <c r="V949" s="5"/>
      <c r="W949" s="5"/>
      <c r="X949" s="5"/>
      <c r="Y949" s="5"/>
      <c r="Z949" s="5"/>
      <c r="AA949" s="5"/>
      <c r="AB949" s="5"/>
      <c r="AC949" s="5"/>
    </row>
    <row r="950" spans="1:29" ht="12.75" customHeight="1">
      <c r="A950" s="5"/>
      <c r="B950" s="5"/>
      <c r="C950" s="5"/>
      <c r="D950" s="5"/>
      <c r="E950" s="5"/>
      <c r="F950" s="5"/>
      <c r="G950" s="5"/>
      <c r="H950" s="306"/>
      <c r="I950" s="306"/>
      <c r="J950" s="5"/>
      <c r="K950" s="5"/>
      <c r="L950" s="5"/>
      <c r="M950" s="5"/>
      <c r="N950" s="5"/>
      <c r="O950" s="5"/>
      <c r="P950" s="5"/>
      <c r="Q950" s="5"/>
      <c r="R950" s="57"/>
      <c r="S950" s="5"/>
      <c r="T950" s="5"/>
      <c r="U950" s="5"/>
      <c r="V950" s="5"/>
      <c r="W950" s="5"/>
      <c r="X950" s="5"/>
      <c r="Y950" s="5"/>
      <c r="Z950" s="5"/>
      <c r="AA950" s="5"/>
      <c r="AB950" s="5"/>
      <c r="AC950" s="5"/>
    </row>
    <row r="951" spans="1:29" ht="12.75" customHeight="1">
      <c r="A951" s="5"/>
      <c r="B951" s="5"/>
      <c r="C951" s="5"/>
      <c r="D951" s="5"/>
      <c r="E951" s="5"/>
      <c r="F951" s="5"/>
      <c r="G951" s="5"/>
      <c r="H951" s="306"/>
      <c r="I951" s="306"/>
      <c r="J951" s="5"/>
      <c r="K951" s="5"/>
      <c r="L951" s="5"/>
      <c r="M951" s="5"/>
      <c r="N951" s="5"/>
      <c r="O951" s="5"/>
      <c r="P951" s="5"/>
      <c r="Q951" s="5"/>
      <c r="R951" s="57"/>
      <c r="S951" s="5"/>
      <c r="T951" s="5"/>
      <c r="U951" s="5"/>
      <c r="V951" s="5"/>
      <c r="W951" s="5"/>
      <c r="X951" s="5"/>
      <c r="Y951" s="5"/>
      <c r="Z951" s="5"/>
      <c r="AA951" s="5"/>
      <c r="AB951" s="5"/>
      <c r="AC951" s="5"/>
    </row>
    <row r="952" spans="1:29" ht="12.75" customHeight="1">
      <c r="A952" s="5"/>
      <c r="B952" s="5"/>
      <c r="C952" s="5"/>
      <c r="D952" s="5"/>
      <c r="E952" s="5"/>
      <c r="F952" s="5"/>
      <c r="G952" s="5"/>
      <c r="H952" s="306"/>
      <c r="I952" s="306"/>
      <c r="J952" s="5"/>
      <c r="K952" s="5"/>
      <c r="L952" s="5"/>
      <c r="M952" s="5"/>
      <c r="N952" s="5"/>
      <c r="O952" s="5"/>
      <c r="P952" s="5"/>
      <c r="Q952" s="5"/>
      <c r="R952" s="57"/>
      <c r="S952" s="5"/>
      <c r="T952" s="5"/>
      <c r="U952" s="5"/>
      <c r="V952" s="5"/>
      <c r="W952" s="5"/>
      <c r="X952" s="5"/>
      <c r="Y952" s="5"/>
      <c r="Z952" s="5"/>
      <c r="AA952" s="5"/>
      <c r="AB952" s="5"/>
      <c r="AC952" s="5"/>
    </row>
    <row r="953" spans="1:29" ht="12.75" customHeight="1">
      <c r="A953" s="5"/>
      <c r="B953" s="5"/>
      <c r="C953" s="5"/>
      <c r="D953" s="5"/>
      <c r="E953" s="5"/>
      <c r="F953" s="5"/>
      <c r="G953" s="5"/>
      <c r="H953" s="306"/>
      <c r="I953" s="306"/>
      <c r="J953" s="5"/>
      <c r="K953" s="5"/>
      <c r="L953" s="5"/>
      <c r="M953" s="5"/>
      <c r="N953" s="5"/>
      <c r="O953" s="5"/>
      <c r="P953" s="5"/>
      <c r="Q953" s="5"/>
      <c r="R953" s="57"/>
      <c r="S953" s="5"/>
      <c r="T953" s="5"/>
      <c r="U953" s="5"/>
      <c r="V953" s="5"/>
      <c r="W953" s="5"/>
      <c r="X953" s="5"/>
      <c r="Y953" s="5"/>
      <c r="Z953" s="5"/>
      <c r="AA953" s="5"/>
      <c r="AB953" s="5"/>
      <c r="AC953" s="5"/>
    </row>
    <row r="954" spans="1:29" ht="12.75" customHeight="1">
      <c r="A954" s="5"/>
      <c r="B954" s="5"/>
      <c r="C954" s="5"/>
      <c r="D954" s="5"/>
      <c r="E954" s="5"/>
      <c r="F954" s="5"/>
      <c r="G954" s="5"/>
      <c r="H954" s="306"/>
      <c r="I954" s="306"/>
      <c r="J954" s="5"/>
      <c r="K954" s="5"/>
      <c r="L954" s="5"/>
      <c r="M954" s="5"/>
      <c r="N954" s="5"/>
      <c r="O954" s="5"/>
      <c r="P954" s="5"/>
      <c r="Q954" s="5"/>
      <c r="R954" s="57"/>
      <c r="S954" s="5"/>
      <c r="T954" s="5"/>
      <c r="U954" s="5"/>
      <c r="V954" s="5"/>
      <c r="W954" s="5"/>
      <c r="X954" s="5"/>
      <c r="Y954" s="5"/>
      <c r="Z954" s="5"/>
      <c r="AA954" s="5"/>
      <c r="AB954" s="5"/>
      <c r="AC954" s="5"/>
    </row>
    <row r="955" spans="1:29" ht="12.75" customHeight="1">
      <c r="A955" s="5"/>
      <c r="B955" s="5"/>
      <c r="C955" s="5"/>
      <c r="D955" s="5"/>
      <c r="E955" s="5"/>
      <c r="F955" s="5"/>
      <c r="G955" s="5"/>
      <c r="H955" s="306"/>
      <c r="I955" s="306"/>
      <c r="J955" s="5"/>
      <c r="K955" s="5"/>
      <c r="L955" s="5"/>
      <c r="M955" s="5"/>
      <c r="N955" s="5"/>
      <c r="O955" s="5"/>
      <c r="P955" s="5"/>
      <c r="Q955" s="5"/>
      <c r="R955" s="57"/>
      <c r="S955" s="5"/>
      <c r="T955" s="5"/>
      <c r="U955" s="5"/>
      <c r="V955" s="5"/>
      <c r="W955" s="5"/>
      <c r="X955" s="5"/>
      <c r="Y955" s="5"/>
      <c r="Z955" s="5"/>
      <c r="AA955" s="5"/>
      <c r="AB955" s="5"/>
      <c r="AC955" s="5"/>
    </row>
    <row r="956" spans="1:29" ht="12.75" customHeight="1">
      <c r="A956" s="5"/>
      <c r="B956" s="5"/>
      <c r="C956" s="5"/>
      <c r="D956" s="5"/>
      <c r="E956" s="5"/>
      <c r="F956" s="5"/>
      <c r="G956" s="5"/>
      <c r="H956" s="306"/>
      <c r="I956" s="306"/>
      <c r="J956" s="5"/>
      <c r="K956" s="5"/>
      <c r="L956" s="5"/>
      <c r="M956" s="5"/>
      <c r="N956" s="5"/>
      <c r="O956" s="5"/>
      <c r="P956" s="5"/>
      <c r="Q956" s="5"/>
      <c r="R956" s="57"/>
      <c r="S956" s="5"/>
      <c r="T956" s="5"/>
      <c r="U956" s="5"/>
      <c r="V956" s="5"/>
      <c r="W956" s="5"/>
      <c r="X956" s="5"/>
      <c r="Y956" s="5"/>
      <c r="Z956" s="5"/>
      <c r="AA956" s="5"/>
      <c r="AB956" s="5"/>
      <c r="AC956" s="5"/>
    </row>
    <row r="957" spans="1:29" ht="12.75" customHeight="1">
      <c r="A957" s="5"/>
      <c r="B957" s="5"/>
      <c r="C957" s="5"/>
      <c r="D957" s="5"/>
      <c r="E957" s="5"/>
      <c r="F957" s="5"/>
      <c r="G957" s="5"/>
      <c r="H957" s="306"/>
      <c r="I957" s="306"/>
      <c r="J957" s="5"/>
      <c r="K957" s="5"/>
      <c r="L957" s="5"/>
      <c r="M957" s="5"/>
      <c r="N957" s="5"/>
      <c r="O957" s="5"/>
      <c r="P957" s="5"/>
      <c r="Q957" s="5"/>
      <c r="R957" s="57"/>
      <c r="S957" s="5"/>
      <c r="T957" s="5"/>
      <c r="U957" s="5"/>
      <c r="V957" s="5"/>
      <c r="W957" s="5"/>
      <c r="X957" s="5"/>
      <c r="Y957" s="5"/>
      <c r="Z957" s="5"/>
      <c r="AA957" s="5"/>
      <c r="AB957" s="5"/>
      <c r="AC957" s="5"/>
    </row>
    <row r="958" spans="1:29" ht="12.75" customHeight="1">
      <c r="A958" s="5"/>
      <c r="B958" s="5"/>
      <c r="C958" s="5"/>
      <c r="D958" s="5"/>
      <c r="E958" s="5"/>
      <c r="F958" s="5"/>
      <c r="G958" s="5"/>
      <c r="H958" s="306"/>
      <c r="I958" s="306"/>
      <c r="J958" s="5"/>
      <c r="K958" s="5"/>
      <c r="L958" s="5"/>
      <c r="M958" s="5"/>
      <c r="N958" s="5"/>
      <c r="O958" s="5"/>
      <c r="P958" s="5"/>
      <c r="Q958" s="5"/>
      <c r="R958" s="57"/>
      <c r="S958" s="5"/>
      <c r="T958" s="5"/>
      <c r="U958" s="5"/>
      <c r="V958" s="5"/>
      <c r="W958" s="5"/>
      <c r="X958" s="5"/>
      <c r="Y958" s="5"/>
      <c r="Z958" s="5"/>
      <c r="AA958" s="5"/>
      <c r="AB958" s="5"/>
      <c r="AC958" s="5"/>
    </row>
    <row r="959" spans="1:29" ht="12.75" customHeight="1">
      <c r="A959" s="5"/>
      <c r="B959" s="5"/>
      <c r="C959" s="5"/>
      <c r="D959" s="5"/>
      <c r="E959" s="5"/>
      <c r="F959" s="5"/>
      <c r="G959" s="5"/>
      <c r="H959" s="306"/>
      <c r="I959" s="306"/>
      <c r="J959" s="5"/>
      <c r="K959" s="5"/>
      <c r="L959" s="5"/>
      <c r="M959" s="5"/>
      <c r="N959" s="5"/>
      <c r="O959" s="5"/>
      <c r="P959" s="5"/>
      <c r="Q959" s="5"/>
      <c r="R959" s="57"/>
      <c r="S959" s="5"/>
      <c r="T959" s="5"/>
      <c r="U959" s="5"/>
      <c r="V959" s="5"/>
      <c r="W959" s="5"/>
      <c r="X959" s="5"/>
      <c r="Y959" s="5"/>
      <c r="Z959" s="5"/>
      <c r="AA959" s="5"/>
      <c r="AB959" s="5"/>
      <c r="AC959" s="5"/>
    </row>
    <row r="960" spans="1:29" ht="12.75" customHeight="1">
      <c r="A960" s="5"/>
      <c r="B960" s="5"/>
      <c r="C960" s="5"/>
      <c r="D960" s="5"/>
      <c r="E960" s="5"/>
      <c r="F960" s="5"/>
      <c r="G960" s="5"/>
      <c r="H960" s="306"/>
      <c r="I960" s="306"/>
      <c r="J960" s="5"/>
      <c r="K960" s="5"/>
      <c r="L960" s="5"/>
      <c r="M960" s="5"/>
      <c r="N960" s="5"/>
      <c r="O960" s="5"/>
      <c r="P960" s="5"/>
      <c r="Q960" s="5"/>
      <c r="R960" s="57"/>
      <c r="S960" s="5"/>
      <c r="T960" s="5"/>
      <c r="U960" s="5"/>
      <c r="V960" s="5"/>
      <c r="W960" s="5"/>
      <c r="X960" s="5"/>
      <c r="Y960" s="5"/>
      <c r="Z960" s="5"/>
      <c r="AA960" s="5"/>
      <c r="AB960" s="5"/>
      <c r="AC960" s="5"/>
    </row>
    <row r="961" spans="1:29" ht="12.75" customHeight="1">
      <c r="A961" s="5"/>
      <c r="B961" s="5"/>
      <c r="C961" s="5"/>
      <c r="D961" s="5"/>
      <c r="E961" s="5"/>
      <c r="F961" s="5"/>
      <c r="G961" s="5"/>
      <c r="H961" s="306"/>
      <c r="I961" s="306"/>
      <c r="J961" s="5"/>
      <c r="K961" s="5"/>
      <c r="L961" s="5"/>
      <c r="M961" s="5"/>
      <c r="N961" s="5"/>
      <c r="O961" s="5"/>
      <c r="P961" s="5"/>
      <c r="Q961" s="5"/>
      <c r="R961" s="57"/>
      <c r="S961" s="5"/>
      <c r="T961" s="5"/>
      <c r="U961" s="5"/>
      <c r="V961" s="5"/>
      <c r="W961" s="5"/>
      <c r="X961" s="5"/>
      <c r="Y961" s="5"/>
      <c r="Z961" s="5"/>
      <c r="AA961" s="5"/>
      <c r="AB961" s="5"/>
      <c r="AC961" s="5"/>
    </row>
    <row r="962" spans="1:29" ht="12.75" customHeight="1">
      <c r="A962" s="5"/>
      <c r="B962" s="5"/>
      <c r="C962" s="5"/>
      <c r="D962" s="5"/>
      <c r="E962" s="5"/>
      <c r="F962" s="5"/>
      <c r="G962" s="5"/>
      <c r="H962" s="306"/>
      <c r="I962" s="306"/>
      <c r="J962" s="5"/>
      <c r="K962" s="5"/>
      <c r="L962" s="5"/>
      <c r="M962" s="5"/>
      <c r="N962" s="5"/>
      <c r="O962" s="5"/>
      <c r="P962" s="5"/>
      <c r="Q962" s="5"/>
      <c r="R962" s="57"/>
      <c r="S962" s="5"/>
      <c r="T962" s="5"/>
      <c r="U962" s="5"/>
      <c r="V962" s="5"/>
      <c r="W962" s="5"/>
      <c r="X962" s="5"/>
      <c r="Y962" s="5"/>
      <c r="Z962" s="5"/>
      <c r="AA962" s="5"/>
      <c r="AB962" s="5"/>
      <c r="AC962" s="5"/>
    </row>
    <row r="963" spans="1:29" ht="12.75" customHeight="1">
      <c r="A963" s="5"/>
      <c r="B963" s="5"/>
      <c r="C963" s="5"/>
      <c r="D963" s="5"/>
      <c r="E963" s="5"/>
      <c r="F963" s="5"/>
      <c r="G963" s="5"/>
      <c r="H963" s="306"/>
      <c r="I963" s="306"/>
      <c r="J963" s="5"/>
      <c r="K963" s="5"/>
      <c r="L963" s="5"/>
      <c r="M963" s="5"/>
      <c r="N963" s="5"/>
      <c r="O963" s="5"/>
      <c r="P963" s="5"/>
      <c r="Q963" s="5"/>
      <c r="R963" s="57"/>
      <c r="S963" s="5"/>
      <c r="T963" s="5"/>
      <c r="U963" s="5"/>
      <c r="V963" s="5"/>
      <c r="W963" s="5"/>
      <c r="X963" s="5"/>
      <c r="Y963" s="5"/>
      <c r="Z963" s="5"/>
      <c r="AA963" s="5"/>
      <c r="AB963" s="5"/>
      <c r="AC963" s="5"/>
    </row>
    <row r="964" spans="1:29" ht="12.75" customHeight="1">
      <c r="A964" s="5"/>
      <c r="B964" s="5"/>
      <c r="C964" s="5"/>
      <c r="D964" s="5"/>
      <c r="E964" s="5"/>
      <c r="F964" s="5"/>
      <c r="G964" s="5"/>
      <c r="H964" s="306"/>
      <c r="I964" s="306"/>
      <c r="J964" s="5"/>
      <c r="K964" s="5"/>
      <c r="L964" s="5"/>
      <c r="M964" s="5"/>
      <c r="N964" s="5"/>
      <c r="O964" s="5"/>
      <c r="P964" s="5"/>
      <c r="Q964" s="5"/>
      <c r="R964" s="57"/>
      <c r="S964" s="5"/>
      <c r="T964" s="5"/>
      <c r="U964" s="5"/>
      <c r="V964" s="5"/>
      <c r="W964" s="5"/>
      <c r="X964" s="5"/>
      <c r="Y964" s="5"/>
      <c r="Z964" s="5"/>
      <c r="AA964" s="5"/>
      <c r="AB964" s="5"/>
      <c r="AC964" s="5"/>
    </row>
    <row r="965" spans="1:29" ht="12.75" customHeight="1">
      <c r="A965" s="5"/>
      <c r="B965" s="5"/>
      <c r="C965" s="5"/>
      <c r="D965" s="5"/>
      <c r="E965" s="5"/>
      <c r="F965" s="5"/>
      <c r="G965" s="5"/>
      <c r="H965" s="306"/>
      <c r="I965" s="306"/>
      <c r="J965" s="5"/>
      <c r="K965" s="5"/>
      <c r="L965" s="5"/>
      <c r="M965" s="5"/>
      <c r="N965" s="5"/>
      <c r="O965" s="5"/>
      <c r="P965" s="5"/>
      <c r="Q965" s="5"/>
      <c r="R965" s="57"/>
      <c r="S965" s="5"/>
      <c r="T965" s="5"/>
      <c r="U965" s="5"/>
      <c r="V965" s="5"/>
      <c r="W965" s="5"/>
      <c r="X965" s="5"/>
      <c r="Y965" s="5"/>
      <c r="Z965" s="5"/>
      <c r="AA965" s="5"/>
      <c r="AB965" s="5"/>
      <c r="AC965" s="5"/>
    </row>
    <row r="966" spans="1:29" ht="12.75" customHeight="1">
      <c r="A966" s="5"/>
      <c r="B966" s="5"/>
      <c r="C966" s="5"/>
      <c r="D966" s="5"/>
      <c r="E966" s="5"/>
      <c r="F966" s="5"/>
      <c r="G966" s="5"/>
      <c r="H966" s="306"/>
      <c r="I966" s="306"/>
      <c r="J966" s="5"/>
      <c r="K966" s="5"/>
      <c r="L966" s="5"/>
      <c r="M966" s="5"/>
      <c r="N966" s="5"/>
      <c r="O966" s="5"/>
      <c r="P966" s="5"/>
      <c r="Q966" s="5"/>
      <c r="R966" s="57"/>
      <c r="S966" s="5"/>
      <c r="T966" s="5"/>
      <c r="U966" s="5"/>
      <c r="V966" s="5"/>
      <c r="W966" s="5"/>
      <c r="X966" s="5"/>
      <c r="Y966" s="5"/>
      <c r="Z966" s="5"/>
      <c r="AA966" s="5"/>
      <c r="AB966" s="5"/>
      <c r="AC966" s="5"/>
    </row>
    <row r="967" spans="1:29" ht="12.75" customHeight="1">
      <c r="A967" s="5"/>
      <c r="B967" s="5"/>
      <c r="C967" s="5"/>
      <c r="D967" s="5"/>
      <c r="E967" s="5"/>
      <c r="F967" s="5"/>
      <c r="G967" s="5"/>
      <c r="H967" s="306"/>
      <c r="I967" s="306"/>
      <c r="J967" s="5"/>
      <c r="K967" s="5"/>
      <c r="L967" s="5"/>
      <c r="M967" s="5"/>
      <c r="N967" s="5"/>
      <c r="O967" s="5"/>
      <c r="P967" s="5"/>
      <c r="Q967" s="5"/>
      <c r="R967" s="57"/>
      <c r="S967" s="5"/>
      <c r="T967" s="5"/>
      <c r="U967" s="5"/>
      <c r="V967" s="5"/>
      <c r="W967" s="5"/>
      <c r="X967" s="5"/>
      <c r="Y967" s="5"/>
      <c r="Z967" s="5"/>
      <c r="AA967" s="5"/>
      <c r="AB967" s="5"/>
      <c r="AC967" s="5"/>
    </row>
    <row r="968" spans="1:29" ht="12.75" customHeight="1">
      <c r="A968" s="5"/>
      <c r="B968" s="5"/>
      <c r="C968" s="5"/>
      <c r="D968" s="5"/>
      <c r="E968" s="5"/>
      <c r="F968" s="5"/>
      <c r="G968" s="5"/>
      <c r="H968" s="306"/>
      <c r="I968" s="306"/>
      <c r="J968" s="5"/>
      <c r="K968" s="5"/>
      <c r="L968" s="5"/>
      <c r="M968" s="5"/>
      <c r="N968" s="5"/>
      <c r="O968" s="5"/>
      <c r="P968" s="5"/>
      <c r="Q968" s="5"/>
      <c r="R968" s="57"/>
      <c r="S968" s="5"/>
      <c r="T968" s="5"/>
      <c r="U968" s="5"/>
      <c r="V968" s="5"/>
      <c r="W968" s="5"/>
      <c r="X968" s="5"/>
      <c r="Y968" s="5"/>
      <c r="Z968" s="5"/>
      <c r="AA968" s="5"/>
      <c r="AB968" s="5"/>
      <c r="AC968" s="5"/>
    </row>
    <row r="969" spans="1:29" ht="12.75" customHeight="1">
      <c r="A969" s="5"/>
      <c r="B969" s="5"/>
      <c r="C969" s="5"/>
      <c r="D969" s="5"/>
      <c r="E969" s="5"/>
      <c r="F969" s="5"/>
      <c r="G969" s="5"/>
      <c r="H969" s="306"/>
      <c r="I969" s="306"/>
      <c r="J969" s="5"/>
      <c r="K969" s="5"/>
      <c r="L969" s="5"/>
      <c r="M969" s="5"/>
      <c r="N969" s="5"/>
      <c r="O969" s="5"/>
      <c r="P969" s="5"/>
      <c r="Q969" s="5"/>
      <c r="R969" s="57"/>
      <c r="S969" s="5"/>
      <c r="T969" s="5"/>
      <c r="U969" s="5"/>
      <c r="V969" s="5"/>
      <c r="W969" s="5"/>
      <c r="X969" s="5"/>
      <c r="Y969" s="5"/>
      <c r="Z969" s="5"/>
      <c r="AA969" s="5"/>
      <c r="AB969" s="5"/>
      <c r="AC969" s="5"/>
    </row>
    <row r="970" spans="1:29" ht="12.75" customHeight="1">
      <c r="A970" s="5"/>
      <c r="B970" s="5"/>
      <c r="C970" s="5"/>
      <c r="D970" s="5"/>
      <c r="E970" s="5"/>
      <c r="F970" s="5"/>
      <c r="G970" s="5"/>
      <c r="H970" s="306"/>
      <c r="I970" s="306"/>
      <c r="J970" s="5"/>
      <c r="K970" s="5"/>
      <c r="L970" s="5"/>
      <c r="M970" s="5"/>
      <c r="N970" s="5"/>
      <c r="O970" s="5"/>
      <c r="P970" s="5"/>
      <c r="Q970" s="5"/>
      <c r="R970" s="57"/>
      <c r="S970" s="5"/>
      <c r="T970" s="5"/>
      <c r="U970" s="5"/>
      <c r="V970" s="5"/>
      <c r="W970" s="5"/>
      <c r="X970" s="5"/>
      <c r="Y970" s="5"/>
      <c r="Z970" s="5"/>
      <c r="AA970" s="5"/>
      <c r="AB970" s="5"/>
      <c r="AC970" s="5"/>
    </row>
    <row r="971" spans="1:29" ht="12.75" customHeight="1">
      <c r="A971" s="5"/>
      <c r="B971" s="5"/>
      <c r="C971" s="5"/>
      <c r="D971" s="5"/>
      <c r="E971" s="5"/>
      <c r="F971" s="5"/>
      <c r="G971" s="5"/>
      <c r="H971" s="306"/>
      <c r="I971" s="306"/>
      <c r="J971" s="5"/>
      <c r="K971" s="5"/>
      <c r="L971" s="5"/>
      <c r="M971" s="5"/>
      <c r="N971" s="5"/>
      <c r="O971" s="5"/>
      <c r="P971" s="5"/>
      <c r="Q971" s="5"/>
      <c r="R971" s="57"/>
      <c r="S971" s="5"/>
      <c r="T971" s="5"/>
      <c r="U971" s="5"/>
      <c r="V971" s="5"/>
      <c r="W971" s="5"/>
      <c r="X971" s="5"/>
      <c r="Y971" s="5"/>
      <c r="Z971" s="5"/>
      <c r="AA971" s="5"/>
      <c r="AB971" s="5"/>
      <c r="AC971" s="5"/>
    </row>
    <row r="972" spans="1:29" ht="12.75" customHeight="1">
      <c r="A972" s="5"/>
      <c r="B972" s="5"/>
      <c r="C972" s="5"/>
      <c r="D972" s="5"/>
      <c r="E972" s="5"/>
      <c r="F972" s="5"/>
      <c r="G972" s="5"/>
      <c r="H972" s="306"/>
      <c r="I972" s="306"/>
      <c r="J972" s="5"/>
      <c r="K972" s="5"/>
      <c r="L972" s="5"/>
      <c r="M972" s="5"/>
      <c r="N972" s="5"/>
      <c r="O972" s="5"/>
      <c r="P972" s="5"/>
      <c r="Q972" s="5"/>
      <c r="R972" s="57"/>
      <c r="S972" s="5"/>
      <c r="T972" s="5"/>
      <c r="U972" s="5"/>
      <c r="V972" s="5"/>
      <c r="W972" s="5"/>
      <c r="X972" s="5"/>
      <c r="Y972" s="5"/>
      <c r="Z972" s="5"/>
      <c r="AA972" s="5"/>
      <c r="AB972" s="5"/>
      <c r="AC972" s="5"/>
    </row>
    <row r="973" spans="1:29" ht="12.75" customHeight="1">
      <c r="A973" s="5"/>
      <c r="B973" s="5"/>
      <c r="C973" s="5"/>
      <c r="D973" s="5"/>
      <c r="E973" s="5"/>
      <c r="F973" s="5"/>
      <c r="G973" s="5"/>
      <c r="H973" s="306"/>
      <c r="I973" s="306"/>
      <c r="J973" s="5"/>
      <c r="K973" s="5"/>
      <c r="L973" s="5"/>
      <c r="M973" s="5"/>
      <c r="N973" s="5"/>
      <c r="O973" s="5"/>
      <c r="P973" s="5"/>
      <c r="Q973" s="5"/>
      <c r="R973" s="57"/>
      <c r="S973" s="5"/>
      <c r="T973" s="5"/>
      <c r="U973" s="5"/>
      <c r="V973" s="5"/>
      <c r="W973" s="5"/>
      <c r="X973" s="5"/>
      <c r="Y973" s="5"/>
      <c r="Z973" s="5"/>
      <c r="AA973" s="5"/>
      <c r="AB973" s="5"/>
      <c r="AC973" s="5"/>
    </row>
    <row r="974" spans="1:29" ht="12.75" customHeight="1">
      <c r="A974" s="5"/>
      <c r="B974" s="5"/>
      <c r="C974" s="5"/>
      <c r="D974" s="5"/>
      <c r="E974" s="5"/>
      <c r="F974" s="5"/>
      <c r="G974" s="5"/>
      <c r="H974" s="306"/>
      <c r="I974" s="306"/>
      <c r="J974" s="5"/>
      <c r="K974" s="5"/>
      <c r="L974" s="5"/>
      <c r="M974" s="5"/>
      <c r="N974" s="5"/>
      <c r="O974" s="5"/>
      <c r="P974" s="5"/>
      <c r="Q974" s="5"/>
      <c r="R974" s="57"/>
      <c r="S974" s="5"/>
      <c r="T974" s="5"/>
      <c r="U974" s="5"/>
      <c r="V974" s="5"/>
      <c r="W974" s="5"/>
      <c r="X974" s="5"/>
      <c r="Y974" s="5"/>
      <c r="Z974" s="5"/>
      <c r="AA974" s="5"/>
      <c r="AB974" s="5"/>
      <c r="AC974" s="5"/>
    </row>
    <row r="975" spans="1:29" ht="12.75" customHeight="1">
      <c r="A975" s="5"/>
      <c r="B975" s="5"/>
      <c r="C975" s="5"/>
      <c r="D975" s="5"/>
      <c r="E975" s="5"/>
      <c r="F975" s="5"/>
      <c r="G975" s="5"/>
      <c r="H975" s="306"/>
      <c r="I975" s="306"/>
      <c r="J975" s="5"/>
      <c r="K975" s="5"/>
      <c r="L975" s="5"/>
      <c r="M975" s="5"/>
      <c r="N975" s="5"/>
      <c r="O975" s="5"/>
      <c r="P975" s="5"/>
      <c r="Q975" s="5"/>
      <c r="R975" s="57"/>
      <c r="S975" s="5"/>
      <c r="T975" s="5"/>
      <c r="U975" s="5"/>
      <c r="V975" s="5"/>
      <c r="W975" s="5"/>
      <c r="X975" s="5"/>
      <c r="Y975" s="5"/>
      <c r="Z975" s="5"/>
      <c r="AA975" s="5"/>
      <c r="AB975" s="5"/>
      <c r="AC975" s="5"/>
    </row>
    <row r="976" spans="1:29" ht="12.75" customHeight="1">
      <c r="A976" s="5"/>
      <c r="B976" s="5"/>
      <c r="C976" s="5"/>
      <c r="D976" s="5"/>
      <c r="E976" s="5"/>
      <c r="F976" s="5"/>
      <c r="G976" s="5"/>
      <c r="H976" s="306"/>
      <c r="I976" s="306"/>
      <c r="J976" s="5"/>
      <c r="K976" s="5"/>
      <c r="L976" s="5"/>
      <c r="M976" s="5"/>
      <c r="N976" s="5"/>
      <c r="O976" s="5"/>
      <c r="P976" s="5"/>
      <c r="Q976" s="5"/>
      <c r="R976" s="57"/>
      <c r="S976" s="5"/>
      <c r="T976" s="5"/>
      <c r="U976" s="5"/>
      <c r="V976" s="5"/>
      <c r="W976" s="5"/>
      <c r="X976" s="5"/>
      <c r="Y976" s="5"/>
      <c r="Z976" s="5"/>
      <c r="AA976" s="5"/>
      <c r="AB976" s="5"/>
      <c r="AC976" s="5"/>
    </row>
    <row r="977" spans="1:29" ht="12.75" customHeight="1">
      <c r="A977" s="5"/>
      <c r="B977" s="5"/>
      <c r="C977" s="5"/>
      <c r="D977" s="5"/>
      <c r="E977" s="5"/>
      <c r="F977" s="5"/>
      <c r="G977" s="5"/>
      <c r="H977" s="306"/>
      <c r="I977" s="306"/>
      <c r="J977" s="5"/>
      <c r="K977" s="5"/>
      <c r="L977" s="5"/>
      <c r="M977" s="5"/>
      <c r="N977" s="5"/>
      <c r="O977" s="5"/>
      <c r="P977" s="5"/>
      <c r="Q977" s="5"/>
      <c r="R977" s="57"/>
      <c r="S977" s="5"/>
      <c r="T977" s="5"/>
      <c r="U977" s="5"/>
      <c r="V977" s="5"/>
      <c r="W977" s="5"/>
      <c r="X977" s="5"/>
      <c r="Y977" s="5"/>
      <c r="Z977" s="5"/>
      <c r="AA977" s="5"/>
      <c r="AB977" s="5"/>
      <c r="AC977" s="5"/>
    </row>
    <row r="978" spans="1:29" ht="12.75" customHeight="1">
      <c r="A978" s="5"/>
      <c r="B978" s="5"/>
      <c r="C978" s="5"/>
      <c r="D978" s="5"/>
      <c r="E978" s="5"/>
      <c r="F978" s="5"/>
      <c r="G978" s="5"/>
      <c r="H978" s="306"/>
      <c r="I978" s="306"/>
      <c r="J978" s="5"/>
      <c r="K978" s="5"/>
      <c r="L978" s="5"/>
      <c r="M978" s="5"/>
      <c r="N978" s="5"/>
      <c r="O978" s="5"/>
      <c r="P978" s="5"/>
      <c r="Q978" s="5"/>
      <c r="R978" s="57"/>
      <c r="S978" s="5"/>
      <c r="T978" s="5"/>
      <c r="U978" s="5"/>
      <c r="V978" s="5"/>
      <c r="W978" s="5"/>
      <c r="X978" s="5"/>
      <c r="Y978" s="5"/>
      <c r="Z978" s="5"/>
      <c r="AA978" s="5"/>
      <c r="AB978" s="5"/>
      <c r="AC978" s="5"/>
    </row>
    <row r="979" spans="1:29" ht="12.75" customHeight="1">
      <c r="A979" s="5"/>
      <c r="B979" s="5"/>
      <c r="C979" s="5"/>
      <c r="D979" s="5"/>
      <c r="E979" s="5"/>
      <c r="F979" s="5"/>
      <c r="G979" s="5"/>
      <c r="H979" s="306"/>
      <c r="I979" s="306"/>
      <c r="J979" s="5"/>
      <c r="K979" s="5"/>
      <c r="L979" s="5"/>
      <c r="M979" s="5"/>
      <c r="N979" s="5"/>
      <c r="O979" s="5"/>
      <c r="P979" s="5"/>
      <c r="Q979" s="5"/>
      <c r="R979" s="57"/>
      <c r="S979" s="5"/>
      <c r="T979" s="5"/>
      <c r="U979" s="5"/>
      <c r="V979" s="5"/>
      <c r="W979" s="5"/>
      <c r="X979" s="5"/>
      <c r="Y979" s="5"/>
      <c r="Z979" s="5"/>
      <c r="AA979" s="5"/>
      <c r="AB979" s="5"/>
      <c r="AC979" s="5"/>
    </row>
    <row r="980" spans="1:29" ht="12.75" customHeight="1">
      <c r="A980" s="5"/>
      <c r="B980" s="5"/>
      <c r="C980" s="5"/>
      <c r="D980" s="5"/>
      <c r="E980" s="5"/>
      <c r="F980" s="5"/>
      <c r="G980" s="5"/>
      <c r="H980" s="306"/>
      <c r="I980" s="306"/>
      <c r="J980" s="5"/>
      <c r="K980" s="5"/>
      <c r="L980" s="5"/>
      <c r="M980" s="5"/>
      <c r="N980" s="5"/>
      <c r="O980" s="5"/>
      <c r="P980" s="5"/>
      <c r="Q980" s="5"/>
      <c r="R980" s="57"/>
      <c r="S980" s="5"/>
      <c r="T980" s="5"/>
      <c r="U980" s="5"/>
      <c r="V980" s="5"/>
      <c r="W980" s="5"/>
      <c r="X980" s="5"/>
      <c r="Y980" s="5"/>
      <c r="Z980" s="5"/>
      <c r="AA980" s="5"/>
      <c r="AB980" s="5"/>
      <c r="AC980" s="5"/>
    </row>
    <row r="981" spans="1:29" ht="12.75" customHeight="1">
      <c r="A981" s="5"/>
      <c r="B981" s="5"/>
      <c r="C981" s="5"/>
      <c r="D981" s="5"/>
      <c r="E981" s="5"/>
      <c r="F981" s="5"/>
      <c r="G981" s="5"/>
      <c r="H981" s="306"/>
      <c r="I981" s="306"/>
      <c r="J981" s="5"/>
      <c r="K981" s="5"/>
      <c r="L981" s="5"/>
      <c r="M981" s="5"/>
      <c r="N981" s="5"/>
      <c r="O981" s="5"/>
      <c r="P981" s="5"/>
      <c r="Q981" s="5"/>
      <c r="R981" s="57"/>
      <c r="S981" s="5"/>
      <c r="T981" s="5"/>
      <c r="U981" s="5"/>
      <c r="V981" s="5"/>
      <c r="W981" s="5"/>
      <c r="X981" s="5"/>
      <c r="Y981" s="5"/>
      <c r="Z981" s="5"/>
      <c r="AA981" s="5"/>
      <c r="AB981" s="5"/>
      <c r="AC981" s="5"/>
    </row>
    <row r="982" spans="1:29" ht="12.75" customHeight="1">
      <c r="A982" s="5"/>
      <c r="B982" s="5"/>
      <c r="C982" s="5"/>
      <c r="D982" s="5"/>
      <c r="E982" s="5"/>
      <c r="F982" s="5"/>
      <c r="G982" s="5"/>
      <c r="H982" s="306"/>
      <c r="I982" s="306"/>
      <c r="J982" s="5"/>
      <c r="K982" s="5"/>
      <c r="L982" s="5"/>
      <c r="M982" s="5"/>
      <c r="N982" s="5"/>
      <c r="O982" s="5"/>
      <c r="P982" s="5"/>
      <c r="Q982" s="5"/>
      <c r="R982" s="57"/>
      <c r="S982" s="5"/>
      <c r="T982" s="5"/>
      <c r="U982" s="5"/>
      <c r="V982" s="5"/>
      <c r="W982" s="5"/>
      <c r="X982" s="5"/>
      <c r="Y982" s="5"/>
      <c r="Z982" s="5"/>
      <c r="AA982" s="5"/>
      <c r="AB982" s="5"/>
      <c r="AC982" s="5"/>
    </row>
    <row r="983" spans="1:29" ht="12.75" customHeight="1">
      <c r="A983" s="5"/>
      <c r="B983" s="5"/>
      <c r="C983" s="5"/>
      <c r="D983" s="5"/>
      <c r="E983" s="5"/>
      <c r="F983" s="5"/>
      <c r="G983" s="5"/>
      <c r="H983" s="306"/>
      <c r="I983" s="306"/>
      <c r="J983" s="5"/>
      <c r="K983" s="5"/>
      <c r="L983" s="5"/>
      <c r="M983" s="5"/>
      <c r="N983" s="5"/>
      <c r="O983" s="5"/>
      <c r="P983" s="5"/>
      <c r="Q983" s="5"/>
      <c r="R983" s="57"/>
      <c r="S983" s="5"/>
      <c r="T983" s="5"/>
      <c r="U983" s="5"/>
      <c r="V983" s="5"/>
      <c r="W983" s="5"/>
      <c r="X983" s="5"/>
      <c r="Y983" s="5"/>
      <c r="Z983" s="5"/>
      <c r="AA983" s="5"/>
      <c r="AB983" s="5"/>
      <c r="AC983" s="5"/>
    </row>
    <row r="984" spans="1:29" ht="12.75" customHeight="1">
      <c r="A984" s="5"/>
      <c r="B984" s="5"/>
      <c r="C984" s="5"/>
      <c r="D984" s="5"/>
      <c r="E984" s="5"/>
      <c r="F984" s="5"/>
      <c r="G984" s="5"/>
      <c r="H984" s="306"/>
      <c r="I984" s="306"/>
      <c r="J984" s="5"/>
      <c r="K984" s="5"/>
      <c r="L984" s="5"/>
      <c r="M984" s="5"/>
      <c r="N984" s="5"/>
      <c r="O984" s="5"/>
      <c r="P984" s="5"/>
      <c r="Q984" s="5"/>
      <c r="R984" s="57"/>
      <c r="S984" s="5"/>
      <c r="T984" s="5"/>
      <c r="U984" s="5"/>
      <c r="V984" s="5"/>
      <c r="W984" s="5"/>
      <c r="X984" s="5"/>
      <c r="Y984" s="5"/>
      <c r="Z984" s="5"/>
      <c r="AA984" s="5"/>
      <c r="AB984" s="5"/>
      <c r="AC984" s="5"/>
    </row>
    <row r="985" spans="1:29" ht="12.75" customHeight="1">
      <c r="A985" s="5"/>
      <c r="B985" s="5"/>
      <c r="C985" s="5"/>
      <c r="D985" s="5"/>
      <c r="E985" s="5"/>
      <c r="F985" s="5"/>
      <c r="G985" s="5"/>
      <c r="H985" s="306"/>
      <c r="I985" s="306"/>
      <c r="J985" s="5"/>
      <c r="K985" s="5"/>
      <c r="L985" s="5"/>
      <c r="M985" s="5"/>
      <c r="N985" s="5"/>
      <c r="O985" s="5"/>
      <c r="P985" s="5"/>
      <c r="Q985" s="5"/>
      <c r="R985" s="57"/>
      <c r="S985" s="5"/>
      <c r="T985" s="5"/>
      <c r="U985" s="5"/>
      <c r="V985" s="5"/>
      <c r="W985" s="5"/>
      <c r="X985" s="5"/>
      <c r="Y985" s="5"/>
      <c r="Z985" s="5"/>
      <c r="AA985" s="5"/>
      <c r="AB985" s="5"/>
      <c r="AC985" s="5"/>
    </row>
    <row r="986" spans="1:29" ht="12.75" customHeight="1">
      <c r="A986" s="5"/>
      <c r="B986" s="5"/>
      <c r="C986" s="5"/>
      <c r="D986" s="5"/>
      <c r="E986" s="5"/>
      <c r="F986" s="5"/>
      <c r="G986" s="5"/>
      <c r="H986" s="306"/>
      <c r="I986" s="306"/>
      <c r="J986" s="5"/>
      <c r="K986" s="5"/>
      <c r="L986" s="5"/>
      <c r="M986" s="5"/>
      <c r="N986" s="5"/>
      <c r="O986" s="5"/>
      <c r="P986" s="5"/>
      <c r="Q986" s="5"/>
      <c r="R986" s="57"/>
      <c r="S986" s="5"/>
      <c r="T986" s="5"/>
      <c r="U986" s="5"/>
      <c r="V986" s="5"/>
      <c r="W986" s="5"/>
      <c r="X986" s="5"/>
      <c r="Y986" s="5"/>
      <c r="Z986" s="5"/>
      <c r="AA986" s="5"/>
      <c r="AB986" s="5"/>
      <c r="AC986" s="5"/>
    </row>
    <row r="987" spans="1:29" ht="12.75" customHeight="1">
      <c r="A987" s="5"/>
      <c r="B987" s="5"/>
      <c r="C987" s="5"/>
      <c r="D987" s="5"/>
      <c r="E987" s="5"/>
      <c r="F987" s="5"/>
      <c r="G987" s="5"/>
      <c r="H987" s="306"/>
      <c r="I987" s="306"/>
      <c r="J987" s="5"/>
      <c r="K987" s="5"/>
      <c r="L987" s="5"/>
      <c r="M987" s="5"/>
      <c r="N987" s="5"/>
      <c r="O987" s="5"/>
      <c r="P987" s="5"/>
      <c r="Q987" s="5"/>
      <c r="R987" s="57"/>
      <c r="S987" s="5"/>
      <c r="T987" s="5"/>
      <c r="U987" s="5"/>
      <c r="V987" s="5"/>
      <c r="W987" s="5"/>
      <c r="X987" s="5"/>
      <c r="Y987" s="5"/>
      <c r="Z987" s="5"/>
      <c r="AA987" s="5"/>
      <c r="AB987" s="5"/>
      <c r="AC987" s="5"/>
    </row>
    <row r="988" spans="1:29" ht="12.75" customHeight="1">
      <c r="A988" s="5"/>
      <c r="B988" s="5"/>
      <c r="C988" s="5"/>
      <c r="D988" s="5"/>
      <c r="E988" s="5"/>
      <c r="F988" s="5"/>
      <c r="G988" s="5"/>
      <c r="H988" s="306"/>
      <c r="I988" s="306"/>
      <c r="J988" s="5"/>
      <c r="K988" s="5"/>
      <c r="L988" s="5"/>
      <c r="M988" s="5"/>
      <c r="N988" s="5"/>
      <c r="O988" s="5"/>
      <c r="P988" s="5"/>
      <c r="Q988" s="5"/>
      <c r="R988" s="57"/>
      <c r="S988" s="5"/>
      <c r="T988" s="5"/>
      <c r="U988" s="5"/>
      <c r="V988" s="5"/>
      <c r="W988" s="5"/>
      <c r="X988" s="5"/>
      <c r="Y988" s="5"/>
      <c r="Z988" s="5"/>
      <c r="AA988" s="5"/>
      <c r="AB988" s="5"/>
      <c r="AC988" s="5"/>
    </row>
    <row r="989" spans="1:29" ht="12.75" customHeight="1">
      <c r="A989" s="5"/>
      <c r="B989" s="5"/>
      <c r="C989" s="5"/>
      <c r="D989" s="5"/>
      <c r="E989" s="5"/>
      <c r="F989" s="5"/>
      <c r="G989" s="5"/>
      <c r="H989" s="306"/>
      <c r="I989" s="306"/>
      <c r="J989" s="5"/>
      <c r="K989" s="5"/>
      <c r="L989" s="5"/>
      <c r="M989" s="5"/>
      <c r="N989" s="5"/>
      <c r="O989" s="5"/>
      <c r="P989" s="5"/>
      <c r="Q989" s="5"/>
      <c r="R989" s="57"/>
      <c r="S989" s="5"/>
      <c r="T989" s="5"/>
      <c r="U989" s="5"/>
      <c r="V989" s="5"/>
      <c r="W989" s="5"/>
      <c r="X989" s="5"/>
      <c r="Y989" s="5"/>
      <c r="Z989" s="5"/>
      <c r="AA989" s="5"/>
      <c r="AB989" s="5"/>
      <c r="AC989" s="5"/>
    </row>
    <row r="990" spans="1:29" ht="12.75" customHeight="1">
      <c r="A990" s="5"/>
      <c r="B990" s="5"/>
      <c r="C990" s="5"/>
      <c r="D990" s="5"/>
      <c r="E990" s="5"/>
      <c r="F990" s="5"/>
      <c r="G990" s="5"/>
      <c r="H990" s="306"/>
      <c r="I990" s="306"/>
      <c r="J990" s="5"/>
      <c r="K990" s="5"/>
      <c r="L990" s="5"/>
      <c r="M990" s="5"/>
      <c r="N990" s="5"/>
      <c r="O990" s="5"/>
      <c r="P990" s="5"/>
      <c r="Q990" s="5"/>
      <c r="R990" s="57"/>
      <c r="S990" s="5"/>
      <c r="T990" s="5"/>
      <c r="U990" s="5"/>
      <c r="V990" s="5"/>
      <c r="W990" s="5"/>
      <c r="X990" s="5"/>
      <c r="Y990" s="5"/>
      <c r="Z990" s="5"/>
      <c r="AA990" s="5"/>
      <c r="AB990" s="5"/>
      <c r="AC990" s="5"/>
    </row>
    <row r="991" spans="1:29" ht="12.75" customHeight="1">
      <c r="A991" s="5"/>
      <c r="B991" s="5"/>
      <c r="C991" s="5"/>
      <c r="D991" s="5"/>
      <c r="E991" s="5"/>
      <c r="F991" s="5"/>
      <c r="G991" s="5"/>
      <c r="H991" s="306"/>
      <c r="I991" s="306"/>
      <c r="J991" s="5"/>
      <c r="K991" s="5"/>
      <c r="L991" s="5"/>
      <c r="M991" s="5"/>
      <c r="N991" s="5"/>
      <c r="O991" s="5"/>
      <c r="P991" s="5"/>
      <c r="Q991" s="5"/>
      <c r="R991" s="57"/>
      <c r="S991" s="5"/>
      <c r="T991" s="5"/>
      <c r="U991" s="5"/>
      <c r="V991" s="5"/>
      <c r="W991" s="5"/>
      <c r="X991" s="5"/>
      <c r="Y991" s="5"/>
      <c r="Z991" s="5"/>
      <c r="AA991" s="5"/>
      <c r="AB991" s="5"/>
      <c r="AC991" s="5"/>
    </row>
    <row r="992" spans="1:29" ht="12.75" customHeight="1">
      <c r="A992" s="5"/>
      <c r="B992" s="5"/>
      <c r="C992" s="5"/>
      <c r="D992" s="5"/>
      <c r="E992" s="5"/>
      <c r="F992" s="5"/>
      <c r="G992" s="5"/>
      <c r="H992" s="306"/>
      <c r="I992" s="306"/>
      <c r="J992" s="5"/>
      <c r="K992" s="5"/>
      <c r="L992" s="5"/>
      <c r="M992" s="5"/>
      <c r="N992" s="5"/>
      <c r="O992" s="5"/>
      <c r="P992" s="5"/>
      <c r="Q992" s="5"/>
      <c r="R992" s="57"/>
      <c r="S992" s="5"/>
      <c r="T992" s="5"/>
      <c r="U992" s="5"/>
      <c r="V992" s="5"/>
      <c r="W992" s="5"/>
      <c r="X992" s="5"/>
      <c r="Y992" s="5"/>
      <c r="Z992" s="5"/>
      <c r="AA992" s="5"/>
      <c r="AB992" s="5"/>
      <c r="AC992" s="5"/>
    </row>
    <row r="993" spans="1:29" ht="12.75" customHeight="1">
      <c r="A993" s="5"/>
      <c r="B993" s="5"/>
      <c r="C993" s="5"/>
      <c r="D993" s="5"/>
      <c r="E993" s="5"/>
      <c r="F993" s="5"/>
      <c r="G993" s="5"/>
      <c r="H993" s="306"/>
      <c r="I993" s="306"/>
      <c r="J993" s="5"/>
      <c r="K993" s="5"/>
      <c r="L993" s="5"/>
      <c r="M993" s="5"/>
      <c r="N993" s="5"/>
      <c r="O993" s="5"/>
      <c r="P993" s="5"/>
      <c r="Q993" s="5"/>
      <c r="R993" s="57"/>
      <c r="S993" s="5"/>
      <c r="T993" s="5"/>
      <c r="U993" s="5"/>
      <c r="V993" s="5"/>
      <c r="W993" s="5"/>
      <c r="X993" s="5"/>
      <c r="Y993" s="5"/>
      <c r="Z993" s="5"/>
      <c r="AA993" s="5"/>
      <c r="AB993" s="5"/>
      <c r="AC993" s="5"/>
    </row>
    <row r="994" spans="1:29" ht="12.75" customHeight="1">
      <c r="A994" s="5"/>
      <c r="B994" s="5"/>
      <c r="C994" s="5"/>
      <c r="D994" s="5"/>
      <c r="E994" s="5"/>
      <c r="F994" s="5"/>
      <c r="G994" s="5"/>
      <c r="H994" s="306"/>
      <c r="I994" s="306"/>
      <c r="J994" s="5"/>
      <c r="K994" s="5"/>
      <c r="L994" s="5"/>
      <c r="M994" s="5"/>
      <c r="N994" s="5"/>
      <c r="O994" s="5"/>
      <c r="P994" s="5"/>
      <c r="Q994" s="5"/>
      <c r="R994" s="57"/>
      <c r="S994" s="5"/>
      <c r="T994" s="5"/>
      <c r="U994" s="5"/>
      <c r="V994" s="5"/>
      <c r="W994" s="5"/>
      <c r="X994" s="5"/>
      <c r="Y994" s="5"/>
      <c r="Z994" s="5"/>
      <c r="AA994" s="5"/>
      <c r="AB994" s="5"/>
      <c r="AC994" s="5"/>
    </row>
    <row r="995" spans="1:29" ht="12.75" customHeight="1">
      <c r="A995" s="5"/>
      <c r="B995" s="5"/>
      <c r="C995" s="5"/>
      <c r="D995" s="5"/>
      <c r="E995" s="5"/>
      <c r="F995" s="5"/>
      <c r="G995" s="5"/>
      <c r="H995" s="306"/>
      <c r="I995" s="306"/>
      <c r="J995" s="5"/>
      <c r="K995" s="5"/>
      <c r="L995" s="5"/>
      <c r="M995" s="5"/>
      <c r="N995" s="5"/>
      <c r="O995" s="5"/>
      <c r="P995" s="5"/>
      <c r="Q995" s="5"/>
      <c r="R995" s="57"/>
      <c r="S995" s="5"/>
      <c r="T995" s="5"/>
      <c r="U995" s="5"/>
      <c r="V995" s="5"/>
      <c r="W995" s="5"/>
      <c r="X995" s="5"/>
      <c r="Y995" s="5"/>
      <c r="Z995" s="5"/>
      <c r="AA995" s="5"/>
      <c r="AB995" s="5"/>
      <c r="AC995" s="5"/>
    </row>
    <row r="996" spans="1:29" ht="12.75" customHeight="1">
      <c r="A996" s="5"/>
      <c r="B996" s="5"/>
      <c r="C996" s="5"/>
      <c r="D996" s="5"/>
      <c r="E996" s="5"/>
      <c r="F996" s="5"/>
      <c r="G996" s="5"/>
      <c r="H996" s="306"/>
      <c r="I996" s="306"/>
      <c r="J996" s="5"/>
      <c r="K996" s="5"/>
      <c r="L996" s="5"/>
      <c r="M996" s="5"/>
      <c r="N996" s="5"/>
      <c r="O996" s="5"/>
      <c r="P996" s="5"/>
      <c r="Q996" s="5"/>
      <c r="R996" s="57"/>
      <c r="S996" s="5"/>
      <c r="T996" s="5"/>
      <c r="U996" s="5"/>
      <c r="V996" s="5"/>
      <c r="W996" s="5"/>
      <c r="X996" s="5"/>
      <c r="Y996" s="5"/>
      <c r="Z996" s="5"/>
      <c r="AA996" s="5"/>
      <c r="AB996" s="5"/>
      <c r="AC996" s="5"/>
    </row>
    <row r="997" spans="1:29" ht="12.75" customHeight="1">
      <c r="A997" s="5"/>
      <c r="B997" s="5"/>
      <c r="C997" s="5"/>
      <c r="D997" s="5"/>
      <c r="E997" s="5"/>
      <c r="F997" s="5"/>
      <c r="G997" s="5"/>
      <c r="H997" s="306"/>
      <c r="I997" s="306"/>
      <c r="J997" s="5"/>
      <c r="K997" s="5"/>
      <c r="L997" s="5"/>
      <c r="M997" s="5"/>
      <c r="N997" s="5"/>
      <c r="O997" s="5"/>
      <c r="P997" s="5"/>
      <c r="Q997" s="5"/>
      <c r="R997" s="57"/>
      <c r="S997" s="5"/>
      <c r="T997" s="5"/>
      <c r="U997" s="5"/>
      <c r="V997" s="5"/>
      <c r="W997" s="5"/>
      <c r="X997" s="5"/>
      <c r="Y997" s="5"/>
      <c r="Z997" s="5"/>
      <c r="AA997" s="5"/>
      <c r="AB997" s="5"/>
      <c r="AC997" s="5"/>
    </row>
    <row r="998" spans="1:29" ht="12.75" customHeight="1">
      <c r="A998" s="5"/>
      <c r="B998" s="5"/>
      <c r="C998" s="5"/>
      <c r="D998" s="5"/>
      <c r="E998" s="5"/>
      <c r="F998" s="5"/>
      <c r="G998" s="5"/>
      <c r="H998" s="306"/>
      <c r="I998" s="306"/>
      <c r="J998" s="5"/>
      <c r="K998" s="5"/>
      <c r="L998" s="5"/>
      <c r="M998" s="5"/>
      <c r="N998" s="5"/>
      <c r="O998" s="5"/>
      <c r="P998" s="5"/>
      <c r="Q998" s="5"/>
      <c r="R998" s="57"/>
      <c r="S998" s="5"/>
      <c r="T998" s="5"/>
      <c r="U998" s="5"/>
      <c r="V998" s="5"/>
      <c r="W998" s="5"/>
      <c r="X998" s="5"/>
      <c r="Y998" s="5"/>
      <c r="Z998" s="5"/>
      <c r="AA998" s="5"/>
      <c r="AB998" s="5"/>
      <c r="AC998" s="5"/>
    </row>
    <row r="999" spans="1:29" ht="12.75" customHeight="1">
      <c r="A999" s="5"/>
      <c r="B999" s="5"/>
      <c r="C999" s="5"/>
      <c r="D999" s="5"/>
      <c r="E999" s="5"/>
      <c r="F999" s="5"/>
      <c r="G999" s="5"/>
      <c r="H999" s="306"/>
      <c r="I999" s="306"/>
      <c r="J999" s="5"/>
      <c r="K999" s="5"/>
      <c r="L999" s="5"/>
      <c r="M999" s="5"/>
      <c r="N999" s="5"/>
      <c r="O999" s="5"/>
      <c r="P999" s="5"/>
      <c r="Q999" s="5"/>
      <c r="R999" s="57"/>
      <c r="S999" s="5"/>
      <c r="T999" s="5"/>
      <c r="U999" s="5"/>
      <c r="V999" s="5"/>
      <c r="W999" s="5"/>
      <c r="X999" s="5"/>
      <c r="Y999" s="5"/>
      <c r="Z999" s="5"/>
      <c r="AA999" s="5"/>
      <c r="AB999" s="5"/>
      <c r="AC999" s="5"/>
    </row>
    <row r="1000" spans="1:29" ht="12.75" customHeight="1">
      <c r="A1000" s="5"/>
      <c r="B1000" s="5"/>
      <c r="C1000" s="5"/>
      <c r="D1000" s="5"/>
      <c r="E1000" s="5"/>
      <c r="F1000" s="5"/>
      <c r="G1000" s="5"/>
      <c r="H1000" s="306"/>
      <c r="I1000" s="306"/>
      <c r="J1000" s="5"/>
      <c r="K1000" s="5"/>
      <c r="L1000" s="5"/>
      <c r="M1000" s="5"/>
      <c r="N1000" s="5"/>
      <c r="O1000" s="5"/>
      <c r="P1000" s="5"/>
      <c r="Q1000" s="5"/>
      <c r="R1000" s="57"/>
      <c r="S1000" s="5"/>
      <c r="T1000" s="5"/>
      <c r="U1000" s="5"/>
      <c r="V1000" s="5"/>
      <c r="W1000" s="5"/>
      <c r="X1000" s="5"/>
      <c r="Y1000" s="5"/>
      <c r="Z1000" s="5"/>
      <c r="AA1000" s="5"/>
      <c r="AB1000" s="5"/>
      <c r="AC1000" s="5"/>
    </row>
    <row r="1001" spans="1:29" ht="12.75" customHeight="1">
      <c r="A1001" s="5"/>
      <c r="B1001" s="5"/>
      <c r="C1001" s="5"/>
      <c r="D1001" s="5"/>
      <c r="E1001" s="5"/>
      <c r="F1001" s="5"/>
      <c r="G1001" s="5"/>
      <c r="H1001" s="306"/>
      <c r="I1001" s="306"/>
      <c r="J1001" s="5"/>
      <c r="K1001" s="5"/>
      <c r="L1001" s="5"/>
      <c r="M1001" s="5"/>
      <c r="N1001" s="5"/>
      <c r="O1001" s="5"/>
      <c r="P1001" s="5"/>
      <c r="Q1001" s="5"/>
      <c r="R1001" s="57"/>
      <c r="S1001" s="5"/>
      <c r="T1001" s="5"/>
      <c r="U1001" s="5"/>
      <c r="V1001" s="5"/>
      <c r="W1001" s="5"/>
      <c r="X1001" s="5"/>
      <c r="Y1001" s="5"/>
      <c r="Z1001" s="5"/>
      <c r="AA1001" s="5"/>
      <c r="AB1001" s="5"/>
      <c r="AC1001" s="5"/>
    </row>
    <row r="1002" spans="1:29" ht="12.75" customHeight="1">
      <c r="A1002" s="5"/>
      <c r="B1002" s="5"/>
      <c r="C1002" s="5"/>
      <c r="D1002" s="5"/>
      <c r="E1002" s="5"/>
      <c r="F1002" s="5"/>
      <c r="G1002" s="5"/>
      <c r="H1002" s="306"/>
      <c r="I1002" s="306"/>
      <c r="J1002" s="5"/>
      <c r="K1002" s="5"/>
      <c r="L1002" s="5"/>
      <c r="M1002" s="5"/>
      <c r="N1002" s="5"/>
      <c r="O1002" s="5"/>
      <c r="P1002" s="5"/>
      <c r="Q1002" s="5"/>
      <c r="R1002" s="57"/>
      <c r="S1002" s="5"/>
      <c r="T1002" s="5"/>
      <c r="U1002" s="5"/>
      <c r="V1002" s="5"/>
      <c r="W1002" s="5"/>
      <c r="X1002" s="5"/>
      <c r="Y1002" s="5"/>
      <c r="Z1002" s="5"/>
      <c r="AA1002" s="5"/>
      <c r="AB1002" s="5"/>
      <c r="AC1002" s="5"/>
    </row>
    <row r="1003" spans="1:29" ht="12.75" customHeight="1">
      <c r="A1003" s="5"/>
      <c r="B1003" s="5"/>
      <c r="C1003" s="5"/>
      <c r="D1003" s="5"/>
      <c r="E1003" s="5"/>
      <c r="F1003" s="5"/>
      <c r="G1003" s="5"/>
      <c r="H1003" s="306"/>
      <c r="I1003" s="306"/>
      <c r="J1003" s="5"/>
      <c r="K1003" s="5"/>
      <c r="L1003" s="5"/>
      <c r="M1003" s="5"/>
      <c r="N1003" s="5"/>
      <c r="O1003" s="5"/>
      <c r="P1003" s="5"/>
      <c r="Q1003" s="5"/>
      <c r="R1003" s="57"/>
      <c r="S1003" s="5"/>
      <c r="T1003" s="5"/>
      <c r="U1003" s="5"/>
      <c r="V1003" s="5"/>
      <c r="W1003" s="5"/>
      <c r="X1003" s="5"/>
      <c r="Y1003" s="5"/>
      <c r="Z1003" s="5"/>
      <c r="AA1003" s="5"/>
      <c r="AB1003" s="5"/>
      <c r="AC1003" s="5"/>
    </row>
    <row r="1004" spans="1:29" ht="12.75" customHeight="1">
      <c r="A1004" s="5"/>
      <c r="B1004" s="5"/>
      <c r="C1004" s="5"/>
      <c r="D1004" s="5"/>
      <c r="E1004" s="5"/>
      <c r="F1004" s="5"/>
      <c r="G1004" s="5"/>
      <c r="H1004" s="306"/>
      <c r="I1004" s="306"/>
      <c r="J1004" s="5"/>
      <c r="K1004" s="5"/>
      <c r="L1004" s="5"/>
      <c r="M1004" s="5"/>
      <c r="N1004" s="5"/>
      <c r="O1004" s="5"/>
      <c r="P1004" s="5"/>
      <c r="Q1004" s="5"/>
      <c r="R1004" s="57"/>
      <c r="S1004" s="5"/>
      <c r="T1004" s="5"/>
      <c r="U1004" s="5"/>
      <c r="V1004" s="5"/>
      <c r="W1004" s="5"/>
      <c r="X1004" s="5"/>
      <c r="Y1004" s="5"/>
      <c r="Z1004" s="5"/>
      <c r="AA1004" s="5"/>
      <c r="AB1004" s="5"/>
      <c r="AC1004" s="5"/>
    </row>
    <row r="1005" spans="1:29" ht="12.75" customHeight="1">
      <c r="A1005" s="5"/>
      <c r="B1005" s="5"/>
      <c r="C1005" s="5"/>
      <c r="D1005" s="5"/>
      <c r="E1005" s="5"/>
      <c r="F1005" s="5"/>
      <c r="G1005" s="5"/>
      <c r="H1005" s="306"/>
      <c r="I1005" s="306"/>
      <c r="J1005" s="5"/>
      <c r="K1005" s="5"/>
      <c r="L1005" s="5"/>
      <c r="M1005" s="5"/>
      <c r="N1005" s="5"/>
      <c r="O1005" s="5"/>
      <c r="P1005" s="5"/>
      <c r="Q1005" s="5"/>
      <c r="R1005" s="57"/>
      <c r="S1005" s="5"/>
      <c r="T1005" s="5"/>
      <c r="U1005" s="5"/>
      <c r="V1005" s="5"/>
      <c r="W1005" s="5"/>
      <c r="X1005" s="5"/>
      <c r="Y1005" s="5"/>
      <c r="Z1005" s="5"/>
      <c r="AA1005" s="5"/>
      <c r="AB1005" s="5"/>
      <c r="AC1005" s="5"/>
    </row>
    <row r="1006" spans="1:29" ht="12.75" customHeight="1">
      <c r="A1006" s="5"/>
      <c r="B1006" s="5"/>
      <c r="C1006" s="5"/>
      <c r="D1006" s="5"/>
      <c r="E1006" s="5"/>
      <c r="F1006" s="5"/>
      <c r="G1006" s="5"/>
      <c r="H1006" s="306"/>
      <c r="I1006" s="306"/>
      <c r="J1006" s="5"/>
      <c r="K1006" s="5"/>
      <c r="L1006" s="5"/>
      <c r="M1006" s="5"/>
      <c r="N1006" s="5"/>
      <c r="O1006" s="5"/>
      <c r="P1006" s="5"/>
      <c r="Q1006" s="5"/>
      <c r="R1006" s="57"/>
      <c r="S1006" s="5"/>
      <c r="T1006" s="5"/>
      <c r="U1006" s="5"/>
      <c r="V1006" s="5"/>
      <c r="W1006" s="5"/>
      <c r="X1006" s="5"/>
      <c r="Y1006" s="5"/>
      <c r="Z1006" s="5"/>
      <c r="AA1006" s="5"/>
      <c r="AB1006" s="5"/>
      <c r="AC1006" s="5"/>
    </row>
    <row r="1007" spans="1:29" ht="12.75" customHeight="1">
      <c r="A1007" s="5"/>
      <c r="B1007" s="5"/>
      <c r="C1007" s="5"/>
      <c r="D1007" s="5"/>
      <c r="E1007" s="5"/>
      <c r="F1007" s="5"/>
      <c r="G1007" s="5"/>
      <c r="H1007" s="306"/>
      <c r="I1007" s="306"/>
      <c r="J1007" s="5"/>
      <c r="K1007" s="5"/>
      <c r="L1007" s="5"/>
      <c r="M1007" s="5"/>
      <c r="N1007" s="5"/>
      <c r="O1007" s="5"/>
      <c r="P1007" s="5"/>
      <c r="Q1007" s="5"/>
      <c r="R1007" s="57"/>
      <c r="S1007" s="5"/>
      <c r="T1007" s="5"/>
      <c r="U1007" s="5"/>
      <c r="V1007" s="5"/>
      <c r="W1007" s="5"/>
      <c r="X1007" s="5"/>
      <c r="Y1007" s="5"/>
      <c r="Z1007" s="5"/>
      <c r="AA1007" s="5"/>
      <c r="AB1007" s="5"/>
      <c r="AC1007" s="5"/>
    </row>
    <row r="1008" spans="1:29" ht="12.75" customHeight="1">
      <c r="A1008" s="5"/>
      <c r="B1008" s="5"/>
      <c r="C1008" s="5"/>
      <c r="D1008" s="5"/>
      <c r="E1008" s="5"/>
      <c r="F1008" s="5"/>
      <c r="G1008" s="5"/>
      <c r="H1008" s="306"/>
      <c r="I1008" s="306"/>
      <c r="J1008" s="5"/>
      <c r="K1008" s="5"/>
      <c r="L1008" s="5"/>
      <c r="M1008" s="5"/>
      <c r="N1008" s="5"/>
      <c r="O1008" s="5"/>
      <c r="P1008" s="5"/>
      <c r="Q1008" s="5"/>
      <c r="R1008" s="57"/>
      <c r="S1008" s="5"/>
      <c r="T1008" s="5"/>
      <c r="U1008" s="5"/>
      <c r="V1008" s="5"/>
      <c r="W1008" s="5"/>
      <c r="X1008" s="5"/>
      <c r="Y1008" s="5"/>
      <c r="Z1008" s="5"/>
      <c r="AA1008" s="5"/>
      <c r="AB1008" s="5"/>
      <c r="AC1008" s="5"/>
    </row>
    <row r="1009" spans="1:29" ht="12.75" customHeight="1">
      <c r="A1009" s="5"/>
      <c r="B1009" s="5"/>
      <c r="C1009" s="5"/>
      <c r="D1009" s="5"/>
      <c r="E1009" s="5"/>
      <c r="F1009" s="5"/>
      <c r="G1009" s="5"/>
      <c r="H1009" s="306"/>
      <c r="I1009" s="306"/>
      <c r="J1009" s="5"/>
      <c r="K1009" s="5"/>
      <c r="L1009" s="5"/>
      <c r="M1009" s="5"/>
      <c r="N1009" s="5"/>
      <c r="O1009" s="5"/>
      <c r="P1009" s="5"/>
      <c r="Q1009" s="5"/>
      <c r="R1009" s="57"/>
      <c r="S1009" s="5"/>
      <c r="T1009" s="5"/>
      <c r="U1009" s="5"/>
      <c r="V1009" s="5"/>
      <c r="W1009" s="5"/>
      <c r="X1009" s="5"/>
      <c r="Y1009" s="5"/>
      <c r="Z1009" s="5"/>
      <c r="AA1009" s="5"/>
      <c r="AB1009" s="5"/>
      <c r="AC1009" s="5"/>
    </row>
    <row r="1010" spans="1:29" ht="12.75" customHeight="1">
      <c r="A1010" s="5"/>
      <c r="B1010" s="5"/>
      <c r="C1010" s="5"/>
      <c r="D1010" s="5"/>
      <c r="E1010" s="5"/>
      <c r="F1010" s="5"/>
      <c r="G1010" s="5"/>
      <c r="H1010" s="306"/>
      <c r="I1010" s="306"/>
      <c r="J1010" s="5"/>
      <c r="K1010" s="5"/>
      <c r="L1010" s="5"/>
      <c r="M1010" s="5"/>
      <c r="N1010" s="5"/>
      <c r="O1010" s="5"/>
      <c r="P1010" s="5"/>
      <c r="Q1010" s="5"/>
      <c r="R1010" s="57"/>
      <c r="S1010" s="5"/>
      <c r="T1010" s="5"/>
      <c r="U1010" s="5"/>
      <c r="V1010" s="5"/>
      <c r="W1010" s="5"/>
      <c r="X1010" s="5"/>
      <c r="Y1010" s="5"/>
      <c r="Z1010" s="5"/>
      <c r="AA1010" s="5"/>
      <c r="AB1010" s="5"/>
      <c r="AC1010" s="5"/>
    </row>
    <row r="1011" spans="1:29" ht="12.75" customHeight="1">
      <c r="A1011" s="5"/>
      <c r="B1011" s="5"/>
      <c r="C1011" s="5"/>
      <c r="D1011" s="5"/>
      <c r="E1011" s="5"/>
      <c r="F1011" s="5"/>
      <c r="G1011" s="5"/>
      <c r="H1011" s="306"/>
      <c r="I1011" s="306"/>
      <c r="J1011" s="5"/>
      <c r="K1011" s="5"/>
      <c r="L1011" s="5"/>
      <c r="M1011" s="5"/>
      <c r="N1011" s="5"/>
      <c r="O1011" s="5"/>
      <c r="P1011" s="5"/>
      <c r="Q1011" s="5"/>
      <c r="R1011" s="57"/>
      <c r="S1011" s="5"/>
      <c r="T1011" s="5"/>
      <c r="U1011" s="5"/>
      <c r="V1011" s="5"/>
      <c r="W1011" s="5"/>
      <c r="X1011" s="5"/>
      <c r="Y1011" s="5"/>
      <c r="Z1011" s="5"/>
      <c r="AA1011" s="5"/>
      <c r="AB1011" s="5"/>
      <c r="AC1011" s="5"/>
    </row>
    <row r="1012" spans="1:29" ht="12.75" customHeight="1">
      <c r="A1012" s="5"/>
      <c r="B1012" s="5"/>
      <c r="C1012" s="5"/>
      <c r="D1012" s="5"/>
      <c r="E1012" s="5"/>
      <c r="F1012" s="5"/>
      <c r="G1012" s="5"/>
      <c r="H1012" s="306"/>
      <c r="I1012" s="306"/>
      <c r="J1012" s="5"/>
      <c r="K1012" s="5"/>
      <c r="L1012" s="5"/>
      <c r="M1012" s="5"/>
      <c r="N1012" s="5"/>
      <c r="O1012" s="5"/>
      <c r="P1012" s="5"/>
      <c r="Q1012" s="5"/>
      <c r="R1012" s="57"/>
      <c r="S1012" s="5"/>
      <c r="T1012" s="5"/>
      <c r="U1012" s="5"/>
      <c r="V1012" s="5"/>
      <c r="W1012" s="5"/>
      <c r="X1012" s="5"/>
      <c r="Y1012" s="5"/>
      <c r="Z1012" s="5"/>
      <c r="AA1012" s="5"/>
      <c r="AB1012" s="5"/>
      <c r="AC1012" s="5"/>
    </row>
    <row r="1013" spans="1:29" ht="12.75" customHeight="1">
      <c r="Q1013" s="5"/>
      <c r="R1013" s="57"/>
      <c r="S1013" s="5"/>
      <c r="T1013" s="5"/>
      <c r="U1013" s="5"/>
      <c r="V1013" s="5"/>
      <c r="W1013" s="5"/>
      <c r="X1013" s="5"/>
      <c r="Y1013" s="5"/>
      <c r="Z1013" s="5"/>
      <c r="AA1013" s="5"/>
      <c r="AB1013" s="5"/>
      <c r="AC1013" s="5"/>
    </row>
  </sheetData>
  <mergeCells count="9">
    <mergeCell ref="R6:S6"/>
    <mergeCell ref="R7:S7"/>
    <mergeCell ref="D6:G6"/>
    <mergeCell ref="I6:L6"/>
    <mergeCell ref="B1:Q1"/>
    <mergeCell ref="B2:Q2"/>
    <mergeCell ref="B3:Q3"/>
    <mergeCell ref="D5:L5"/>
    <mergeCell ref="M5:N5"/>
  </mergeCells>
  <conditionalFormatting sqref="B59:B66">
    <cfRule type="containsText" dxfId="109" priority="13" operator="containsText" text="Buy">
      <formula>NOT(ISERROR(SEARCH(("Buy"),(B59))))</formula>
    </cfRule>
    <cfRule type="containsText" dxfId="108" priority="14" operator="containsText" text="Sell">
      <formula>NOT(ISERROR(SEARCH(("Sell"),(B59))))</formula>
    </cfRule>
  </conditionalFormatting>
  <conditionalFormatting sqref="J79">
    <cfRule type="cellIs" dxfId="107" priority="106" stopIfTrue="1" operator="greaterThan">
      <formula>#REF!</formula>
    </cfRule>
    <cfRule type="cellIs" dxfId="106" priority="334" stopIfTrue="1" operator="lessThanOrEqual">
      <formula>#REF!</formula>
    </cfRule>
    <cfRule type="cellIs" dxfId="105" priority="336" stopIfTrue="1" operator="lessThanOrEqual">
      <formula>$N$86</formula>
    </cfRule>
    <cfRule type="cellIs" dxfId="104" priority="335" stopIfTrue="1" operator="greaterThan">
      <formula>$N$86</formula>
    </cfRule>
  </conditionalFormatting>
  <conditionalFormatting sqref="K75:K78">
    <cfRule type="cellIs" dxfId="103" priority="1" stopIfTrue="1" operator="greaterThan">
      <formula>#REF!</formula>
    </cfRule>
    <cfRule type="cellIs" dxfId="102" priority="2" stopIfTrue="1" operator="lessThanOrEqual">
      <formula>#REF!</formula>
    </cfRule>
    <cfRule type="cellIs" dxfId="101" priority="3" stopIfTrue="1" operator="greaterThan">
      <formula>$M$102</formula>
    </cfRule>
    <cfRule type="cellIs" dxfId="100" priority="4" stopIfTrue="1" operator="lessThanOrEqual">
      <formula>$M$102</formula>
    </cfRule>
    <cfRule type="cellIs" dxfId="99" priority="5" stopIfTrue="1" operator="greaterThan">
      <formula>$N$107</formula>
    </cfRule>
    <cfRule type="cellIs" dxfId="98" priority="6" stopIfTrue="1" operator="lessThanOrEqual">
      <formula>$N$107</formula>
    </cfRule>
  </conditionalFormatting>
  <conditionalFormatting sqref="M9:M72">
    <cfRule type="cellIs" dxfId="97" priority="79" stopIfTrue="1" operator="greaterThanOrEqual">
      <formula>0</formula>
    </cfRule>
    <cfRule type="cellIs" dxfId="96" priority="80" stopIfTrue="1" operator="lessThan">
      <formula>0</formula>
    </cfRule>
  </conditionalFormatting>
  <conditionalFormatting sqref="M56:M72">
    <cfRule type="cellIs" dxfId="95" priority="71" stopIfTrue="1" operator="greaterThan">
      <formula>#REF!</formula>
    </cfRule>
    <cfRule type="cellIs" dxfId="94" priority="72" stopIfTrue="1" operator="lessThanOrEqual">
      <formula>#REF!</formula>
    </cfRule>
  </conditionalFormatting>
  <conditionalFormatting sqref="M73:N78">
    <cfRule type="cellIs" dxfId="93" priority="89" stopIfTrue="1" operator="lessThanOrEqual">
      <formula>#REF!</formula>
    </cfRule>
    <cfRule type="cellIs" dxfId="92" priority="88" stopIfTrue="1" operator="greaterThan">
      <formula>#REF!</formula>
    </cfRule>
  </conditionalFormatting>
  <conditionalFormatting sqref="N9:N19 N21:N52 J79 N59:N63 N67:N70 O71:P100">
    <cfRule type="cellIs" dxfId="91" priority="368" stopIfTrue="1" operator="greaterThan">
      <formula>$M$81</formula>
    </cfRule>
  </conditionalFormatting>
  <conditionalFormatting sqref="N9:N19 N21:N52 M24:N55 N56:N63 N67:N72 O71:P100 M13:M26 M53:M71 Q9:Q71">
    <cfRule type="cellIs" dxfId="90" priority="82" stopIfTrue="1" operator="greaterThan">
      <formula>#REF!</formula>
    </cfRule>
  </conditionalFormatting>
  <conditionalFormatting sqref="N9:N19 N21:N52 Q56 N59:N63 N67:N70 Q71 O71:P100">
    <cfRule type="cellIs" dxfId="89" priority="91" stopIfTrue="1" operator="lessThanOrEqual">
      <formula>#REF!</formula>
    </cfRule>
    <cfRule type="cellIs" dxfId="88" priority="90" stopIfTrue="1" operator="greaterThan">
      <formula>#REF!</formula>
    </cfRule>
  </conditionalFormatting>
  <conditionalFormatting sqref="N9:N19 Q9:Q71 M13:M26 N21:N52 M24:N55 M53:M71 N56:N63 N67:N72 O71:P100">
    <cfRule type="cellIs" dxfId="87" priority="83" stopIfTrue="1" operator="lessThanOrEqual">
      <formula>#REF!</formula>
    </cfRule>
  </conditionalFormatting>
  <conditionalFormatting sqref="N9:N19">
    <cfRule type="cellIs" dxfId="86" priority="86" stopIfTrue="1" operator="greaterThan">
      <formula>$M$81</formula>
    </cfRule>
    <cfRule type="cellIs" dxfId="85" priority="87" stopIfTrue="1" operator="lessThanOrEqual">
      <formula>$M$81</formula>
    </cfRule>
  </conditionalFormatting>
  <conditionalFormatting sqref="N13">
    <cfRule type="cellIs" dxfId="84" priority="84" stopIfTrue="1" operator="greaterThan">
      <formula>$M$81</formula>
    </cfRule>
    <cfRule type="cellIs" dxfId="83" priority="85" stopIfTrue="1" operator="lessThanOrEqual">
      <formula>$M$81</formula>
    </cfRule>
  </conditionalFormatting>
  <conditionalFormatting sqref="N17">
    <cfRule type="cellIs" dxfId="82" priority="99" stopIfTrue="1" operator="lessThanOrEqual">
      <formula>$M$81</formula>
    </cfRule>
    <cfRule type="cellIs" dxfId="81" priority="96" stopIfTrue="1" operator="greaterThan">
      <formula>$M$81</formula>
    </cfRule>
  </conditionalFormatting>
  <conditionalFormatting sqref="N18:N19 N21:N52">
    <cfRule type="cellIs" dxfId="80" priority="366" stopIfTrue="1" operator="lessThanOrEqual">
      <formula>$M$82</formula>
    </cfRule>
  </conditionalFormatting>
  <conditionalFormatting sqref="N21:N52 N9:N19 N59:N63 N67:N70 O71:P100 J79">
    <cfRule type="cellIs" dxfId="79" priority="81" stopIfTrue="1" operator="lessThanOrEqual">
      <formula>$M$81</formula>
    </cfRule>
  </conditionalFormatting>
  <conditionalFormatting sqref="N21:N52 N18:N19">
    <cfRule type="cellIs" dxfId="78" priority="337" stopIfTrue="1" operator="greaterThan">
      <formula>$M$82</formula>
    </cfRule>
  </conditionalFormatting>
  <conditionalFormatting sqref="N22">
    <cfRule type="cellIs" dxfId="77" priority="43" stopIfTrue="1" operator="greaterThan">
      <formula>$M$81</formula>
    </cfRule>
    <cfRule type="cellIs" dxfId="76" priority="44" stopIfTrue="1" operator="lessThanOrEqual">
      <formula>$M$81</formula>
    </cfRule>
    <cfRule type="cellIs" dxfId="75" priority="45" stopIfTrue="1" operator="greaterThan">
      <formula>#REF!</formula>
    </cfRule>
    <cfRule type="cellIs" dxfId="74" priority="46" stopIfTrue="1" operator="lessThanOrEqual">
      <formula>#REF!</formula>
    </cfRule>
    <cfRule type="cellIs" dxfId="73" priority="48" stopIfTrue="1" operator="lessThanOrEqual">
      <formula>$M$93</formula>
    </cfRule>
    <cfRule type="cellIs" dxfId="72" priority="47" stopIfTrue="1" operator="greaterThan">
      <formula>$M$93</formula>
    </cfRule>
  </conditionalFormatting>
  <conditionalFormatting sqref="N28 N30:N37 N40:N41 N50:N52">
    <cfRule type="cellIs" dxfId="71" priority="100" stopIfTrue="1" operator="greaterThan">
      <formula>$M$93</formula>
    </cfRule>
    <cfRule type="cellIs" dxfId="70" priority="105" stopIfTrue="1" operator="lessThanOrEqual">
      <formula>$M$93</formula>
    </cfRule>
  </conditionalFormatting>
  <conditionalFormatting sqref="Q71">
    <cfRule type="cellIs" dxfId="69" priority="92" stopIfTrue="1" operator="greaterThan">
      <formula>#REF!</formula>
    </cfRule>
    <cfRule type="cellIs" dxfId="68" priority="93" stopIfTrue="1" operator="lessThanOrEqual">
      <formula>#REF!</formula>
    </cfRule>
  </conditionalFormatting>
  <conditionalFormatting sqref="R93">
    <cfRule type="cellIs" dxfId="67" priority="94" stopIfTrue="1" operator="greaterThan">
      <formula>#REF!</formula>
    </cfRule>
    <cfRule type="cellIs" dxfId="66" priority="95" stopIfTrue="1" operator="lessThanOrEqual">
      <formula>#REF!</formula>
    </cfRule>
  </conditionalFormatting>
  <hyperlinks>
    <hyperlink ref="B94" r:id="rId1" xr:uid="{0906A4A3-B983-4CD1-9A0C-839D12C617F3}"/>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7CB53-5695-44B6-85D5-C07919AE8BDB}">
  <sheetPr>
    <tabColor rgb="FF92D050"/>
    <pageSetUpPr fitToPage="1"/>
  </sheetPr>
  <dimension ref="A1:AG1014"/>
  <sheetViews>
    <sheetView showGridLines="0" tabSelected="1" zoomScaleNormal="100" workbookViewId="0">
      <pane ySplit="7" topLeftCell="A8" activePane="bottomLeft" state="frozen"/>
      <selection pane="bottomLeft" activeCell="J91" sqref="J91"/>
    </sheetView>
  </sheetViews>
  <sheetFormatPr defaultColWidth="14.28515625" defaultRowHeight="15" customHeight="1"/>
  <cols>
    <col min="1" max="1" width="2.85546875" bestFit="1" customWidth="1"/>
    <col min="2" max="2" width="45.7109375" customWidth="1"/>
    <col min="3" max="3" width="6.28515625" bestFit="1" customWidth="1"/>
    <col min="4" max="4" width="7" customWidth="1"/>
    <col min="5" max="5" width="10.5703125" customWidth="1"/>
    <col min="6" max="7" width="12.42578125" customWidth="1"/>
    <col min="8" max="8" width="2.7109375" customWidth="1"/>
    <col min="9" max="9" width="8.28515625" customWidth="1"/>
    <col min="10" max="10" width="10.28515625" customWidth="1"/>
    <col min="11" max="11" width="14.140625" customWidth="1"/>
    <col min="12" max="12" width="13.42578125" style="1778" customWidth="1"/>
    <col min="13" max="13" width="8.28515625" customWidth="1"/>
    <col min="14" max="14" width="9.7109375" bestFit="1" customWidth="1"/>
    <col min="15" max="15" width="11.42578125" customWidth="1"/>
    <col min="16" max="16" width="10" customWidth="1"/>
    <col min="17" max="17" width="12.28515625" bestFit="1" customWidth="1"/>
    <col min="18" max="18" width="9.28515625" customWidth="1"/>
    <col min="19" max="19" width="9" customWidth="1"/>
    <col min="20" max="20" width="22.140625" customWidth="1"/>
    <col min="21" max="21" width="11" customWidth="1"/>
    <col min="22" max="22" width="8.140625" customWidth="1"/>
    <col min="23" max="23" width="7.28515625" customWidth="1"/>
    <col min="24" max="24" width="9.28515625" customWidth="1"/>
    <col min="25" max="25" width="10" bestFit="1" customWidth="1"/>
    <col min="26" max="26" width="11" bestFit="1" customWidth="1"/>
    <col min="27" max="29" width="9.28515625" customWidth="1"/>
  </cols>
  <sheetData>
    <row r="1" spans="1:30" ht="20.25" customHeight="1">
      <c r="A1" s="359"/>
      <c r="B1" s="2034" t="s">
        <v>0</v>
      </c>
      <c r="C1" s="1985"/>
      <c r="D1" s="1985"/>
      <c r="E1" s="1985"/>
      <c r="F1" s="1985"/>
      <c r="G1" s="1985"/>
      <c r="H1" s="1985"/>
      <c r="I1" s="1985"/>
      <c r="J1" s="1985"/>
      <c r="K1" s="1985"/>
      <c r="L1" s="1985"/>
      <c r="M1" s="1985"/>
      <c r="N1" s="1985"/>
      <c r="O1" s="1985"/>
      <c r="P1" s="1985"/>
      <c r="Q1" s="1985"/>
      <c r="R1" s="1637"/>
      <c r="S1" s="1638"/>
      <c r="T1" s="1639"/>
      <c r="U1" s="1639"/>
      <c r="V1" s="1639"/>
      <c r="W1" s="1640"/>
      <c r="X1" s="5"/>
      <c r="Y1" s="5"/>
      <c r="Z1" s="5"/>
      <c r="AA1" s="5"/>
      <c r="AB1" s="5"/>
      <c r="AC1" s="5"/>
    </row>
    <row r="2" spans="1:30" ht="14.25" customHeight="1">
      <c r="A2" s="359"/>
      <c r="B2" s="2035" t="s">
        <v>754</v>
      </c>
      <c r="C2" s="1985"/>
      <c r="D2" s="1985"/>
      <c r="E2" s="1985"/>
      <c r="F2" s="1985"/>
      <c r="G2" s="1985"/>
      <c r="H2" s="1985"/>
      <c r="I2" s="1985"/>
      <c r="J2" s="1985"/>
      <c r="K2" s="1985"/>
      <c r="L2" s="1985"/>
      <c r="M2" s="1985"/>
      <c r="N2" s="1985"/>
      <c r="O2" s="1985"/>
      <c r="P2" s="1985"/>
      <c r="Q2" s="1985"/>
      <c r="R2" s="1641"/>
      <c r="S2" s="1642"/>
      <c r="T2" s="1324"/>
      <c r="U2" s="1324"/>
      <c r="V2" s="1324"/>
      <c r="W2" s="1643"/>
      <c r="X2" s="5"/>
      <c r="Y2" s="5"/>
      <c r="Z2" s="5"/>
      <c r="AA2" s="5"/>
      <c r="AB2" s="5"/>
      <c r="AC2" s="5"/>
    </row>
    <row r="3" spans="1:30" ht="14.25" customHeight="1">
      <c r="A3" s="359"/>
      <c r="B3" s="2039">
        <f ca="1">TODAY()</f>
        <v>45274</v>
      </c>
      <c r="C3" s="2040"/>
      <c r="D3" s="2040"/>
      <c r="E3" s="2040"/>
      <c r="F3" s="2040"/>
      <c r="G3" s="2040"/>
      <c r="H3" s="2040"/>
      <c r="I3" s="2040"/>
      <c r="J3" s="2040"/>
      <c r="K3" s="2040"/>
      <c r="L3" s="2040"/>
      <c r="M3" s="2040"/>
      <c r="N3" s="2040"/>
      <c r="O3" s="2040"/>
      <c r="P3" s="2040"/>
      <c r="Q3" s="2040"/>
      <c r="R3" s="1641"/>
      <c r="S3" s="1642"/>
      <c r="T3" s="1324"/>
      <c r="U3" s="1324"/>
      <c r="V3" s="1324"/>
      <c r="W3" s="1643"/>
      <c r="X3" s="5"/>
      <c r="Y3" s="5"/>
      <c r="Z3" s="5"/>
      <c r="AA3" s="5"/>
      <c r="AB3" s="5"/>
      <c r="AC3" s="5"/>
    </row>
    <row r="4" spans="1:30" ht="14.25" customHeight="1">
      <c r="A4" s="359"/>
      <c r="B4" s="1645"/>
      <c r="C4" s="1645"/>
      <c r="D4" s="1645"/>
      <c r="E4" s="1645"/>
      <c r="F4" s="1645"/>
      <c r="G4" s="1645"/>
      <c r="H4" s="1645"/>
      <c r="I4" s="1645"/>
      <c r="J4" s="1646"/>
      <c r="K4" s="1645"/>
      <c r="L4" s="1645"/>
      <c r="M4" s="1645"/>
      <c r="N4" s="1645"/>
      <c r="O4" s="1645"/>
      <c r="P4" s="1645"/>
      <c r="Q4" s="1645"/>
      <c r="R4" s="1647"/>
      <c r="S4" s="1648"/>
      <c r="T4" s="1649"/>
      <c r="U4" s="1649"/>
      <c r="V4" s="1649"/>
      <c r="W4" s="1290"/>
      <c r="X4" s="5"/>
      <c r="Y4" s="5"/>
      <c r="Z4" s="5"/>
      <c r="AA4" s="5"/>
      <c r="AB4" s="5"/>
      <c r="AC4" s="5"/>
    </row>
    <row r="5" spans="1:30" ht="12.75" customHeight="1" thickBot="1">
      <c r="A5" s="1636"/>
      <c r="B5" s="1636"/>
      <c r="C5" s="1650"/>
      <c r="D5" s="2037" t="s">
        <v>3</v>
      </c>
      <c r="E5" s="1989"/>
      <c r="F5" s="1989"/>
      <c r="G5" s="1989"/>
      <c r="H5" s="1989"/>
      <c r="I5" s="1989"/>
      <c r="J5" s="1989"/>
      <c r="K5" s="1989"/>
      <c r="L5" s="1989"/>
      <c r="M5" s="2041"/>
      <c r="N5" s="2042"/>
      <c r="O5" s="2043" t="s">
        <v>1293</v>
      </c>
      <c r="P5" s="2044"/>
      <c r="Q5" s="2045"/>
      <c r="R5" s="1652"/>
      <c r="S5" s="1653"/>
      <c r="T5" s="359"/>
      <c r="U5" s="359"/>
      <c r="V5" s="359"/>
      <c r="W5" s="360"/>
      <c r="X5" s="5"/>
      <c r="Y5" s="5"/>
      <c r="Z5" s="5"/>
      <c r="AA5" s="5"/>
      <c r="AB5" s="5"/>
      <c r="AC5" s="5"/>
    </row>
    <row r="6" spans="1:30" ht="12.75" customHeight="1">
      <c r="A6" s="1654"/>
      <c r="B6" s="1655"/>
      <c r="C6" s="1656"/>
      <c r="D6" s="2032">
        <v>44926</v>
      </c>
      <c r="E6" s="1981"/>
      <c r="F6" s="1981"/>
      <c r="G6" s="1981"/>
      <c r="H6" s="1657"/>
      <c r="I6" s="2033">
        <f ca="1">TODAY()</f>
        <v>45274</v>
      </c>
      <c r="J6" s="1981"/>
      <c r="K6" s="1981"/>
      <c r="L6" s="1981"/>
      <c r="M6" s="1277" t="s">
        <v>755</v>
      </c>
      <c r="N6" s="1308" t="s">
        <v>6</v>
      </c>
      <c r="O6" s="1308" t="s">
        <v>714</v>
      </c>
      <c r="P6" s="1308" t="s">
        <v>715</v>
      </c>
      <c r="Q6" s="1308" t="s">
        <v>716</v>
      </c>
      <c r="R6" s="2028" t="s">
        <v>375</v>
      </c>
      <c r="S6" s="2029"/>
      <c r="T6" s="1658"/>
      <c r="U6" s="350"/>
      <c r="V6" s="358"/>
      <c r="W6" s="5"/>
      <c r="X6" s="5"/>
      <c r="Y6" s="5"/>
      <c r="Z6" s="5"/>
      <c r="AA6" s="5"/>
      <c r="AB6" s="5"/>
    </row>
    <row r="7" spans="1:30" ht="12.75" customHeight="1" thickBot="1">
      <c r="A7" s="1659"/>
      <c r="B7" s="1660" t="s">
        <v>7</v>
      </c>
      <c r="C7" s="1661" t="s">
        <v>8</v>
      </c>
      <c r="D7" s="1662" t="s">
        <v>9</v>
      </c>
      <c r="E7" s="1663" t="s">
        <v>10</v>
      </c>
      <c r="F7" s="1663" t="s">
        <v>11</v>
      </c>
      <c r="G7" s="1663" t="s">
        <v>12</v>
      </c>
      <c r="H7" s="1663"/>
      <c r="I7" s="1663" t="s">
        <v>9</v>
      </c>
      <c r="J7" s="1663" t="s">
        <v>10</v>
      </c>
      <c r="K7" s="1664" t="s">
        <v>11</v>
      </c>
      <c r="L7" s="1665" t="s">
        <v>12</v>
      </c>
      <c r="M7" s="1662" t="s">
        <v>15</v>
      </c>
      <c r="N7" s="1665" t="s">
        <v>15</v>
      </c>
      <c r="O7" s="1665" t="s">
        <v>717</v>
      </c>
      <c r="P7" s="1665" t="s">
        <v>714</v>
      </c>
      <c r="Q7" s="1665" t="s">
        <v>718</v>
      </c>
      <c r="R7" s="2030" t="s">
        <v>719</v>
      </c>
      <c r="S7" s="2031"/>
      <c r="T7" s="1658"/>
      <c r="U7" s="361"/>
      <c r="V7" s="358"/>
      <c r="W7" s="431"/>
      <c r="X7" s="431"/>
      <c r="Y7" s="431"/>
      <c r="Z7" s="431"/>
      <c r="AA7" s="431"/>
      <c r="AB7" s="431"/>
      <c r="AC7" s="431"/>
      <c r="AD7" s="431"/>
    </row>
    <row r="8" spans="1:30" ht="12.75" customHeight="1">
      <c r="A8" s="1666"/>
      <c r="B8" s="1655" t="s">
        <v>360</v>
      </c>
      <c r="C8" s="1667"/>
      <c r="D8" s="1277"/>
      <c r="E8" s="71"/>
      <c r="F8" s="71"/>
      <c r="G8" s="71"/>
      <c r="H8" s="71"/>
      <c r="I8" s="1306"/>
      <c r="J8" s="1306"/>
      <c r="K8" s="1307"/>
      <c r="L8" s="1308"/>
      <c r="M8" s="378"/>
      <c r="N8" s="1236"/>
      <c r="O8" s="1668"/>
      <c r="P8" s="1719"/>
      <c r="Q8" s="1669"/>
      <c r="R8" s="1670"/>
      <c r="S8" s="1620"/>
      <c r="T8" s="361"/>
      <c r="U8" s="361"/>
      <c r="V8" s="358"/>
      <c r="W8" s="431"/>
      <c r="X8" s="431"/>
      <c r="Y8" s="431"/>
      <c r="Z8" s="431"/>
      <c r="AA8" s="431"/>
      <c r="AB8" s="431"/>
      <c r="AC8" s="431"/>
      <c r="AD8" s="431"/>
    </row>
    <row r="9" spans="1:30" ht="12.75" customHeight="1">
      <c r="A9" s="1671">
        <v>1</v>
      </c>
      <c r="B9" s="374" t="e" vm="1">
        <v>#VALUE!</v>
      </c>
      <c r="C9" s="375" t="s">
        <v>362</v>
      </c>
      <c r="D9" s="351">
        <v>37</v>
      </c>
      <c r="E9" s="350">
        <v>161.61000000000001</v>
      </c>
      <c r="F9" s="352">
        <f t="shared" ref="F9:F48" si="0">D9*E9</f>
        <v>5979.5700000000006</v>
      </c>
      <c r="G9" s="357">
        <f>F9/$F$88</f>
        <v>2.0946059318041145E-2</v>
      </c>
      <c r="H9" s="351"/>
      <c r="I9" s="351">
        <v>37</v>
      </c>
      <c r="J9" s="350" cm="1">
        <f t="array" ref="J9">_FV(B9,"Price")</f>
        <v>154.94</v>
      </c>
      <c r="K9" s="1760">
        <f t="shared" ref="K9:K48" si="1">I9*J9</f>
        <v>5732.78</v>
      </c>
      <c r="L9" s="1796">
        <f t="shared" ref="L9:L48" si="2">K9/$K$88</f>
        <v>1.5738754649672292E-2</v>
      </c>
      <c r="M9" s="355">
        <f t="shared" ref="M9:M36" si="3">(J9-E9)/E9</f>
        <v>-4.1272198502568004E-2</v>
      </c>
      <c r="N9" s="356">
        <f t="shared" ref="N9:N45" si="4">(K9-O9)/O9</f>
        <v>0.40675503904122023</v>
      </c>
      <c r="O9" s="1495">
        <v>4075.18</v>
      </c>
      <c r="P9" s="1720">
        <v>110.14</v>
      </c>
      <c r="Q9" s="1582">
        <v>44474</v>
      </c>
      <c r="R9" s="351" t="str">
        <f t="shared" ref="R9:R45" ca="1" si="5">DATEDIF(Q9,$I$6,"y")&amp;" years"</f>
        <v>2 years</v>
      </c>
      <c r="S9" s="891" t="str">
        <f t="shared" ref="S9:S45" ca="1" si="6">DATEDIF(Q9,$I$6,"ym")&amp;" months"</f>
        <v>2 months</v>
      </c>
      <c r="T9" s="350"/>
      <c r="U9" s="1729"/>
      <c r="V9" s="1885"/>
      <c r="W9" s="431"/>
      <c r="X9" s="431"/>
      <c r="Y9" s="431"/>
      <c r="Z9" s="431"/>
      <c r="AA9" s="431"/>
      <c r="AB9" s="431"/>
      <c r="AC9" s="431"/>
      <c r="AD9" s="431"/>
    </row>
    <row r="10" spans="1:30" ht="12.75" customHeight="1">
      <c r="A10" s="1671">
        <f>A9+1</f>
        <v>2</v>
      </c>
      <c r="B10" s="374" t="e" vm="2">
        <v>#VALUE!</v>
      </c>
      <c r="C10" s="375" t="s">
        <v>675</v>
      </c>
      <c r="D10" s="351">
        <v>60</v>
      </c>
      <c r="E10" s="350">
        <v>88.73</v>
      </c>
      <c r="F10" s="352">
        <f t="shared" si="0"/>
        <v>5323.8</v>
      </c>
      <c r="G10" s="357">
        <f>F10/$F$88</f>
        <v>1.8648938067016098E-2</v>
      </c>
      <c r="H10" s="351"/>
      <c r="I10" s="351">
        <v>80</v>
      </c>
      <c r="J10" s="350" cm="1">
        <f t="array" ref="J10">_FV(B10,"Price")</f>
        <v>133.19999999999999</v>
      </c>
      <c r="K10" s="1760">
        <f t="shared" si="1"/>
        <v>10656</v>
      </c>
      <c r="L10" s="1796">
        <f t="shared" si="2"/>
        <v>2.9254946037857363E-2</v>
      </c>
      <c r="M10" s="355">
        <f t="shared" si="3"/>
        <v>0.50118336526541174</v>
      </c>
      <c r="N10" s="356">
        <f>(J10-P10)/P10</f>
        <v>-0.10789632308619659</v>
      </c>
      <c r="O10" s="1958">
        <v>11664.78</v>
      </c>
      <c r="P10" s="1720">
        <v>149.31</v>
      </c>
      <c r="Q10" s="1582">
        <v>44517</v>
      </c>
      <c r="R10" s="351" t="str">
        <f t="shared" ca="1" si="5"/>
        <v>2 years</v>
      </c>
      <c r="S10" s="891" t="str">
        <f t="shared" ca="1" si="6"/>
        <v>0 months</v>
      </c>
      <c r="T10" s="350"/>
      <c r="U10" s="1729"/>
      <c r="V10" s="1885"/>
      <c r="W10" s="431"/>
      <c r="X10" s="431"/>
      <c r="Y10" s="431"/>
      <c r="Z10" s="431"/>
      <c r="AA10" s="431"/>
      <c r="AB10" s="431"/>
      <c r="AC10" s="431"/>
      <c r="AD10" s="431"/>
    </row>
    <row r="11" spans="1:30" ht="12.75" customHeight="1">
      <c r="A11" s="1671">
        <f t="shared" ref="A11:A48" si="7">A10+1</f>
        <v>3</v>
      </c>
      <c r="B11" s="374" t="e" vm="3">
        <v>#VALUE!</v>
      </c>
      <c r="C11" s="375" t="s">
        <v>540</v>
      </c>
      <c r="D11" s="351">
        <v>100</v>
      </c>
      <c r="E11" s="350">
        <v>84</v>
      </c>
      <c r="F11" s="352">
        <f t="shared" si="0"/>
        <v>8400</v>
      </c>
      <c r="G11" s="357">
        <f>F11/$F$88</f>
        <v>2.9424674060433375E-2</v>
      </c>
      <c r="H11" s="351"/>
      <c r="I11" s="351">
        <v>170</v>
      </c>
      <c r="J11" s="350" cm="1">
        <f t="array" ref="J11">_FV(B11,"Price")</f>
        <v>147.41999999999999</v>
      </c>
      <c r="K11" s="1760">
        <f t="shared" si="1"/>
        <v>25061.399999999998</v>
      </c>
      <c r="L11" s="1796">
        <f t="shared" si="2"/>
        <v>6.8803482041400008E-2</v>
      </c>
      <c r="M11" s="355">
        <f t="shared" si="3"/>
        <v>0.75499999999999989</v>
      </c>
      <c r="N11" s="356">
        <f>(J11-P11)/P11</f>
        <v>3.7693303138142991</v>
      </c>
      <c r="O11" s="1495">
        <v>13219.57</v>
      </c>
      <c r="P11" s="1720">
        <v>30.91</v>
      </c>
      <c r="Q11" s="1582">
        <v>42453</v>
      </c>
      <c r="R11" s="351" t="str">
        <f t="shared" ca="1" si="5"/>
        <v>7 years</v>
      </c>
      <c r="S11" s="891" t="str">
        <f t="shared" ca="1" si="6"/>
        <v>8 months</v>
      </c>
      <c r="T11" s="350"/>
      <c r="U11" s="1729"/>
      <c r="V11" s="1885"/>
      <c r="W11" s="431"/>
      <c r="X11" s="431"/>
      <c r="Y11" s="431"/>
      <c r="Z11" s="431"/>
      <c r="AA11" s="431"/>
      <c r="AB11" s="431"/>
      <c r="AC11" s="431"/>
      <c r="AD11" s="431"/>
    </row>
    <row r="12" spans="1:30" ht="12.75" customHeight="1">
      <c r="A12" s="1671">
        <f t="shared" si="7"/>
        <v>4</v>
      </c>
      <c r="B12" s="374" t="e" vm="4">
        <v>#VALUE!</v>
      </c>
      <c r="C12" s="375" t="s">
        <v>399</v>
      </c>
      <c r="D12" s="351">
        <v>20</v>
      </c>
      <c r="E12" s="350">
        <v>211.86</v>
      </c>
      <c r="F12" s="352">
        <f t="shared" si="0"/>
        <v>4237.2000000000007</v>
      </c>
      <c r="G12" s="357">
        <f>F12/$F$88</f>
        <v>1.4842646301055753E-2</v>
      </c>
      <c r="H12" s="351"/>
      <c r="I12" s="351">
        <v>20</v>
      </c>
      <c r="J12" s="350" cm="1">
        <f t="array" ref="J12">_FV(B12,"Price")</f>
        <v>212.19</v>
      </c>
      <c r="K12" s="1760">
        <f t="shared" si="1"/>
        <v>4243.8</v>
      </c>
      <c r="L12" s="1796">
        <f t="shared" si="2"/>
        <v>1.1650914038612903E-2</v>
      </c>
      <c r="M12" s="355">
        <f t="shared" si="3"/>
        <v>1.5576323987538188E-3</v>
      </c>
      <c r="N12" s="356">
        <f t="shared" si="4"/>
        <v>1.0695507146723626</v>
      </c>
      <c r="O12" s="1495">
        <v>2050.59</v>
      </c>
      <c r="P12" s="1720">
        <v>102.53</v>
      </c>
      <c r="Q12" s="1582">
        <v>41975</v>
      </c>
      <c r="R12" s="351" t="str">
        <f t="shared" ca="1" si="5"/>
        <v>9 years</v>
      </c>
      <c r="S12" s="891" t="str">
        <f t="shared" ca="1" si="6"/>
        <v>0 months</v>
      </c>
      <c r="T12" s="350"/>
      <c r="U12" s="1729"/>
      <c r="V12" s="1885"/>
      <c r="W12" s="431"/>
      <c r="X12" s="431"/>
      <c r="Y12" s="431"/>
      <c r="Z12" s="431"/>
      <c r="AA12" s="431"/>
      <c r="AB12" s="431"/>
      <c r="AC12" s="431"/>
      <c r="AD12" s="431"/>
    </row>
    <row r="13" spans="1:30" ht="12.75" customHeight="1">
      <c r="A13" s="1671">
        <f t="shared" si="7"/>
        <v>5</v>
      </c>
      <c r="B13" s="374" t="e" vm="5">
        <v>#VALUE!</v>
      </c>
      <c r="C13" s="375" t="s">
        <v>721</v>
      </c>
      <c r="D13" s="351">
        <v>35</v>
      </c>
      <c r="E13" s="350">
        <v>165.71</v>
      </c>
      <c r="F13" s="352">
        <f t="shared" si="0"/>
        <v>5799.85</v>
      </c>
      <c r="G13" s="357">
        <f>F13/$F$88</f>
        <v>2.0316511410643397E-2</v>
      </c>
      <c r="H13" s="351"/>
      <c r="I13" s="351">
        <v>35</v>
      </c>
      <c r="J13" s="350" cm="1">
        <f t="array" ref="J13">_FV(B13,"Price")</f>
        <v>201.55</v>
      </c>
      <c r="K13" s="1760">
        <f t="shared" si="1"/>
        <v>7054.25</v>
      </c>
      <c r="L13" s="1796">
        <f t="shared" si="2"/>
        <v>1.9366713878336647E-2</v>
      </c>
      <c r="M13" s="355">
        <f>(J13-E13)/E13</f>
        <v>0.21628145555488504</v>
      </c>
      <c r="N13" s="356">
        <f t="shared" si="4"/>
        <v>0.40698080279232113</v>
      </c>
      <c r="O13" s="1495">
        <v>5013.75</v>
      </c>
      <c r="P13" s="1720">
        <v>143.25</v>
      </c>
      <c r="Q13" s="1582">
        <v>44622</v>
      </c>
      <c r="R13" s="351" t="str">
        <f t="shared" ca="1" si="5"/>
        <v>1 years</v>
      </c>
      <c r="S13" s="891" t="str">
        <f t="shared" ca="1" si="6"/>
        <v>9 months</v>
      </c>
      <c r="T13" s="350"/>
      <c r="U13" s="1729"/>
      <c r="V13" s="1885"/>
      <c r="W13" s="431"/>
      <c r="X13" s="431"/>
      <c r="Y13" s="431"/>
      <c r="Z13" s="431"/>
      <c r="AA13" s="431"/>
      <c r="AB13" s="431"/>
      <c r="AC13" s="431"/>
      <c r="AD13" s="431"/>
    </row>
    <row r="14" spans="1:30" ht="12.75" customHeight="1">
      <c r="A14" s="1671">
        <f t="shared" si="7"/>
        <v>6</v>
      </c>
      <c r="B14" s="374" t="e" vm="6">
        <v>#VALUE!</v>
      </c>
      <c r="C14" s="375" t="s">
        <v>1288</v>
      </c>
      <c r="D14" s="351"/>
      <c r="E14" s="350"/>
      <c r="F14" s="352"/>
      <c r="G14" s="357"/>
      <c r="H14" s="351"/>
      <c r="I14" s="351">
        <v>80</v>
      </c>
      <c r="J14" s="350" cm="1">
        <f t="array" ref="J14">_FV(B14,"Price")</f>
        <v>44.64</v>
      </c>
      <c r="K14" s="1760">
        <f t="shared" si="1"/>
        <v>3571.2</v>
      </c>
      <c r="L14" s="1796">
        <f t="shared" si="2"/>
        <v>9.8043602937684139E-3</v>
      </c>
      <c r="M14" s="355"/>
      <c r="N14" s="356">
        <f t="shared" si="4"/>
        <v>6.2604141870983135E-2</v>
      </c>
      <c r="O14" s="1495">
        <f>Transactions!E12</f>
        <v>3360.7999999999997</v>
      </c>
      <c r="P14" s="1720">
        <f>Transactions!C12</f>
        <v>42.01</v>
      </c>
      <c r="Q14" s="1582">
        <v>45268</v>
      </c>
      <c r="R14" s="351" t="str">
        <f t="shared" ca="1" si="5"/>
        <v>0 years</v>
      </c>
      <c r="S14" s="891" t="str">
        <f t="shared" ca="1" si="6"/>
        <v>0 months</v>
      </c>
      <c r="T14" s="350"/>
      <c r="U14" s="1729"/>
      <c r="V14" s="1885"/>
      <c r="W14" s="431"/>
      <c r="X14" s="431"/>
      <c r="Y14" s="431"/>
      <c r="Z14" s="431"/>
      <c r="AA14" s="431"/>
      <c r="AB14" s="431"/>
      <c r="AC14" s="431"/>
      <c r="AD14" s="431"/>
    </row>
    <row r="15" spans="1:30" ht="12.75" customHeight="1">
      <c r="A15" s="1671">
        <f t="shared" si="7"/>
        <v>7</v>
      </c>
      <c r="B15" s="374" t="e" vm="7">
        <v>#VALUE!</v>
      </c>
      <c r="C15" s="375" t="s">
        <v>207</v>
      </c>
      <c r="D15" s="351">
        <v>118</v>
      </c>
      <c r="E15" s="350">
        <v>129.93</v>
      </c>
      <c r="F15" s="352">
        <f t="shared" si="0"/>
        <v>15331.740000000002</v>
      </c>
      <c r="G15" s="357">
        <f t="shared" ref="G15:G24" si="8">F15/$F$88</f>
        <v>5.3706125271346293E-2</v>
      </c>
      <c r="H15" s="351"/>
      <c r="I15" s="351">
        <f>118+32</f>
        <v>150</v>
      </c>
      <c r="J15" s="350" cm="1">
        <f t="array" ref="J15">_FV(B15,"Price")</f>
        <v>198.11</v>
      </c>
      <c r="K15" s="1760">
        <f t="shared" si="1"/>
        <v>29716.500000000004</v>
      </c>
      <c r="L15" s="1796">
        <f t="shared" si="2"/>
        <v>8.1583577696507925E-2</v>
      </c>
      <c r="M15" s="355">
        <f t="shared" si="3"/>
        <v>0.5247440929731394</v>
      </c>
      <c r="N15" s="356">
        <f>(J15-P15)/P15</f>
        <v>30.296998420221168</v>
      </c>
      <c r="O15" s="1958">
        <v>6986.15</v>
      </c>
      <c r="P15" s="1720">
        <v>6.33</v>
      </c>
      <c r="Q15" s="1582">
        <v>39414</v>
      </c>
      <c r="R15" s="351" t="str">
        <f t="shared" ca="1" si="5"/>
        <v>16 years</v>
      </c>
      <c r="S15" s="891" t="str">
        <f t="shared" ca="1" si="6"/>
        <v>0 months</v>
      </c>
      <c r="T15" s="350"/>
      <c r="U15" s="1729"/>
      <c r="V15" s="1885"/>
      <c r="W15" s="431"/>
      <c r="X15" s="431"/>
      <c r="Y15" s="431"/>
      <c r="Z15" s="431"/>
      <c r="AA15" s="431"/>
      <c r="AB15" s="431"/>
      <c r="AC15" s="431"/>
      <c r="AD15" s="431"/>
    </row>
    <row r="16" spans="1:30" ht="12.75" customHeight="1">
      <c r="A16" s="1671">
        <f t="shared" si="7"/>
        <v>8</v>
      </c>
      <c r="B16" s="374" t="e" vm="8">
        <v>#VALUE!</v>
      </c>
      <c r="C16" s="375" t="s">
        <v>602</v>
      </c>
      <c r="D16" s="351">
        <v>7</v>
      </c>
      <c r="E16" s="350">
        <v>708.63</v>
      </c>
      <c r="F16" s="352">
        <f t="shared" si="0"/>
        <v>4960.41</v>
      </c>
      <c r="G16" s="357">
        <f t="shared" si="8"/>
        <v>1.7376005649537417E-2</v>
      </c>
      <c r="H16" s="351"/>
      <c r="I16" s="351">
        <v>7</v>
      </c>
      <c r="J16" s="350" cm="1">
        <f t="array" ref="J16">_FV(B16,"Price")</f>
        <v>807.56</v>
      </c>
      <c r="K16" s="1760">
        <f t="shared" si="1"/>
        <v>5652.92</v>
      </c>
      <c r="L16" s="1796">
        <f t="shared" si="2"/>
        <v>1.551950727818362E-2</v>
      </c>
      <c r="M16" s="355">
        <f t="shared" si="3"/>
        <v>0.13960741148413128</v>
      </c>
      <c r="N16" s="356">
        <f>(K16-O16)/O16</f>
        <v>-3.8378642279617473E-2</v>
      </c>
      <c r="O16" s="1495">
        <v>5878.53</v>
      </c>
      <c r="P16" s="1720">
        <v>839.79</v>
      </c>
      <c r="Q16" s="1582">
        <v>44328</v>
      </c>
      <c r="R16" s="351" t="str">
        <f t="shared" ca="1" si="5"/>
        <v>2 years</v>
      </c>
      <c r="S16" s="891" t="str">
        <f t="shared" ca="1" si="6"/>
        <v>7 months</v>
      </c>
      <c r="T16" s="350"/>
      <c r="U16" s="1729"/>
      <c r="V16" s="1885"/>
      <c r="W16" s="431"/>
      <c r="X16" s="431"/>
      <c r="Y16" s="431"/>
      <c r="Z16" s="431"/>
      <c r="AA16" s="431"/>
      <c r="AB16" s="431"/>
      <c r="AC16" s="431"/>
      <c r="AD16" s="431"/>
    </row>
    <row r="17" spans="1:30" ht="12.75" customHeight="1">
      <c r="A17" s="1671">
        <f t="shared" si="7"/>
        <v>9</v>
      </c>
      <c r="B17" s="374" t="e" vm="9">
        <v>#VALUE!</v>
      </c>
      <c r="C17" s="375" t="s">
        <v>724</v>
      </c>
      <c r="D17" s="351">
        <v>28</v>
      </c>
      <c r="E17" s="350">
        <v>68.67</v>
      </c>
      <c r="F17" s="352">
        <f t="shared" si="0"/>
        <v>1922.76</v>
      </c>
      <c r="G17" s="357">
        <f t="shared" si="8"/>
        <v>6.7353078924331997E-3</v>
      </c>
      <c r="H17" s="351"/>
      <c r="I17" s="351">
        <v>28</v>
      </c>
      <c r="J17" s="350" cm="1">
        <f t="array" ref="J17">_FV(B17,"Price")</f>
        <v>119.16</v>
      </c>
      <c r="K17" s="1760">
        <f t="shared" si="1"/>
        <v>3336.48</v>
      </c>
      <c r="L17" s="1796">
        <f t="shared" si="2"/>
        <v>9.1599608067183119E-3</v>
      </c>
      <c r="M17" s="355">
        <f t="shared" si="3"/>
        <v>0.73525557011795539</v>
      </c>
      <c r="N17" s="356">
        <f t="shared" si="4"/>
        <v>0.66517607602012296</v>
      </c>
      <c r="O17" s="1495">
        <v>2003.68</v>
      </c>
      <c r="P17" s="1720">
        <v>71.56</v>
      </c>
      <c r="Q17" s="1582">
        <v>44651</v>
      </c>
      <c r="R17" s="351" t="str">
        <f t="shared" ca="1" si="5"/>
        <v>1 years</v>
      </c>
      <c r="S17" s="891" t="str">
        <f t="shared" ca="1" si="6"/>
        <v>8 months</v>
      </c>
      <c r="T17" s="350"/>
      <c r="U17" s="1729"/>
      <c r="V17" s="1885"/>
      <c r="W17" s="431"/>
      <c r="X17" s="431"/>
      <c r="Y17" s="431"/>
      <c r="Z17" s="431"/>
      <c r="AA17" s="431"/>
      <c r="AB17" s="431"/>
      <c r="AC17" s="431"/>
      <c r="AD17" s="431"/>
    </row>
    <row r="18" spans="1:30" ht="12.75" customHeight="1">
      <c r="A18" s="1671">
        <f t="shared" si="7"/>
        <v>10</v>
      </c>
      <c r="B18" s="374" t="e" vm="10">
        <v>#VALUE!</v>
      </c>
      <c r="C18" s="375" t="s">
        <v>649</v>
      </c>
      <c r="D18" s="351">
        <v>30</v>
      </c>
      <c r="E18" s="350">
        <v>25.34</v>
      </c>
      <c r="F18" s="352">
        <f t="shared" si="0"/>
        <v>760.2</v>
      </c>
      <c r="G18" s="357">
        <f t="shared" si="8"/>
        <v>2.6629330024692207E-3</v>
      </c>
      <c r="H18" s="351"/>
      <c r="I18" s="351">
        <v>30</v>
      </c>
      <c r="J18" s="350" cm="1">
        <f t="array" ref="J18">_FV(B18,"Price")</f>
        <v>27.41</v>
      </c>
      <c r="K18" s="1760">
        <f t="shared" si="1"/>
        <v>822.3</v>
      </c>
      <c r="L18" s="1796">
        <f t="shared" si="2"/>
        <v>2.2575396140137116E-3</v>
      </c>
      <c r="M18" s="355">
        <f t="shared" si="3"/>
        <v>8.1689029202841365E-2</v>
      </c>
      <c r="N18" s="356">
        <f t="shared" si="4"/>
        <v>-0.23492742835876443</v>
      </c>
      <c r="O18" s="1495">
        <v>1074.8</v>
      </c>
      <c r="P18" s="1720">
        <v>35.83</v>
      </c>
      <c r="Q18" s="1582">
        <v>44131</v>
      </c>
      <c r="R18" s="351" t="str">
        <f t="shared" ca="1" si="5"/>
        <v>3 years</v>
      </c>
      <c r="S18" s="891" t="str">
        <f ca="1">DATEDIF(Q18,$I$6,"ym")&amp;" months"</f>
        <v>1 months</v>
      </c>
      <c r="T18" s="350"/>
      <c r="U18" s="1729"/>
      <c r="V18" s="1885"/>
      <c r="W18" s="431"/>
      <c r="X18" s="431"/>
      <c r="Y18" s="431"/>
      <c r="Z18" s="431"/>
      <c r="AA18" s="431"/>
      <c r="AB18" s="431"/>
      <c r="AC18" s="431"/>
      <c r="AD18" s="431"/>
    </row>
    <row r="19" spans="1:30" ht="12.75" customHeight="1">
      <c r="A19" s="1671">
        <f t="shared" si="7"/>
        <v>11</v>
      </c>
      <c r="B19" s="374" t="e" vm="11">
        <v>#VALUE!</v>
      </c>
      <c r="C19" s="375" t="s">
        <v>624</v>
      </c>
      <c r="D19" s="351">
        <v>20</v>
      </c>
      <c r="E19" s="350">
        <v>149.96</v>
      </c>
      <c r="F19" s="352">
        <f t="shared" si="0"/>
        <v>2999.2000000000003</v>
      </c>
      <c r="G19" s="357">
        <f t="shared" si="8"/>
        <v>1.0506009814529975E-2</v>
      </c>
      <c r="H19" s="351"/>
      <c r="I19" s="351">
        <v>20</v>
      </c>
      <c r="J19" s="350" cm="1">
        <f t="array" ref="J19">_FV(B19,"Price")</f>
        <v>171.35</v>
      </c>
      <c r="K19" s="1760">
        <f t="shared" si="1"/>
        <v>3427</v>
      </c>
      <c r="L19" s="1796">
        <f t="shared" si="2"/>
        <v>9.4084741058311928E-3</v>
      </c>
      <c r="M19" s="355">
        <f t="shared" si="3"/>
        <v>0.14263803680981585</v>
      </c>
      <c r="N19" s="356">
        <f t="shared" si="4"/>
        <v>1.6777621503359899</v>
      </c>
      <c r="O19" s="1495">
        <v>1279.8</v>
      </c>
      <c r="P19" s="1720">
        <v>63.99</v>
      </c>
      <c r="Q19" s="1582">
        <v>43760</v>
      </c>
      <c r="R19" s="351" t="str">
        <f t="shared" ca="1" si="5"/>
        <v>4 years</v>
      </c>
      <c r="S19" s="891" t="str">
        <f t="shared" ca="1" si="6"/>
        <v>1 months</v>
      </c>
      <c r="T19" s="350"/>
      <c r="U19" s="1729"/>
      <c r="V19" s="1885"/>
      <c r="W19" s="431"/>
      <c r="X19" s="431"/>
      <c r="Y19" s="431"/>
      <c r="Z19" s="431"/>
      <c r="AA19" s="431"/>
      <c r="AB19" s="431"/>
      <c r="AC19" s="431"/>
      <c r="AD19" s="431"/>
    </row>
    <row r="20" spans="1:30" ht="12.75" customHeight="1">
      <c r="A20" s="1671">
        <f t="shared" si="7"/>
        <v>12</v>
      </c>
      <c r="B20" s="361" t="e" vm="12">
        <v>#VALUE!</v>
      </c>
      <c r="C20" s="375" t="s">
        <v>678</v>
      </c>
      <c r="D20" s="351">
        <v>35</v>
      </c>
      <c r="E20" s="350">
        <v>115.08</v>
      </c>
      <c r="F20" s="352">
        <f t="shared" si="0"/>
        <v>4027.7999999999997</v>
      </c>
      <c r="G20" s="357">
        <f t="shared" si="8"/>
        <v>1.4109131211977802E-2</v>
      </c>
      <c r="H20" s="351"/>
      <c r="I20" s="351">
        <v>66</v>
      </c>
      <c r="J20" s="350" cm="1">
        <f t="array" ref="J20">_FV(B20,"Price")</f>
        <v>205.46</v>
      </c>
      <c r="K20" s="1760">
        <f t="shared" si="1"/>
        <v>13560.36</v>
      </c>
      <c r="L20" s="1952">
        <f t="shared" si="2"/>
        <v>3.7228566071126082E-2</v>
      </c>
      <c r="M20" s="355">
        <f t="shared" si="3"/>
        <v>0.78536670142509568</v>
      </c>
      <c r="N20" s="356">
        <f>(J20-P20)/P20</f>
        <v>1.214247224916478</v>
      </c>
      <c r="O20" s="1495">
        <v>9081.81</v>
      </c>
      <c r="P20" s="1720">
        <v>92.79</v>
      </c>
      <c r="Q20" s="1582">
        <v>44501</v>
      </c>
      <c r="R20" s="351" t="str">
        <f t="shared" ca="1" si="5"/>
        <v>2 years</v>
      </c>
      <c r="S20" s="891" t="str">
        <f t="shared" ca="1" si="6"/>
        <v>1 months</v>
      </c>
      <c r="T20" s="350"/>
      <c r="U20" s="1729"/>
      <c r="V20" s="1885"/>
      <c r="W20" s="431"/>
      <c r="X20" s="431"/>
      <c r="Y20" s="431"/>
      <c r="Z20" s="431"/>
      <c r="AA20" s="431"/>
      <c r="AB20" s="431"/>
      <c r="AC20" s="431"/>
      <c r="AD20" s="431"/>
    </row>
    <row r="21" spans="1:30" ht="12.75" customHeight="1">
      <c r="A21" s="1671">
        <f t="shared" si="7"/>
        <v>13</v>
      </c>
      <c r="B21" s="361" t="e" vm="13">
        <v>#VALUE!</v>
      </c>
      <c r="C21" s="375" t="s">
        <v>726</v>
      </c>
      <c r="D21" s="351">
        <v>14</v>
      </c>
      <c r="E21" s="350">
        <v>100.27</v>
      </c>
      <c r="F21" s="352">
        <f t="shared" si="0"/>
        <v>1403.78</v>
      </c>
      <c r="G21" s="357">
        <f t="shared" si="8"/>
        <v>4.9173534467327577E-3</v>
      </c>
      <c r="H21" s="351"/>
      <c r="I21" s="351">
        <v>14</v>
      </c>
      <c r="J21" s="350" cm="1">
        <f t="array" ref="J21">_FV(B21,"Price")</f>
        <v>132.93</v>
      </c>
      <c r="K21" s="1760">
        <f t="shared" si="1"/>
        <v>1861.02</v>
      </c>
      <c r="L21" s="1796">
        <f t="shared" si="2"/>
        <v>5.1092379575237721E-3</v>
      </c>
      <c r="M21" s="355">
        <f t="shared" si="3"/>
        <v>0.32572055450284243</v>
      </c>
      <c r="N21" s="356">
        <f t="shared" si="4"/>
        <v>-8.1975138121546998E-2</v>
      </c>
      <c r="O21" s="1495">
        <v>2027.2</v>
      </c>
      <c r="P21" s="1720">
        <v>144.80000000000001</v>
      </c>
      <c r="Q21" s="1582">
        <v>44651</v>
      </c>
      <c r="R21" s="351" t="str">
        <f t="shared" ca="1" si="5"/>
        <v>1 years</v>
      </c>
      <c r="S21" s="891" t="str">
        <f t="shared" ca="1" si="6"/>
        <v>8 months</v>
      </c>
      <c r="T21" s="350"/>
      <c r="U21" s="1729"/>
      <c r="V21" s="1885"/>
      <c r="W21" s="431"/>
      <c r="X21" s="431"/>
      <c r="Y21" s="431"/>
      <c r="Z21" s="431"/>
      <c r="AA21" s="431"/>
      <c r="AB21" s="431"/>
      <c r="AC21" s="431"/>
      <c r="AD21" s="431"/>
    </row>
    <row r="22" spans="1:30" ht="12.75" customHeight="1">
      <c r="A22" s="1671">
        <f t="shared" si="7"/>
        <v>14</v>
      </c>
      <c r="B22" s="361" t="e" vm="14">
        <v>#VALUE!</v>
      </c>
      <c r="C22" s="362" t="s">
        <v>633</v>
      </c>
      <c r="D22" s="363">
        <v>20</v>
      </c>
      <c r="E22" s="350">
        <v>231.57</v>
      </c>
      <c r="F22" s="352">
        <f t="shared" si="0"/>
        <v>4631.3999999999996</v>
      </c>
      <c r="G22" s="357">
        <f t="shared" si="8"/>
        <v>1.6223504219463229E-2</v>
      </c>
      <c r="H22" s="363"/>
      <c r="I22" s="363">
        <v>20</v>
      </c>
      <c r="J22" s="350" cm="1">
        <f t="array" ref="J22">_FV(B22,"Price")</f>
        <v>186.26</v>
      </c>
      <c r="K22" s="1760">
        <f t="shared" si="1"/>
        <v>3725.2</v>
      </c>
      <c r="L22" s="1796">
        <f t="shared" si="2"/>
        <v>1.0227151368264475E-2</v>
      </c>
      <c r="M22" s="355">
        <f t="shared" si="3"/>
        <v>-0.19566437794187505</v>
      </c>
      <c r="N22" s="356">
        <f t="shared" si="4"/>
        <v>0.27215045060735515</v>
      </c>
      <c r="O22" s="1495">
        <v>2928.27</v>
      </c>
      <c r="P22" s="1720">
        <v>146.41</v>
      </c>
      <c r="Q22" s="1582">
        <v>43783</v>
      </c>
      <c r="R22" s="351" t="str">
        <f ca="1">DATEDIF(Q22,$I$6,"y")&amp;" years"</f>
        <v>4 years</v>
      </c>
      <c r="S22" s="891" t="str">
        <f ca="1">DATEDIF(Q22,$I$6,"ym")&amp;" months"</f>
        <v>1 months</v>
      </c>
      <c r="T22" s="350"/>
      <c r="U22" s="1729"/>
      <c r="V22" s="1885"/>
      <c r="W22" s="431"/>
      <c r="X22" s="431"/>
      <c r="Y22" s="431"/>
      <c r="Z22" s="431"/>
      <c r="AA22" s="431"/>
      <c r="AB22" s="431"/>
      <c r="AC22" s="431"/>
      <c r="AD22" s="431"/>
    </row>
    <row r="23" spans="1:30" ht="12.75" customHeight="1">
      <c r="A23" s="1671">
        <f t="shared" si="7"/>
        <v>15</v>
      </c>
      <c r="B23" s="361" t="e" vm="15">
        <v>#VALUE!</v>
      </c>
      <c r="C23" s="362" t="s">
        <v>628</v>
      </c>
      <c r="D23" s="363">
        <v>20</v>
      </c>
      <c r="E23" s="350">
        <v>214.3</v>
      </c>
      <c r="F23" s="352">
        <f t="shared" si="0"/>
        <v>4286</v>
      </c>
      <c r="G23" s="357">
        <f t="shared" si="8"/>
        <v>1.5013589645597314E-2</v>
      </c>
      <c r="H23" s="363"/>
      <c r="I23" s="363">
        <v>20</v>
      </c>
      <c r="J23" s="350" cm="1">
        <f t="array" ref="J23">_FV(B23,"Price")</f>
        <v>203.41</v>
      </c>
      <c r="K23" s="1760">
        <f t="shared" si="1"/>
        <v>4068.2</v>
      </c>
      <c r="L23" s="1796">
        <f t="shared" si="2"/>
        <v>1.1168822397823885E-2</v>
      </c>
      <c r="M23" s="355">
        <f t="shared" si="3"/>
        <v>-5.0816612225851675E-2</v>
      </c>
      <c r="N23" s="356">
        <f t="shared" si="4"/>
        <v>0.11984629020980936</v>
      </c>
      <c r="O23" s="1495">
        <v>3632.82</v>
      </c>
      <c r="P23" s="1720">
        <v>181.64</v>
      </c>
      <c r="Q23" s="1582">
        <v>43781</v>
      </c>
      <c r="R23" s="351" t="str">
        <f t="shared" ca="1" si="5"/>
        <v>4 years</v>
      </c>
      <c r="S23" s="891" t="str">
        <f t="shared" ca="1" si="6"/>
        <v>1 months</v>
      </c>
      <c r="T23" s="350"/>
      <c r="U23" s="1729"/>
      <c r="V23" s="1885"/>
      <c r="W23" s="431"/>
      <c r="X23" s="431"/>
      <c r="Y23" s="431"/>
      <c r="Z23" s="431"/>
      <c r="AA23" s="431"/>
      <c r="AB23" s="431"/>
      <c r="AC23" s="431"/>
      <c r="AD23" s="431"/>
    </row>
    <row r="24" spans="1:30" ht="12.75" customHeight="1">
      <c r="A24" s="1671">
        <f t="shared" si="7"/>
        <v>16</v>
      </c>
      <c r="B24" s="361" t="e" vm="16">
        <v>#VALUE!</v>
      </c>
      <c r="C24" s="362" t="s">
        <v>655</v>
      </c>
      <c r="D24" s="363">
        <v>200</v>
      </c>
      <c r="E24" s="350">
        <v>11.6</v>
      </c>
      <c r="F24" s="352">
        <f t="shared" si="0"/>
        <v>2320</v>
      </c>
      <c r="G24" s="357">
        <f t="shared" si="8"/>
        <v>8.1268147405006465E-3</v>
      </c>
      <c r="H24" s="363"/>
      <c r="I24" s="363">
        <v>200</v>
      </c>
      <c r="J24" s="350" cm="1">
        <f t="array" ref="J24">_FV(B24,"Price")</f>
        <v>13.13</v>
      </c>
      <c r="K24" s="1760">
        <f t="shared" si="1"/>
        <v>2626</v>
      </c>
      <c r="L24" s="1796">
        <f t="shared" si="2"/>
        <v>7.2094114391341437E-3</v>
      </c>
      <c r="M24" s="355">
        <f t="shared" si="3"/>
        <v>0.13189655172413803</v>
      </c>
      <c r="N24" s="356">
        <f t="shared" si="4"/>
        <v>5.04E-2</v>
      </c>
      <c r="O24" s="1495">
        <v>2500</v>
      </c>
      <c r="P24" s="1720">
        <v>12.5</v>
      </c>
      <c r="Q24" s="1582">
        <v>43896</v>
      </c>
      <c r="R24" s="351" t="str">
        <f t="shared" ca="1" si="5"/>
        <v>3 years</v>
      </c>
      <c r="S24" s="891" t="str">
        <f t="shared" ca="1" si="6"/>
        <v>9 months</v>
      </c>
      <c r="T24" s="350"/>
      <c r="U24" s="1729"/>
      <c r="V24" s="1885"/>
      <c r="W24" s="431"/>
      <c r="X24" s="431"/>
      <c r="Y24" s="431"/>
      <c r="Z24" s="431"/>
      <c r="AA24" s="431"/>
      <c r="AB24" s="431"/>
      <c r="AC24" s="431"/>
      <c r="AD24" s="431"/>
    </row>
    <row r="25" spans="1:30" ht="12.75" customHeight="1">
      <c r="A25" s="1671">
        <f t="shared" si="7"/>
        <v>17</v>
      </c>
      <c r="B25" s="361" t="e" vm="17">
        <v>#VALUE!</v>
      </c>
      <c r="C25" s="362" t="s">
        <v>756</v>
      </c>
      <c r="D25" s="363"/>
      <c r="E25" s="350"/>
      <c r="F25" s="352"/>
      <c r="G25" s="357"/>
      <c r="H25" s="363"/>
      <c r="I25" s="363">
        <v>50</v>
      </c>
      <c r="J25" s="350" cm="1">
        <f t="array" ref="J25">_FV(B25,"Price")</f>
        <v>43.57</v>
      </c>
      <c r="K25" s="1760">
        <f t="shared" si="1"/>
        <v>2178.5</v>
      </c>
      <c r="L25" s="1796">
        <f t="shared" si="2"/>
        <v>5.9808464661666918E-3</v>
      </c>
      <c r="M25" s="355"/>
      <c r="N25" s="356">
        <f t="shared" si="4"/>
        <v>-0.10543065393696746</v>
      </c>
      <c r="O25" s="1495">
        <v>2435.25</v>
      </c>
      <c r="P25" s="1720">
        <v>48.71</v>
      </c>
      <c r="Q25" s="1582">
        <v>45026</v>
      </c>
      <c r="R25" s="351" t="str">
        <f t="shared" ca="1" si="5"/>
        <v>0 years</v>
      </c>
      <c r="S25" s="891" t="str">
        <f t="shared" ca="1" si="6"/>
        <v>8 months</v>
      </c>
      <c r="T25" s="350"/>
      <c r="U25" s="1729"/>
      <c r="V25" s="1885"/>
      <c r="W25" s="431"/>
      <c r="X25" s="431"/>
      <c r="Y25" s="431"/>
      <c r="Z25" s="431"/>
      <c r="AA25" s="431"/>
      <c r="AB25" s="431"/>
      <c r="AC25" s="431"/>
      <c r="AD25" s="431"/>
    </row>
    <row r="26" spans="1:30" ht="12.75" customHeight="1">
      <c r="A26" s="1671">
        <f t="shared" si="7"/>
        <v>18</v>
      </c>
      <c r="B26" s="39" t="e" vm="18">
        <v>#VALUE!</v>
      </c>
      <c r="C26" s="362" t="s">
        <v>550</v>
      </c>
      <c r="D26" s="363">
        <v>9</v>
      </c>
      <c r="E26" s="350">
        <v>486.49</v>
      </c>
      <c r="F26" s="352">
        <f t="shared" si="0"/>
        <v>4378.41</v>
      </c>
      <c r="G26" s="357">
        <f>F26/$F$88</f>
        <v>1.5337296089635964E-2</v>
      </c>
      <c r="H26" s="363"/>
      <c r="I26" s="363">
        <v>9</v>
      </c>
      <c r="J26" s="350" cm="1">
        <f t="array" ref="J26">_FV(B26,"Price")</f>
        <v>445.35</v>
      </c>
      <c r="K26" s="1760">
        <f t="shared" si="1"/>
        <v>4008.15</v>
      </c>
      <c r="L26" s="1796">
        <f t="shared" si="2"/>
        <v>1.1003961332736298E-2</v>
      </c>
      <c r="M26" s="355">
        <f t="shared" si="3"/>
        <v>-8.4564944808731904E-2</v>
      </c>
      <c r="N26" s="356">
        <f t="shared" si="4"/>
        <v>0.64595610126686243</v>
      </c>
      <c r="O26" s="1495">
        <v>2435.15</v>
      </c>
      <c r="P26" s="1720">
        <v>270.57</v>
      </c>
      <c r="Q26" s="1582">
        <v>42836</v>
      </c>
      <c r="R26" s="351" t="str">
        <f t="shared" ca="1" si="5"/>
        <v>6 years</v>
      </c>
      <c r="S26" s="891" t="str">
        <f t="shared" ca="1" si="6"/>
        <v>8 months</v>
      </c>
      <c r="T26" s="350"/>
      <c r="U26" s="1729"/>
      <c r="V26" s="1885"/>
      <c r="W26" s="431"/>
      <c r="X26" s="431"/>
      <c r="Y26" s="431"/>
      <c r="Z26" s="431"/>
      <c r="AA26" s="431"/>
      <c r="AB26" s="431"/>
      <c r="AC26" s="431"/>
      <c r="AD26" s="431"/>
    </row>
    <row r="27" spans="1:30" s="514" customFormat="1" ht="12.75" customHeight="1">
      <c r="A27" s="1671">
        <f t="shared" si="7"/>
        <v>19</v>
      </c>
      <c r="B27" s="1959" t="e" vm="19">
        <v>#VALUE!</v>
      </c>
      <c r="C27" s="1960" t="s">
        <v>682</v>
      </c>
      <c r="D27" s="1961">
        <v>37</v>
      </c>
      <c r="E27" s="565">
        <v>116.39</v>
      </c>
      <c r="F27" s="1962">
        <f t="shared" si="0"/>
        <v>4306.43</v>
      </c>
      <c r="G27" s="569">
        <f>F27/$F$88</f>
        <v>1.5085154656437156E-2</v>
      </c>
      <c r="H27" s="1961"/>
      <c r="I27" s="1961">
        <v>30</v>
      </c>
      <c r="J27" s="565" cm="1">
        <f t="array" ref="J27">_FV(B27,"Price")</f>
        <v>150.86000000000001</v>
      </c>
      <c r="K27" s="1964">
        <f t="shared" si="1"/>
        <v>4525.8</v>
      </c>
      <c r="L27" s="1965">
        <f t="shared" si="2"/>
        <v>1.242511587632647E-2</v>
      </c>
      <c r="M27" s="1966">
        <f t="shared" si="3"/>
        <v>0.29615946387146674</v>
      </c>
      <c r="N27" s="1314">
        <f t="shared" si="4"/>
        <v>2.0004375555231437</v>
      </c>
      <c r="O27" s="1958">
        <v>1508.38</v>
      </c>
      <c r="P27" s="1932">
        <v>68</v>
      </c>
      <c r="Q27" s="1967">
        <v>44494</v>
      </c>
      <c r="R27" s="1316" t="str">
        <f t="shared" ca="1" si="5"/>
        <v>2 years</v>
      </c>
      <c r="S27" s="1968" t="str">
        <f t="shared" ca="1" si="6"/>
        <v>1 months</v>
      </c>
      <c r="T27" s="565"/>
      <c r="U27" s="1969"/>
      <c r="V27" s="1970"/>
      <c r="W27" s="1971"/>
      <c r="X27" s="1971"/>
      <c r="Y27" s="1971"/>
      <c r="Z27" s="1971"/>
      <c r="AA27" s="1971"/>
      <c r="AB27" s="1971"/>
      <c r="AC27" s="1971"/>
      <c r="AD27" s="1971"/>
    </row>
    <row r="28" spans="1:30" ht="12.75" customHeight="1">
      <c r="A28" s="1671">
        <f t="shared" si="7"/>
        <v>20</v>
      </c>
      <c r="B28" s="126" t="e" vm="20">
        <v>#VALUE!</v>
      </c>
      <c r="C28" s="362" t="s">
        <v>552</v>
      </c>
      <c r="D28" s="363">
        <v>7</v>
      </c>
      <c r="E28" s="350">
        <v>337.97</v>
      </c>
      <c r="F28" s="352">
        <f t="shared" si="0"/>
        <v>2365.79</v>
      </c>
      <c r="G28" s="357">
        <f>F28/$F$88</f>
        <v>8.28721424350389E-3</v>
      </c>
      <c r="H28" s="363"/>
      <c r="I28" s="363">
        <v>7</v>
      </c>
      <c r="J28" s="350" cm="1">
        <f t="array" ref="J28">_FV(B28,"Price")</f>
        <v>493.21</v>
      </c>
      <c r="K28" s="1760">
        <f t="shared" si="1"/>
        <v>3452.47</v>
      </c>
      <c r="L28" s="1796">
        <f t="shared" si="2"/>
        <v>9.4783993569183007E-3</v>
      </c>
      <c r="M28" s="355">
        <f t="shared" si="3"/>
        <v>0.45933070982631574</v>
      </c>
      <c r="N28" s="356">
        <f t="shared" si="4"/>
        <v>1.3439470986401252</v>
      </c>
      <c r="O28" s="1495">
        <v>1472.93</v>
      </c>
      <c r="P28" s="1720">
        <v>210.42</v>
      </c>
      <c r="Q28" s="1582">
        <v>43060</v>
      </c>
      <c r="R28" s="351" t="str">
        <f t="shared" ca="1" si="5"/>
        <v>6 years</v>
      </c>
      <c r="S28" s="891" t="str">
        <f t="shared" ca="1" si="6"/>
        <v>0 months</v>
      </c>
      <c r="T28" s="350"/>
      <c r="U28" s="1729"/>
      <c r="V28" s="1885"/>
      <c r="W28" s="431"/>
      <c r="X28" s="431"/>
      <c r="Y28" s="431"/>
      <c r="Z28" s="431"/>
      <c r="AA28" s="431"/>
      <c r="AB28" s="431"/>
      <c r="AC28" s="431"/>
      <c r="AD28" s="431"/>
    </row>
    <row r="29" spans="1:30" ht="12.75" customHeight="1">
      <c r="A29" s="1671">
        <f t="shared" si="7"/>
        <v>21</v>
      </c>
      <c r="B29" s="374" t="e" vm="21">
        <v>#VALUE!</v>
      </c>
      <c r="C29" s="375" t="s">
        <v>728</v>
      </c>
      <c r="D29" s="351">
        <v>17</v>
      </c>
      <c r="E29" s="350">
        <v>120.34</v>
      </c>
      <c r="F29" s="352">
        <f t="shared" si="0"/>
        <v>2045.78</v>
      </c>
      <c r="G29" s="357">
        <f>F29/$F$88</f>
        <v>7.1662392499230228E-3</v>
      </c>
      <c r="H29" s="351"/>
      <c r="I29" s="351">
        <f>17+18</f>
        <v>35</v>
      </c>
      <c r="J29" s="350" cm="1">
        <f t="array" ref="J29">_FV(B29,"Price")</f>
        <v>333.17</v>
      </c>
      <c r="K29" s="1760">
        <f t="shared" si="1"/>
        <v>11660.95</v>
      </c>
      <c r="L29" s="1796">
        <f t="shared" si="2"/>
        <v>3.2013932338602932E-2</v>
      </c>
      <c r="M29" s="355">
        <f t="shared" si="3"/>
        <v>1.7685723782615923</v>
      </c>
      <c r="N29" s="356">
        <f>(J29-P29)/P29</f>
        <v>1.2517572316842389</v>
      </c>
      <c r="O29" s="1958">
        <v>8438.7199999999993</v>
      </c>
      <c r="P29" s="1720">
        <v>147.96</v>
      </c>
      <c r="Q29" s="1582">
        <v>42852</v>
      </c>
      <c r="R29" s="351" t="str">
        <f ca="1">DATEDIF(Q29,$I$6,"y")&amp;" years"</f>
        <v>6 years</v>
      </c>
      <c r="S29" s="891" t="str">
        <f ca="1">DATEDIF(Q29,$I$6,"ym")&amp;" months"</f>
        <v>7 months</v>
      </c>
      <c r="T29" s="350"/>
      <c r="U29" s="1729"/>
      <c r="V29" s="1885"/>
      <c r="W29" s="431"/>
      <c r="X29" s="431"/>
      <c r="Y29" s="431"/>
      <c r="Z29" s="431"/>
      <c r="AA29" s="431"/>
      <c r="AB29" s="431"/>
      <c r="AC29" s="431"/>
      <c r="AD29" s="431"/>
    </row>
    <row r="30" spans="1:30" ht="12.75" customHeight="1">
      <c r="A30" s="1671">
        <f t="shared" si="7"/>
        <v>22</v>
      </c>
      <c r="B30" s="374" t="e" vm="22">
        <v>#VALUE!</v>
      </c>
      <c r="C30" s="362" t="s">
        <v>41</v>
      </c>
      <c r="D30" s="363">
        <v>75</v>
      </c>
      <c r="E30" s="350">
        <v>239.82</v>
      </c>
      <c r="F30" s="352">
        <f t="shared" si="0"/>
        <v>17986.5</v>
      </c>
      <c r="G30" s="357">
        <f>F30/$F$88</f>
        <v>6.3005583331902967E-2</v>
      </c>
      <c r="H30" s="363"/>
      <c r="I30" s="363">
        <f>75+10</f>
        <v>85</v>
      </c>
      <c r="J30" s="350" cm="1">
        <f t="array" ref="J30">_FV(B30,"Price")</f>
        <v>365.93</v>
      </c>
      <c r="K30" s="1760">
        <f t="shared" si="1"/>
        <v>31104.05</v>
      </c>
      <c r="L30" s="1796">
        <f t="shared" si="2"/>
        <v>8.5392952731683305E-2</v>
      </c>
      <c r="M30" s="355">
        <f t="shared" si="3"/>
        <v>0.52585272287549001</v>
      </c>
      <c r="N30" s="356">
        <f t="shared" si="4"/>
        <v>15.291922667965659</v>
      </c>
      <c r="O30" s="1495">
        <v>1909.17</v>
      </c>
      <c r="P30" s="1720">
        <v>25.46</v>
      </c>
      <c r="Q30" s="1582">
        <v>38407</v>
      </c>
      <c r="R30" s="351" t="str">
        <f t="shared" ca="1" si="5"/>
        <v>18 years</v>
      </c>
      <c r="S30" s="891" t="str">
        <f t="shared" ca="1" si="6"/>
        <v>9 months</v>
      </c>
      <c r="T30" s="350"/>
      <c r="U30" s="1729"/>
      <c r="V30" s="1885"/>
      <c r="W30" s="431"/>
      <c r="X30" s="431"/>
      <c r="Y30" s="431"/>
      <c r="Z30" s="431"/>
      <c r="AA30" s="431"/>
      <c r="AB30" s="431"/>
      <c r="AC30" s="431"/>
      <c r="AD30" s="431"/>
    </row>
    <row r="31" spans="1:30" ht="12.75" customHeight="1">
      <c r="A31" s="1671">
        <f t="shared" si="7"/>
        <v>23</v>
      </c>
      <c r="B31" s="361" t="e" vm="23">
        <v>#VALUE!</v>
      </c>
      <c r="C31" s="362" t="s">
        <v>757</v>
      </c>
      <c r="D31" s="363"/>
      <c r="E31" s="350"/>
      <c r="F31" s="352"/>
      <c r="G31" s="357"/>
      <c r="H31" s="363"/>
      <c r="I31" s="363">
        <v>35</v>
      </c>
      <c r="J31" s="350" cm="1">
        <f t="array" ref="J31">_FV(B31,"Price")</f>
        <v>62.77</v>
      </c>
      <c r="K31" s="1760">
        <f t="shared" si="1"/>
        <v>2196.9500000000003</v>
      </c>
      <c r="L31" s="1796">
        <f t="shared" si="2"/>
        <v>6.0314990332085905E-3</v>
      </c>
      <c r="M31" s="355"/>
      <c r="N31" s="356">
        <f t="shared" si="4"/>
        <v>-0.18246939307111223</v>
      </c>
      <c r="O31" s="1495">
        <v>2687.3</v>
      </c>
      <c r="P31" s="1720">
        <v>76.78</v>
      </c>
      <c r="Q31" s="1582">
        <v>45042</v>
      </c>
      <c r="R31" s="351" t="str">
        <f t="shared" ca="1" si="5"/>
        <v>0 years</v>
      </c>
      <c r="S31" s="891" t="str">
        <f t="shared" ca="1" si="6"/>
        <v>7 months</v>
      </c>
      <c r="T31" s="350"/>
      <c r="U31" s="1729"/>
      <c r="V31" s="1885"/>
      <c r="W31" s="431"/>
      <c r="X31" s="431"/>
      <c r="Y31" s="431"/>
      <c r="Z31" s="431"/>
      <c r="AA31" s="431"/>
      <c r="AB31" s="431"/>
      <c r="AC31" s="431"/>
      <c r="AD31" s="431"/>
    </row>
    <row r="32" spans="1:30" ht="12.75" customHeight="1">
      <c r="A32" s="1671">
        <f t="shared" si="7"/>
        <v>24</v>
      </c>
      <c r="B32" s="361" t="e" vm="24">
        <v>#VALUE!</v>
      </c>
      <c r="C32" s="362" t="s">
        <v>194</v>
      </c>
      <c r="D32" s="363">
        <v>100</v>
      </c>
      <c r="E32" s="350">
        <v>146.13999999999999</v>
      </c>
      <c r="F32" s="352">
        <f t="shared" si="0"/>
        <v>14613.999999999998</v>
      </c>
      <c r="G32" s="357">
        <f>F32/$F$88</f>
        <v>5.1191926990377772E-2</v>
      </c>
      <c r="H32" s="363"/>
      <c r="I32" s="363">
        <v>75</v>
      </c>
      <c r="J32" s="350" cm="1">
        <f t="array" ref="J32">_FV(B32,"Price")</f>
        <v>483.5</v>
      </c>
      <c r="K32" s="1760">
        <f t="shared" si="1"/>
        <v>36262.5</v>
      </c>
      <c r="L32" s="1796">
        <f t="shared" si="2"/>
        <v>9.9554943759178172E-2</v>
      </c>
      <c r="M32" s="355">
        <f t="shared" si="3"/>
        <v>2.3084713288627348</v>
      </c>
      <c r="N32" s="356">
        <v>6.63838550247117</v>
      </c>
      <c r="O32" s="1495">
        <v>3642.21</v>
      </c>
      <c r="P32" s="1720">
        <v>48.56</v>
      </c>
      <c r="Q32" s="1582">
        <v>43746</v>
      </c>
      <c r="R32" s="351" t="str">
        <f t="shared" ca="1" si="5"/>
        <v>4 years</v>
      </c>
      <c r="S32" s="891" t="str">
        <f t="shared" ca="1" si="6"/>
        <v>2 months</v>
      </c>
      <c r="T32" s="350"/>
      <c r="U32" s="1729"/>
      <c r="V32" s="1885"/>
      <c r="W32" s="431"/>
      <c r="X32" s="431"/>
      <c r="Y32" s="431"/>
      <c r="Z32" s="431"/>
      <c r="AA32" s="431"/>
      <c r="AB32" s="431"/>
      <c r="AC32" s="431"/>
      <c r="AD32" s="431"/>
    </row>
    <row r="33" spans="1:30" ht="12.75" customHeight="1">
      <c r="A33" s="1671">
        <f t="shared" si="7"/>
        <v>25</v>
      </c>
      <c r="B33" s="374" t="e" vm="25">
        <v>#VALUE!</v>
      </c>
      <c r="C33" s="362" t="s">
        <v>257</v>
      </c>
      <c r="D33" s="363">
        <v>60</v>
      </c>
      <c r="E33" s="350">
        <v>151.56</v>
      </c>
      <c r="F33" s="352">
        <f t="shared" si="0"/>
        <v>9093.6</v>
      </c>
      <c r="G33" s="357">
        <f>F33/$F$88</f>
        <v>3.1854311432852021E-2</v>
      </c>
      <c r="H33" s="363"/>
      <c r="I33" s="363">
        <v>60</v>
      </c>
      <c r="J33" s="350" cm="1">
        <f t="array" ref="J33">_FV(B33,"Price")</f>
        <v>144.66999999999999</v>
      </c>
      <c r="K33" s="1760">
        <f t="shared" si="1"/>
        <v>8680.1999999999989</v>
      </c>
      <c r="L33" s="1796">
        <f t="shared" si="2"/>
        <v>2.383059146000464E-2</v>
      </c>
      <c r="M33" s="355">
        <f t="shared" si="3"/>
        <v>-4.546054367907109E-2</v>
      </c>
      <c r="N33" s="356">
        <f t="shared" si="4"/>
        <v>0.89953278697493233</v>
      </c>
      <c r="O33" s="1495">
        <v>4569.6499999999996</v>
      </c>
      <c r="P33" s="1720">
        <v>76.16</v>
      </c>
      <c r="Q33" s="1582">
        <v>40127</v>
      </c>
      <c r="R33" s="351" t="str">
        <f t="shared" ca="1" si="5"/>
        <v>14 years</v>
      </c>
      <c r="S33" s="891" t="str">
        <f t="shared" ca="1" si="6"/>
        <v>1 months</v>
      </c>
      <c r="T33" s="350"/>
      <c r="U33" s="1729"/>
      <c r="V33" s="1885"/>
      <c r="W33" s="431"/>
      <c r="X33" s="431"/>
      <c r="Y33" s="431"/>
      <c r="Z33" s="431"/>
      <c r="AA33" s="431"/>
      <c r="AB33" s="431"/>
      <c r="AC33" s="431"/>
      <c r="AD33" s="431"/>
    </row>
    <row r="34" spans="1:30" ht="12.75" customHeight="1">
      <c r="A34" s="1671">
        <f t="shared" si="7"/>
        <v>26</v>
      </c>
      <c r="B34" s="374" t="e" vm="26">
        <v>#VALUE!</v>
      </c>
      <c r="C34" s="362" t="s">
        <v>80</v>
      </c>
      <c r="D34" s="363">
        <v>60</v>
      </c>
      <c r="E34" s="350">
        <v>61.27</v>
      </c>
      <c r="F34" s="352">
        <f t="shared" si="0"/>
        <v>3676.2000000000003</v>
      </c>
      <c r="G34" s="357">
        <f>F34/$F$88</f>
        <v>1.2877498426305379E-2</v>
      </c>
      <c r="H34" s="363"/>
      <c r="I34" s="363">
        <v>60</v>
      </c>
      <c r="J34" s="350" cm="1">
        <f t="array" ref="J34">_FV(B34,"Price")</f>
        <v>63</v>
      </c>
      <c r="K34" s="1760">
        <f t="shared" si="1"/>
        <v>3780</v>
      </c>
      <c r="L34" s="1796">
        <f t="shared" si="2"/>
        <v>1.037759910126697E-2</v>
      </c>
      <c r="M34" s="355">
        <f t="shared" si="3"/>
        <v>2.8235678145911488E-2</v>
      </c>
      <c r="N34" s="356">
        <f t="shared" si="4"/>
        <v>0.89893448676020682</v>
      </c>
      <c r="O34" s="1495">
        <v>1990.59</v>
      </c>
      <c r="P34" s="1720">
        <v>33.18</v>
      </c>
      <c r="Q34" s="1582">
        <v>41605</v>
      </c>
      <c r="R34" s="351" t="str">
        <f t="shared" ca="1" si="5"/>
        <v>10 years</v>
      </c>
      <c r="S34" s="891" t="str">
        <f t="shared" ca="1" si="6"/>
        <v>0 months</v>
      </c>
      <c r="T34" s="350"/>
      <c r="U34" s="1729"/>
      <c r="V34" s="1885"/>
      <c r="W34" s="431"/>
      <c r="X34" s="431"/>
      <c r="Y34" s="431"/>
      <c r="Z34" s="431"/>
      <c r="AA34" s="431"/>
      <c r="AB34" s="431"/>
      <c r="AC34" s="431"/>
      <c r="AD34" s="431"/>
    </row>
    <row r="35" spans="1:30" ht="12.75" customHeight="1">
      <c r="A35" s="1671">
        <f t="shared" si="7"/>
        <v>27</v>
      </c>
      <c r="B35" s="374" t="e" vm="27">
        <v>#VALUE!</v>
      </c>
      <c r="C35" s="362" t="s">
        <v>732</v>
      </c>
      <c r="D35" s="363">
        <v>12</v>
      </c>
      <c r="E35" s="350">
        <v>257.57</v>
      </c>
      <c r="F35" s="352">
        <f t="shared" si="0"/>
        <v>3090.84</v>
      </c>
      <c r="G35" s="357">
        <f>F35/$F$88</f>
        <v>1.082701899677975E-2</v>
      </c>
      <c r="H35" s="363"/>
      <c r="I35" s="363">
        <v>12</v>
      </c>
      <c r="J35" s="350" cm="1">
        <f t="array" ref="J35">_FV(B35,"Price")</f>
        <v>306.88</v>
      </c>
      <c r="K35" s="1760">
        <f t="shared" si="1"/>
        <v>3682.56</v>
      </c>
      <c r="L35" s="1796">
        <f t="shared" si="2"/>
        <v>1.0110087657767644E-2</v>
      </c>
      <c r="M35" s="355">
        <f t="shared" si="3"/>
        <v>0.19144310284582833</v>
      </c>
      <c r="N35" s="356">
        <f t="shared" si="4"/>
        <v>0.11885664284672591</v>
      </c>
      <c r="O35" s="1495">
        <v>3291.36</v>
      </c>
      <c r="P35" s="1720">
        <v>274.27999999999997</v>
      </c>
      <c r="Q35" s="1582">
        <v>44642</v>
      </c>
      <c r="R35" s="351" t="str">
        <f t="shared" ca="1" si="5"/>
        <v>1 years</v>
      </c>
      <c r="S35" s="891" t="str">
        <f t="shared" ca="1" si="6"/>
        <v>8 months</v>
      </c>
      <c r="T35" s="350"/>
      <c r="U35" s="1729"/>
      <c r="V35" s="1885"/>
      <c r="W35" s="431"/>
      <c r="X35" s="431"/>
      <c r="Y35" s="431"/>
      <c r="Z35" s="431"/>
      <c r="AA35" s="431"/>
      <c r="AB35" s="431"/>
      <c r="AC35" s="431"/>
      <c r="AD35" s="431"/>
    </row>
    <row r="36" spans="1:30" ht="12.75" customHeight="1">
      <c r="A36" s="1671">
        <f t="shared" si="7"/>
        <v>28</v>
      </c>
      <c r="B36" s="374" t="e" vm="28">
        <v>#VALUE!</v>
      </c>
      <c r="C36" s="362" t="s">
        <v>660</v>
      </c>
      <c r="D36" s="363">
        <v>6</v>
      </c>
      <c r="E36" s="350">
        <v>432.09</v>
      </c>
      <c r="F36" s="352">
        <f t="shared" si="0"/>
        <v>2592.54</v>
      </c>
      <c r="G36" s="357">
        <f>F36/$F$88</f>
        <v>9.0815052962661836E-3</v>
      </c>
      <c r="H36" s="363"/>
      <c r="I36" s="363">
        <v>6</v>
      </c>
      <c r="J36" s="350" cm="1">
        <f t="array" ref="J36">_FV(B36,"Price")</f>
        <v>538.83000000000004</v>
      </c>
      <c r="K36" s="1760">
        <f t="shared" si="1"/>
        <v>3232.9800000000005</v>
      </c>
      <c r="L36" s="1796">
        <f t="shared" si="2"/>
        <v>8.875812259897909E-3</v>
      </c>
      <c r="M36" s="355">
        <f t="shared" si="3"/>
        <v>0.24703186836075836</v>
      </c>
      <c r="N36" s="356">
        <f t="shared" si="4"/>
        <v>0.37002288329519462</v>
      </c>
      <c r="O36" s="1495">
        <v>2359.8000000000002</v>
      </c>
      <c r="P36" s="1720">
        <v>393.3</v>
      </c>
      <c r="Q36" s="1582">
        <v>44148</v>
      </c>
      <c r="R36" s="351" t="str">
        <f t="shared" ca="1" si="5"/>
        <v>3 years</v>
      </c>
      <c r="S36" s="891" t="str">
        <f t="shared" ca="1" si="6"/>
        <v>1 months</v>
      </c>
      <c r="T36" s="350"/>
      <c r="U36" s="1729"/>
      <c r="V36" s="1885"/>
      <c r="W36" s="431"/>
      <c r="X36" s="431"/>
      <c r="Y36" s="431"/>
      <c r="Z36" s="431"/>
      <c r="AA36" s="431"/>
      <c r="AB36" s="431"/>
      <c r="AC36" s="431"/>
      <c r="AD36" s="431"/>
    </row>
    <row r="37" spans="1:30" ht="12.75" customHeight="1">
      <c r="A37" s="1671">
        <f t="shared" si="7"/>
        <v>29</v>
      </c>
      <c r="B37" s="374" t="e" vm="29">
        <v>#VALUE!</v>
      </c>
      <c r="C37" s="362" t="s">
        <v>758</v>
      </c>
      <c r="D37" s="363"/>
      <c r="E37" s="350"/>
      <c r="F37" s="352"/>
      <c r="G37" s="357"/>
      <c r="H37" s="363"/>
      <c r="I37" s="363">
        <v>12</v>
      </c>
      <c r="J37" s="350" cm="1">
        <f t="array" ref="J37">_FV(B37,"Price")</f>
        <v>81.87</v>
      </c>
      <c r="K37" s="1760">
        <f>I37*J37</f>
        <v>982.44</v>
      </c>
      <c r="L37" s="1796">
        <f t="shared" si="2"/>
        <v>2.697187423557863E-3</v>
      </c>
      <c r="M37" s="355"/>
      <c r="N37" s="356">
        <f>(K37-O37)/O37</f>
        <v>-0.2146385917789822</v>
      </c>
      <c r="O37" s="1495">
        <v>1250.94</v>
      </c>
      <c r="P37" s="1720">
        <v>104.24</v>
      </c>
      <c r="Q37" s="1582">
        <v>45035</v>
      </c>
      <c r="R37" s="351" t="str">
        <f ca="1">DATEDIF(Q37,$I$6,"y")&amp;" years"</f>
        <v>0 years</v>
      </c>
      <c r="S37" s="891" t="str">
        <f ca="1">DATEDIF(Q37,$I$6,"ym")&amp;" months"</f>
        <v>7 months</v>
      </c>
      <c r="T37" s="350"/>
      <c r="U37" s="1729"/>
      <c r="V37" s="1885"/>
      <c r="W37" s="431"/>
      <c r="X37" s="431"/>
      <c r="Y37" s="431"/>
      <c r="Z37" s="431"/>
      <c r="AA37" s="431"/>
      <c r="AB37" s="431"/>
      <c r="AC37" s="431"/>
      <c r="AD37" s="431"/>
    </row>
    <row r="38" spans="1:30" ht="12.75" customHeight="1">
      <c r="A38" s="1671">
        <f t="shared" si="7"/>
        <v>30</v>
      </c>
      <c r="B38" s="374" t="e" vm="30">
        <v>#VALUE!</v>
      </c>
      <c r="C38" s="362" t="s">
        <v>1285</v>
      </c>
      <c r="D38" s="363"/>
      <c r="E38" s="350"/>
      <c r="F38" s="352"/>
      <c r="G38" s="357"/>
      <c r="H38" s="363"/>
      <c r="I38" s="363">
        <v>19</v>
      </c>
      <c r="J38" s="350" cm="1">
        <f t="array" ref="J38">_FV(B38,"Price")</f>
        <v>257.31</v>
      </c>
      <c r="K38" s="1760">
        <f>I38*J38</f>
        <v>4888.8900000000003</v>
      </c>
      <c r="L38" s="1796">
        <f t="shared" si="2"/>
        <v>1.3421941923331503E-2</v>
      </c>
      <c r="M38" s="355"/>
      <c r="N38" s="356">
        <f>(K38-O38)/O38</f>
        <v>2.3793419010862189E-2</v>
      </c>
      <c r="O38" s="1495">
        <f>Transactions!E21</f>
        <v>4775.2700000000004</v>
      </c>
      <c r="P38" s="1720">
        <v>251.33</v>
      </c>
      <c r="Q38" s="1582">
        <v>45268</v>
      </c>
      <c r="R38" s="351" t="str">
        <f ca="1">DATEDIF(Q38,$I$6,"y")&amp;" years"</f>
        <v>0 years</v>
      </c>
      <c r="S38" s="891" t="str">
        <f ca="1">DATEDIF(Q38,$I$6,"ym")&amp;" months"</f>
        <v>0 months</v>
      </c>
      <c r="T38" s="350"/>
      <c r="U38" s="1729"/>
      <c r="V38" s="1885"/>
      <c r="W38" s="431"/>
      <c r="X38" s="431"/>
      <c r="Y38" s="431"/>
      <c r="Z38" s="431"/>
      <c r="AA38" s="431"/>
      <c r="AB38" s="431"/>
      <c r="AC38" s="431"/>
      <c r="AD38" s="431"/>
    </row>
    <row r="39" spans="1:30" ht="12.75" customHeight="1">
      <c r="A39" s="1671">
        <f t="shared" si="7"/>
        <v>31</v>
      </c>
      <c r="B39" s="374" t="e" vm="31">
        <v>#VALUE!</v>
      </c>
      <c r="C39" s="362" t="s">
        <v>759</v>
      </c>
      <c r="D39" s="363"/>
      <c r="E39" s="350"/>
      <c r="F39" s="352"/>
      <c r="G39" s="357"/>
      <c r="H39" s="363"/>
      <c r="I39" s="363">
        <v>31</v>
      </c>
      <c r="J39" s="350" cm="1">
        <f t="array" ref="J39">_FV(B39,"Price")</f>
        <v>52.43</v>
      </c>
      <c r="K39" s="1760">
        <f t="shared" si="1"/>
        <v>1625.33</v>
      </c>
      <c r="L39" s="1796">
        <f t="shared" si="2"/>
        <v>4.4621754357836623E-3</v>
      </c>
      <c r="M39" s="355"/>
      <c r="N39" s="356">
        <f t="shared" si="4"/>
        <v>1.1815606810470955E-2</v>
      </c>
      <c r="O39" s="1495">
        <v>1606.35</v>
      </c>
      <c r="P39" s="1720">
        <v>51.82</v>
      </c>
      <c r="Q39" s="1582">
        <v>45034</v>
      </c>
      <c r="R39" s="351" t="str">
        <f t="shared" ca="1" si="5"/>
        <v>0 years</v>
      </c>
      <c r="S39" s="891" t="str">
        <f t="shared" ca="1" si="6"/>
        <v>7 months</v>
      </c>
      <c r="T39" s="350"/>
      <c r="U39" s="1729"/>
      <c r="V39" s="1885"/>
      <c r="W39" s="431"/>
      <c r="X39" s="431"/>
      <c r="Y39" s="431"/>
      <c r="Z39" s="431"/>
      <c r="AA39" s="431"/>
      <c r="AB39" s="431"/>
      <c r="AC39" s="431"/>
      <c r="AD39" s="431"/>
    </row>
    <row r="40" spans="1:30" ht="12.75" customHeight="1">
      <c r="A40" s="1671">
        <f t="shared" si="7"/>
        <v>32</v>
      </c>
      <c r="B40" s="374" t="e" vm="32">
        <v>#VALUE!</v>
      </c>
      <c r="C40" s="362" t="s">
        <v>760</v>
      </c>
      <c r="D40" s="363"/>
      <c r="E40" s="350"/>
      <c r="F40" s="352"/>
      <c r="G40" s="357"/>
      <c r="H40" s="363"/>
      <c r="I40" s="363">
        <v>40</v>
      </c>
      <c r="J40" s="350" cm="1">
        <f t="array" ref="J40">_FV(B40,"Price")</f>
        <v>26.93</v>
      </c>
      <c r="K40" s="1760">
        <f t="shared" si="1"/>
        <v>1077.2</v>
      </c>
      <c r="L40" s="1796">
        <f t="shared" si="2"/>
        <v>2.9573412042023231E-3</v>
      </c>
      <c r="M40" s="355"/>
      <c r="N40" s="356">
        <f t="shared" si="4"/>
        <v>-0.18956943054688266</v>
      </c>
      <c r="O40" s="1495">
        <v>1329.17</v>
      </c>
      <c r="P40" s="1720">
        <v>33.229999999999997</v>
      </c>
      <c r="Q40" s="1582">
        <v>45002</v>
      </c>
      <c r="R40" s="351" t="str">
        <f t="shared" ca="1" si="5"/>
        <v>0 years</v>
      </c>
      <c r="S40" s="891" t="str">
        <f t="shared" ca="1" si="6"/>
        <v>8 months</v>
      </c>
      <c r="T40" s="350"/>
      <c r="U40" s="1729"/>
      <c r="V40" s="1885"/>
      <c r="W40" s="431"/>
      <c r="X40" s="431"/>
      <c r="Y40" s="431"/>
      <c r="Z40" s="431"/>
      <c r="AA40" s="431"/>
      <c r="AB40" s="431"/>
      <c r="AC40" s="431"/>
      <c r="AD40" s="431"/>
    </row>
    <row r="41" spans="1:30" ht="12.75" customHeight="1">
      <c r="A41" s="1671">
        <f t="shared" si="7"/>
        <v>33</v>
      </c>
      <c r="B41" s="361" t="e" vm="33">
        <v>#VALUE!</v>
      </c>
      <c r="C41" s="362" t="s">
        <v>1283</v>
      </c>
      <c r="D41" s="363"/>
      <c r="E41" s="350"/>
      <c r="F41" s="352"/>
      <c r="G41" s="357"/>
      <c r="H41" s="363"/>
      <c r="I41" s="363">
        <v>101</v>
      </c>
      <c r="J41" s="350" cm="1">
        <f t="array" ref="J41">_FV(B41,"Price")</f>
        <v>45.215000000000003</v>
      </c>
      <c r="K41" s="1760">
        <f t="shared" si="1"/>
        <v>4566.7150000000001</v>
      </c>
      <c r="L41" s="1796">
        <f t="shared" si="2"/>
        <v>1.2537443777709628E-2</v>
      </c>
      <c r="M41" s="355"/>
      <c r="N41" s="356">
        <f t="shared" si="4"/>
        <v>6.7913604987753931E-3</v>
      </c>
      <c r="O41" s="1495">
        <f>Transactions!E15</f>
        <v>4535.91</v>
      </c>
      <c r="P41" s="1720">
        <f>Transactions!C15</f>
        <v>44.91</v>
      </c>
      <c r="Q41" s="1582">
        <v>45268</v>
      </c>
      <c r="R41" s="351" t="str">
        <f t="shared" ca="1" si="5"/>
        <v>0 years</v>
      </c>
      <c r="S41" s="891" t="str">
        <f t="shared" ca="1" si="6"/>
        <v>0 months</v>
      </c>
      <c r="T41" s="350"/>
      <c r="U41" s="1729"/>
      <c r="V41" s="1885"/>
      <c r="W41" s="431"/>
      <c r="X41" s="431"/>
      <c r="Y41" s="431"/>
      <c r="Z41" s="431"/>
      <c r="AA41" s="431"/>
      <c r="AB41" s="431"/>
      <c r="AC41" s="431"/>
      <c r="AD41" s="431"/>
    </row>
    <row r="42" spans="1:30" ht="12.75" customHeight="1">
      <c r="A42" s="1671">
        <f t="shared" si="7"/>
        <v>34</v>
      </c>
      <c r="B42" s="361" t="e" vm="34">
        <v>#VALUE!</v>
      </c>
      <c r="C42" s="362" t="s">
        <v>761</v>
      </c>
      <c r="D42" s="363"/>
      <c r="E42" s="350"/>
      <c r="F42" s="352"/>
      <c r="G42" s="357"/>
      <c r="H42" s="363"/>
      <c r="I42" s="363">
        <v>25</v>
      </c>
      <c r="J42" s="350" cm="1">
        <f t="array" ref="J42">_FV(B42,"Price")</f>
        <v>125.35</v>
      </c>
      <c r="K42" s="1760">
        <f>I42*J42</f>
        <v>3133.75</v>
      </c>
      <c r="L42" s="1796">
        <f t="shared" si="2"/>
        <v>8.6033865565067116E-3</v>
      </c>
      <c r="M42" s="355"/>
      <c r="N42" s="1884">
        <f>(K42-O42)/O42</f>
        <v>-0.17380701291853415</v>
      </c>
      <c r="O42" s="1495">
        <v>3793</v>
      </c>
      <c r="P42" s="1720">
        <v>151.72</v>
      </c>
      <c r="Q42" s="1582">
        <v>45002</v>
      </c>
      <c r="R42" s="351" t="str">
        <f ca="1">DATEDIF(Q42,$I$6,"y")&amp;" years"</f>
        <v>0 years</v>
      </c>
      <c r="S42" s="891" t="str">
        <f ca="1">DATEDIF(Q42,$I$6,"ym")&amp;" months"</f>
        <v>8 months</v>
      </c>
      <c r="T42" s="350"/>
      <c r="U42" s="1729"/>
      <c r="V42" s="1885"/>
      <c r="W42" s="431"/>
      <c r="X42" s="431"/>
      <c r="Y42" s="431"/>
      <c r="Z42" s="431"/>
      <c r="AA42" s="431"/>
      <c r="AB42" s="431"/>
      <c r="AC42" s="431"/>
      <c r="AD42" s="431"/>
    </row>
    <row r="43" spans="1:30" ht="12.75" customHeight="1">
      <c r="A43" s="1671">
        <f t="shared" si="7"/>
        <v>35</v>
      </c>
      <c r="B43" s="374" t="e" vm="35">
        <v>#VALUE!</v>
      </c>
      <c r="C43" s="362" t="s">
        <v>684</v>
      </c>
      <c r="D43" s="363">
        <v>35</v>
      </c>
      <c r="E43" s="350">
        <v>140</v>
      </c>
      <c r="F43" s="352">
        <f t="shared" si="0"/>
        <v>4900</v>
      </c>
      <c r="G43" s="357">
        <f>F43/$F$88</f>
        <v>1.7164393201919467E-2</v>
      </c>
      <c r="H43" s="363"/>
      <c r="I43" s="363">
        <v>35</v>
      </c>
      <c r="J43" s="350" cm="1">
        <f t="array" ref="J43">_FV(B43,"Price")</f>
        <v>156.87</v>
      </c>
      <c r="K43" s="1760">
        <f t="shared" si="1"/>
        <v>5490.45</v>
      </c>
      <c r="L43" s="1796">
        <f t="shared" si="2"/>
        <v>1.5073462694590273E-2</v>
      </c>
      <c r="M43" s="355">
        <f t="shared" ref="M43:M48" si="9">(J43-E43)/E43</f>
        <v>0.12050000000000004</v>
      </c>
      <c r="N43" s="356">
        <f t="shared" si="4"/>
        <v>0.35</v>
      </c>
      <c r="O43" s="1495">
        <v>4067</v>
      </c>
      <c r="P43" s="1720">
        <v>116.2</v>
      </c>
      <c r="Q43" s="1582">
        <v>44494</v>
      </c>
      <c r="R43" s="351" t="str">
        <f t="shared" ca="1" si="5"/>
        <v>2 years</v>
      </c>
      <c r="S43" s="891" t="str">
        <f t="shared" ca="1" si="6"/>
        <v>1 months</v>
      </c>
      <c r="T43" s="350"/>
      <c r="U43" s="1729"/>
      <c r="V43" s="1885"/>
      <c r="W43" s="431"/>
      <c r="X43" s="431"/>
      <c r="Y43" s="431"/>
      <c r="Z43" s="431"/>
      <c r="AA43" s="431"/>
      <c r="AB43" s="431"/>
      <c r="AC43" s="431"/>
      <c r="AD43" s="431"/>
    </row>
    <row r="44" spans="1:30" ht="12.75" customHeight="1">
      <c r="A44" s="1671">
        <f t="shared" si="7"/>
        <v>36</v>
      </c>
      <c r="B44" s="374" t="e" vm="36">
        <v>#VALUE!</v>
      </c>
      <c r="C44" s="362" t="s">
        <v>686</v>
      </c>
      <c r="D44" s="363">
        <v>30</v>
      </c>
      <c r="E44" s="350">
        <v>74.489999999999995</v>
      </c>
      <c r="F44" s="352">
        <f t="shared" si="0"/>
        <v>2234.6999999999998</v>
      </c>
      <c r="G44" s="357">
        <f>F44/$F$88</f>
        <v>7.8280141812917207E-3</v>
      </c>
      <c r="H44" s="363"/>
      <c r="I44" s="363">
        <v>30</v>
      </c>
      <c r="J44" s="350" cm="1">
        <f t="array" ref="J44">_FV(B44,"Price")</f>
        <v>103.44</v>
      </c>
      <c r="K44" s="1760">
        <f t="shared" si="1"/>
        <v>3103.2</v>
      </c>
      <c r="L44" s="1796">
        <f t="shared" si="2"/>
        <v>8.5195146907544074E-3</v>
      </c>
      <c r="M44" s="355">
        <f t="shared" si="9"/>
        <v>0.38864277084172377</v>
      </c>
      <c r="N44" s="356">
        <f t="shared" si="4"/>
        <v>-0.10071723538361231</v>
      </c>
      <c r="O44" s="1495">
        <v>3450.75</v>
      </c>
      <c r="P44" s="1720">
        <v>115.03</v>
      </c>
      <c r="Q44" s="1582">
        <v>44308</v>
      </c>
      <c r="R44" s="351" t="str">
        <f t="shared" ca="1" si="5"/>
        <v>2 years</v>
      </c>
      <c r="S44" s="891" t="str">
        <f t="shared" ca="1" si="6"/>
        <v>7 months</v>
      </c>
      <c r="T44" s="350"/>
      <c r="U44" s="1729"/>
      <c r="V44" s="1885"/>
      <c r="W44" s="431"/>
      <c r="X44" s="431"/>
      <c r="Y44" s="431"/>
      <c r="Z44" s="431"/>
      <c r="AA44" s="431"/>
      <c r="AB44" s="431"/>
      <c r="AC44" s="431"/>
      <c r="AD44" s="431"/>
    </row>
    <row r="45" spans="1:30" ht="12.75" customHeight="1">
      <c r="A45" s="1671">
        <f t="shared" si="7"/>
        <v>37</v>
      </c>
      <c r="B45" s="374" t="e" vm="37">
        <v>#VALUE!</v>
      </c>
      <c r="C45" s="362" t="s">
        <v>124</v>
      </c>
      <c r="D45" s="363">
        <v>43</v>
      </c>
      <c r="E45" s="350">
        <v>79.599999999999994</v>
      </c>
      <c r="F45" s="352">
        <f t="shared" si="0"/>
        <v>3422.7999999999997</v>
      </c>
      <c r="G45" s="357">
        <f>F45/$F$88</f>
        <v>1.198985409214897E-2</v>
      </c>
      <c r="H45" s="363"/>
      <c r="I45" s="363">
        <v>43</v>
      </c>
      <c r="J45" s="350" cm="1">
        <f t="array" ref="J45">_FV(B45,"Price")</f>
        <v>89.95</v>
      </c>
      <c r="K45" s="1760">
        <f t="shared" si="1"/>
        <v>3867.85</v>
      </c>
      <c r="L45" s="1796">
        <f t="shared" si="2"/>
        <v>1.061878219149086E-2</v>
      </c>
      <c r="M45" s="355">
        <f t="shared" si="9"/>
        <v>0.13002512562814081</v>
      </c>
      <c r="N45" s="356">
        <f t="shared" si="4"/>
        <v>0.64874208206518491</v>
      </c>
      <c r="O45" s="1495">
        <v>2345.94</v>
      </c>
      <c r="P45" s="1720">
        <v>54.56</v>
      </c>
      <c r="Q45" s="1582">
        <v>43577</v>
      </c>
      <c r="R45" s="351" t="str">
        <f t="shared" ca="1" si="5"/>
        <v>4 years</v>
      </c>
      <c r="S45" s="891" t="str">
        <f t="shared" ca="1" si="6"/>
        <v>7 months</v>
      </c>
      <c r="T45" s="350"/>
      <c r="U45" s="1729"/>
      <c r="V45" s="1885"/>
      <c r="W45" s="431"/>
      <c r="X45" s="431"/>
      <c r="Y45" s="431"/>
      <c r="Z45" s="431"/>
      <c r="AA45" s="431"/>
      <c r="AB45" s="431"/>
      <c r="AC45" s="431"/>
      <c r="AD45" s="431"/>
    </row>
    <row r="46" spans="1:30" ht="12.75" customHeight="1">
      <c r="A46" s="1671">
        <f t="shared" si="7"/>
        <v>38</v>
      </c>
      <c r="B46" s="374" t="e" vm="38">
        <v>#VALUE!</v>
      </c>
      <c r="C46" s="362" t="s">
        <v>173</v>
      </c>
      <c r="D46" s="363">
        <v>40</v>
      </c>
      <c r="E46" s="350">
        <v>530.17999999999995</v>
      </c>
      <c r="F46" s="352">
        <f t="shared" si="0"/>
        <v>21207.199999999997</v>
      </c>
      <c r="G46" s="357">
        <f>F46/$F$88</f>
        <v>7.4287493777907457E-2</v>
      </c>
      <c r="H46" s="363"/>
      <c r="I46" s="363">
        <f>40+10</f>
        <v>50</v>
      </c>
      <c r="J46" s="350" cm="1">
        <f t="array" ref="J46">_FV(B46,"Price")</f>
        <v>534.51</v>
      </c>
      <c r="K46" s="1760">
        <f t="shared" si="1"/>
        <v>26725.5</v>
      </c>
      <c r="L46" s="1796">
        <f t="shared" si="2"/>
        <v>7.3372096502886355E-2</v>
      </c>
      <c r="M46" s="355">
        <f t="shared" si="9"/>
        <v>8.1670376098684251E-3</v>
      </c>
      <c r="N46" s="356">
        <f>(J46-P46)/P46</f>
        <v>8.1088957055214728</v>
      </c>
      <c r="O46" s="1495">
        <v>7825.22</v>
      </c>
      <c r="P46" s="1720">
        <v>58.68</v>
      </c>
      <c r="Q46" s="1582">
        <v>41025</v>
      </c>
      <c r="R46" s="351" t="str">
        <f ca="1">DATEDIF(Q46,$I$6,"y")&amp;" years"</f>
        <v>11 years</v>
      </c>
      <c r="S46" s="891" t="str">
        <f ca="1">DATEDIF(Q46,$I$6,"ym")&amp;" months"</f>
        <v>7 months</v>
      </c>
      <c r="T46" s="350"/>
      <c r="U46" s="1729"/>
      <c r="V46" s="1885"/>
      <c r="W46" s="431"/>
      <c r="X46" s="431"/>
      <c r="Y46" s="431"/>
      <c r="Z46" s="431"/>
      <c r="AA46" s="431"/>
      <c r="AB46" s="431"/>
      <c r="AC46" s="431"/>
      <c r="AD46" s="431"/>
    </row>
    <row r="47" spans="1:30" ht="12.75" customHeight="1">
      <c r="A47" s="1671">
        <f t="shared" si="7"/>
        <v>39</v>
      </c>
      <c r="B47" s="374" t="e" vm="39">
        <v>#VALUE!</v>
      </c>
      <c r="C47" s="362" t="s">
        <v>1253</v>
      </c>
      <c r="D47" s="363"/>
      <c r="E47" s="350"/>
      <c r="F47" s="352"/>
      <c r="G47" s="357"/>
      <c r="H47" s="363"/>
      <c r="I47" s="363">
        <f>40+31</f>
        <v>71</v>
      </c>
      <c r="J47" s="350" cm="1">
        <f t="array" ref="J47">_FV(B47,"Price")</f>
        <v>182.79499999999999</v>
      </c>
      <c r="K47" s="1760">
        <f t="shared" si="1"/>
        <v>12978.445</v>
      </c>
      <c r="L47" s="1796">
        <f t="shared" si="2"/>
        <v>3.5630978615831428E-2</v>
      </c>
      <c r="M47" s="355"/>
      <c r="N47" s="356">
        <f t="shared" ref="N47:N48" si="10">(J47-P47)/P47</f>
        <v>2.6534508900993962E-2</v>
      </c>
      <c r="O47" s="1975">
        <v>12479.91</v>
      </c>
      <c r="P47" s="1720">
        <v>178.07</v>
      </c>
      <c r="Q47" s="1582">
        <v>45252</v>
      </c>
      <c r="R47" s="351" t="str">
        <f ca="1">DATEDIF(Q47,$I$6,"y")&amp;" years"</f>
        <v>0 years</v>
      </c>
      <c r="S47" s="891" t="str">
        <f ca="1">DATEDIF(Q47,$I$6,"ym")&amp;" months"</f>
        <v>0 months</v>
      </c>
      <c r="T47" s="350"/>
      <c r="U47" s="1729"/>
      <c r="V47" s="1885"/>
      <c r="W47" s="431"/>
      <c r="X47" s="431"/>
      <c r="Y47" s="431"/>
      <c r="Z47" s="431"/>
      <c r="AA47" s="431"/>
      <c r="AB47" s="431"/>
      <c r="AC47" s="431"/>
      <c r="AD47" s="431"/>
    </row>
    <row r="48" spans="1:30" ht="12.75" customHeight="1">
      <c r="A48" s="1671">
        <f t="shared" si="7"/>
        <v>40</v>
      </c>
      <c r="B48" s="374" t="e" vm="40">
        <v>#VALUE!</v>
      </c>
      <c r="C48" s="362" t="s">
        <v>468</v>
      </c>
      <c r="D48" s="363">
        <v>40</v>
      </c>
      <c r="E48" s="350">
        <v>207.76</v>
      </c>
      <c r="F48" s="352">
        <f t="shared" si="0"/>
        <v>8310.4</v>
      </c>
      <c r="G48" s="357">
        <f>F48/$F$88</f>
        <v>2.9110810870455417E-2</v>
      </c>
      <c r="H48" s="363"/>
      <c r="I48" s="363">
        <v>46</v>
      </c>
      <c r="J48" s="350" cm="1">
        <f t="array" ref="J48">_FV(B48,"Price")</f>
        <v>259.08999999999997</v>
      </c>
      <c r="K48" s="1760">
        <f t="shared" si="1"/>
        <v>11918.14</v>
      </c>
      <c r="L48" s="1796">
        <f t="shared" si="2"/>
        <v>3.272002088697723E-2</v>
      </c>
      <c r="M48" s="355">
        <f t="shared" si="9"/>
        <v>0.24706391990758561</v>
      </c>
      <c r="N48" s="356">
        <f t="shared" si="10"/>
        <v>2.9465346534653456</v>
      </c>
      <c r="O48" s="1495">
        <v>4156.2299999999996</v>
      </c>
      <c r="P48" s="1720">
        <v>65.650000000000006</v>
      </c>
      <c r="Q48" s="1582">
        <v>42095</v>
      </c>
      <c r="R48" s="351" t="str">
        <f ca="1">DATEDIF(Q48,$I$6,"y")&amp;" years"</f>
        <v>8 years</v>
      </c>
      <c r="S48" s="891" t="str">
        <f ca="1">DATEDIF(Q48,$I$6,"ym")&amp;" months"</f>
        <v>8 months</v>
      </c>
      <c r="T48" s="350"/>
      <c r="U48" s="1729"/>
      <c r="V48" s="1885"/>
      <c r="W48" s="431"/>
      <c r="X48" s="431"/>
      <c r="Y48" s="431"/>
      <c r="Z48" s="431"/>
      <c r="AA48" s="431"/>
      <c r="AB48" s="431"/>
      <c r="AC48" s="431"/>
      <c r="AD48" s="431"/>
    </row>
    <row r="49" spans="1:30" ht="12.75" customHeight="1">
      <c r="A49" s="1671"/>
      <c r="B49" s="1345" t="s">
        <v>375</v>
      </c>
      <c r="C49" s="362"/>
      <c r="D49" s="363"/>
      <c r="E49" s="350"/>
      <c r="F49" s="581">
        <v>230900.93</v>
      </c>
      <c r="G49" s="417">
        <f>F49/$F$88</f>
        <v>0.80883150065487408</v>
      </c>
      <c r="H49" s="363"/>
      <c r="I49" s="363"/>
      <c r="J49" s="350"/>
      <c r="K49" s="581">
        <f>SUM(K9:K48)</f>
        <v>320238.43000000005</v>
      </c>
      <c r="L49" s="1797">
        <f>SUM(L9:L48)</f>
        <v>0.87918149295215475</v>
      </c>
      <c r="M49" s="355"/>
      <c r="N49" s="1312"/>
      <c r="O49" s="1495"/>
      <c r="P49" s="1720"/>
      <c r="Q49" s="1582"/>
      <c r="R49" s="351"/>
      <c r="S49" s="891"/>
      <c r="T49" s="1672"/>
      <c r="U49" s="359"/>
      <c r="V49" s="360"/>
      <c r="W49" s="431"/>
      <c r="X49" s="431"/>
      <c r="Y49" s="431"/>
      <c r="Z49" s="431"/>
      <c r="AA49" s="431"/>
      <c r="AB49" s="431"/>
      <c r="AC49" s="431"/>
      <c r="AD49" s="431"/>
    </row>
    <row r="50" spans="1:30" ht="12.75" customHeight="1">
      <c r="A50" s="1671"/>
      <c r="B50" s="1346"/>
      <c r="C50" s="362"/>
      <c r="D50" s="363"/>
      <c r="E50" s="350"/>
      <c r="F50" s="352"/>
      <c r="G50" s="357"/>
      <c r="H50" s="130"/>
      <c r="I50" s="363"/>
      <c r="J50" s="350"/>
      <c r="K50" s="352"/>
      <c r="L50" s="1779"/>
      <c r="M50" s="355"/>
      <c r="N50" s="1312"/>
      <c r="O50" s="1495"/>
      <c r="P50" s="1720"/>
      <c r="Q50" s="1582"/>
      <c r="R50" s="351"/>
      <c r="S50" s="891"/>
      <c r="T50" s="1672"/>
      <c r="U50" s="359"/>
      <c r="V50" s="360"/>
      <c r="W50" s="431"/>
      <c r="X50" s="431"/>
      <c r="Y50" s="431"/>
      <c r="Z50" s="431"/>
      <c r="AA50" s="431"/>
      <c r="AB50" s="431"/>
      <c r="AC50" s="431"/>
      <c r="AD50" s="431"/>
    </row>
    <row r="51" spans="1:30" ht="12.75" customHeight="1">
      <c r="A51" s="1671"/>
      <c r="B51" s="1345" t="s">
        <v>567</v>
      </c>
      <c r="C51" s="362"/>
      <c r="D51" s="363"/>
      <c r="E51" s="350"/>
      <c r="F51" s="352"/>
      <c r="G51" s="357"/>
      <c r="H51" s="130"/>
      <c r="I51" s="363"/>
      <c r="J51" s="350"/>
      <c r="K51" s="352"/>
      <c r="L51" s="1779"/>
      <c r="M51" s="355"/>
      <c r="N51" s="1312"/>
      <c r="O51" s="1495"/>
      <c r="P51" s="1720"/>
      <c r="Q51" s="1582"/>
      <c r="R51" s="351"/>
      <c r="S51" s="891"/>
      <c r="T51" s="1672"/>
      <c r="U51" s="359"/>
      <c r="V51" s="360"/>
      <c r="W51" s="431"/>
      <c r="X51" s="431"/>
      <c r="Y51" s="431"/>
      <c r="Z51" s="431"/>
      <c r="AA51" s="431"/>
      <c r="AB51" s="431"/>
      <c r="AC51" s="431"/>
      <c r="AD51" s="431"/>
    </row>
    <row r="52" spans="1:30" ht="12.75" customHeight="1">
      <c r="A52" s="1671">
        <v>41</v>
      </c>
      <c r="B52" s="1674" t="e" vm="41">
        <v>#VALUE!</v>
      </c>
      <c r="C52" s="362" t="s">
        <v>698</v>
      </c>
      <c r="D52" s="363">
        <v>97</v>
      </c>
      <c r="E52" s="350">
        <v>47.86</v>
      </c>
      <c r="F52" s="352">
        <f t="shared" ref="F52" si="11">D52*E52</f>
        <v>4642.42</v>
      </c>
      <c r="G52" s="357">
        <f>F52/$F$88</f>
        <v>1.6262106589480609E-2</v>
      </c>
      <c r="H52" s="130"/>
      <c r="I52" s="363">
        <v>306</v>
      </c>
      <c r="J52" s="350" cm="1">
        <f t="array" ref="J52">_FV(B52,"Price")</f>
        <v>48.96</v>
      </c>
      <c r="K52" s="1760">
        <f>I52*J52</f>
        <v>14981.76</v>
      </c>
      <c r="L52" s="1952">
        <f>K52/$K$88</f>
        <v>4.1130872780792978E-2</v>
      </c>
      <c r="M52" s="355">
        <f t="shared" ref="M52" si="12">(J52-E52)/E52</f>
        <v>2.2983702465524475E-2</v>
      </c>
      <c r="N52" s="1724">
        <f>(J52-P52)/P52</f>
        <v>-4.5427958666406677E-2</v>
      </c>
      <c r="O52" s="1495">
        <v>15046.77</v>
      </c>
      <c r="P52" s="1720">
        <v>51.29</v>
      </c>
      <c r="Q52" s="1582">
        <v>44510</v>
      </c>
      <c r="R52" s="351" t="str">
        <f t="shared" ref="R52:R54" ca="1" si="13">DATEDIF(Q52,$I$6,"y")&amp;" years"</f>
        <v>2 years</v>
      </c>
      <c r="S52" s="891" t="str">
        <f t="shared" ref="S52:S54" ca="1" si="14">DATEDIF(Q52,$I$6,"ym")&amp;" months"</f>
        <v>1 months</v>
      </c>
      <c r="T52" s="1672"/>
      <c r="U52" s="359"/>
      <c r="V52" s="360"/>
      <c r="W52" s="431"/>
      <c r="X52" s="431"/>
      <c r="Y52" s="431"/>
      <c r="Z52" s="431"/>
      <c r="AA52" s="431"/>
      <c r="AB52" s="431"/>
      <c r="AC52" s="431"/>
      <c r="AD52" s="431"/>
    </row>
    <row r="53" spans="1:30" ht="12.75" customHeight="1">
      <c r="A53" s="1671">
        <v>42</v>
      </c>
      <c r="B53" s="1705" t="e" vm="42">
        <v>#VALUE!</v>
      </c>
      <c r="C53" s="362" t="s">
        <v>1250</v>
      </c>
      <c r="D53" s="363"/>
      <c r="E53" s="350"/>
      <c r="F53" s="352"/>
      <c r="G53" s="357"/>
      <c r="H53" s="130"/>
      <c r="I53" s="363">
        <v>186</v>
      </c>
      <c r="J53" s="350" cm="1">
        <f t="array" ref="J53">_FV(B53,"Price")</f>
        <v>77.5</v>
      </c>
      <c r="K53" s="1760">
        <f>I53*J53</f>
        <v>14415</v>
      </c>
      <c r="L53" s="1796">
        <f>K53/$K$88</f>
        <v>3.9574891810783962E-2</v>
      </c>
      <c r="M53" s="355"/>
      <c r="N53" s="1724">
        <f t="shared" ref="N53:N54" si="15">(K53-O53)/O53</f>
        <v>5.499591614484077E-2</v>
      </c>
      <c r="O53" s="1932">
        <v>13663.56</v>
      </c>
      <c r="P53" s="1932">
        <v>73.459999999999994</v>
      </c>
      <c r="Q53" s="1582">
        <v>45247</v>
      </c>
      <c r="R53" s="351" t="str">
        <f t="shared" ca="1" si="13"/>
        <v>0 years</v>
      </c>
      <c r="S53" s="891" t="str">
        <f t="shared" ca="1" si="14"/>
        <v>0 months</v>
      </c>
      <c r="T53" s="1672"/>
      <c r="U53" s="359"/>
      <c r="V53" s="360"/>
      <c r="W53" s="431"/>
      <c r="X53" s="431"/>
      <c r="Y53" s="431"/>
      <c r="Z53" s="431"/>
      <c r="AA53" s="431"/>
      <c r="AB53" s="431"/>
      <c r="AC53" s="431"/>
      <c r="AD53" s="431"/>
    </row>
    <row r="54" spans="1:30" ht="12.75" customHeight="1">
      <c r="A54" s="1671">
        <v>43</v>
      </c>
      <c r="B54" s="1705" t="e" vm="43">
        <v>#VALUE!</v>
      </c>
      <c r="C54" s="362" t="s">
        <v>1286</v>
      </c>
      <c r="D54" s="363"/>
      <c r="E54" s="350"/>
      <c r="F54" s="352"/>
      <c r="G54" s="357"/>
      <c r="H54" s="130"/>
      <c r="I54" s="363">
        <v>91</v>
      </c>
      <c r="J54" s="350" cm="1">
        <f t="array" ref="J54">_FV(B54,"Price")</f>
        <v>80.680000000000007</v>
      </c>
      <c r="K54" s="1760">
        <f>I54*J54</f>
        <v>7341.880000000001</v>
      </c>
      <c r="L54" s="1796">
        <f>K54/$K$88</f>
        <v>2.0156372298838612E-2</v>
      </c>
      <c r="M54" s="355"/>
      <c r="N54" s="1976">
        <f t="shared" si="15"/>
        <v>4.874561289483946E-2</v>
      </c>
      <c r="O54" s="1720">
        <f>Transactions!E22</f>
        <v>7000.630000000001</v>
      </c>
      <c r="P54" s="1932">
        <v>76.930000000000007</v>
      </c>
      <c r="Q54" s="1582">
        <v>45268</v>
      </c>
      <c r="R54" s="351" t="str">
        <f t="shared" ca="1" si="13"/>
        <v>0 years</v>
      </c>
      <c r="S54" s="891" t="str">
        <f t="shared" ca="1" si="14"/>
        <v>0 months</v>
      </c>
      <c r="T54" s="1672"/>
      <c r="U54" s="359"/>
      <c r="V54" s="360"/>
      <c r="W54" s="431"/>
      <c r="X54" s="431"/>
      <c r="Y54" s="431"/>
      <c r="Z54" s="431"/>
      <c r="AA54" s="431"/>
      <c r="AB54" s="431"/>
      <c r="AC54" s="431"/>
      <c r="AD54" s="431"/>
    </row>
    <row r="55" spans="1:30" ht="12.75" customHeight="1">
      <c r="A55" s="1671"/>
      <c r="B55" s="1345" t="s">
        <v>375</v>
      </c>
      <c r="C55" s="362"/>
      <c r="D55" s="363"/>
      <c r="E55" s="350"/>
      <c r="F55" s="581">
        <v>38332.22</v>
      </c>
      <c r="G55" s="417">
        <f>F55/$F$88</f>
        <v>0.13427536660866971</v>
      </c>
      <c r="H55" s="130"/>
      <c r="I55" s="363"/>
      <c r="J55" s="350"/>
      <c r="K55" s="1761">
        <f>SUM(K52:K54)</f>
        <v>36738.639999999999</v>
      </c>
      <c r="L55" s="1797">
        <f>K55/$K$88</f>
        <v>0.10086213689041555</v>
      </c>
      <c r="M55" s="355"/>
      <c r="N55" s="1312"/>
      <c r="O55" s="1675"/>
      <c r="P55" s="1675"/>
      <c r="Q55" s="1582" t="str">
        <f>IF(C55="","",INDEX(Transactions!$A$288:$A$1959,MATCH('2023 YTD'!C55,Transactions!$J$288:$J$1959,0)))</f>
        <v/>
      </c>
      <c r="R55" s="535"/>
      <c r="S55" s="1676"/>
      <c r="T55" s="360"/>
      <c r="U55" s="359"/>
      <c r="V55" s="360"/>
      <c r="W55" s="431"/>
      <c r="X55" s="431"/>
      <c r="Y55" s="431"/>
      <c r="Z55" s="431"/>
      <c r="AA55" s="431"/>
      <c r="AB55" s="431"/>
      <c r="AC55" s="431"/>
      <c r="AD55" s="431"/>
    </row>
    <row r="56" spans="1:30" ht="12.75" customHeight="1">
      <c r="A56" s="1671"/>
      <c r="B56" s="1345"/>
      <c r="C56" s="1620"/>
      <c r="D56" s="363"/>
      <c r="E56" s="350"/>
      <c r="F56" s="581"/>
      <c r="G56" s="417"/>
      <c r="H56" s="130"/>
      <c r="I56" s="363"/>
      <c r="J56" s="350"/>
      <c r="K56" s="1761"/>
      <c r="L56" s="1797"/>
      <c r="M56" s="355"/>
      <c r="N56" s="1312"/>
      <c r="O56" s="1675"/>
      <c r="P56" s="1675"/>
      <c r="Q56" s="1582"/>
      <c r="R56" s="535"/>
      <c r="S56" s="1676"/>
      <c r="T56" s="360"/>
      <c r="U56" s="359"/>
      <c r="V56" s="360"/>
      <c r="W56" s="431"/>
      <c r="X56" s="431"/>
      <c r="Y56" s="431"/>
      <c r="Z56" s="431"/>
      <c r="AA56" s="431"/>
      <c r="AB56" s="431"/>
      <c r="AC56" s="431"/>
      <c r="AD56" s="431"/>
    </row>
    <row r="57" spans="1:30" ht="12.75" customHeight="1">
      <c r="A57" s="1671"/>
      <c r="B57" s="1345" t="s">
        <v>763</v>
      </c>
      <c r="C57" s="1620"/>
      <c r="D57" s="363"/>
      <c r="E57" s="350"/>
      <c r="F57" s="581"/>
      <c r="G57" s="417"/>
      <c r="H57" s="130"/>
      <c r="I57" s="363"/>
      <c r="J57" s="350"/>
      <c r="K57" s="1761"/>
      <c r="L57" s="1797"/>
      <c r="M57" s="355"/>
      <c r="N57" s="1312"/>
      <c r="O57" s="1675"/>
      <c r="P57" s="1675"/>
      <c r="Q57" s="1582"/>
      <c r="R57" s="535"/>
      <c r="S57" s="1676"/>
      <c r="T57" s="360"/>
      <c r="U57" s="359"/>
      <c r="V57" s="360"/>
      <c r="W57" s="431"/>
      <c r="X57" s="431"/>
      <c r="Y57" s="431"/>
      <c r="Z57" s="431"/>
      <c r="AA57" s="431"/>
      <c r="AB57" s="431"/>
      <c r="AC57" s="431"/>
      <c r="AD57" s="431"/>
    </row>
    <row r="58" spans="1:30" ht="12.75" customHeight="1">
      <c r="A58" s="1695">
        <v>1</v>
      </c>
      <c r="B58" s="361" t="e" vm="44">
        <v>#VALUE!</v>
      </c>
      <c r="C58" s="1620" t="s">
        <v>680</v>
      </c>
      <c r="D58" s="363">
        <v>62</v>
      </c>
      <c r="E58" s="350">
        <v>33.64</v>
      </c>
      <c r="F58" s="352">
        <f t="shared" ref="F58:F62" si="16">D58*E58</f>
        <v>2085.6799999999998</v>
      </c>
      <c r="G58" s="1870">
        <v>44992</v>
      </c>
      <c r="H58" s="130"/>
      <c r="I58" s="363"/>
      <c r="J58" s="350"/>
      <c r="K58" s="1761"/>
      <c r="L58" s="1797"/>
      <c r="M58" s="1801">
        <f>D58*Transactions!C121/F58-1</f>
        <v>0.19560047562425686</v>
      </c>
      <c r="N58" s="1802">
        <f>(D58*Transactions!C121-O58)/O58</f>
        <v>-0.37762935897051925</v>
      </c>
      <c r="O58" s="1495">
        <v>4006.68</v>
      </c>
      <c r="P58" s="1720">
        <v>64.62</v>
      </c>
      <c r="Q58" s="1800">
        <v>44517</v>
      </c>
      <c r="R58" s="351" t="str">
        <f>DATEDIF(Q58,G58,"y")&amp;" years"</f>
        <v>1 years</v>
      </c>
      <c r="S58" s="891" t="str">
        <f>DATEDIF(Q58,G58,"ym")&amp;" months"</f>
        <v>3 months</v>
      </c>
      <c r="T58" s="360"/>
      <c r="U58" s="359"/>
      <c r="V58" s="360"/>
      <c r="W58" s="431"/>
      <c r="X58" s="431"/>
      <c r="Y58" s="431"/>
      <c r="Z58" s="431"/>
      <c r="AA58" s="431"/>
      <c r="AB58" s="431"/>
      <c r="AC58" s="431"/>
      <c r="AD58" s="431"/>
    </row>
    <row r="59" spans="1:30" ht="12.75" customHeight="1">
      <c r="A59" s="1799">
        <v>2</v>
      </c>
      <c r="B59" s="374" t="e" vm="45">
        <v>#VALUE!</v>
      </c>
      <c r="C59" s="1620" t="s">
        <v>452</v>
      </c>
      <c r="D59" s="363">
        <v>50</v>
      </c>
      <c r="E59" s="350">
        <v>92.96</v>
      </c>
      <c r="F59" s="352">
        <f t="shared" si="16"/>
        <v>4648</v>
      </c>
      <c r="G59" s="1870">
        <v>44992</v>
      </c>
      <c r="H59" s="130"/>
      <c r="I59" s="363"/>
      <c r="J59" s="350"/>
      <c r="K59" s="1761"/>
      <c r="L59" s="1797"/>
      <c r="M59" s="1801">
        <f>D59*Transactions!C125/F59-1</f>
        <v>0.16060671256454384</v>
      </c>
      <c r="N59" s="1803">
        <f>(D59*Transactions!C125-O59)/O59</f>
        <v>0.14524155266264158</v>
      </c>
      <c r="O59" s="1495">
        <v>4710.3599999999997</v>
      </c>
      <c r="P59" s="1720">
        <v>94.21</v>
      </c>
      <c r="Q59" s="1800">
        <v>43767</v>
      </c>
      <c r="R59" s="351" t="str">
        <f t="shared" ref="R59:R62" si="17">DATEDIF(Q59,G59,"y")&amp;" years"</f>
        <v>3 years</v>
      </c>
      <c r="S59" s="891" t="str">
        <f t="shared" ref="S59:S61" si="18">DATEDIF(Q59,G59,"ym")&amp;" months"</f>
        <v>4 months</v>
      </c>
      <c r="T59" s="360"/>
      <c r="U59" s="359"/>
      <c r="V59" s="360"/>
      <c r="W59" s="431"/>
      <c r="X59" s="431"/>
      <c r="Y59" s="431"/>
      <c r="Z59" s="431"/>
      <c r="AA59" s="431"/>
      <c r="AB59" s="431"/>
      <c r="AC59" s="431"/>
      <c r="AD59" s="431"/>
    </row>
    <row r="60" spans="1:30" ht="12.75" customHeight="1">
      <c r="A60" s="1695">
        <v>3</v>
      </c>
      <c r="B60" s="361" t="e" vm="46">
        <v>#VALUE!</v>
      </c>
      <c r="C60" s="1620" t="s">
        <v>730</v>
      </c>
      <c r="D60" s="363">
        <v>36</v>
      </c>
      <c r="E60" s="350">
        <v>86.33</v>
      </c>
      <c r="F60" s="352">
        <f t="shared" si="16"/>
        <v>3107.88</v>
      </c>
      <c r="G60" s="1870">
        <v>45002</v>
      </c>
      <c r="H60" s="130"/>
      <c r="I60" s="363"/>
      <c r="J60" s="350"/>
      <c r="K60" s="1761"/>
      <c r="L60" s="1797"/>
      <c r="M60" s="1801"/>
      <c r="N60" s="1803">
        <f>(D60*Transactions!C109-O60)/O60</f>
        <v>5.4135531135531059E-2</v>
      </c>
      <c r="O60" s="1495">
        <v>2948.4</v>
      </c>
      <c r="P60" s="1720">
        <v>81.900000000000006</v>
      </c>
      <c r="Q60" s="1809">
        <v>44655</v>
      </c>
      <c r="R60" s="351" t="str">
        <f t="shared" si="17"/>
        <v>0 years</v>
      </c>
      <c r="S60" s="891" t="str">
        <f t="shared" si="18"/>
        <v>11 months</v>
      </c>
      <c r="T60" s="360"/>
      <c r="U60" s="359"/>
      <c r="V60" s="360"/>
      <c r="W60" s="431"/>
      <c r="X60" s="431"/>
      <c r="Y60" s="431"/>
      <c r="Z60" s="431"/>
      <c r="AA60" s="431"/>
      <c r="AB60" s="431"/>
      <c r="AC60" s="431"/>
      <c r="AD60" s="431"/>
    </row>
    <row r="61" spans="1:30" ht="12.75" customHeight="1">
      <c r="A61" s="1695">
        <v>4</v>
      </c>
      <c r="B61" s="1807" t="e" vm="24">
        <v>#VALUE!</v>
      </c>
      <c r="C61" s="1620" t="s">
        <v>194</v>
      </c>
      <c r="D61" s="363">
        <v>25</v>
      </c>
      <c r="E61" s="350">
        <v>146.13999999999999</v>
      </c>
      <c r="F61" s="352">
        <f t="shared" si="16"/>
        <v>3653.4999999999995</v>
      </c>
      <c r="G61" s="1870">
        <v>45012</v>
      </c>
      <c r="H61" s="363"/>
      <c r="I61" s="363"/>
      <c r="J61" s="350"/>
      <c r="K61" s="1805"/>
      <c r="L61" s="1797"/>
      <c r="M61" s="1801">
        <f>D61*Transactions!C105/F61-1</f>
        <v>0.82574107020665144</v>
      </c>
      <c r="N61" s="1806">
        <f>(D61*Transactions!C105-O61)/O61</f>
        <v>4.6088669329409298</v>
      </c>
      <c r="O61" s="1808">
        <v>1189.25</v>
      </c>
      <c r="P61" s="1808">
        <v>48.56</v>
      </c>
      <c r="Q61" s="1810">
        <v>43746</v>
      </c>
      <c r="R61" s="351" t="str">
        <f t="shared" si="17"/>
        <v>3 years</v>
      </c>
      <c r="S61" s="891" t="str">
        <f t="shared" si="18"/>
        <v>5 months</v>
      </c>
      <c r="T61" s="360"/>
      <c r="U61" s="359"/>
      <c r="V61" s="360"/>
      <c r="W61" s="431"/>
      <c r="X61" s="431"/>
      <c r="Y61" s="431"/>
      <c r="Z61" s="431"/>
      <c r="AA61" s="431"/>
      <c r="AB61" s="431"/>
      <c r="AC61" s="431"/>
      <c r="AD61" s="431"/>
    </row>
    <row r="62" spans="1:30" ht="12.75" customHeight="1">
      <c r="A62" s="1695">
        <v>5</v>
      </c>
      <c r="B62" s="361" t="e" vm="47">
        <v>#VALUE!</v>
      </c>
      <c r="C62" s="1620" t="s">
        <v>470</v>
      </c>
      <c r="D62" s="363">
        <v>30</v>
      </c>
      <c r="E62" s="350">
        <v>86.88</v>
      </c>
      <c r="F62" s="352">
        <f t="shared" si="16"/>
        <v>2606.3999999999996</v>
      </c>
      <c r="G62" s="1870">
        <v>45040</v>
      </c>
      <c r="H62" s="363"/>
      <c r="I62" s="363"/>
      <c r="J62" s="350"/>
      <c r="K62" s="1805"/>
      <c r="L62" s="1797"/>
      <c r="M62" s="1801">
        <f>D62*Transactions!C85/F62-1</f>
        <v>0.15112799263351762</v>
      </c>
      <c r="N62" s="1802">
        <f>(D62*Transactions!C85-O62)/O62</f>
        <v>-0.16540098472836515</v>
      </c>
      <c r="O62" s="1808">
        <v>3594.9</v>
      </c>
      <c r="P62" s="1808">
        <v>119.83</v>
      </c>
      <c r="Q62" s="1582">
        <v>42096</v>
      </c>
      <c r="R62" s="351" t="str">
        <f t="shared" si="17"/>
        <v>8 years</v>
      </c>
      <c r="S62" s="891" t="str">
        <f>DATEDIF(Q62,G62,"ym")&amp;" months"</f>
        <v>0 months</v>
      </c>
      <c r="T62" s="360"/>
      <c r="U62" s="359"/>
      <c r="V62" s="360"/>
      <c r="W62" s="431"/>
      <c r="X62" s="431"/>
      <c r="Y62" s="431"/>
      <c r="Z62" s="431"/>
      <c r="AA62" s="431"/>
      <c r="AB62" s="431"/>
      <c r="AC62" s="431"/>
      <c r="AD62" s="431"/>
    </row>
    <row r="63" spans="1:30" ht="12.75" customHeight="1">
      <c r="A63" s="1671">
        <v>6</v>
      </c>
      <c r="B63" s="1632" t="e" vm="48">
        <v>#VALUE!</v>
      </c>
      <c r="C63" s="362" t="s">
        <v>744</v>
      </c>
      <c r="D63" s="363">
        <v>175</v>
      </c>
      <c r="E63" s="350">
        <v>23.52</v>
      </c>
      <c r="F63" s="352">
        <f>D63*E63</f>
        <v>4116</v>
      </c>
      <c r="G63" s="1897">
        <v>45202</v>
      </c>
      <c r="H63" s="1723"/>
      <c r="I63" s="1899"/>
      <c r="J63" s="1900"/>
      <c r="K63" s="1901"/>
      <c r="L63" s="1902"/>
      <c r="M63" s="1905">
        <f>D63*Transactions!C70/F63-1</f>
        <v>-2.2534013605442271E-2</v>
      </c>
      <c r="N63" s="1904">
        <f>(D63*Transactions!C70-O63)/O63</f>
        <v>-0.10666506795629316</v>
      </c>
      <c r="O63" s="1495">
        <v>4503.63</v>
      </c>
      <c r="P63" s="1720">
        <v>25.74</v>
      </c>
      <c r="Q63" s="1582">
        <v>44676</v>
      </c>
      <c r="R63" s="351" t="str">
        <f t="shared" ref="R63:R67" ca="1" si="19">DATEDIF(Q63,$I$6,"y")&amp;" years"</f>
        <v>1 years</v>
      </c>
      <c r="S63" s="891" t="str">
        <f t="shared" ref="S63:S67" ca="1" si="20">DATEDIF(Q63,$I$6,"ym")&amp;" months"</f>
        <v>7 months</v>
      </c>
      <c r="T63" s="1672"/>
      <c r="U63" s="359"/>
      <c r="V63" s="360"/>
      <c r="W63" s="431"/>
      <c r="X63" s="431"/>
      <c r="Y63" s="431"/>
      <c r="Z63" s="431"/>
      <c r="AA63" s="431"/>
      <c r="AB63" s="431"/>
      <c r="AC63" s="431"/>
      <c r="AD63" s="431"/>
    </row>
    <row r="64" spans="1:30" ht="12.75" customHeight="1">
      <c r="A64" s="1671">
        <v>7</v>
      </c>
      <c r="B64" s="1674" t="e" vm="49">
        <v>#VALUE!</v>
      </c>
      <c r="C64" s="362" t="s">
        <v>700</v>
      </c>
      <c r="D64" s="363">
        <v>177</v>
      </c>
      <c r="E64" s="350">
        <v>23.62</v>
      </c>
      <c r="F64" s="352">
        <f>D64*E64</f>
        <v>4180.74</v>
      </c>
      <c r="G64" s="1898">
        <v>45202</v>
      </c>
      <c r="H64" s="130"/>
      <c r="I64" s="1899"/>
      <c r="J64" s="1900"/>
      <c r="K64" s="1901"/>
      <c r="L64" s="1902"/>
      <c r="M64" s="1905">
        <f>D64*Transactions!C71/F64-1</f>
        <v>-4.2337002540219992E-2</v>
      </c>
      <c r="N64" s="1904">
        <f>(D64*Transactions!C71-O64)/O64</f>
        <v>-0.19971776426119991</v>
      </c>
      <c r="O64" s="1495">
        <v>5002.91</v>
      </c>
      <c r="P64" s="1720">
        <v>28.27</v>
      </c>
      <c r="Q64" s="1582">
        <v>44510</v>
      </c>
      <c r="R64" s="351" t="str">
        <f t="shared" ca="1" si="19"/>
        <v>2 years</v>
      </c>
      <c r="S64" s="891" t="str">
        <f t="shared" ca="1" si="20"/>
        <v>1 months</v>
      </c>
      <c r="T64" s="1672"/>
      <c r="U64" s="359"/>
      <c r="V64" s="360"/>
      <c r="W64" s="431"/>
      <c r="X64" s="431"/>
      <c r="Y64" s="431"/>
      <c r="Z64" s="431"/>
      <c r="AA64" s="431"/>
      <c r="AB64" s="431"/>
      <c r="AC64" s="431"/>
      <c r="AD64" s="431"/>
    </row>
    <row r="65" spans="1:33" ht="12.75" customHeight="1">
      <c r="A65" s="1695">
        <v>8</v>
      </c>
      <c r="B65" s="1674" t="e" vm="50">
        <v>#VALUE!</v>
      </c>
      <c r="C65" s="362" t="s">
        <v>696</v>
      </c>
      <c r="D65" s="363">
        <v>47</v>
      </c>
      <c r="E65" s="350">
        <v>96.96</v>
      </c>
      <c r="F65" s="352">
        <f t="shared" ref="F65:F71" si="21">D65*E65</f>
        <v>4557.12</v>
      </c>
      <c r="G65" s="1898">
        <v>45202</v>
      </c>
      <c r="H65" s="130"/>
      <c r="I65" s="1899"/>
      <c r="J65" s="1900"/>
      <c r="K65" s="1901"/>
      <c r="L65" s="1902"/>
      <c r="M65" s="1905">
        <f>D65*Transactions!C72/F65-1</f>
        <v>-6.1881188118811936E-3</v>
      </c>
      <c r="N65" s="1904">
        <f>(D65*Transactions!C72-O65)/O65</f>
        <v>-9.4999730233617657E-2</v>
      </c>
      <c r="O65" s="1495">
        <v>5004.33</v>
      </c>
      <c r="P65" s="1720">
        <v>106.48</v>
      </c>
      <c r="Q65" s="1582">
        <v>44510</v>
      </c>
      <c r="R65" s="351" t="str">
        <f t="shared" ca="1" si="19"/>
        <v>2 years</v>
      </c>
      <c r="S65" s="891" t="str">
        <f t="shared" ca="1" si="20"/>
        <v>1 months</v>
      </c>
      <c r="T65" s="1672"/>
      <c r="U65" s="359"/>
      <c r="V65" s="360"/>
      <c r="W65" s="431"/>
      <c r="X65" s="431"/>
      <c r="Y65" s="431"/>
      <c r="Z65" s="431"/>
      <c r="AA65" s="431"/>
      <c r="AB65" s="431"/>
      <c r="AC65" s="431"/>
      <c r="AD65" s="431"/>
    </row>
    <row r="66" spans="1:33" ht="12.75" customHeight="1">
      <c r="A66" s="1799">
        <v>9</v>
      </c>
      <c r="B66" s="1632" t="e" vm="51">
        <v>#VALUE!</v>
      </c>
      <c r="C66" s="362" t="s">
        <v>746</v>
      </c>
      <c r="D66" s="363">
        <v>83</v>
      </c>
      <c r="E66" s="350">
        <v>49.87</v>
      </c>
      <c r="F66" s="352">
        <f t="shared" si="21"/>
        <v>4139.21</v>
      </c>
      <c r="G66" s="1898">
        <v>45202</v>
      </c>
      <c r="H66" s="130"/>
      <c r="I66" s="1899"/>
      <c r="J66" s="1900"/>
      <c r="K66" s="1901"/>
      <c r="L66" s="1902"/>
      <c r="M66" s="1905">
        <f>D66*Transactions!C73/F66-1</f>
        <v>-1.2031281331460475E-3</v>
      </c>
      <c r="N66" s="1904">
        <f>(D66*Transactions!C73-O66)/O66</f>
        <v>-7.9022758055317832E-2</v>
      </c>
      <c r="O66" s="1495">
        <v>4488.96</v>
      </c>
      <c r="P66" s="1720">
        <v>54.08</v>
      </c>
      <c r="Q66" s="1582">
        <v>44676</v>
      </c>
      <c r="R66" s="351" t="str">
        <f t="shared" ca="1" si="19"/>
        <v>1 years</v>
      </c>
      <c r="S66" s="891" t="str">
        <f t="shared" ca="1" si="20"/>
        <v>7 months</v>
      </c>
      <c r="T66" s="1672"/>
      <c r="U66" s="359"/>
      <c r="V66" s="360"/>
      <c r="W66" s="431"/>
      <c r="X66" s="431"/>
      <c r="Y66" s="431"/>
      <c r="Z66" s="431"/>
      <c r="AA66" s="431"/>
      <c r="AB66" s="431"/>
      <c r="AC66" s="431"/>
      <c r="AD66" s="431"/>
    </row>
    <row r="67" spans="1:33" ht="12.75" customHeight="1">
      <c r="A67" s="1695">
        <v>10</v>
      </c>
      <c r="B67" s="1674" t="e" vm="52">
        <v>#VALUE!</v>
      </c>
      <c r="C67" s="362" t="s">
        <v>694</v>
      </c>
      <c r="D67" s="363">
        <v>79</v>
      </c>
      <c r="E67" s="350">
        <v>51.79</v>
      </c>
      <c r="F67" s="352">
        <f t="shared" si="21"/>
        <v>4091.41</v>
      </c>
      <c r="G67" s="1898">
        <v>45202</v>
      </c>
      <c r="H67" s="130"/>
      <c r="I67" s="1899"/>
      <c r="J67" s="1900"/>
      <c r="K67" s="1901"/>
      <c r="L67" s="1902"/>
      <c r="M67" s="1905">
        <f>D67*Transactions!C74/F67-1</f>
        <v>-3.9969106005020238E-2</v>
      </c>
      <c r="N67" s="1904">
        <f>(D67*Transactions!C74-O67)/O67</f>
        <v>-0.21927542252443311</v>
      </c>
      <c r="O67" s="1495">
        <v>5031.07</v>
      </c>
      <c r="P67" s="1720">
        <v>63.68</v>
      </c>
      <c r="Q67" s="1582">
        <v>44510</v>
      </c>
      <c r="R67" s="351" t="str">
        <f t="shared" ca="1" si="19"/>
        <v>2 years</v>
      </c>
      <c r="S67" s="891" t="str">
        <f t="shared" ca="1" si="20"/>
        <v>1 months</v>
      </c>
      <c r="T67" s="1672"/>
      <c r="U67" s="359"/>
      <c r="V67" s="360"/>
      <c r="W67" s="431"/>
      <c r="X67" s="431"/>
      <c r="Y67" s="431"/>
      <c r="Z67" s="431"/>
      <c r="AA67" s="431"/>
      <c r="AB67" s="431"/>
      <c r="AC67" s="431"/>
      <c r="AD67" s="431"/>
    </row>
    <row r="68" spans="1:33" ht="12.75" customHeight="1">
      <c r="A68" s="1695">
        <v>11</v>
      </c>
      <c r="B68" s="1632" t="e" vm="53">
        <v>#VALUE!</v>
      </c>
      <c r="C68" s="362" t="s">
        <v>742</v>
      </c>
      <c r="D68" s="363">
        <v>221</v>
      </c>
      <c r="E68" s="350">
        <v>18.45</v>
      </c>
      <c r="F68" s="352">
        <f t="shared" si="21"/>
        <v>4077.45</v>
      </c>
      <c r="G68" s="1898">
        <v>45202</v>
      </c>
      <c r="H68" s="130"/>
      <c r="I68" s="1899"/>
      <c r="J68" s="1900"/>
      <c r="K68" s="1901"/>
      <c r="L68" s="1902"/>
      <c r="M68" s="1905">
        <f>D68*Transactions!C75/F68-1</f>
        <v>-2.9810298102981081E-2</v>
      </c>
      <c r="N68" s="1904">
        <f>(D68*Transactions!C75-O68)/O68</f>
        <v>-0.12158456294618575</v>
      </c>
      <c r="O68" s="1495">
        <v>4503.45</v>
      </c>
      <c r="P68" s="1720">
        <v>20.38</v>
      </c>
      <c r="Q68" s="1582">
        <v>44676</v>
      </c>
      <c r="R68" s="351" t="str">
        <f ca="1">DATEDIF(Q68,$I$6,"y")&amp;" years"</f>
        <v>1 years</v>
      </c>
      <c r="S68" s="891" t="str">
        <f ca="1">DATEDIF(Q68,$I$6,"ym")&amp;" months"</f>
        <v>7 months</v>
      </c>
      <c r="T68" s="1672"/>
      <c r="U68" s="359"/>
      <c r="V68" s="360"/>
      <c r="W68" s="431"/>
      <c r="X68" s="431"/>
      <c r="Y68" s="431"/>
      <c r="Z68" s="431"/>
      <c r="AA68" s="431"/>
      <c r="AB68" s="431"/>
      <c r="AC68" s="431"/>
      <c r="AD68" s="431"/>
    </row>
    <row r="69" spans="1:33" ht="12.75" customHeight="1">
      <c r="A69" s="1695">
        <v>12</v>
      </c>
      <c r="B69" s="1632" t="e" vm="54">
        <v>#VALUE!</v>
      </c>
      <c r="C69" s="362" t="s">
        <v>740</v>
      </c>
      <c r="D69" s="363">
        <v>153</v>
      </c>
      <c r="E69" s="350">
        <v>25.76</v>
      </c>
      <c r="F69" s="352">
        <f t="shared" si="21"/>
        <v>3941.28</v>
      </c>
      <c r="G69" s="1898">
        <v>45202</v>
      </c>
      <c r="H69" s="130"/>
      <c r="I69" s="1899"/>
      <c r="J69" s="1900"/>
      <c r="K69" s="1901"/>
      <c r="L69" s="1902"/>
      <c r="M69" s="1905">
        <f>D69*Transactions!C76/F69-1</f>
        <v>-5.0465838509316741E-2</v>
      </c>
      <c r="N69" s="1904">
        <f>(D69*Transactions!C76-O69)/O69</f>
        <v>-0.17083643518026151</v>
      </c>
      <c r="O69" s="1495">
        <v>4513.4399999999996</v>
      </c>
      <c r="P69" s="1720">
        <v>29.5</v>
      </c>
      <c r="Q69" s="1582">
        <v>44676</v>
      </c>
      <c r="R69" s="351" t="str">
        <f ca="1">DATEDIF(Q69,$I$6,"y")&amp;" years"</f>
        <v>1 years</v>
      </c>
      <c r="S69" s="891" t="str">
        <f ca="1">DATEDIF(Q69,$I$6,"ym")&amp;" months"</f>
        <v>7 months</v>
      </c>
      <c r="T69" s="1672"/>
      <c r="U69" s="359"/>
      <c r="V69" s="360"/>
      <c r="W69" s="431"/>
      <c r="X69" s="431"/>
      <c r="Y69" s="431"/>
      <c r="Z69" s="431"/>
      <c r="AA69" s="431"/>
      <c r="AB69" s="431"/>
      <c r="AC69" s="431"/>
      <c r="AD69" s="431"/>
    </row>
    <row r="70" spans="1:33" ht="12.75" customHeight="1">
      <c r="A70" s="1695">
        <v>13</v>
      </c>
      <c r="B70" s="1705" t="e" vm="55">
        <v>#VALUE!</v>
      </c>
      <c r="C70" s="362" t="s">
        <v>702</v>
      </c>
      <c r="D70" s="363">
        <v>61</v>
      </c>
      <c r="E70" s="350">
        <v>75.19</v>
      </c>
      <c r="F70" s="352">
        <f t="shared" si="21"/>
        <v>4586.59</v>
      </c>
      <c r="G70" s="1898">
        <v>45202</v>
      </c>
      <c r="H70" s="130"/>
      <c r="I70" s="1899"/>
      <c r="J70" s="1900"/>
      <c r="K70" s="1901"/>
      <c r="L70" s="1902"/>
      <c r="M70" s="1905">
        <f>D70*Transactions!C77/F70-1</f>
        <v>-8.6447665913019778E-3</v>
      </c>
      <c r="N70" s="1904">
        <f>(D70*Transactions!C77-O70)/O70</f>
        <v>-8.7860988742045926E-2</v>
      </c>
      <c r="O70" s="1495">
        <v>4984.92</v>
      </c>
      <c r="P70" s="1720">
        <v>81.72</v>
      </c>
      <c r="Q70" s="1582">
        <v>44511</v>
      </c>
      <c r="R70" s="351" t="str">
        <f t="shared" ref="R70:R79" ca="1" si="22">DATEDIF(Q70,$I$6,"y")&amp;" years"</f>
        <v>2 years</v>
      </c>
      <c r="S70" s="891" t="str">
        <f t="shared" ref="S70:S79" ca="1" si="23">DATEDIF(Q70,$I$6,"ym")&amp;" months"</f>
        <v>1 months</v>
      </c>
      <c r="T70" s="1672"/>
      <c r="U70" s="359"/>
      <c r="V70" s="360"/>
      <c r="W70" s="431"/>
      <c r="X70" s="431"/>
      <c r="Y70" s="431"/>
      <c r="Z70" s="431"/>
      <c r="AA70" s="431"/>
      <c r="AB70" s="431"/>
      <c r="AC70" s="431"/>
      <c r="AD70" s="431"/>
    </row>
    <row r="71" spans="1:33" ht="12.75" customHeight="1">
      <c r="A71" s="1695">
        <v>14</v>
      </c>
      <c r="B71" s="361" t="e" vm="56">
        <v>#VALUE!</v>
      </c>
      <c r="C71" s="1620" t="s">
        <v>652</v>
      </c>
      <c r="D71" s="363">
        <v>6</v>
      </c>
      <c r="E71" s="350">
        <v>346.4</v>
      </c>
      <c r="F71" s="352">
        <f t="shared" si="21"/>
        <v>2078.3999999999996</v>
      </c>
      <c r="G71" s="1897">
        <v>45202</v>
      </c>
      <c r="H71" s="363"/>
      <c r="I71" s="1899"/>
      <c r="J71" s="1900"/>
      <c r="K71" s="1901"/>
      <c r="L71" s="1902"/>
      <c r="M71" s="1903">
        <f>D71*Transactions!C69/F71-1</f>
        <v>5.0404157043880016E-2</v>
      </c>
      <c r="N71" s="1914">
        <f>(D71*Transactions!C69-O71)/O71</f>
        <v>-7.4336013025338418E-2</v>
      </c>
      <c r="O71" s="1720">
        <v>2358.48</v>
      </c>
      <c r="P71" s="1808">
        <v>393.08</v>
      </c>
      <c r="Q71" s="1810">
        <v>44130</v>
      </c>
      <c r="R71" s="351" t="str">
        <f t="shared" ca="1" si="22"/>
        <v>3 years</v>
      </c>
      <c r="S71" s="891" t="str">
        <f t="shared" ca="1" si="23"/>
        <v>1 months</v>
      </c>
      <c r="T71" s="350"/>
      <c r="U71" s="1729"/>
      <c r="V71" s="1885"/>
      <c r="W71" s="431"/>
      <c r="X71" s="431"/>
      <c r="Y71" s="431"/>
      <c r="Z71" s="431"/>
      <c r="AA71" s="431"/>
      <c r="AB71" s="431"/>
      <c r="AC71" s="431"/>
      <c r="AD71" s="431"/>
    </row>
    <row r="72" spans="1:33" ht="12.75" customHeight="1">
      <c r="A72" s="1695">
        <f>A71+1</f>
        <v>15</v>
      </c>
      <c r="B72" s="374" t="e" vm="57">
        <v>#VALUE!</v>
      </c>
      <c r="C72" s="375" t="s">
        <v>231</v>
      </c>
      <c r="D72" s="351">
        <v>19</v>
      </c>
      <c r="E72" s="350">
        <v>119.92</v>
      </c>
      <c r="F72" s="352">
        <f>D72*E72</f>
        <v>2278.48</v>
      </c>
      <c r="G72" s="1897">
        <v>45247</v>
      </c>
      <c r="H72" s="363"/>
      <c r="I72" s="1899"/>
      <c r="J72" s="1900"/>
      <c r="K72" s="1901"/>
      <c r="L72" s="1902"/>
      <c r="M72" s="1905">
        <f>D72*Transactions!C56/F72-1</f>
        <v>-0.19738158772515013</v>
      </c>
      <c r="N72" s="1938">
        <f>(D72*Transactions!C56-O72)/O72</f>
        <v>0.22894910151472392</v>
      </c>
      <c r="O72" s="1808">
        <v>1488.06</v>
      </c>
      <c r="P72" s="1720">
        <v>78.319999999999993</v>
      </c>
      <c r="Q72" s="1582">
        <v>39527</v>
      </c>
      <c r="R72" s="1935" t="str">
        <f t="shared" ca="1" si="22"/>
        <v>15 years</v>
      </c>
      <c r="S72" s="891" t="str">
        <f t="shared" ca="1" si="23"/>
        <v>8 months</v>
      </c>
      <c r="T72" s="350"/>
      <c r="U72" s="1729"/>
      <c r="V72" s="1885"/>
      <c r="W72" s="431"/>
      <c r="X72" s="431"/>
      <c r="Y72" s="431"/>
      <c r="Z72" s="431"/>
      <c r="AA72" s="431"/>
      <c r="AB72" s="431"/>
      <c r="AC72" s="431"/>
      <c r="AD72" s="431"/>
    </row>
    <row r="73" spans="1:33" ht="12.75" customHeight="1">
      <c r="A73" s="1695">
        <f>A72+1</f>
        <v>16</v>
      </c>
      <c r="B73" s="361" t="e" vm="58">
        <v>#VALUE!</v>
      </c>
      <c r="C73" s="375" t="s">
        <v>456</v>
      </c>
      <c r="D73" s="351">
        <v>30</v>
      </c>
      <c r="E73" s="350">
        <v>93.19</v>
      </c>
      <c r="F73" s="352">
        <f t="shared" ref="F73" si="24">D73*E73</f>
        <v>2795.7</v>
      </c>
      <c r="G73" s="1897">
        <v>45252</v>
      </c>
      <c r="H73" s="363"/>
      <c r="I73" s="1899"/>
      <c r="J73" s="1900"/>
      <c r="K73" s="1901"/>
      <c r="L73" s="1902"/>
      <c r="M73" s="1905">
        <f>D73*Transactions!C52/F73-1</f>
        <v>-0.26354759094323432</v>
      </c>
      <c r="N73" s="1914">
        <f>(D73*Transactions!C52-O73)/O73</f>
        <v>-0.24295405658816407</v>
      </c>
      <c r="O73" s="1808">
        <v>2719.65</v>
      </c>
      <c r="P73" s="1808">
        <v>90.66</v>
      </c>
      <c r="Q73" s="1810">
        <v>44501</v>
      </c>
      <c r="R73" s="1935" t="str">
        <f t="shared" ca="1" si="22"/>
        <v>2 years</v>
      </c>
      <c r="S73" s="891" t="str">
        <f t="shared" ca="1" si="23"/>
        <v>1 months</v>
      </c>
      <c r="T73" s="350"/>
      <c r="U73" s="1729"/>
      <c r="V73" s="1885"/>
      <c r="W73" s="431"/>
      <c r="X73" s="431"/>
      <c r="Y73" s="431"/>
      <c r="Z73" s="431"/>
      <c r="AA73" s="431"/>
      <c r="AB73" s="431"/>
      <c r="AC73" s="431"/>
      <c r="AD73" s="431"/>
    </row>
    <row r="74" spans="1:33" ht="12.75" customHeight="1">
      <c r="A74" s="1695">
        <f t="shared" ref="A74:A82" si="25">A73+1</f>
        <v>17</v>
      </c>
      <c r="B74" s="361" t="e" vm="59">
        <v>#VALUE!</v>
      </c>
      <c r="C74" s="1934" t="s">
        <v>402</v>
      </c>
      <c r="D74" s="351">
        <v>21</v>
      </c>
      <c r="E74" s="350">
        <v>262.64</v>
      </c>
      <c r="F74" s="352">
        <v>5515.44</v>
      </c>
      <c r="G74" s="1897">
        <v>45252</v>
      </c>
      <c r="H74" s="363"/>
      <c r="I74" s="1899"/>
      <c r="J74" s="1900"/>
      <c r="K74" s="1901"/>
      <c r="L74" s="1902"/>
      <c r="M74" s="1903">
        <f>D74*Transactions!C50/F74-1</f>
        <v>8.6810843740483534E-3</v>
      </c>
      <c r="N74" s="1938">
        <f>(D74*Transactions!C50-O74)/O74</f>
        <v>0.63255891751987414</v>
      </c>
      <c r="O74" s="1808">
        <v>3407.73</v>
      </c>
      <c r="P74" s="1808">
        <v>162.27000000000001</v>
      </c>
      <c r="Q74" s="1810">
        <v>41955</v>
      </c>
      <c r="R74" s="1935" t="str">
        <f t="shared" ca="1" si="22"/>
        <v>9 years</v>
      </c>
      <c r="S74" s="891" t="str">
        <f t="shared" ca="1" si="23"/>
        <v>1 months</v>
      </c>
      <c r="T74" s="350"/>
      <c r="U74" s="1729"/>
      <c r="V74" s="1885"/>
      <c r="W74" s="431"/>
      <c r="X74" s="431"/>
      <c r="Y74" s="431"/>
      <c r="Z74" s="431"/>
      <c r="AA74" s="431"/>
      <c r="AB74" s="431"/>
      <c r="AC74" s="431"/>
      <c r="AD74" s="431"/>
    </row>
    <row r="75" spans="1:33" ht="12.75" customHeight="1">
      <c r="A75" s="1695">
        <f t="shared" si="25"/>
        <v>18</v>
      </c>
      <c r="B75" s="361" t="e" vm="60">
        <v>#VALUE!</v>
      </c>
      <c r="C75" s="1934" t="s">
        <v>548</v>
      </c>
      <c r="D75" s="363">
        <v>25</v>
      </c>
      <c r="E75" s="350">
        <v>176.65</v>
      </c>
      <c r="F75" s="352">
        <v>4416.25</v>
      </c>
      <c r="G75" s="1897">
        <v>45252</v>
      </c>
      <c r="H75" s="363"/>
      <c r="I75" s="1899"/>
      <c r="J75" s="1900"/>
      <c r="K75" s="1901"/>
      <c r="L75" s="1902"/>
      <c r="M75" s="1905">
        <f>D75*Transactions!C51/F75-1</f>
        <v>-0.14452306821398242</v>
      </c>
      <c r="N75" s="1938">
        <f>(D75*Transactions!C51-O75)/O75</f>
        <v>8.0008690382262507E-2</v>
      </c>
      <c r="O75" s="1808">
        <v>3498.12</v>
      </c>
      <c r="P75" s="1808">
        <v>139.91999999999999</v>
      </c>
      <c r="Q75" s="1810">
        <v>43038</v>
      </c>
      <c r="R75" s="1935" t="str">
        <f t="shared" ca="1" si="22"/>
        <v>6 years</v>
      </c>
      <c r="S75" s="891" t="str">
        <f t="shared" ca="1" si="23"/>
        <v>1 months</v>
      </c>
      <c r="T75" s="350"/>
      <c r="U75" s="1729"/>
      <c r="V75" s="1885"/>
      <c r="W75" s="431"/>
      <c r="X75" s="431"/>
      <c r="Y75" s="431"/>
      <c r="Z75" s="431"/>
      <c r="AA75" s="431"/>
      <c r="AB75" s="431"/>
      <c r="AC75" s="431"/>
      <c r="AD75" s="431"/>
    </row>
    <row r="76" spans="1:33" ht="12.75" customHeight="1">
      <c r="A76" s="1695">
        <f t="shared" si="25"/>
        <v>19</v>
      </c>
      <c r="B76" s="361" t="e" vm="61">
        <v>#VALUE!</v>
      </c>
      <c r="C76" s="1934" t="s">
        <v>396</v>
      </c>
      <c r="D76" s="351">
        <v>40</v>
      </c>
      <c r="E76" s="350">
        <v>266.83999999999997</v>
      </c>
      <c r="F76" s="352">
        <f t="shared" ref="F76:F77" si="26">D76*E76</f>
        <v>10673.599999999999</v>
      </c>
      <c r="G76" s="1949">
        <v>45259</v>
      </c>
      <c r="H76" s="350"/>
      <c r="I76" s="352"/>
      <c r="J76" s="1897"/>
      <c r="K76" s="363"/>
      <c r="L76" s="1947"/>
      <c r="M76" s="1950">
        <f>D76*Transactions!C43/F76-1</f>
        <v>0.24917553590166408</v>
      </c>
      <c r="N76" s="1938">
        <f>(D76*Transactions!C43-O76)/O76</f>
        <v>3.1776042662121382</v>
      </c>
      <c r="O76" s="1495">
        <v>3191.59</v>
      </c>
      <c r="P76" s="1720">
        <v>79.790000000000006</v>
      </c>
      <c r="Q76" s="1948">
        <v>41745</v>
      </c>
      <c r="R76" s="1935" t="str">
        <f t="shared" ca="1" si="22"/>
        <v>9 years</v>
      </c>
      <c r="S76" s="891" t="str">
        <f t="shared" ca="1" si="23"/>
        <v>7 months</v>
      </c>
      <c r="T76" s="1977"/>
      <c r="U76" s="351"/>
      <c r="V76" s="1978"/>
      <c r="W76" s="350"/>
      <c r="X76" s="1729"/>
      <c r="Y76" s="1885"/>
      <c r="Z76" s="431"/>
      <c r="AA76" s="431"/>
      <c r="AB76" s="431"/>
      <c r="AC76" s="431"/>
      <c r="AD76" s="431"/>
      <c r="AE76" s="431"/>
      <c r="AF76" s="431"/>
      <c r="AG76" s="431"/>
    </row>
    <row r="77" spans="1:33" ht="12.75" customHeight="1">
      <c r="A77" s="1695">
        <f t="shared" si="25"/>
        <v>20</v>
      </c>
      <c r="B77" s="361" t="e" vm="47">
        <v>#VALUE!</v>
      </c>
      <c r="C77" s="1934" t="s">
        <v>470</v>
      </c>
      <c r="D77" s="363">
        <v>30</v>
      </c>
      <c r="E77" s="350">
        <v>86.88</v>
      </c>
      <c r="F77" s="352">
        <f t="shared" si="26"/>
        <v>2606.3999999999996</v>
      </c>
      <c r="G77" s="1949">
        <v>45259</v>
      </c>
      <c r="H77" s="363"/>
      <c r="I77" s="1899"/>
      <c r="J77" s="1900"/>
      <c r="K77" s="1901"/>
      <c r="L77" s="1902"/>
      <c r="M77" s="1950">
        <f>D77*Transactions!C44/F77-1</f>
        <v>6.8830570902394417E-2</v>
      </c>
      <c r="N77" s="1914">
        <f>(D77*Transactions!C44-O77)/O77</f>
        <v>-0.27220001567520957</v>
      </c>
      <c r="O77" s="1495">
        <v>3827.7</v>
      </c>
      <c r="P77" s="1720">
        <v>127.59</v>
      </c>
      <c r="Q77" s="1582">
        <v>42096</v>
      </c>
      <c r="R77" s="1935" t="str">
        <f t="shared" ca="1" si="22"/>
        <v>8 years</v>
      </c>
      <c r="S77" s="891" t="str">
        <f t="shared" ca="1" si="23"/>
        <v>8 months</v>
      </c>
      <c r="T77" s="350"/>
      <c r="U77" s="1729"/>
      <c r="V77" s="1885"/>
      <c r="W77" s="431"/>
      <c r="X77" s="431"/>
      <c r="Y77" s="431"/>
      <c r="Z77" s="431"/>
      <c r="AA77" s="431"/>
      <c r="AB77" s="431"/>
      <c r="AC77" s="431"/>
      <c r="AD77" s="431"/>
    </row>
    <row r="78" spans="1:33" ht="12.75" customHeight="1">
      <c r="A78" s="1695">
        <f t="shared" si="25"/>
        <v>21</v>
      </c>
      <c r="B78" s="361" t="e" vm="62">
        <v>#VALUE!</v>
      </c>
      <c r="C78" s="1934" t="s">
        <v>546</v>
      </c>
      <c r="D78" s="363">
        <v>22</v>
      </c>
      <c r="E78" s="350">
        <v>136.47999999999999</v>
      </c>
      <c r="F78" s="352">
        <v>3002.56</v>
      </c>
      <c r="G78" s="1949">
        <v>45260</v>
      </c>
      <c r="H78" s="363"/>
      <c r="I78" s="1899"/>
      <c r="J78" s="1900"/>
      <c r="K78" s="1901"/>
      <c r="L78" s="1902"/>
      <c r="M78" s="1905">
        <f>D78*Transactions!C39/F78-1</f>
        <v>-0.17665592028135979</v>
      </c>
      <c r="N78" s="1938">
        <f>(D78*Transactions!C39-O78)/O78</f>
        <v>0.60846085779721026</v>
      </c>
      <c r="O78" s="1720">
        <v>1536.96</v>
      </c>
      <c r="P78" s="1720">
        <v>69.86</v>
      </c>
      <c r="Q78" s="1582">
        <v>42843</v>
      </c>
      <c r="R78" s="1935" t="str">
        <f t="shared" ca="1" si="22"/>
        <v>6 years</v>
      </c>
      <c r="S78" s="891" t="str">
        <f t="shared" ca="1" si="23"/>
        <v>7 months</v>
      </c>
      <c r="T78" s="350"/>
      <c r="U78" s="1729"/>
      <c r="V78" s="1885"/>
      <c r="W78" s="431"/>
      <c r="X78" s="431"/>
      <c r="Y78" s="431"/>
      <c r="Z78" s="431"/>
      <c r="AA78" s="431"/>
      <c r="AB78" s="431"/>
      <c r="AC78" s="431"/>
      <c r="AD78" s="431"/>
    </row>
    <row r="79" spans="1:33" ht="12.75" customHeight="1">
      <c r="A79" s="1695">
        <f t="shared" si="25"/>
        <v>22</v>
      </c>
      <c r="B79" s="374" t="e" vm="63">
        <v>#VALUE!</v>
      </c>
      <c r="C79" s="375" t="s">
        <v>23</v>
      </c>
      <c r="D79" s="351">
        <v>148</v>
      </c>
      <c r="E79" s="350">
        <v>33.119999999999997</v>
      </c>
      <c r="F79" s="352">
        <f t="shared" ref="F79:F80" si="27">D79*E79</f>
        <v>4901.7599999999993</v>
      </c>
      <c r="G79" s="1949">
        <v>45267</v>
      </c>
      <c r="H79" s="363"/>
      <c r="I79" s="1899"/>
      <c r="J79" s="1900"/>
      <c r="K79" s="1901"/>
      <c r="L79" s="1902"/>
      <c r="M79" s="1905">
        <f>D79*Transactions!C33/F79-1</f>
        <v>-7.2463768115942018E-2</v>
      </c>
      <c r="N79" s="1938">
        <f>(D79*Transactions!C33-O79)/O79</f>
        <v>0.50939687999017302</v>
      </c>
      <c r="O79" s="1495">
        <v>3012.17</v>
      </c>
      <c r="P79" s="1720">
        <v>20.350000000000001</v>
      </c>
      <c r="Q79" s="1582">
        <v>42703</v>
      </c>
      <c r="R79" s="351" t="str">
        <f t="shared" ca="1" si="22"/>
        <v>7 years</v>
      </c>
      <c r="S79" s="891" t="str">
        <f t="shared" ca="1" si="23"/>
        <v>0 months</v>
      </c>
      <c r="T79" s="350"/>
      <c r="U79" s="1729"/>
      <c r="V79" s="1885"/>
      <c r="W79" s="431"/>
      <c r="X79" s="431"/>
      <c r="Y79" s="431"/>
      <c r="Z79" s="431"/>
      <c r="AA79" s="431"/>
      <c r="AB79" s="431"/>
      <c r="AC79" s="431"/>
      <c r="AD79" s="431"/>
    </row>
    <row r="80" spans="1:33" ht="12.75" customHeight="1">
      <c r="A80" s="1695">
        <f t="shared" si="25"/>
        <v>23</v>
      </c>
      <c r="B80" s="1959" t="e" vm="19">
        <v>#VALUE!</v>
      </c>
      <c r="C80" s="1960" t="s">
        <v>682</v>
      </c>
      <c r="D80" s="1961">
        <v>7</v>
      </c>
      <c r="E80" s="565">
        <v>116.39</v>
      </c>
      <c r="F80" s="1962">
        <f t="shared" si="27"/>
        <v>814.73</v>
      </c>
      <c r="G80" s="1897">
        <v>45268</v>
      </c>
      <c r="H80" s="363"/>
      <c r="I80" s="1899"/>
      <c r="J80" s="1900"/>
      <c r="K80" s="1901"/>
      <c r="L80" s="1902"/>
      <c r="M80" s="1950">
        <f>D80*Transactions!C8/F80-1</f>
        <v>0.23653234813987445</v>
      </c>
      <c r="N80" s="1914">
        <f>(D80*Transactions!C8-O80)/O80</f>
        <v>-0.59955799699501555</v>
      </c>
      <c r="O80" s="1808">
        <v>2515.8200000000002</v>
      </c>
      <c r="P80" s="1808">
        <v>68</v>
      </c>
      <c r="Q80" s="1810">
        <v>44494</v>
      </c>
      <c r="R80" s="351" t="s">
        <v>1291</v>
      </c>
      <c r="S80" s="891" t="s">
        <v>1292</v>
      </c>
      <c r="T80" s="350"/>
      <c r="U80" s="1729"/>
      <c r="V80" s="1885"/>
      <c r="W80" s="431"/>
      <c r="X80" s="431"/>
      <c r="Y80" s="431"/>
      <c r="Z80" s="431"/>
      <c r="AA80" s="431"/>
      <c r="AB80" s="431"/>
      <c r="AC80" s="431"/>
      <c r="AD80" s="431"/>
    </row>
    <row r="81" spans="1:30" ht="12.75" customHeight="1">
      <c r="A81" s="1695">
        <f t="shared" si="25"/>
        <v>24</v>
      </c>
      <c r="B81" s="1972" t="e" vm="64">
        <v>#VALUE!</v>
      </c>
      <c r="C81" s="1960" t="s">
        <v>611</v>
      </c>
      <c r="D81" s="1961">
        <v>94</v>
      </c>
      <c r="E81" s="565">
        <v>39.86</v>
      </c>
      <c r="F81" s="1962">
        <f>D81*E81</f>
        <v>3746.84</v>
      </c>
      <c r="G81" s="1897">
        <v>45268</v>
      </c>
      <c r="H81" s="363"/>
      <c r="I81" s="1899"/>
      <c r="J81" s="1900"/>
      <c r="K81" s="1901"/>
      <c r="L81" s="1902"/>
      <c r="M81" s="1905">
        <f>D81*Transactions!C7/F81-1</f>
        <v>-4.7666833918715512E-2</v>
      </c>
      <c r="N81" s="1914">
        <f>(D81*Transactions!C7-O81)/O81</f>
        <v>-0.11502642589464859</v>
      </c>
      <c r="O81" s="1958">
        <v>4032.03</v>
      </c>
      <c r="P81" s="1932">
        <v>42.89</v>
      </c>
      <c r="Q81" s="1967">
        <v>43217</v>
      </c>
      <c r="R81" s="1316" t="str">
        <f ca="1">DATEDIF(Q81,$I$6,"y")&amp;" years"</f>
        <v>5 years</v>
      </c>
      <c r="S81" s="1968" t="str">
        <f ca="1">DATEDIF(Q81,$I$6,"ym")&amp;" months"</f>
        <v>7 months</v>
      </c>
      <c r="T81" s="350"/>
      <c r="U81" s="1729"/>
      <c r="V81" s="1885"/>
      <c r="W81" s="431"/>
      <c r="X81" s="431"/>
      <c r="Y81" s="431"/>
      <c r="Z81" s="431"/>
      <c r="AA81" s="431"/>
      <c r="AB81" s="431"/>
      <c r="AC81" s="431"/>
      <c r="AD81" s="431"/>
    </row>
    <row r="82" spans="1:30" ht="12.75" customHeight="1">
      <c r="A82" s="1695">
        <f t="shared" si="25"/>
        <v>25</v>
      </c>
      <c r="B82" s="1973" t="e" vm="41">
        <v>#VALUE!</v>
      </c>
      <c r="C82" s="1974" t="s">
        <v>698</v>
      </c>
      <c r="D82" s="1961">
        <v>62</v>
      </c>
      <c r="E82" s="565">
        <v>47.86</v>
      </c>
      <c r="F82" s="1962">
        <f>D82*E82</f>
        <v>2967.32</v>
      </c>
      <c r="G82" s="1897">
        <v>45268</v>
      </c>
      <c r="H82" s="363"/>
      <c r="I82" s="1899"/>
      <c r="J82" s="1900"/>
      <c r="K82" s="1901"/>
      <c r="L82" s="1902"/>
      <c r="M82" s="1950">
        <f>D82*Transactions!C10/F82-1</f>
        <v>1.6924362724613395E-2</v>
      </c>
      <c r="N82" s="1914">
        <f>(D82*Transactions!C10-O82)/O82</f>
        <v>-0.83295570104808869</v>
      </c>
      <c r="O82" s="1495">
        <v>18064.310000000001</v>
      </c>
      <c r="P82" s="1720">
        <v>51.29</v>
      </c>
      <c r="Q82" s="1582">
        <v>44510</v>
      </c>
      <c r="R82" s="351" t="str">
        <f t="shared" ref="R82:R83" ca="1" si="28">DATEDIF(Q82,$I$6,"y")&amp;" years"</f>
        <v>2 years</v>
      </c>
      <c r="S82" s="891" t="str">
        <f t="shared" ref="S82:S83" ca="1" si="29">DATEDIF(Q82,$I$6,"ym")&amp;" months"</f>
        <v>1 months</v>
      </c>
      <c r="T82" s="350"/>
      <c r="U82" s="1729"/>
      <c r="V82" s="1885"/>
      <c r="W82" s="431"/>
      <c r="X82" s="431"/>
      <c r="Y82" s="431"/>
      <c r="Z82" s="431"/>
      <c r="AA82" s="431"/>
      <c r="AB82" s="431"/>
      <c r="AC82" s="431"/>
      <c r="AD82" s="431"/>
    </row>
    <row r="83" spans="1:30" ht="12.75" customHeight="1">
      <c r="A83" s="1695">
        <v>26</v>
      </c>
      <c r="B83" s="1632" t="e" vm="65">
        <v>#VALUE!</v>
      </c>
      <c r="C83" s="362" t="s">
        <v>762</v>
      </c>
      <c r="D83" s="1961">
        <v>80</v>
      </c>
      <c r="E83" s="565">
        <v>50.69</v>
      </c>
      <c r="F83" s="1962">
        <f>D83*E83</f>
        <v>4055.2</v>
      </c>
      <c r="G83" s="1897">
        <v>45268</v>
      </c>
      <c r="H83" s="363"/>
      <c r="I83" s="1899"/>
      <c r="J83" s="1900"/>
      <c r="K83" s="1901"/>
      <c r="L83" s="1902"/>
      <c r="M83" s="1950"/>
      <c r="N83" s="1724">
        <f>(E83-P83)/P83</f>
        <v>4.1600633914421724E-3</v>
      </c>
      <c r="O83" s="1720">
        <v>4038.37</v>
      </c>
      <c r="P83" s="1720">
        <v>50.48</v>
      </c>
      <c r="Q83" s="1582">
        <v>45034</v>
      </c>
      <c r="R83" s="351" t="str">
        <f t="shared" ca="1" si="28"/>
        <v>0 years</v>
      </c>
      <c r="S83" s="891" t="str">
        <f t="shared" ca="1" si="29"/>
        <v>7 months</v>
      </c>
      <c r="T83" s="350"/>
      <c r="U83" s="1729"/>
      <c r="V83" s="1885"/>
      <c r="W83" s="431"/>
      <c r="X83" s="431"/>
      <c r="Y83" s="431"/>
      <c r="Z83" s="431"/>
      <c r="AA83" s="431"/>
      <c r="AB83" s="431"/>
      <c r="AC83" s="431"/>
      <c r="AD83" s="431"/>
    </row>
    <row r="84" spans="1:30" ht="12.75" customHeight="1">
      <c r="A84" s="1695"/>
      <c r="B84" s="1959"/>
      <c r="C84" s="1963"/>
      <c r="D84" s="1961"/>
      <c r="E84" s="565"/>
      <c r="F84" s="1962"/>
      <c r="G84" s="1897"/>
      <c r="H84" s="363"/>
      <c r="I84" s="1899"/>
      <c r="J84" s="1900"/>
      <c r="K84" s="1901"/>
      <c r="L84" s="1930"/>
      <c r="M84" s="1903"/>
      <c r="N84" s="1925"/>
      <c r="O84" s="1926"/>
      <c r="P84" s="1926"/>
      <c r="Q84" s="1937"/>
      <c r="R84" s="1936"/>
      <c r="S84" s="1927"/>
      <c r="T84" s="350"/>
      <c r="U84" s="1729"/>
      <c r="V84" s="1885"/>
      <c r="W84" s="431"/>
      <c r="X84" s="431"/>
      <c r="Y84" s="431"/>
      <c r="Z84" s="431"/>
      <c r="AA84" s="431"/>
      <c r="AB84" s="431"/>
      <c r="AC84" s="431"/>
      <c r="AD84" s="431"/>
    </row>
    <row r="85" spans="1:30" ht="12.75" customHeight="1">
      <c r="A85" s="844"/>
      <c r="B85" s="1915" t="s">
        <v>764</v>
      </c>
      <c r="C85" s="1916"/>
      <c r="D85" s="1917"/>
      <c r="E85" s="1918"/>
      <c r="F85" s="1919">
        <f>SUM(F49,F55)</f>
        <v>269233.15000000002</v>
      </c>
      <c r="G85" s="1920">
        <f>F85/$F$88</f>
        <v>0.94310686726354387</v>
      </c>
      <c r="H85" s="1921"/>
      <c r="I85" s="1921"/>
      <c r="J85" s="1922"/>
      <c r="K85" s="1923">
        <f>K49+K55</f>
        <v>356977.07000000007</v>
      </c>
      <c r="L85" s="1920">
        <f>K85/$K$88</f>
        <v>0.98004362984257065</v>
      </c>
      <c r="M85" s="1924"/>
      <c r="N85" s="1620"/>
      <c r="O85" s="1692"/>
      <c r="P85" s="1692"/>
      <c r="Q85" s="1641"/>
      <c r="R85" s="535"/>
      <c r="S85" s="358"/>
      <c r="T85" s="359"/>
      <c r="U85" s="359"/>
      <c r="V85" s="360"/>
      <c r="W85" s="431"/>
      <c r="X85" s="431"/>
      <c r="Y85" s="431"/>
      <c r="Z85" s="431"/>
      <c r="AA85" s="431"/>
      <c r="AB85" s="431"/>
      <c r="AC85" s="431"/>
      <c r="AD85" s="431"/>
    </row>
    <row r="86" spans="1:30" ht="12.75" customHeight="1">
      <c r="A86" s="844"/>
      <c r="B86" s="1324" t="s">
        <v>749</v>
      </c>
      <c r="C86" s="1324"/>
      <c r="D86" s="401"/>
      <c r="E86" s="402"/>
      <c r="F86" s="1811">
        <v>16241.55</v>
      </c>
      <c r="G86" s="417">
        <f>F86/$F$88</f>
        <v>5.6893132736456152E-2</v>
      </c>
      <c r="H86" s="405"/>
      <c r="I86" s="405"/>
      <c r="J86" s="406"/>
      <c r="K86" s="581">
        <v>7269.03</v>
      </c>
      <c r="L86" s="417">
        <f>K86/$K$88</f>
        <v>1.9956370157429272E-2</v>
      </c>
      <c r="M86" s="1752"/>
      <c r="N86" s="1676"/>
      <c r="O86" s="1692"/>
      <c r="P86" s="1692"/>
      <c r="Q86" s="1701"/>
      <c r="R86" s="535"/>
      <c r="S86" s="358"/>
      <c r="T86" s="359"/>
      <c r="U86" s="359"/>
      <c r="V86" s="360"/>
      <c r="W86" s="431"/>
      <c r="X86" s="431"/>
      <c r="Y86" s="431"/>
      <c r="Z86" s="431"/>
      <c r="AA86" s="431"/>
      <c r="AB86" s="431"/>
      <c r="AC86" s="431"/>
      <c r="AD86" s="431"/>
    </row>
    <row r="87" spans="1:30" ht="12.75" customHeight="1" thickBot="1">
      <c r="A87" s="1804"/>
      <c r="B87" s="1704"/>
      <c r="C87" s="1704"/>
      <c r="D87" s="409"/>
      <c r="E87" s="1325"/>
      <c r="F87" s="1326"/>
      <c r="G87" s="1327"/>
      <c r="H87" s="1328"/>
      <c r="I87" s="1328"/>
      <c r="J87" s="94"/>
      <c r="K87" s="96"/>
      <c r="L87" s="571"/>
      <c r="M87" s="1860"/>
      <c r="N87" s="1861"/>
      <c r="O87" s="1692"/>
      <c r="P87" s="1692"/>
      <c r="Q87" s="431"/>
      <c r="R87" s="535"/>
      <c r="S87" s="358"/>
      <c r="T87" s="359"/>
      <c r="U87" s="359"/>
      <c r="V87" s="360"/>
      <c r="W87" s="431"/>
      <c r="X87" s="431"/>
      <c r="Y87" s="431"/>
      <c r="Z87" s="431"/>
      <c r="AA87" s="431"/>
      <c r="AB87" s="431"/>
      <c r="AC87" s="431"/>
      <c r="AD87" s="431"/>
    </row>
    <row r="88" spans="1:30" ht="12.75" customHeight="1" thickTop="1">
      <c r="A88" s="359"/>
      <c r="B88" s="1324" t="s">
        <v>765</v>
      </c>
      <c r="C88" s="1324"/>
      <c r="D88" s="1329"/>
      <c r="E88" s="1330"/>
      <c r="F88" s="412">
        <f>F85+F86</f>
        <v>285474.7</v>
      </c>
      <c r="G88" s="413">
        <f>SUM(G85:G87)</f>
        <v>1</v>
      </c>
      <c r="H88" s="1332"/>
      <c r="I88" s="1332"/>
      <c r="J88" s="1333"/>
      <c r="K88" s="1270">
        <f>SUM(K85:K87)</f>
        <v>364246.10000000009</v>
      </c>
      <c r="L88" s="413">
        <f>SUM(L85:L87)</f>
        <v>0.99999999999999989</v>
      </c>
      <c r="M88" s="147">
        <f>(K88-F88)/F88</f>
        <v>0.27593128217666951</v>
      </c>
      <c r="N88" s="1334"/>
      <c r="O88" s="1692"/>
      <c r="P88" s="1692"/>
      <c r="Q88" s="358"/>
      <c r="R88" s="357"/>
      <c r="S88" s="358"/>
      <c r="T88" s="359"/>
      <c r="U88" s="359"/>
      <c r="V88" s="360"/>
      <c r="W88" s="431"/>
      <c r="X88" s="431"/>
      <c r="Y88" s="431"/>
      <c r="Z88" s="431"/>
      <c r="AA88" s="431"/>
      <c r="AB88" s="431"/>
      <c r="AC88" s="431"/>
      <c r="AD88" s="431"/>
    </row>
    <row r="89" spans="1:30" ht="12.75" customHeight="1">
      <c r="A89" s="359"/>
      <c r="B89" s="359"/>
      <c r="C89" s="1705"/>
      <c r="D89" s="1706"/>
      <c r="E89" s="1706"/>
      <c r="F89" s="1706"/>
      <c r="G89" s="1706"/>
      <c r="H89" s="500"/>
      <c r="I89" s="500"/>
      <c r="J89" s="1352"/>
      <c r="K89" s="1352"/>
      <c r="L89" s="1798"/>
      <c r="M89" s="382"/>
      <c r="N89" s="1334"/>
      <c r="O89" s="1692"/>
      <c r="P89" s="1692"/>
      <c r="Q89" s="1641"/>
      <c r="R89" s="358"/>
      <c r="S89" s="359"/>
      <c r="T89" s="359"/>
      <c r="U89" s="359"/>
      <c r="V89" s="360"/>
      <c r="W89" s="431"/>
      <c r="X89" s="431"/>
      <c r="Y89" s="431"/>
      <c r="Z89" s="431"/>
      <c r="AA89" s="431"/>
      <c r="AB89" s="431"/>
      <c r="AC89" s="431"/>
      <c r="AD89" s="431"/>
    </row>
    <row r="90" spans="1:30" ht="12.75" customHeight="1">
      <c r="A90" s="359"/>
      <c r="B90" s="1324" t="s">
        <v>390</v>
      </c>
      <c r="C90" s="359"/>
      <c r="D90" s="361"/>
      <c r="E90" s="361"/>
      <c r="F90" s="1729"/>
      <c r="G90" s="361"/>
      <c r="H90" s="500"/>
      <c r="I90" s="500"/>
      <c r="J90" s="359"/>
      <c r="K90" s="359"/>
      <c r="L90" s="584"/>
      <c r="M90" s="359"/>
      <c r="N90" s="5"/>
      <c r="O90" s="1692"/>
      <c r="P90" s="1692"/>
      <c r="Q90" s="497"/>
      <c r="R90" s="1641"/>
      <c r="S90" s="535"/>
      <c r="T90" s="359"/>
      <c r="U90" s="359"/>
      <c r="V90" s="359"/>
      <c r="W90" s="431"/>
      <c r="X90" s="431"/>
      <c r="Y90" s="431"/>
      <c r="Z90" s="431"/>
      <c r="AA90" s="431"/>
      <c r="AB90" s="431"/>
      <c r="AC90" s="431"/>
      <c r="AD90" s="431"/>
    </row>
    <row r="91" spans="1:30" ht="12.75" customHeight="1">
      <c r="A91" s="359"/>
      <c r="B91" s="359" t="e" vm="66">
        <v>#VALUE!</v>
      </c>
      <c r="C91" s="359"/>
      <c r="D91" s="361"/>
      <c r="F91" s="1336">
        <v>3839.5</v>
      </c>
      <c r="G91" s="361"/>
      <c r="H91" s="500"/>
      <c r="I91" s="500"/>
      <c r="K91" s="1336" cm="1">
        <f t="array" ref="K91">_FV(B91,"Price")</f>
        <v>4716.13</v>
      </c>
      <c r="L91" s="1335"/>
      <c r="M91" s="1334">
        <f>(K91-F91)/F91</f>
        <v>0.22831879150931114</v>
      </c>
      <c r="O91" s="1692"/>
      <c r="Q91" s="5"/>
      <c r="R91" s="5"/>
      <c r="S91" s="535"/>
      <c r="T91" s="359"/>
      <c r="U91" s="359"/>
      <c r="V91" s="359"/>
      <c r="W91" s="431"/>
      <c r="X91" s="431"/>
      <c r="Y91" s="431"/>
      <c r="Z91" s="431"/>
      <c r="AA91" s="431"/>
      <c r="AB91" s="431"/>
      <c r="AC91" s="431"/>
      <c r="AD91" s="431"/>
    </row>
    <row r="92" spans="1:30" ht="12.75" customHeight="1">
      <c r="A92" s="359"/>
      <c r="B92" s="359" t="s">
        <v>273</v>
      </c>
      <c r="C92" s="359"/>
      <c r="D92" s="359"/>
      <c r="E92" s="359"/>
      <c r="F92" s="1351"/>
      <c r="G92" s="359"/>
      <c r="H92" s="500"/>
      <c r="I92" s="500"/>
      <c r="J92" s="350"/>
      <c r="K92" s="1352"/>
      <c r="L92" s="584"/>
      <c r="M92" s="1754">
        <v>1.9E-2</v>
      </c>
      <c r="O92" s="1692"/>
      <c r="P92" s="1692"/>
      <c r="Q92" s="497"/>
      <c r="R92" s="416"/>
      <c r="S92" s="535"/>
      <c r="T92" s="359"/>
      <c r="U92" s="359"/>
      <c r="V92" s="359"/>
      <c r="W92" s="431"/>
      <c r="X92" s="431"/>
      <c r="Y92" s="431"/>
      <c r="Z92" s="431"/>
      <c r="AA92" s="431"/>
      <c r="AB92" s="431"/>
      <c r="AC92" s="431"/>
      <c r="AD92" s="431"/>
    </row>
    <row r="93" spans="1:30" ht="12.75" customHeight="1">
      <c r="A93" s="359"/>
      <c r="B93" s="1730" t="s">
        <v>228</v>
      </c>
      <c r="C93" s="359"/>
      <c r="D93" s="359"/>
      <c r="E93" s="359"/>
      <c r="F93" s="1351"/>
      <c r="G93" s="359"/>
      <c r="H93" s="500"/>
      <c r="I93" s="500"/>
      <c r="J93" s="350"/>
      <c r="K93" s="1352"/>
      <c r="L93" s="1494"/>
      <c r="M93" s="1334">
        <f>M91+M92</f>
        <v>0.24731879150931113</v>
      </c>
      <c r="O93" s="1692"/>
      <c r="P93" s="1692"/>
      <c r="Q93" s="497"/>
      <c r="R93" s="1641"/>
      <c r="S93" s="535"/>
      <c r="T93" s="359"/>
      <c r="U93" s="359"/>
      <c r="V93" s="359"/>
      <c r="W93" s="431"/>
      <c r="X93" s="431"/>
      <c r="Y93" s="431"/>
      <c r="Z93" s="431"/>
      <c r="AA93" s="431"/>
      <c r="AB93" s="431"/>
      <c r="AC93" s="431"/>
      <c r="AD93" s="431"/>
    </row>
    <row r="94" spans="1:30" ht="12.75" customHeight="1">
      <c r="A94" s="359"/>
      <c r="B94" s="1339"/>
      <c r="C94" s="359"/>
      <c r="D94" s="359"/>
      <c r="E94" s="359"/>
      <c r="F94" s="1352"/>
      <c r="G94" s="359"/>
      <c r="H94" s="500"/>
      <c r="I94" s="500"/>
      <c r="J94" s="350"/>
      <c r="K94" s="1352"/>
      <c r="L94" s="1494"/>
      <c r="M94" s="1755"/>
      <c r="O94" s="1692"/>
      <c r="P94" s="1692"/>
      <c r="Q94" s="497"/>
      <c r="R94" s="1641"/>
      <c r="S94" s="535"/>
      <c r="T94" s="359"/>
      <c r="U94" s="359"/>
      <c r="V94" s="359"/>
      <c r="W94" s="431"/>
      <c r="X94" s="431"/>
      <c r="Y94" s="431"/>
      <c r="Z94" s="431"/>
      <c r="AA94" s="431"/>
      <c r="AB94" s="431"/>
      <c r="AC94" s="431"/>
      <c r="AD94" s="431"/>
    </row>
    <row r="95" spans="1:30" ht="14.25" customHeight="1">
      <c r="A95" s="359"/>
      <c r="B95" s="359" t="e" vm="67">
        <v>#VALUE!</v>
      </c>
      <c r="C95" s="359" t="s">
        <v>358</v>
      </c>
      <c r="D95" s="359"/>
      <c r="F95" s="505">
        <v>96.99</v>
      </c>
      <c r="G95" s="5"/>
      <c r="H95" s="306"/>
      <c r="I95" s="500"/>
      <c r="K95" s="1336" cm="1">
        <f t="array" ref="K95">_FV(B95,"Price")</f>
        <v>98.92</v>
      </c>
      <c r="L95" s="1494"/>
      <c r="M95" s="1756">
        <f>(K95-F95)/F95</f>
        <v>1.9898958655531568E-2</v>
      </c>
      <c r="O95" s="1692"/>
      <c r="P95" s="1692"/>
      <c r="Q95" s="361"/>
      <c r="R95" s="57"/>
      <c r="S95" s="535"/>
      <c r="T95" s="359"/>
      <c r="U95" s="359"/>
      <c r="V95" s="359"/>
      <c r="W95" s="431"/>
      <c r="X95" s="431"/>
      <c r="Y95" s="431"/>
      <c r="Z95" s="431"/>
      <c r="AA95" s="431"/>
      <c r="AB95" s="431"/>
      <c r="AC95" s="431"/>
      <c r="AD95" s="431"/>
    </row>
    <row r="96" spans="1:30" ht="14.25" customHeight="1">
      <c r="A96" s="359"/>
      <c r="B96" s="359" t="s">
        <v>766</v>
      </c>
      <c r="C96" s="359"/>
      <c r="D96" s="359"/>
      <c r="F96" s="505"/>
      <c r="G96" s="5"/>
      <c r="H96" s="306"/>
      <c r="I96" s="500"/>
      <c r="K96" s="1336"/>
      <c r="L96" s="1494"/>
      <c r="M96" s="1754">
        <v>2.3300000000000001E-2</v>
      </c>
      <c r="O96" s="1692"/>
      <c r="P96" s="1692"/>
      <c r="Q96" s="361"/>
      <c r="R96" s="57"/>
      <c r="S96" s="535"/>
      <c r="T96" s="359"/>
      <c r="U96" s="359"/>
      <c r="V96" s="359"/>
      <c r="W96" s="431"/>
      <c r="X96" s="431"/>
      <c r="Y96" s="431"/>
      <c r="Z96" s="431"/>
      <c r="AA96" s="431"/>
      <c r="AB96" s="431"/>
      <c r="AC96" s="431"/>
      <c r="AD96" s="431"/>
    </row>
    <row r="97" spans="1:30" ht="14.25" customHeight="1">
      <c r="A97" s="359"/>
      <c r="B97" s="359" t="s">
        <v>767</v>
      </c>
      <c r="C97" s="359"/>
      <c r="D97" s="359"/>
      <c r="F97" s="505"/>
      <c r="G97" s="5"/>
      <c r="H97" s="306"/>
      <c r="I97" s="500"/>
      <c r="K97" s="1336"/>
      <c r="L97" s="1494"/>
      <c r="M97" s="1756">
        <f>M95+M96</f>
        <v>4.3198958655531569E-2</v>
      </c>
      <c r="O97" s="1692"/>
      <c r="P97" s="1692"/>
      <c r="Q97" s="361"/>
      <c r="R97" s="57"/>
      <c r="S97" s="535"/>
      <c r="T97" s="359"/>
      <c r="U97" s="359"/>
      <c r="V97" s="359"/>
      <c r="W97" s="431"/>
      <c r="X97" s="431"/>
      <c r="Y97" s="431"/>
      <c r="Z97" s="431"/>
      <c r="AA97" s="431"/>
      <c r="AB97" s="431"/>
      <c r="AC97" s="431"/>
      <c r="AD97" s="431"/>
    </row>
    <row r="98" spans="1:30" ht="14.25" customHeight="1">
      <c r="A98" s="359"/>
      <c r="O98" s="1692"/>
      <c r="P98" s="1692"/>
      <c r="Q98" s="361"/>
      <c r="R98" s="1641"/>
      <c r="S98" s="535"/>
      <c r="T98" s="359"/>
      <c r="U98" s="359"/>
      <c r="V98" s="359"/>
      <c r="W98" s="431"/>
      <c r="X98" s="431"/>
      <c r="Y98" s="431"/>
      <c r="Z98" s="431"/>
      <c r="AA98" s="431"/>
      <c r="AB98" s="431"/>
      <c r="AC98" s="431"/>
      <c r="AD98" s="431"/>
    </row>
    <row r="99" spans="1:30" ht="14.25" customHeight="1">
      <c r="A99" s="359"/>
      <c r="B99" s="359" t="s">
        <v>768</v>
      </c>
      <c r="C99" s="359"/>
      <c r="D99" s="359"/>
      <c r="E99" s="359"/>
      <c r="F99" s="359"/>
      <c r="G99" s="359"/>
      <c r="H99" s="500"/>
      <c r="I99" s="500"/>
      <c r="J99" s="359"/>
      <c r="K99" s="359"/>
      <c r="L99" s="1494"/>
      <c r="M99" s="1334">
        <f>0.8*M93+0.2*M97</f>
        <v>0.20649482493855523</v>
      </c>
      <c r="O99" s="1692"/>
      <c r="P99" s="1692"/>
      <c r="R99" s="1641"/>
      <c r="S99" s="535"/>
      <c r="T99" s="359"/>
      <c r="U99" s="359"/>
      <c r="V99" s="359"/>
      <c r="W99" s="431"/>
      <c r="X99" s="431"/>
      <c r="Y99" s="431"/>
      <c r="Z99" s="431"/>
      <c r="AA99" s="431"/>
      <c r="AB99" s="431"/>
      <c r="AC99" s="431"/>
      <c r="AD99" s="431"/>
    </row>
    <row r="100" spans="1:30" ht="12.75" customHeight="1">
      <c r="A100" s="5"/>
      <c r="B100" s="359"/>
      <c r="C100" s="5"/>
      <c r="D100" s="5"/>
      <c r="E100" s="5"/>
      <c r="F100" s="5"/>
      <c r="G100" s="5"/>
      <c r="H100" s="68"/>
      <c r="I100" s="68"/>
      <c r="J100" s="5"/>
      <c r="K100" s="5"/>
      <c r="L100" s="306" t="s">
        <v>618</v>
      </c>
      <c r="M100" s="61">
        <f>M88-M99</f>
        <v>6.9436457238114285E-2</v>
      </c>
      <c r="O100" s="1692"/>
      <c r="P100" s="1692"/>
      <c r="Q100" s="1641"/>
      <c r="R100" s="57"/>
      <c r="S100" s="5"/>
      <c r="T100" s="5"/>
      <c r="U100" s="5"/>
      <c r="V100" s="5"/>
      <c r="W100" s="431"/>
      <c r="X100" s="431"/>
      <c r="Y100" s="431"/>
      <c r="Z100" s="431"/>
      <c r="AA100" s="431"/>
      <c r="AB100" s="431"/>
      <c r="AC100" s="431"/>
      <c r="AD100" s="431"/>
    </row>
    <row r="101" spans="1:30" ht="12.75" customHeight="1">
      <c r="A101" s="5"/>
      <c r="B101" s="5"/>
      <c r="C101" s="5"/>
      <c r="D101" s="5"/>
      <c r="E101" s="5"/>
      <c r="F101" s="5"/>
      <c r="G101" s="5"/>
      <c r="H101" s="306"/>
      <c r="I101" s="306"/>
      <c r="J101" s="5"/>
      <c r="K101" s="5"/>
      <c r="L101" s="306"/>
      <c r="M101" s="5" t="s">
        <v>564</v>
      </c>
      <c r="N101" s="5"/>
      <c r="O101" s="1692"/>
      <c r="P101" s="1692"/>
      <c r="Q101" s="5"/>
      <c r="R101" s="57"/>
      <c r="S101" s="5"/>
      <c r="T101" s="5"/>
      <c r="U101" s="5"/>
      <c r="V101" s="5"/>
      <c r="W101" s="431"/>
      <c r="X101" s="431"/>
      <c r="Y101" s="431"/>
      <c r="Z101" s="431"/>
      <c r="AA101" s="431"/>
      <c r="AB101" s="431"/>
      <c r="AC101" s="431"/>
      <c r="AD101" s="431"/>
    </row>
    <row r="102" spans="1:30" ht="12.75" customHeight="1">
      <c r="A102" s="5"/>
      <c r="B102" s="5"/>
      <c r="C102" s="5"/>
      <c r="D102" s="5"/>
      <c r="E102" s="5"/>
      <c r="F102" s="5"/>
      <c r="G102" s="5"/>
      <c r="H102" s="306"/>
      <c r="I102" s="306"/>
      <c r="K102" s="5"/>
      <c r="L102" s="306"/>
      <c r="M102" s="5"/>
      <c r="N102" s="5"/>
      <c r="O102" s="5"/>
      <c r="P102" s="5"/>
      <c r="Q102" s="5"/>
      <c r="R102" s="57"/>
      <c r="S102" s="5"/>
      <c r="T102" s="5"/>
      <c r="U102" s="5"/>
      <c r="V102" s="5"/>
      <c r="W102" s="431"/>
      <c r="X102" s="431"/>
      <c r="Y102" s="431"/>
      <c r="Z102" s="431"/>
      <c r="AA102" s="431"/>
      <c r="AB102" s="431"/>
      <c r="AC102" s="431"/>
      <c r="AD102" s="431"/>
    </row>
    <row r="103" spans="1:30" ht="12.75" customHeight="1">
      <c r="A103" s="5"/>
      <c r="B103" s="5"/>
      <c r="C103" s="5"/>
      <c r="D103" s="5"/>
      <c r="E103" s="5"/>
      <c r="F103" s="5"/>
      <c r="G103" s="5"/>
      <c r="H103" s="306"/>
      <c r="I103" s="306"/>
      <c r="J103" s="5"/>
      <c r="K103" s="5"/>
      <c r="L103" s="306" t="s">
        <v>769</v>
      </c>
      <c r="M103" s="5"/>
      <c r="N103" s="5"/>
      <c r="O103" s="5"/>
      <c r="P103" s="5"/>
      <c r="Q103" s="5"/>
      <c r="R103" s="57"/>
      <c r="S103" s="5"/>
      <c r="T103" s="5"/>
      <c r="U103" s="5"/>
      <c r="V103" s="5"/>
      <c r="W103" s="431"/>
      <c r="X103" s="431"/>
      <c r="Y103" s="431"/>
      <c r="Z103" s="431"/>
      <c r="AA103" s="431"/>
      <c r="AB103" s="431"/>
      <c r="AC103" s="431"/>
      <c r="AD103" s="431"/>
    </row>
    <row r="104" spans="1:30" ht="12.75" customHeight="1">
      <c r="A104" s="5"/>
      <c r="B104" s="5"/>
      <c r="C104" s="5"/>
      <c r="D104" s="5"/>
      <c r="E104" s="5"/>
      <c r="F104" s="5"/>
      <c r="G104" s="5"/>
      <c r="H104" s="306"/>
      <c r="I104" s="306"/>
      <c r="J104" s="5"/>
      <c r="K104" s="5" t="s">
        <v>1294</v>
      </c>
      <c r="L104" s="306"/>
      <c r="M104" s="5"/>
      <c r="N104" s="5"/>
      <c r="O104" s="5"/>
      <c r="P104" s="5"/>
      <c r="Q104" s="5"/>
      <c r="R104" s="57"/>
      <c r="S104" s="5"/>
      <c r="T104" s="5"/>
      <c r="U104" s="5"/>
      <c r="V104" s="5"/>
      <c r="W104" s="431"/>
      <c r="X104" s="431"/>
      <c r="Y104" s="431"/>
      <c r="Z104" s="431"/>
      <c r="AA104" s="431"/>
      <c r="AB104" s="431"/>
      <c r="AC104" s="431"/>
      <c r="AD104" s="431"/>
    </row>
    <row r="105" spans="1:30" ht="12.75" customHeight="1">
      <c r="A105" s="5"/>
      <c r="B105" s="5"/>
      <c r="C105" s="5"/>
      <c r="D105" s="5"/>
      <c r="E105" s="5"/>
      <c r="F105" s="5"/>
      <c r="G105" s="5"/>
      <c r="H105" s="306"/>
      <c r="I105" s="306"/>
      <c r="J105" s="5"/>
      <c r="K105" s="5"/>
      <c r="L105" s="306"/>
      <c r="N105" s="1334"/>
      <c r="O105" s="1334"/>
      <c r="P105" s="1334"/>
      <c r="Q105" s="5"/>
      <c r="R105" s="57"/>
      <c r="S105" s="5"/>
      <c r="T105" s="5"/>
      <c r="U105" s="5"/>
      <c r="V105" s="5"/>
      <c r="W105" s="431"/>
      <c r="X105" s="431"/>
      <c r="Y105" s="431"/>
      <c r="Z105" s="431"/>
      <c r="AA105" s="431"/>
      <c r="AB105" s="431"/>
      <c r="AC105" s="431"/>
      <c r="AD105" s="431"/>
    </row>
    <row r="106" spans="1:30" ht="12.75" customHeight="1">
      <c r="A106" s="5"/>
      <c r="B106" s="5"/>
      <c r="C106" s="5"/>
      <c r="D106" s="5"/>
      <c r="E106" s="5"/>
      <c r="F106" s="5"/>
      <c r="G106" s="5"/>
      <c r="H106" s="1717"/>
      <c r="I106" s="1718"/>
      <c r="J106" s="5"/>
      <c r="K106" s="5"/>
      <c r="L106" s="306"/>
      <c r="M106" s="60"/>
      <c r="N106" s="1334"/>
      <c r="O106" s="1334"/>
      <c r="P106" s="1334"/>
      <c r="Q106" s="5"/>
      <c r="R106" s="57"/>
      <c r="S106" s="5"/>
      <c r="T106" s="5"/>
      <c r="U106" s="5"/>
      <c r="V106" s="5"/>
      <c r="W106" s="431"/>
      <c r="X106" s="431"/>
      <c r="Y106" s="431"/>
      <c r="Z106" s="431"/>
      <c r="AA106" s="431"/>
      <c r="AB106" s="431"/>
      <c r="AC106" s="431"/>
      <c r="AD106" s="431"/>
    </row>
    <row r="107" spans="1:30" ht="12.75" customHeight="1">
      <c r="A107" s="5"/>
      <c r="B107" s="5"/>
      <c r="C107" s="5"/>
      <c r="D107" s="5"/>
      <c r="E107" s="5"/>
      <c r="F107" s="5"/>
      <c r="G107" s="5"/>
      <c r="H107" s="306"/>
      <c r="I107" s="306"/>
      <c r="J107" s="5"/>
      <c r="K107" s="5"/>
      <c r="L107" s="306"/>
      <c r="M107" s="5"/>
      <c r="N107" s="5"/>
      <c r="O107" s="5"/>
      <c r="P107" s="5"/>
      <c r="Q107" s="5"/>
      <c r="R107" s="57"/>
      <c r="S107" s="5"/>
      <c r="T107" s="5"/>
      <c r="U107" s="5"/>
      <c r="V107" s="5"/>
      <c r="W107" s="431"/>
      <c r="X107" s="431"/>
      <c r="Y107" s="431"/>
      <c r="Z107" s="431"/>
      <c r="AA107" s="431"/>
      <c r="AB107" s="431"/>
      <c r="AC107" s="431"/>
      <c r="AD107" s="431"/>
    </row>
    <row r="108" spans="1:30" ht="12.75" customHeight="1">
      <c r="A108" s="5"/>
      <c r="B108" s="5"/>
      <c r="C108" s="5"/>
      <c r="D108" s="5"/>
      <c r="E108" s="5"/>
      <c r="F108" s="5"/>
      <c r="G108" s="5"/>
      <c r="H108" s="306"/>
      <c r="I108" s="306"/>
      <c r="J108" s="5"/>
      <c r="K108" s="5"/>
      <c r="L108" s="306"/>
      <c r="M108" s="5"/>
      <c r="N108" s="5"/>
      <c r="O108" s="5"/>
      <c r="P108" s="5"/>
      <c r="Q108" s="5"/>
      <c r="R108" s="57"/>
      <c r="S108" s="5"/>
      <c r="T108" s="5"/>
      <c r="U108" s="5"/>
      <c r="V108" s="5"/>
      <c r="W108" s="431"/>
      <c r="X108" s="431"/>
      <c r="Y108" s="431"/>
      <c r="Z108" s="431"/>
      <c r="AA108" s="431"/>
      <c r="AB108" s="431"/>
      <c r="AC108" s="431"/>
      <c r="AD108" s="431"/>
    </row>
    <row r="109" spans="1:30" ht="12.75" customHeight="1">
      <c r="A109" s="5"/>
      <c r="B109" s="5"/>
      <c r="C109" s="5"/>
      <c r="D109" s="5"/>
      <c r="E109" s="5"/>
      <c r="F109" s="5"/>
      <c r="G109" s="5"/>
      <c r="H109" s="306"/>
      <c r="I109" s="306"/>
      <c r="J109" s="5"/>
      <c r="K109" s="5"/>
      <c r="L109" s="306"/>
      <c r="M109" s="5"/>
      <c r="N109" s="5"/>
      <c r="O109" s="5"/>
      <c r="P109" s="5"/>
      <c r="Q109" s="5"/>
      <c r="R109" s="57"/>
      <c r="S109" s="5"/>
      <c r="T109" s="5"/>
      <c r="U109" s="5"/>
      <c r="V109" s="5"/>
      <c r="W109" s="431"/>
      <c r="X109" s="431"/>
      <c r="Y109" s="431"/>
      <c r="Z109" s="431"/>
      <c r="AA109" s="431"/>
      <c r="AB109" s="431"/>
      <c r="AC109" s="431"/>
      <c r="AD109" s="431"/>
    </row>
    <row r="110" spans="1:30" ht="12.75" customHeight="1">
      <c r="A110" s="5"/>
      <c r="B110" s="5"/>
      <c r="C110" s="5"/>
      <c r="D110" s="5"/>
      <c r="E110" s="5"/>
      <c r="F110" s="5"/>
      <c r="G110" s="5"/>
      <c r="H110" s="306"/>
      <c r="I110" s="306"/>
      <c r="J110" s="5"/>
      <c r="K110" s="5"/>
      <c r="L110" s="306"/>
      <c r="M110" s="5"/>
      <c r="N110" s="5"/>
      <c r="O110" s="5"/>
      <c r="P110" s="5"/>
      <c r="Q110" s="5"/>
      <c r="R110" s="57"/>
      <c r="S110" s="5"/>
      <c r="T110" s="5"/>
      <c r="U110" s="5"/>
      <c r="V110" s="5"/>
      <c r="W110" s="431"/>
      <c r="X110" s="431"/>
      <c r="Y110" s="431"/>
      <c r="Z110" s="431"/>
      <c r="AA110" s="431"/>
      <c r="AB110" s="431"/>
      <c r="AC110" s="431"/>
      <c r="AD110" s="431"/>
    </row>
    <row r="111" spans="1:30" ht="12.75" customHeight="1">
      <c r="A111" s="5"/>
      <c r="B111" s="5"/>
      <c r="C111" s="5"/>
      <c r="D111" s="5"/>
      <c r="E111" s="5"/>
      <c r="F111" s="5"/>
      <c r="G111" s="5"/>
      <c r="H111" s="306"/>
      <c r="I111" s="306"/>
      <c r="J111" s="5"/>
      <c r="K111" s="5"/>
      <c r="L111" s="306"/>
      <c r="M111" s="5"/>
      <c r="N111" s="5"/>
      <c r="O111" s="5"/>
      <c r="P111" s="5"/>
      <c r="Q111" s="5"/>
      <c r="R111" s="57"/>
      <c r="S111" s="5"/>
      <c r="T111" s="5"/>
      <c r="U111" s="5"/>
      <c r="V111" s="5"/>
      <c r="W111" s="431"/>
      <c r="X111" s="431"/>
      <c r="Y111" s="431"/>
      <c r="Z111" s="431"/>
      <c r="AA111" s="431"/>
      <c r="AB111" s="431"/>
      <c r="AC111" s="431"/>
      <c r="AD111" s="431"/>
    </row>
    <row r="112" spans="1:30" ht="12.75" customHeight="1">
      <c r="A112" s="5"/>
      <c r="B112" s="5"/>
      <c r="C112" s="5"/>
      <c r="D112" s="5"/>
      <c r="E112" s="5"/>
      <c r="F112" s="5"/>
      <c r="G112" s="5"/>
      <c r="H112" s="306"/>
      <c r="I112" s="306"/>
      <c r="J112" s="5"/>
      <c r="K112" s="5"/>
      <c r="L112" s="306"/>
      <c r="M112" s="5"/>
      <c r="N112" s="5"/>
      <c r="O112" s="5"/>
      <c r="P112" s="5"/>
      <c r="Q112" s="5"/>
      <c r="R112" s="57"/>
      <c r="S112" s="5"/>
      <c r="T112" s="5"/>
      <c r="U112" s="5"/>
      <c r="V112" s="5"/>
      <c r="W112" s="431"/>
      <c r="X112" s="431"/>
      <c r="Y112" s="431"/>
      <c r="Z112" s="431"/>
      <c r="AA112" s="431"/>
      <c r="AB112" s="431"/>
      <c r="AC112" s="431"/>
      <c r="AD112" s="431"/>
    </row>
    <row r="113" spans="1:30" ht="12.75" customHeight="1">
      <c r="A113" s="5"/>
      <c r="B113" s="5"/>
      <c r="C113" s="5"/>
      <c r="D113" s="5"/>
      <c r="E113" s="5"/>
      <c r="F113" s="5"/>
      <c r="G113" s="5"/>
      <c r="H113" s="306"/>
      <c r="I113" s="306"/>
      <c r="J113" s="5"/>
      <c r="K113" s="5"/>
      <c r="L113" s="306"/>
      <c r="M113" s="5"/>
      <c r="N113" s="5"/>
      <c r="O113" s="5"/>
      <c r="P113" s="5"/>
      <c r="Q113" s="5"/>
      <c r="R113" s="57"/>
      <c r="S113" s="5"/>
      <c r="T113" s="5"/>
      <c r="U113" s="5"/>
      <c r="V113" s="5"/>
      <c r="W113" s="431"/>
      <c r="X113" s="431"/>
      <c r="Y113" s="431"/>
      <c r="Z113" s="431"/>
      <c r="AA113" s="431"/>
      <c r="AB113" s="431"/>
      <c r="AC113" s="431"/>
      <c r="AD113" s="431"/>
    </row>
    <row r="114" spans="1:30" ht="12.75" customHeight="1">
      <c r="A114" s="5"/>
      <c r="B114" s="5"/>
      <c r="C114" s="5"/>
      <c r="D114" s="5"/>
      <c r="E114" s="5"/>
      <c r="F114" s="5"/>
      <c r="G114" s="5"/>
      <c r="H114" s="306"/>
      <c r="I114" s="306"/>
      <c r="J114" s="5"/>
      <c r="K114" s="5"/>
      <c r="L114" s="306"/>
      <c r="M114" s="5"/>
      <c r="N114" s="5"/>
      <c r="O114" s="5"/>
      <c r="P114" s="5"/>
      <c r="Q114" s="5"/>
      <c r="R114" s="57"/>
      <c r="S114" s="5"/>
      <c r="T114" s="5"/>
      <c r="U114" s="5"/>
      <c r="V114" s="5"/>
      <c r="W114" s="431"/>
      <c r="X114" s="431"/>
      <c r="Y114" s="431"/>
      <c r="Z114" s="431"/>
      <c r="AA114" s="431"/>
      <c r="AB114" s="431"/>
      <c r="AC114" s="431"/>
      <c r="AD114" s="431"/>
    </row>
    <row r="115" spans="1:30" ht="12.75" customHeight="1">
      <c r="A115" s="5"/>
      <c r="B115" s="5"/>
      <c r="C115" s="5"/>
      <c r="D115" s="5"/>
      <c r="E115" s="5"/>
      <c r="F115" s="5"/>
      <c r="G115" s="5"/>
      <c r="H115" s="306"/>
      <c r="I115" s="306"/>
      <c r="J115" s="5"/>
      <c r="K115" s="5"/>
      <c r="L115" s="306"/>
      <c r="M115" s="5"/>
      <c r="N115" s="5"/>
      <c r="O115" s="5"/>
      <c r="P115" s="5"/>
      <c r="Q115" s="5"/>
      <c r="R115" s="57"/>
      <c r="S115" s="5"/>
      <c r="T115" s="5"/>
      <c r="U115" s="5"/>
      <c r="V115" s="5"/>
      <c r="W115" s="431"/>
      <c r="X115" s="431"/>
      <c r="Y115" s="431"/>
      <c r="Z115" s="431"/>
      <c r="AA115" s="431"/>
      <c r="AB115" s="431"/>
      <c r="AC115" s="431"/>
      <c r="AD115" s="431"/>
    </row>
    <row r="116" spans="1:30" ht="12.75" customHeight="1">
      <c r="A116" s="5"/>
      <c r="B116" s="5"/>
      <c r="C116" s="5"/>
      <c r="D116" s="5"/>
      <c r="E116" s="5"/>
      <c r="F116" s="5"/>
      <c r="G116" s="5"/>
      <c r="H116" s="306"/>
      <c r="I116" s="306"/>
      <c r="J116" s="5"/>
      <c r="K116" s="5"/>
      <c r="L116" s="306"/>
      <c r="M116" s="5"/>
      <c r="N116" s="5"/>
      <c r="O116" s="5"/>
      <c r="P116" s="5"/>
      <c r="Q116" s="5"/>
      <c r="R116" s="57"/>
      <c r="S116" s="5"/>
      <c r="T116" s="5"/>
      <c r="U116" s="5"/>
      <c r="V116" s="5"/>
      <c r="W116" s="431"/>
      <c r="X116" s="431"/>
      <c r="Y116" s="431"/>
      <c r="Z116" s="431"/>
      <c r="AA116" s="431"/>
      <c r="AB116" s="431"/>
      <c r="AC116" s="431"/>
      <c r="AD116" s="431"/>
    </row>
    <row r="117" spans="1:30" ht="12.75" customHeight="1">
      <c r="A117" s="5"/>
      <c r="B117" s="5"/>
      <c r="C117" s="5"/>
      <c r="D117" s="5"/>
      <c r="E117" s="5"/>
      <c r="F117" s="5"/>
      <c r="G117" s="5"/>
      <c r="H117" s="306"/>
      <c r="I117" s="306"/>
      <c r="J117" s="5"/>
      <c r="K117" s="5"/>
      <c r="L117" s="306"/>
      <c r="M117" s="5"/>
      <c r="N117" s="5"/>
      <c r="O117" s="5"/>
      <c r="P117" s="5"/>
      <c r="Q117" s="5"/>
      <c r="R117" s="57"/>
      <c r="S117" s="5"/>
      <c r="T117" s="5"/>
      <c r="U117" s="5"/>
      <c r="V117" s="5"/>
      <c r="W117" s="431"/>
      <c r="X117" s="431"/>
      <c r="Y117" s="431"/>
      <c r="Z117" s="431"/>
      <c r="AA117" s="431"/>
      <c r="AB117" s="431"/>
      <c r="AC117" s="431"/>
      <c r="AD117" s="431"/>
    </row>
    <row r="118" spans="1:30" ht="12.75" customHeight="1">
      <c r="A118" s="5"/>
      <c r="B118" s="5"/>
      <c r="C118" s="5"/>
      <c r="D118" s="5"/>
      <c r="E118" s="5"/>
      <c r="F118" s="5"/>
      <c r="G118" s="5"/>
      <c r="H118" s="306"/>
      <c r="I118" s="306"/>
      <c r="J118" s="5"/>
      <c r="K118" s="5"/>
      <c r="L118" s="306"/>
      <c r="M118" s="5"/>
      <c r="N118" s="5"/>
      <c r="O118" s="5"/>
      <c r="P118" s="5"/>
      <c r="Q118" s="5"/>
      <c r="R118" s="57"/>
      <c r="S118" s="5"/>
      <c r="T118" s="5"/>
      <c r="U118" s="5"/>
      <c r="V118" s="5"/>
      <c r="W118" s="431"/>
      <c r="X118" s="431"/>
      <c r="Y118" s="431"/>
      <c r="Z118" s="431"/>
      <c r="AA118" s="431"/>
      <c r="AB118" s="431"/>
      <c r="AC118" s="431"/>
      <c r="AD118" s="431"/>
    </row>
    <row r="119" spans="1:30" ht="12.75" customHeight="1">
      <c r="A119" s="5"/>
      <c r="B119" s="5"/>
      <c r="C119" s="5"/>
      <c r="D119" s="5"/>
      <c r="E119" s="5"/>
      <c r="F119" s="5"/>
      <c r="G119" s="5"/>
      <c r="H119" s="306"/>
      <c r="I119" s="306"/>
      <c r="J119" s="5"/>
      <c r="K119" s="5"/>
      <c r="L119" s="306"/>
      <c r="M119" s="5"/>
      <c r="N119" s="5"/>
      <c r="O119" s="5"/>
      <c r="P119" s="5"/>
      <c r="Q119" s="5"/>
      <c r="R119" s="57"/>
      <c r="S119" s="5"/>
      <c r="T119" s="5"/>
      <c r="U119" s="5"/>
      <c r="V119" s="5"/>
      <c r="W119" s="431"/>
      <c r="X119" s="431"/>
      <c r="Y119" s="431"/>
      <c r="Z119" s="431"/>
      <c r="AA119" s="431"/>
      <c r="AB119" s="431"/>
      <c r="AC119" s="431"/>
      <c r="AD119" s="431"/>
    </row>
    <row r="120" spans="1:30" ht="12.75" customHeight="1">
      <c r="A120" s="5"/>
      <c r="B120" s="5"/>
      <c r="C120" s="5"/>
      <c r="D120" s="5"/>
      <c r="E120" s="5"/>
      <c r="F120" s="5"/>
      <c r="G120" s="5"/>
      <c r="H120" s="306"/>
      <c r="I120" s="306"/>
      <c r="J120" s="5"/>
      <c r="K120" s="5"/>
      <c r="L120" s="306"/>
      <c r="M120" s="5"/>
      <c r="N120" s="5"/>
      <c r="O120" s="5"/>
      <c r="P120" s="5"/>
      <c r="Q120" s="5"/>
      <c r="R120" s="57"/>
      <c r="S120" s="5"/>
      <c r="T120" s="5"/>
      <c r="U120" s="5"/>
      <c r="V120" s="5"/>
      <c r="W120" s="431"/>
      <c r="X120" s="431"/>
      <c r="Y120" s="431"/>
      <c r="Z120" s="431"/>
      <c r="AA120" s="431"/>
      <c r="AB120" s="431"/>
      <c r="AC120" s="431"/>
      <c r="AD120" s="431"/>
    </row>
    <row r="121" spans="1:30" ht="12.75" customHeight="1">
      <c r="A121" s="5"/>
      <c r="B121" s="5"/>
      <c r="C121" s="5"/>
      <c r="D121" s="5"/>
      <c r="E121" s="5"/>
      <c r="F121" s="5"/>
      <c r="G121" s="5"/>
      <c r="H121" s="306"/>
      <c r="I121" s="306"/>
      <c r="J121" s="5"/>
      <c r="K121" s="5"/>
      <c r="L121" s="306"/>
      <c r="M121" s="5"/>
      <c r="N121" s="5"/>
      <c r="O121" s="5"/>
      <c r="P121" s="5"/>
      <c r="Q121" s="5"/>
      <c r="R121" s="57"/>
      <c r="S121" s="5"/>
      <c r="T121" s="5"/>
      <c r="U121" s="5"/>
      <c r="V121" s="5"/>
      <c r="W121" s="431"/>
      <c r="X121" s="431"/>
      <c r="Y121" s="431"/>
      <c r="Z121" s="431"/>
      <c r="AA121" s="431"/>
      <c r="AB121" s="431"/>
      <c r="AC121" s="431"/>
      <c r="AD121" s="431"/>
    </row>
    <row r="122" spans="1:30" ht="12.75" customHeight="1">
      <c r="A122" s="5"/>
      <c r="B122" s="5"/>
      <c r="C122" s="5"/>
      <c r="D122" s="5"/>
      <c r="E122" s="5"/>
      <c r="F122" s="5"/>
      <c r="G122" s="5"/>
      <c r="H122" s="306"/>
      <c r="I122" s="306"/>
      <c r="J122" s="5"/>
      <c r="K122" s="5"/>
      <c r="L122" s="306"/>
      <c r="M122" s="5"/>
      <c r="N122" s="5"/>
      <c r="O122" s="5"/>
      <c r="P122" s="5"/>
      <c r="Q122" s="5"/>
      <c r="R122" s="57"/>
      <c r="S122" s="5"/>
      <c r="T122" s="5"/>
      <c r="U122" s="5"/>
      <c r="V122" s="5"/>
      <c r="W122" s="431"/>
      <c r="X122" s="431"/>
      <c r="Y122" s="431"/>
      <c r="Z122" s="431"/>
      <c r="AA122" s="431"/>
      <c r="AB122" s="431"/>
      <c r="AC122" s="431"/>
      <c r="AD122" s="431"/>
    </row>
    <row r="123" spans="1:30" ht="12.75" customHeight="1">
      <c r="A123" s="5"/>
      <c r="B123" s="5"/>
      <c r="C123" s="5"/>
      <c r="D123" s="5"/>
      <c r="E123" s="5"/>
      <c r="F123" s="5"/>
      <c r="G123" s="5"/>
      <c r="H123" s="306"/>
      <c r="I123" s="306"/>
      <c r="J123" s="5"/>
      <c r="K123" s="5"/>
      <c r="L123" s="306"/>
      <c r="M123" s="5"/>
      <c r="N123" s="5"/>
      <c r="O123" s="5"/>
      <c r="P123" s="5"/>
      <c r="Q123" s="5"/>
      <c r="R123" s="57"/>
      <c r="S123" s="5"/>
      <c r="T123" s="5"/>
      <c r="U123" s="5"/>
      <c r="V123" s="5"/>
      <c r="W123" s="431"/>
      <c r="X123" s="431"/>
      <c r="Y123" s="431"/>
      <c r="Z123" s="431"/>
      <c r="AA123" s="431"/>
      <c r="AB123" s="431"/>
      <c r="AC123" s="431"/>
      <c r="AD123" s="431"/>
    </row>
    <row r="124" spans="1:30" ht="12.75" customHeight="1">
      <c r="A124" s="5"/>
      <c r="B124" s="5"/>
      <c r="C124" s="5"/>
      <c r="D124" s="5"/>
      <c r="E124" s="5"/>
      <c r="F124" s="5"/>
      <c r="G124" s="5"/>
      <c r="H124" s="306"/>
      <c r="I124" s="306"/>
      <c r="J124" s="5"/>
      <c r="K124" s="5"/>
      <c r="L124" s="306"/>
      <c r="M124" s="5"/>
      <c r="N124" s="5"/>
      <c r="O124" s="5"/>
      <c r="P124" s="5"/>
      <c r="Q124" s="5"/>
      <c r="R124" s="57"/>
      <c r="S124" s="5"/>
      <c r="T124" s="5"/>
      <c r="U124" s="5"/>
      <c r="V124" s="5"/>
      <c r="W124" s="431"/>
      <c r="X124" s="431"/>
      <c r="Y124" s="431"/>
      <c r="Z124" s="431"/>
      <c r="AA124" s="431"/>
      <c r="AB124" s="431"/>
      <c r="AC124" s="431"/>
      <c r="AD124" s="431"/>
    </row>
    <row r="125" spans="1:30" ht="12.75" customHeight="1">
      <c r="A125" s="5"/>
      <c r="B125" s="5"/>
      <c r="C125" s="5"/>
      <c r="D125" s="5"/>
      <c r="E125" s="5"/>
      <c r="F125" s="5"/>
      <c r="G125" s="5"/>
      <c r="H125" s="306"/>
      <c r="I125" s="306"/>
      <c r="J125" s="5"/>
      <c r="K125" s="5"/>
      <c r="L125" s="306"/>
      <c r="M125" s="5"/>
      <c r="N125" s="5"/>
      <c r="O125" s="5"/>
      <c r="P125" s="5"/>
      <c r="Q125" s="5"/>
      <c r="R125" s="57"/>
      <c r="S125" s="5"/>
      <c r="T125" s="5"/>
      <c r="U125" s="5"/>
      <c r="V125" s="5"/>
      <c r="W125" s="431"/>
      <c r="X125" s="431"/>
      <c r="Y125" s="431"/>
      <c r="Z125" s="431"/>
      <c r="AA125" s="431"/>
      <c r="AB125" s="431"/>
      <c r="AC125" s="431"/>
      <c r="AD125" s="431"/>
    </row>
    <row r="126" spans="1:30" ht="12.75" customHeight="1">
      <c r="A126" s="5"/>
      <c r="B126" s="5"/>
      <c r="C126" s="5"/>
      <c r="D126" s="5"/>
      <c r="E126" s="5"/>
      <c r="F126" s="5"/>
      <c r="G126" s="5"/>
      <c r="H126" s="306"/>
      <c r="I126" s="306"/>
      <c r="J126" s="5"/>
      <c r="K126" s="5"/>
      <c r="L126" s="306"/>
      <c r="M126" s="5"/>
      <c r="N126" s="5"/>
      <c r="O126" s="5"/>
      <c r="P126" s="5"/>
      <c r="Q126" s="5"/>
      <c r="R126" s="57"/>
      <c r="S126" s="5"/>
      <c r="T126" s="5"/>
      <c r="U126" s="5"/>
      <c r="V126" s="5"/>
      <c r="W126" s="431"/>
      <c r="X126" s="431"/>
      <c r="Y126" s="431"/>
      <c r="Z126" s="431"/>
      <c r="AA126" s="431"/>
      <c r="AB126" s="431"/>
      <c r="AC126" s="431"/>
      <c r="AD126" s="431"/>
    </row>
    <row r="127" spans="1:30" ht="12.75" customHeight="1">
      <c r="A127" s="5"/>
      <c r="B127" s="5"/>
      <c r="C127" s="5"/>
      <c r="D127" s="5"/>
      <c r="E127" s="5"/>
      <c r="F127" s="5"/>
      <c r="G127" s="5"/>
      <c r="H127" s="306"/>
      <c r="I127" s="306"/>
      <c r="J127" s="5"/>
      <c r="K127" s="5"/>
      <c r="L127" s="306"/>
      <c r="M127" s="5"/>
      <c r="N127" s="5"/>
      <c r="O127" s="5"/>
      <c r="P127" s="5"/>
      <c r="Q127" s="5"/>
      <c r="R127" s="57"/>
      <c r="S127" s="5"/>
      <c r="T127" s="5"/>
      <c r="U127" s="5"/>
      <c r="V127" s="5"/>
      <c r="W127" s="431"/>
      <c r="X127" s="431"/>
      <c r="Y127" s="431"/>
      <c r="Z127" s="431"/>
      <c r="AA127" s="431"/>
      <c r="AB127" s="431"/>
      <c r="AC127" s="431"/>
      <c r="AD127" s="431"/>
    </row>
    <row r="128" spans="1:30" ht="12.75" customHeight="1">
      <c r="A128" s="5"/>
      <c r="B128" s="5"/>
      <c r="C128" s="5"/>
      <c r="D128" s="5"/>
      <c r="E128" s="5"/>
      <c r="F128" s="5"/>
      <c r="G128" s="5"/>
      <c r="H128" s="306"/>
      <c r="I128" s="306"/>
      <c r="J128" s="5"/>
      <c r="K128" s="5"/>
      <c r="L128" s="306"/>
      <c r="M128" s="5"/>
      <c r="N128" s="5"/>
      <c r="O128" s="5"/>
      <c r="P128" s="5"/>
      <c r="Q128" s="5"/>
      <c r="R128" s="57"/>
      <c r="S128" s="5"/>
      <c r="T128" s="5"/>
      <c r="U128" s="5"/>
      <c r="V128" s="5"/>
      <c r="W128" s="431"/>
      <c r="X128" s="431"/>
      <c r="Y128" s="431"/>
      <c r="Z128" s="431"/>
      <c r="AA128" s="431"/>
      <c r="AB128" s="431"/>
      <c r="AC128" s="431"/>
      <c r="AD128" s="431"/>
    </row>
    <row r="129" spans="1:30" ht="12.75" customHeight="1">
      <c r="A129" s="5"/>
      <c r="B129" s="5"/>
      <c r="C129" s="5"/>
      <c r="D129" s="5"/>
      <c r="E129" s="5"/>
      <c r="F129" s="5"/>
      <c r="G129" s="5"/>
      <c r="H129" s="306"/>
      <c r="I129" s="306"/>
      <c r="J129" s="5"/>
      <c r="K129" s="5"/>
      <c r="L129" s="306"/>
      <c r="M129" s="5"/>
      <c r="N129" s="5"/>
      <c r="O129" s="5"/>
      <c r="P129" s="5"/>
      <c r="Q129" s="5"/>
      <c r="R129" s="57"/>
      <c r="S129" s="5"/>
      <c r="T129" s="5"/>
      <c r="U129" s="5"/>
      <c r="V129" s="5"/>
      <c r="W129" s="431"/>
      <c r="X129" s="431"/>
      <c r="Y129" s="431"/>
      <c r="Z129" s="431"/>
      <c r="AA129" s="431"/>
      <c r="AB129" s="431"/>
      <c r="AC129" s="431"/>
      <c r="AD129" s="431"/>
    </row>
    <row r="130" spans="1:30" ht="12.75" customHeight="1">
      <c r="A130" s="5"/>
      <c r="B130" s="5"/>
      <c r="C130" s="5"/>
      <c r="D130" s="5"/>
      <c r="E130" s="5"/>
      <c r="F130" s="5"/>
      <c r="G130" s="5"/>
      <c r="H130" s="306"/>
      <c r="I130" s="306"/>
      <c r="J130" s="5"/>
      <c r="K130" s="5"/>
      <c r="L130" s="306"/>
      <c r="M130" s="5"/>
      <c r="N130" s="5"/>
      <c r="O130" s="5"/>
      <c r="P130" s="5"/>
      <c r="Q130" s="5"/>
      <c r="R130" s="57"/>
      <c r="S130" s="5"/>
      <c r="T130" s="5"/>
      <c r="U130" s="5"/>
      <c r="V130" s="5"/>
      <c r="W130" s="431"/>
      <c r="X130" s="431"/>
      <c r="Y130" s="431"/>
      <c r="Z130" s="431"/>
      <c r="AA130" s="431"/>
      <c r="AB130" s="431"/>
      <c r="AC130" s="431"/>
      <c r="AD130" s="431"/>
    </row>
    <row r="131" spans="1:30" ht="12.75" customHeight="1">
      <c r="A131" s="5"/>
      <c r="B131" s="5"/>
      <c r="C131" s="5"/>
      <c r="D131" s="5"/>
      <c r="E131" s="5"/>
      <c r="F131" s="5"/>
      <c r="G131" s="5"/>
      <c r="H131" s="306"/>
      <c r="I131" s="306"/>
      <c r="J131" s="5"/>
      <c r="K131" s="5"/>
      <c r="L131" s="306"/>
      <c r="M131" s="5"/>
      <c r="N131" s="5"/>
      <c r="O131" s="5"/>
      <c r="P131" s="5"/>
      <c r="Q131" s="5"/>
      <c r="R131" s="57"/>
      <c r="S131" s="5"/>
      <c r="T131" s="5"/>
      <c r="U131" s="5"/>
      <c r="V131" s="5"/>
      <c r="W131" s="431"/>
      <c r="X131" s="431"/>
      <c r="Y131" s="431"/>
      <c r="Z131" s="431"/>
      <c r="AA131" s="431"/>
      <c r="AB131" s="431"/>
      <c r="AC131" s="431"/>
      <c r="AD131" s="431"/>
    </row>
    <row r="132" spans="1:30" ht="12.75" customHeight="1">
      <c r="A132" s="5"/>
      <c r="B132" s="5"/>
      <c r="C132" s="5"/>
      <c r="D132" s="5"/>
      <c r="E132" s="5"/>
      <c r="F132" s="5"/>
      <c r="G132" s="5"/>
      <c r="H132" s="306"/>
      <c r="I132" s="306"/>
      <c r="J132" s="5"/>
      <c r="K132" s="5"/>
      <c r="L132" s="306"/>
      <c r="M132" s="5"/>
      <c r="N132" s="5"/>
      <c r="O132" s="5"/>
      <c r="P132" s="5"/>
      <c r="Q132" s="5"/>
      <c r="R132" s="57"/>
      <c r="S132" s="5"/>
      <c r="T132" s="5"/>
      <c r="U132" s="5"/>
      <c r="V132" s="5"/>
      <c r="W132" s="431"/>
      <c r="X132" s="431"/>
      <c r="Y132" s="431"/>
      <c r="Z132" s="431"/>
      <c r="AA132" s="431"/>
      <c r="AB132" s="431"/>
      <c r="AC132" s="431"/>
      <c r="AD132" s="431"/>
    </row>
    <row r="133" spans="1:30" ht="12.75" customHeight="1">
      <c r="A133" s="5"/>
      <c r="B133" s="5"/>
      <c r="C133" s="5"/>
      <c r="D133" s="5"/>
      <c r="E133" s="5"/>
      <c r="F133" s="5"/>
      <c r="G133" s="5"/>
      <c r="H133" s="306"/>
      <c r="I133" s="306"/>
      <c r="J133" s="5"/>
      <c r="K133" s="5"/>
      <c r="L133" s="306"/>
      <c r="M133" s="5"/>
      <c r="N133" s="5"/>
      <c r="O133" s="5"/>
      <c r="P133" s="5"/>
      <c r="Q133" s="5"/>
      <c r="R133" s="57"/>
      <c r="S133" s="5"/>
      <c r="T133" s="5"/>
      <c r="U133" s="5"/>
      <c r="V133" s="5"/>
      <c r="W133" s="431"/>
      <c r="X133" s="431"/>
      <c r="Y133" s="431"/>
      <c r="Z133" s="431"/>
      <c r="AA133" s="431"/>
      <c r="AB133" s="431"/>
      <c r="AC133" s="431"/>
      <c r="AD133" s="431"/>
    </row>
    <row r="134" spans="1:30" ht="12.75" customHeight="1">
      <c r="A134" s="5"/>
      <c r="B134" s="5"/>
      <c r="C134" s="5"/>
      <c r="D134" s="5"/>
      <c r="E134" s="5"/>
      <c r="F134" s="5"/>
      <c r="G134" s="5"/>
      <c r="H134" s="306"/>
      <c r="I134" s="306"/>
      <c r="J134" s="5"/>
      <c r="K134" s="5"/>
      <c r="L134" s="306"/>
      <c r="M134" s="5"/>
      <c r="N134" s="5"/>
      <c r="O134" s="5"/>
      <c r="P134" s="5"/>
      <c r="Q134" s="5"/>
      <c r="R134" s="57"/>
      <c r="S134" s="5"/>
      <c r="T134" s="5"/>
      <c r="U134" s="5"/>
      <c r="V134" s="5"/>
      <c r="W134" s="431"/>
      <c r="X134" s="431"/>
      <c r="Y134" s="431"/>
      <c r="Z134" s="431"/>
      <c r="AA134" s="431"/>
      <c r="AB134" s="431"/>
      <c r="AC134" s="431"/>
      <c r="AD134" s="431"/>
    </row>
    <row r="135" spans="1:30" ht="12.75" customHeight="1">
      <c r="A135" s="5"/>
      <c r="B135" s="5"/>
      <c r="C135" s="5"/>
      <c r="D135" s="5"/>
      <c r="E135" s="5"/>
      <c r="F135" s="5"/>
      <c r="G135" s="5"/>
      <c r="H135" s="306"/>
      <c r="I135" s="306"/>
      <c r="J135" s="5"/>
      <c r="K135" s="5"/>
      <c r="L135" s="306"/>
      <c r="M135" s="5"/>
      <c r="N135" s="5"/>
      <c r="O135" s="5"/>
      <c r="P135" s="5"/>
      <c r="Q135" s="5"/>
      <c r="R135" s="57"/>
      <c r="S135" s="5"/>
      <c r="T135" s="5"/>
      <c r="U135" s="5"/>
      <c r="V135" s="5"/>
      <c r="W135" s="431"/>
      <c r="X135" s="431"/>
      <c r="Y135" s="431"/>
      <c r="Z135" s="431"/>
      <c r="AA135" s="431"/>
      <c r="AB135" s="431"/>
      <c r="AC135" s="431"/>
      <c r="AD135" s="431"/>
    </row>
    <row r="136" spans="1:30" ht="12.75" customHeight="1">
      <c r="A136" s="5"/>
      <c r="B136" s="5"/>
      <c r="C136" s="5"/>
      <c r="D136" s="5"/>
      <c r="E136" s="5"/>
      <c r="F136" s="5"/>
      <c r="G136" s="5"/>
      <c r="H136" s="306"/>
      <c r="I136" s="306"/>
      <c r="J136" s="5"/>
      <c r="K136" s="5"/>
      <c r="L136" s="306"/>
      <c r="M136" s="5"/>
      <c r="N136" s="5"/>
      <c r="O136" s="5"/>
      <c r="P136" s="5"/>
      <c r="Q136" s="5"/>
      <c r="R136" s="57"/>
      <c r="S136" s="5"/>
      <c r="T136" s="5"/>
      <c r="U136" s="5"/>
      <c r="V136" s="5"/>
      <c r="W136" s="431"/>
      <c r="X136" s="431"/>
      <c r="Y136" s="431"/>
      <c r="Z136" s="431"/>
      <c r="AA136" s="431"/>
      <c r="AB136" s="431"/>
      <c r="AC136" s="431"/>
      <c r="AD136" s="431"/>
    </row>
    <row r="137" spans="1:30" ht="12.75" customHeight="1">
      <c r="A137" s="5"/>
      <c r="B137" s="5"/>
      <c r="C137" s="5"/>
      <c r="D137" s="5"/>
      <c r="E137" s="5"/>
      <c r="F137" s="5"/>
      <c r="G137" s="5"/>
      <c r="H137" s="306"/>
      <c r="I137" s="306"/>
      <c r="J137" s="5"/>
      <c r="K137" s="5"/>
      <c r="L137" s="306"/>
      <c r="M137" s="5"/>
      <c r="N137" s="5"/>
      <c r="O137" s="5"/>
      <c r="P137" s="5"/>
      <c r="Q137" s="5"/>
      <c r="R137" s="57"/>
      <c r="S137" s="5"/>
      <c r="T137" s="5"/>
      <c r="U137" s="5"/>
      <c r="V137" s="5"/>
      <c r="W137" s="431"/>
      <c r="X137" s="431"/>
      <c r="Y137" s="431"/>
      <c r="Z137" s="431"/>
      <c r="AA137" s="431"/>
      <c r="AB137" s="431"/>
      <c r="AC137" s="431"/>
      <c r="AD137" s="431"/>
    </row>
    <row r="138" spans="1:30" ht="12.75" customHeight="1">
      <c r="A138" s="5"/>
      <c r="B138" s="5"/>
      <c r="C138" s="5"/>
      <c r="D138" s="5"/>
      <c r="E138" s="5"/>
      <c r="F138" s="5"/>
      <c r="G138" s="5"/>
      <c r="H138" s="306"/>
      <c r="I138" s="306"/>
      <c r="J138" s="5"/>
      <c r="K138" s="5"/>
      <c r="L138" s="306"/>
      <c r="M138" s="5"/>
      <c r="N138" s="5"/>
      <c r="O138" s="5"/>
      <c r="P138" s="5"/>
      <c r="Q138" s="5"/>
      <c r="R138" s="57"/>
      <c r="S138" s="5"/>
      <c r="T138" s="5"/>
      <c r="U138" s="5"/>
      <c r="V138" s="5"/>
      <c r="W138" s="431"/>
      <c r="X138" s="431"/>
      <c r="Y138" s="431"/>
      <c r="Z138" s="431"/>
      <c r="AA138" s="431"/>
      <c r="AB138" s="431"/>
      <c r="AC138" s="431"/>
      <c r="AD138" s="431"/>
    </row>
    <row r="139" spans="1:30" ht="12.75" customHeight="1">
      <c r="A139" s="5"/>
      <c r="B139" s="5"/>
      <c r="C139" s="5"/>
      <c r="D139" s="5"/>
      <c r="E139" s="5"/>
      <c r="F139" s="5"/>
      <c r="G139" s="5"/>
      <c r="H139" s="306"/>
      <c r="I139" s="306"/>
      <c r="J139" s="5"/>
      <c r="K139" s="5"/>
      <c r="L139" s="306"/>
      <c r="M139" s="5"/>
      <c r="N139" s="5"/>
      <c r="O139" s="5"/>
      <c r="P139" s="5"/>
      <c r="Q139" s="5"/>
      <c r="R139" s="57"/>
      <c r="S139" s="5"/>
      <c r="T139" s="5"/>
      <c r="U139" s="5"/>
      <c r="V139" s="5"/>
      <c r="W139" s="431"/>
      <c r="X139" s="431"/>
      <c r="Y139" s="431"/>
      <c r="Z139" s="431"/>
      <c r="AA139" s="431"/>
      <c r="AB139" s="431"/>
      <c r="AC139" s="431"/>
      <c r="AD139" s="431"/>
    </row>
    <row r="140" spans="1:30" ht="12.75" customHeight="1">
      <c r="A140" s="5"/>
      <c r="B140" s="5"/>
      <c r="C140" s="5"/>
      <c r="D140" s="5"/>
      <c r="E140" s="5"/>
      <c r="F140" s="5"/>
      <c r="G140" s="5"/>
      <c r="H140" s="306"/>
      <c r="I140" s="306"/>
      <c r="J140" s="5"/>
      <c r="K140" s="5"/>
      <c r="L140" s="306"/>
      <c r="M140" s="5"/>
      <c r="N140" s="5"/>
      <c r="O140" s="5"/>
      <c r="P140" s="5"/>
      <c r="Q140" s="5"/>
      <c r="R140" s="57"/>
      <c r="S140" s="5"/>
      <c r="T140" s="5"/>
      <c r="U140" s="5"/>
      <c r="V140" s="5"/>
      <c r="W140" s="431"/>
      <c r="X140" s="431"/>
      <c r="Y140" s="431"/>
      <c r="Z140" s="431"/>
      <c r="AA140" s="431"/>
      <c r="AB140" s="431"/>
      <c r="AC140" s="431"/>
      <c r="AD140" s="431"/>
    </row>
    <row r="141" spans="1:30" ht="12.75" customHeight="1">
      <c r="A141" s="5"/>
      <c r="B141" s="5"/>
      <c r="C141" s="5"/>
      <c r="D141" s="5"/>
      <c r="E141" s="5"/>
      <c r="F141" s="5"/>
      <c r="G141" s="5"/>
      <c r="H141" s="306"/>
      <c r="I141" s="306"/>
      <c r="J141" s="5"/>
      <c r="K141" s="5"/>
      <c r="L141" s="306"/>
      <c r="M141" s="5"/>
      <c r="N141" s="5"/>
      <c r="O141" s="5"/>
      <c r="P141" s="5"/>
      <c r="Q141" s="5"/>
      <c r="R141" s="57"/>
      <c r="S141" s="5"/>
      <c r="T141" s="5"/>
      <c r="U141" s="5"/>
      <c r="V141" s="5"/>
      <c r="W141" s="431"/>
      <c r="X141" s="431"/>
      <c r="Y141" s="431"/>
      <c r="Z141" s="431"/>
      <c r="AA141" s="431"/>
      <c r="AB141" s="431"/>
      <c r="AC141" s="431"/>
      <c r="AD141" s="431"/>
    </row>
    <row r="142" spans="1:30" ht="12.75" customHeight="1">
      <c r="A142" s="5"/>
      <c r="B142" s="5"/>
      <c r="C142" s="5"/>
      <c r="D142" s="5"/>
      <c r="E142" s="5"/>
      <c r="F142" s="5"/>
      <c r="G142" s="5"/>
      <c r="H142" s="306"/>
      <c r="I142" s="306"/>
      <c r="J142" s="5"/>
      <c r="K142" s="5"/>
      <c r="L142" s="306"/>
      <c r="M142" s="5"/>
      <c r="N142" s="5"/>
      <c r="O142" s="5"/>
      <c r="P142" s="5"/>
      <c r="Q142" s="5"/>
      <c r="R142" s="57"/>
      <c r="S142" s="5"/>
      <c r="T142" s="5"/>
      <c r="U142" s="5"/>
      <c r="V142" s="5"/>
      <c r="W142" s="431"/>
      <c r="X142" s="431"/>
      <c r="Y142" s="431"/>
      <c r="Z142" s="431"/>
      <c r="AA142" s="431"/>
      <c r="AB142" s="431"/>
      <c r="AC142" s="431"/>
      <c r="AD142" s="431"/>
    </row>
    <row r="143" spans="1:30" ht="12.75" customHeight="1">
      <c r="A143" s="5"/>
      <c r="B143" s="5"/>
      <c r="C143" s="5"/>
      <c r="D143" s="5"/>
      <c r="E143" s="5"/>
      <c r="F143" s="5"/>
      <c r="G143" s="5"/>
      <c r="H143" s="306"/>
      <c r="I143" s="306"/>
      <c r="J143" s="5"/>
      <c r="K143" s="5"/>
      <c r="L143" s="306"/>
      <c r="M143" s="5"/>
      <c r="N143" s="5"/>
      <c r="O143" s="5"/>
      <c r="P143" s="5"/>
      <c r="Q143" s="5"/>
      <c r="R143" s="57"/>
      <c r="S143" s="5"/>
      <c r="T143" s="5"/>
      <c r="U143" s="5"/>
      <c r="V143" s="5"/>
      <c r="W143" s="431"/>
      <c r="X143" s="431"/>
      <c r="Y143" s="431"/>
      <c r="Z143" s="431"/>
      <c r="AA143" s="431"/>
      <c r="AB143" s="431"/>
      <c r="AC143" s="431"/>
      <c r="AD143" s="431"/>
    </row>
    <row r="144" spans="1:30" ht="12.75" customHeight="1">
      <c r="A144" s="5"/>
      <c r="B144" s="5"/>
      <c r="C144" s="5"/>
      <c r="D144" s="5"/>
      <c r="E144" s="5"/>
      <c r="F144" s="5"/>
      <c r="G144" s="5"/>
      <c r="H144" s="306"/>
      <c r="I144" s="306"/>
      <c r="J144" s="5"/>
      <c r="K144" s="5"/>
      <c r="L144" s="306"/>
      <c r="M144" s="5"/>
      <c r="N144" s="5"/>
      <c r="O144" s="5"/>
      <c r="P144" s="5"/>
      <c r="Q144" s="5"/>
      <c r="R144" s="57"/>
      <c r="S144" s="5"/>
      <c r="T144" s="5"/>
      <c r="U144" s="5"/>
      <c r="V144" s="5"/>
      <c r="W144" s="431"/>
      <c r="X144" s="431"/>
      <c r="Y144" s="431"/>
      <c r="Z144" s="431"/>
      <c r="AA144" s="431"/>
      <c r="AB144" s="431"/>
      <c r="AC144" s="431"/>
      <c r="AD144" s="431"/>
    </row>
    <row r="145" spans="1:30" ht="12.75" customHeight="1">
      <c r="A145" s="5"/>
      <c r="B145" s="5"/>
      <c r="C145" s="5"/>
      <c r="D145" s="5"/>
      <c r="E145" s="5"/>
      <c r="F145" s="5"/>
      <c r="G145" s="5"/>
      <c r="H145" s="306"/>
      <c r="I145" s="306"/>
      <c r="J145" s="5"/>
      <c r="K145" s="5"/>
      <c r="L145" s="306"/>
      <c r="M145" s="5"/>
      <c r="N145" s="5"/>
      <c r="O145" s="5"/>
      <c r="P145" s="5"/>
      <c r="Q145" s="5"/>
      <c r="R145" s="57"/>
      <c r="S145" s="5"/>
      <c r="T145" s="5"/>
      <c r="U145" s="5"/>
      <c r="V145" s="5"/>
      <c r="W145" s="431"/>
      <c r="X145" s="431"/>
      <c r="Y145" s="431"/>
      <c r="Z145" s="431"/>
      <c r="AA145" s="431"/>
      <c r="AB145" s="431"/>
      <c r="AC145" s="431"/>
      <c r="AD145" s="431"/>
    </row>
    <row r="146" spans="1:30" ht="12.75" customHeight="1">
      <c r="A146" s="5"/>
      <c r="B146" s="5"/>
      <c r="C146" s="5"/>
      <c r="D146" s="5"/>
      <c r="E146" s="5"/>
      <c r="F146" s="5"/>
      <c r="G146" s="5"/>
      <c r="H146" s="306"/>
      <c r="I146" s="306"/>
      <c r="J146" s="5"/>
      <c r="K146" s="5"/>
      <c r="L146" s="306"/>
      <c r="M146" s="5"/>
      <c r="N146" s="5"/>
      <c r="O146" s="5"/>
      <c r="P146" s="5"/>
      <c r="Q146" s="5"/>
      <c r="R146" s="57"/>
      <c r="S146" s="5"/>
      <c r="T146" s="5"/>
      <c r="U146" s="5"/>
      <c r="V146" s="5"/>
      <c r="W146" s="431"/>
      <c r="X146" s="431"/>
      <c r="Y146" s="431"/>
      <c r="Z146" s="431"/>
      <c r="AA146" s="431"/>
      <c r="AB146" s="431"/>
      <c r="AC146" s="431"/>
      <c r="AD146" s="431"/>
    </row>
    <row r="147" spans="1:30" ht="12.75" customHeight="1">
      <c r="A147" s="5"/>
      <c r="B147" s="5"/>
      <c r="C147" s="5"/>
      <c r="D147" s="5"/>
      <c r="E147" s="5"/>
      <c r="F147" s="5"/>
      <c r="G147" s="5"/>
      <c r="H147" s="306"/>
      <c r="I147" s="306"/>
      <c r="J147" s="5"/>
      <c r="K147" s="5"/>
      <c r="L147" s="306"/>
      <c r="M147" s="5"/>
      <c r="N147" s="5"/>
      <c r="O147" s="5"/>
      <c r="P147" s="5"/>
      <c r="Q147" s="5"/>
      <c r="R147" s="57"/>
      <c r="S147" s="5"/>
      <c r="T147" s="5"/>
      <c r="U147" s="5"/>
      <c r="V147" s="5"/>
      <c r="W147" s="431"/>
      <c r="X147" s="431"/>
      <c r="Y147" s="431"/>
      <c r="Z147" s="431"/>
      <c r="AA147" s="431"/>
      <c r="AB147" s="431"/>
      <c r="AC147" s="431"/>
      <c r="AD147" s="431"/>
    </row>
    <row r="148" spans="1:30" ht="12.75" customHeight="1">
      <c r="A148" s="5"/>
      <c r="B148" s="5"/>
      <c r="C148" s="5"/>
      <c r="D148" s="5"/>
      <c r="E148" s="5"/>
      <c r="F148" s="5"/>
      <c r="G148" s="5"/>
      <c r="H148" s="306"/>
      <c r="I148" s="306"/>
      <c r="J148" s="5"/>
      <c r="K148" s="5"/>
      <c r="L148" s="306"/>
      <c r="M148" s="5"/>
      <c r="N148" s="5"/>
      <c r="O148" s="5"/>
      <c r="P148" s="5"/>
      <c r="Q148" s="5"/>
      <c r="R148" s="57"/>
      <c r="S148" s="5"/>
      <c r="T148" s="5"/>
      <c r="U148" s="5"/>
      <c r="V148" s="5"/>
      <c r="W148" s="431"/>
      <c r="X148" s="431"/>
      <c r="Y148" s="431"/>
      <c r="Z148" s="431"/>
      <c r="AA148" s="431"/>
      <c r="AB148" s="431"/>
      <c r="AC148" s="431"/>
      <c r="AD148" s="431"/>
    </row>
    <row r="149" spans="1:30" ht="12.75" customHeight="1">
      <c r="A149" s="5"/>
      <c r="B149" s="5"/>
      <c r="C149" s="5"/>
      <c r="D149" s="5"/>
      <c r="E149" s="5"/>
      <c r="F149" s="5"/>
      <c r="G149" s="5"/>
      <c r="H149" s="306"/>
      <c r="I149" s="306"/>
      <c r="J149" s="5"/>
      <c r="K149" s="5"/>
      <c r="L149" s="306"/>
      <c r="M149" s="5"/>
      <c r="N149" s="5"/>
      <c r="O149" s="5"/>
      <c r="P149" s="5"/>
      <c r="Q149" s="5"/>
      <c r="R149" s="57"/>
      <c r="S149" s="5"/>
      <c r="T149" s="5"/>
      <c r="U149" s="5"/>
      <c r="V149" s="5"/>
      <c r="W149" s="431"/>
      <c r="X149" s="431"/>
      <c r="Y149" s="431"/>
      <c r="Z149" s="431"/>
      <c r="AA149" s="431"/>
      <c r="AB149" s="431"/>
      <c r="AC149" s="431"/>
      <c r="AD149" s="431"/>
    </row>
    <row r="150" spans="1:30" ht="12.75" customHeight="1">
      <c r="A150" s="5"/>
      <c r="B150" s="5"/>
      <c r="C150" s="5"/>
      <c r="D150" s="5"/>
      <c r="E150" s="5"/>
      <c r="F150" s="5"/>
      <c r="G150" s="5"/>
      <c r="H150" s="306"/>
      <c r="I150" s="306"/>
      <c r="J150" s="5"/>
      <c r="K150" s="5"/>
      <c r="L150" s="306"/>
      <c r="M150" s="5"/>
      <c r="N150" s="5"/>
      <c r="O150" s="5"/>
      <c r="P150" s="5"/>
      <c r="Q150" s="5"/>
      <c r="R150" s="57"/>
      <c r="S150" s="5"/>
      <c r="T150" s="5"/>
      <c r="U150" s="5"/>
      <c r="V150" s="5"/>
      <c r="W150" s="431"/>
      <c r="X150" s="431"/>
      <c r="Y150" s="431"/>
      <c r="Z150" s="431"/>
      <c r="AA150" s="431"/>
      <c r="AB150" s="431"/>
      <c r="AC150" s="431"/>
      <c r="AD150" s="431"/>
    </row>
    <row r="151" spans="1:30" ht="12.75" customHeight="1">
      <c r="A151" s="5"/>
      <c r="B151" s="5"/>
      <c r="C151" s="5"/>
      <c r="D151" s="5"/>
      <c r="E151" s="5"/>
      <c r="F151" s="5"/>
      <c r="G151" s="5"/>
      <c r="H151" s="306"/>
      <c r="I151" s="306"/>
      <c r="J151" s="5"/>
      <c r="K151" s="5"/>
      <c r="L151" s="306"/>
      <c r="M151" s="5"/>
      <c r="N151" s="5"/>
      <c r="O151" s="5"/>
      <c r="P151" s="5"/>
      <c r="Q151" s="5"/>
      <c r="R151" s="57"/>
      <c r="S151" s="5"/>
      <c r="T151" s="5"/>
      <c r="U151" s="5"/>
      <c r="V151" s="5"/>
      <c r="W151" s="431"/>
      <c r="X151" s="431"/>
      <c r="Y151" s="431"/>
      <c r="Z151" s="431"/>
      <c r="AA151" s="431"/>
      <c r="AB151" s="431"/>
      <c r="AC151" s="431"/>
      <c r="AD151" s="431"/>
    </row>
    <row r="152" spans="1:30" ht="12.75" customHeight="1">
      <c r="A152" s="5"/>
      <c r="B152" s="5"/>
      <c r="C152" s="5"/>
      <c r="D152" s="5"/>
      <c r="E152" s="5"/>
      <c r="F152" s="5"/>
      <c r="G152" s="5"/>
      <c r="H152" s="306"/>
      <c r="I152" s="306"/>
      <c r="J152" s="5"/>
      <c r="K152" s="5"/>
      <c r="L152" s="306"/>
      <c r="M152" s="5"/>
      <c r="N152" s="5"/>
      <c r="O152" s="5"/>
      <c r="P152" s="5"/>
      <c r="Q152" s="5"/>
      <c r="R152" s="57"/>
      <c r="S152" s="5"/>
      <c r="T152" s="5"/>
      <c r="U152" s="5"/>
      <c r="V152" s="5"/>
      <c r="W152" s="431"/>
      <c r="X152" s="431"/>
      <c r="Y152" s="431"/>
      <c r="Z152" s="431"/>
      <c r="AA152" s="431"/>
      <c r="AB152" s="431"/>
      <c r="AC152" s="431"/>
      <c r="AD152" s="431"/>
    </row>
    <row r="153" spans="1:30" ht="12.75" customHeight="1">
      <c r="A153" s="5"/>
      <c r="B153" s="5"/>
      <c r="C153" s="5"/>
      <c r="D153" s="5"/>
      <c r="E153" s="5"/>
      <c r="F153" s="5"/>
      <c r="G153" s="5"/>
      <c r="H153" s="306"/>
      <c r="I153" s="306"/>
      <c r="J153" s="5"/>
      <c r="K153" s="5"/>
      <c r="L153" s="306"/>
      <c r="M153" s="5"/>
      <c r="N153" s="5"/>
      <c r="O153" s="5"/>
      <c r="P153" s="5"/>
      <c r="Q153" s="5"/>
      <c r="R153" s="57"/>
      <c r="S153" s="5"/>
      <c r="T153" s="5"/>
      <c r="U153" s="5"/>
      <c r="V153" s="5"/>
      <c r="W153" s="431"/>
      <c r="X153" s="431"/>
      <c r="Y153" s="431"/>
      <c r="Z153" s="431"/>
      <c r="AA153" s="431"/>
      <c r="AB153" s="431"/>
      <c r="AC153" s="431"/>
      <c r="AD153" s="431"/>
    </row>
    <row r="154" spans="1:30" ht="12.75" customHeight="1">
      <c r="A154" s="5"/>
      <c r="B154" s="5"/>
      <c r="C154" s="5"/>
      <c r="D154" s="5"/>
      <c r="E154" s="5"/>
      <c r="F154" s="5"/>
      <c r="G154" s="5"/>
      <c r="H154" s="306"/>
      <c r="I154" s="306"/>
      <c r="J154" s="5"/>
      <c r="K154" s="5"/>
      <c r="L154" s="306"/>
      <c r="M154" s="5"/>
      <c r="N154" s="5"/>
      <c r="O154" s="5"/>
      <c r="P154" s="5"/>
      <c r="Q154" s="5"/>
      <c r="R154" s="57"/>
      <c r="S154" s="5"/>
      <c r="T154" s="5"/>
      <c r="U154" s="5"/>
      <c r="V154" s="5"/>
      <c r="W154" s="431"/>
      <c r="X154" s="431"/>
      <c r="Y154" s="431"/>
      <c r="Z154" s="431"/>
      <c r="AA154" s="431"/>
      <c r="AB154" s="431"/>
      <c r="AC154" s="431"/>
      <c r="AD154" s="431"/>
    </row>
    <row r="155" spans="1:30" ht="12.75" customHeight="1">
      <c r="A155" s="5"/>
      <c r="B155" s="5"/>
      <c r="C155" s="5"/>
      <c r="D155" s="5"/>
      <c r="E155" s="5"/>
      <c r="F155" s="5"/>
      <c r="G155" s="5"/>
      <c r="H155" s="306"/>
      <c r="I155" s="306"/>
      <c r="J155" s="5"/>
      <c r="K155" s="5"/>
      <c r="L155" s="306"/>
      <c r="M155" s="5"/>
      <c r="N155" s="5"/>
      <c r="O155" s="5"/>
      <c r="P155" s="5"/>
      <c r="Q155" s="5"/>
      <c r="R155" s="57"/>
      <c r="S155" s="5"/>
      <c r="T155" s="5"/>
      <c r="U155" s="5"/>
      <c r="V155" s="5"/>
      <c r="W155" s="431"/>
      <c r="X155" s="431"/>
      <c r="Y155" s="431"/>
      <c r="Z155" s="431"/>
      <c r="AA155" s="431"/>
      <c r="AB155" s="431"/>
      <c r="AC155" s="431"/>
      <c r="AD155" s="431"/>
    </row>
    <row r="156" spans="1:30" ht="12.75" customHeight="1">
      <c r="A156" s="5"/>
      <c r="B156" s="5"/>
      <c r="C156" s="5"/>
      <c r="D156" s="5"/>
      <c r="E156" s="5"/>
      <c r="F156" s="5"/>
      <c r="G156" s="5"/>
      <c r="H156" s="306"/>
      <c r="I156" s="306"/>
      <c r="J156" s="5"/>
      <c r="K156" s="5"/>
      <c r="L156" s="306"/>
      <c r="M156" s="5"/>
      <c r="N156" s="5"/>
      <c r="O156" s="5"/>
      <c r="P156" s="5"/>
      <c r="Q156" s="5"/>
      <c r="R156" s="57"/>
      <c r="S156" s="5"/>
      <c r="T156" s="5"/>
      <c r="U156" s="5"/>
      <c r="V156" s="5"/>
      <c r="W156" s="431"/>
      <c r="X156" s="431"/>
      <c r="Y156" s="431"/>
      <c r="Z156" s="431"/>
      <c r="AA156" s="431"/>
      <c r="AB156" s="431"/>
      <c r="AC156" s="431"/>
      <c r="AD156" s="431"/>
    </row>
    <row r="157" spans="1:30" ht="12.75" customHeight="1">
      <c r="A157" s="5"/>
      <c r="B157" s="5"/>
      <c r="C157" s="5"/>
      <c r="D157" s="5"/>
      <c r="E157" s="5"/>
      <c r="F157" s="5"/>
      <c r="G157" s="5"/>
      <c r="H157" s="306"/>
      <c r="I157" s="306"/>
      <c r="J157" s="5"/>
      <c r="K157" s="5"/>
      <c r="L157" s="306"/>
      <c r="M157" s="5"/>
      <c r="N157" s="5"/>
      <c r="O157" s="5"/>
      <c r="P157" s="5"/>
      <c r="Q157" s="5"/>
      <c r="R157" s="57"/>
      <c r="S157" s="5"/>
      <c r="T157" s="5"/>
      <c r="U157" s="5"/>
      <c r="V157" s="5"/>
      <c r="W157" s="431"/>
      <c r="X157" s="431"/>
      <c r="Y157" s="431"/>
      <c r="Z157" s="431"/>
      <c r="AA157" s="431"/>
      <c r="AB157" s="431"/>
      <c r="AC157" s="431"/>
      <c r="AD157" s="431"/>
    </row>
    <row r="158" spans="1:30" ht="12.75" customHeight="1">
      <c r="A158" s="5"/>
      <c r="B158" s="5"/>
      <c r="C158" s="5"/>
      <c r="D158" s="5"/>
      <c r="E158" s="5"/>
      <c r="F158" s="5"/>
      <c r="G158" s="5"/>
      <c r="H158" s="306"/>
      <c r="I158" s="306"/>
      <c r="J158" s="5"/>
      <c r="K158" s="5"/>
      <c r="L158" s="306"/>
      <c r="M158" s="5"/>
      <c r="N158" s="5"/>
      <c r="O158" s="5"/>
      <c r="P158" s="5"/>
      <c r="Q158" s="5"/>
      <c r="R158" s="57"/>
      <c r="S158" s="5"/>
      <c r="T158" s="5"/>
      <c r="U158" s="5"/>
      <c r="V158" s="5"/>
      <c r="W158" s="431"/>
      <c r="X158" s="431"/>
      <c r="Y158" s="431"/>
      <c r="Z158" s="431"/>
      <c r="AA158" s="431"/>
      <c r="AB158" s="431"/>
      <c r="AC158" s="431"/>
      <c r="AD158" s="431"/>
    </row>
    <row r="159" spans="1:30" ht="12.75" customHeight="1">
      <c r="A159" s="5"/>
      <c r="B159" s="5"/>
      <c r="C159" s="5"/>
      <c r="D159" s="5"/>
      <c r="E159" s="5"/>
      <c r="F159" s="5"/>
      <c r="G159" s="5"/>
      <c r="H159" s="306"/>
      <c r="I159" s="306"/>
      <c r="J159" s="5"/>
      <c r="K159" s="5"/>
      <c r="L159" s="306"/>
      <c r="M159" s="5"/>
      <c r="N159" s="5"/>
      <c r="O159" s="5"/>
      <c r="P159" s="5"/>
      <c r="Q159" s="5"/>
      <c r="R159" s="57"/>
      <c r="S159" s="5"/>
      <c r="T159" s="5"/>
      <c r="U159" s="5"/>
      <c r="V159" s="5"/>
      <c r="W159" s="431"/>
      <c r="X159" s="431"/>
      <c r="Y159" s="431"/>
      <c r="Z159" s="431"/>
      <c r="AA159" s="431"/>
      <c r="AB159" s="431"/>
      <c r="AC159" s="431"/>
      <c r="AD159" s="431"/>
    </row>
    <row r="160" spans="1:30" ht="12.75" customHeight="1">
      <c r="A160" s="5"/>
      <c r="B160" s="5"/>
      <c r="C160" s="5"/>
      <c r="D160" s="5"/>
      <c r="E160" s="5"/>
      <c r="F160" s="5"/>
      <c r="G160" s="5"/>
      <c r="H160" s="306"/>
      <c r="I160" s="306"/>
      <c r="J160" s="5"/>
      <c r="K160" s="5"/>
      <c r="L160" s="306"/>
      <c r="M160" s="5"/>
      <c r="N160" s="5"/>
      <c r="O160" s="5"/>
      <c r="P160" s="5"/>
      <c r="Q160" s="5"/>
      <c r="R160" s="57"/>
      <c r="S160" s="5"/>
      <c r="T160" s="5"/>
      <c r="U160" s="5"/>
      <c r="V160" s="5"/>
      <c r="W160" s="5"/>
      <c r="X160" s="5"/>
      <c r="Y160" s="5"/>
      <c r="Z160" s="5"/>
      <c r="AA160" s="5"/>
      <c r="AB160" s="5"/>
      <c r="AC160" s="5"/>
    </row>
    <row r="161" spans="1:29" ht="12.75" customHeight="1">
      <c r="A161" s="5"/>
      <c r="B161" s="5"/>
      <c r="C161" s="5"/>
      <c r="D161" s="5"/>
      <c r="E161" s="5"/>
      <c r="F161" s="5"/>
      <c r="G161" s="5"/>
      <c r="H161" s="306"/>
      <c r="I161" s="306"/>
      <c r="J161" s="5"/>
      <c r="K161" s="5"/>
      <c r="L161" s="306"/>
      <c r="M161" s="5"/>
      <c r="N161" s="5"/>
      <c r="O161" s="5"/>
      <c r="P161" s="5"/>
      <c r="Q161" s="5"/>
      <c r="R161" s="57"/>
      <c r="S161" s="5"/>
      <c r="T161" s="5"/>
      <c r="U161" s="5"/>
      <c r="V161" s="5"/>
      <c r="W161" s="5"/>
      <c r="X161" s="5"/>
      <c r="Y161" s="5"/>
      <c r="Z161" s="5"/>
      <c r="AA161" s="5"/>
      <c r="AB161" s="5"/>
      <c r="AC161" s="5"/>
    </row>
    <row r="162" spans="1:29" ht="12.75" customHeight="1">
      <c r="A162" s="5"/>
      <c r="B162" s="5"/>
      <c r="C162" s="5"/>
      <c r="D162" s="5"/>
      <c r="E162" s="5"/>
      <c r="F162" s="5"/>
      <c r="G162" s="5"/>
      <c r="H162" s="306"/>
      <c r="I162" s="306"/>
      <c r="J162" s="5"/>
      <c r="K162" s="5"/>
      <c r="L162" s="306"/>
      <c r="M162" s="5"/>
      <c r="N162" s="5"/>
      <c r="O162" s="5"/>
      <c r="P162" s="5"/>
      <c r="Q162" s="5"/>
      <c r="R162" s="57"/>
      <c r="S162" s="5"/>
      <c r="T162" s="5"/>
      <c r="U162" s="5"/>
      <c r="V162" s="5"/>
      <c r="W162" s="5"/>
      <c r="X162" s="5"/>
      <c r="Y162" s="5"/>
      <c r="Z162" s="5"/>
      <c r="AA162" s="5"/>
      <c r="AB162" s="5"/>
      <c r="AC162" s="5"/>
    </row>
    <row r="163" spans="1:29" ht="12.75" customHeight="1">
      <c r="A163" s="5"/>
      <c r="B163" s="5"/>
      <c r="C163" s="5"/>
      <c r="D163" s="5"/>
      <c r="E163" s="5"/>
      <c r="F163" s="5"/>
      <c r="G163" s="5"/>
      <c r="H163" s="306"/>
      <c r="I163" s="306"/>
      <c r="J163" s="5"/>
      <c r="K163" s="5"/>
      <c r="L163" s="306"/>
      <c r="M163" s="5"/>
      <c r="N163" s="5"/>
      <c r="O163" s="5"/>
      <c r="P163" s="5"/>
      <c r="Q163" s="5"/>
      <c r="R163" s="57"/>
      <c r="S163" s="5"/>
      <c r="T163" s="5"/>
      <c r="U163" s="5"/>
      <c r="V163" s="5"/>
      <c r="W163" s="5"/>
      <c r="X163" s="5"/>
      <c r="Y163" s="5"/>
      <c r="Z163" s="5"/>
      <c r="AA163" s="5"/>
      <c r="AB163" s="5"/>
      <c r="AC163" s="5"/>
    </row>
    <row r="164" spans="1:29" ht="12.75" customHeight="1">
      <c r="A164" s="5"/>
      <c r="B164" s="5"/>
      <c r="C164" s="5"/>
      <c r="D164" s="5"/>
      <c r="E164" s="5"/>
      <c r="F164" s="5"/>
      <c r="G164" s="5"/>
      <c r="H164" s="306"/>
      <c r="I164" s="306"/>
      <c r="J164" s="5"/>
      <c r="K164" s="5"/>
      <c r="L164" s="306"/>
      <c r="M164" s="5"/>
      <c r="N164" s="5"/>
      <c r="O164" s="5"/>
      <c r="P164" s="5"/>
      <c r="Q164" s="5"/>
      <c r="R164" s="57"/>
      <c r="S164" s="5"/>
      <c r="T164" s="5"/>
      <c r="U164" s="5"/>
      <c r="V164" s="5"/>
      <c r="W164" s="5"/>
      <c r="X164" s="5"/>
      <c r="Y164" s="5"/>
      <c r="Z164" s="5"/>
      <c r="AA164" s="5"/>
      <c r="AB164" s="5"/>
      <c r="AC164" s="5"/>
    </row>
    <row r="165" spans="1:29" ht="12.75" customHeight="1">
      <c r="A165" s="5"/>
      <c r="B165" s="5"/>
      <c r="C165" s="5"/>
      <c r="D165" s="5"/>
      <c r="E165" s="5"/>
      <c r="F165" s="5"/>
      <c r="G165" s="5"/>
      <c r="H165" s="306"/>
      <c r="I165" s="306"/>
      <c r="J165" s="5"/>
      <c r="K165" s="5"/>
      <c r="L165" s="306"/>
      <c r="M165" s="5"/>
      <c r="N165" s="5"/>
      <c r="O165" s="5"/>
      <c r="P165" s="5"/>
      <c r="Q165" s="5"/>
      <c r="R165" s="57"/>
      <c r="S165" s="5"/>
      <c r="T165" s="5"/>
      <c r="U165" s="5"/>
      <c r="V165" s="5"/>
      <c r="W165" s="5"/>
      <c r="X165" s="5"/>
      <c r="Y165" s="5"/>
      <c r="Z165" s="5"/>
      <c r="AA165" s="5"/>
      <c r="AB165" s="5"/>
      <c r="AC165" s="5"/>
    </row>
    <row r="166" spans="1:29" ht="12.75" customHeight="1">
      <c r="A166" s="5"/>
      <c r="B166" s="5"/>
      <c r="C166" s="5"/>
      <c r="D166" s="5"/>
      <c r="E166" s="5"/>
      <c r="F166" s="5"/>
      <c r="G166" s="5"/>
      <c r="H166" s="306"/>
      <c r="I166" s="306"/>
      <c r="J166" s="5"/>
      <c r="K166" s="5"/>
      <c r="L166" s="306"/>
      <c r="M166" s="5"/>
      <c r="N166" s="5"/>
      <c r="O166" s="5"/>
      <c r="P166" s="5"/>
      <c r="Q166" s="5"/>
      <c r="R166" s="57"/>
      <c r="S166" s="5"/>
      <c r="T166" s="5"/>
      <c r="U166" s="5"/>
      <c r="V166" s="5"/>
      <c r="W166" s="5"/>
      <c r="X166" s="5"/>
      <c r="Y166" s="5"/>
      <c r="Z166" s="5"/>
      <c r="AA166" s="5"/>
      <c r="AB166" s="5"/>
      <c r="AC166" s="5"/>
    </row>
    <row r="167" spans="1:29" ht="12.75" customHeight="1">
      <c r="A167" s="5"/>
      <c r="B167" s="5"/>
      <c r="C167" s="5"/>
      <c r="D167" s="5"/>
      <c r="E167" s="5"/>
      <c r="F167" s="5"/>
      <c r="G167" s="5"/>
      <c r="H167" s="306"/>
      <c r="I167" s="306"/>
      <c r="J167" s="5"/>
      <c r="K167" s="5"/>
      <c r="L167" s="306"/>
      <c r="M167" s="5"/>
      <c r="N167" s="5"/>
      <c r="O167" s="5"/>
      <c r="P167" s="5"/>
      <c r="Q167" s="5"/>
      <c r="R167" s="57"/>
      <c r="S167" s="5"/>
      <c r="T167" s="5"/>
      <c r="U167" s="5"/>
      <c r="V167" s="5"/>
      <c r="W167" s="5"/>
      <c r="X167" s="5"/>
      <c r="Y167" s="5"/>
      <c r="Z167" s="5"/>
      <c r="AA167" s="5"/>
      <c r="AB167" s="5"/>
      <c r="AC167" s="5"/>
    </row>
    <row r="168" spans="1:29" ht="12.75" customHeight="1">
      <c r="A168" s="5"/>
      <c r="B168" s="5"/>
      <c r="C168" s="5"/>
      <c r="D168" s="5"/>
      <c r="E168" s="5"/>
      <c r="F168" s="5"/>
      <c r="G168" s="5"/>
      <c r="H168" s="306"/>
      <c r="I168" s="306"/>
      <c r="J168" s="5"/>
      <c r="K168" s="5"/>
      <c r="L168" s="306"/>
      <c r="M168" s="5"/>
      <c r="N168" s="5"/>
      <c r="O168" s="5"/>
      <c r="P168" s="5"/>
      <c r="Q168" s="5"/>
      <c r="R168" s="57"/>
      <c r="S168" s="5"/>
      <c r="T168" s="5"/>
      <c r="U168" s="5"/>
      <c r="V168" s="5"/>
      <c r="W168" s="5"/>
      <c r="X168" s="5"/>
      <c r="Y168" s="5"/>
      <c r="Z168" s="5"/>
      <c r="AA168" s="5"/>
      <c r="AB168" s="5"/>
      <c r="AC168" s="5"/>
    </row>
    <row r="169" spans="1:29" ht="12.75" customHeight="1">
      <c r="A169" s="5"/>
      <c r="B169" s="5"/>
      <c r="C169" s="5"/>
      <c r="D169" s="5"/>
      <c r="E169" s="5"/>
      <c r="F169" s="5"/>
      <c r="G169" s="5"/>
      <c r="H169" s="306"/>
      <c r="I169" s="306"/>
      <c r="J169" s="5"/>
      <c r="K169" s="5"/>
      <c r="L169" s="306"/>
      <c r="M169" s="5"/>
      <c r="N169" s="5"/>
      <c r="O169" s="5"/>
      <c r="P169" s="5"/>
      <c r="Q169" s="5"/>
      <c r="R169" s="57"/>
      <c r="S169" s="5"/>
      <c r="T169" s="5"/>
      <c r="U169" s="5"/>
      <c r="V169" s="5"/>
      <c r="W169" s="5"/>
      <c r="X169" s="5"/>
      <c r="Y169" s="5"/>
      <c r="Z169" s="5"/>
      <c r="AA169" s="5"/>
      <c r="AB169" s="5"/>
      <c r="AC169" s="5"/>
    </row>
    <row r="170" spans="1:29" ht="12.75" customHeight="1">
      <c r="A170" s="5"/>
      <c r="B170" s="5"/>
      <c r="C170" s="5"/>
      <c r="D170" s="5"/>
      <c r="E170" s="5"/>
      <c r="F170" s="5"/>
      <c r="G170" s="5"/>
      <c r="H170" s="306"/>
      <c r="I170" s="306"/>
      <c r="J170" s="5"/>
      <c r="K170" s="5"/>
      <c r="L170" s="306"/>
      <c r="M170" s="5"/>
      <c r="N170" s="5"/>
      <c r="O170" s="5"/>
      <c r="P170" s="5"/>
      <c r="Q170" s="5"/>
      <c r="R170" s="57"/>
      <c r="S170" s="5"/>
      <c r="T170" s="5"/>
      <c r="U170" s="5"/>
      <c r="V170" s="5"/>
      <c r="W170" s="5"/>
      <c r="X170" s="5"/>
      <c r="Y170" s="5"/>
      <c r="Z170" s="5"/>
      <c r="AA170" s="5"/>
      <c r="AB170" s="5"/>
      <c r="AC170" s="5"/>
    </row>
    <row r="171" spans="1:29" ht="12.75" customHeight="1">
      <c r="A171" s="5"/>
      <c r="B171" s="5"/>
      <c r="C171" s="5"/>
      <c r="D171" s="5"/>
      <c r="E171" s="5"/>
      <c r="F171" s="5"/>
      <c r="G171" s="5"/>
      <c r="H171" s="306"/>
      <c r="I171" s="306"/>
      <c r="J171" s="5"/>
      <c r="K171" s="5"/>
      <c r="L171" s="306"/>
      <c r="M171" s="5"/>
      <c r="N171" s="5"/>
      <c r="O171" s="5"/>
      <c r="P171" s="5"/>
      <c r="Q171" s="5"/>
      <c r="R171" s="57"/>
      <c r="S171" s="5"/>
      <c r="T171" s="5"/>
      <c r="U171" s="5"/>
      <c r="V171" s="5"/>
      <c r="W171" s="5"/>
      <c r="X171" s="5"/>
      <c r="Y171" s="5"/>
      <c r="Z171" s="5"/>
      <c r="AA171" s="5"/>
      <c r="AB171" s="5"/>
      <c r="AC171" s="5"/>
    </row>
    <row r="172" spans="1:29" ht="12.75" customHeight="1">
      <c r="A172" s="5"/>
      <c r="B172" s="5"/>
      <c r="C172" s="5"/>
      <c r="D172" s="5"/>
      <c r="E172" s="5"/>
      <c r="F172" s="5"/>
      <c r="G172" s="5"/>
      <c r="H172" s="306"/>
      <c r="I172" s="306"/>
      <c r="J172" s="5"/>
      <c r="K172" s="5"/>
      <c r="L172" s="306"/>
      <c r="M172" s="5"/>
      <c r="N172" s="5"/>
      <c r="O172" s="5"/>
      <c r="P172" s="5"/>
      <c r="Q172" s="5"/>
      <c r="R172" s="57"/>
      <c r="S172" s="5"/>
      <c r="T172" s="5"/>
      <c r="U172" s="5"/>
      <c r="V172" s="5"/>
      <c r="W172" s="5"/>
      <c r="X172" s="5"/>
      <c r="Y172" s="5"/>
      <c r="Z172" s="5"/>
      <c r="AA172" s="5"/>
      <c r="AB172" s="5"/>
      <c r="AC172" s="5"/>
    </row>
    <row r="173" spans="1:29" ht="12.75" customHeight="1">
      <c r="A173" s="5"/>
      <c r="B173" s="5"/>
      <c r="C173" s="5"/>
      <c r="D173" s="5"/>
      <c r="E173" s="5"/>
      <c r="F173" s="5"/>
      <c r="G173" s="5"/>
      <c r="H173" s="306"/>
      <c r="I173" s="306"/>
      <c r="J173" s="5"/>
      <c r="K173" s="5"/>
      <c r="L173" s="306"/>
      <c r="M173" s="5"/>
      <c r="N173" s="5"/>
      <c r="O173" s="5"/>
      <c r="P173" s="5"/>
      <c r="Q173" s="5"/>
      <c r="R173" s="57"/>
      <c r="S173" s="5"/>
      <c r="T173" s="5"/>
      <c r="U173" s="5"/>
      <c r="V173" s="5"/>
      <c r="W173" s="5"/>
      <c r="X173" s="5"/>
      <c r="Y173" s="5"/>
      <c r="Z173" s="5"/>
      <c r="AA173" s="5"/>
      <c r="AB173" s="5"/>
      <c r="AC173" s="5"/>
    </row>
    <row r="174" spans="1:29" ht="12.75" customHeight="1">
      <c r="A174" s="5"/>
      <c r="B174" s="5"/>
      <c r="C174" s="5"/>
      <c r="D174" s="5"/>
      <c r="E174" s="5"/>
      <c r="F174" s="5"/>
      <c r="G174" s="5"/>
      <c r="H174" s="306"/>
      <c r="I174" s="306"/>
      <c r="J174" s="5"/>
      <c r="K174" s="5"/>
      <c r="L174" s="306"/>
      <c r="M174" s="5"/>
      <c r="N174" s="5"/>
      <c r="O174" s="5"/>
      <c r="P174" s="5"/>
      <c r="Q174" s="5"/>
      <c r="R174" s="57"/>
      <c r="S174" s="5"/>
      <c r="T174" s="5"/>
      <c r="U174" s="5"/>
      <c r="V174" s="5"/>
      <c r="W174" s="5"/>
      <c r="X174" s="5"/>
      <c r="Y174" s="5"/>
      <c r="Z174" s="5"/>
      <c r="AA174" s="5"/>
      <c r="AB174" s="5"/>
      <c r="AC174" s="5"/>
    </row>
    <row r="175" spans="1:29" ht="12.75" customHeight="1">
      <c r="A175" s="5"/>
      <c r="B175" s="5"/>
      <c r="C175" s="5"/>
      <c r="D175" s="5"/>
      <c r="E175" s="5"/>
      <c r="F175" s="5"/>
      <c r="G175" s="5"/>
      <c r="H175" s="306"/>
      <c r="I175" s="306"/>
      <c r="J175" s="5"/>
      <c r="K175" s="5"/>
      <c r="L175" s="306"/>
      <c r="M175" s="5"/>
      <c r="N175" s="5"/>
      <c r="O175" s="5"/>
      <c r="P175" s="5"/>
      <c r="Q175" s="5"/>
      <c r="R175" s="57"/>
      <c r="S175" s="5"/>
      <c r="T175" s="5"/>
      <c r="U175" s="5"/>
      <c r="V175" s="5"/>
      <c r="W175" s="5"/>
      <c r="X175" s="5"/>
      <c r="Y175" s="5"/>
      <c r="Z175" s="5"/>
      <c r="AA175" s="5"/>
      <c r="AB175" s="5"/>
      <c r="AC175" s="5"/>
    </row>
    <row r="176" spans="1:29" ht="12.75" customHeight="1">
      <c r="A176" s="5"/>
      <c r="B176" s="5"/>
      <c r="C176" s="5"/>
      <c r="D176" s="5"/>
      <c r="E176" s="5"/>
      <c r="F176" s="5"/>
      <c r="G176" s="5"/>
      <c r="H176" s="306"/>
      <c r="I176" s="306"/>
      <c r="J176" s="5"/>
      <c r="K176" s="5"/>
      <c r="L176" s="306"/>
      <c r="M176" s="5"/>
      <c r="N176" s="5"/>
      <c r="O176" s="5"/>
      <c r="P176" s="5"/>
      <c r="Q176" s="5"/>
      <c r="R176" s="57"/>
      <c r="S176" s="5"/>
      <c r="T176" s="5"/>
      <c r="U176" s="5"/>
      <c r="V176" s="5"/>
      <c r="W176" s="5"/>
      <c r="X176" s="5"/>
      <c r="Y176" s="5"/>
      <c r="Z176" s="5"/>
      <c r="AA176" s="5"/>
      <c r="AB176" s="5"/>
      <c r="AC176" s="5"/>
    </row>
    <row r="177" spans="1:29" ht="12.75" customHeight="1">
      <c r="A177" s="5"/>
      <c r="B177" s="5"/>
      <c r="C177" s="5"/>
      <c r="D177" s="5"/>
      <c r="E177" s="5"/>
      <c r="F177" s="5"/>
      <c r="G177" s="5"/>
      <c r="H177" s="306"/>
      <c r="I177" s="306"/>
      <c r="J177" s="5"/>
      <c r="K177" s="5"/>
      <c r="L177" s="306"/>
      <c r="M177" s="5"/>
      <c r="N177" s="5"/>
      <c r="O177" s="5"/>
      <c r="P177" s="5"/>
      <c r="Q177" s="5"/>
      <c r="R177" s="57"/>
      <c r="S177" s="5"/>
      <c r="T177" s="5"/>
      <c r="U177" s="5"/>
      <c r="V177" s="5"/>
      <c r="W177" s="5"/>
      <c r="X177" s="5"/>
      <c r="Y177" s="5"/>
      <c r="Z177" s="5"/>
      <c r="AA177" s="5"/>
      <c r="AB177" s="5"/>
      <c r="AC177" s="5"/>
    </row>
    <row r="178" spans="1:29" ht="12.75" customHeight="1">
      <c r="A178" s="5"/>
      <c r="B178" s="5"/>
      <c r="C178" s="5"/>
      <c r="D178" s="5"/>
      <c r="E178" s="5"/>
      <c r="F178" s="5"/>
      <c r="G178" s="5"/>
      <c r="H178" s="306"/>
      <c r="I178" s="306"/>
      <c r="J178" s="5"/>
      <c r="K178" s="5"/>
      <c r="L178" s="306"/>
      <c r="M178" s="5"/>
      <c r="N178" s="5"/>
      <c r="O178" s="5"/>
      <c r="P178" s="5"/>
      <c r="Q178" s="5"/>
      <c r="R178" s="57"/>
      <c r="S178" s="5"/>
      <c r="T178" s="5"/>
      <c r="U178" s="5"/>
      <c r="V178" s="5"/>
      <c r="W178" s="5"/>
      <c r="X178" s="5"/>
      <c r="Y178" s="5"/>
      <c r="Z178" s="5"/>
      <c r="AA178" s="5"/>
      <c r="AB178" s="5"/>
      <c r="AC178" s="5"/>
    </row>
    <row r="179" spans="1:29" ht="12.75" customHeight="1">
      <c r="A179" s="5"/>
      <c r="B179" s="5"/>
      <c r="C179" s="5"/>
      <c r="D179" s="5"/>
      <c r="E179" s="5"/>
      <c r="F179" s="5"/>
      <c r="G179" s="5"/>
      <c r="H179" s="306"/>
      <c r="I179" s="306"/>
      <c r="J179" s="5"/>
      <c r="K179" s="5"/>
      <c r="L179" s="306"/>
      <c r="M179" s="5"/>
      <c r="N179" s="5"/>
      <c r="O179" s="5"/>
      <c r="P179" s="5"/>
      <c r="Q179" s="5"/>
      <c r="R179" s="57"/>
      <c r="S179" s="5"/>
      <c r="T179" s="5"/>
      <c r="U179" s="5"/>
      <c r="V179" s="5"/>
      <c r="W179" s="5"/>
      <c r="X179" s="5"/>
      <c r="Y179" s="5"/>
      <c r="Z179" s="5"/>
      <c r="AA179" s="5"/>
      <c r="AB179" s="5"/>
      <c r="AC179" s="5"/>
    </row>
    <row r="180" spans="1:29" ht="12.75" customHeight="1">
      <c r="A180" s="5"/>
      <c r="B180" s="5"/>
      <c r="C180" s="5"/>
      <c r="D180" s="5"/>
      <c r="E180" s="5"/>
      <c r="F180" s="5"/>
      <c r="G180" s="5"/>
      <c r="H180" s="306"/>
      <c r="I180" s="306"/>
      <c r="J180" s="5"/>
      <c r="K180" s="5"/>
      <c r="L180" s="306"/>
      <c r="M180" s="5"/>
      <c r="N180" s="5"/>
      <c r="O180" s="5"/>
      <c r="P180" s="5"/>
      <c r="Q180" s="5"/>
      <c r="R180" s="57"/>
      <c r="S180" s="5"/>
      <c r="T180" s="5"/>
      <c r="U180" s="5"/>
      <c r="V180" s="5"/>
      <c r="W180" s="5"/>
      <c r="X180" s="5"/>
      <c r="Y180" s="5"/>
      <c r="Z180" s="5"/>
      <c r="AA180" s="5"/>
      <c r="AB180" s="5"/>
      <c r="AC180" s="5"/>
    </row>
    <row r="181" spans="1:29" ht="12.75" customHeight="1">
      <c r="A181" s="5"/>
      <c r="B181" s="5"/>
      <c r="C181" s="5"/>
      <c r="D181" s="5"/>
      <c r="E181" s="5"/>
      <c r="F181" s="5"/>
      <c r="G181" s="5"/>
      <c r="H181" s="306"/>
      <c r="I181" s="306"/>
      <c r="J181" s="5"/>
      <c r="K181" s="5"/>
      <c r="L181" s="306"/>
      <c r="M181" s="5"/>
      <c r="N181" s="5"/>
      <c r="O181" s="5"/>
      <c r="P181" s="5"/>
      <c r="Q181" s="5"/>
      <c r="R181" s="57"/>
      <c r="S181" s="5"/>
      <c r="T181" s="5"/>
      <c r="U181" s="5"/>
      <c r="V181" s="5"/>
      <c r="W181" s="5"/>
      <c r="X181" s="5"/>
      <c r="Y181" s="5"/>
      <c r="Z181" s="5"/>
      <c r="AA181" s="5"/>
      <c r="AB181" s="5"/>
      <c r="AC181" s="5"/>
    </row>
    <row r="182" spans="1:29" ht="12.75" customHeight="1">
      <c r="A182" s="5"/>
      <c r="B182" s="5"/>
      <c r="C182" s="5"/>
      <c r="D182" s="5"/>
      <c r="E182" s="5"/>
      <c r="F182" s="5"/>
      <c r="G182" s="5"/>
      <c r="H182" s="306"/>
      <c r="I182" s="306"/>
      <c r="J182" s="5"/>
      <c r="K182" s="5"/>
      <c r="L182" s="306"/>
      <c r="M182" s="5"/>
      <c r="N182" s="5"/>
      <c r="O182" s="5"/>
      <c r="P182" s="5"/>
      <c r="Q182" s="5"/>
      <c r="R182" s="57"/>
      <c r="S182" s="5"/>
      <c r="T182" s="5"/>
      <c r="U182" s="5"/>
      <c r="V182" s="5"/>
      <c r="W182" s="5"/>
      <c r="X182" s="5"/>
      <c r="Y182" s="5"/>
      <c r="Z182" s="5"/>
      <c r="AA182" s="5"/>
      <c r="AB182" s="5"/>
      <c r="AC182" s="5"/>
    </row>
    <row r="183" spans="1:29" ht="12.75" customHeight="1">
      <c r="A183" s="5"/>
      <c r="B183" s="5"/>
      <c r="C183" s="5"/>
      <c r="D183" s="5"/>
      <c r="E183" s="5"/>
      <c r="F183" s="5"/>
      <c r="G183" s="5"/>
      <c r="H183" s="306"/>
      <c r="I183" s="306"/>
      <c r="J183" s="5"/>
      <c r="K183" s="5"/>
      <c r="L183" s="306"/>
      <c r="M183" s="5"/>
      <c r="N183" s="5"/>
      <c r="O183" s="5"/>
      <c r="P183" s="5"/>
      <c r="Q183" s="5"/>
      <c r="R183" s="57"/>
      <c r="S183" s="5"/>
      <c r="T183" s="5"/>
      <c r="U183" s="5"/>
      <c r="V183" s="5"/>
      <c r="W183" s="5"/>
      <c r="X183" s="5"/>
      <c r="Y183" s="5"/>
      <c r="Z183" s="5"/>
      <c r="AA183" s="5"/>
      <c r="AB183" s="5"/>
      <c r="AC183" s="5"/>
    </row>
    <row r="184" spans="1:29" ht="12.75" customHeight="1">
      <c r="A184" s="5"/>
      <c r="B184" s="5"/>
      <c r="C184" s="5"/>
      <c r="D184" s="5"/>
      <c r="E184" s="5"/>
      <c r="F184" s="5"/>
      <c r="G184" s="5"/>
      <c r="H184" s="306"/>
      <c r="I184" s="306"/>
      <c r="J184" s="5"/>
      <c r="K184" s="5"/>
      <c r="L184" s="306"/>
      <c r="M184" s="5"/>
      <c r="N184" s="5"/>
      <c r="O184" s="5"/>
      <c r="P184" s="5"/>
      <c r="Q184" s="5"/>
      <c r="R184" s="57"/>
      <c r="S184" s="5"/>
      <c r="T184" s="5"/>
      <c r="U184" s="5"/>
      <c r="V184" s="5"/>
      <c r="W184" s="5"/>
      <c r="X184" s="5"/>
      <c r="Y184" s="5"/>
      <c r="Z184" s="5"/>
      <c r="AA184" s="5"/>
      <c r="AB184" s="5"/>
      <c r="AC184" s="5"/>
    </row>
    <row r="185" spans="1:29" ht="12.75" customHeight="1">
      <c r="A185" s="5"/>
      <c r="B185" s="5"/>
      <c r="C185" s="5"/>
      <c r="D185" s="5"/>
      <c r="E185" s="5"/>
      <c r="F185" s="5"/>
      <c r="G185" s="5"/>
      <c r="H185" s="306"/>
      <c r="I185" s="306"/>
      <c r="J185" s="5"/>
      <c r="K185" s="5"/>
      <c r="L185" s="306"/>
      <c r="M185" s="5"/>
      <c r="N185" s="5"/>
      <c r="O185" s="5"/>
      <c r="P185" s="5"/>
      <c r="Q185" s="5"/>
      <c r="R185" s="57"/>
      <c r="S185" s="5"/>
      <c r="T185" s="5"/>
      <c r="U185" s="5"/>
      <c r="V185" s="5"/>
      <c r="W185" s="5"/>
      <c r="X185" s="5"/>
      <c r="Y185" s="5"/>
      <c r="Z185" s="5"/>
      <c r="AA185" s="5"/>
      <c r="AB185" s="5"/>
      <c r="AC185" s="5"/>
    </row>
    <row r="186" spans="1:29" ht="12.75" customHeight="1">
      <c r="A186" s="5"/>
      <c r="B186" s="5"/>
      <c r="C186" s="5"/>
      <c r="D186" s="5"/>
      <c r="E186" s="5"/>
      <c r="F186" s="5"/>
      <c r="G186" s="5"/>
      <c r="H186" s="306"/>
      <c r="I186" s="306"/>
      <c r="J186" s="5"/>
      <c r="K186" s="5"/>
      <c r="L186" s="306"/>
      <c r="M186" s="5"/>
      <c r="N186" s="5"/>
      <c r="O186" s="5"/>
      <c r="P186" s="5"/>
      <c r="Q186" s="5"/>
      <c r="R186" s="57"/>
      <c r="S186" s="5"/>
      <c r="T186" s="5"/>
      <c r="U186" s="5"/>
      <c r="V186" s="5"/>
      <c r="W186" s="5"/>
      <c r="X186" s="5"/>
      <c r="Y186" s="5"/>
      <c r="Z186" s="5"/>
      <c r="AA186" s="5"/>
      <c r="AB186" s="5"/>
      <c r="AC186" s="5"/>
    </row>
    <row r="187" spans="1:29" ht="12.75" customHeight="1">
      <c r="A187" s="5"/>
      <c r="B187" s="5"/>
      <c r="C187" s="5"/>
      <c r="D187" s="5"/>
      <c r="E187" s="5"/>
      <c r="F187" s="5"/>
      <c r="G187" s="5"/>
      <c r="H187" s="306"/>
      <c r="I187" s="306"/>
      <c r="J187" s="5"/>
      <c r="K187" s="5"/>
      <c r="L187" s="306"/>
      <c r="M187" s="5"/>
      <c r="N187" s="5"/>
      <c r="O187" s="5"/>
      <c r="P187" s="5"/>
      <c r="Q187" s="5"/>
      <c r="R187" s="57"/>
      <c r="S187" s="5"/>
      <c r="T187" s="5"/>
      <c r="U187" s="5"/>
      <c r="V187" s="5"/>
      <c r="W187" s="5"/>
      <c r="X187" s="5"/>
      <c r="Y187" s="5"/>
      <c r="Z187" s="5"/>
      <c r="AA187" s="5"/>
      <c r="AB187" s="5"/>
      <c r="AC187" s="5"/>
    </row>
    <row r="188" spans="1:29" ht="12.75" customHeight="1">
      <c r="A188" s="5"/>
      <c r="B188" s="5"/>
      <c r="C188" s="5"/>
      <c r="D188" s="5"/>
      <c r="E188" s="5"/>
      <c r="F188" s="5"/>
      <c r="G188" s="5"/>
      <c r="H188" s="306"/>
      <c r="I188" s="306"/>
      <c r="J188" s="5"/>
      <c r="K188" s="5"/>
      <c r="L188" s="306"/>
      <c r="M188" s="5"/>
      <c r="N188" s="5"/>
      <c r="O188" s="5"/>
      <c r="P188" s="5"/>
      <c r="Q188" s="5"/>
      <c r="R188" s="57"/>
      <c r="S188" s="5"/>
      <c r="T188" s="5"/>
      <c r="U188" s="5"/>
      <c r="V188" s="5"/>
      <c r="W188" s="5"/>
      <c r="X188" s="5"/>
      <c r="Y188" s="5"/>
      <c r="Z188" s="5"/>
      <c r="AA188" s="5"/>
      <c r="AB188" s="5"/>
      <c r="AC188" s="5"/>
    </row>
    <row r="189" spans="1:29" ht="12.75" customHeight="1">
      <c r="A189" s="5"/>
      <c r="B189" s="5"/>
      <c r="C189" s="5"/>
      <c r="D189" s="5"/>
      <c r="E189" s="5"/>
      <c r="F189" s="5"/>
      <c r="G189" s="5"/>
      <c r="H189" s="306"/>
      <c r="I189" s="306"/>
      <c r="J189" s="5"/>
      <c r="K189" s="5"/>
      <c r="L189" s="306"/>
      <c r="M189" s="5"/>
      <c r="N189" s="5"/>
      <c r="O189" s="5"/>
      <c r="P189" s="5"/>
      <c r="Q189" s="5"/>
      <c r="R189" s="57"/>
      <c r="S189" s="5"/>
      <c r="T189" s="5"/>
      <c r="U189" s="5"/>
      <c r="V189" s="5"/>
      <c r="W189" s="5"/>
      <c r="X189" s="5"/>
      <c r="Y189" s="5"/>
      <c r="Z189" s="5"/>
      <c r="AA189" s="5"/>
      <c r="AB189" s="5"/>
      <c r="AC189" s="5"/>
    </row>
    <row r="190" spans="1:29" ht="12.75" customHeight="1">
      <c r="A190" s="5"/>
      <c r="B190" s="5"/>
      <c r="C190" s="5"/>
      <c r="D190" s="5"/>
      <c r="E190" s="5"/>
      <c r="F190" s="5"/>
      <c r="G190" s="5"/>
      <c r="H190" s="306"/>
      <c r="I190" s="306"/>
      <c r="J190" s="5"/>
      <c r="K190" s="5"/>
      <c r="L190" s="306"/>
      <c r="M190" s="5"/>
      <c r="N190" s="5"/>
      <c r="O190" s="5"/>
      <c r="P190" s="5"/>
      <c r="Q190" s="5"/>
      <c r="R190" s="57"/>
      <c r="S190" s="5"/>
      <c r="T190" s="5"/>
      <c r="U190" s="5"/>
      <c r="V190" s="5"/>
      <c r="W190" s="5"/>
      <c r="X190" s="5"/>
      <c r="Y190" s="5"/>
      <c r="Z190" s="5"/>
      <c r="AA190" s="5"/>
      <c r="AB190" s="5"/>
      <c r="AC190" s="5"/>
    </row>
    <row r="191" spans="1:29" ht="12.75" customHeight="1">
      <c r="A191" s="5"/>
      <c r="B191" s="5"/>
      <c r="C191" s="5"/>
      <c r="D191" s="5"/>
      <c r="E191" s="5"/>
      <c r="F191" s="5"/>
      <c r="G191" s="5"/>
      <c r="H191" s="306"/>
      <c r="I191" s="306"/>
      <c r="J191" s="5"/>
      <c r="K191" s="5"/>
      <c r="L191" s="306"/>
      <c r="M191" s="5"/>
      <c r="N191" s="5"/>
      <c r="O191" s="5"/>
      <c r="P191" s="5"/>
      <c r="Q191" s="5"/>
      <c r="R191" s="57"/>
      <c r="S191" s="5"/>
      <c r="T191" s="5"/>
      <c r="U191" s="5"/>
      <c r="V191" s="5"/>
      <c r="W191" s="5"/>
      <c r="X191" s="5"/>
      <c r="Y191" s="5"/>
      <c r="Z191" s="5"/>
      <c r="AA191" s="5"/>
      <c r="AB191" s="5"/>
      <c r="AC191" s="5"/>
    </row>
    <row r="192" spans="1:29" ht="12.75" customHeight="1">
      <c r="A192" s="5"/>
      <c r="B192" s="5"/>
      <c r="C192" s="5"/>
      <c r="D192" s="5"/>
      <c r="E192" s="5"/>
      <c r="F192" s="5"/>
      <c r="G192" s="5"/>
      <c r="H192" s="306"/>
      <c r="I192" s="306"/>
      <c r="J192" s="5"/>
      <c r="K192" s="5"/>
      <c r="L192" s="306"/>
      <c r="M192" s="5"/>
      <c r="N192" s="5"/>
      <c r="O192" s="5"/>
      <c r="P192" s="5"/>
      <c r="Q192" s="5"/>
      <c r="R192" s="57"/>
      <c r="S192" s="5"/>
      <c r="T192" s="5"/>
      <c r="U192" s="5"/>
      <c r="V192" s="5"/>
      <c r="W192" s="5"/>
      <c r="X192" s="5"/>
      <c r="Y192" s="5"/>
      <c r="Z192" s="5"/>
      <c r="AA192" s="5"/>
      <c r="AB192" s="5"/>
      <c r="AC192" s="5"/>
    </row>
    <row r="193" spans="1:29" ht="12.75" customHeight="1">
      <c r="A193" s="5"/>
      <c r="B193" s="5"/>
      <c r="C193" s="5"/>
      <c r="D193" s="5"/>
      <c r="E193" s="5"/>
      <c r="F193" s="5"/>
      <c r="G193" s="5"/>
      <c r="H193" s="306"/>
      <c r="I193" s="306"/>
      <c r="J193" s="5"/>
      <c r="K193" s="5"/>
      <c r="L193" s="306"/>
      <c r="M193" s="5"/>
      <c r="N193" s="5"/>
      <c r="O193" s="5"/>
      <c r="P193" s="5"/>
      <c r="Q193" s="5"/>
      <c r="R193" s="57"/>
      <c r="S193" s="5"/>
      <c r="T193" s="5"/>
      <c r="U193" s="5"/>
      <c r="V193" s="5"/>
      <c r="W193" s="5"/>
      <c r="X193" s="5"/>
      <c r="Y193" s="5"/>
      <c r="Z193" s="5"/>
      <c r="AA193" s="5"/>
      <c r="AB193" s="5"/>
      <c r="AC193" s="5"/>
    </row>
    <row r="194" spans="1:29" ht="12.75" customHeight="1">
      <c r="A194" s="5"/>
      <c r="B194" s="5"/>
      <c r="C194" s="5"/>
      <c r="D194" s="5"/>
      <c r="E194" s="5"/>
      <c r="F194" s="5"/>
      <c r="G194" s="5"/>
      <c r="H194" s="306"/>
      <c r="I194" s="306"/>
      <c r="J194" s="5"/>
      <c r="K194" s="5"/>
      <c r="L194" s="306"/>
      <c r="M194" s="5"/>
      <c r="N194" s="5"/>
      <c r="O194" s="5"/>
      <c r="P194" s="5"/>
      <c r="Q194" s="5"/>
      <c r="R194" s="57"/>
      <c r="S194" s="5"/>
      <c r="T194" s="5"/>
      <c r="U194" s="5"/>
      <c r="V194" s="5"/>
      <c r="W194" s="5"/>
      <c r="X194" s="5"/>
      <c r="Y194" s="5"/>
      <c r="Z194" s="5"/>
      <c r="AA194" s="5"/>
      <c r="AB194" s="5"/>
      <c r="AC194" s="5"/>
    </row>
    <row r="195" spans="1:29" ht="12.75" customHeight="1">
      <c r="A195" s="5"/>
      <c r="B195" s="5"/>
      <c r="C195" s="5"/>
      <c r="D195" s="5"/>
      <c r="E195" s="5"/>
      <c r="F195" s="5"/>
      <c r="G195" s="5"/>
      <c r="H195" s="306"/>
      <c r="I195" s="306"/>
      <c r="J195" s="5"/>
      <c r="K195" s="5"/>
      <c r="L195" s="306"/>
      <c r="M195" s="5"/>
      <c r="N195" s="5"/>
      <c r="O195" s="5"/>
      <c r="P195" s="5"/>
      <c r="Q195" s="5"/>
      <c r="R195" s="57"/>
      <c r="S195" s="5"/>
      <c r="T195" s="5"/>
      <c r="U195" s="5"/>
      <c r="V195" s="5"/>
      <c r="W195" s="5"/>
      <c r="X195" s="5"/>
      <c r="Y195" s="5"/>
      <c r="Z195" s="5"/>
      <c r="AA195" s="5"/>
      <c r="AB195" s="5"/>
      <c r="AC195" s="5"/>
    </row>
    <row r="196" spans="1:29" ht="12.75" customHeight="1">
      <c r="A196" s="5"/>
      <c r="B196" s="5"/>
      <c r="C196" s="5"/>
      <c r="D196" s="5"/>
      <c r="E196" s="5"/>
      <c r="F196" s="5"/>
      <c r="G196" s="5"/>
      <c r="H196" s="306"/>
      <c r="I196" s="306"/>
      <c r="J196" s="5"/>
      <c r="K196" s="5"/>
      <c r="L196" s="306"/>
      <c r="M196" s="5"/>
      <c r="N196" s="5"/>
      <c r="O196" s="5"/>
      <c r="P196" s="5"/>
      <c r="Q196" s="5"/>
      <c r="R196" s="57"/>
      <c r="S196" s="5"/>
      <c r="T196" s="5"/>
      <c r="U196" s="5"/>
      <c r="V196" s="5"/>
      <c r="W196" s="5"/>
      <c r="X196" s="5"/>
      <c r="Y196" s="5"/>
      <c r="Z196" s="5"/>
      <c r="AA196" s="5"/>
      <c r="AB196" s="5"/>
      <c r="AC196" s="5"/>
    </row>
    <row r="197" spans="1:29" ht="12.75" customHeight="1">
      <c r="A197" s="5"/>
      <c r="B197" s="5"/>
      <c r="C197" s="5"/>
      <c r="D197" s="5"/>
      <c r="E197" s="5"/>
      <c r="F197" s="5"/>
      <c r="G197" s="5"/>
      <c r="H197" s="306"/>
      <c r="I197" s="306"/>
      <c r="J197" s="5"/>
      <c r="K197" s="5"/>
      <c r="L197" s="306"/>
      <c r="M197" s="5"/>
      <c r="N197" s="5"/>
      <c r="O197" s="5"/>
      <c r="P197" s="5"/>
      <c r="Q197" s="5"/>
      <c r="R197" s="57"/>
      <c r="S197" s="5"/>
      <c r="T197" s="5"/>
      <c r="U197" s="5"/>
      <c r="V197" s="5"/>
      <c r="W197" s="5"/>
      <c r="X197" s="5"/>
      <c r="Y197" s="5"/>
      <c r="Z197" s="5"/>
      <c r="AA197" s="5"/>
      <c r="AB197" s="5"/>
      <c r="AC197" s="5"/>
    </row>
    <row r="198" spans="1:29" ht="12.75" customHeight="1">
      <c r="A198" s="5"/>
      <c r="B198" s="5"/>
      <c r="C198" s="5"/>
      <c r="D198" s="5"/>
      <c r="E198" s="5"/>
      <c r="F198" s="5"/>
      <c r="G198" s="5"/>
      <c r="H198" s="306"/>
      <c r="I198" s="306"/>
      <c r="J198" s="5"/>
      <c r="K198" s="5"/>
      <c r="L198" s="306"/>
      <c r="M198" s="5"/>
      <c r="N198" s="5"/>
      <c r="O198" s="5"/>
      <c r="P198" s="5"/>
      <c r="Q198" s="5"/>
      <c r="R198" s="57"/>
      <c r="S198" s="5"/>
      <c r="T198" s="5"/>
      <c r="U198" s="5"/>
      <c r="V198" s="5"/>
      <c r="W198" s="5"/>
      <c r="X198" s="5"/>
      <c r="Y198" s="5"/>
      <c r="Z198" s="5"/>
      <c r="AA198" s="5"/>
      <c r="AB198" s="5"/>
      <c r="AC198" s="5"/>
    </row>
    <row r="199" spans="1:29" ht="12.75" customHeight="1">
      <c r="A199" s="5"/>
      <c r="B199" s="5"/>
      <c r="C199" s="5"/>
      <c r="D199" s="5"/>
      <c r="E199" s="5"/>
      <c r="F199" s="5"/>
      <c r="G199" s="5"/>
      <c r="H199" s="306"/>
      <c r="I199" s="306"/>
      <c r="J199" s="5"/>
      <c r="K199" s="5"/>
      <c r="L199" s="306"/>
      <c r="M199" s="5"/>
      <c r="N199" s="5"/>
      <c r="O199" s="5"/>
      <c r="P199" s="5"/>
      <c r="Q199" s="5"/>
      <c r="R199" s="57"/>
      <c r="S199" s="5"/>
      <c r="T199" s="5"/>
      <c r="U199" s="5"/>
      <c r="V199" s="5"/>
      <c r="W199" s="5"/>
      <c r="X199" s="5"/>
      <c r="Y199" s="5"/>
      <c r="Z199" s="5"/>
      <c r="AA199" s="5"/>
      <c r="AB199" s="5"/>
      <c r="AC199" s="5"/>
    </row>
    <row r="200" spans="1:29" ht="12.75" customHeight="1">
      <c r="A200" s="5"/>
      <c r="B200" s="5"/>
      <c r="C200" s="5"/>
      <c r="D200" s="5"/>
      <c r="E200" s="5"/>
      <c r="F200" s="5"/>
      <c r="G200" s="5"/>
      <c r="H200" s="306"/>
      <c r="I200" s="306"/>
      <c r="J200" s="5"/>
      <c r="K200" s="5"/>
      <c r="L200" s="306"/>
      <c r="M200" s="5"/>
      <c r="N200" s="5"/>
      <c r="O200" s="5"/>
      <c r="P200" s="5"/>
      <c r="Q200" s="5"/>
      <c r="R200" s="57"/>
      <c r="S200" s="5"/>
      <c r="T200" s="5"/>
      <c r="U200" s="5"/>
      <c r="V200" s="5"/>
      <c r="W200" s="5"/>
      <c r="X200" s="5"/>
      <c r="Y200" s="5"/>
      <c r="Z200" s="5"/>
      <c r="AA200" s="5"/>
      <c r="AB200" s="5"/>
      <c r="AC200" s="5"/>
    </row>
    <row r="201" spans="1:29" ht="12.75" customHeight="1">
      <c r="A201" s="5"/>
      <c r="B201" s="5"/>
      <c r="C201" s="5"/>
      <c r="D201" s="5"/>
      <c r="E201" s="5"/>
      <c r="F201" s="5"/>
      <c r="G201" s="5"/>
      <c r="H201" s="306"/>
      <c r="I201" s="306"/>
      <c r="J201" s="5"/>
      <c r="K201" s="5"/>
      <c r="L201" s="306"/>
      <c r="M201" s="5"/>
      <c r="N201" s="5"/>
      <c r="O201" s="5"/>
      <c r="P201" s="5"/>
      <c r="Q201" s="5"/>
      <c r="R201" s="57"/>
      <c r="S201" s="5"/>
      <c r="T201" s="5"/>
      <c r="U201" s="5"/>
      <c r="V201" s="5"/>
      <c r="W201" s="5"/>
      <c r="X201" s="5"/>
      <c r="Y201" s="5"/>
      <c r="Z201" s="5"/>
      <c r="AA201" s="5"/>
      <c r="AB201" s="5"/>
      <c r="AC201" s="5"/>
    </row>
    <row r="202" spans="1:29" ht="12.75" customHeight="1">
      <c r="A202" s="5"/>
      <c r="B202" s="5"/>
      <c r="C202" s="5"/>
      <c r="D202" s="5"/>
      <c r="E202" s="5"/>
      <c r="F202" s="5"/>
      <c r="G202" s="5"/>
      <c r="H202" s="306"/>
      <c r="I202" s="306"/>
      <c r="J202" s="5"/>
      <c r="K202" s="5"/>
      <c r="L202" s="306"/>
      <c r="M202" s="5"/>
      <c r="N202" s="5"/>
      <c r="O202" s="5"/>
      <c r="P202" s="5"/>
      <c r="Q202" s="5"/>
      <c r="R202" s="57"/>
      <c r="S202" s="5"/>
      <c r="T202" s="5"/>
      <c r="U202" s="5"/>
      <c r="V202" s="5"/>
      <c r="W202" s="5"/>
      <c r="X202" s="5"/>
      <c r="Y202" s="5"/>
      <c r="Z202" s="5"/>
      <c r="AA202" s="5"/>
      <c r="AB202" s="5"/>
      <c r="AC202" s="5"/>
    </row>
    <row r="203" spans="1:29" ht="12.75" customHeight="1">
      <c r="A203" s="5"/>
      <c r="B203" s="5"/>
      <c r="C203" s="5"/>
      <c r="D203" s="5"/>
      <c r="E203" s="5"/>
      <c r="F203" s="5"/>
      <c r="G203" s="5"/>
      <c r="H203" s="306"/>
      <c r="I203" s="306"/>
      <c r="J203" s="5"/>
      <c r="K203" s="5"/>
      <c r="L203" s="306"/>
      <c r="M203" s="5"/>
      <c r="N203" s="5"/>
      <c r="O203" s="5"/>
      <c r="P203" s="5"/>
      <c r="Q203" s="5"/>
      <c r="R203" s="57"/>
      <c r="S203" s="5"/>
      <c r="T203" s="5"/>
      <c r="U203" s="5"/>
      <c r="V203" s="5"/>
      <c r="W203" s="5"/>
      <c r="X203" s="5"/>
      <c r="Y203" s="5"/>
      <c r="Z203" s="5"/>
      <c r="AA203" s="5"/>
      <c r="AB203" s="5"/>
      <c r="AC203" s="5"/>
    </row>
    <row r="204" spans="1:29" ht="12.75" customHeight="1">
      <c r="A204" s="5"/>
      <c r="B204" s="5"/>
      <c r="C204" s="5"/>
      <c r="D204" s="5"/>
      <c r="E204" s="5"/>
      <c r="F204" s="5"/>
      <c r="G204" s="5"/>
      <c r="H204" s="306"/>
      <c r="I204" s="306"/>
      <c r="J204" s="5"/>
      <c r="K204" s="5"/>
      <c r="L204" s="306"/>
      <c r="M204" s="5"/>
      <c r="N204" s="5"/>
      <c r="O204" s="5"/>
      <c r="P204" s="5"/>
      <c r="Q204" s="5"/>
      <c r="R204" s="57"/>
      <c r="S204" s="5"/>
      <c r="T204" s="5"/>
      <c r="U204" s="5"/>
      <c r="V204" s="5"/>
      <c r="W204" s="5"/>
      <c r="X204" s="5"/>
      <c r="Y204" s="5"/>
      <c r="Z204" s="5"/>
      <c r="AA204" s="5"/>
      <c r="AB204" s="5"/>
      <c r="AC204" s="5"/>
    </row>
    <row r="205" spans="1:29" ht="12.75" customHeight="1">
      <c r="A205" s="5"/>
      <c r="B205" s="5"/>
      <c r="C205" s="5"/>
      <c r="D205" s="5"/>
      <c r="E205" s="5"/>
      <c r="F205" s="5"/>
      <c r="G205" s="5"/>
      <c r="H205" s="306"/>
      <c r="I205" s="306"/>
      <c r="J205" s="5"/>
      <c r="K205" s="5"/>
      <c r="L205" s="306"/>
      <c r="M205" s="5"/>
      <c r="N205" s="5"/>
      <c r="O205" s="5"/>
      <c r="P205" s="5"/>
      <c r="Q205" s="5"/>
      <c r="R205" s="57"/>
      <c r="S205" s="5"/>
      <c r="T205" s="5"/>
      <c r="U205" s="5"/>
      <c r="V205" s="5"/>
      <c r="W205" s="5"/>
      <c r="X205" s="5"/>
      <c r="Y205" s="5"/>
      <c r="Z205" s="5"/>
      <c r="AA205" s="5"/>
      <c r="AB205" s="5"/>
      <c r="AC205" s="5"/>
    </row>
    <row r="206" spans="1:29" ht="12.75" customHeight="1">
      <c r="A206" s="5"/>
      <c r="B206" s="5"/>
      <c r="C206" s="5"/>
      <c r="D206" s="5"/>
      <c r="E206" s="5"/>
      <c r="F206" s="5"/>
      <c r="G206" s="5"/>
      <c r="H206" s="306"/>
      <c r="I206" s="306"/>
      <c r="J206" s="5"/>
      <c r="K206" s="5"/>
      <c r="L206" s="306"/>
      <c r="M206" s="5"/>
      <c r="N206" s="5"/>
      <c r="O206" s="5"/>
      <c r="P206" s="5"/>
      <c r="Q206" s="5"/>
      <c r="R206" s="57"/>
      <c r="S206" s="5"/>
      <c r="T206" s="5"/>
      <c r="U206" s="5"/>
      <c r="V206" s="5"/>
      <c r="W206" s="5"/>
      <c r="X206" s="5"/>
      <c r="Y206" s="5"/>
      <c r="Z206" s="5"/>
      <c r="AA206" s="5"/>
      <c r="AB206" s="5"/>
      <c r="AC206" s="5"/>
    </row>
    <row r="207" spans="1:29" ht="12.75" customHeight="1">
      <c r="A207" s="5"/>
      <c r="B207" s="5"/>
      <c r="C207" s="5"/>
      <c r="D207" s="5"/>
      <c r="E207" s="5"/>
      <c r="F207" s="5"/>
      <c r="G207" s="5"/>
      <c r="H207" s="306"/>
      <c r="I207" s="306"/>
      <c r="J207" s="5"/>
      <c r="K207" s="5"/>
      <c r="L207" s="306"/>
      <c r="M207" s="5"/>
      <c r="N207" s="5"/>
      <c r="O207" s="5"/>
      <c r="P207" s="5"/>
      <c r="Q207" s="5"/>
      <c r="R207" s="57"/>
      <c r="S207" s="5"/>
      <c r="T207" s="5"/>
      <c r="U207" s="5"/>
      <c r="V207" s="5"/>
      <c r="W207" s="5"/>
      <c r="X207" s="5"/>
      <c r="Y207" s="5"/>
      <c r="Z207" s="5"/>
      <c r="AA207" s="5"/>
      <c r="AB207" s="5"/>
      <c r="AC207" s="5"/>
    </row>
    <row r="208" spans="1:29" ht="12.75" customHeight="1">
      <c r="A208" s="5"/>
      <c r="B208" s="5"/>
      <c r="C208" s="5"/>
      <c r="D208" s="5"/>
      <c r="E208" s="5"/>
      <c r="F208" s="5"/>
      <c r="G208" s="5"/>
      <c r="H208" s="306"/>
      <c r="I208" s="306"/>
      <c r="J208" s="5"/>
      <c r="K208" s="5"/>
      <c r="L208" s="306"/>
      <c r="M208" s="5"/>
      <c r="N208" s="5"/>
      <c r="O208" s="5"/>
      <c r="P208" s="5"/>
      <c r="Q208" s="5"/>
      <c r="R208" s="57"/>
      <c r="S208" s="5"/>
      <c r="T208" s="5"/>
      <c r="U208" s="5"/>
      <c r="V208" s="5"/>
      <c r="W208" s="5"/>
      <c r="X208" s="5"/>
      <c r="Y208" s="5"/>
      <c r="Z208" s="5"/>
      <c r="AA208" s="5"/>
      <c r="AB208" s="5"/>
      <c r="AC208" s="5"/>
    </row>
    <row r="209" spans="1:29" ht="12.75" customHeight="1">
      <c r="A209" s="5"/>
      <c r="B209" s="5"/>
      <c r="C209" s="5"/>
      <c r="D209" s="5"/>
      <c r="E209" s="5"/>
      <c r="F209" s="5"/>
      <c r="G209" s="5"/>
      <c r="H209" s="306"/>
      <c r="I209" s="306"/>
      <c r="J209" s="5"/>
      <c r="K209" s="5"/>
      <c r="L209" s="306"/>
      <c r="M209" s="5"/>
      <c r="N209" s="5"/>
      <c r="O209" s="5"/>
      <c r="P209" s="5"/>
      <c r="Q209" s="5"/>
      <c r="R209" s="57"/>
      <c r="S209" s="5"/>
      <c r="T209" s="5"/>
      <c r="U209" s="5"/>
      <c r="V209" s="5"/>
      <c r="W209" s="5"/>
      <c r="X209" s="5"/>
      <c r="Y209" s="5"/>
      <c r="Z209" s="5"/>
      <c r="AA209" s="5"/>
      <c r="AB209" s="5"/>
      <c r="AC209" s="5"/>
    </row>
    <row r="210" spans="1:29" ht="12.75" customHeight="1">
      <c r="A210" s="5"/>
      <c r="B210" s="5"/>
      <c r="C210" s="5"/>
      <c r="D210" s="5"/>
      <c r="E210" s="5"/>
      <c r="F210" s="5"/>
      <c r="G210" s="5"/>
      <c r="H210" s="306"/>
      <c r="I210" s="306"/>
      <c r="J210" s="5"/>
      <c r="K210" s="5"/>
      <c r="L210" s="306"/>
      <c r="M210" s="5"/>
      <c r="N210" s="5"/>
      <c r="O210" s="5"/>
      <c r="P210" s="5"/>
      <c r="Q210" s="5"/>
      <c r="R210" s="57"/>
      <c r="S210" s="5"/>
      <c r="T210" s="5"/>
      <c r="U210" s="5"/>
      <c r="V210" s="5"/>
      <c r="W210" s="5"/>
      <c r="X210" s="5"/>
      <c r="Y210" s="5"/>
      <c r="Z210" s="5"/>
      <c r="AA210" s="5"/>
      <c r="AB210" s="5"/>
      <c r="AC210" s="5"/>
    </row>
    <row r="211" spans="1:29" ht="12.75" customHeight="1">
      <c r="A211" s="5"/>
      <c r="B211" s="5"/>
      <c r="C211" s="5"/>
      <c r="D211" s="5"/>
      <c r="E211" s="5"/>
      <c r="F211" s="5"/>
      <c r="G211" s="5"/>
      <c r="H211" s="306"/>
      <c r="I211" s="306"/>
      <c r="J211" s="5"/>
      <c r="K211" s="5"/>
      <c r="L211" s="306"/>
      <c r="M211" s="5"/>
      <c r="N211" s="5"/>
      <c r="O211" s="5"/>
      <c r="P211" s="5"/>
      <c r="Q211" s="5"/>
      <c r="R211" s="57"/>
      <c r="S211" s="5"/>
      <c r="T211" s="5"/>
      <c r="U211" s="5"/>
      <c r="V211" s="5"/>
      <c r="W211" s="5"/>
      <c r="X211" s="5"/>
      <c r="Y211" s="5"/>
      <c r="Z211" s="5"/>
      <c r="AA211" s="5"/>
      <c r="AB211" s="5"/>
      <c r="AC211" s="5"/>
    </row>
    <row r="212" spans="1:29" ht="12.75" customHeight="1">
      <c r="A212" s="5"/>
      <c r="B212" s="5"/>
      <c r="C212" s="5"/>
      <c r="D212" s="5"/>
      <c r="E212" s="5"/>
      <c r="F212" s="5"/>
      <c r="G212" s="5"/>
      <c r="H212" s="306"/>
      <c r="I212" s="306"/>
      <c r="J212" s="5"/>
      <c r="K212" s="5"/>
      <c r="L212" s="306"/>
      <c r="M212" s="5"/>
      <c r="N212" s="5"/>
      <c r="O212" s="5"/>
      <c r="P212" s="5"/>
      <c r="Q212" s="5"/>
      <c r="R212" s="57"/>
      <c r="S212" s="5"/>
      <c r="T212" s="5"/>
      <c r="U212" s="5"/>
      <c r="V212" s="5"/>
      <c r="W212" s="5"/>
      <c r="X212" s="5"/>
      <c r="Y212" s="5"/>
      <c r="Z212" s="5"/>
      <c r="AA212" s="5"/>
      <c r="AB212" s="5"/>
      <c r="AC212" s="5"/>
    </row>
    <row r="213" spans="1:29" ht="12.75" customHeight="1">
      <c r="A213" s="5"/>
      <c r="B213" s="5"/>
      <c r="C213" s="5"/>
      <c r="D213" s="5"/>
      <c r="E213" s="5"/>
      <c r="F213" s="5"/>
      <c r="G213" s="5"/>
      <c r="H213" s="306"/>
      <c r="I213" s="306"/>
      <c r="J213" s="5"/>
      <c r="K213" s="5"/>
      <c r="L213" s="306"/>
      <c r="M213" s="5"/>
      <c r="N213" s="5"/>
      <c r="O213" s="5"/>
      <c r="P213" s="5"/>
      <c r="Q213" s="5"/>
      <c r="R213" s="57"/>
      <c r="S213" s="5"/>
      <c r="T213" s="5"/>
      <c r="U213" s="5"/>
      <c r="V213" s="5"/>
      <c r="W213" s="5"/>
      <c r="X213" s="5"/>
      <c r="Y213" s="5"/>
      <c r="Z213" s="5"/>
      <c r="AA213" s="5"/>
      <c r="AB213" s="5"/>
      <c r="AC213" s="5"/>
    </row>
    <row r="214" spans="1:29" ht="12.75" customHeight="1">
      <c r="A214" s="5"/>
      <c r="B214" s="5"/>
      <c r="C214" s="5"/>
      <c r="D214" s="5"/>
      <c r="E214" s="5"/>
      <c r="F214" s="5"/>
      <c r="G214" s="5"/>
      <c r="H214" s="306"/>
      <c r="I214" s="306"/>
      <c r="J214" s="5"/>
      <c r="K214" s="5"/>
      <c r="L214" s="306"/>
      <c r="M214" s="5"/>
      <c r="N214" s="5"/>
      <c r="O214" s="5"/>
      <c r="P214" s="5"/>
      <c r="Q214" s="5"/>
      <c r="R214" s="57"/>
      <c r="S214" s="5"/>
      <c r="T214" s="5"/>
      <c r="U214" s="5"/>
      <c r="V214" s="5"/>
      <c r="W214" s="5"/>
      <c r="X214" s="5"/>
      <c r="Y214" s="5"/>
      <c r="Z214" s="5"/>
      <c r="AA214" s="5"/>
      <c r="AB214" s="5"/>
      <c r="AC214" s="5"/>
    </row>
    <row r="215" spans="1:29" ht="12.75" customHeight="1">
      <c r="A215" s="5"/>
      <c r="B215" s="5"/>
      <c r="C215" s="5"/>
      <c r="D215" s="5"/>
      <c r="E215" s="5"/>
      <c r="F215" s="5"/>
      <c r="G215" s="5"/>
      <c r="H215" s="306"/>
      <c r="I215" s="306"/>
      <c r="J215" s="5"/>
      <c r="K215" s="5"/>
      <c r="L215" s="306"/>
      <c r="M215" s="5"/>
      <c r="N215" s="5"/>
      <c r="O215" s="5"/>
      <c r="P215" s="5"/>
      <c r="Q215" s="5"/>
      <c r="R215" s="57"/>
      <c r="S215" s="5"/>
      <c r="T215" s="5"/>
      <c r="U215" s="5"/>
      <c r="V215" s="5"/>
      <c r="W215" s="5"/>
      <c r="X215" s="5"/>
      <c r="Y215" s="5"/>
      <c r="Z215" s="5"/>
      <c r="AA215" s="5"/>
      <c r="AB215" s="5"/>
      <c r="AC215" s="5"/>
    </row>
    <row r="216" spans="1:29" ht="12.75" customHeight="1">
      <c r="A216" s="5"/>
      <c r="B216" s="5"/>
      <c r="C216" s="5"/>
      <c r="D216" s="5"/>
      <c r="E216" s="5"/>
      <c r="F216" s="5"/>
      <c r="G216" s="5"/>
      <c r="H216" s="306"/>
      <c r="I216" s="306"/>
      <c r="J216" s="5"/>
      <c r="K216" s="5"/>
      <c r="L216" s="306"/>
      <c r="M216" s="5"/>
      <c r="N216" s="5"/>
      <c r="O216" s="5"/>
      <c r="P216" s="5"/>
      <c r="Q216" s="5"/>
      <c r="R216" s="57"/>
      <c r="S216" s="5"/>
      <c r="T216" s="5"/>
      <c r="U216" s="5"/>
      <c r="V216" s="5"/>
      <c r="W216" s="5"/>
      <c r="X216" s="5"/>
      <c r="Y216" s="5"/>
      <c r="Z216" s="5"/>
      <c r="AA216" s="5"/>
      <c r="AB216" s="5"/>
      <c r="AC216" s="5"/>
    </row>
    <row r="217" spans="1:29" ht="12.75" customHeight="1">
      <c r="A217" s="5"/>
      <c r="B217" s="5"/>
      <c r="C217" s="5"/>
      <c r="D217" s="5"/>
      <c r="E217" s="5"/>
      <c r="F217" s="5"/>
      <c r="G217" s="5"/>
      <c r="H217" s="306"/>
      <c r="I217" s="306"/>
      <c r="J217" s="5"/>
      <c r="K217" s="5"/>
      <c r="L217" s="306"/>
      <c r="M217" s="5"/>
      <c r="N217" s="5"/>
      <c r="O217" s="5"/>
      <c r="P217" s="5"/>
      <c r="Q217" s="5"/>
      <c r="R217" s="57"/>
      <c r="S217" s="5"/>
      <c r="T217" s="5"/>
      <c r="U217" s="5"/>
      <c r="V217" s="5"/>
      <c r="W217" s="5"/>
      <c r="X217" s="5"/>
      <c r="Y217" s="5"/>
      <c r="Z217" s="5"/>
      <c r="AA217" s="5"/>
      <c r="AB217" s="5"/>
      <c r="AC217" s="5"/>
    </row>
    <row r="218" spans="1:29" ht="12.75" customHeight="1">
      <c r="A218" s="5"/>
      <c r="B218" s="5"/>
      <c r="C218" s="5"/>
      <c r="D218" s="5"/>
      <c r="E218" s="5"/>
      <c r="F218" s="5"/>
      <c r="G218" s="5"/>
      <c r="H218" s="306"/>
      <c r="I218" s="306"/>
      <c r="J218" s="5"/>
      <c r="K218" s="5"/>
      <c r="L218" s="306"/>
      <c r="M218" s="5"/>
      <c r="N218" s="5"/>
      <c r="O218" s="5"/>
      <c r="P218" s="5"/>
      <c r="Q218" s="5"/>
      <c r="R218" s="57"/>
      <c r="S218" s="5"/>
      <c r="T218" s="5"/>
      <c r="U218" s="5"/>
      <c r="V218" s="5"/>
      <c r="W218" s="5"/>
      <c r="X218" s="5"/>
      <c r="Y218" s="5"/>
      <c r="Z218" s="5"/>
      <c r="AA218" s="5"/>
      <c r="AB218" s="5"/>
      <c r="AC218" s="5"/>
    </row>
    <row r="219" spans="1:29" ht="12.75" customHeight="1">
      <c r="A219" s="5"/>
      <c r="B219" s="5"/>
      <c r="C219" s="5"/>
      <c r="D219" s="5"/>
      <c r="E219" s="5"/>
      <c r="F219" s="5"/>
      <c r="G219" s="5"/>
      <c r="H219" s="306"/>
      <c r="I219" s="306"/>
      <c r="J219" s="5"/>
      <c r="K219" s="5"/>
      <c r="L219" s="306"/>
      <c r="M219" s="5"/>
      <c r="N219" s="5"/>
      <c r="O219" s="5"/>
      <c r="P219" s="5"/>
      <c r="Q219" s="5"/>
      <c r="R219" s="57"/>
      <c r="S219" s="5"/>
      <c r="T219" s="5"/>
      <c r="U219" s="5"/>
      <c r="V219" s="5"/>
      <c r="W219" s="5"/>
      <c r="X219" s="5"/>
      <c r="Y219" s="5"/>
      <c r="Z219" s="5"/>
      <c r="AA219" s="5"/>
      <c r="AB219" s="5"/>
      <c r="AC219" s="5"/>
    </row>
    <row r="220" spans="1:29" ht="12.75" customHeight="1">
      <c r="A220" s="5"/>
      <c r="B220" s="5"/>
      <c r="C220" s="5"/>
      <c r="D220" s="5"/>
      <c r="E220" s="5"/>
      <c r="F220" s="5"/>
      <c r="G220" s="5"/>
      <c r="H220" s="306"/>
      <c r="I220" s="306"/>
      <c r="J220" s="5"/>
      <c r="K220" s="5"/>
      <c r="L220" s="306"/>
      <c r="M220" s="5"/>
      <c r="N220" s="5"/>
      <c r="O220" s="5"/>
      <c r="P220" s="5"/>
      <c r="Q220" s="5"/>
      <c r="R220" s="57"/>
      <c r="S220" s="5"/>
      <c r="T220" s="5"/>
      <c r="U220" s="5"/>
      <c r="V220" s="5"/>
      <c r="W220" s="5"/>
      <c r="X220" s="5"/>
      <c r="Y220" s="5"/>
      <c r="Z220" s="5"/>
      <c r="AA220" s="5"/>
      <c r="AB220" s="5"/>
      <c r="AC220" s="5"/>
    </row>
    <row r="221" spans="1:29" ht="12.75" customHeight="1">
      <c r="A221" s="5"/>
      <c r="B221" s="5"/>
      <c r="C221" s="5"/>
      <c r="D221" s="5"/>
      <c r="E221" s="5"/>
      <c r="F221" s="5"/>
      <c r="G221" s="5"/>
      <c r="H221" s="306"/>
      <c r="I221" s="306"/>
      <c r="J221" s="5"/>
      <c r="K221" s="5"/>
      <c r="L221" s="306"/>
      <c r="M221" s="5"/>
      <c r="N221" s="5"/>
      <c r="O221" s="5"/>
      <c r="P221" s="5"/>
      <c r="Q221" s="5"/>
      <c r="R221" s="57"/>
      <c r="S221" s="5"/>
      <c r="T221" s="5"/>
      <c r="U221" s="5"/>
      <c r="V221" s="5"/>
      <c r="W221" s="5"/>
      <c r="X221" s="5"/>
      <c r="Y221" s="5"/>
      <c r="Z221" s="5"/>
      <c r="AA221" s="5"/>
      <c r="AB221" s="5"/>
      <c r="AC221" s="5"/>
    </row>
    <row r="222" spans="1:29" ht="12.75" customHeight="1">
      <c r="A222" s="5"/>
      <c r="B222" s="5"/>
      <c r="C222" s="5"/>
      <c r="D222" s="5"/>
      <c r="E222" s="5"/>
      <c r="F222" s="5"/>
      <c r="G222" s="5"/>
      <c r="H222" s="306"/>
      <c r="I222" s="306"/>
      <c r="J222" s="5"/>
      <c r="K222" s="5"/>
      <c r="L222" s="306"/>
      <c r="M222" s="5"/>
      <c r="N222" s="5"/>
      <c r="O222" s="5"/>
      <c r="P222" s="5"/>
      <c r="Q222" s="5"/>
      <c r="R222" s="57"/>
      <c r="S222" s="5"/>
      <c r="T222" s="5"/>
      <c r="U222" s="5"/>
      <c r="V222" s="5"/>
      <c r="W222" s="5"/>
      <c r="X222" s="5"/>
      <c r="Y222" s="5"/>
      <c r="Z222" s="5"/>
      <c r="AA222" s="5"/>
      <c r="AB222" s="5"/>
      <c r="AC222" s="5"/>
    </row>
    <row r="223" spans="1:29" ht="12.75" customHeight="1">
      <c r="A223" s="5"/>
      <c r="B223" s="5"/>
      <c r="C223" s="5"/>
      <c r="D223" s="5"/>
      <c r="E223" s="5"/>
      <c r="F223" s="5"/>
      <c r="G223" s="5"/>
      <c r="H223" s="306"/>
      <c r="I223" s="306"/>
      <c r="J223" s="5"/>
      <c r="K223" s="5"/>
      <c r="L223" s="306"/>
      <c r="M223" s="5"/>
      <c r="N223" s="5"/>
      <c r="O223" s="5"/>
      <c r="P223" s="5"/>
      <c r="Q223" s="5"/>
      <c r="R223" s="57"/>
      <c r="S223" s="5"/>
      <c r="T223" s="5"/>
      <c r="U223" s="5"/>
      <c r="V223" s="5"/>
      <c r="W223" s="5"/>
      <c r="X223" s="5"/>
      <c r="Y223" s="5"/>
      <c r="Z223" s="5"/>
      <c r="AA223" s="5"/>
      <c r="AB223" s="5"/>
      <c r="AC223" s="5"/>
    </row>
    <row r="224" spans="1:29" ht="12.75" customHeight="1">
      <c r="A224" s="5"/>
      <c r="B224" s="5"/>
      <c r="C224" s="5"/>
      <c r="D224" s="5"/>
      <c r="E224" s="5"/>
      <c r="F224" s="5"/>
      <c r="G224" s="5"/>
      <c r="H224" s="306"/>
      <c r="I224" s="306"/>
      <c r="J224" s="5"/>
      <c r="K224" s="5"/>
      <c r="L224" s="306"/>
      <c r="M224" s="5"/>
      <c r="N224" s="5"/>
      <c r="O224" s="5"/>
      <c r="P224" s="5"/>
      <c r="Q224" s="5"/>
      <c r="R224" s="57"/>
      <c r="S224" s="5"/>
      <c r="T224" s="5"/>
      <c r="U224" s="5"/>
      <c r="V224" s="5"/>
      <c r="W224" s="5"/>
      <c r="X224" s="5"/>
      <c r="Y224" s="5"/>
      <c r="Z224" s="5"/>
      <c r="AA224" s="5"/>
      <c r="AB224" s="5"/>
      <c r="AC224" s="5"/>
    </row>
    <row r="225" spans="1:29" ht="12.75" customHeight="1">
      <c r="A225" s="5"/>
      <c r="B225" s="5"/>
      <c r="C225" s="5"/>
      <c r="D225" s="5"/>
      <c r="E225" s="5"/>
      <c r="F225" s="5"/>
      <c r="G225" s="5"/>
      <c r="H225" s="306"/>
      <c r="I225" s="306"/>
      <c r="J225" s="5"/>
      <c r="K225" s="5"/>
      <c r="L225" s="306"/>
      <c r="M225" s="5"/>
      <c r="N225" s="5"/>
      <c r="O225" s="5"/>
      <c r="P225" s="5"/>
      <c r="Q225" s="5"/>
      <c r="R225" s="57"/>
      <c r="S225" s="5"/>
      <c r="T225" s="5"/>
      <c r="U225" s="5"/>
      <c r="V225" s="5"/>
      <c r="W225" s="5"/>
      <c r="X225" s="5"/>
      <c r="Y225" s="5"/>
      <c r="Z225" s="5"/>
      <c r="AA225" s="5"/>
      <c r="AB225" s="5"/>
      <c r="AC225" s="5"/>
    </row>
    <row r="226" spans="1:29" ht="12.75" customHeight="1">
      <c r="A226" s="5"/>
      <c r="B226" s="5"/>
      <c r="C226" s="5"/>
      <c r="D226" s="5"/>
      <c r="E226" s="5"/>
      <c r="F226" s="5"/>
      <c r="G226" s="5"/>
      <c r="H226" s="306"/>
      <c r="I226" s="306"/>
      <c r="J226" s="5"/>
      <c r="K226" s="5"/>
      <c r="L226" s="306"/>
      <c r="M226" s="5"/>
      <c r="N226" s="5"/>
      <c r="O226" s="5"/>
      <c r="P226" s="5"/>
      <c r="Q226" s="5"/>
      <c r="R226" s="57"/>
      <c r="S226" s="5"/>
      <c r="T226" s="5"/>
      <c r="U226" s="5"/>
      <c r="V226" s="5"/>
      <c r="W226" s="5"/>
      <c r="X226" s="5"/>
      <c r="Y226" s="5"/>
      <c r="Z226" s="5"/>
      <c r="AA226" s="5"/>
      <c r="AB226" s="5"/>
      <c r="AC226" s="5"/>
    </row>
    <row r="227" spans="1:29" ht="12.75" customHeight="1">
      <c r="A227" s="5"/>
      <c r="B227" s="5"/>
      <c r="C227" s="5"/>
      <c r="D227" s="5"/>
      <c r="E227" s="5"/>
      <c r="F227" s="5"/>
      <c r="G227" s="5"/>
      <c r="H227" s="306"/>
      <c r="I227" s="306"/>
      <c r="J227" s="5"/>
      <c r="K227" s="5"/>
      <c r="L227" s="306"/>
      <c r="M227" s="5"/>
      <c r="N227" s="5"/>
      <c r="O227" s="5"/>
      <c r="P227" s="5"/>
      <c r="Q227" s="5"/>
      <c r="R227" s="57"/>
      <c r="S227" s="5"/>
      <c r="T227" s="5"/>
      <c r="U227" s="5"/>
      <c r="V227" s="5"/>
      <c r="W227" s="5"/>
      <c r="X227" s="5"/>
      <c r="Y227" s="5"/>
      <c r="Z227" s="5"/>
      <c r="AA227" s="5"/>
      <c r="AB227" s="5"/>
      <c r="AC227" s="5"/>
    </row>
    <row r="228" spans="1:29" ht="12.75" customHeight="1">
      <c r="A228" s="5"/>
      <c r="B228" s="5"/>
      <c r="C228" s="5"/>
      <c r="D228" s="5"/>
      <c r="E228" s="5"/>
      <c r="F228" s="5"/>
      <c r="G228" s="5"/>
      <c r="H228" s="306"/>
      <c r="I228" s="306"/>
      <c r="J228" s="5"/>
      <c r="K228" s="5"/>
      <c r="L228" s="306"/>
      <c r="M228" s="5"/>
      <c r="N228" s="5"/>
      <c r="O228" s="5"/>
      <c r="P228" s="5"/>
      <c r="Q228" s="5"/>
      <c r="R228" s="57"/>
      <c r="S228" s="5"/>
      <c r="T228" s="5"/>
      <c r="U228" s="5"/>
      <c r="V228" s="5"/>
      <c r="W228" s="5"/>
      <c r="X228" s="5"/>
      <c r="Y228" s="5"/>
      <c r="Z228" s="5"/>
      <c r="AA228" s="5"/>
      <c r="AB228" s="5"/>
      <c r="AC228" s="5"/>
    </row>
    <row r="229" spans="1:29" ht="12.75" customHeight="1">
      <c r="A229" s="5"/>
      <c r="B229" s="5"/>
      <c r="C229" s="5"/>
      <c r="D229" s="5"/>
      <c r="E229" s="5"/>
      <c r="F229" s="5"/>
      <c r="G229" s="5"/>
      <c r="H229" s="306"/>
      <c r="I229" s="306"/>
      <c r="J229" s="5"/>
      <c r="K229" s="5"/>
      <c r="L229" s="306"/>
      <c r="M229" s="5"/>
      <c r="N229" s="5"/>
      <c r="O229" s="5"/>
      <c r="P229" s="5"/>
      <c r="Q229" s="5"/>
      <c r="R229" s="57"/>
      <c r="S229" s="5"/>
      <c r="T229" s="5"/>
      <c r="U229" s="5"/>
      <c r="V229" s="5"/>
      <c r="W229" s="5"/>
      <c r="X229" s="5"/>
      <c r="Y229" s="5"/>
      <c r="Z229" s="5"/>
      <c r="AA229" s="5"/>
      <c r="AB229" s="5"/>
      <c r="AC229" s="5"/>
    </row>
    <row r="230" spans="1:29" ht="12.75" customHeight="1">
      <c r="A230" s="5"/>
      <c r="B230" s="5"/>
      <c r="C230" s="5"/>
      <c r="D230" s="5"/>
      <c r="E230" s="5"/>
      <c r="F230" s="5"/>
      <c r="G230" s="5"/>
      <c r="H230" s="306"/>
      <c r="I230" s="306"/>
      <c r="J230" s="5"/>
      <c r="K230" s="5"/>
      <c r="L230" s="306"/>
      <c r="M230" s="5"/>
      <c r="N230" s="5"/>
      <c r="O230" s="5"/>
      <c r="P230" s="5"/>
      <c r="Q230" s="5"/>
      <c r="R230" s="57"/>
      <c r="S230" s="5"/>
      <c r="T230" s="5"/>
      <c r="U230" s="5"/>
      <c r="V230" s="5"/>
      <c r="W230" s="5"/>
      <c r="X230" s="5"/>
      <c r="Y230" s="5"/>
      <c r="Z230" s="5"/>
      <c r="AA230" s="5"/>
      <c r="AB230" s="5"/>
      <c r="AC230" s="5"/>
    </row>
    <row r="231" spans="1:29" ht="12.75" customHeight="1">
      <c r="A231" s="5"/>
      <c r="B231" s="5"/>
      <c r="C231" s="5"/>
      <c r="D231" s="5"/>
      <c r="E231" s="5"/>
      <c r="F231" s="5"/>
      <c r="G231" s="5"/>
      <c r="H231" s="306"/>
      <c r="I231" s="306"/>
      <c r="J231" s="5"/>
      <c r="K231" s="5"/>
      <c r="L231" s="306"/>
      <c r="M231" s="5"/>
      <c r="N231" s="5"/>
      <c r="O231" s="5"/>
      <c r="P231" s="5"/>
      <c r="Q231" s="5"/>
      <c r="R231" s="57"/>
      <c r="S231" s="5"/>
      <c r="T231" s="5"/>
      <c r="U231" s="5"/>
      <c r="V231" s="5"/>
      <c r="W231" s="5"/>
      <c r="X231" s="5"/>
      <c r="Y231" s="5"/>
      <c r="Z231" s="5"/>
      <c r="AA231" s="5"/>
      <c r="AB231" s="5"/>
      <c r="AC231" s="5"/>
    </row>
    <row r="232" spans="1:29" ht="12.75" customHeight="1">
      <c r="A232" s="5"/>
      <c r="B232" s="5"/>
      <c r="C232" s="5"/>
      <c r="D232" s="5"/>
      <c r="E232" s="5"/>
      <c r="F232" s="5"/>
      <c r="G232" s="5"/>
      <c r="H232" s="306"/>
      <c r="I232" s="306"/>
      <c r="J232" s="5"/>
      <c r="K232" s="5"/>
      <c r="L232" s="306"/>
      <c r="M232" s="5"/>
      <c r="N232" s="5"/>
      <c r="O232" s="5"/>
      <c r="P232" s="5"/>
      <c r="Q232" s="5"/>
      <c r="R232" s="57"/>
      <c r="S232" s="5"/>
      <c r="T232" s="5"/>
      <c r="U232" s="5"/>
      <c r="V232" s="5"/>
      <c r="W232" s="5"/>
      <c r="X232" s="5"/>
      <c r="Y232" s="5"/>
      <c r="Z232" s="5"/>
      <c r="AA232" s="5"/>
      <c r="AB232" s="5"/>
      <c r="AC232" s="5"/>
    </row>
    <row r="233" spans="1:29" ht="12.75" customHeight="1">
      <c r="A233" s="5"/>
      <c r="B233" s="5"/>
      <c r="C233" s="5"/>
      <c r="D233" s="5"/>
      <c r="E233" s="5"/>
      <c r="F233" s="5"/>
      <c r="G233" s="5"/>
      <c r="H233" s="306"/>
      <c r="I233" s="306"/>
      <c r="J233" s="5"/>
      <c r="K233" s="5"/>
      <c r="L233" s="306"/>
      <c r="M233" s="5"/>
      <c r="N233" s="5"/>
      <c r="O233" s="5"/>
      <c r="P233" s="5"/>
      <c r="Q233" s="5"/>
      <c r="R233" s="57"/>
      <c r="S233" s="5"/>
      <c r="T233" s="5"/>
      <c r="U233" s="5"/>
      <c r="V233" s="5"/>
      <c r="W233" s="5"/>
      <c r="X233" s="5"/>
      <c r="Y233" s="5"/>
      <c r="Z233" s="5"/>
      <c r="AA233" s="5"/>
      <c r="AB233" s="5"/>
      <c r="AC233" s="5"/>
    </row>
    <row r="234" spans="1:29" ht="12.75" customHeight="1">
      <c r="A234" s="5"/>
      <c r="B234" s="5"/>
      <c r="C234" s="5"/>
      <c r="D234" s="5"/>
      <c r="E234" s="5"/>
      <c r="F234" s="5"/>
      <c r="G234" s="5"/>
      <c r="H234" s="306"/>
      <c r="I234" s="306"/>
      <c r="J234" s="5"/>
      <c r="K234" s="5"/>
      <c r="L234" s="306"/>
      <c r="M234" s="5"/>
      <c r="N234" s="5"/>
      <c r="O234" s="5"/>
      <c r="P234" s="5"/>
      <c r="Q234" s="5"/>
      <c r="R234" s="57"/>
      <c r="S234" s="5"/>
      <c r="T234" s="5"/>
      <c r="U234" s="5"/>
      <c r="V234" s="5"/>
      <c r="W234" s="5"/>
      <c r="X234" s="5"/>
      <c r="Y234" s="5"/>
      <c r="Z234" s="5"/>
      <c r="AA234" s="5"/>
      <c r="AB234" s="5"/>
      <c r="AC234" s="5"/>
    </row>
    <row r="235" spans="1:29" ht="12.75" customHeight="1">
      <c r="A235" s="5"/>
      <c r="B235" s="5"/>
      <c r="C235" s="5"/>
      <c r="D235" s="5"/>
      <c r="E235" s="5"/>
      <c r="F235" s="5"/>
      <c r="G235" s="5"/>
      <c r="H235" s="306"/>
      <c r="I235" s="306"/>
      <c r="J235" s="5"/>
      <c r="K235" s="5"/>
      <c r="L235" s="306"/>
      <c r="M235" s="5"/>
      <c r="N235" s="5"/>
      <c r="O235" s="5"/>
      <c r="P235" s="5"/>
      <c r="Q235" s="5"/>
      <c r="R235" s="57"/>
      <c r="S235" s="5"/>
      <c r="T235" s="5"/>
      <c r="U235" s="5"/>
      <c r="V235" s="5"/>
      <c r="W235" s="5"/>
      <c r="X235" s="5"/>
      <c r="Y235" s="5"/>
      <c r="Z235" s="5"/>
      <c r="AA235" s="5"/>
      <c r="AB235" s="5"/>
      <c r="AC235" s="5"/>
    </row>
    <row r="236" spans="1:29" ht="12.75" customHeight="1">
      <c r="A236" s="5"/>
      <c r="B236" s="5"/>
      <c r="C236" s="5"/>
      <c r="D236" s="5"/>
      <c r="E236" s="5"/>
      <c r="F236" s="5"/>
      <c r="G236" s="5"/>
      <c r="H236" s="306"/>
      <c r="I236" s="306"/>
      <c r="J236" s="5"/>
      <c r="K236" s="5"/>
      <c r="L236" s="306"/>
      <c r="M236" s="5"/>
      <c r="N236" s="5"/>
      <c r="O236" s="5"/>
      <c r="P236" s="5"/>
      <c r="Q236" s="5"/>
      <c r="R236" s="57"/>
      <c r="S236" s="5"/>
      <c r="T236" s="5"/>
      <c r="U236" s="5"/>
      <c r="V236" s="5"/>
      <c r="W236" s="5"/>
      <c r="X236" s="5"/>
      <c r="Y236" s="5"/>
      <c r="Z236" s="5"/>
      <c r="AA236" s="5"/>
      <c r="AB236" s="5"/>
      <c r="AC236" s="5"/>
    </row>
    <row r="237" spans="1:29" ht="12.75" customHeight="1">
      <c r="A237" s="5"/>
      <c r="B237" s="5"/>
      <c r="C237" s="5"/>
      <c r="D237" s="5"/>
      <c r="E237" s="5"/>
      <c r="F237" s="5"/>
      <c r="G237" s="5"/>
      <c r="H237" s="306"/>
      <c r="I237" s="306"/>
      <c r="J237" s="5"/>
      <c r="K237" s="5"/>
      <c r="L237" s="306"/>
      <c r="M237" s="5"/>
      <c r="N237" s="5"/>
      <c r="O237" s="5"/>
      <c r="P237" s="5"/>
      <c r="Q237" s="5"/>
      <c r="R237" s="57"/>
      <c r="S237" s="5"/>
      <c r="T237" s="5"/>
      <c r="U237" s="5"/>
      <c r="V237" s="5"/>
      <c r="W237" s="5"/>
      <c r="X237" s="5"/>
      <c r="Y237" s="5"/>
      <c r="Z237" s="5"/>
      <c r="AA237" s="5"/>
      <c r="AB237" s="5"/>
      <c r="AC237" s="5"/>
    </row>
    <row r="238" spans="1:29" ht="12.75" customHeight="1">
      <c r="A238" s="5"/>
      <c r="B238" s="5"/>
      <c r="C238" s="5"/>
      <c r="D238" s="5"/>
      <c r="E238" s="5"/>
      <c r="F238" s="5"/>
      <c r="G238" s="5"/>
      <c r="H238" s="306"/>
      <c r="I238" s="306"/>
      <c r="J238" s="5"/>
      <c r="K238" s="5"/>
      <c r="L238" s="306"/>
      <c r="M238" s="5"/>
      <c r="N238" s="5"/>
      <c r="O238" s="5"/>
      <c r="P238" s="5"/>
      <c r="Q238" s="5"/>
      <c r="R238" s="57"/>
      <c r="S238" s="5"/>
      <c r="T238" s="5"/>
      <c r="U238" s="5"/>
      <c r="V238" s="5"/>
      <c r="W238" s="5"/>
      <c r="X238" s="5"/>
      <c r="Y238" s="5"/>
      <c r="Z238" s="5"/>
      <c r="AA238" s="5"/>
      <c r="AB238" s="5"/>
      <c r="AC238" s="5"/>
    </row>
    <row r="239" spans="1:29" ht="12.75" customHeight="1">
      <c r="A239" s="5"/>
      <c r="B239" s="5"/>
      <c r="C239" s="5"/>
      <c r="D239" s="5"/>
      <c r="E239" s="5"/>
      <c r="F239" s="5"/>
      <c r="G239" s="5"/>
      <c r="H239" s="306"/>
      <c r="I239" s="306"/>
      <c r="J239" s="5"/>
      <c r="K239" s="5"/>
      <c r="L239" s="306"/>
      <c r="M239" s="5"/>
      <c r="N239" s="5"/>
      <c r="O239" s="5"/>
      <c r="P239" s="5"/>
      <c r="Q239" s="5"/>
      <c r="R239" s="57"/>
      <c r="S239" s="5"/>
      <c r="T239" s="5"/>
      <c r="U239" s="5"/>
      <c r="V239" s="5"/>
      <c r="W239" s="5"/>
      <c r="X239" s="5"/>
      <c r="Y239" s="5"/>
      <c r="Z239" s="5"/>
      <c r="AA239" s="5"/>
      <c r="AB239" s="5"/>
      <c r="AC239" s="5"/>
    </row>
    <row r="240" spans="1:29" ht="12.75" customHeight="1">
      <c r="A240" s="5"/>
      <c r="B240" s="5"/>
      <c r="C240" s="5"/>
      <c r="D240" s="5"/>
      <c r="E240" s="5"/>
      <c r="F240" s="5"/>
      <c r="G240" s="5"/>
      <c r="H240" s="306"/>
      <c r="I240" s="306"/>
      <c r="J240" s="5"/>
      <c r="K240" s="5"/>
      <c r="L240" s="306"/>
      <c r="M240" s="5"/>
      <c r="N240" s="5"/>
      <c r="O240" s="5"/>
      <c r="P240" s="5"/>
      <c r="Q240" s="5"/>
      <c r="R240" s="57"/>
      <c r="S240" s="5"/>
      <c r="T240" s="5"/>
      <c r="U240" s="5"/>
      <c r="V240" s="5"/>
      <c r="W240" s="5"/>
      <c r="X240" s="5"/>
      <c r="Y240" s="5"/>
      <c r="Z240" s="5"/>
      <c r="AA240" s="5"/>
      <c r="AB240" s="5"/>
      <c r="AC240" s="5"/>
    </row>
    <row r="241" spans="1:29" ht="12.75" customHeight="1">
      <c r="A241" s="5"/>
      <c r="B241" s="5"/>
      <c r="C241" s="5"/>
      <c r="D241" s="5"/>
      <c r="E241" s="5"/>
      <c r="F241" s="5"/>
      <c r="G241" s="5"/>
      <c r="H241" s="306"/>
      <c r="I241" s="306"/>
      <c r="J241" s="5"/>
      <c r="K241" s="5"/>
      <c r="L241" s="306"/>
      <c r="M241" s="5"/>
      <c r="N241" s="5"/>
      <c r="O241" s="5"/>
      <c r="P241" s="5"/>
      <c r="Q241" s="5"/>
      <c r="R241" s="57"/>
      <c r="S241" s="5"/>
      <c r="T241" s="5"/>
      <c r="U241" s="5"/>
      <c r="V241" s="5"/>
      <c r="W241" s="5"/>
      <c r="X241" s="5"/>
      <c r="Y241" s="5"/>
      <c r="Z241" s="5"/>
      <c r="AA241" s="5"/>
      <c r="AB241" s="5"/>
      <c r="AC241" s="5"/>
    </row>
    <row r="242" spans="1:29" ht="12.75" customHeight="1">
      <c r="A242" s="5"/>
      <c r="B242" s="5"/>
      <c r="C242" s="5"/>
      <c r="D242" s="5"/>
      <c r="E242" s="5"/>
      <c r="F242" s="5"/>
      <c r="G242" s="5"/>
      <c r="H242" s="306"/>
      <c r="I242" s="306"/>
      <c r="J242" s="5"/>
      <c r="K242" s="5"/>
      <c r="L242" s="306"/>
      <c r="M242" s="5"/>
      <c r="N242" s="5"/>
      <c r="O242" s="5"/>
      <c r="P242" s="5"/>
      <c r="Q242" s="5"/>
      <c r="R242" s="57"/>
      <c r="S242" s="5"/>
      <c r="T242" s="5"/>
      <c r="U242" s="5"/>
      <c r="V242" s="5"/>
      <c r="W242" s="5"/>
      <c r="X242" s="5"/>
      <c r="Y242" s="5"/>
      <c r="Z242" s="5"/>
      <c r="AA242" s="5"/>
      <c r="AB242" s="5"/>
      <c r="AC242" s="5"/>
    </row>
    <row r="243" spans="1:29" ht="12.75" customHeight="1">
      <c r="A243" s="5"/>
      <c r="B243" s="5"/>
      <c r="C243" s="5"/>
      <c r="D243" s="5"/>
      <c r="E243" s="5"/>
      <c r="F243" s="5"/>
      <c r="G243" s="5"/>
      <c r="H243" s="306"/>
      <c r="I243" s="306"/>
      <c r="J243" s="5"/>
      <c r="K243" s="5"/>
      <c r="L243" s="306"/>
      <c r="M243" s="5"/>
      <c r="N243" s="5"/>
      <c r="O243" s="5"/>
      <c r="P243" s="5"/>
      <c r="Q243" s="5"/>
      <c r="R243" s="57"/>
      <c r="S243" s="5"/>
      <c r="T243" s="5"/>
      <c r="U243" s="5"/>
      <c r="V243" s="5"/>
      <c r="W243" s="5"/>
      <c r="X243" s="5"/>
      <c r="Y243" s="5"/>
      <c r="Z243" s="5"/>
      <c r="AA243" s="5"/>
      <c r="AB243" s="5"/>
      <c r="AC243" s="5"/>
    </row>
    <row r="244" spans="1:29" ht="12.75" customHeight="1">
      <c r="A244" s="5"/>
      <c r="B244" s="5"/>
      <c r="C244" s="5"/>
      <c r="D244" s="5"/>
      <c r="E244" s="5"/>
      <c r="F244" s="5"/>
      <c r="G244" s="5"/>
      <c r="H244" s="306"/>
      <c r="I244" s="306"/>
      <c r="J244" s="5"/>
      <c r="K244" s="5"/>
      <c r="L244" s="306"/>
      <c r="M244" s="5"/>
      <c r="N244" s="5"/>
      <c r="O244" s="5"/>
      <c r="P244" s="5"/>
      <c r="Q244" s="5"/>
      <c r="R244" s="57"/>
      <c r="S244" s="5"/>
      <c r="T244" s="5"/>
      <c r="U244" s="5"/>
      <c r="V244" s="5"/>
      <c r="W244" s="5"/>
      <c r="X244" s="5"/>
      <c r="Y244" s="5"/>
      <c r="Z244" s="5"/>
      <c r="AA244" s="5"/>
      <c r="AB244" s="5"/>
      <c r="AC244" s="5"/>
    </row>
    <row r="245" spans="1:29" ht="12.75" customHeight="1">
      <c r="A245" s="5"/>
      <c r="B245" s="5"/>
      <c r="C245" s="5"/>
      <c r="D245" s="5"/>
      <c r="E245" s="5"/>
      <c r="F245" s="5"/>
      <c r="G245" s="5"/>
      <c r="H245" s="306"/>
      <c r="I245" s="306"/>
      <c r="J245" s="5"/>
      <c r="K245" s="5"/>
      <c r="L245" s="306"/>
      <c r="M245" s="5"/>
      <c r="N245" s="5"/>
      <c r="O245" s="5"/>
      <c r="P245" s="5"/>
      <c r="Q245" s="5"/>
      <c r="R245" s="57"/>
      <c r="S245" s="5"/>
      <c r="T245" s="5"/>
      <c r="U245" s="5"/>
      <c r="V245" s="5"/>
      <c r="W245" s="5"/>
      <c r="X245" s="5"/>
      <c r="Y245" s="5"/>
      <c r="Z245" s="5"/>
      <c r="AA245" s="5"/>
      <c r="AB245" s="5"/>
      <c r="AC245" s="5"/>
    </row>
    <row r="246" spans="1:29" ht="12.75" customHeight="1">
      <c r="A246" s="5"/>
      <c r="B246" s="5"/>
      <c r="C246" s="5"/>
      <c r="D246" s="5"/>
      <c r="E246" s="5"/>
      <c r="F246" s="5"/>
      <c r="G246" s="5"/>
      <c r="H246" s="306"/>
      <c r="I246" s="306"/>
      <c r="J246" s="5"/>
      <c r="K246" s="5"/>
      <c r="L246" s="306"/>
      <c r="M246" s="5"/>
      <c r="N246" s="5"/>
      <c r="O246" s="5"/>
      <c r="P246" s="5"/>
      <c r="Q246" s="5"/>
      <c r="R246" s="57"/>
      <c r="S246" s="5"/>
      <c r="T246" s="5"/>
      <c r="U246" s="5"/>
      <c r="V246" s="5"/>
      <c r="W246" s="5"/>
      <c r="X246" s="5"/>
      <c r="Y246" s="5"/>
      <c r="Z246" s="5"/>
      <c r="AA246" s="5"/>
      <c r="AB246" s="5"/>
      <c r="AC246" s="5"/>
    </row>
    <row r="247" spans="1:29" ht="12.75" customHeight="1">
      <c r="A247" s="5"/>
      <c r="B247" s="5"/>
      <c r="C247" s="5"/>
      <c r="D247" s="5"/>
      <c r="E247" s="5"/>
      <c r="F247" s="5"/>
      <c r="G247" s="5"/>
      <c r="H247" s="306"/>
      <c r="I247" s="306"/>
      <c r="J247" s="5"/>
      <c r="K247" s="5"/>
      <c r="L247" s="306"/>
      <c r="M247" s="5"/>
      <c r="N247" s="5"/>
      <c r="O247" s="5"/>
      <c r="P247" s="5"/>
      <c r="Q247" s="5"/>
      <c r="R247" s="57"/>
      <c r="S247" s="5"/>
      <c r="T247" s="5"/>
      <c r="U247" s="5"/>
      <c r="V247" s="5"/>
      <c r="W247" s="5"/>
      <c r="X247" s="5"/>
      <c r="Y247" s="5"/>
      <c r="Z247" s="5"/>
      <c r="AA247" s="5"/>
      <c r="AB247" s="5"/>
      <c r="AC247" s="5"/>
    </row>
    <row r="248" spans="1:29" ht="12.75" customHeight="1">
      <c r="A248" s="5"/>
      <c r="B248" s="5"/>
      <c r="C248" s="5"/>
      <c r="D248" s="5"/>
      <c r="E248" s="5"/>
      <c r="F248" s="5"/>
      <c r="G248" s="5"/>
      <c r="H248" s="306"/>
      <c r="I248" s="306"/>
      <c r="J248" s="5"/>
      <c r="K248" s="5"/>
      <c r="L248" s="306"/>
      <c r="M248" s="5"/>
      <c r="N248" s="5"/>
      <c r="O248" s="5"/>
      <c r="P248" s="5"/>
      <c r="Q248" s="5"/>
      <c r="R248" s="57"/>
      <c r="S248" s="5"/>
      <c r="T248" s="5"/>
      <c r="U248" s="5"/>
      <c r="V248" s="5"/>
      <c r="W248" s="5"/>
      <c r="X248" s="5"/>
      <c r="Y248" s="5"/>
      <c r="Z248" s="5"/>
      <c r="AA248" s="5"/>
      <c r="AB248" s="5"/>
      <c r="AC248" s="5"/>
    </row>
    <row r="249" spans="1:29" ht="12.75" customHeight="1">
      <c r="A249" s="5"/>
      <c r="B249" s="5"/>
      <c r="C249" s="5"/>
      <c r="D249" s="5"/>
      <c r="E249" s="5"/>
      <c r="F249" s="5"/>
      <c r="G249" s="5"/>
      <c r="H249" s="306"/>
      <c r="I249" s="306"/>
      <c r="J249" s="5"/>
      <c r="K249" s="5"/>
      <c r="L249" s="306"/>
      <c r="M249" s="5"/>
      <c r="N249" s="5"/>
      <c r="O249" s="5"/>
      <c r="P249" s="5"/>
      <c r="Q249" s="5"/>
      <c r="R249" s="57"/>
      <c r="S249" s="5"/>
      <c r="T249" s="5"/>
      <c r="U249" s="5"/>
      <c r="V249" s="5"/>
      <c r="W249" s="5"/>
      <c r="X249" s="5"/>
      <c r="Y249" s="5"/>
      <c r="Z249" s="5"/>
      <c r="AA249" s="5"/>
      <c r="AB249" s="5"/>
      <c r="AC249" s="5"/>
    </row>
    <row r="250" spans="1:29" ht="12.75" customHeight="1">
      <c r="A250" s="5"/>
      <c r="B250" s="5"/>
      <c r="C250" s="5"/>
      <c r="D250" s="5"/>
      <c r="E250" s="5"/>
      <c r="F250" s="5"/>
      <c r="G250" s="5"/>
      <c r="H250" s="306"/>
      <c r="I250" s="306"/>
      <c r="J250" s="5"/>
      <c r="K250" s="5"/>
      <c r="L250" s="306"/>
      <c r="M250" s="5"/>
      <c r="N250" s="5"/>
      <c r="O250" s="5"/>
      <c r="P250" s="5"/>
      <c r="Q250" s="5"/>
      <c r="R250" s="57"/>
      <c r="S250" s="5"/>
      <c r="T250" s="5"/>
      <c r="U250" s="5"/>
      <c r="V250" s="5"/>
      <c r="W250" s="5"/>
      <c r="X250" s="5"/>
      <c r="Y250" s="5"/>
      <c r="Z250" s="5"/>
      <c r="AA250" s="5"/>
      <c r="AB250" s="5"/>
      <c r="AC250" s="5"/>
    </row>
    <row r="251" spans="1:29" ht="12.75" customHeight="1">
      <c r="A251" s="5"/>
      <c r="B251" s="5"/>
      <c r="C251" s="5"/>
      <c r="D251" s="5"/>
      <c r="E251" s="5"/>
      <c r="F251" s="5"/>
      <c r="G251" s="5"/>
      <c r="H251" s="306"/>
      <c r="I251" s="306"/>
      <c r="J251" s="5"/>
      <c r="K251" s="5"/>
      <c r="L251" s="306"/>
      <c r="M251" s="5"/>
      <c r="N251" s="5"/>
      <c r="O251" s="5"/>
      <c r="P251" s="5"/>
      <c r="Q251" s="5"/>
      <c r="R251" s="57"/>
      <c r="S251" s="5"/>
      <c r="T251" s="5"/>
      <c r="U251" s="5"/>
      <c r="V251" s="5"/>
      <c r="W251" s="5"/>
      <c r="X251" s="5"/>
      <c r="Y251" s="5"/>
      <c r="Z251" s="5"/>
      <c r="AA251" s="5"/>
      <c r="AB251" s="5"/>
      <c r="AC251" s="5"/>
    </row>
    <row r="252" spans="1:29" ht="12.75" customHeight="1">
      <c r="A252" s="5"/>
      <c r="B252" s="5"/>
      <c r="C252" s="5"/>
      <c r="D252" s="5"/>
      <c r="E252" s="5"/>
      <c r="F252" s="5"/>
      <c r="G252" s="5"/>
      <c r="H252" s="306"/>
      <c r="I252" s="306"/>
      <c r="J252" s="5"/>
      <c r="K252" s="5"/>
      <c r="L252" s="306"/>
      <c r="M252" s="5"/>
      <c r="N252" s="5"/>
      <c r="O252" s="5"/>
      <c r="P252" s="5"/>
      <c r="Q252" s="5"/>
      <c r="R252" s="57"/>
      <c r="S252" s="5"/>
      <c r="T252" s="5"/>
      <c r="U252" s="5"/>
      <c r="V252" s="5"/>
      <c r="W252" s="5"/>
      <c r="X252" s="5"/>
      <c r="Y252" s="5"/>
      <c r="Z252" s="5"/>
      <c r="AA252" s="5"/>
      <c r="AB252" s="5"/>
      <c r="AC252" s="5"/>
    </row>
    <row r="253" spans="1:29" ht="12.75" customHeight="1">
      <c r="A253" s="5"/>
      <c r="B253" s="5"/>
      <c r="C253" s="5"/>
      <c r="D253" s="5"/>
      <c r="E253" s="5"/>
      <c r="F253" s="5"/>
      <c r="G253" s="5"/>
      <c r="H253" s="306"/>
      <c r="I253" s="306"/>
      <c r="J253" s="5"/>
      <c r="K253" s="5"/>
      <c r="L253" s="306"/>
      <c r="M253" s="5"/>
      <c r="N253" s="5"/>
      <c r="O253" s="5"/>
      <c r="P253" s="5"/>
      <c r="Q253" s="5"/>
      <c r="R253" s="57"/>
      <c r="S253" s="5"/>
      <c r="T253" s="5"/>
      <c r="U253" s="5"/>
      <c r="V253" s="5"/>
      <c r="W253" s="5"/>
      <c r="X253" s="5"/>
      <c r="Y253" s="5"/>
      <c r="Z253" s="5"/>
      <c r="AA253" s="5"/>
      <c r="AB253" s="5"/>
      <c r="AC253" s="5"/>
    </row>
    <row r="254" spans="1:29" ht="12.75" customHeight="1">
      <c r="A254" s="5"/>
      <c r="B254" s="5"/>
      <c r="C254" s="5"/>
      <c r="D254" s="5"/>
      <c r="E254" s="5"/>
      <c r="F254" s="5"/>
      <c r="G254" s="5"/>
      <c r="H254" s="306"/>
      <c r="I254" s="306"/>
      <c r="J254" s="5"/>
      <c r="K254" s="5"/>
      <c r="L254" s="306"/>
      <c r="M254" s="5"/>
      <c r="N254" s="5"/>
      <c r="O254" s="5"/>
      <c r="P254" s="5"/>
      <c r="Q254" s="5"/>
      <c r="R254" s="57"/>
      <c r="S254" s="5"/>
      <c r="T254" s="5"/>
      <c r="U254" s="5"/>
      <c r="V254" s="5"/>
      <c r="W254" s="5"/>
      <c r="X254" s="5"/>
      <c r="Y254" s="5"/>
      <c r="Z254" s="5"/>
      <c r="AA254" s="5"/>
      <c r="AB254" s="5"/>
      <c r="AC254" s="5"/>
    </row>
    <row r="255" spans="1:29" ht="12.75" customHeight="1">
      <c r="A255" s="5"/>
      <c r="B255" s="5"/>
      <c r="C255" s="5"/>
      <c r="D255" s="5"/>
      <c r="E255" s="5"/>
      <c r="F255" s="5"/>
      <c r="G255" s="5"/>
      <c r="H255" s="306"/>
      <c r="I255" s="306"/>
      <c r="J255" s="5"/>
      <c r="K255" s="5"/>
      <c r="L255" s="306"/>
      <c r="M255" s="5"/>
      <c r="N255" s="5"/>
      <c r="O255" s="5"/>
      <c r="P255" s="5"/>
      <c r="Q255" s="5"/>
      <c r="R255" s="57"/>
      <c r="S255" s="5"/>
      <c r="T255" s="5"/>
      <c r="U255" s="5"/>
      <c r="V255" s="5"/>
      <c r="W255" s="5"/>
      <c r="X255" s="5"/>
      <c r="Y255" s="5"/>
      <c r="Z255" s="5"/>
      <c r="AA255" s="5"/>
      <c r="AB255" s="5"/>
      <c r="AC255" s="5"/>
    </row>
    <row r="256" spans="1:29" ht="12.75" customHeight="1">
      <c r="A256" s="5"/>
      <c r="B256" s="5"/>
      <c r="C256" s="5"/>
      <c r="D256" s="5"/>
      <c r="E256" s="5"/>
      <c r="F256" s="5"/>
      <c r="G256" s="5"/>
      <c r="H256" s="306"/>
      <c r="I256" s="306"/>
      <c r="J256" s="5"/>
      <c r="K256" s="5"/>
      <c r="L256" s="306"/>
      <c r="M256" s="5"/>
      <c r="N256" s="5"/>
      <c r="O256" s="5"/>
      <c r="P256" s="5"/>
      <c r="Q256" s="5"/>
      <c r="R256" s="57"/>
      <c r="S256" s="5"/>
      <c r="T256" s="5"/>
      <c r="U256" s="5"/>
      <c r="V256" s="5"/>
      <c r="W256" s="5"/>
      <c r="X256" s="5"/>
      <c r="Y256" s="5"/>
      <c r="Z256" s="5"/>
      <c r="AA256" s="5"/>
      <c r="AB256" s="5"/>
      <c r="AC256" s="5"/>
    </row>
    <row r="257" spans="1:29" ht="12.75" customHeight="1">
      <c r="A257" s="5"/>
      <c r="B257" s="5"/>
      <c r="C257" s="5"/>
      <c r="D257" s="5"/>
      <c r="E257" s="5"/>
      <c r="F257" s="5"/>
      <c r="G257" s="5"/>
      <c r="H257" s="306"/>
      <c r="I257" s="306"/>
      <c r="J257" s="5"/>
      <c r="K257" s="5"/>
      <c r="L257" s="306"/>
      <c r="M257" s="5"/>
      <c r="N257" s="5"/>
      <c r="O257" s="5"/>
      <c r="P257" s="5"/>
      <c r="Q257" s="5"/>
      <c r="R257" s="57"/>
      <c r="S257" s="5"/>
      <c r="T257" s="5"/>
      <c r="U257" s="5"/>
      <c r="V257" s="5"/>
      <c r="W257" s="5"/>
      <c r="X257" s="5"/>
      <c r="Y257" s="5"/>
      <c r="Z257" s="5"/>
      <c r="AA257" s="5"/>
      <c r="AB257" s="5"/>
      <c r="AC257" s="5"/>
    </row>
    <row r="258" spans="1:29" ht="12.75" customHeight="1">
      <c r="A258" s="5"/>
      <c r="B258" s="5"/>
      <c r="C258" s="5"/>
      <c r="D258" s="5"/>
      <c r="E258" s="5"/>
      <c r="F258" s="5"/>
      <c r="G258" s="5"/>
      <c r="H258" s="306"/>
      <c r="I258" s="306"/>
      <c r="J258" s="5"/>
      <c r="K258" s="5"/>
      <c r="L258" s="306"/>
      <c r="M258" s="5"/>
      <c r="N258" s="5"/>
      <c r="O258" s="5"/>
      <c r="P258" s="5"/>
      <c r="Q258" s="5"/>
      <c r="R258" s="57"/>
      <c r="S258" s="5"/>
      <c r="T258" s="5"/>
      <c r="U258" s="5"/>
      <c r="V258" s="5"/>
      <c r="W258" s="5"/>
      <c r="X258" s="5"/>
      <c r="Y258" s="5"/>
      <c r="Z258" s="5"/>
      <c r="AA258" s="5"/>
      <c r="AB258" s="5"/>
      <c r="AC258" s="5"/>
    </row>
    <row r="259" spans="1:29" ht="12.75" customHeight="1">
      <c r="A259" s="5"/>
      <c r="B259" s="5"/>
      <c r="C259" s="5"/>
      <c r="D259" s="5"/>
      <c r="E259" s="5"/>
      <c r="F259" s="5"/>
      <c r="G259" s="5"/>
      <c r="H259" s="306"/>
      <c r="I259" s="306"/>
      <c r="J259" s="5"/>
      <c r="K259" s="5"/>
      <c r="L259" s="306"/>
      <c r="M259" s="5"/>
      <c r="N259" s="5"/>
      <c r="O259" s="5"/>
      <c r="P259" s="5"/>
      <c r="Q259" s="5"/>
      <c r="R259" s="57"/>
      <c r="S259" s="5"/>
      <c r="T259" s="5"/>
      <c r="U259" s="5"/>
      <c r="V259" s="5"/>
      <c r="W259" s="5"/>
      <c r="X259" s="5"/>
      <c r="Y259" s="5"/>
      <c r="Z259" s="5"/>
      <c r="AA259" s="5"/>
      <c r="AB259" s="5"/>
      <c r="AC259" s="5"/>
    </row>
    <row r="260" spans="1:29" ht="12.75" customHeight="1">
      <c r="A260" s="5"/>
      <c r="B260" s="5"/>
      <c r="C260" s="5"/>
      <c r="D260" s="5"/>
      <c r="E260" s="5"/>
      <c r="F260" s="5"/>
      <c r="G260" s="5"/>
      <c r="H260" s="306"/>
      <c r="I260" s="306"/>
      <c r="J260" s="5"/>
      <c r="K260" s="5"/>
      <c r="L260" s="306"/>
      <c r="M260" s="5"/>
      <c r="N260" s="5"/>
      <c r="O260" s="5"/>
      <c r="P260" s="5"/>
      <c r="Q260" s="5"/>
      <c r="R260" s="57"/>
      <c r="S260" s="5"/>
      <c r="T260" s="5"/>
      <c r="U260" s="5"/>
      <c r="V260" s="5"/>
      <c r="W260" s="5"/>
      <c r="X260" s="5"/>
      <c r="Y260" s="5"/>
      <c r="Z260" s="5"/>
      <c r="AA260" s="5"/>
      <c r="AB260" s="5"/>
      <c r="AC260" s="5"/>
    </row>
    <row r="261" spans="1:29" ht="12.75" customHeight="1">
      <c r="A261" s="5"/>
      <c r="B261" s="5"/>
      <c r="C261" s="5"/>
      <c r="D261" s="5"/>
      <c r="E261" s="5"/>
      <c r="F261" s="5"/>
      <c r="G261" s="5"/>
      <c r="H261" s="306"/>
      <c r="I261" s="306"/>
      <c r="J261" s="5"/>
      <c r="K261" s="5"/>
      <c r="L261" s="306"/>
      <c r="M261" s="5"/>
      <c r="N261" s="5"/>
      <c r="O261" s="5"/>
      <c r="P261" s="5"/>
      <c r="Q261" s="5"/>
      <c r="R261" s="57"/>
      <c r="S261" s="5"/>
      <c r="T261" s="5"/>
      <c r="U261" s="5"/>
      <c r="V261" s="5"/>
      <c r="W261" s="5"/>
      <c r="X261" s="5"/>
      <c r="Y261" s="5"/>
      <c r="Z261" s="5"/>
      <c r="AA261" s="5"/>
      <c r="AB261" s="5"/>
      <c r="AC261" s="5"/>
    </row>
    <row r="262" spans="1:29" ht="12.75" customHeight="1">
      <c r="A262" s="5"/>
      <c r="B262" s="5"/>
      <c r="C262" s="5"/>
      <c r="D262" s="5"/>
      <c r="E262" s="5"/>
      <c r="F262" s="5"/>
      <c r="G262" s="5"/>
      <c r="H262" s="306"/>
      <c r="I262" s="306"/>
      <c r="J262" s="5"/>
      <c r="K262" s="5"/>
      <c r="L262" s="306"/>
      <c r="M262" s="5"/>
      <c r="N262" s="5"/>
      <c r="O262" s="5"/>
      <c r="P262" s="5"/>
      <c r="Q262" s="5"/>
      <c r="R262" s="57"/>
      <c r="S262" s="5"/>
      <c r="T262" s="5"/>
      <c r="U262" s="5"/>
      <c r="V262" s="5"/>
      <c r="W262" s="5"/>
      <c r="X262" s="5"/>
      <c r="Y262" s="5"/>
      <c r="Z262" s="5"/>
      <c r="AA262" s="5"/>
      <c r="AB262" s="5"/>
      <c r="AC262" s="5"/>
    </row>
    <row r="263" spans="1:29" ht="12.75" customHeight="1">
      <c r="A263" s="5"/>
      <c r="B263" s="5"/>
      <c r="C263" s="5"/>
      <c r="D263" s="5"/>
      <c r="E263" s="5"/>
      <c r="F263" s="5"/>
      <c r="G263" s="5"/>
      <c r="H263" s="306"/>
      <c r="I263" s="306"/>
      <c r="J263" s="5"/>
      <c r="K263" s="5"/>
      <c r="L263" s="306"/>
      <c r="M263" s="5"/>
      <c r="N263" s="5"/>
      <c r="O263" s="5"/>
      <c r="P263" s="5"/>
      <c r="Q263" s="5"/>
      <c r="R263" s="57"/>
      <c r="S263" s="5"/>
      <c r="T263" s="5"/>
      <c r="U263" s="5"/>
      <c r="V263" s="5"/>
      <c r="W263" s="5"/>
      <c r="X263" s="5"/>
      <c r="Y263" s="5"/>
      <c r="Z263" s="5"/>
      <c r="AA263" s="5"/>
      <c r="AB263" s="5"/>
      <c r="AC263" s="5"/>
    </row>
    <row r="264" spans="1:29" ht="12.75" customHeight="1">
      <c r="A264" s="5"/>
      <c r="B264" s="5"/>
      <c r="C264" s="5"/>
      <c r="D264" s="5"/>
      <c r="E264" s="5"/>
      <c r="F264" s="5"/>
      <c r="G264" s="5"/>
      <c r="H264" s="306"/>
      <c r="I264" s="306"/>
      <c r="J264" s="5"/>
      <c r="K264" s="5"/>
      <c r="L264" s="306"/>
      <c r="M264" s="5"/>
      <c r="N264" s="5"/>
      <c r="O264" s="5"/>
      <c r="P264" s="5"/>
      <c r="Q264" s="5"/>
      <c r="R264" s="57"/>
      <c r="S264" s="5"/>
      <c r="T264" s="5"/>
      <c r="U264" s="5"/>
      <c r="V264" s="5"/>
      <c r="W264" s="5"/>
      <c r="X264" s="5"/>
      <c r="Y264" s="5"/>
      <c r="Z264" s="5"/>
      <c r="AA264" s="5"/>
      <c r="AB264" s="5"/>
      <c r="AC264" s="5"/>
    </row>
    <row r="265" spans="1:29" ht="12.75" customHeight="1">
      <c r="A265" s="5"/>
      <c r="B265" s="5"/>
      <c r="C265" s="5"/>
      <c r="D265" s="5"/>
      <c r="E265" s="5"/>
      <c r="F265" s="5"/>
      <c r="G265" s="5"/>
      <c r="H265" s="306"/>
      <c r="I265" s="306"/>
      <c r="J265" s="5"/>
      <c r="K265" s="5"/>
      <c r="L265" s="306"/>
      <c r="M265" s="5"/>
      <c r="N265" s="5"/>
      <c r="O265" s="5"/>
      <c r="P265" s="5"/>
      <c r="Q265" s="5"/>
      <c r="R265" s="57"/>
      <c r="S265" s="5"/>
      <c r="T265" s="5"/>
      <c r="U265" s="5"/>
      <c r="V265" s="5"/>
      <c r="W265" s="5"/>
      <c r="X265" s="5"/>
      <c r="Y265" s="5"/>
      <c r="Z265" s="5"/>
      <c r="AA265" s="5"/>
      <c r="AB265" s="5"/>
      <c r="AC265" s="5"/>
    </row>
    <row r="266" spans="1:29" ht="12.75" customHeight="1">
      <c r="A266" s="5"/>
      <c r="B266" s="5"/>
      <c r="C266" s="5"/>
      <c r="D266" s="5"/>
      <c r="E266" s="5"/>
      <c r="F266" s="5"/>
      <c r="G266" s="5"/>
      <c r="H266" s="306"/>
      <c r="I266" s="306"/>
      <c r="J266" s="5"/>
      <c r="K266" s="5"/>
      <c r="L266" s="306"/>
      <c r="M266" s="5"/>
      <c r="N266" s="5"/>
      <c r="O266" s="5"/>
      <c r="P266" s="5"/>
      <c r="Q266" s="5"/>
      <c r="R266" s="57"/>
      <c r="S266" s="5"/>
      <c r="T266" s="5"/>
      <c r="U266" s="5"/>
      <c r="V266" s="5"/>
      <c r="W266" s="5"/>
      <c r="X266" s="5"/>
      <c r="Y266" s="5"/>
      <c r="Z266" s="5"/>
      <c r="AA266" s="5"/>
      <c r="AB266" s="5"/>
      <c r="AC266" s="5"/>
    </row>
    <row r="267" spans="1:29" ht="12.75" customHeight="1">
      <c r="A267" s="5"/>
      <c r="B267" s="5"/>
      <c r="C267" s="5"/>
      <c r="D267" s="5"/>
      <c r="E267" s="5"/>
      <c r="F267" s="5"/>
      <c r="G267" s="5"/>
      <c r="H267" s="306"/>
      <c r="I267" s="306"/>
      <c r="J267" s="5"/>
      <c r="K267" s="5"/>
      <c r="L267" s="306"/>
      <c r="M267" s="5"/>
      <c r="N267" s="5"/>
      <c r="O267" s="5"/>
      <c r="P267" s="5"/>
      <c r="Q267" s="5"/>
      <c r="R267" s="57"/>
      <c r="S267" s="5"/>
      <c r="T267" s="5"/>
      <c r="U267" s="5"/>
      <c r="V267" s="5"/>
      <c r="W267" s="5"/>
      <c r="X267" s="5"/>
      <c r="Y267" s="5"/>
      <c r="Z267" s="5"/>
      <c r="AA267" s="5"/>
      <c r="AB267" s="5"/>
      <c r="AC267" s="5"/>
    </row>
    <row r="268" spans="1:29" ht="12.75" customHeight="1">
      <c r="A268" s="5"/>
      <c r="B268" s="5"/>
      <c r="C268" s="5"/>
      <c r="D268" s="5"/>
      <c r="E268" s="5"/>
      <c r="F268" s="5"/>
      <c r="G268" s="5"/>
      <c r="H268" s="306"/>
      <c r="I268" s="306"/>
      <c r="J268" s="5"/>
      <c r="K268" s="5"/>
      <c r="L268" s="306"/>
      <c r="M268" s="5"/>
      <c r="N268" s="5"/>
      <c r="O268" s="5"/>
      <c r="P268" s="5"/>
      <c r="Q268" s="5"/>
      <c r="R268" s="57"/>
      <c r="S268" s="5"/>
      <c r="T268" s="5"/>
      <c r="U268" s="5"/>
      <c r="V268" s="5"/>
      <c r="W268" s="5"/>
      <c r="X268" s="5"/>
      <c r="Y268" s="5"/>
      <c r="Z268" s="5"/>
      <c r="AA268" s="5"/>
      <c r="AB268" s="5"/>
      <c r="AC268" s="5"/>
    </row>
    <row r="269" spans="1:29" ht="12.75" customHeight="1">
      <c r="A269" s="5"/>
      <c r="B269" s="5"/>
      <c r="C269" s="5"/>
      <c r="D269" s="5"/>
      <c r="E269" s="5"/>
      <c r="F269" s="5"/>
      <c r="G269" s="5"/>
      <c r="H269" s="306"/>
      <c r="I269" s="306"/>
      <c r="J269" s="5"/>
      <c r="K269" s="5"/>
      <c r="L269" s="306"/>
      <c r="M269" s="5"/>
      <c r="N269" s="5"/>
      <c r="O269" s="5"/>
      <c r="P269" s="5"/>
      <c r="Q269" s="5"/>
      <c r="R269" s="57"/>
      <c r="S269" s="5"/>
      <c r="T269" s="5"/>
      <c r="U269" s="5"/>
      <c r="V269" s="5"/>
      <c r="W269" s="5"/>
      <c r="X269" s="5"/>
      <c r="Y269" s="5"/>
      <c r="Z269" s="5"/>
      <c r="AA269" s="5"/>
      <c r="AB269" s="5"/>
      <c r="AC269" s="5"/>
    </row>
    <row r="270" spans="1:29" ht="12.75" customHeight="1">
      <c r="A270" s="5"/>
      <c r="B270" s="5"/>
      <c r="C270" s="5"/>
      <c r="D270" s="5"/>
      <c r="E270" s="5"/>
      <c r="F270" s="5"/>
      <c r="G270" s="5"/>
      <c r="H270" s="306"/>
      <c r="I270" s="306"/>
      <c r="J270" s="5"/>
      <c r="K270" s="5"/>
      <c r="L270" s="306"/>
      <c r="M270" s="5"/>
      <c r="N270" s="5"/>
      <c r="O270" s="5"/>
      <c r="P270" s="5"/>
      <c r="Q270" s="5"/>
      <c r="R270" s="57"/>
      <c r="S270" s="5"/>
      <c r="T270" s="5"/>
      <c r="U270" s="5"/>
      <c r="V270" s="5"/>
      <c r="W270" s="5"/>
      <c r="X270" s="5"/>
      <c r="Y270" s="5"/>
      <c r="Z270" s="5"/>
      <c r="AA270" s="5"/>
      <c r="AB270" s="5"/>
      <c r="AC270" s="5"/>
    </row>
    <row r="271" spans="1:29" ht="12.75" customHeight="1">
      <c r="A271" s="5"/>
      <c r="B271" s="5"/>
      <c r="C271" s="5"/>
      <c r="D271" s="5"/>
      <c r="E271" s="5"/>
      <c r="F271" s="5"/>
      <c r="G271" s="5"/>
      <c r="H271" s="306"/>
      <c r="I271" s="306"/>
      <c r="J271" s="5"/>
      <c r="K271" s="5"/>
      <c r="L271" s="306"/>
      <c r="M271" s="5"/>
      <c r="N271" s="5"/>
      <c r="O271" s="5"/>
      <c r="P271" s="5"/>
      <c r="Q271" s="5"/>
      <c r="R271" s="57"/>
      <c r="S271" s="5"/>
      <c r="T271" s="5"/>
      <c r="U271" s="5"/>
      <c r="V271" s="5"/>
      <c r="W271" s="5"/>
      <c r="X271" s="5"/>
      <c r="Y271" s="5"/>
      <c r="Z271" s="5"/>
      <c r="AA271" s="5"/>
      <c r="AB271" s="5"/>
      <c r="AC271" s="5"/>
    </row>
    <row r="272" spans="1:29" ht="12.75" customHeight="1">
      <c r="A272" s="5"/>
      <c r="B272" s="5"/>
      <c r="C272" s="5"/>
      <c r="D272" s="5"/>
      <c r="E272" s="5"/>
      <c r="F272" s="5"/>
      <c r="G272" s="5"/>
      <c r="H272" s="306"/>
      <c r="I272" s="306"/>
      <c r="J272" s="5"/>
      <c r="K272" s="5"/>
      <c r="L272" s="306"/>
      <c r="M272" s="5"/>
      <c r="N272" s="5"/>
      <c r="O272" s="5"/>
      <c r="P272" s="5"/>
      <c r="Q272" s="5"/>
      <c r="R272" s="57"/>
      <c r="S272" s="5"/>
      <c r="T272" s="5"/>
      <c r="U272" s="5"/>
      <c r="V272" s="5"/>
      <c r="W272" s="5"/>
      <c r="X272" s="5"/>
      <c r="Y272" s="5"/>
      <c r="Z272" s="5"/>
      <c r="AA272" s="5"/>
      <c r="AB272" s="5"/>
      <c r="AC272" s="5"/>
    </row>
    <row r="273" spans="1:29" ht="12.75" customHeight="1">
      <c r="A273" s="5"/>
      <c r="B273" s="5"/>
      <c r="C273" s="5"/>
      <c r="D273" s="5"/>
      <c r="E273" s="5"/>
      <c r="F273" s="5"/>
      <c r="G273" s="5"/>
      <c r="H273" s="306"/>
      <c r="I273" s="306"/>
      <c r="J273" s="5"/>
      <c r="K273" s="5"/>
      <c r="L273" s="306"/>
      <c r="M273" s="5"/>
      <c r="N273" s="5"/>
      <c r="O273" s="5"/>
      <c r="P273" s="5"/>
      <c r="Q273" s="5"/>
      <c r="R273" s="57"/>
      <c r="S273" s="5"/>
      <c r="T273" s="5"/>
      <c r="U273" s="5"/>
      <c r="V273" s="5"/>
      <c r="W273" s="5"/>
      <c r="X273" s="5"/>
      <c r="Y273" s="5"/>
      <c r="Z273" s="5"/>
      <c r="AA273" s="5"/>
      <c r="AB273" s="5"/>
      <c r="AC273" s="5"/>
    </row>
    <row r="274" spans="1:29" ht="12.75" customHeight="1">
      <c r="A274" s="5"/>
      <c r="B274" s="5"/>
      <c r="C274" s="5"/>
      <c r="D274" s="5"/>
      <c r="E274" s="5"/>
      <c r="F274" s="5"/>
      <c r="G274" s="5"/>
      <c r="H274" s="306"/>
      <c r="I274" s="306"/>
      <c r="J274" s="5"/>
      <c r="K274" s="5"/>
      <c r="L274" s="306"/>
      <c r="M274" s="5"/>
      <c r="N274" s="5"/>
      <c r="O274" s="5"/>
      <c r="P274" s="5"/>
      <c r="Q274" s="5"/>
      <c r="R274" s="57"/>
      <c r="S274" s="5"/>
      <c r="T274" s="5"/>
      <c r="U274" s="5"/>
      <c r="V274" s="5"/>
      <c r="W274" s="5"/>
      <c r="X274" s="5"/>
      <c r="Y274" s="5"/>
      <c r="Z274" s="5"/>
      <c r="AA274" s="5"/>
      <c r="AB274" s="5"/>
      <c r="AC274" s="5"/>
    </row>
    <row r="275" spans="1:29" ht="12.75" customHeight="1">
      <c r="A275" s="5"/>
      <c r="B275" s="5"/>
      <c r="C275" s="5"/>
      <c r="D275" s="5"/>
      <c r="E275" s="5"/>
      <c r="F275" s="5"/>
      <c r="G275" s="5"/>
      <c r="H275" s="306"/>
      <c r="I275" s="306"/>
      <c r="J275" s="5"/>
      <c r="K275" s="5"/>
      <c r="L275" s="306"/>
      <c r="M275" s="5"/>
      <c r="N275" s="5"/>
      <c r="O275" s="5"/>
      <c r="P275" s="5"/>
      <c r="Q275" s="5"/>
      <c r="R275" s="57"/>
      <c r="S275" s="5"/>
      <c r="T275" s="5"/>
      <c r="U275" s="5"/>
      <c r="V275" s="5"/>
      <c r="W275" s="5"/>
      <c r="X275" s="5"/>
      <c r="Y275" s="5"/>
      <c r="Z275" s="5"/>
      <c r="AA275" s="5"/>
      <c r="AB275" s="5"/>
      <c r="AC275" s="5"/>
    </row>
    <row r="276" spans="1:29" ht="12.75" customHeight="1">
      <c r="A276" s="5"/>
      <c r="B276" s="5"/>
      <c r="C276" s="5"/>
      <c r="D276" s="5"/>
      <c r="E276" s="5"/>
      <c r="F276" s="5"/>
      <c r="G276" s="5"/>
      <c r="H276" s="306"/>
      <c r="I276" s="306"/>
      <c r="J276" s="5"/>
      <c r="K276" s="5"/>
      <c r="L276" s="306"/>
      <c r="M276" s="5"/>
      <c r="N276" s="5"/>
      <c r="O276" s="5"/>
      <c r="P276" s="5"/>
      <c r="Q276" s="5"/>
      <c r="R276" s="57"/>
      <c r="S276" s="5"/>
      <c r="T276" s="5"/>
      <c r="U276" s="5"/>
      <c r="V276" s="5"/>
      <c r="W276" s="5"/>
      <c r="X276" s="5"/>
      <c r="Y276" s="5"/>
      <c r="Z276" s="5"/>
      <c r="AA276" s="5"/>
      <c r="AB276" s="5"/>
      <c r="AC276" s="5"/>
    </row>
    <row r="277" spans="1:29" ht="12.75" customHeight="1">
      <c r="A277" s="5"/>
      <c r="B277" s="5"/>
      <c r="C277" s="5"/>
      <c r="D277" s="5"/>
      <c r="E277" s="5"/>
      <c r="F277" s="5"/>
      <c r="G277" s="5"/>
      <c r="H277" s="306"/>
      <c r="I277" s="306"/>
      <c r="J277" s="5"/>
      <c r="K277" s="5"/>
      <c r="L277" s="306"/>
      <c r="M277" s="5"/>
      <c r="N277" s="5"/>
      <c r="O277" s="5"/>
      <c r="P277" s="5"/>
      <c r="Q277" s="5"/>
      <c r="R277" s="57"/>
      <c r="S277" s="5"/>
      <c r="T277" s="5"/>
      <c r="U277" s="5"/>
      <c r="V277" s="5"/>
      <c r="W277" s="5"/>
      <c r="X277" s="5"/>
      <c r="Y277" s="5"/>
      <c r="Z277" s="5"/>
      <c r="AA277" s="5"/>
      <c r="AB277" s="5"/>
      <c r="AC277" s="5"/>
    </row>
    <row r="278" spans="1:29" ht="12.75" customHeight="1">
      <c r="A278" s="5"/>
      <c r="B278" s="5"/>
      <c r="C278" s="5"/>
      <c r="D278" s="5"/>
      <c r="E278" s="5"/>
      <c r="F278" s="5"/>
      <c r="G278" s="5"/>
      <c r="H278" s="306"/>
      <c r="I278" s="306"/>
      <c r="J278" s="5"/>
      <c r="K278" s="5"/>
      <c r="L278" s="306"/>
      <c r="M278" s="5"/>
      <c r="N278" s="5"/>
      <c r="O278" s="5"/>
      <c r="P278" s="5"/>
      <c r="Q278" s="5"/>
      <c r="R278" s="57"/>
      <c r="S278" s="5"/>
      <c r="T278" s="5"/>
      <c r="U278" s="5"/>
      <c r="V278" s="5"/>
      <c r="W278" s="5"/>
      <c r="X278" s="5"/>
      <c r="Y278" s="5"/>
      <c r="Z278" s="5"/>
      <c r="AA278" s="5"/>
      <c r="AB278" s="5"/>
      <c r="AC278" s="5"/>
    </row>
    <row r="279" spans="1:29" ht="12.75" customHeight="1">
      <c r="A279" s="5"/>
      <c r="B279" s="5"/>
      <c r="C279" s="5"/>
      <c r="D279" s="5"/>
      <c r="E279" s="5"/>
      <c r="F279" s="5"/>
      <c r="G279" s="5"/>
      <c r="H279" s="306"/>
      <c r="I279" s="306"/>
      <c r="J279" s="5"/>
      <c r="K279" s="5"/>
      <c r="L279" s="306"/>
      <c r="M279" s="5"/>
      <c r="N279" s="5"/>
      <c r="O279" s="5"/>
      <c r="P279" s="5"/>
      <c r="Q279" s="5"/>
      <c r="R279" s="57"/>
      <c r="S279" s="5"/>
      <c r="T279" s="5"/>
      <c r="U279" s="5"/>
      <c r="V279" s="5"/>
      <c r="W279" s="5"/>
      <c r="X279" s="5"/>
      <c r="Y279" s="5"/>
      <c r="Z279" s="5"/>
      <c r="AA279" s="5"/>
      <c r="AB279" s="5"/>
      <c r="AC279" s="5"/>
    </row>
    <row r="280" spans="1:29" ht="12.75" customHeight="1">
      <c r="A280" s="5"/>
      <c r="B280" s="5"/>
      <c r="C280" s="5"/>
      <c r="D280" s="5"/>
      <c r="E280" s="5"/>
      <c r="F280" s="5"/>
      <c r="G280" s="5"/>
      <c r="H280" s="306"/>
      <c r="I280" s="306"/>
      <c r="J280" s="5"/>
      <c r="K280" s="5"/>
      <c r="L280" s="306"/>
      <c r="M280" s="5"/>
      <c r="N280" s="5"/>
      <c r="O280" s="5"/>
      <c r="P280" s="5"/>
      <c r="Q280" s="5"/>
      <c r="R280" s="57"/>
      <c r="S280" s="5"/>
      <c r="T280" s="5"/>
      <c r="U280" s="5"/>
      <c r="V280" s="5"/>
      <c r="W280" s="5"/>
      <c r="X280" s="5"/>
      <c r="Y280" s="5"/>
      <c r="Z280" s="5"/>
      <c r="AA280" s="5"/>
      <c r="AB280" s="5"/>
      <c r="AC280" s="5"/>
    </row>
    <row r="281" spans="1:29" ht="12.75" customHeight="1">
      <c r="A281" s="5"/>
      <c r="B281" s="5"/>
      <c r="C281" s="5"/>
      <c r="D281" s="5"/>
      <c r="E281" s="5"/>
      <c r="F281" s="5"/>
      <c r="G281" s="5"/>
      <c r="H281" s="306"/>
      <c r="I281" s="306"/>
      <c r="J281" s="5"/>
      <c r="K281" s="5"/>
      <c r="L281" s="306"/>
      <c r="M281" s="5"/>
      <c r="N281" s="5"/>
      <c r="O281" s="5"/>
      <c r="P281" s="5"/>
      <c r="Q281" s="5"/>
      <c r="R281" s="57"/>
      <c r="S281" s="5"/>
      <c r="T281" s="5"/>
      <c r="U281" s="5"/>
      <c r="V281" s="5"/>
      <c r="W281" s="5"/>
      <c r="X281" s="5"/>
      <c r="Y281" s="5"/>
      <c r="Z281" s="5"/>
      <c r="AA281" s="5"/>
      <c r="AB281" s="5"/>
      <c r="AC281" s="5"/>
    </row>
    <row r="282" spans="1:29" ht="12.75" customHeight="1">
      <c r="A282" s="5"/>
      <c r="B282" s="5"/>
      <c r="C282" s="5"/>
      <c r="D282" s="5"/>
      <c r="E282" s="5"/>
      <c r="F282" s="5"/>
      <c r="G282" s="5"/>
      <c r="H282" s="306"/>
      <c r="I282" s="306"/>
      <c r="J282" s="5"/>
      <c r="K282" s="5"/>
      <c r="L282" s="306"/>
      <c r="M282" s="5"/>
      <c r="N282" s="5"/>
      <c r="O282" s="5"/>
      <c r="P282" s="5"/>
      <c r="Q282" s="5"/>
      <c r="R282" s="57"/>
      <c r="S282" s="5"/>
      <c r="T282" s="5"/>
      <c r="U282" s="5"/>
      <c r="V282" s="5"/>
      <c r="W282" s="5"/>
      <c r="X282" s="5"/>
      <c r="Y282" s="5"/>
      <c r="Z282" s="5"/>
      <c r="AA282" s="5"/>
      <c r="AB282" s="5"/>
      <c r="AC282" s="5"/>
    </row>
    <row r="283" spans="1:29" ht="12.75" customHeight="1">
      <c r="A283" s="5"/>
      <c r="B283" s="5"/>
      <c r="C283" s="5"/>
      <c r="D283" s="5"/>
      <c r="E283" s="5"/>
      <c r="F283" s="5"/>
      <c r="G283" s="5"/>
      <c r="H283" s="306"/>
      <c r="I283" s="306"/>
      <c r="J283" s="5"/>
      <c r="K283" s="5"/>
      <c r="L283" s="306"/>
      <c r="M283" s="5"/>
      <c r="N283" s="5"/>
      <c r="O283" s="5"/>
      <c r="P283" s="5"/>
      <c r="Q283" s="5"/>
      <c r="R283" s="57"/>
      <c r="S283" s="5"/>
      <c r="T283" s="5"/>
      <c r="U283" s="5"/>
      <c r="V283" s="5"/>
      <c r="W283" s="5"/>
      <c r="X283" s="5"/>
      <c r="Y283" s="5"/>
      <c r="Z283" s="5"/>
      <c r="AA283" s="5"/>
      <c r="AB283" s="5"/>
      <c r="AC283" s="5"/>
    </row>
    <row r="284" spans="1:29" ht="12.75" customHeight="1">
      <c r="A284" s="5"/>
      <c r="B284" s="5"/>
      <c r="C284" s="5"/>
      <c r="D284" s="5"/>
      <c r="E284" s="5"/>
      <c r="F284" s="5"/>
      <c r="G284" s="5"/>
      <c r="H284" s="306"/>
      <c r="I284" s="306"/>
      <c r="J284" s="5"/>
      <c r="K284" s="5"/>
      <c r="L284" s="306"/>
      <c r="M284" s="5"/>
      <c r="N284" s="5"/>
      <c r="O284" s="5"/>
      <c r="P284" s="5"/>
      <c r="Q284" s="5"/>
      <c r="R284" s="57"/>
      <c r="S284" s="5"/>
      <c r="T284" s="5"/>
      <c r="U284" s="5"/>
      <c r="V284" s="5"/>
      <c r="W284" s="5"/>
      <c r="X284" s="5"/>
      <c r="Y284" s="5"/>
      <c r="Z284" s="5"/>
      <c r="AA284" s="5"/>
      <c r="AB284" s="5"/>
      <c r="AC284" s="5"/>
    </row>
    <row r="285" spans="1:29" ht="12.75" customHeight="1">
      <c r="A285" s="5"/>
      <c r="B285" s="5"/>
      <c r="C285" s="5"/>
      <c r="D285" s="5"/>
      <c r="E285" s="5"/>
      <c r="F285" s="5"/>
      <c r="G285" s="5"/>
      <c r="H285" s="306"/>
      <c r="I285" s="306"/>
      <c r="J285" s="5"/>
      <c r="K285" s="5"/>
      <c r="L285" s="306"/>
      <c r="M285" s="5"/>
      <c r="N285" s="5"/>
      <c r="O285" s="5"/>
      <c r="P285" s="5"/>
      <c r="Q285" s="5"/>
      <c r="R285" s="57"/>
      <c r="S285" s="5"/>
      <c r="T285" s="5"/>
      <c r="U285" s="5"/>
      <c r="V285" s="5"/>
      <c r="W285" s="5"/>
      <c r="X285" s="5"/>
      <c r="Y285" s="5"/>
      <c r="Z285" s="5"/>
      <c r="AA285" s="5"/>
      <c r="AB285" s="5"/>
      <c r="AC285" s="5"/>
    </row>
    <row r="286" spans="1:29" ht="12.75" customHeight="1">
      <c r="A286" s="5"/>
      <c r="B286" s="5"/>
      <c r="C286" s="5"/>
      <c r="D286" s="5"/>
      <c r="E286" s="5"/>
      <c r="F286" s="5"/>
      <c r="G286" s="5"/>
      <c r="H286" s="306"/>
      <c r="I286" s="306"/>
      <c r="J286" s="5"/>
      <c r="K286" s="5"/>
      <c r="L286" s="306"/>
      <c r="M286" s="5"/>
      <c r="N286" s="5"/>
      <c r="O286" s="5"/>
      <c r="P286" s="5"/>
      <c r="Q286" s="5"/>
      <c r="R286" s="57"/>
      <c r="S286" s="5"/>
      <c r="T286" s="5"/>
      <c r="U286" s="5"/>
      <c r="V286" s="5"/>
      <c r="W286" s="5"/>
      <c r="X286" s="5"/>
      <c r="Y286" s="5"/>
      <c r="Z286" s="5"/>
      <c r="AA286" s="5"/>
      <c r="AB286" s="5"/>
      <c r="AC286" s="5"/>
    </row>
    <row r="287" spans="1:29" ht="12.75" customHeight="1">
      <c r="A287" s="5"/>
      <c r="B287" s="5"/>
      <c r="C287" s="5"/>
      <c r="D287" s="5"/>
      <c r="E287" s="5"/>
      <c r="F287" s="5"/>
      <c r="G287" s="5"/>
      <c r="H287" s="306"/>
      <c r="I287" s="306"/>
      <c r="J287" s="5"/>
      <c r="K287" s="5"/>
      <c r="L287" s="306"/>
      <c r="M287" s="5"/>
      <c r="N287" s="5"/>
      <c r="O287" s="5"/>
      <c r="P287" s="5"/>
      <c r="Q287" s="5"/>
      <c r="R287" s="57"/>
      <c r="S287" s="5"/>
      <c r="T287" s="5"/>
      <c r="U287" s="5"/>
      <c r="V287" s="5"/>
      <c r="W287" s="5"/>
      <c r="X287" s="5"/>
      <c r="Y287" s="5"/>
      <c r="Z287" s="5"/>
      <c r="AA287" s="5"/>
      <c r="AB287" s="5"/>
      <c r="AC287" s="5"/>
    </row>
    <row r="288" spans="1:29" ht="12.75" customHeight="1">
      <c r="A288" s="5"/>
      <c r="B288" s="5"/>
      <c r="C288" s="5"/>
      <c r="D288" s="5"/>
      <c r="E288" s="5"/>
      <c r="F288" s="5"/>
      <c r="G288" s="5"/>
      <c r="H288" s="306"/>
      <c r="I288" s="306"/>
      <c r="J288" s="5"/>
      <c r="K288" s="5"/>
      <c r="L288" s="306"/>
      <c r="M288" s="5"/>
      <c r="N288" s="5"/>
      <c r="O288" s="5"/>
      <c r="P288" s="5"/>
      <c r="Q288" s="5"/>
      <c r="R288" s="57"/>
      <c r="S288" s="5"/>
      <c r="T288" s="5"/>
      <c r="U288" s="5"/>
      <c r="V288" s="5"/>
      <c r="W288" s="5"/>
      <c r="X288" s="5"/>
      <c r="Y288" s="5"/>
      <c r="Z288" s="5"/>
      <c r="AA288" s="5"/>
      <c r="AB288" s="5"/>
      <c r="AC288" s="5"/>
    </row>
    <row r="289" spans="1:29" ht="12.75" customHeight="1">
      <c r="A289" s="5"/>
      <c r="B289" s="5"/>
      <c r="C289" s="5"/>
      <c r="D289" s="5"/>
      <c r="E289" s="5"/>
      <c r="F289" s="5"/>
      <c r="G289" s="5"/>
      <c r="H289" s="306"/>
      <c r="I289" s="306"/>
      <c r="J289" s="5"/>
      <c r="K289" s="5"/>
      <c r="L289" s="306"/>
      <c r="M289" s="5"/>
      <c r="N289" s="5"/>
      <c r="O289" s="5"/>
      <c r="P289" s="5"/>
      <c r="Q289" s="5"/>
      <c r="R289" s="57"/>
      <c r="S289" s="5"/>
      <c r="T289" s="5"/>
      <c r="U289" s="5"/>
      <c r="V289" s="5"/>
      <c r="W289" s="5"/>
      <c r="X289" s="5"/>
      <c r="Y289" s="5"/>
      <c r="Z289" s="5"/>
      <c r="AA289" s="5"/>
      <c r="AB289" s="5"/>
      <c r="AC289" s="5"/>
    </row>
    <row r="290" spans="1:29" ht="12.75" customHeight="1">
      <c r="A290" s="5"/>
      <c r="B290" s="5"/>
      <c r="C290" s="5"/>
      <c r="D290" s="5"/>
      <c r="E290" s="5"/>
      <c r="F290" s="5"/>
      <c r="G290" s="5"/>
      <c r="H290" s="306"/>
      <c r="I290" s="306"/>
      <c r="J290" s="5"/>
      <c r="K290" s="5"/>
      <c r="L290" s="306"/>
      <c r="M290" s="5"/>
      <c r="N290" s="5"/>
      <c r="O290" s="5"/>
      <c r="P290" s="5"/>
      <c r="Q290" s="5"/>
      <c r="R290" s="57"/>
      <c r="S290" s="5"/>
      <c r="T290" s="5"/>
      <c r="U290" s="5"/>
      <c r="V290" s="5"/>
      <c r="W290" s="5"/>
      <c r="X290" s="5"/>
      <c r="Y290" s="5"/>
      <c r="Z290" s="5"/>
      <c r="AA290" s="5"/>
      <c r="AB290" s="5"/>
      <c r="AC290" s="5"/>
    </row>
    <row r="291" spans="1:29" ht="12.75" customHeight="1">
      <c r="A291" s="5"/>
      <c r="B291" s="5"/>
      <c r="C291" s="5"/>
      <c r="D291" s="5"/>
      <c r="E291" s="5"/>
      <c r="F291" s="5"/>
      <c r="G291" s="5"/>
      <c r="H291" s="306"/>
      <c r="I291" s="306"/>
      <c r="J291" s="5"/>
      <c r="K291" s="5"/>
      <c r="L291" s="306"/>
      <c r="M291" s="5"/>
      <c r="N291" s="5"/>
      <c r="O291" s="5"/>
      <c r="P291" s="5"/>
      <c r="Q291" s="5"/>
      <c r="R291" s="57"/>
      <c r="S291" s="5"/>
      <c r="T291" s="5"/>
      <c r="U291" s="5"/>
      <c r="V291" s="5"/>
      <c r="W291" s="5"/>
      <c r="X291" s="5"/>
      <c r="Y291" s="5"/>
      <c r="Z291" s="5"/>
      <c r="AA291" s="5"/>
      <c r="AB291" s="5"/>
      <c r="AC291" s="5"/>
    </row>
    <row r="292" spans="1:29" ht="12.75" customHeight="1">
      <c r="A292" s="5"/>
      <c r="B292" s="5"/>
      <c r="C292" s="5"/>
      <c r="D292" s="5"/>
      <c r="E292" s="5"/>
      <c r="F292" s="5"/>
      <c r="G292" s="5"/>
      <c r="H292" s="306"/>
      <c r="I292" s="306"/>
      <c r="J292" s="5"/>
      <c r="K292" s="5"/>
      <c r="L292" s="306"/>
      <c r="M292" s="5"/>
      <c r="N292" s="5"/>
      <c r="O292" s="5"/>
      <c r="P292" s="5"/>
      <c r="Q292" s="5"/>
      <c r="R292" s="57"/>
      <c r="S292" s="5"/>
      <c r="T292" s="5"/>
      <c r="U292" s="5"/>
      <c r="V292" s="5"/>
      <c r="W292" s="5"/>
      <c r="X292" s="5"/>
      <c r="Y292" s="5"/>
      <c r="Z292" s="5"/>
      <c r="AA292" s="5"/>
      <c r="AB292" s="5"/>
      <c r="AC292" s="5"/>
    </row>
    <row r="293" spans="1:29" ht="12.75" customHeight="1">
      <c r="A293" s="5"/>
      <c r="B293" s="5"/>
      <c r="C293" s="5"/>
      <c r="D293" s="5"/>
      <c r="E293" s="5"/>
      <c r="F293" s="5"/>
      <c r="G293" s="5"/>
      <c r="H293" s="306"/>
      <c r="I293" s="306"/>
      <c r="J293" s="5"/>
      <c r="K293" s="5"/>
      <c r="L293" s="306"/>
      <c r="M293" s="5"/>
      <c r="N293" s="5"/>
      <c r="O293" s="5"/>
      <c r="P293" s="5"/>
      <c r="Q293" s="5"/>
      <c r="R293" s="57"/>
      <c r="S293" s="5"/>
      <c r="T293" s="5"/>
      <c r="U293" s="5"/>
      <c r="V293" s="5"/>
      <c r="W293" s="5"/>
      <c r="X293" s="5"/>
      <c r="Y293" s="5"/>
      <c r="Z293" s="5"/>
      <c r="AA293" s="5"/>
      <c r="AB293" s="5"/>
      <c r="AC293" s="5"/>
    </row>
    <row r="294" spans="1:29" ht="12.75" customHeight="1">
      <c r="A294" s="5"/>
      <c r="B294" s="5"/>
      <c r="C294" s="5"/>
      <c r="D294" s="5"/>
      <c r="E294" s="5"/>
      <c r="F294" s="5"/>
      <c r="G294" s="5"/>
      <c r="H294" s="306"/>
      <c r="I294" s="306"/>
      <c r="J294" s="5"/>
      <c r="K294" s="5"/>
      <c r="L294" s="306"/>
      <c r="M294" s="5"/>
      <c r="N294" s="5"/>
      <c r="O294" s="5"/>
      <c r="P294" s="5"/>
      <c r="Q294" s="5"/>
      <c r="R294" s="57"/>
      <c r="S294" s="5"/>
      <c r="T294" s="5"/>
      <c r="U294" s="5"/>
      <c r="V294" s="5"/>
      <c r="W294" s="5"/>
      <c r="X294" s="5"/>
      <c r="Y294" s="5"/>
      <c r="Z294" s="5"/>
      <c r="AA294" s="5"/>
      <c r="AB294" s="5"/>
      <c r="AC294" s="5"/>
    </row>
    <row r="295" spans="1:29" ht="12.75" customHeight="1">
      <c r="A295" s="5"/>
      <c r="B295" s="5"/>
      <c r="C295" s="5"/>
      <c r="D295" s="5"/>
      <c r="E295" s="5"/>
      <c r="F295" s="5"/>
      <c r="G295" s="5"/>
      <c r="H295" s="306"/>
      <c r="I295" s="306"/>
      <c r="J295" s="5"/>
      <c r="K295" s="5"/>
      <c r="L295" s="306"/>
      <c r="M295" s="5"/>
      <c r="N295" s="5"/>
      <c r="O295" s="5"/>
      <c r="P295" s="5"/>
      <c r="Q295" s="5"/>
      <c r="R295" s="57"/>
      <c r="S295" s="5"/>
      <c r="T295" s="5"/>
      <c r="U295" s="5"/>
      <c r="V295" s="5"/>
      <c r="W295" s="5"/>
      <c r="X295" s="5"/>
      <c r="Y295" s="5"/>
      <c r="Z295" s="5"/>
      <c r="AA295" s="5"/>
      <c r="AB295" s="5"/>
      <c r="AC295" s="5"/>
    </row>
    <row r="296" spans="1:29" ht="12.75" customHeight="1">
      <c r="A296" s="5"/>
      <c r="B296" s="5"/>
      <c r="C296" s="5"/>
      <c r="D296" s="5"/>
      <c r="E296" s="5"/>
      <c r="F296" s="5"/>
      <c r="G296" s="5"/>
      <c r="H296" s="306"/>
      <c r="I296" s="306"/>
      <c r="J296" s="5"/>
      <c r="K296" s="5"/>
      <c r="L296" s="306"/>
      <c r="M296" s="5"/>
      <c r="N296" s="5"/>
      <c r="O296" s="5"/>
      <c r="P296" s="5"/>
      <c r="Q296" s="5"/>
      <c r="R296" s="57"/>
      <c r="S296" s="5"/>
      <c r="T296" s="5"/>
      <c r="U296" s="5"/>
      <c r="V296" s="5"/>
      <c r="W296" s="5"/>
      <c r="X296" s="5"/>
      <c r="Y296" s="5"/>
      <c r="Z296" s="5"/>
      <c r="AA296" s="5"/>
      <c r="AB296" s="5"/>
      <c r="AC296" s="5"/>
    </row>
    <row r="297" spans="1:29" ht="12.75" customHeight="1">
      <c r="A297" s="5"/>
      <c r="B297" s="5"/>
      <c r="C297" s="5"/>
      <c r="D297" s="5"/>
      <c r="E297" s="5"/>
      <c r="F297" s="5"/>
      <c r="G297" s="5"/>
      <c r="H297" s="306"/>
      <c r="I297" s="306"/>
      <c r="J297" s="5"/>
      <c r="K297" s="5"/>
      <c r="L297" s="306"/>
      <c r="M297" s="5"/>
      <c r="N297" s="5"/>
      <c r="O297" s="5"/>
      <c r="P297" s="5"/>
      <c r="Q297" s="5"/>
      <c r="R297" s="57"/>
      <c r="S297" s="5"/>
      <c r="T297" s="5"/>
      <c r="U297" s="5"/>
      <c r="V297" s="5"/>
      <c r="W297" s="5"/>
      <c r="X297" s="5"/>
      <c r="Y297" s="5"/>
      <c r="Z297" s="5"/>
      <c r="AA297" s="5"/>
      <c r="AB297" s="5"/>
      <c r="AC297" s="5"/>
    </row>
    <row r="298" spans="1:29" ht="12.75" customHeight="1">
      <c r="A298" s="5"/>
      <c r="B298" s="5"/>
      <c r="C298" s="5"/>
      <c r="D298" s="5"/>
      <c r="E298" s="5"/>
      <c r="F298" s="5"/>
      <c r="G298" s="5"/>
      <c r="H298" s="306"/>
      <c r="I298" s="306"/>
      <c r="J298" s="5"/>
      <c r="K298" s="5"/>
      <c r="L298" s="306"/>
      <c r="M298" s="5"/>
      <c r="N298" s="5"/>
      <c r="O298" s="5"/>
      <c r="P298" s="5"/>
      <c r="Q298" s="5"/>
      <c r="R298" s="57"/>
      <c r="S298" s="5"/>
      <c r="T298" s="5"/>
      <c r="U298" s="5"/>
      <c r="V298" s="5"/>
      <c r="W298" s="5"/>
      <c r="X298" s="5"/>
      <c r="Y298" s="5"/>
      <c r="Z298" s="5"/>
      <c r="AA298" s="5"/>
      <c r="AB298" s="5"/>
      <c r="AC298" s="5"/>
    </row>
    <row r="299" spans="1:29" ht="12.75" customHeight="1">
      <c r="A299" s="5"/>
      <c r="B299" s="5"/>
      <c r="C299" s="5"/>
      <c r="D299" s="5"/>
      <c r="E299" s="5"/>
      <c r="F299" s="5"/>
      <c r="G299" s="5"/>
      <c r="H299" s="306"/>
      <c r="I299" s="306"/>
      <c r="J299" s="5"/>
      <c r="K299" s="5"/>
      <c r="L299" s="306"/>
      <c r="M299" s="5"/>
      <c r="N299" s="5"/>
      <c r="O299" s="5"/>
      <c r="P299" s="5"/>
      <c r="Q299" s="5"/>
      <c r="R299" s="57"/>
      <c r="S299" s="5"/>
      <c r="T299" s="5"/>
      <c r="U299" s="5"/>
      <c r="V299" s="5"/>
      <c r="W299" s="5"/>
      <c r="X299" s="5"/>
      <c r="Y299" s="5"/>
      <c r="Z299" s="5"/>
      <c r="AA299" s="5"/>
      <c r="AB299" s="5"/>
      <c r="AC299" s="5"/>
    </row>
    <row r="300" spans="1:29" ht="12.75" customHeight="1">
      <c r="A300" s="5"/>
      <c r="B300" s="5"/>
      <c r="C300" s="5"/>
      <c r="D300" s="5"/>
      <c r="E300" s="5"/>
      <c r="F300" s="5"/>
      <c r="G300" s="5"/>
      <c r="H300" s="306"/>
      <c r="I300" s="306"/>
      <c r="J300" s="5"/>
      <c r="K300" s="5"/>
      <c r="L300" s="306"/>
      <c r="M300" s="5"/>
      <c r="N300" s="5"/>
      <c r="O300" s="5"/>
      <c r="P300" s="5"/>
      <c r="Q300" s="5"/>
      <c r="R300" s="57"/>
      <c r="S300" s="5"/>
      <c r="T300" s="5"/>
      <c r="U300" s="5"/>
      <c r="V300" s="5"/>
      <c r="W300" s="5"/>
      <c r="X300" s="5"/>
      <c r="Y300" s="5"/>
      <c r="Z300" s="5"/>
      <c r="AA300" s="5"/>
      <c r="AB300" s="5"/>
      <c r="AC300" s="5"/>
    </row>
    <row r="301" spans="1:29" ht="12.75" customHeight="1">
      <c r="A301" s="5"/>
      <c r="B301" s="5"/>
      <c r="C301" s="5"/>
      <c r="D301" s="5"/>
      <c r="E301" s="5"/>
      <c r="F301" s="5"/>
      <c r="G301" s="5"/>
      <c r="H301" s="306"/>
      <c r="I301" s="306"/>
      <c r="J301" s="5"/>
      <c r="K301" s="5"/>
      <c r="L301" s="306"/>
      <c r="M301" s="5"/>
      <c r="N301" s="5"/>
      <c r="O301" s="5"/>
      <c r="P301" s="5"/>
      <c r="Q301" s="5"/>
      <c r="R301" s="57"/>
      <c r="S301" s="5"/>
      <c r="T301" s="5"/>
      <c r="U301" s="5"/>
      <c r="V301" s="5"/>
      <c r="W301" s="5"/>
      <c r="X301" s="5"/>
      <c r="Y301" s="5"/>
      <c r="Z301" s="5"/>
      <c r="AA301" s="5"/>
      <c r="AB301" s="5"/>
      <c r="AC301" s="5"/>
    </row>
    <row r="302" spans="1:29" ht="12.75" customHeight="1">
      <c r="A302" s="5"/>
      <c r="B302" s="5"/>
      <c r="C302" s="5"/>
      <c r="D302" s="5"/>
      <c r="E302" s="5"/>
      <c r="F302" s="5"/>
      <c r="G302" s="5"/>
      <c r="H302" s="306"/>
      <c r="I302" s="306"/>
      <c r="J302" s="5"/>
      <c r="K302" s="5"/>
      <c r="L302" s="306"/>
      <c r="M302" s="5"/>
      <c r="N302" s="5"/>
      <c r="O302" s="5"/>
      <c r="P302" s="5"/>
      <c r="Q302" s="5"/>
      <c r="R302" s="57"/>
      <c r="S302" s="5"/>
      <c r="T302" s="5"/>
      <c r="U302" s="5"/>
      <c r="V302" s="5"/>
      <c r="W302" s="5"/>
      <c r="X302" s="5"/>
      <c r="Y302" s="5"/>
      <c r="Z302" s="5"/>
      <c r="AA302" s="5"/>
      <c r="AB302" s="5"/>
      <c r="AC302" s="5"/>
    </row>
    <row r="303" spans="1:29" ht="12.75" customHeight="1">
      <c r="A303" s="5"/>
      <c r="B303" s="5"/>
      <c r="C303" s="5"/>
      <c r="D303" s="5"/>
      <c r="E303" s="5"/>
      <c r="F303" s="5"/>
      <c r="G303" s="5"/>
      <c r="H303" s="306"/>
      <c r="I303" s="306"/>
      <c r="J303" s="5"/>
      <c r="K303" s="5"/>
      <c r="L303" s="306"/>
      <c r="M303" s="5"/>
      <c r="N303" s="5"/>
      <c r="O303" s="5"/>
      <c r="P303" s="5"/>
      <c r="Q303" s="5"/>
      <c r="R303" s="57"/>
      <c r="S303" s="5"/>
      <c r="T303" s="5"/>
      <c r="U303" s="5"/>
      <c r="V303" s="5"/>
      <c r="W303" s="5"/>
      <c r="X303" s="5"/>
      <c r="Y303" s="5"/>
      <c r="Z303" s="5"/>
      <c r="AA303" s="5"/>
      <c r="AB303" s="5"/>
      <c r="AC303" s="5"/>
    </row>
    <row r="304" spans="1:29" ht="12.75" customHeight="1">
      <c r="A304" s="5"/>
      <c r="B304" s="5"/>
      <c r="C304" s="5"/>
      <c r="D304" s="5"/>
      <c r="E304" s="5"/>
      <c r="F304" s="5"/>
      <c r="G304" s="5"/>
      <c r="H304" s="306"/>
      <c r="I304" s="306"/>
      <c r="J304" s="5"/>
      <c r="K304" s="5"/>
      <c r="L304" s="306"/>
      <c r="M304" s="5"/>
      <c r="N304" s="5"/>
      <c r="O304" s="5"/>
      <c r="P304" s="5"/>
      <c r="Q304" s="5"/>
      <c r="R304" s="57"/>
      <c r="S304" s="5"/>
      <c r="T304" s="5"/>
      <c r="U304" s="5"/>
      <c r="V304" s="5"/>
      <c r="W304" s="5"/>
      <c r="X304" s="5"/>
      <c r="Y304" s="5"/>
      <c r="Z304" s="5"/>
      <c r="AA304" s="5"/>
      <c r="AB304" s="5"/>
      <c r="AC304" s="5"/>
    </row>
    <row r="305" spans="1:29" ht="12.75" customHeight="1">
      <c r="A305" s="5"/>
      <c r="B305" s="5"/>
      <c r="C305" s="5"/>
      <c r="D305" s="5"/>
      <c r="E305" s="5"/>
      <c r="F305" s="5"/>
      <c r="G305" s="5"/>
      <c r="H305" s="306"/>
      <c r="I305" s="306"/>
      <c r="J305" s="5"/>
      <c r="K305" s="5"/>
      <c r="L305" s="306"/>
      <c r="M305" s="5"/>
      <c r="N305" s="5"/>
      <c r="O305" s="5"/>
      <c r="P305" s="5"/>
      <c r="Q305" s="5"/>
      <c r="R305" s="57"/>
      <c r="S305" s="5"/>
      <c r="T305" s="5"/>
      <c r="U305" s="5"/>
      <c r="V305" s="5"/>
      <c r="W305" s="5"/>
      <c r="X305" s="5"/>
      <c r="Y305" s="5"/>
      <c r="Z305" s="5"/>
      <c r="AA305" s="5"/>
      <c r="AB305" s="5"/>
      <c r="AC305" s="5"/>
    </row>
    <row r="306" spans="1:29" ht="12.75" customHeight="1">
      <c r="A306" s="5"/>
      <c r="B306" s="5"/>
      <c r="C306" s="5"/>
      <c r="D306" s="5"/>
      <c r="E306" s="5"/>
      <c r="F306" s="5"/>
      <c r="G306" s="5"/>
      <c r="H306" s="306"/>
      <c r="I306" s="306"/>
      <c r="J306" s="5"/>
      <c r="K306" s="5"/>
      <c r="L306" s="306"/>
      <c r="M306" s="5"/>
      <c r="N306" s="5"/>
      <c r="O306" s="5"/>
      <c r="P306" s="5"/>
      <c r="Q306" s="5"/>
      <c r="R306" s="57"/>
      <c r="S306" s="5"/>
      <c r="T306" s="5"/>
      <c r="U306" s="5"/>
      <c r="V306" s="5"/>
      <c r="W306" s="5"/>
      <c r="X306" s="5"/>
      <c r="Y306" s="5"/>
      <c r="Z306" s="5"/>
      <c r="AA306" s="5"/>
      <c r="AB306" s="5"/>
      <c r="AC306" s="5"/>
    </row>
    <row r="307" spans="1:29" ht="12.75" customHeight="1">
      <c r="A307" s="5"/>
      <c r="B307" s="5"/>
      <c r="C307" s="5"/>
      <c r="D307" s="5"/>
      <c r="E307" s="5"/>
      <c r="F307" s="5"/>
      <c r="G307" s="5"/>
      <c r="H307" s="306"/>
      <c r="I307" s="306"/>
      <c r="J307" s="5"/>
      <c r="K307" s="5"/>
      <c r="L307" s="306"/>
      <c r="M307" s="5"/>
      <c r="N307" s="5"/>
      <c r="O307" s="5"/>
      <c r="P307" s="5"/>
      <c r="Q307" s="5"/>
      <c r="R307" s="57"/>
      <c r="S307" s="5"/>
      <c r="T307" s="5"/>
      <c r="U307" s="5"/>
      <c r="V307" s="5"/>
      <c r="W307" s="5"/>
      <c r="X307" s="5"/>
      <c r="Y307" s="5"/>
      <c r="Z307" s="5"/>
      <c r="AA307" s="5"/>
      <c r="AB307" s="5"/>
      <c r="AC307" s="5"/>
    </row>
    <row r="308" spans="1:29" ht="12.75" customHeight="1">
      <c r="A308" s="5"/>
      <c r="B308" s="5"/>
      <c r="C308" s="5"/>
      <c r="D308" s="5"/>
      <c r="E308" s="5"/>
      <c r="F308" s="5"/>
      <c r="G308" s="5"/>
      <c r="H308" s="306"/>
      <c r="I308" s="306"/>
      <c r="J308" s="5"/>
      <c r="K308" s="5"/>
      <c r="L308" s="306"/>
      <c r="M308" s="5"/>
      <c r="N308" s="5"/>
      <c r="O308" s="5"/>
      <c r="P308" s="5"/>
      <c r="Q308" s="5"/>
      <c r="R308" s="57"/>
      <c r="S308" s="5"/>
      <c r="T308" s="5"/>
      <c r="U308" s="5"/>
      <c r="V308" s="5"/>
      <c r="W308" s="5"/>
      <c r="X308" s="5"/>
      <c r="Y308" s="5"/>
      <c r="Z308" s="5"/>
      <c r="AA308" s="5"/>
      <c r="AB308" s="5"/>
      <c r="AC308" s="5"/>
    </row>
    <row r="309" spans="1:29" ht="12.75" customHeight="1">
      <c r="A309" s="5"/>
      <c r="B309" s="5"/>
      <c r="C309" s="5"/>
      <c r="D309" s="5"/>
      <c r="E309" s="5"/>
      <c r="F309" s="5"/>
      <c r="G309" s="5"/>
      <c r="H309" s="306"/>
      <c r="I309" s="306"/>
      <c r="J309" s="5"/>
      <c r="K309" s="5"/>
      <c r="L309" s="306"/>
      <c r="M309" s="5"/>
      <c r="N309" s="5"/>
      <c r="O309" s="5"/>
      <c r="P309" s="5"/>
      <c r="Q309" s="5"/>
      <c r="R309" s="57"/>
      <c r="S309" s="5"/>
      <c r="T309" s="5"/>
      <c r="U309" s="5"/>
      <c r="V309" s="5"/>
      <c r="W309" s="5"/>
      <c r="X309" s="5"/>
      <c r="Y309" s="5"/>
      <c r="Z309" s="5"/>
      <c r="AA309" s="5"/>
      <c r="AB309" s="5"/>
      <c r="AC309" s="5"/>
    </row>
    <row r="310" spans="1:29" ht="12.75" customHeight="1">
      <c r="A310" s="5"/>
      <c r="B310" s="5"/>
      <c r="C310" s="5"/>
      <c r="D310" s="5"/>
      <c r="E310" s="5"/>
      <c r="F310" s="5"/>
      <c r="G310" s="5"/>
      <c r="H310" s="306"/>
      <c r="I310" s="306"/>
      <c r="J310" s="5"/>
      <c r="K310" s="5"/>
      <c r="L310" s="306"/>
      <c r="M310" s="5"/>
      <c r="N310" s="5"/>
      <c r="O310" s="5"/>
      <c r="P310" s="5"/>
      <c r="Q310" s="5"/>
      <c r="R310" s="57"/>
      <c r="S310" s="5"/>
      <c r="T310" s="5"/>
      <c r="U310" s="5"/>
      <c r="V310" s="5"/>
      <c r="W310" s="5"/>
      <c r="X310" s="5"/>
      <c r="Y310" s="5"/>
      <c r="Z310" s="5"/>
      <c r="AA310" s="5"/>
      <c r="AB310" s="5"/>
      <c r="AC310" s="5"/>
    </row>
    <row r="311" spans="1:29" ht="12.75" customHeight="1">
      <c r="A311" s="5"/>
      <c r="B311" s="5"/>
      <c r="C311" s="5"/>
      <c r="D311" s="5"/>
      <c r="E311" s="5"/>
      <c r="F311" s="5"/>
      <c r="G311" s="5"/>
      <c r="H311" s="306"/>
      <c r="I311" s="306"/>
      <c r="J311" s="5"/>
      <c r="K311" s="5"/>
      <c r="L311" s="306"/>
      <c r="M311" s="5"/>
      <c r="N311" s="5"/>
      <c r="O311" s="5"/>
      <c r="P311" s="5"/>
      <c r="Q311" s="5"/>
      <c r="R311" s="57"/>
      <c r="S311" s="5"/>
      <c r="T311" s="5"/>
      <c r="U311" s="5"/>
      <c r="V311" s="5"/>
      <c r="W311" s="5"/>
      <c r="X311" s="5"/>
      <c r="Y311" s="5"/>
      <c r="Z311" s="5"/>
      <c r="AA311" s="5"/>
      <c r="AB311" s="5"/>
      <c r="AC311" s="5"/>
    </row>
    <row r="312" spans="1:29" ht="12.75" customHeight="1">
      <c r="A312" s="5"/>
      <c r="B312" s="5"/>
      <c r="C312" s="5"/>
      <c r="D312" s="5"/>
      <c r="E312" s="5"/>
      <c r="F312" s="5"/>
      <c r="G312" s="5"/>
      <c r="H312" s="306"/>
      <c r="I312" s="306"/>
      <c r="J312" s="5"/>
      <c r="K312" s="5"/>
      <c r="L312" s="306"/>
      <c r="M312" s="5"/>
      <c r="N312" s="5"/>
      <c r="O312" s="5"/>
      <c r="P312" s="5"/>
      <c r="Q312" s="5"/>
      <c r="R312" s="57"/>
      <c r="S312" s="5"/>
      <c r="T312" s="5"/>
      <c r="U312" s="5"/>
      <c r="V312" s="5"/>
      <c r="W312" s="5"/>
      <c r="X312" s="5"/>
      <c r="Y312" s="5"/>
      <c r="Z312" s="5"/>
      <c r="AA312" s="5"/>
      <c r="AB312" s="5"/>
      <c r="AC312" s="5"/>
    </row>
    <row r="313" spans="1:29" ht="12.75" customHeight="1">
      <c r="A313" s="5"/>
      <c r="B313" s="5"/>
      <c r="C313" s="5"/>
      <c r="D313" s="5"/>
      <c r="E313" s="5"/>
      <c r="F313" s="5"/>
      <c r="G313" s="5"/>
      <c r="H313" s="306"/>
      <c r="I313" s="306"/>
      <c r="J313" s="5"/>
      <c r="K313" s="5"/>
      <c r="L313" s="306"/>
      <c r="M313" s="5"/>
      <c r="N313" s="5"/>
      <c r="O313" s="5"/>
      <c r="P313" s="5"/>
      <c r="Q313" s="5"/>
      <c r="R313" s="57"/>
      <c r="S313" s="5"/>
      <c r="T313" s="5"/>
      <c r="U313" s="5"/>
      <c r="V313" s="5"/>
      <c r="W313" s="5"/>
      <c r="X313" s="5"/>
      <c r="Y313" s="5"/>
      <c r="Z313" s="5"/>
      <c r="AA313" s="5"/>
      <c r="AB313" s="5"/>
      <c r="AC313" s="5"/>
    </row>
    <row r="314" spans="1:29" ht="12.75" customHeight="1">
      <c r="A314" s="5"/>
      <c r="B314" s="5"/>
      <c r="C314" s="5"/>
      <c r="D314" s="5"/>
      <c r="E314" s="5"/>
      <c r="F314" s="5"/>
      <c r="G314" s="5"/>
      <c r="H314" s="306"/>
      <c r="I314" s="306"/>
      <c r="J314" s="5"/>
      <c r="K314" s="5"/>
      <c r="L314" s="306"/>
      <c r="M314" s="5"/>
      <c r="N314" s="5"/>
      <c r="O314" s="5"/>
      <c r="P314" s="5"/>
      <c r="Q314" s="5"/>
      <c r="R314" s="57"/>
      <c r="S314" s="5"/>
      <c r="T314" s="5"/>
      <c r="U314" s="5"/>
      <c r="V314" s="5"/>
      <c r="W314" s="5"/>
      <c r="X314" s="5"/>
      <c r="Y314" s="5"/>
      <c r="Z314" s="5"/>
      <c r="AA314" s="5"/>
      <c r="AB314" s="5"/>
      <c r="AC314" s="5"/>
    </row>
    <row r="315" spans="1:29" ht="12.75" customHeight="1">
      <c r="A315" s="5"/>
      <c r="B315" s="5"/>
      <c r="C315" s="5"/>
      <c r="D315" s="5"/>
      <c r="E315" s="5"/>
      <c r="F315" s="5"/>
      <c r="G315" s="5"/>
      <c r="H315" s="306"/>
      <c r="I315" s="306"/>
      <c r="J315" s="5"/>
      <c r="K315" s="5"/>
      <c r="L315" s="306"/>
      <c r="M315" s="5"/>
      <c r="N315" s="5"/>
      <c r="O315" s="5"/>
      <c r="P315" s="5"/>
      <c r="Q315" s="5"/>
      <c r="R315" s="57"/>
      <c r="S315" s="5"/>
      <c r="T315" s="5"/>
      <c r="U315" s="5"/>
      <c r="V315" s="5"/>
      <c r="W315" s="5"/>
      <c r="X315" s="5"/>
      <c r="Y315" s="5"/>
      <c r="Z315" s="5"/>
      <c r="AA315" s="5"/>
      <c r="AB315" s="5"/>
      <c r="AC315" s="5"/>
    </row>
    <row r="316" spans="1:29" ht="12.75" customHeight="1">
      <c r="A316" s="5"/>
      <c r="B316" s="5"/>
      <c r="C316" s="5"/>
      <c r="D316" s="5"/>
      <c r="E316" s="5"/>
      <c r="F316" s="5"/>
      <c r="G316" s="5"/>
      <c r="H316" s="306"/>
      <c r="I316" s="306"/>
      <c r="J316" s="5"/>
      <c r="K316" s="5"/>
      <c r="L316" s="306"/>
      <c r="M316" s="5"/>
      <c r="N316" s="5"/>
      <c r="O316" s="5"/>
      <c r="P316" s="5"/>
      <c r="Q316" s="5"/>
      <c r="R316" s="57"/>
      <c r="S316" s="5"/>
      <c r="T316" s="5"/>
      <c r="U316" s="5"/>
      <c r="V316" s="5"/>
      <c r="W316" s="5"/>
      <c r="X316" s="5"/>
      <c r="Y316" s="5"/>
      <c r="Z316" s="5"/>
      <c r="AA316" s="5"/>
      <c r="AB316" s="5"/>
      <c r="AC316" s="5"/>
    </row>
    <row r="317" spans="1:29" ht="12.75" customHeight="1">
      <c r="A317" s="5"/>
      <c r="B317" s="5"/>
      <c r="C317" s="5"/>
      <c r="D317" s="5"/>
      <c r="E317" s="5"/>
      <c r="F317" s="5"/>
      <c r="G317" s="5"/>
      <c r="H317" s="306"/>
      <c r="I317" s="306"/>
      <c r="J317" s="5"/>
      <c r="K317" s="5"/>
      <c r="L317" s="306"/>
      <c r="M317" s="5"/>
      <c r="N317" s="5"/>
      <c r="O317" s="5"/>
      <c r="P317" s="5"/>
      <c r="Q317" s="5"/>
      <c r="R317" s="57"/>
      <c r="S317" s="5"/>
      <c r="T317" s="5"/>
      <c r="U317" s="5"/>
      <c r="V317" s="5"/>
      <c r="W317" s="5"/>
      <c r="X317" s="5"/>
      <c r="Y317" s="5"/>
      <c r="Z317" s="5"/>
      <c r="AA317" s="5"/>
      <c r="AB317" s="5"/>
      <c r="AC317" s="5"/>
    </row>
    <row r="318" spans="1:29" ht="12.75" customHeight="1">
      <c r="A318" s="5"/>
      <c r="B318" s="5"/>
      <c r="C318" s="5"/>
      <c r="D318" s="5"/>
      <c r="E318" s="5"/>
      <c r="F318" s="5"/>
      <c r="G318" s="5"/>
      <c r="H318" s="306"/>
      <c r="I318" s="306"/>
      <c r="J318" s="5"/>
      <c r="K318" s="5"/>
      <c r="L318" s="306"/>
      <c r="M318" s="5"/>
      <c r="N318" s="5"/>
      <c r="O318" s="5"/>
      <c r="P318" s="5"/>
      <c r="Q318" s="5"/>
      <c r="R318" s="57"/>
      <c r="S318" s="5"/>
      <c r="T318" s="5"/>
      <c r="U318" s="5"/>
      <c r="V318" s="5"/>
      <c r="W318" s="5"/>
      <c r="X318" s="5"/>
      <c r="Y318" s="5"/>
      <c r="Z318" s="5"/>
      <c r="AA318" s="5"/>
      <c r="AB318" s="5"/>
      <c r="AC318" s="5"/>
    </row>
    <row r="319" spans="1:29" ht="12.75" customHeight="1">
      <c r="A319" s="5"/>
      <c r="B319" s="5"/>
      <c r="C319" s="5"/>
      <c r="D319" s="5"/>
      <c r="E319" s="5"/>
      <c r="F319" s="5"/>
      <c r="G319" s="5"/>
      <c r="H319" s="306"/>
      <c r="I319" s="306"/>
      <c r="J319" s="5"/>
      <c r="K319" s="5"/>
      <c r="L319" s="306"/>
      <c r="M319" s="5"/>
      <c r="N319" s="5"/>
      <c r="O319" s="5"/>
      <c r="P319" s="5"/>
      <c r="Q319" s="5"/>
      <c r="R319" s="57"/>
      <c r="S319" s="5"/>
      <c r="T319" s="5"/>
      <c r="U319" s="5"/>
      <c r="V319" s="5"/>
      <c r="W319" s="5"/>
      <c r="X319" s="5"/>
      <c r="Y319" s="5"/>
      <c r="Z319" s="5"/>
      <c r="AA319" s="5"/>
      <c r="AB319" s="5"/>
      <c r="AC319" s="5"/>
    </row>
    <row r="320" spans="1:29" ht="12.75" customHeight="1">
      <c r="A320" s="5"/>
      <c r="B320" s="5"/>
      <c r="C320" s="5"/>
      <c r="D320" s="5"/>
      <c r="E320" s="5"/>
      <c r="F320" s="5"/>
      <c r="G320" s="5"/>
      <c r="H320" s="306"/>
      <c r="I320" s="306"/>
      <c r="J320" s="5"/>
      <c r="K320" s="5"/>
      <c r="L320" s="306"/>
      <c r="M320" s="5"/>
      <c r="N320" s="5"/>
      <c r="O320" s="5"/>
      <c r="P320" s="5"/>
      <c r="Q320" s="5"/>
      <c r="R320" s="57"/>
      <c r="S320" s="5"/>
      <c r="T320" s="5"/>
      <c r="U320" s="5"/>
      <c r="V320" s="5"/>
      <c r="W320" s="5"/>
      <c r="X320" s="5"/>
      <c r="Y320" s="5"/>
      <c r="Z320" s="5"/>
      <c r="AA320" s="5"/>
      <c r="AB320" s="5"/>
      <c r="AC320" s="5"/>
    </row>
    <row r="321" spans="1:29" ht="12.75" customHeight="1">
      <c r="A321" s="5"/>
      <c r="B321" s="5"/>
      <c r="C321" s="5"/>
      <c r="D321" s="5"/>
      <c r="E321" s="5"/>
      <c r="F321" s="5"/>
      <c r="G321" s="5"/>
      <c r="H321" s="306"/>
      <c r="I321" s="306"/>
      <c r="J321" s="5"/>
      <c r="K321" s="5"/>
      <c r="L321" s="306"/>
      <c r="M321" s="5"/>
      <c r="N321" s="5"/>
      <c r="O321" s="5"/>
      <c r="P321" s="5"/>
      <c r="Q321" s="5"/>
      <c r="R321" s="57"/>
      <c r="S321" s="5"/>
      <c r="T321" s="5"/>
      <c r="U321" s="5"/>
      <c r="V321" s="5"/>
      <c r="W321" s="5"/>
      <c r="X321" s="5"/>
      <c r="Y321" s="5"/>
      <c r="Z321" s="5"/>
      <c r="AA321" s="5"/>
      <c r="AB321" s="5"/>
      <c r="AC321" s="5"/>
    </row>
    <row r="322" spans="1:29" ht="12.75" customHeight="1">
      <c r="A322" s="5"/>
      <c r="B322" s="5"/>
      <c r="C322" s="5"/>
      <c r="D322" s="5"/>
      <c r="E322" s="5"/>
      <c r="F322" s="5"/>
      <c r="G322" s="5"/>
      <c r="H322" s="306"/>
      <c r="I322" s="306"/>
      <c r="J322" s="5"/>
      <c r="K322" s="5"/>
      <c r="L322" s="306"/>
      <c r="M322" s="5"/>
      <c r="N322" s="5"/>
      <c r="O322" s="5"/>
      <c r="P322" s="5"/>
      <c r="Q322" s="5"/>
      <c r="R322" s="57"/>
      <c r="S322" s="5"/>
      <c r="T322" s="5"/>
      <c r="U322" s="5"/>
      <c r="V322" s="5"/>
      <c r="W322" s="5"/>
      <c r="X322" s="5"/>
      <c r="Y322" s="5"/>
      <c r="Z322" s="5"/>
      <c r="AA322" s="5"/>
      <c r="AB322" s="5"/>
      <c r="AC322" s="5"/>
    </row>
    <row r="323" spans="1:29" ht="12.75" customHeight="1">
      <c r="A323" s="5"/>
      <c r="B323" s="5"/>
      <c r="C323" s="5"/>
      <c r="D323" s="5"/>
      <c r="E323" s="5"/>
      <c r="F323" s="5"/>
      <c r="G323" s="5"/>
      <c r="H323" s="306"/>
      <c r="I323" s="306"/>
      <c r="J323" s="5"/>
      <c r="K323" s="5"/>
      <c r="L323" s="306"/>
      <c r="M323" s="5"/>
      <c r="N323" s="5"/>
      <c r="O323" s="5"/>
      <c r="P323" s="5"/>
      <c r="Q323" s="5"/>
      <c r="R323" s="57"/>
      <c r="S323" s="5"/>
      <c r="T323" s="5"/>
      <c r="U323" s="5"/>
      <c r="V323" s="5"/>
      <c r="W323" s="5"/>
      <c r="X323" s="5"/>
      <c r="Y323" s="5"/>
      <c r="Z323" s="5"/>
      <c r="AA323" s="5"/>
      <c r="AB323" s="5"/>
      <c r="AC323" s="5"/>
    </row>
    <row r="324" spans="1:29" ht="12.75" customHeight="1">
      <c r="A324" s="5"/>
      <c r="B324" s="5"/>
      <c r="C324" s="5"/>
      <c r="D324" s="5"/>
      <c r="E324" s="5"/>
      <c r="F324" s="5"/>
      <c r="G324" s="5"/>
      <c r="H324" s="306"/>
      <c r="I324" s="306"/>
      <c r="J324" s="5"/>
      <c r="K324" s="5"/>
      <c r="L324" s="306"/>
      <c r="M324" s="5"/>
      <c r="N324" s="5"/>
      <c r="O324" s="5"/>
      <c r="P324" s="5"/>
      <c r="Q324" s="5"/>
      <c r="R324" s="57"/>
      <c r="S324" s="5"/>
      <c r="T324" s="5"/>
      <c r="U324" s="5"/>
      <c r="V324" s="5"/>
      <c r="W324" s="5"/>
      <c r="X324" s="5"/>
      <c r="Y324" s="5"/>
      <c r="Z324" s="5"/>
      <c r="AA324" s="5"/>
      <c r="AB324" s="5"/>
      <c r="AC324" s="5"/>
    </row>
    <row r="325" spans="1:29" ht="12.75" customHeight="1">
      <c r="A325" s="5"/>
      <c r="B325" s="5"/>
      <c r="C325" s="5"/>
      <c r="D325" s="5"/>
      <c r="E325" s="5"/>
      <c r="F325" s="5"/>
      <c r="G325" s="5"/>
      <c r="H325" s="306"/>
      <c r="I325" s="306"/>
      <c r="J325" s="5"/>
      <c r="K325" s="5"/>
      <c r="L325" s="306"/>
      <c r="M325" s="5"/>
      <c r="N325" s="5"/>
      <c r="O325" s="5"/>
      <c r="P325" s="5"/>
      <c r="Q325" s="5"/>
      <c r="R325" s="57"/>
      <c r="S325" s="5"/>
      <c r="T325" s="5"/>
      <c r="U325" s="5"/>
      <c r="V325" s="5"/>
      <c r="W325" s="5"/>
      <c r="X325" s="5"/>
      <c r="Y325" s="5"/>
      <c r="Z325" s="5"/>
      <c r="AA325" s="5"/>
      <c r="AB325" s="5"/>
      <c r="AC325" s="5"/>
    </row>
    <row r="326" spans="1:29" ht="12.75" customHeight="1">
      <c r="A326" s="5"/>
      <c r="B326" s="5"/>
      <c r="C326" s="5"/>
      <c r="D326" s="5"/>
      <c r="E326" s="5"/>
      <c r="F326" s="5"/>
      <c r="G326" s="5"/>
      <c r="H326" s="306"/>
      <c r="I326" s="306"/>
      <c r="J326" s="5"/>
      <c r="K326" s="5"/>
      <c r="L326" s="306"/>
      <c r="M326" s="5"/>
      <c r="N326" s="5"/>
      <c r="O326" s="5"/>
      <c r="P326" s="5"/>
      <c r="Q326" s="5"/>
      <c r="R326" s="57"/>
      <c r="S326" s="5"/>
      <c r="T326" s="5"/>
      <c r="U326" s="5"/>
      <c r="V326" s="5"/>
      <c r="W326" s="5"/>
      <c r="X326" s="5"/>
      <c r="Y326" s="5"/>
      <c r="Z326" s="5"/>
      <c r="AA326" s="5"/>
      <c r="AB326" s="5"/>
      <c r="AC326" s="5"/>
    </row>
    <row r="327" spans="1:29" ht="12.75" customHeight="1">
      <c r="A327" s="5"/>
      <c r="B327" s="5"/>
      <c r="C327" s="5"/>
      <c r="D327" s="5"/>
      <c r="E327" s="5"/>
      <c r="F327" s="5"/>
      <c r="G327" s="5"/>
      <c r="H327" s="306"/>
      <c r="I327" s="306"/>
      <c r="J327" s="5"/>
      <c r="K327" s="5"/>
      <c r="L327" s="306"/>
      <c r="M327" s="5"/>
      <c r="N327" s="5"/>
      <c r="O327" s="5"/>
      <c r="P327" s="5"/>
      <c r="Q327" s="5"/>
      <c r="R327" s="57"/>
      <c r="S327" s="5"/>
      <c r="T327" s="5"/>
      <c r="U327" s="5"/>
      <c r="V327" s="5"/>
      <c r="W327" s="5"/>
      <c r="X327" s="5"/>
      <c r="Y327" s="5"/>
      <c r="Z327" s="5"/>
      <c r="AA327" s="5"/>
      <c r="AB327" s="5"/>
      <c r="AC327" s="5"/>
    </row>
    <row r="328" spans="1:29" ht="12.75" customHeight="1">
      <c r="A328" s="5"/>
      <c r="B328" s="5"/>
      <c r="C328" s="5"/>
      <c r="D328" s="5"/>
      <c r="E328" s="5"/>
      <c r="F328" s="5"/>
      <c r="G328" s="5"/>
      <c r="H328" s="306"/>
      <c r="I328" s="306"/>
      <c r="J328" s="5"/>
      <c r="K328" s="5"/>
      <c r="L328" s="306"/>
      <c r="M328" s="5"/>
      <c r="N328" s="5"/>
      <c r="O328" s="5"/>
      <c r="P328" s="5"/>
      <c r="Q328" s="5"/>
      <c r="R328" s="57"/>
      <c r="S328" s="5"/>
      <c r="T328" s="5"/>
      <c r="U328" s="5"/>
      <c r="V328" s="5"/>
      <c r="W328" s="5"/>
      <c r="X328" s="5"/>
      <c r="Y328" s="5"/>
      <c r="Z328" s="5"/>
      <c r="AA328" s="5"/>
      <c r="AB328" s="5"/>
      <c r="AC328" s="5"/>
    </row>
    <row r="329" spans="1:29" ht="12.75" customHeight="1">
      <c r="A329" s="5"/>
      <c r="B329" s="5"/>
      <c r="C329" s="5"/>
      <c r="D329" s="5"/>
      <c r="E329" s="5"/>
      <c r="F329" s="5"/>
      <c r="G329" s="5"/>
      <c r="H329" s="306"/>
      <c r="I329" s="306"/>
      <c r="J329" s="5"/>
      <c r="K329" s="5"/>
      <c r="L329" s="306"/>
      <c r="M329" s="5"/>
      <c r="N329" s="5"/>
      <c r="O329" s="5"/>
      <c r="P329" s="5"/>
      <c r="Q329" s="5"/>
      <c r="R329" s="57"/>
      <c r="S329" s="5"/>
      <c r="T329" s="5"/>
      <c r="U329" s="5"/>
      <c r="V329" s="5"/>
      <c r="W329" s="5"/>
      <c r="X329" s="5"/>
      <c r="Y329" s="5"/>
      <c r="Z329" s="5"/>
      <c r="AA329" s="5"/>
      <c r="AB329" s="5"/>
      <c r="AC329" s="5"/>
    </row>
    <row r="330" spans="1:29" ht="12.75" customHeight="1">
      <c r="A330" s="5"/>
      <c r="B330" s="5"/>
      <c r="C330" s="5"/>
      <c r="D330" s="5"/>
      <c r="E330" s="5"/>
      <c r="F330" s="5"/>
      <c r="G330" s="5"/>
      <c r="H330" s="306"/>
      <c r="I330" s="306"/>
      <c r="J330" s="5"/>
      <c r="K330" s="5"/>
      <c r="L330" s="306"/>
      <c r="M330" s="5"/>
      <c r="N330" s="5"/>
      <c r="O330" s="5"/>
      <c r="P330" s="5"/>
      <c r="Q330" s="5"/>
      <c r="R330" s="57"/>
      <c r="S330" s="5"/>
      <c r="T330" s="5"/>
      <c r="U330" s="5"/>
      <c r="V330" s="5"/>
      <c r="W330" s="5"/>
      <c r="X330" s="5"/>
      <c r="Y330" s="5"/>
      <c r="Z330" s="5"/>
      <c r="AA330" s="5"/>
      <c r="AB330" s="5"/>
      <c r="AC330" s="5"/>
    </row>
    <row r="331" spans="1:29" ht="12.75" customHeight="1">
      <c r="A331" s="5"/>
      <c r="B331" s="5"/>
      <c r="C331" s="5"/>
      <c r="D331" s="5"/>
      <c r="E331" s="5"/>
      <c r="F331" s="5"/>
      <c r="G331" s="5"/>
      <c r="H331" s="306"/>
      <c r="I331" s="306"/>
      <c r="J331" s="5"/>
      <c r="K331" s="5"/>
      <c r="L331" s="306"/>
      <c r="M331" s="5"/>
      <c r="N331" s="5"/>
      <c r="O331" s="5"/>
      <c r="P331" s="5"/>
      <c r="Q331" s="5"/>
      <c r="R331" s="57"/>
      <c r="S331" s="5"/>
      <c r="T331" s="5"/>
      <c r="U331" s="5"/>
      <c r="V331" s="5"/>
      <c r="W331" s="5"/>
      <c r="X331" s="5"/>
      <c r="Y331" s="5"/>
      <c r="Z331" s="5"/>
      <c r="AA331" s="5"/>
      <c r="AB331" s="5"/>
      <c r="AC331" s="5"/>
    </row>
    <row r="332" spans="1:29" ht="12.75" customHeight="1">
      <c r="A332" s="5"/>
      <c r="B332" s="5"/>
      <c r="C332" s="5"/>
      <c r="D332" s="5"/>
      <c r="E332" s="5"/>
      <c r="F332" s="5"/>
      <c r="G332" s="5"/>
      <c r="H332" s="306"/>
      <c r="I332" s="306"/>
      <c r="J332" s="5"/>
      <c r="K332" s="5"/>
      <c r="L332" s="306"/>
      <c r="M332" s="5"/>
      <c r="N332" s="5"/>
      <c r="O332" s="5"/>
      <c r="P332" s="5"/>
      <c r="Q332" s="5"/>
      <c r="R332" s="57"/>
      <c r="S332" s="5"/>
      <c r="T332" s="5"/>
      <c r="U332" s="5"/>
      <c r="V332" s="5"/>
      <c r="W332" s="5"/>
      <c r="X332" s="5"/>
      <c r="Y332" s="5"/>
      <c r="Z332" s="5"/>
      <c r="AA332" s="5"/>
      <c r="AB332" s="5"/>
      <c r="AC332" s="5"/>
    </row>
    <row r="333" spans="1:29" ht="12.75" customHeight="1">
      <c r="A333" s="5"/>
      <c r="B333" s="5"/>
      <c r="C333" s="5"/>
      <c r="D333" s="5"/>
      <c r="E333" s="5"/>
      <c r="F333" s="5"/>
      <c r="G333" s="5"/>
      <c r="H333" s="306"/>
      <c r="I333" s="306"/>
      <c r="J333" s="5"/>
      <c r="K333" s="5"/>
      <c r="L333" s="306"/>
      <c r="M333" s="5"/>
      <c r="N333" s="5"/>
      <c r="O333" s="5"/>
      <c r="P333" s="5"/>
      <c r="Q333" s="5"/>
      <c r="R333" s="57"/>
      <c r="S333" s="5"/>
      <c r="T333" s="5"/>
      <c r="U333" s="5"/>
      <c r="V333" s="5"/>
      <c r="W333" s="5"/>
      <c r="X333" s="5"/>
      <c r="Y333" s="5"/>
      <c r="Z333" s="5"/>
      <c r="AA333" s="5"/>
      <c r="AB333" s="5"/>
      <c r="AC333" s="5"/>
    </row>
    <row r="334" spans="1:29" ht="12.75" customHeight="1">
      <c r="A334" s="5"/>
      <c r="B334" s="5"/>
      <c r="C334" s="5"/>
      <c r="D334" s="5"/>
      <c r="E334" s="5"/>
      <c r="F334" s="5"/>
      <c r="G334" s="5"/>
      <c r="H334" s="306"/>
      <c r="I334" s="306"/>
      <c r="J334" s="5"/>
      <c r="K334" s="5"/>
      <c r="L334" s="306"/>
      <c r="M334" s="5"/>
      <c r="N334" s="5"/>
      <c r="O334" s="5"/>
      <c r="P334" s="5"/>
      <c r="Q334" s="5"/>
      <c r="R334" s="57"/>
      <c r="S334" s="5"/>
      <c r="T334" s="5"/>
      <c r="U334" s="5"/>
      <c r="V334" s="5"/>
      <c r="W334" s="5"/>
      <c r="X334" s="5"/>
      <c r="Y334" s="5"/>
      <c r="Z334" s="5"/>
      <c r="AA334" s="5"/>
      <c r="AB334" s="5"/>
      <c r="AC334" s="5"/>
    </row>
    <row r="335" spans="1:29" ht="12.75" customHeight="1">
      <c r="A335" s="5"/>
      <c r="B335" s="5"/>
      <c r="C335" s="5"/>
      <c r="D335" s="5"/>
      <c r="E335" s="5"/>
      <c r="F335" s="5"/>
      <c r="G335" s="5"/>
      <c r="H335" s="306"/>
      <c r="I335" s="306"/>
      <c r="J335" s="5"/>
      <c r="K335" s="5"/>
      <c r="L335" s="306"/>
      <c r="M335" s="5"/>
      <c r="N335" s="5"/>
      <c r="O335" s="5"/>
      <c r="P335" s="5"/>
      <c r="Q335" s="5"/>
      <c r="R335" s="57"/>
      <c r="S335" s="5"/>
      <c r="T335" s="5"/>
      <c r="U335" s="5"/>
      <c r="V335" s="5"/>
      <c r="W335" s="5"/>
      <c r="X335" s="5"/>
      <c r="Y335" s="5"/>
      <c r="Z335" s="5"/>
      <c r="AA335" s="5"/>
      <c r="AB335" s="5"/>
      <c r="AC335" s="5"/>
    </row>
    <row r="336" spans="1:29" ht="12.75" customHeight="1">
      <c r="A336" s="5"/>
      <c r="B336" s="5"/>
      <c r="C336" s="5"/>
      <c r="D336" s="5"/>
      <c r="E336" s="5"/>
      <c r="F336" s="5"/>
      <c r="G336" s="5"/>
      <c r="H336" s="306"/>
      <c r="I336" s="306"/>
      <c r="J336" s="5"/>
      <c r="K336" s="5"/>
      <c r="L336" s="306"/>
      <c r="M336" s="5"/>
      <c r="N336" s="5"/>
      <c r="O336" s="5"/>
      <c r="P336" s="5"/>
      <c r="Q336" s="5"/>
      <c r="R336" s="57"/>
      <c r="S336" s="5"/>
      <c r="T336" s="5"/>
      <c r="U336" s="5"/>
      <c r="V336" s="5"/>
      <c r="W336" s="5"/>
      <c r="X336" s="5"/>
      <c r="Y336" s="5"/>
      <c r="Z336" s="5"/>
      <c r="AA336" s="5"/>
      <c r="AB336" s="5"/>
      <c r="AC336" s="5"/>
    </row>
    <row r="337" spans="1:29" ht="12.75" customHeight="1">
      <c r="A337" s="5"/>
      <c r="B337" s="5"/>
      <c r="C337" s="5"/>
      <c r="D337" s="5"/>
      <c r="E337" s="5"/>
      <c r="F337" s="5"/>
      <c r="G337" s="5"/>
      <c r="H337" s="306"/>
      <c r="I337" s="306"/>
      <c r="J337" s="5"/>
      <c r="K337" s="5"/>
      <c r="L337" s="306"/>
      <c r="M337" s="5"/>
      <c r="N337" s="5"/>
      <c r="O337" s="5"/>
      <c r="P337" s="5"/>
      <c r="Q337" s="5"/>
      <c r="R337" s="57"/>
      <c r="S337" s="5"/>
      <c r="T337" s="5"/>
      <c r="U337" s="5"/>
      <c r="V337" s="5"/>
      <c r="W337" s="5"/>
      <c r="X337" s="5"/>
      <c r="Y337" s="5"/>
      <c r="Z337" s="5"/>
      <c r="AA337" s="5"/>
      <c r="AB337" s="5"/>
      <c r="AC337" s="5"/>
    </row>
    <row r="338" spans="1:29" ht="12.75" customHeight="1">
      <c r="A338" s="5"/>
      <c r="B338" s="5"/>
      <c r="C338" s="5"/>
      <c r="D338" s="5"/>
      <c r="E338" s="5"/>
      <c r="F338" s="5"/>
      <c r="G338" s="5"/>
      <c r="H338" s="306"/>
      <c r="I338" s="306"/>
      <c r="J338" s="5"/>
      <c r="K338" s="5"/>
      <c r="L338" s="306"/>
      <c r="M338" s="5"/>
      <c r="N338" s="5"/>
      <c r="O338" s="5"/>
      <c r="P338" s="5"/>
      <c r="Q338" s="5"/>
      <c r="R338" s="57"/>
      <c r="S338" s="5"/>
      <c r="T338" s="5"/>
      <c r="U338" s="5"/>
      <c r="V338" s="5"/>
      <c r="W338" s="5"/>
      <c r="X338" s="5"/>
      <c r="Y338" s="5"/>
      <c r="Z338" s="5"/>
      <c r="AA338" s="5"/>
      <c r="AB338" s="5"/>
      <c r="AC338" s="5"/>
    </row>
    <row r="339" spans="1:29" ht="12.75" customHeight="1">
      <c r="A339" s="5"/>
      <c r="B339" s="5"/>
      <c r="C339" s="5"/>
      <c r="D339" s="5"/>
      <c r="E339" s="5"/>
      <c r="F339" s="5"/>
      <c r="G339" s="5"/>
      <c r="H339" s="306"/>
      <c r="I339" s="306"/>
      <c r="J339" s="5"/>
      <c r="K339" s="5"/>
      <c r="L339" s="306"/>
      <c r="M339" s="5"/>
      <c r="N339" s="5"/>
      <c r="O339" s="5"/>
      <c r="P339" s="5"/>
      <c r="Q339" s="5"/>
      <c r="R339" s="57"/>
      <c r="S339" s="5"/>
      <c r="T339" s="5"/>
      <c r="U339" s="5"/>
      <c r="V339" s="5"/>
      <c r="W339" s="5"/>
      <c r="X339" s="5"/>
      <c r="Y339" s="5"/>
      <c r="Z339" s="5"/>
      <c r="AA339" s="5"/>
      <c r="AB339" s="5"/>
      <c r="AC339" s="5"/>
    </row>
    <row r="340" spans="1:29" ht="12.75" customHeight="1">
      <c r="A340" s="5"/>
      <c r="B340" s="5"/>
      <c r="C340" s="5"/>
      <c r="D340" s="5"/>
      <c r="E340" s="5"/>
      <c r="F340" s="5"/>
      <c r="G340" s="5"/>
      <c r="H340" s="306"/>
      <c r="I340" s="306"/>
      <c r="J340" s="5"/>
      <c r="K340" s="5"/>
      <c r="L340" s="306"/>
      <c r="M340" s="5"/>
      <c r="N340" s="5"/>
      <c r="O340" s="5"/>
      <c r="P340" s="5"/>
      <c r="Q340" s="5"/>
      <c r="R340" s="57"/>
      <c r="S340" s="5"/>
      <c r="T340" s="5"/>
      <c r="U340" s="5"/>
      <c r="V340" s="5"/>
      <c r="W340" s="5"/>
      <c r="X340" s="5"/>
      <c r="Y340" s="5"/>
      <c r="Z340" s="5"/>
      <c r="AA340" s="5"/>
      <c r="AB340" s="5"/>
      <c r="AC340" s="5"/>
    </row>
    <row r="341" spans="1:29" ht="12.75" customHeight="1">
      <c r="A341" s="5"/>
      <c r="B341" s="5"/>
      <c r="C341" s="5"/>
      <c r="D341" s="5"/>
      <c r="E341" s="5"/>
      <c r="F341" s="5"/>
      <c r="G341" s="5"/>
      <c r="H341" s="306"/>
      <c r="I341" s="306"/>
      <c r="J341" s="5"/>
      <c r="K341" s="5"/>
      <c r="L341" s="306"/>
      <c r="M341" s="5"/>
      <c r="N341" s="5"/>
      <c r="O341" s="5"/>
      <c r="P341" s="5"/>
      <c r="Q341" s="5"/>
      <c r="R341" s="57"/>
      <c r="S341" s="5"/>
      <c r="T341" s="5"/>
      <c r="U341" s="5"/>
      <c r="V341" s="5"/>
      <c r="W341" s="5"/>
      <c r="X341" s="5"/>
      <c r="Y341" s="5"/>
      <c r="Z341" s="5"/>
      <c r="AA341" s="5"/>
      <c r="AB341" s="5"/>
      <c r="AC341" s="5"/>
    </row>
    <row r="342" spans="1:29" ht="12.75" customHeight="1">
      <c r="A342" s="5"/>
      <c r="B342" s="5"/>
      <c r="C342" s="5"/>
      <c r="D342" s="5"/>
      <c r="E342" s="5"/>
      <c r="F342" s="5"/>
      <c r="G342" s="5"/>
      <c r="H342" s="306"/>
      <c r="I342" s="306"/>
      <c r="J342" s="5"/>
      <c r="K342" s="5"/>
      <c r="L342" s="306"/>
      <c r="M342" s="5"/>
      <c r="N342" s="5"/>
      <c r="O342" s="5"/>
      <c r="P342" s="5"/>
      <c r="Q342" s="5"/>
      <c r="R342" s="57"/>
      <c r="S342" s="5"/>
      <c r="T342" s="5"/>
      <c r="U342" s="5"/>
      <c r="V342" s="5"/>
      <c r="W342" s="5"/>
      <c r="X342" s="5"/>
      <c r="Y342" s="5"/>
      <c r="Z342" s="5"/>
      <c r="AA342" s="5"/>
      <c r="AB342" s="5"/>
      <c r="AC342" s="5"/>
    </row>
    <row r="343" spans="1:29" ht="12.75" customHeight="1">
      <c r="A343" s="5"/>
      <c r="B343" s="5"/>
      <c r="C343" s="5"/>
      <c r="D343" s="5"/>
      <c r="E343" s="5"/>
      <c r="F343" s="5"/>
      <c r="G343" s="5"/>
      <c r="H343" s="306"/>
      <c r="I343" s="306"/>
      <c r="J343" s="5"/>
      <c r="K343" s="5"/>
      <c r="L343" s="306"/>
      <c r="M343" s="5"/>
      <c r="N343" s="5"/>
      <c r="O343" s="5"/>
      <c r="P343" s="5"/>
      <c r="Q343" s="5"/>
      <c r="R343" s="57"/>
      <c r="S343" s="5"/>
      <c r="T343" s="5"/>
      <c r="U343" s="5"/>
      <c r="V343" s="5"/>
      <c r="W343" s="5"/>
      <c r="X343" s="5"/>
      <c r="Y343" s="5"/>
      <c r="Z343" s="5"/>
      <c r="AA343" s="5"/>
      <c r="AB343" s="5"/>
      <c r="AC343" s="5"/>
    </row>
    <row r="344" spans="1:29" ht="12.75" customHeight="1">
      <c r="A344" s="5"/>
      <c r="B344" s="5"/>
      <c r="C344" s="5"/>
      <c r="D344" s="5"/>
      <c r="E344" s="5"/>
      <c r="F344" s="5"/>
      <c r="G344" s="5"/>
      <c r="H344" s="306"/>
      <c r="I344" s="306"/>
      <c r="J344" s="5"/>
      <c r="K344" s="5"/>
      <c r="L344" s="306"/>
      <c r="M344" s="5"/>
      <c r="N344" s="5"/>
      <c r="O344" s="5"/>
      <c r="P344" s="5"/>
      <c r="Q344" s="5"/>
      <c r="R344" s="57"/>
      <c r="S344" s="5"/>
      <c r="T344" s="5"/>
      <c r="U344" s="5"/>
      <c r="V344" s="5"/>
      <c r="W344" s="5"/>
      <c r="X344" s="5"/>
      <c r="Y344" s="5"/>
      <c r="Z344" s="5"/>
      <c r="AA344" s="5"/>
      <c r="AB344" s="5"/>
      <c r="AC344" s="5"/>
    </row>
    <row r="345" spans="1:29" ht="12.75" customHeight="1">
      <c r="A345" s="5"/>
      <c r="B345" s="5"/>
      <c r="C345" s="5"/>
      <c r="D345" s="5"/>
      <c r="E345" s="5"/>
      <c r="F345" s="5"/>
      <c r="G345" s="5"/>
      <c r="H345" s="306"/>
      <c r="I345" s="306"/>
      <c r="J345" s="5"/>
      <c r="K345" s="5"/>
      <c r="L345" s="306"/>
      <c r="M345" s="5"/>
      <c r="N345" s="5"/>
      <c r="O345" s="5"/>
      <c r="P345" s="5"/>
      <c r="Q345" s="5"/>
      <c r="R345" s="57"/>
      <c r="S345" s="5"/>
      <c r="T345" s="5"/>
      <c r="U345" s="5"/>
      <c r="V345" s="5"/>
      <c r="W345" s="5"/>
      <c r="X345" s="5"/>
      <c r="Y345" s="5"/>
      <c r="Z345" s="5"/>
      <c r="AA345" s="5"/>
      <c r="AB345" s="5"/>
      <c r="AC345" s="5"/>
    </row>
    <row r="346" spans="1:29" ht="12.75" customHeight="1">
      <c r="A346" s="5"/>
      <c r="B346" s="5"/>
      <c r="C346" s="5"/>
      <c r="D346" s="5"/>
      <c r="E346" s="5"/>
      <c r="F346" s="5"/>
      <c r="G346" s="5"/>
      <c r="H346" s="306"/>
      <c r="I346" s="306"/>
      <c r="J346" s="5"/>
      <c r="K346" s="5"/>
      <c r="L346" s="306"/>
      <c r="M346" s="5"/>
      <c r="N346" s="5"/>
      <c r="O346" s="5"/>
      <c r="P346" s="5"/>
      <c r="Q346" s="5"/>
      <c r="R346" s="57"/>
      <c r="S346" s="5"/>
      <c r="T346" s="5"/>
      <c r="U346" s="5"/>
      <c r="V346" s="5"/>
      <c r="W346" s="5"/>
      <c r="X346" s="5"/>
      <c r="Y346" s="5"/>
      <c r="Z346" s="5"/>
      <c r="AA346" s="5"/>
      <c r="AB346" s="5"/>
      <c r="AC346" s="5"/>
    </row>
    <row r="347" spans="1:29" ht="12.75" customHeight="1">
      <c r="A347" s="5"/>
      <c r="B347" s="5"/>
      <c r="C347" s="5"/>
      <c r="D347" s="5"/>
      <c r="E347" s="5"/>
      <c r="F347" s="5"/>
      <c r="G347" s="5"/>
      <c r="H347" s="306"/>
      <c r="I347" s="306"/>
      <c r="J347" s="5"/>
      <c r="K347" s="5"/>
      <c r="L347" s="306"/>
      <c r="M347" s="5"/>
      <c r="N347" s="5"/>
      <c r="O347" s="5"/>
      <c r="P347" s="5"/>
      <c r="Q347" s="5"/>
      <c r="R347" s="57"/>
      <c r="S347" s="5"/>
      <c r="T347" s="5"/>
      <c r="U347" s="5"/>
      <c r="V347" s="5"/>
      <c r="W347" s="5"/>
      <c r="X347" s="5"/>
      <c r="Y347" s="5"/>
      <c r="Z347" s="5"/>
      <c r="AA347" s="5"/>
      <c r="AB347" s="5"/>
      <c r="AC347" s="5"/>
    </row>
    <row r="348" spans="1:29" ht="12.75" customHeight="1">
      <c r="A348" s="5"/>
      <c r="B348" s="5"/>
      <c r="C348" s="5"/>
      <c r="D348" s="5"/>
      <c r="E348" s="5"/>
      <c r="F348" s="5"/>
      <c r="G348" s="5"/>
      <c r="H348" s="306"/>
      <c r="I348" s="306"/>
      <c r="J348" s="5"/>
      <c r="K348" s="5"/>
      <c r="L348" s="306"/>
      <c r="M348" s="5"/>
      <c r="N348" s="5"/>
      <c r="O348" s="5"/>
      <c r="P348" s="5"/>
      <c r="Q348" s="5"/>
      <c r="R348" s="57"/>
      <c r="S348" s="5"/>
      <c r="T348" s="5"/>
      <c r="U348" s="5"/>
      <c r="V348" s="5"/>
      <c r="W348" s="5"/>
      <c r="X348" s="5"/>
      <c r="Y348" s="5"/>
      <c r="Z348" s="5"/>
      <c r="AA348" s="5"/>
      <c r="AB348" s="5"/>
      <c r="AC348" s="5"/>
    </row>
    <row r="349" spans="1:29" ht="12.75" customHeight="1">
      <c r="A349" s="5"/>
      <c r="B349" s="5"/>
      <c r="C349" s="5"/>
      <c r="D349" s="5"/>
      <c r="E349" s="5"/>
      <c r="F349" s="5"/>
      <c r="G349" s="5"/>
      <c r="H349" s="306"/>
      <c r="I349" s="306"/>
      <c r="J349" s="5"/>
      <c r="K349" s="5"/>
      <c r="L349" s="306"/>
      <c r="M349" s="5"/>
      <c r="N349" s="5"/>
      <c r="O349" s="5"/>
      <c r="P349" s="5"/>
      <c r="Q349" s="5"/>
      <c r="R349" s="57"/>
      <c r="S349" s="5"/>
      <c r="T349" s="5"/>
      <c r="U349" s="5"/>
      <c r="V349" s="5"/>
      <c r="W349" s="5"/>
      <c r="X349" s="5"/>
      <c r="Y349" s="5"/>
      <c r="Z349" s="5"/>
      <c r="AA349" s="5"/>
      <c r="AB349" s="5"/>
      <c r="AC349" s="5"/>
    </row>
    <row r="350" spans="1:29" ht="12.75" customHeight="1">
      <c r="A350" s="5"/>
      <c r="B350" s="5"/>
      <c r="C350" s="5"/>
      <c r="D350" s="5"/>
      <c r="E350" s="5"/>
      <c r="F350" s="5"/>
      <c r="G350" s="5"/>
      <c r="H350" s="306"/>
      <c r="I350" s="306"/>
      <c r="J350" s="5"/>
      <c r="K350" s="5"/>
      <c r="L350" s="306"/>
      <c r="M350" s="5"/>
      <c r="N350" s="5"/>
      <c r="O350" s="5"/>
      <c r="P350" s="5"/>
      <c r="Q350" s="5"/>
      <c r="R350" s="57"/>
      <c r="S350" s="5"/>
      <c r="T350" s="5"/>
      <c r="U350" s="5"/>
      <c r="V350" s="5"/>
      <c r="W350" s="5"/>
      <c r="X350" s="5"/>
      <c r="Y350" s="5"/>
      <c r="Z350" s="5"/>
      <c r="AA350" s="5"/>
      <c r="AB350" s="5"/>
      <c r="AC350" s="5"/>
    </row>
    <row r="351" spans="1:29" ht="12.75" customHeight="1">
      <c r="A351" s="5"/>
      <c r="B351" s="5"/>
      <c r="C351" s="5"/>
      <c r="D351" s="5"/>
      <c r="E351" s="5"/>
      <c r="F351" s="5"/>
      <c r="G351" s="5"/>
      <c r="H351" s="306"/>
      <c r="I351" s="306"/>
      <c r="J351" s="5"/>
      <c r="K351" s="5"/>
      <c r="L351" s="306"/>
      <c r="M351" s="5"/>
      <c r="N351" s="5"/>
      <c r="O351" s="5"/>
      <c r="P351" s="5"/>
      <c r="Q351" s="5"/>
      <c r="R351" s="57"/>
      <c r="S351" s="5"/>
      <c r="T351" s="5"/>
      <c r="U351" s="5"/>
      <c r="V351" s="5"/>
      <c r="W351" s="5"/>
      <c r="X351" s="5"/>
      <c r="Y351" s="5"/>
      <c r="Z351" s="5"/>
      <c r="AA351" s="5"/>
      <c r="AB351" s="5"/>
      <c r="AC351" s="5"/>
    </row>
    <row r="352" spans="1:29" ht="12.75" customHeight="1">
      <c r="A352" s="5"/>
      <c r="B352" s="5"/>
      <c r="C352" s="5"/>
      <c r="D352" s="5"/>
      <c r="E352" s="5"/>
      <c r="F352" s="5"/>
      <c r="G352" s="5"/>
      <c r="H352" s="306"/>
      <c r="I352" s="306"/>
      <c r="J352" s="5"/>
      <c r="K352" s="5"/>
      <c r="L352" s="306"/>
      <c r="M352" s="5"/>
      <c r="N352" s="5"/>
      <c r="O352" s="5"/>
      <c r="P352" s="5"/>
      <c r="Q352" s="5"/>
      <c r="R352" s="57"/>
      <c r="S352" s="5"/>
      <c r="T352" s="5"/>
      <c r="U352" s="5"/>
      <c r="V352" s="5"/>
      <c r="W352" s="5"/>
      <c r="X352" s="5"/>
      <c r="Y352" s="5"/>
      <c r="Z352" s="5"/>
      <c r="AA352" s="5"/>
      <c r="AB352" s="5"/>
      <c r="AC352" s="5"/>
    </row>
    <row r="353" spans="1:29" ht="12.75" customHeight="1">
      <c r="A353" s="5"/>
      <c r="B353" s="5"/>
      <c r="C353" s="5"/>
      <c r="D353" s="5"/>
      <c r="E353" s="5"/>
      <c r="F353" s="5"/>
      <c r="G353" s="5"/>
      <c r="H353" s="306"/>
      <c r="I353" s="306"/>
      <c r="J353" s="5"/>
      <c r="K353" s="5"/>
      <c r="L353" s="306"/>
      <c r="M353" s="5"/>
      <c r="N353" s="5"/>
      <c r="O353" s="5"/>
      <c r="P353" s="5"/>
      <c r="Q353" s="5"/>
      <c r="R353" s="57"/>
      <c r="S353" s="5"/>
      <c r="T353" s="5"/>
      <c r="U353" s="5"/>
      <c r="V353" s="5"/>
      <c r="W353" s="5"/>
      <c r="X353" s="5"/>
      <c r="Y353" s="5"/>
      <c r="Z353" s="5"/>
      <c r="AA353" s="5"/>
      <c r="AB353" s="5"/>
      <c r="AC353" s="5"/>
    </row>
    <row r="354" spans="1:29" ht="12.75" customHeight="1">
      <c r="A354" s="5"/>
      <c r="B354" s="5"/>
      <c r="C354" s="5"/>
      <c r="D354" s="5"/>
      <c r="E354" s="5"/>
      <c r="F354" s="5"/>
      <c r="G354" s="5"/>
      <c r="H354" s="306"/>
      <c r="I354" s="306"/>
      <c r="J354" s="5"/>
      <c r="K354" s="5"/>
      <c r="L354" s="306"/>
      <c r="M354" s="5"/>
      <c r="N354" s="5"/>
      <c r="O354" s="5"/>
      <c r="P354" s="5"/>
      <c r="Q354" s="5"/>
      <c r="R354" s="57"/>
      <c r="S354" s="5"/>
      <c r="T354" s="5"/>
      <c r="U354" s="5"/>
      <c r="V354" s="5"/>
      <c r="W354" s="5"/>
      <c r="X354" s="5"/>
      <c r="Y354" s="5"/>
      <c r="Z354" s="5"/>
      <c r="AA354" s="5"/>
      <c r="AB354" s="5"/>
      <c r="AC354" s="5"/>
    </row>
    <row r="355" spans="1:29" ht="12.75" customHeight="1">
      <c r="A355" s="5"/>
      <c r="B355" s="5"/>
      <c r="C355" s="5"/>
      <c r="D355" s="5"/>
      <c r="E355" s="5"/>
      <c r="F355" s="5"/>
      <c r="G355" s="5"/>
      <c r="H355" s="306"/>
      <c r="I355" s="306"/>
      <c r="J355" s="5"/>
      <c r="K355" s="5"/>
      <c r="L355" s="306"/>
      <c r="M355" s="5"/>
      <c r="N355" s="5"/>
      <c r="O355" s="5"/>
      <c r="P355" s="5"/>
      <c r="Q355" s="5"/>
      <c r="R355" s="57"/>
      <c r="S355" s="5"/>
      <c r="T355" s="5"/>
      <c r="U355" s="5"/>
      <c r="V355" s="5"/>
      <c r="W355" s="5"/>
      <c r="X355" s="5"/>
      <c r="Y355" s="5"/>
      <c r="Z355" s="5"/>
      <c r="AA355" s="5"/>
      <c r="AB355" s="5"/>
      <c r="AC355" s="5"/>
    </row>
    <row r="356" spans="1:29" ht="12.75" customHeight="1">
      <c r="A356" s="5"/>
      <c r="B356" s="5"/>
      <c r="C356" s="5"/>
      <c r="D356" s="5"/>
      <c r="E356" s="5"/>
      <c r="F356" s="5"/>
      <c r="G356" s="5"/>
      <c r="H356" s="306"/>
      <c r="I356" s="306"/>
      <c r="J356" s="5"/>
      <c r="K356" s="5"/>
      <c r="L356" s="306"/>
      <c r="M356" s="5"/>
      <c r="N356" s="5"/>
      <c r="O356" s="5"/>
      <c r="P356" s="5"/>
      <c r="Q356" s="5"/>
      <c r="R356" s="57"/>
      <c r="S356" s="5"/>
      <c r="T356" s="5"/>
      <c r="U356" s="5"/>
      <c r="V356" s="5"/>
      <c r="W356" s="5"/>
      <c r="X356" s="5"/>
      <c r="Y356" s="5"/>
      <c r="Z356" s="5"/>
      <c r="AA356" s="5"/>
      <c r="AB356" s="5"/>
      <c r="AC356" s="5"/>
    </row>
    <row r="357" spans="1:29" ht="12.75" customHeight="1">
      <c r="A357" s="5"/>
      <c r="B357" s="5"/>
      <c r="C357" s="5"/>
      <c r="D357" s="5"/>
      <c r="E357" s="5"/>
      <c r="F357" s="5"/>
      <c r="G357" s="5"/>
      <c r="H357" s="306"/>
      <c r="I357" s="306"/>
      <c r="J357" s="5"/>
      <c r="K357" s="5"/>
      <c r="L357" s="306"/>
      <c r="M357" s="5"/>
      <c r="N357" s="5"/>
      <c r="O357" s="5"/>
      <c r="P357" s="5"/>
      <c r="Q357" s="5"/>
      <c r="R357" s="57"/>
      <c r="S357" s="5"/>
      <c r="T357" s="5"/>
      <c r="U357" s="5"/>
      <c r="V357" s="5"/>
      <c r="W357" s="5"/>
      <c r="X357" s="5"/>
      <c r="Y357" s="5"/>
      <c r="Z357" s="5"/>
      <c r="AA357" s="5"/>
      <c r="AB357" s="5"/>
      <c r="AC357" s="5"/>
    </row>
    <row r="358" spans="1:29" ht="12.75" customHeight="1">
      <c r="A358" s="5"/>
      <c r="B358" s="5"/>
      <c r="C358" s="5"/>
      <c r="D358" s="5"/>
      <c r="E358" s="5"/>
      <c r="F358" s="5"/>
      <c r="G358" s="5"/>
      <c r="H358" s="306"/>
      <c r="I358" s="306"/>
      <c r="J358" s="5"/>
      <c r="K358" s="5"/>
      <c r="L358" s="306"/>
      <c r="M358" s="5"/>
      <c r="N358" s="5"/>
      <c r="O358" s="5"/>
      <c r="P358" s="5"/>
      <c r="Q358" s="5"/>
      <c r="R358" s="57"/>
      <c r="S358" s="5"/>
      <c r="T358" s="5"/>
      <c r="U358" s="5"/>
      <c r="V358" s="5"/>
      <c r="W358" s="5"/>
      <c r="X358" s="5"/>
      <c r="Y358" s="5"/>
      <c r="Z358" s="5"/>
      <c r="AA358" s="5"/>
      <c r="AB358" s="5"/>
      <c r="AC358" s="5"/>
    </row>
    <row r="359" spans="1:29" ht="12.75" customHeight="1">
      <c r="A359" s="5"/>
      <c r="B359" s="5"/>
      <c r="C359" s="5"/>
      <c r="D359" s="5"/>
      <c r="E359" s="5"/>
      <c r="F359" s="5"/>
      <c r="G359" s="5"/>
      <c r="H359" s="306"/>
      <c r="I359" s="306"/>
      <c r="J359" s="5"/>
      <c r="K359" s="5"/>
      <c r="L359" s="306"/>
      <c r="M359" s="5"/>
      <c r="N359" s="5"/>
      <c r="O359" s="5"/>
      <c r="P359" s="5"/>
      <c r="Q359" s="5"/>
      <c r="R359" s="57"/>
      <c r="S359" s="5"/>
      <c r="T359" s="5"/>
      <c r="U359" s="5"/>
      <c r="V359" s="5"/>
      <c r="W359" s="5"/>
      <c r="X359" s="5"/>
      <c r="Y359" s="5"/>
      <c r="Z359" s="5"/>
      <c r="AA359" s="5"/>
      <c r="AB359" s="5"/>
      <c r="AC359" s="5"/>
    </row>
    <row r="360" spans="1:29" ht="12.75" customHeight="1">
      <c r="A360" s="5"/>
      <c r="B360" s="5"/>
      <c r="C360" s="5"/>
      <c r="D360" s="5"/>
      <c r="E360" s="5"/>
      <c r="F360" s="5"/>
      <c r="G360" s="5"/>
      <c r="H360" s="306"/>
      <c r="I360" s="306"/>
      <c r="J360" s="5"/>
      <c r="K360" s="5"/>
      <c r="L360" s="306"/>
      <c r="M360" s="5"/>
      <c r="N360" s="5"/>
      <c r="O360" s="5"/>
      <c r="P360" s="5"/>
      <c r="Q360" s="5"/>
      <c r="R360" s="57"/>
      <c r="S360" s="5"/>
      <c r="T360" s="5"/>
      <c r="U360" s="5"/>
      <c r="V360" s="5"/>
      <c r="W360" s="5"/>
      <c r="X360" s="5"/>
      <c r="Y360" s="5"/>
      <c r="Z360" s="5"/>
      <c r="AA360" s="5"/>
      <c r="AB360" s="5"/>
      <c r="AC360" s="5"/>
    </row>
    <row r="361" spans="1:29" ht="12.75" customHeight="1">
      <c r="A361" s="5"/>
      <c r="B361" s="5"/>
      <c r="C361" s="5"/>
      <c r="D361" s="5"/>
      <c r="E361" s="5"/>
      <c r="F361" s="5"/>
      <c r="G361" s="5"/>
      <c r="H361" s="306"/>
      <c r="I361" s="306"/>
      <c r="J361" s="5"/>
      <c r="K361" s="5"/>
      <c r="L361" s="306"/>
      <c r="M361" s="5"/>
      <c r="N361" s="5"/>
      <c r="O361" s="5"/>
      <c r="P361" s="5"/>
      <c r="Q361" s="5"/>
      <c r="R361" s="57"/>
      <c r="S361" s="5"/>
      <c r="T361" s="5"/>
      <c r="U361" s="5"/>
      <c r="V361" s="5"/>
      <c r="W361" s="5"/>
      <c r="X361" s="5"/>
      <c r="Y361" s="5"/>
      <c r="Z361" s="5"/>
      <c r="AA361" s="5"/>
      <c r="AB361" s="5"/>
      <c r="AC361" s="5"/>
    </row>
    <row r="362" spans="1:29" ht="12.75" customHeight="1">
      <c r="A362" s="5"/>
      <c r="B362" s="5"/>
      <c r="C362" s="5"/>
      <c r="D362" s="5"/>
      <c r="E362" s="5"/>
      <c r="F362" s="5"/>
      <c r="G362" s="5"/>
      <c r="H362" s="306"/>
      <c r="I362" s="306"/>
      <c r="J362" s="5"/>
      <c r="K362" s="5"/>
      <c r="L362" s="306"/>
      <c r="M362" s="5"/>
      <c r="N362" s="5"/>
      <c r="O362" s="5"/>
      <c r="P362" s="5"/>
      <c r="Q362" s="5"/>
      <c r="R362" s="57"/>
      <c r="S362" s="5"/>
      <c r="T362" s="5"/>
      <c r="U362" s="5"/>
      <c r="V362" s="5"/>
      <c r="W362" s="5"/>
      <c r="X362" s="5"/>
      <c r="Y362" s="5"/>
      <c r="Z362" s="5"/>
      <c r="AA362" s="5"/>
      <c r="AB362" s="5"/>
      <c r="AC362" s="5"/>
    </row>
    <row r="363" spans="1:29" ht="12.75" customHeight="1">
      <c r="A363" s="5"/>
      <c r="B363" s="5"/>
      <c r="C363" s="5"/>
      <c r="D363" s="5"/>
      <c r="E363" s="5"/>
      <c r="F363" s="5"/>
      <c r="G363" s="5"/>
      <c r="H363" s="306"/>
      <c r="I363" s="306"/>
      <c r="J363" s="5"/>
      <c r="K363" s="5"/>
      <c r="L363" s="306"/>
      <c r="M363" s="5"/>
      <c r="N363" s="5"/>
      <c r="O363" s="5"/>
      <c r="P363" s="5"/>
      <c r="Q363" s="5"/>
      <c r="R363" s="57"/>
      <c r="S363" s="5"/>
      <c r="T363" s="5"/>
      <c r="U363" s="5"/>
      <c r="V363" s="5"/>
      <c r="W363" s="5"/>
      <c r="X363" s="5"/>
      <c r="Y363" s="5"/>
      <c r="Z363" s="5"/>
      <c r="AA363" s="5"/>
      <c r="AB363" s="5"/>
      <c r="AC363" s="5"/>
    </row>
    <row r="364" spans="1:29" ht="12.75" customHeight="1">
      <c r="A364" s="5"/>
      <c r="B364" s="5"/>
      <c r="C364" s="5"/>
      <c r="D364" s="5"/>
      <c r="E364" s="5"/>
      <c r="F364" s="5"/>
      <c r="G364" s="5"/>
      <c r="H364" s="306"/>
      <c r="I364" s="306"/>
      <c r="J364" s="5"/>
      <c r="K364" s="5"/>
      <c r="L364" s="306"/>
      <c r="M364" s="5"/>
      <c r="N364" s="5"/>
      <c r="O364" s="5"/>
      <c r="P364" s="5"/>
      <c r="Q364" s="5"/>
      <c r="R364" s="57"/>
      <c r="S364" s="5"/>
      <c r="T364" s="5"/>
      <c r="U364" s="5"/>
      <c r="V364" s="5"/>
      <c r="W364" s="5"/>
      <c r="X364" s="5"/>
      <c r="Y364" s="5"/>
      <c r="Z364" s="5"/>
      <c r="AA364" s="5"/>
      <c r="AB364" s="5"/>
      <c r="AC364" s="5"/>
    </row>
    <row r="365" spans="1:29" ht="12.75" customHeight="1">
      <c r="A365" s="5"/>
      <c r="B365" s="5"/>
      <c r="C365" s="5"/>
      <c r="D365" s="5"/>
      <c r="E365" s="5"/>
      <c r="F365" s="5"/>
      <c r="G365" s="5"/>
      <c r="H365" s="306"/>
      <c r="I365" s="306"/>
      <c r="J365" s="5"/>
      <c r="K365" s="5"/>
      <c r="L365" s="306"/>
      <c r="M365" s="5"/>
      <c r="N365" s="5"/>
      <c r="O365" s="5"/>
      <c r="P365" s="5"/>
      <c r="Q365" s="5"/>
      <c r="R365" s="57"/>
      <c r="S365" s="5"/>
      <c r="T365" s="5"/>
      <c r="U365" s="5"/>
      <c r="V365" s="5"/>
      <c r="W365" s="5"/>
      <c r="X365" s="5"/>
      <c r="Y365" s="5"/>
      <c r="Z365" s="5"/>
      <c r="AA365" s="5"/>
      <c r="AB365" s="5"/>
      <c r="AC365" s="5"/>
    </row>
    <row r="366" spans="1:29" ht="12.75" customHeight="1">
      <c r="A366" s="5"/>
      <c r="B366" s="5"/>
      <c r="C366" s="5"/>
      <c r="D366" s="5"/>
      <c r="E366" s="5"/>
      <c r="F366" s="5"/>
      <c r="G366" s="5"/>
      <c r="H366" s="306"/>
      <c r="I366" s="306"/>
      <c r="J366" s="5"/>
      <c r="K366" s="5"/>
      <c r="L366" s="306"/>
      <c r="M366" s="5"/>
      <c r="N366" s="5"/>
      <c r="O366" s="5"/>
      <c r="P366" s="5"/>
      <c r="Q366" s="5"/>
      <c r="R366" s="57"/>
      <c r="S366" s="5"/>
      <c r="T366" s="5"/>
      <c r="U366" s="5"/>
      <c r="V366" s="5"/>
      <c r="W366" s="5"/>
      <c r="X366" s="5"/>
      <c r="Y366" s="5"/>
      <c r="Z366" s="5"/>
      <c r="AA366" s="5"/>
      <c r="AB366" s="5"/>
      <c r="AC366" s="5"/>
    </row>
    <row r="367" spans="1:29" ht="12.75" customHeight="1">
      <c r="A367" s="5"/>
      <c r="B367" s="5"/>
      <c r="C367" s="5"/>
      <c r="D367" s="5"/>
      <c r="E367" s="5"/>
      <c r="F367" s="5"/>
      <c r="G367" s="5"/>
      <c r="H367" s="306"/>
      <c r="I367" s="306"/>
      <c r="J367" s="5"/>
      <c r="K367" s="5"/>
      <c r="L367" s="306"/>
      <c r="M367" s="5"/>
      <c r="N367" s="5"/>
      <c r="O367" s="5"/>
      <c r="P367" s="5"/>
      <c r="Q367" s="5"/>
      <c r="R367" s="57"/>
      <c r="S367" s="5"/>
      <c r="T367" s="5"/>
      <c r="U367" s="5"/>
      <c r="V367" s="5"/>
      <c r="W367" s="5"/>
      <c r="X367" s="5"/>
      <c r="Y367" s="5"/>
      <c r="Z367" s="5"/>
      <c r="AA367" s="5"/>
      <c r="AB367" s="5"/>
      <c r="AC367" s="5"/>
    </row>
    <row r="368" spans="1:29" ht="12.75" customHeight="1">
      <c r="A368" s="5"/>
      <c r="B368" s="5"/>
      <c r="C368" s="5"/>
      <c r="D368" s="5"/>
      <c r="E368" s="5"/>
      <c r="F368" s="5"/>
      <c r="G368" s="5"/>
      <c r="H368" s="306"/>
      <c r="I368" s="306"/>
      <c r="J368" s="5"/>
      <c r="K368" s="5"/>
      <c r="L368" s="306"/>
      <c r="M368" s="5"/>
      <c r="N368" s="5"/>
      <c r="O368" s="5"/>
      <c r="P368" s="5"/>
      <c r="Q368" s="5"/>
      <c r="R368" s="57"/>
      <c r="S368" s="5"/>
      <c r="T368" s="5"/>
      <c r="U368" s="5"/>
      <c r="V368" s="5"/>
      <c r="W368" s="5"/>
      <c r="X368" s="5"/>
      <c r="Y368" s="5"/>
      <c r="Z368" s="5"/>
      <c r="AA368" s="5"/>
      <c r="AB368" s="5"/>
      <c r="AC368" s="5"/>
    </row>
    <row r="369" spans="1:29" ht="12.75" customHeight="1">
      <c r="A369" s="5"/>
      <c r="B369" s="5"/>
      <c r="C369" s="5"/>
      <c r="D369" s="5"/>
      <c r="E369" s="5"/>
      <c r="F369" s="5"/>
      <c r="G369" s="5"/>
      <c r="H369" s="306"/>
      <c r="I369" s="306"/>
      <c r="J369" s="5"/>
      <c r="K369" s="5"/>
      <c r="L369" s="306"/>
      <c r="M369" s="5"/>
      <c r="N369" s="5"/>
      <c r="O369" s="5"/>
      <c r="P369" s="5"/>
      <c r="Q369" s="5"/>
      <c r="R369" s="57"/>
      <c r="S369" s="5"/>
      <c r="T369" s="5"/>
      <c r="U369" s="5"/>
      <c r="V369" s="5"/>
      <c r="W369" s="5"/>
      <c r="X369" s="5"/>
      <c r="Y369" s="5"/>
      <c r="Z369" s="5"/>
      <c r="AA369" s="5"/>
      <c r="AB369" s="5"/>
      <c r="AC369" s="5"/>
    </row>
    <row r="370" spans="1:29" ht="12.75" customHeight="1">
      <c r="A370" s="5"/>
      <c r="B370" s="5"/>
      <c r="C370" s="5"/>
      <c r="D370" s="5"/>
      <c r="E370" s="5"/>
      <c r="F370" s="5"/>
      <c r="G370" s="5"/>
      <c r="H370" s="306"/>
      <c r="I370" s="306"/>
      <c r="J370" s="5"/>
      <c r="K370" s="5"/>
      <c r="L370" s="306"/>
      <c r="M370" s="5"/>
      <c r="N370" s="5"/>
      <c r="O370" s="5"/>
      <c r="P370" s="5"/>
      <c r="Q370" s="5"/>
      <c r="R370" s="57"/>
      <c r="S370" s="5"/>
      <c r="T370" s="5"/>
      <c r="U370" s="5"/>
      <c r="V370" s="5"/>
      <c r="W370" s="5"/>
      <c r="X370" s="5"/>
      <c r="Y370" s="5"/>
      <c r="Z370" s="5"/>
      <c r="AA370" s="5"/>
      <c r="AB370" s="5"/>
      <c r="AC370" s="5"/>
    </row>
    <row r="371" spans="1:29" ht="12.75" customHeight="1">
      <c r="A371" s="5"/>
      <c r="B371" s="5"/>
      <c r="C371" s="5"/>
      <c r="D371" s="5"/>
      <c r="E371" s="5"/>
      <c r="F371" s="5"/>
      <c r="G371" s="5"/>
      <c r="H371" s="306"/>
      <c r="I371" s="306"/>
      <c r="J371" s="5"/>
      <c r="K371" s="5"/>
      <c r="L371" s="306"/>
      <c r="M371" s="5"/>
      <c r="N371" s="5"/>
      <c r="O371" s="5"/>
      <c r="P371" s="5"/>
      <c r="Q371" s="5"/>
      <c r="R371" s="57"/>
      <c r="S371" s="5"/>
      <c r="T371" s="5"/>
      <c r="U371" s="5"/>
      <c r="V371" s="5"/>
      <c r="W371" s="5"/>
      <c r="X371" s="5"/>
      <c r="Y371" s="5"/>
      <c r="Z371" s="5"/>
      <c r="AA371" s="5"/>
      <c r="AB371" s="5"/>
      <c r="AC371" s="5"/>
    </row>
    <row r="372" spans="1:29" ht="12.75" customHeight="1">
      <c r="A372" s="5"/>
      <c r="B372" s="5"/>
      <c r="C372" s="5"/>
      <c r="D372" s="5"/>
      <c r="E372" s="5"/>
      <c r="F372" s="5"/>
      <c r="G372" s="5"/>
      <c r="H372" s="306"/>
      <c r="I372" s="306"/>
      <c r="J372" s="5"/>
      <c r="K372" s="5"/>
      <c r="L372" s="306"/>
      <c r="M372" s="5"/>
      <c r="N372" s="5"/>
      <c r="O372" s="5"/>
      <c r="P372" s="5"/>
      <c r="Q372" s="5"/>
      <c r="R372" s="57"/>
      <c r="S372" s="5"/>
      <c r="T372" s="5"/>
      <c r="U372" s="5"/>
      <c r="V372" s="5"/>
      <c r="W372" s="5"/>
      <c r="X372" s="5"/>
      <c r="Y372" s="5"/>
      <c r="Z372" s="5"/>
      <c r="AA372" s="5"/>
      <c r="AB372" s="5"/>
      <c r="AC372" s="5"/>
    </row>
    <row r="373" spans="1:29" ht="12.75" customHeight="1">
      <c r="A373" s="5"/>
      <c r="B373" s="5"/>
      <c r="C373" s="5"/>
      <c r="D373" s="5"/>
      <c r="E373" s="5"/>
      <c r="F373" s="5"/>
      <c r="G373" s="5"/>
      <c r="H373" s="306"/>
      <c r="I373" s="306"/>
      <c r="J373" s="5"/>
      <c r="K373" s="5"/>
      <c r="L373" s="306"/>
      <c r="M373" s="5"/>
      <c r="N373" s="5"/>
      <c r="O373" s="5"/>
      <c r="P373" s="5"/>
      <c r="Q373" s="5"/>
      <c r="R373" s="57"/>
      <c r="S373" s="5"/>
      <c r="T373" s="5"/>
      <c r="U373" s="5"/>
      <c r="V373" s="5"/>
      <c r="W373" s="5"/>
      <c r="X373" s="5"/>
      <c r="Y373" s="5"/>
      <c r="Z373" s="5"/>
      <c r="AA373" s="5"/>
      <c r="AB373" s="5"/>
      <c r="AC373" s="5"/>
    </row>
    <row r="374" spans="1:29" ht="12.75" customHeight="1">
      <c r="A374" s="5"/>
      <c r="B374" s="5"/>
      <c r="C374" s="5"/>
      <c r="D374" s="5"/>
      <c r="E374" s="5"/>
      <c r="F374" s="5"/>
      <c r="G374" s="5"/>
      <c r="H374" s="306"/>
      <c r="I374" s="306"/>
      <c r="J374" s="5"/>
      <c r="K374" s="5"/>
      <c r="L374" s="306"/>
      <c r="M374" s="5"/>
      <c r="N374" s="5"/>
      <c r="O374" s="5"/>
      <c r="P374" s="5"/>
      <c r="Q374" s="5"/>
      <c r="R374" s="57"/>
      <c r="S374" s="5"/>
      <c r="T374" s="5"/>
      <c r="U374" s="5"/>
      <c r="V374" s="5"/>
      <c r="W374" s="5"/>
      <c r="X374" s="5"/>
      <c r="Y374" s="5"/>
      <c r="Z374" s="5"/>
      <c r="AA374" s="5"/>
      <c r="AB374" s="5"/>
      <c r="AC374" s="5"/>
    </row>
    <row r="375" spans="1:29" ht="12.75" customHeight="1">
      <c r="A375" s="5"/>
      <c r="B375" s="5"/>
      <c r="C375" s="5"/>
      <c r="D375" s="5"/>
      <c r="E375" s="5"/>
      <c r="F375" s="5"/>
      <c r="G375" s="5"/>
      <c r="H375" s="306"/>
      <c r="I375" s="306"/>
      <c r="J375" s="5"/>
      <c r="K375" s="5"/>
      <c r="L375" s="306"/>
      <c r="M375" s="5"/>
      <c r="N375" s="5"/>
      <c r="O375" s="5"/>
      <c r="P375" s="5"/>
      <c r="Q375" s="5"/>
      <c r="R375" s="57"/>
      <c r="S375" s="5"/>
      <c r="T375" s="5"/>
      <c r="U375" s="5"/>
      <c r="V375" s="5"/>
      <c r="W375" s="5"/>
      <c r="X375" s="5"/>
      <c r="Y375" s="5"/>
      <c r="Z375" s="5"/>
      <c r="AA375" s="5"/>
      <c r="AB375" s="5"/>
      <c r="AC375" s="5"/>
    </row>
    <row r="376" spans="1:29" ht="12.75" customHeight="1">
      <c r="A376" s="5"/>
      <c r="B376" s="5"/>
      <c r="C376" s="5"/>
      <c r="D376" s="5"/>
      <c r="E376" s="5"/>
      <c r="F376" s="5"/>
      <c r="G376" s="5"/>
      <c r="H376" s="306"/>
      <c r="I376" s="306"/>
      <c r="J376" s="5"/>
      <c r="K376" s="5"/>
      <c r="L376" s="306"/>
      <c r="M376" s="5"/>
      <c r="N376" s="5"/>
      <c r="O376" s="5"/>
      <c r="P376" s="5"/>
      <c r="Q376" s="5"/>
      <c r="R376" s="57"/>
      <c r="S376" s="5"/>
      <c r="T376" s="5"/>
      <c r="U376" s="5"/>
      <c r="V376" s="5"/>
      <c r="W376" s="5"/>
      <c r="X376" s="5"/>
      <c r="Y376" s="5"/>
      <c r="Z376" s="5"/>
      <c r="AA376" s="5"/>
      <c r="AB376" s="5"/>
      <c r="AC376" s="5"/>
    </row>
    <row r="377" spans="1:29" ht="12.75" customHeight="1">
      <c r="A377" s="5"/>
      <c r="B377" s="5"/>
      <c r="C377" s="5"/>
      <c r="D377" s="5"/>
      <c r="E377" s="5"/>
      <c r="F377" s="5"/>
      <c r="G377" s="5"/>
      <c r="H377" s="306"/>
      <c r="I377" s="306"/>
      <c r="J377" s="5"/>
      <c r="K377" s="5"/>
      <c r="L377" s="306"/>
      <c r="M377" s="5"/>
      <c r="N377" s="5"/>
      <c r="O377" s="5"/>
      <c r="P377" s="5"/>
      <c r="Q377" s="5"/>
      <c r="R377" s="57"/>
      <c r="S377" s="5"/>
      <c r="T377" s="5"/>
      <c r="U377" s="5"/>
      <c r="V377" s="5"/>
      <c r="W377" s="5"/>
      <c r="X377" s="5"/>
      <c r="Y377" s="5"/>
      <c r="Z377" s="5"/>
      <c r="AA377" s="5"/>
      <c r="AB377" s="5"/>
      <c r="AC377" s="5"/>
    </row>
    <row r="378" spans="1:29" ht="12.75" customHeight="1">
      <c r="A378" s="5"/>
      <c r="B378" s="5"/>
      <c r="C378" s="5"/>
      <c r="D378" s="5"/>
      <c r="E378" s="5"/>
      <c r="F378" s="5"/>
      <c r="G378" s="5"/>
      <c r="H378" s="306"/>
      <c r="I378" s="306"/>
      <c r="J378" s="5"/>
      <c r="K378" s="5"/>
      <c r="L378" s="306"/>
      <c r="M378" s="5"/>
      <c r="N378" s="5"/>
      <c r="O378" s="5"/>
      <c r="P378" s="5"/>
      <c r="Q378" s="5"/>
      <c r="R378" s="57"/>
      <c r="S378" s="5"/>
      <c r="T378" s="5"/>
      <c r="U378" s="5"/>
      <c r="V378" s="5"/>
      <c r="W378" s="5"/>
      <c r="X378" s="5"/>
      <c r="Y378" s="5"/>
      <c r="Z378" s="5"/>
      <c r="AA378" s="5"/>
      <c r="AB378" s="5"/>
      <c r="AC378" s="5"/>
    </row>
    <row r="379" spans="1:29" ht="12.75" customHeight="1">
      <c r="A379" s="5"/>
      <c r="B379" s="5"/>
      <c r="C379" s="5"/>
      <c r="D379" s="5"/>
      <c r="E379" s="5"/>
      <c r="F379" s="5"/>
      <c r="G379" s="5"/>
      <c r="H379" s="306"/>
      <c r="I379" s="306"/>
      <c r="J379" s="5"/>
      <c r="K379" s="5"/>
      <c r="L379" s="306"/>
      <c r="M379" s="5"/>
      <c r="N379" s="5"/>
      <c r="O379" s="5"/>
      <c r="P379" s="5"/>
      <c r="Q379" s="5"/>
      <c r="R379" s="57"/>
      <c r="S379" s="5"/>
      <c r="T379" s="5"/>
      <c r="U379" s="5"/>
      <c r="V379" s="5"/>
      <c r="W379" s="5"/>
      <c r="X379" s="5"/>
      <c r="Y379" s="5"/>
      <c r="Z379" s="5"/>
      <c r="AA379" s="5"/>
      <c r="AB379" s="5"/>
      <c r="AC379" s="5"/>
    </row>
    <row r="380" spans="1:29" ht="12.75" customHeight="1">
      <c r="A380" s="5"/>
      <c r="B380" s="5"/>
      <c r="C380" s="5"/>
      <c r="D380" s="5"/>
      <c r="E380" s="5"/>
      <c r="F380" s="5"/>
      <c r="G380" s="5"/>
      <c r="H380" s="306"/>
      <c r="I380" s="306"/>
      <c r="J380" s="5"/>
      <c r="K380" s="5"/>
      <c r="L380" s="306"/>
      <c r="M380" s="5"/>
      <c r="N380" s="5"/>
      <c r="O380" s="5"/>
      <c r="P380" s="5"/>
      <c r="Q380" s="5"/>
      <c r="R380" s="57"/>
      <c r="S380" s="5"/>
      <c r="T380" s="5"/>
      <c r="U380" s="5"/>
      <c r="V380" s="5"/>
      <c r="W380" s="5"/>
      <c r="X380" s="5"/>
      <c r="Y380" s="5"/>
      <c r="Z380" s="5"/>
      <c r="AA380" s="5"/>
      <c r="AB380" s="5"/>
      <c r="AC380" s="5"/>
    </row>
    <row r="381" spans="1:29" ht="12.75" customHeight="1">
      <c r="A381" s="5"/>
      <c r="B381" s="5"/>
      <c r="C381" s="5"/>
      <c r="D381" s="5"/>
      <c r="E381" s="5"/>
      <c r="F381" s="5"/>
      <c r="G381" s="5"/>
      <c r="H381" s="306"/>
      <c r="I381" s="306"/>
      <c r="J381" s="5"/>
      <c r="K381" s="5"/>
      <c r="L381" s="306"/>
      <c r="M381" s="5"/>
      <c r="N381" s="5"/>
      <c r="O381" s="5"/>
      <c r="P381" s="5"/>
      <c r="Q381" s="5"/>
      <c r="R381" s="57"/>
      <c r="S381" s="5"/>
      <c r="T381" s="5"/>
      <c r="U381" s="5"/>
      <c r="V381" s="5"/>
      <c r="W381" s="5"/>
      <c r="X381" s="5"/>
      <c r="Y381" s="5"/>
      <c r="Z381" s="5"/>
      <c r="AA381" s="5"/>
      <c r="AB381" s="5"/>
      <c r="AC381" s="5"/>
    </row>
    <row r="382" spans="1:29" ht="12.75" customHeight="1">
      <c r="A382" s="5"/>
      <c r="B382" s="5"/>
      <c r="C382" s="5"/>
      <c r="D382" s="5"/>
      <c r="E382" s="5"/>
      <c r="F382" s="5"/>
      <c r="G382" s="5"/>
      <c r="H382" s="306"/>
      <c r="I382" s="306"/>
      <c r="J382" s="5"/>
      <c r="K382" s="5"/>
      <c r="L382" s="306"/>
      <c r="M382" s="5"/>
      <c r="N382" s="5"/>
      <c r="O382" s="5"/>
      <c r="P382" s="5"/>
      <c r="Q382" s="5"/>
      <c r="R382" s="57"/>
      <c r="S382" s="5"/>
      <c r="T382" s="5"/>
      <c r="U382" s="5"/>
      <c r="V382" s="5"/>
      <c r="W382" s="5"/>
      <c r="X382" s="5"/>
      <c r="Y382" s="5"/>
      <c r="Z382" s="5"/>
      <c r="AA382" s="5"/>
      <c r="AB382" s="5"/>
      <c r="AC382" s="5"/>
    </row>
    <row r="383" spans="1:29" ht="12.75" customHeight="1">
      <c r="A383" s="5"/>
      <c r="B383" s="5"/>
      <c r="C383" s="5"/>
      <c r="D383" s="5"/>
      <c r="E383" s="5"/>
      <c r="F383" s="5"/>
      <c r="G383" s="5"/>
      <c r="H383" s="306"/>
      <c r="I383" s="306"/>
      <c r="J383" s="5"/>
      <c r="K383" s="5"/>
      <c r="L383" s="306"/>
      <c r="M383" s="5"/>
      <c r="N383" s="5"/>
      <c r="O383" s="5"/>
      <c r="P383" s="5"/>
      <c r="Q383" s="5"/>
      <c r="R383" s="57"/>
      <c r="S383" s="5"/>
      <c r="T383" s="5"/>
      <c r="U383" s="5"/>
      <c r="V383" s="5"/>
      <c r="W383" s="5"/>
      <c r="X383" s="5"/>
      <c r="Y383" s="5"/>
      <c r="Z383" s="5"/>
      <c r="AA383" s="5"/>
      <c r="AB383" s="5"/>
      <c r="AC383" s="5"/>
    </row>
    <row r="384" spans="1:29" ht="12.75" customHeight="1">
      <c r="A384" s="5"/>
      <c r="B384" s="5"/>
      <c r="C384" s="5"/>
      <c r="D384" s="5"/>
      <c r="E384" s="5"/>
      <c r="F384" s="5"/>
      <c r="G384" s="5"/>
      <c r="H384" s="306"/>
      <c r="I384" s="306"/>
      <c r="J384" s="5"/>
      <c r="K384" s="5"/>
      <c r="L384" s="306"/>
      <c r="M384" s="5"/>
      <c r="N384" s="5"/>
      <c r="O384" s="5"/>
      <c r="P384" s="5"/>
      <c r="Q384" s="5"/>
      <c r="R384" s="57"/>
      <c r="S384" s="5"/>
      <c r="T384" s="5"/>
      <c r="U384" s="5"/>
      <c r="V384" s="5"/>
      <c r="W384" s="5"/>
      <c r="X384" s="5"/>
      <c r="Y384" s="5"/>
      <c r="Z384" s="5"/>
      <c r="AA384" s="5"/>
      <c r="AB384" s="5"/>
      <c r="AC384" s="5"/>
    </row>
    <row r="385" spans="1:29" ht="12.75" customHeight="1">
      <c r="A385" s="5"/>
      <c r="B385" s="5"/>
      <c r="C385" s="5"/>
      <c r="D385" s="5"/>
      <c r="E385" s="5"/>
      <c r="F385" s="5"/>
      <c r="G385" s="5"/>
      <c r="H385" s="306"/>
      <c r="I385" s="306"/>
      <c r="J385" s="5"/>
      <c r="K385" s="5"/>
      <c r="L385" s="306"/>
      <c r="M385" s="5"/>
      <c r="N385" s="5"/>
      <c r="O385" s="5"/>
      <c r="P385" s="5"/>
      <c r="Q385" s="5"/>
      <c r="R385" s="57"/>
      <c r="S385" s="5"/>
      <c r="T385" s="5"/>
      <c r="U385" s="5"/>
      <c r="V385" s="5"/>
      <c r="W385" s="5"/>
      <c r="X385" s="5"/>
      <c r="Y385" s="5"/>
      <c r="Z385" s="5"/>
      <c r="AA385" s="5"/>
      <c r="AB385" s="5"/>
      <c r="AC385" s="5"/>
    </row>
    <row r="386" spans="1:29" ht="12.75" customHeight="1">
      <c r="A386" s="5"/>
      <c r="B386" s="5"/>
      <c r="C386" s="5"/>
      <c r="D386" s="5"/>
      <c r="E386" s="5"/>
      <c r="F386" s="5"/>
      <c r="G386" s="5"/>
      <c r="H386" s="306"/>
      <c r="I386" s="306"/>
      <c r="J386" s="5"/>
      <c r="K386" s="5"/>
      <c r="L386" s="306"/>
      <c r="M386" s="5"/>
      <c r="N386" s="5"/>
      <c r="O386" s="5"/>
      <c r="P386" s="5"/>
      <c r="Q386" s="5"/>
      <c r="R386" s="57"/>
      <c r="S386" s="5"/>
      <c r="T386" s="5"/>
      <c r="U386" s="5"/>
      <c r="V386" s="5"/>
      <c r="W386" s="5"/>
      <c r="X386" s="5"/>
      <c r="Y386" s="5"/>
      <c r="Z386" s="5"/>
      <c r="AA386" s="5"/>
      <c r="AB386" s="5"/>
      <c r="AC386" s="5"/>
    </row>
    <row r="387" spans="1:29" ht="12.75" customHeight="1">
      <c r="A387" s="5"/>
      <c r="B387" s="5"/>
      <c r="C387" s="5"/>
      <c r="D387" s="5"/>
      <c r="E387" s="5"/>
      <c r="F387" s="5"/>
      <c r="G387" s="5"/>
      <c r="H387" s="306"/>
      <c r="I387" s="306"/>
      <c r="J387" s="5"/>
      <c r="K387" s="5"/>
      <c r="L387" s="306"/>
      <c r="M387" s="5"/>
      <c r="N387" s="5"/>
      <c r="O387" s="5"/>
      <c r="P387" s="5"/>
      <c r="Q387" s="5"/>
      <c r="R387" s="57"/>
      <c r="S387" s="5"/>
      <c r="T387" s="5"/>
      <c r="U387" s="5"/>
      <c r="V387" s="5"/>
      <c r="W387" s="5"/>
      <c r="X387" s="5"/>
      <c r="Y387" s="5"/>
      <c r="Z387" s="5"/>
      <c r="AA387" s="5"/>
      <c r="AB387" s="5"/>
      <c r="AC387" s="5"/>
    </row>
    <row r="388" spans="1:29" ht="12.75" customHeight="1">
      <c r="A388" s="5"/>
      <c r="B388" s="5"/>
      <c r="C388" s="5"/>
      <c r="D388" s="5"/>
      <c r="E388" s="5"/>
      <c r="F388" s="5"/>
      <c r="G388" s="5"/>
      <c r="H388" s="306"/>
      <c r="I388" s="306"/>
      <c r="J388" s="5"/>
      <c r="K388" s="5"/>
      <c r="L388" s="306"/>
      <c r="M388" s="5"/>
      <c r="N388" s="5"/>
      <c r="O388" s="5"/>
      <c r="P388" s="5"/>
      <c r="Q388" s="5"/>
      <c r="R388" s="57"/>
      <c r="S388" s="5"/>
      <c r="T388" s="5"/>
      <c r="U388" s="5"/>
      <c r="V388" s="5"/>
      <c r="W388" s="5"/>
      <c r="X388" s="5"/>
      <c r="Y388" s="5"/>
      <c r="Z388" s="5"/>
      <c r="AA388" s="5"/>
      <c r="AB388" s="5"/>
      <c r="AC388" s="5"/>
    </row>
    <row r="389" spans="1:29" ht="12.75" customHeight="1">
      <c r="A389" s="5"/>
      <c r="B389" s="5"/>
      <c r="C389" s="5"/>
      <c r="D389" s="5"/>
      <c r="E389" s="5"/>
      <c r="F389" s="5"/>
      <c r="G389" s="5"/>
      <c r="H389" s="306"/>
      <c r="I389" s="306"/>
      <c r="J389" s="5"/>
      <c r="K389" s="5"/>
      <c r="L389" s="306"/>
      <c r="M389" s="5"/>
      <c r="N389" s="5"/>
      <c r="O389" s="5"/>
      <c r="P389" s="5"/>
      <c r="Q389" s="5"/>
      <c r="R389" s="57"/>
      <c r="S389" s="5"/>
      <c r="T389" s="5"/>
      <c r="U389" s="5"/>
      <c r="V389" s="5"/>
      <c r="W389" s="5"/>
      <c r="X389" s="5"/>
      <c r="Y389" s="5"/>
      <c r="Z389" s="5"/>
      <c r="AA389" s="5"/>
      <c r="AB389" s="5"/>
      <c r="AC389" s="5"/>
    </row>
    <row r="390" spans="1:29" ht="12.75" customHeight="1">
      <c r="A390" s="5"/>
      <c r="B390" s="5"/>
      <c r="C390" s="5"/>
      <c r="D390" s="5"/>
      <c r="E390" s="5"/>
      <c r="F390" s="5"/>
      <c r="G390" s="5"/>
      <c r="H390" s="306"/>
      <c r="I390" s="306"/>
      <c r="J390" s="5"/>
      <c r="K390" s="5"/>
      <c r="L390" s="306"/>
      <c r="M390" s="5"/>
      <c r="N390" s="5"/>
      <c r="O390" s="5"/>
      <c r="P390" s="5"/>
      <c r="Q390" s="5"/>
      <c r="R390" s="57"/>
      <c r="S390" s="5"/>
      <c r="T390" s="5"/>
      <c r="U390" s="5"/>
      <c r="V390" s="5"/>
      <c r="W390" s="5"/>
      <c r="X390" s="5"/>
      <c r="Y390" s="5"/>
      <c r="Z390" s="5"/>
      <c r="AA390" s="5"/>
      <c r="AB390" s="5"/>
      <c r="AC390" s="5"/>
    </row>
    <row r="391" spans="1:29" ht="12.75" customHeight="1">
      <c r="A391" s="5"/>
      <c r="B391" s="5"/>
      <c r="C391" s="5"/>
      <c r="D391" s="5"/>
      <c r="E391" s="5"/>
      <c r="F391" s="5"/>
      <c r="G391" s="5"/>
      <c r="H391" s="306"/>
      <c r="I391" s="306"/>
      <c r="J391" s="5"/>
      <c r="K391" s="5"/>
      <c r="L391" s="306"/>
      <c r="M391" s="5"/>
      <c r="N391" s="5"/>
      <c r="O391" s="5"/>
      <c r="P391" s="5"/>
      <c r="Q391" s="5"/>
      <c r="R391" s="57"/>
      <c r="S391" s="5"/>
      <c r="T391" s="5"/>
      <c r="U391" s="5"/>
      <c r="V391" s="5"/>
      <c r="W391" s="5"/>
      <c r="X391" s="5"/>
      <c r="Y391" s="5"/>
      <c r="Z391" s="5"/>
      <c r="AA391" s="5"/>
      <c r="AB391" s="5"/>
      <c r="AC391" s="5"/>
    </row>
    <row r="392" spans="1:29" ht="12.75" customHeight="1">
      <c r="A392" s="5"/>
      <c r="B392" s="5"/>
      <c r="C392" s="5"/>
      <c r="D392" s="5"/>
      <c r="E392" s="5"/>
      <c r="F392" s="5"/>
      <c r="G392" s="5"/>
      <c r="H392" s="306"/>
      <c r="I392" s="306"/>
      <c r="J392" s="5"/>
      <c r="K392" s="5"/>
      <c r="L392" s="306"/>
      <c r="M392" s="5"/>
      <c r="N392" s="5"/>
      <c r="O392" s="5"/>
      <c r="P392" s="5"/>
      <c r="Q392" s="5"/>
      <c r="R392" s="57"/>
      <c r="S392" s="5"/>
      <c r="T392" s="5"/>
      <c r="U392" s="5"/>
      <c r="V392" s="5"/>
      <c r="W392" s="5"/>
      <c r="X392" s="5"/>
      <c r="Y392" s="5"/>
      <c r="Z392" s="5"/>
      <c r="AA392" s="5"/>
      <c r="AB392" s="5"/>
      <c r="AC392" s="5"/>
    </row>
    <row r="393" spans="1:29" ht="12.75" customHeight="1">
      <c r="A393" s="5"/>
      <c r="B393" s="5"/>
      <c r="C393" s="5"/>
      <c r="D393" s="5"/>
      <c r="E393" s="5"/>
      <c r="F393" s="5"/>
      <c r="G393" s="5"/>
      <c r="H393" s="306"/>
      <c r="I393" s="306"/>
      <c r="J393" s="5"/>
      <c r="K393" s="5"/>
      <c r="L393" s="306"/>
      <c r="M393" s="5"/>
      <c r="N393" s="5"/>
      <c r="O393" s="5"/>
      <c r="P393" s="5"/>
      <c r="Q393" s="5"/>
      <c r="R393" s="57"/>
      <c r="S393" s="5"/>
      <c r="T393" s="5"/>
      <c r="U393" s="5"/>
      <c r="V393" s="5"/>
      <c r="W393" s="5"/>
      <c r="X393" s="5"/>
      <c r="Y393" s="5"/>
      <c r="Z393" s="5"/>
      <c r="AA393" s="5"/>
      <c r="AB393" s="5"/>
      <c r="AC393" s="5"/>
    </row>
    <row r="394" spans="1:29" ht="12.75" customHeight="1">
      <c r="A394" s="5"/>
      <c r="B394" s="5"/>
      <c r="C394" s="5"/>
      <c r="D394" s="5"/>
      <c r="E394" s="5"/>
      <c r="F394" s="5"/>
      <c r="G394" s="5"/>
      <c r="H394" s="306"/>
      <c r="I394" s="306"/>
      <c r="J394" s="5"/>
      <c r="K394" s="5"/>
      <c r="L394" s="306"/>
      <c r="M394" s="5"/>
      <c r="N394" s="5"/>
      <c r="O394" s="5"/>
      <c r="P394" s="5"/>
      <c r="Q394" s="5"/>
      <c r="R394" s="57"/>
      <c r="S394" s="5"/>
      <c r="T394" s="5"/>
      <c r="U394" s="5"/>
      <c r="V394" s="5"/>
      <c r="W394" s="5"/>
      <c r="X394" s="5"/>
      <c r="Y394" s="5"/>
      <c r="Z394" s="5"/>
      <c r="AA394" s="5"/>
      <c r="AB394" s="5"/>
      <c r="AC394" s="5"/>
    </row>
    <row r="395" spans="1:29" ht="12.75" customHeight="1">
      <c r="A395" s="5"/>
      <c r="B395" s="5"/>
      <c r="C395" s="5"/>
      <c r="D395" s="5"/>
      <c r="E395" s="5"/>
      <c r="F395" s="5"/>
      <c r="G395" s="5"/>
      <c r="H395" s="306"/>
      <c r="I395" s="306"/>
      <c r="J395" s="5"/>
      <c r="K395" s="5"/>
      <c r="L395" s="306"/>
      <c r="M395" s="5"/>
      <c r="N395" s="5"/>
      <c r="O395" s="5"/>
      <c r="P395" s="5"/>
      <c r="Q395" s="5"/>
      <c r="R395" s="57"/>
      <c r="S395" s="5"/>
      <c r="T395" s="5"/>
      <c r="U395" s="5"/>
      <c r="V395" s="5"/>
      <c r="W395" s="5"/>
      <c r="X395" s="5"/>
      <c r="Y395" s="5"/>
      <c r="Z395" s="5"/>
      <c r="AA395" s="5"/>
      <c r="AB395" s="5"/>
      <c r="AC395" s="5"/>
    </row>
    <row r="396" spans="1:29" ht="12.75" customHeight="1">
      <c r="A396" s="5"/>
      <c r="B396" s="5"/>
      <c r="C396" s="5"/>
      <c r="D396" s="5"/>
      <c r="E396" s="5"/>
      <c r="F396" s="5"/>
      <c r="G396" s="5"/>
      <c r="H396" s="306"/>
      <c r="I396" s="306"/>
      <c r="J396" s="5"/>
      <c r="K396" s="5"/>
      <c r="L396" s="306"/>
      <c r="M396" s="5"/>
      <c r="N396" s="5"/>
      <c r="O396" s="5"/>
      <c r="P396" s="5"/>
      <c r="Q396" s="5"/>
      <c r="R396" s="57"/>
      <c r="S396" s="5"/>
      <c r="T396" s="5"/>
      <c r="U396" s="5"/>
      <c r="V396" s="5"/>
      <c r="W396" s="5"/>
      <c r="X396" s="5"/>
      <c r="Y396" s="5"/>
      <c r="Z396" s="5"/>
      <c r="AA396" s="5"/>
      <c r="AB396" s="5"/>
      <c r="AC396" s="5"/>
    </row>
    <row r="397" spans="1:29" ht="12.75" customHeight="1">
      <c r="A397" s="5"/>
      <c r="B397" s="5"/>
      <c r="C397" s="5"/>
      <c r="D397" s="5"/>
      <c r="E397" s="5"/>
      <c r="F397" s="5"/>
      <c r="G397" s="5"/>
      <c r="H397" s="306"/>
      <c r="I397" s="306"/>
      <c r="J397" s="5"/>
      <c r="K397" s="5"/>
      <c r="L397" s="306"/>
      <c r="M397" s="5"/>
      <c r="N397" s="5"/>
      <c r="O397" s="5"/>
      <c r="P397" s="5"/>
      <c r="Q397" s="5"/>
      <c r="R397" s="57"/>
      <c r="S397" s="5"/>
      <c r="T397" s="5"/>
      <c r="U397" s="5"/>
      <c r="V397" s="5"/>
      <c r="W397" s="5"/>
      <c r="X397" s="5"/>
      <c r="Y397" s="5"/>
      <c r="Z397" s="5"/>
      <c r="AA397" s="5"/>
      <c r="AB397" s="5"/>
      <c r="AC397" s="5"/>
    </row>
    <row r="398" spans="1:29" ht="12.75" customHeight="1">
      <c r="A398" s="5"/>
      <c r="B398" s="5"/>
      <c r="C398" s="5"/>
      <c r="D398" s="5"/>
      <c r="E398" s="5"/>
      <c r="F398" s="5"/>
      <c r="G398" s="5"/>
      <c r="H398" s="306"/>
      <c r="I398" s="306"/>
      <c r="J398" s="5"/>
      <c r="K398" s="5"/>
      <c r="L398" s="306"/>
      <c r="M398" s="5"/>
      <c r="N398" s="5"/>
      <c r="O398" s="5"/>
      <c r="P398" s="5"/>
      <c r="Q398" s="5"/>
      <c r="R398" s="57"/>
      <c r="S398" s="5"/>
      <c r="T398" s="5"/>
      <c r="U398" s="5"/>
      <c r="V398" s="5"/>
      <c r="W398" s="5"/>
      <c r="X398" s="5"/>
      <c r="Y398" s="5"/>
      <c r="Z398" s="5"/>
      <c r="AA398" s="5"/>
      <c r="AB398" s="5"/>
      <c r="AC398" s="5"/>
    </row>
    <row r="399" spans="1:29" ht="12.75" customHeight="1">
      <c r="A399" s="5"/>
      <c r="B399" s="5"/>
      <c r="C399" s="5"/>
      <c r="D399" s="5"/>
      <c r="E399" s="5"/>
      <c r="F399" s="5"/>
      <c r="G399" s="5"/>
      <c r="H399" s="306"/>
      <c r="I399" s="306"/>
      <c r="J399" s="5"/>
      <c r="K399" s="5"/>
      <c r="L399" s="306"/>
      <c r="M399" s="5"/>
      <c r="N399" s="5"/>
      <c r="O399" s="5"/>
      <c r="P399" s="5"/>
      <c r="Q399" s="5"/>
      <c r="R399" s="57"/>
      <c r="S399" s="5"/>
      <c r="T399" s="5"/>
      <c r="U399" s="5"/>
      <c r="V399" s="5"/>
      <c r="W399" s="5"/>
      <c r="X399" s="5"/>
      <c r="Y399" s="5"/>
      <c r="Z399" s="5"/>
      <c r="AA399" s="5"/>
      <c r="AB399" s="5"/>
      <c r="AC399" s="5"/>
    </row>
    <row r="400" spans="1:29" ht="12.75" customHeight="1">
      <c r="A400" s="5"/>
      <c r="B400" s="5"/>
      <c r="C400" s="5"/>
      <c r="D400" s="5"/>
      <c r="E400" s="5"/>
      <c r="F400" s="5"/>
      <c r="G400" s="5"/>
      <c r="H400" s="306"/>
      <c r="I400" s="306"/>
      <c r="J400" s="5"/>
      <c r="K400" s="5"/>
      <c r="L400" s="306"/>
      <c r="M400" s="5"/>
      <c r="N400" s="5"/>
      <c r="O400" s="5"/>
      <c r="P400" s="5"/>
      <c r="Q400" s="5"/>
      <c r="R400" s="57"/>
      <c r="S400" s="5"/>
      <c r="T400" s="5"/>
      <c r="U400" s="5"/>
      <c r="V400" s="5"/>
      <c r="W400" s="5"/>
      <c r="X400" s="5"/>
      <c r="Y400" s="5"/>
      <c r="Z400" s="5"/>
      <c r="AA400" s="5"/>
      <c r="AB400" s="5"/>
      <c r="AC400" s="5"/>
    </row>
    <row r="401" spans="1:29" ht="12.75" customHeight="1">
      <c r="A401" s="5"/>
      <c r="B401" s="5"/>
      <c r="C401" s="5"/>
      <c r="D401" s="5"/>
      <c r="E401" s="5"/>
      <c r="F401" s="5"/>
      <c r="G401" s="5"/>
      <c r="H401" s="306"/>
      <c r="I401" s="306"/>
      <c r="J401" s="5"/>
      <c r="K401" s="5"/>
      <c r="L401" s="306"/>
      <c r="M401" s="5"/>
      <c r="N401" s="5"/>
      <c r="O401" s="5"/>
      <c r="P401" s="5"/>
      <c r="Q401" s="5"/>
      <c r="R401" s="57"/>
      <c r="S401" s="5"/>
      <c r="T401" s="5"/>
      <c r="U401" s="5"/>
      <c r="V401" s="5"/>
      <c r="W401" s="5"/>
      <c r="X401" s="5"/>
      <c r="Y401" s="5"/>
      <c r="Z401" s="5"/>
      <c r="AA401" s="5"/>
      <c r="AB401" s="5"/>
      <c r="AC401" s="5"/>
    </row>
    <row r="402" spans="1:29" ht="12.75" customHeight="1">
      <c r="A402" s="5"/>
      <c r="B402" s="5"/>
      <c r="C402" s="5"/>
      <c r="D402" s="5"/>
      <c r="E402" s="5"/>
      <c r="F402" s="5"/>
      <c r="G402" s="5"/>
      <c r="H402" s="306"/>
      <c r="I402" s="306"/>
      <c r="J402" s="5"/>
      <c r="K402" s="5"/>
      <c r="L402" s="306"/>
      <c r="M402" s="5"/>
      <c r="N402" s="5"/>
      <c r="O402" s="5"/>
      <c r="P402" s="5"/>
      <c r="Q402" s="5"/>
      <c r="R402" s="57"/>
      <c r="S402" s="5"/>
      <c r="T402" s="5"/>
      <c r="U402" s="5"/>
      <c r="V402" s="5"/>
      <c r="W402" s="5"/>
      <c r="X402" s="5"/>
      <c r="Y402" s="5"/>
      <c r="Z402" s="5"/>
      <c r="AA402" s="5"/>
      <c r="AB402" s="5"/>
      <c r="AC402" s="5"/>
    </row>
    <row r="403" spans="1:29" ht="12.75" customHeight="1">
      <c r="A403" s="5"/>
      <c r="B403" s="5"/>
      <c r="C403" s="5"/>
      <c r="D403" s="5"/>
      <c r="E403" s="5"/>
      <c r="F403" s="5"/>
      <c r="G403" s="5"/>
      <c r="H403" s="306"/>
      <c r="I403" s="306"/>
      <c r="J403" s="5"/>
      <c r="K403" s="5"/>
      <c r="L403" s="306"/>
      <c r="M403" s="5"/>
      <c r="N403" s="5"/>
      <c r="O403" s="5"/>
      <c r="P403" s="5"/>
      <c r="Q403" s="5"/>
      <c r="R403" s="57"/>
      <c r="S403" s="5"/>
      <c r="T403" s="5"/>
      <c r="U403" s="5"/>
      <c r="V403" s="5"/>
      <c r="W403" s="5"/>
      <c r="X403" s="5"/>
      <c r="Y403" s="5"/>
      <c r="Z403" s="5"/>
      <c r="AA403" s="5"/>
      <c r="AB403" s="5"/>
      <c r="AC403" s="5"/>
    </row>
    <row r="404" spans="1:29" ht="12.75" customHeight="1">
      <c r="A404" s="5"/>
      <c r="B404" s="5"/>
      <c r="C404" s="5"/>
      <c r="D404" s="5"/>
      <c r="E404" s="5"/>
      <c r="F404" s="5"/>
      <c r="G404" s="5"/>
      <c r="H404" s="306"/>
      <c r="I404" s="306"/>
      <c r="J404" s="5"/>
      <c r="K404" s="5"/>
      <c r="L404" s="306"/>
      <c r="M404" s="5"/>
      <c r="N404" s="5"/>
      <c r="O404" s="5"/>
      <c r="P404" s="5"/>
      <c r="Q404" s="5"/>
      <c r="R404" s="57"/>
      <c r="S404" s="5"/>
      <c r="T404" s="5"/>
      <c r="U404" s="5"/>
      <c r="V404" s="5"/>
      <c r="W404" s="5"/>
      <c r="X404" s="5"/>
      <c r="Y404" s="5"/>
      <c r="Z404" s="5"/>
      <c r="AA404" s="5"/>
      <c r="AB404" s="5"/>
      <c r="AC404" s="5"/>
    </row>
    <row r="405" spans="1:29" ht="12.75" customHeight="1">
      <c r="A405" s="5"/>
      <c r="B405" s="5"/>
      <c r="C405" s="5"/>
      <c r="D405" s="5"/>
      <c r="E405" s="5"/>
      <c r="F405" s="5"/>
      <c r="G405" s="5"/>
      <c r="H405" s="306"/>
      <c r="I405" s="306"/>
      <c r="J405" s="5"/>
      <c r="K405" s="5"/>
      <c r="L405" s="306"/>
      <c r="M405" s="5"/>
      <c r="N405" s="5"/>
      <c r="O405" s="5"/>
      <c r="P405" s="5"/>
      <c r="Q405" s="5"/>
      <c r="R405" s="57"/>
      <c r="S405" s="5"/>
      <c r="T405" s="5"/>
      <c r="U405" s="5"/>
      <c r="V405" s="5"/>
      <c r="W405" s="5"/>
      <c r="X405" s="5"/>
      <c r="Y405" s="5"/>
      <c r="Z405" s="5"/>
      <c r="AA405" s="5"/>
      <c r="AB405" s="5"/>
      <c r="AC405" s="5"/>
    </row>
    <row r="406" spans="1:29" ht="12.75" customHeight="1">
      <c r="A406" s="5"/>
      <c r="B406" s="5"/>
      <c r="C406" s="5"/>
      <c r="D406" s="5"/>
      <c r="E406" s="5"/>
      <c r="F406" s="5"/>
      <c r="G406" s="5"/>
      <c r="H406" s="306"/>
      <c r="I406" s="306"/>
      <c r="J406" s="5"/>
      <c r="K406" s="5"/>
      <c r="L406" s="306"/>
      <c r="M406" s="5"/>
      <c r="N406" s="5"/>
      <c r="O406" s="5"/>
      <c r="P406" s="5"/>
      <c r="Q406" s="5"/>
      <c r="R406" s="57"/>
      <c r="S406" s="5"/>
      <c r="T406" s="5"/>
      <c r="U406" s="5"/>
      <c r="V406" s="5"/>
      <c r="W406" s="5"/>
      <c r="X406" s="5"/>
      <c r="Y406" s="5"/>
      <c r="Z406" s="5"/>
      <c r="AA406" s="5"/>
      <c r="AB406" s="5"/>
      <c r="AC406" s="5"/>
    </row>
    <row r="407" spans="1:29" ht="12.75" customHeight="1">
      <c r="A407" s="5"/>
      <c r="B407" s="5"/>
      <c r="C407" s="5"/>
      <c r="D407" s="5"/>
      <c r="E407" s="5"/>
      <c r="F407" s="5"/>
      <c r="G407" s="5"/>
      <c r="H407" s="306"/>
      <c r="I407" s="306"/>
      <c r="J407" s="5"/>
      <c r="K407" s="5"/>
      <c r="L407" s="306"/>
      <c r="M407" s="5"/>
      <c r="N407" s="5"/>
      <c r="O407" s="5"/>
      <c r="P407" s="5"/>
      <c r="Q407" s="5"/>
      <c r="R407" s="57"/>
      <c r="S407" s="5"/>
      <c r="T407" s="5"/>
      <c r="U407" s="5"/>
      <c r="V407" s="5"/>
      <c r="W407" s="5"/>
      <c r="X407" s="5"/>
      <c r="Y407" s="5"/>
      <c r="Z407" s="5"/>
      <c r="AA407" s="5"/>
      <c r="AB407" s="5"/>
      <c r="AC407" s="5"/>
    </row>
    <row r="408" spans="1:29" ht="12.75" customHeight="1">
      <c r="A408" s="5"/>
      <c r="B408" s="5"/>
      <c r="C408" s="5"/>
      <c r="D408" s="5"/>
      <c r="E408" s="5"/>
      <c r="F408" s="5"/>
      <c r="G408" s="5"/>
      <c r="H408" s="306"/>
      <c r="I408" s="306"/>
      <c r="J408" s="5"/>
      <c r="K408" s="5"/>
      <c r="L408" s="306"/>
      <c r="M408" s="5"/>
      <c r="N408" s="5"/>
      <c r="O408" s="5"/>
      <c r="P408" s="5"/>
      <c r="Q408" s="5"/>
      <c r="R408" s="57"/>
      <c r="S408" s="5"/>
      <c r="T408" s="5"/>
      <c r="U408" s="5"/>
      <c r="V408" s="5"/>
      <c r="W408" s="5"/>
      <c r="X408" s="5"/>
      <c r="Y408" s="5"/>
      <c r="Z408" s="5"/>
      <c r="AA408" s="5"/>
      <c r="AB408" s="5"/>
      <c r="AC408" s="5"/>
    </row>
    <row r="409" spans="1:29" ht="12.75" customHeight="1">
      <c r="A409" s="5"/>
      <c r="B409" s="5"/>
      <c r="C409" s="5"/>
      <c r="D409" s="5"/>
      <c r="E409" s="5"/>
      <c r="F409" s="5"/>
      <c r="G409" s="5"/>
      <c r="H409" s="306"/>
      <c r="I409" s="306"/>
      <c r="J409" s="5"/>
      <c r="K409" s="5"/>
      <c r="L409" s="306"/>
      <c r="M409" s="5"/>
      <c r="N409" s="5"/>
      <c r="O409" s="5"/>
      <c r="P409" s="5"/>
      <c r="Q409" s="5"/>
      <c r="R409" s="57"/>
      <c r="S409" s="5"/>
      <c r="T409" s="5"/>
      <c r="U409" s="5"/>
      <c r="V409" s="5"/>
      <c r="W409" s="5"/>
      <c r="X409" s="5"/>
      <c r="Y409" s="5"/>
      <c r="Z409" s="5"/>
      <c r="AA409" s="5"/>
      <c r="AB409" s="5"/>
      <c r="AC409" s="5"/>
    </row>
    <row r="410" spans="1:29" ht="12.75" customHeight="1">
      <c r="A410" s="5"/>
      <c r="B410" s="5"/>
      <c r="C410" s="5"/>
      <c r="D410" s="5"/>
      <c r="E410" s="5"/>
      <c r="F410" s="5"/>
      <c r="G410" s="5"/>
      <c r="H410" s="306"/>
      <c r="I410" s="306"/>
      <c r="J410" s="5"/>
      <c r="K410" s="5"/>
      <c r="L410" s="306"/>
      <c r="M410" s="5"/>
      <c r="N410" s="5"/>
      <c r="O410" s="5"/>
      <c r="P410" s="5"/>
      <c r="Q410" s="5"/>
      <c r="R410" s="57"/>
      <c r="S410" s="5"/>
      <c r="T410" s="5"/>
      <c r="U410" s="5"/>
      <c r="V410" s="5"/>
      <c r="W410" s="5"/>
      <c r="X410" s="5"/>
      <c r="Y410" s="5"/>
      <c r="Z410" s="5"/>
      <c r="AA410" s="5"/>
      <c r="AB410" s="5"/>
      <c r="AC410" s="5"/>
    </row>
    <row r="411" spans="1:29" ht="12.75" customHeight="1">
      <c r="A411" s="5"/>
      <c r="B411" s="5"/>
      <c r="C411" s="5"/>
      <c r="D411" s="5"/>
      <c r="E411" s="5"/>
      <c r="F411" s="5"/>
      <c r="G411" s="5"/>
      <c r="H411" s="306"/>
      <c r="I411" s="306"/>
      <c r="J411" s="5"/>
      <c r="K411" s="5"/>
      <c r="L411" s="306"/>
      <c r="M411" s="5"/>
      <c r="N411" s="5"/>
      <c r="O411" s="5"/>
      <c r="P411" s="5"/>
      <c r="Q411" s="5"/>
      <c r="R411" s="57"/>
      <c r="S411" s="5"/>
      <c r="T411" s="5"/>
      <c r="U411" s="5"/>
      <c r="V411" s="5"/>
      <c r="W411" s="5"/>
      <c r="X411" s="5"/>
      <c r="Y411" s="5"/>
      <c r="Z411" s="5"/>
      <c r="AA411" s="5"/>
      <c r="AB411" s="5"/>
      <c r="AC411" s="5"/>
    </row>
    <row r="412" spans="1:29" ht="12.75" customHeight="1">
      <c r="A412" s="5"/>
      <c r="B412" s="5"/>
      <c r="C412" s="5"/>
      <c r="D412" s="5"/>
      <c r="E412" s="5"/>
      <c r="F412" s="5"/>
      <c r="G412" s="5"/>
      <c r="H412" s="306"/>
      <c r="I412" s="306"/>
      <c r="J412" s="5"/>
      <c r="K412" s="5"/>
      <c r="L412" s="306"/>
      <c r="M412" s="5"/>
      <c r="N412" s="5"/>
      <c r="O412" s="5"/>
      <c r="P412" s="5"/>
      <c r="Q412" s="5"/>
      <c r="R412" s="57"/>
      <c r="S412" s="5"/>
      <c r="T412" s="5"/>
      <c r="U412" s="5"/>
      <c r="V412" s="5"/>
      <c r="W412" s="5"/>
      <c r="X412" s="5"/>
      <c r="Y412" s="5"/>
      <c r="Z412" s="5"/>
      <c r="AA412" s="5"/>
      <c r="AB412" s="5"/>
      <c r="AC412" s="5"/>
    </row>
    <row r="413" spans="1:29" ht="12.75" customHeight="1">
      <c r="A413" s="5"/>
      <c r="B413" s="5"/>
      <c r="C413" s="5"/>
      <c r="D413" s="5"/>
      <c r="E413" s="5"/>
      <c r="F413" s="5"/>
      <c r="G413" s="5"/>
      <c r="H413" s="306"/>
      <c r="I413" s="306"/>
      <c r="J413" s="5"/>
      <c r="K413" s="5"/>
      <c r="L413" s="306"/>
      <c r="M413" s="5"/>
      <c r="N413" s="5"/>
      <c r="O413" s="5"/>
      <c r="P413" s="5"/>
      <c r="Q413" s="5"/>
      <c r="R413" s="57"/>
      <c r="S413" s="5"/>
      <c r="T413" s="5"/>
      <c r="U413" s="5"/>
      <c r="V413" s="5"/>
      <c r="W413" s="5"/>
      <c r="X413" s="5"/>
      <c r="Y413" s="5"/>
      <c r="Z413" s="5"/>
      <c r="AA413" s="5"/>
      <c r="AB413" s="5"/>
      <c r="AC413" s="5"/>
    </row>
    <row r="414" spans="1:29" ht="12.75" customHeight="1">
      <c r="A414" s="5"/>
      <c r="B414" s="5"/>
      <c r="C414" s="5"/>
      <c r="D414" s="5"/>
      <c r="E414" s="5"/>
      <c r="F414" s="5"/>
      <c r="G414" s="5"/>
      <c r="H414" s="306"/>
      <c r="I414" s="306"/>
      <c r="J414" s="5"/>
      <c r="K414" s="5"/>
      <c r="L414" s="306"/>
      <c r="M414" s="5"/>
      <c r="N414" s="5"/>
      <c r="O414" s="5"/>
      <c r="P414" s="5"/>
      <c r="Q414" s="5"/>
      <c r="R414" s="57"/>
      <c r="S414" s="5"/>
      <c r="T414" s="5"/>
      <c r="U414" s="5"/>
      <c r="V414" s="5"/>
      <c r="W414" s="5"/>
      <c r="X414" s="5"/>
      <c r="Y414" s="5"/>
      <c r="Z414" s="5"/>
      <c r="AA414" s="5"/>
      <c r="AB414" s="5"/>
      <c r="AC414" s="5"/>
    </row>
    <row r="415" spans="1:29" ht="12.75" customHeight="1">
      <c r="A415" s="5"/>
      <c r="B415" s="5"/>
      <c r="C415" s="5"/>
      <c r="D415" s="5"/>
      <c r="E415" s="5"/>
      <c r="F415" s="5"/>
      <c r="G415" s="5"/>
      <c r="H415" s="306"/>
      <c r="I415" s="306"/>
      <c r="J415" s="5"/>
      <c r="K415" s="5"/>
      <c r="L415" s="306"/>
      <c r="M415" s="5"/>
      <c r="N415" s="5"/>
      <c r="O415" s="5"/>
      <c r="P415" s="5"/>
      <c r="Q415" s="5"/>
      <c r="R415" s="57"/>
      <c r="S415" s="5"/>
      <c r="T415" s="5"/>
      <c r="U415" s="5"/>
      <c r="V415" s="5"/>
      <c r="W415" s="5"/>
      <c r="X415" s="5"/>
      <c r="Y415" s="5"/>
      <c r="Z415" s="5"/>
      <c r="AA415" s="5"/>
      <c r="AB415" s="5"/>
      <c r="AC415" s="5"/>
    </row>
    <row r="416" spans="1:29" ht="12.75" customHeight="1">
      <c r="A416" s="5"/>
      <c r="B416" s="5"/>
      <c r="C416" s="5"/>
      <c r="D416" s="5"/>
      <c r="E416" s="5"/>
      <c r="F416" s="5"/>
      <c r="G416" s="5"/>
      <c r="H416" s="306"/>
      <c r="I416" s="306"/>
      <c r="J416" s="5"/>
      <c r="K416" s="5"/>
      <c r="L416" s="306"/>
      <c r="M416" s="5"/>
      <c r="N416" s="5"/>
      <c r="O416" s="5"/>
      <c r="P416" s="5"/>
      <c r="Q416" s="5"/>
      <c r="R416" s="57"/>
      <c r="S416" s="5"/>
      <c r="T416" s="5"/>
      <c r="U416" s="5"/>
      <c r="V416" s="5"/>
      <c r="W416" s="5"/>
      <c r="X416" s="5"/>
      <c r="Y416" s="5"/>
      <c r="Z416" s="5"/>
      <c r="AA416" s="5"/>
      <c r="AB416" s="5"/>
      <c r="AC416" s="5"/>
    </row>
    <row r="417" spans="1:29" ht="12.75" customHeight="1">
      <c r="A417" s="5"/>
      <c r="B417" s="5"/>
      <c r="C417" s="5"/>
      <c r="D417" s="5"/>
      <c r="E417" s="5"/>
      <c r="F417" s="5"/>
      <c r="G417" s="5"/>
      <c r="H417" s="306"/>
      <c r="I417" s="306"/>
      <c r="J417" s="5"/>
      <c r="K417" s="5"/>
      <c r="L417" s="306"/>
      <c r="M417" s="5"/>
      <c r="N417" s="5"/>
      <c r="O417" s="5"/>
      <c r="P417" s="5"/>
      <c r="Q417" s="5"/>
      <c r="R417" s="57"/>
      <c r="S417" s="5"/>
      <c r="T417" s="5"/>
      <c r="U417" s="5"/>
      <c r="V417" s="5"/>
      <c r="W417" s="5"/>
      <c r="X417" s="5"/>
      <c r="Y417" s="5"/>
      <c r="Z417" s="5"/>
      <c r="AA417" s="5"/>
      <c r="AB417" s="5"/>
      <c r="AC417" s="5"/>
    </row>
    <row r="418" spans="1:29" ht="12.75" customHeight="1">
      <c r="A418" s="5"/>
      <c r="B418" s="5"/>
      <c r="C418" s="5"/>
      <c r="D418" s="5"/>
      <c r="E418" s="5"/>
      <c r="F418" s="5"/>
      <c r="G418" s="5"/>
      <c r="H418" s="306"/>
      <c r="I418" s="306"/>
      <c r="J418" s="5"/>
      <c r="K418" s="5"/>
      <c r="L418" s="306"/>
      <c r="M418" s="5"/>
      <c r="N418" s="5"/>
      <c r="O418" s="5"/>
      <c r="P418" s="5"/>
      <c r="Q418" s="5"/>
      <c r="R418" s="57"/>
      <c r="S418" s="5"/>
      <c r="T418" s="5"/>
      <c r="U418" s="5"/>
      <c r="V418" s="5"/>
      <c r="W418" s="5"/>
      <c r="X418" s="5"/>
      <c r="Y418" s="5"/>
      <c r="Z418" s="5"/>
      <c r="AA418" s="5"/>
      <c r="AB418" s="5"/>
      <c r="AC418" s="5"/>
    </row>
    <row r="419" spans="1:29" ht="12.75" customHeight="1">
      <c r="A419" s="5"/>
      <c r="B419" s="5"/>
      <c r="C419" s="5"/>
      <c r="D419" s="5"/>
      <c r="E419" s="5"/>
      <c r="F419" s="5"/>
      <c r="G419" s="5"/>
      <c r="H419" s="306"/>
      <c r="I419" s="306"/>
      <c r="J419" s="5"/>
      <c r="K419" s="5"/>
      <c r="L419" s="306"/>
      <c r="M419" s="5"/>
      <c r="N419" s="5"/>
      <c r="O419" s="5"/>
      <c r="P419" s="5"/>
      <c r="Q419" s="5"/>
      <c r="R419" s="57"/>
      <c r="S419" s="5"/>
      <c r="T419" s="5"/>
      <c r="U419" s="5"/>
      <c r="V419" s="5"/>
      <c r="W419" s="5"/>
      <c r="X419" s="5"/>
      <c r="Y419" s="5"/>
      <c r="Z419" s="5"/>
      <c r="AA419" s="5"/>
      <c r="AB419" s="5"/>
      <c r="AC419" s="5"/>
    </row>
    <row r="420" spans="1:29" ht="12.75" customHeight="1">
      <c r="A420" s="5"/>
      <c r="B420" s="5"/>
      <c r="C420" s="5"/>
      <c r="D420" s="5"/>
      <c r="E420" s="5"/>
      <c r="F420" s="5"/>
      <c r="G420" s="5"/>
      <c r="H420" s="306"/>
      <c r="I420" s="306"/>
      <c r="J420" s="5"/>
      <c r="K420" s="5"/>
      <c r="L420" s="306"/>
      <c r="M420" s="5"/>
      <c r="N420" s="5"/>
      <c r="O420" s="5"/>
      <c r="P420" s="5"/>
      <c r="Q420" s="5"/>
      <c r="R420" s="57"/>
      <c r="S420" s="5"/>
      <c r="T420" s="5"/>
      <c r="U420" s="5"/>
      <c r="V420" s="5"/>
      <c r="W420" s="5"/>
      <c r="X420" s="5"/>
      <c r="Y420" s="5"/>
      <c r="Z420" s="5"/>
      <c r="AA420" s="5"/>
      <c r="AB420" s="5"/>
      <c r="AC420" s="5"/>
    </row>
    <row r="421" spans="1:29" ht="12.75" customHeight="1">
      <c r="A421" s="5"/>
      <c r="B421" s="5"/>
      <c r="C421" s="5"/>
      <c r="D421" s="5"/>
      <c r="E421" s="5"/>
      <c r="F421" s="5"/>
      <c r="G421" s="5"/>
      <c r="H421" s="306"/>
      <c r="I421" s="306"/>
      <c r="J421" s="5"/>
      <c r="K421" s="5"/>
      <c r="L421" s="306"/>
      <c r="M421" s="5"/>
      <c r="N421" s="5"/>
      <c r="O421" s="5"/>
      <c r="P421" s="5"/>
      <c r="Q421" s="5"/>
      <c r="R421" s="57"/>
      <c r="S421" s="5"/>
      <c r="T421" s="5"/>
      <c r="U421" s="5"/>
      <c r="V421" s="5"/>
      <c r="W421" s="5"/>
      <c r="X421" s="5"/>
      <c r="Y421" s="5"/>
      <c r="Z421" s="5"/>
      <c r="AA421" s="5"/>
      <c r="AB421" s="5"/>
      <c r="AC421" s="5"/>
    </row>
    <row r="422" spans="1:29" ht="12.75" customHeight="1">
      <c r="A422" s="5"/>
      <c r="B422" s="5"/>
      <c r="C422" s="5"/>
      <c r="D422" s="5"/>
      <c r="E422" s="5"/>
      <c r="F422" s="5"/>
      <c r="G422" s="5"/>
      <c r="H422" s="306"/>
      <c r="I422" s="306"/>
      <c r="J422" s="5"/>
      <c r="K422" s="5"/>
      <c r="L422" s="306"/>
      <c r="M422" s="5"/>
      <c r="N422" s="5"/>
      <c r="O422" s="5"/>
      <c r="P422" s="5"/>
      <c r="Q422" s="5"/>
      <c r="R422" s="57"/>
      <c r="S422" s="5"/>
      <c r="T422" s="5"/>
      <c r="U422" s="5"/>
      <c r="V422" s="5"/>
      <c r="W422" s="5"/>
      <c r="X422" s="5"/>
      <c r="Y422" s="5"/>
      <c r="Z422" s="5"/>
      <c r="AA422" s="5"/>
      <c r="AB422" s="5"/>
      <c r="AC422" s="5"/>
    </row>
    <row r="423" spans="1:29" ht="12.75" customHeight="1">
      <c r="A423" s="5"/>
      <c r="B423" s="5"/>
      <c r="C423" s="5"/>
      <c r="D423" s="5"/>
      <c r="E423" s="5"/>
      <c r="F423" s="5"/>
      <c r="G423" s="5"/>
      <c r="H423" s="306"/>
      <c r="I423" s="306"/>
      <c r="J423" s="5"/>
      <c r="K423" s="5"/>
      <c r="L423" s="306"/>
      <c r="M423" s="5"/>
      <c r="N423" s="5"/>
      <c r="O423" s="5"/>
      <c r="P423" s="5"/>
      <c r="Q423" s="5"/>
      <c r="R423" s="57"/>
      <c r="S423" s="5"/>
      <c r="T423" s="5"/>
      <c r="U423" s="5"/>
      <c r="V423" s="5"/>
      <c r="W423" s="5"/>
      <c r="X423" s="5"/>
      <c r="Y423" s="5"/>
      <c r="Z423" s="5"/>
      <c r="AA423" s="5"/>
      <c r="AB423" s="5"/>
      <c r="AC423" s="5"/>
    </row>
    <row r="424" spans="1:29" ht="12.75" customHeight="1">
      <c r="A424" s="5"/>
      <c r="B424" s="5"/>
      <c r="C424" s="5"/>
      <c r="D424" s="5"/>
      <c r="E424" s="5"/>
      <c r="F424" s="5"/>
      <c r="G424" s="5"/>
      <c r="H424" s="306"/>
      <c r="I424" s="306"/>
      <c r="J424" s="5"/>
      <c r="K424" s="5"/>
      <c r="L424" s="306"/>
      <c r="M424" s="5"/>
      <c r="N424" s="5"/>
      <c r="O424" s="5"/>
      <c r="P424" s="5"/>
      <c r="Q424" s="5"/>
      <c r="R424" s="57"/>
      <c r="S424" s="5"/>
      <c r="T424" s="5"/>
      <c r="U424" s="5"/>
      <c r="V424" s="5"/>
      <c r="W424" s="5"/>
      <c r="X424" s="5"/>
      <c r="Y424" s="5"/>
      <c r="Z424" s="5"/>
      <c r="AA424" s="5"/>
      <c r="AB424" s="5"/>
      <c r="AC424" s="5"/>
    </row>
    <row r="425" spans="1:29" ht="12.75" customHeight="1">
      <c r="A425" s="5"/>
      <c r="B425" s="5"/>
      <c r="C425" s="5"/>
      <c r="D425" s="5"/>
      <c r="E425" s="5"/>
      <c r="F425" s="5"/>
      <c r="G425" s="5"/>
      <c r="H425" s="306"/>
      <c r="I425" s="306"/>
      <c r="J425" s="5"/>
      <c r="K425" s="5"/>
      <c r="L425" s="306"/>
      <c r="M425" s="5"/>
      <c r="N425" s="5"/>
      <c r="O425" s="5"/>
      <c r="P425" s="5"/>
      <c r="Q425" s="5"/>
      <c r="R425" s="57"/>
      <c r="S425" s="5"/>
      <c r="T425" s="5"/>
      <c r="U425" s="5"/>
      <c r="V425" s="5"/>
      <c r="W425" s="5"/>
      <c r="X425" s="5"/>
      <c r="Y425" s="5"/>
      <c r="Z425" s="5"/>
      <c r="AA425" s="5"/>
      <c r="AB425" s="5"/>
      <c r="AC425" s="5"/>
    </row>
    <row r="426" spans="1:29" ht="12.75" customHeight="1">
      <c r="A426" s="5"/>
      <c r="B426" s="5"/>
      <c r="C426" s="5"/>
      <c r="D426" s="5"/>
      <c r="E426" s="5"/>
      <c r="F426" s="5"/>
      <c r="G426" s="5"/>
      <c r="H426" s="306"/>
      <c r="I426" s="306"/>
      <c r="J426" s="5"/>
      <c r="K426" s="5"/>
      <c r="L426" s="306"/>
      <c r="M426" s="5"/>
      <c r="N426" s="5"/>
      <c r="O426" s="5"/>
      <c r="P426" s="5"/>
      <c r="Q426" s="5"/>
      <c r="R426" s="57"/>
      <c r="S426" s="5"/>
      <c r="T426" s="5"/>
      <c r="U426" s="5"/>
      <c r="V426" s="5"/>
      <c r="W426" s="5"/>
      <c r="X426" s="5"/>
      <c r="Y426" s="5"/>
      <c r="Z426" s="5"/>
      <c r="AA426" s="5"/>
      <c r="AB426" s="5"/>
      <c r="AC426" s="5"/>
    </row>
    <row r="427" spans="1:29" ht="12.75" customHeight="1">
      <c r="A427" s="5"/>
      <c r="B427" s="5"/>
      <c r="C427" s="5"/>
      <c r="D427" s="5"/>
      <c r="E427" s="5"/>
      <c r="F427" s="5"/>
      <c r="G427" s="5"/>
      <c r="H427" s="306"/>
      <c r="I427" s="306"/>
      <c r="J427" s="5"/>
      <c r="K427" s="5"/>
      <c r="L427" s="306"/>
      <c r="M427" s="5"/>
      <c r="N427" s="5"/>
      <c r="O427" s="5"/>
      <c r="P427" s="5"/>
      <c r="Q427" s="5"/>
      <c r="R427" s="57"/>
      <c r="S427" s="5"/>
      <c r="T427" s="5"/>
      <c r="U427" s="5"/>
      <c r="V427" s="5"/>
      <c r="W427" s="5"/>
      <c r="X427" s="5"/>
      <c r="Y427" s="5"/>
      <c r="Z427" s="5"/>
      <c r="AA427" s="5"/>
      <c r="AB427" s="5"/>
      <c r="AC427" s="5"/>
    </row>
    <row r="428" spans="1:29" ht="12.75" customHeight="1">
      <c r="A428" s="5"/>
      <c r="B428" s="5"/>
      <c r="C428" s="5"/>
      <c r="D428" s="5"/>
      <c r="E428" s="5"/>
      <c r="F428" s="5"/>
      <c r="G428" s="5"/>
      <c r="H428" s="306"/>
      <c r="I428" s="306"/>
      <c r="J428" s="5"/>
      <c r="K428" s="5"/>
      <c r="L428" s="306"/>
      <c r="M428" s="5"/>
      <c r="N428" s="5"/>
      <c r="O428" s="5"/>
      <c r="P428" s="5"/>
      <c r="Q428" s="5"/>
      <c r="R428" s="57"/>
      <c r="S428" s="5"/>
      <c r="T428" s="5"/>
      <c r="U428" s="5"/>
      <c r="V428" s="5"/>
      <c r="W428" s="5"/>
      <c r="X428" s="5"/>
      <c r="Y428" s="5"/>
      <c r="Z428" s="5"/>
      <c r="AA428" s="5"/>
      <c r="AB428" s="5"/>
      <c r="AC428" s="5"/>
    </row>
    <row r="429" spans="1:29" ht="12.75" customHeight="1">
      <c r="A429" s="5"/>
      <c r="B429" s="5"/>
      <c r="C429" s="5"/>
      <c r="D429" s="5"/>
      <c r="E429" s="5"/>
      <c r="F429" s="5"/>
      <c r="G429" s="5"/>
      <c r="H429" s="306"/>
      <c r="I429" s="306"/>
      <c r="J429" s="5"/>
      <c r="K429" s="5"/>
      <c r="L429" s="306"/>
      <c r="M429" s="5"/>
      <c r="N429" s="5"/>
      <c r="O429" s="5"/>
      <c r="P429" s="5"/>
      <c r="Q429" s="5"/>
      <c r="R429" s="57"/>
      <c r="S429" s="5"/>
      <c r="T429" s="5"/>
      <c r="U429" s="5"/>
      <c r="V429" s="5"/>
      <c r="W429" s="5"/>
      <c r="X429" s="5"/>
      <c r="Y429" s="5"/>
      <c r="Z429" s="5"/>
      <c r="AA429" s="5"/>
      <c r="AB429" s="5"/>
      <c r="AC429" s="5"/>
    </row>
    <row r="430" spans="1:29" ht="12.75" customHeight="1">
      <c r="A430" s="5"/>
      <c r="B430" s="5"/>
      <c r="C430" s="5"/>
      <c r="D430" s="5"/>
      <c r="E430" s="5"/>
      <c r="F430" s="5"/>
      <c r="G430" s="5"/>
      <c r="H430" s="306"/>
      <c r="I430" s="306"/>
      <c r="J430" s="5"/>
      <c r="K430" s="5"/>
      <c r="L430" s="306"/>
      <c r="M430" s="5"/>
      <c r="N430" s="5"/>
      <c r="O430" s="5"/>
      <c r="P430" s="5"/>
      <c r="Q430" s="5"/>
      <c r="R430" s="57"/>
      <c r="S430" s="5"/>
      <c r="T430" s="5"/>
      <c r="U430" s="5"/>
      <c r="V430" s="5"/>
      <c r="W430" s="5"/>
      <c r="X430" s="5"/>
      <c r="Y430" s="5"/>
      <c r="Z430" s="5"/>
      <c r="AA430" s="5"/>
      <c r="AB430" s="5"/>
      <c r="AC430" s="5"/>
    </row>
    <row r="431" spans="1:29" ht="12.75" customHeight="1">
      <c r="A431" s="5"/>
      <c r="B431" s="5"/>
      <c r="C431" s="5"/>
      <c r="D431" s="5"/>
      <c r="E431" s="5"/>
      <c r="F431" s="5"/>
      <c r="G431" s="5"/>
      <c r="H431" s="306"/>
      <c r="I431" s="306"/>
      <c r="J431" s="5"/>
      <c r="K431" s="5"/>
      <c r="L431" s="306"/>
      <c r="M431" s="5"/>
      <c r="N431" s="5"/>
      <c r="O431" s="5"/>
      <c r="P431" s="5"/>
      <c r="Q431" s="5"/>
      <c r="R431" s="57"/>
      <c r="S431" s="5"/>
      <c r="T431" s="5"/>
      <c r="U431" s="5"/>
      <c r="V431" s="5"/>
      <c r="W431" s="5"/>
      <c r="X431" s="5"/>
      <c r="Y431" s="5"/>
      <c r="Z431" s="5"/>
      <c r="AA431" s="5"/>
      <c r="AB431" s="5"/>
      <c r="AC431" s="5"/>
    </row>
    <row r="432" spans="1:29" ht="12.75" customHeight="1">
      <c r="A432" s="5"/>
      <c r="B432" s="5"/>
      <c r="C432" s="5"/>
      <c r="D432" s="5"/>
      <c r="E432" s="5"/>
      <c r="F432" s="5"/>
      <c r="G432" s="5"/>
      <c r="H432" s="306"/>
      <c r="I432" s="306"/>
      <c r="J432" s="5"/>
      <c r="K432" s="5"/>
      <c r="L432" s="306"/>
      <c r="M432" s="5"/>
      <c r="N432" s="5"/>
      <c r="O432" s="5"/>
      <c r="P432" s="5"/>
      <c r="Q432" s="5"/>
      <c r="R432" s="57"/>
      <c r="S432" s="5"/>
      <c r="T432" s="5"/>
      <c r="U432" s="5"/>
      <c r="V432" s="5"/>
      <c r="W432" s="5"/>
      <c r="X432" s="5"/>
      <c r="Y432" s="5"/>
      <c r="Z432" s="5"/>
      <c r="AA432" s="5"/>
      <c r="AB432" s="5"/>
      <c r="AC432" s="5"/>
    </row>
    <row r="433" spans="1:29" ht="12.75" customHeight="1">
      <c r="A433" s="5"/>
      <c r="B433" s="5"/>
      <c r="C433" s="5"/>
      <c r="D433" s="5"/>
      <c r="E433" s="5"/>
      <c r="F433" s="5"/>
      <c r="G433" s="5"/>
      <c r="H433" s="306"/>
      <c r="I433" s="306"/>
      <c r="J433" s="5"/>
      <c r="K433" s="5"/>
      <c r="L433" s="306"/>
      <c r="M433" s="5"/>
      <c r="N433" s="5"/>
      <c r="O433" s="5"/>
      <c r="P433" s="5"/>
      <c r="Q433" s="5"/>
      <c r="R433" s="57"/>
      <c r="S433" s="5"/>
      <c r="T433" s="5"/>
      <c r="U433" s="5"/>
      <c r="V433" s="5"/>
      <c r="W433" s="5"/>
      <c r="X433" s="5"/>
      <c r="Y433" s="5"/>
      <c r="Z433" s="5"/>
      <c r="AA433" s="5"/>
      <c r="AB433" s="5"/>
      <c r="AC433" s="5"/>
    </row>
    <row r="434" spans="1:29" ht="12.75" customHeight="1">
      <c r="A434" s="5"/>
      <c r="B434" s="5"/>
      <c r="C434" s="5"/>
      <c r="D434" s="5"/>
      <c r="E434" s="5"/>
      <c r="F434" s="5"/>
      <c r="G434" s="5"/>
      <c r="H434" s="306"/>
      <c r="I434" s="306"/>
      <c r="J434" s="5"/>
      <c r="K434" s="5"/>
      <c r="L434" s="306"/>
      <c r="M434" s="5"/>
      <c r="N434" s="5"/>
      <c r="O434" s="5"/>
      <c r="P434" s="5"/>
      <c r="Q434" s="5"/>
      <c r="R434" s="57"/>
      <c r="S434" s="5"/>
      <c r="T434" s="5"/>
      <c r="U434" s="5"/>
      <c r="V434" s="5"/>
      <c r="W434" s="5"/>
      <c r="X434" s="5"/>
      <c r="Y434" s="5"/>
      <c r="Z434" s="5"/>
      <c r="AA434" s="5"/>
      <c r="AB434" s="5"/>
      <c r="AC434" s="5"/>
    </row>
    <row r="435" spans="1:29" ht="12.75" customHeight="1">
      <c r="A435" s="5"/>
      <c r="B435" s="5"/>
      <c r="C435" s="5"/>
      <c r="D435" s="5"/>
      <c r="E435" s="5"/>
      <c r="F435" s="5"/>
      <c r="G435" s="5"/>
      <c r="H435" s="306"/>
      <c r="I435" s="306"/>
      <c r="J435" s="5"/>
      <c r="K435" s="5"/>
      <c r="L435" s="306"/>
      <c r="M435" s="5"/>
      <c r="N435" s="5"/>
      <c r="O435" s="5"/>
      <c r="P435" s="5"/>
      <c r="Q435" s="5"/>
      <c r="R435" s="57"/>
      <c r="S435" s="5"/>
      <c r="T435" s="5"/>
      <c r="U435" s="5"/>
      <c r="V435" s="5"/>
      <c r="W435" s="5"/>
      <c r="X435" s="5"/>
      <c r="Y435" s="5"/>
      <c r="Z435" s="5"/>
      <c r="AA435" s="5"/>
      <c r="AB435" s="5"/>
      <c r="AC435" s="5"/>
    </row>
    <row r="436" spans="1:29" ht="12.75" customHeight="1">
      <c r="A436" s="5"/>
      <c r="B436" s="5"/>
      <c r="C436" s="5"/>
      <c r="D436" s="5"/>
      <c r="E436" s="5"/>
      <c r="F436" s="5"/>
      <c r="G436" s="5"/>
      <c r="H436" s="306"/>
      <c r="I436" s="306"/>
      <c r="J436" s="5"/>
      <c r="K436" s="5"/>
      <c r="L436" s="306"/>
      <c r="M436" s="5"/>
      <c r="N436" s="5"/>
      <c r="O436" s="5"/>
      <c r="P436" s="5"/>
      <c r="Q436" s="5"/>
      <c r="R436" s="57"/>
      <c r="S436" s="5"/>
      <c r="T436" s="5"/>
      <c r="U436" s="5"/>
      <c r="V436" s="5"/>
      <c r="W436" s="5"/>
      <c r="X436" s="5"/>
      <c r="Y436" s="5"/>
      <c r="Z436" s="5"/>
      <c r="AA436" s="5"/>
      <c r="AB436" s="5"/>
      <c r="AC436" s="5"/>
    </row>
    <row r="437" spans="1:29" ht="12.75" customHeight="1">
      <c r="A437" s="5"/>
      <c r="B437" s="5"/>
      <c r="C437" s="5"/>
      <c r="D437" s="5"/>
      <c r="E437" s="5"/>
      <c r="F437" s="5"/>
      <c r="G437" s="5"/>
      <c r="H437" s="306"/>
      <c r="I437" s="306"/>
      <c r="J437" s="5"/>
      <c r="K437" s="5"/>
      <c r="L437" s="306"/>
      <c r="M437" s="5"/>
      <c r="N437" s="5"/>
      <c r="O437" s="5"/>
      <c r="P437" s="5"/>
      <c r="Q437" s="5"/>
      <c r="R437" s="57"/>
      <c r="S437" s="5"/>
      <c r="T437" s="5"/>
      <c r="U437" s="5"/>
      <c r="V437" s="5"/>
      <c r="W437" s="5"/>
      <c r="X437" s="5"/>
      <c r="Y437" s="5"/>
      <c r="Z437" s="5"/>
      <c r="AA437" s="5"/>
      <c r="AB437" s="5"/>
      <c r="AC437" s="5"/>
    </row>
    <row r="438" spans="1:29" ht="12.75" customHeight="1">
      <c r="A438" s="5"/>
      <c r="B438" s="5"/>
      <c r="C438" s="5"/>
      <c r="D438" s="5"/>
      <c r="E438" s="5"/>
      <c r="F438" s="5"/>
      <c r="G438" s="5"/>
      <c r="H438" s="306"/>
      <c r="I438" s="306"/>
      <c r="J438" s="5"/>
      <c r="K438" s="5"/>
      <c r="L438" s="306"/>
      <c r="M438" s="5"/>
      <c r="N438" s="5"/>
      <c r="O438" s="5"/>
      <c r="P438" s="5"/>
      <c r="Q438" s="5"/>
      <c r="R438" s="57"/>
      <c r="S438" s="5"/>
      <c r="T438" s="5"/>
      <c r="U438" s="5"/>
      <c r="V438" s="5"/>
      <c r="W438" s="5"/>
      <c r="X438" s="5"/>
      <c r="Y438" s="5"/>
      <c r="Z438" s="5"/>
      <c r="AA438" s="5"/>
      <c r="AB438" s="5"/>
      <c r="AC438" s="5"/>
    </row>
    <row r="439" spans="1:29" ht="12.75" customHeight="1">
      <c r="A439" s="5"/>
      <c r="B439" s="5"/>
      <c r="C439" s="5"/>
      <c r="D439" s="5"/>
      <c r="E439" s="5"/>
      <c r="F439" s="5"/>
      <c r="G439" s="5"/>
      <c r="H439" s="306"/>
      <c r="I439" s="306"/>
      <c r="J439" s="5"/>
      <c r="K439" s="5"/>
      <c r="L439" s="306"/>
      <c r="M439" s="5"/>
      <c r="N439" s="5"/>
      <c r="O439" s="5"/>
      <c r="P439" s="5"/>
      <c r="Q439" s="5"/>
      <c r="R439" s="57"/>
      <c r="S439" s="5"/>
      <c r="T439" s="5"/>
      <c r="U439" s="5"/>
      <c r="V439" s="5"/>
      <c r="W439" s="5"/>
      <c r="X439" s="5"/>
      <c r="Y439" s="5"/>
      <c r="Z439" s="5"/>
      <c r="AA439" s="5"/>
      <c r="AB439" s="5"/>
      <c r="AC439" s="5"/>
    </row>
    <row r="440" spans="1:29" ht="12.75" customHeight="1">
      <c r="A440" s="5"/>
      <c r="B440" s="5"/>
      <c r="C440" s="5"/>
      <c r="D440" s="5"/>
      <c r="E440" s="5"/>
      <c r="F440" s="5"/>
      <c r="G440" s="5"/>
      <c r="H440" s="306"/>
      <c r="I440" s="306"/>
      <c r="J440" s="5"/>
      <c r="K440" s="5"/>
      <c r="L440" s="306"/>
      <c r="M440" s="5"/>
      <c r="N440" s="5"/>
      <c r="O440" s="5"/>
      <c r="P440" s="5"/>
      <c r="Q440" s="5"/>
      <c r="R440" s="57"/>
      <c r="S440" s="5"/>
      <c r="T440" s="5"/>
      <c r="U440" s="5"/>
      <c r="V440" s="5"/>
      <c r="W440" s="5"/>
      <c r="X440" s="5"/>
      <c r="Y440" s="5"/>
      <c r="Z440" s="5"/>
      <c r="AA440" s="5"/>
      <c r="AB440" s="5"/>
      <c r="AC440" s="5"/>
    </row>
    <row r="441" spans="1:29" ht="12.75" customHeight="1">
      <c r="A441" s="5"/>
      <c r="B441" s="5"/>
      <c r="C441" s="5"/>
      <c r="D441" s="5"/>
      <c r="E441" s="5"/>
      <c r="F441" s="5"/>
      <c r="G441" s="5"/>
      <c r="H441" s="306"/>
      <c r="I441" s="306"/>
      <c r="J441" s="5"/>
      <c r="K441" s="5"/>
      <c r="L441" s="306"/>
      <c r="M441" s="5"/>
      <c r="N441" s="5"/>
      <c r="O441" s="5"/>
      <c r="P441" s="5"/>
      <c r="Q441" s="5"/>
      <c r="R441" s="57"/>
      <c r="S441" s="5"/>
      <c r="T441" s="5"/>
      <c r="U441" s="5"/>
      <c r="V441" s="5"/>
      <c r="W441" s="5"/>
      <c r="X441" s="5"/>
      <c r="Y441" s="5"/>
      <c r="Z441" s="5"/>
      <c r="AA441" s="5"/>
      <c r="AB441" s="5"/>
      <c r="AC441" s="5"/>
    </row>
    <row r="442" spans="1:29" ht="12.75" customHeight="1">
      <c r="A442" s="5"/>
      <c r="B442" s="5"/>
      <c r="C442" s="5"/>
      <c r="D442" s="5"/>
      <c r="E442" s="5"/>
      <c r="F442" s="5"/>
      <c r="G442" s="5"/>
      <c r="H442" s="306"/>
      <c r="I442" s="306"/>
      <c r="J442" s="5"/>
      <c r="K442" s="5"/>
      <c r="L442" s="306"/>
      <c r="M442" s="5"/>
      <c r="N442" s="5"/>
      <c r="O442" s="5"/>
      <c r="P442" s="5"/>
      <c r="Q442" s="5"/>
      <c r="R442" s="57"/>
      <c r="S442" s="5"/>
      <c r="T442" s="5"/>
      <c r="U442" s="5"/>
      <c r="V442" s="5"/>
      <c r="W442" s="5"/>
      <c r="X442" s="5"/>
      <c r="Y442" s="5"/>
      <c r="Z442" s="5"/>
      <c r="AA442" s="5"/>
      <c r="AB442" s="5"/>
      <c r="AC442" s="5"/>
    </row>
    <row r="443" spans="1:29" ht="12.75" customHeight="1">
      <c r="A443" s="5"/>
      <c r="B443" s="5"/>
      <c r="C443" s="5"/>
      <c r="D443" s="5"/>
      <c r="E443" s="5"/>
      <c r="F443" s="5"/>
      <c r="G443" s="5"/>
      <c r="H443" s="306"/>
      <c r="I443" s="306"/>
      <c r="J443" s="5"/>
      <c r="K443" s="5"/>
      <c r="L443" s="306"/>
      <c r="M443" s="5"/>
      <c r="N443" s="5"/>
      <c r="O443" s="5"/>
      <c r="P443" s="5"/>
      <c r="Q443" s="5"/>
      <c r="R443" s="57"/>
      <c r="S443" s="5"/>
      <c r="T443" s="5"/>
      <c r="U443" s="5"/>
      <c r="V443" s="5"/>
      <c r="W443" s="5"/>
      <c r="X443" s="5"/>
      <c r="Y443" s="5"/>
      <c r="Z443" s="5"/>
      <c r="AA443" s="5"/>
      <c r="AB443" s="5"/>
      <c r="AC443" s="5"/>
    </row>
    <row r="444" spans="1:29" ht="12.75" customHeight="1">
      <c r="A444" s="5"/>
      <c r="B444" s="5"/>
      <c r="C444" s="5"/>
      <c r="D444" s="5"/>
      <c r="E444" s="5"/>
      <c r="F444" s="5"/>
      <c r="G444" s="5"/>
      <c r="H444" s="306"/>
      <c r="I444" s="306"/>
      <c r="J444" s="5"/>
      <c r="K444" s="5"/>
      <c r="L444" s="306"/>
      <c r="M444" s="5"/>
      <c r="N444" s="5"/>
      <c r="O444" s="5"/>
      <c r="P444" s="5"/>
      <c r="Q444" s="5"/>
      <c r="R444" s="57"/>
      <c r="S444" s="5"/>
      <c r="T444" s="5"/>
      <c r="U444" s="5"/>
      <c r="V444" s="5"/>
      <c r="W444" s="5"/>
      <c r="X444" s="5"/>
      <c r="Y444" s="5"/>
      <c r="Z444" s="5"/>
      <c r="AA444" s="5"/>
      <c r="AB444" s="5"/>
      <c r="AC444" s="5"/>
    </row>
    <row r="445" spans="1:29" ht="12.75" customHeight="1">
      <c r="A445" s="5"/>
      <c r="B445" s="5"/>
      <c r="C445" s="5"/>
      <c r="D445" s="5"/>
      <c r="E445" s="5"/>
      <c r="F445" s="5"/>
      <c r="G445" s="5"/>
      <c r="H445" s="306"/>
      <c r="I445" s="306"/>
      <c r="J445" s="5"/>
      <c r="K445" s="5"/>
      <c r="L445" s="306"/>
      <c r="M445" s="5"/>
      <c r="N445" s="5"/>
      <c r="O445" s="5"/>
      <c r="P445" s="5"/>
      <c r="Q445" s="5"/>
      <c r="R445" s="57"/>
      <c r="S445" s="5"/>
      <c r="T445" s="5"/>
      <c r="U445" s="5"/>
      <c r="V445" s="5"/>
      <c r="W445" s="5"/>
      <c r="X445" s="5"/>
      <c r="Y445" s="5"/>
      <c r="Z445" s="5"/>
      <c r="AA445" s="5"/>
      <c r="AB445" s="5"/>
      <c r="AC445" s="5"/>
    </row>
    <row r="446" spans="1:29" ht="12.75" customHeight="1">
      <c r="A446" s="5"/>
      <c r="B446" s="5"/>
      <c r="C446" s="5"/>
      <c r="D446" s="5"/>
      <c r="E446" s="5"/>
      <c r="F446" s="5"/>
      <c r="G446" s="5"/>
      <c r="H446" s="306"/>
      <c r="I446" s="306"/>
      <c r="J446" s="5"/>
      <c r="K446" s="5"/>
      <c r="L446" s="306"/>
      <c r="M446" s="5"/>
      <c r="N446" s="5"/>
      <c r="O446" s="5"/>
      <c r="P446" s="5"/>
      <c r="Q446" s="5"/>
      <c r="R446" s="57"/>
      <c r="S446" s="5"/>
      <c r="T446" s="5"/>
      <c r="U446" s="5"/>
      <c r="V446" s="5"/>
      <c r="W446" s="5"/>
      <c r="X446" s="5"/>
      <c r="Y446" s="5"/>
      <c r="Z446" s="5"/>
      <c r="AA446" s="5"/>
      <c r="AB446" s="5"/>
      <c r="AC446" s="5"/>
    </row>
    <row r="447" spans="1:29" ht="12.75" customHeight="1">
      <c r="A447" s="5"/>
      <c r="B447" s="5"/>
      <c r="C447" s="5"/>
      <c r="D447" s="5"/>
      <c r="E447" s="5"/>
      <c r="F447" s="5"/>
      <c r="G447" s="5"/>
      <c r="H447" s="306"/>
      <c r="I447" s="306"/>
      <c r="J447" s="5"/>
      <c r="K447" s="5"/>
      <c r="L447" s="306"/>
      <c r="M447" s="5"/>
      <c r="N447" s="5"/>
      <c r="O447" s="5"/>
      <c r="P447" s="5"/>
      <c r="Q447" s="5"/>
      <c r="R447" s="57"/>
      <c r="S447" s="5"/>
      <c r="T447" s="5"/>
      <c r="U447" s="5"/>
      <c r="V447" s="5"/>
      <c r="W447" s="5"/>
      <c r="X447" s="5"/>
      <c r="Y447" s="5"/>
      <c r="Z447" s="5"/>
      <c r="AA447" s="5"/>
      <c r="AB447" s="5"/>
      <c r="AC447" s="5"/>
    </row>
    <row r="448" spans="1:29" ht="12.75" customHeight="1">
      <c r="A448" s="5"/>
      <c r="B448" s="5"/>
      <c r="C448" s="5"/>
      <c r="D448" s="5"/>
      <c r="E448" s="5"/>
      <c r="F448" s="5"/>
      <c r="G448" s="5"/>
      <c r="H448" s="306"/>
      <c r="I448" s="306"/>
      <c r="J448" s="5"/>
      <c r="K448" s="5"/>
      <c r="L448" s="306"/>
      <c r="M448" s="5"/>
      <c r="N448" s="5"/>
      <c r="O448" s="5"/>
      <c r="P448" s="5"/>
      <c r="Q448" s="5"/>
      <c r="R448" s="57"/>
      <c r="S448" s="5"/>
      <c r="T448" s="5"/>
      <c r="U448" s="5"/>
      <c r="V448" s="5"/>
      <c r="W448" s="5"/>
      <c r="X448" s="5"/>
      <c r="Y448" s="5"/>
      <c r="Z448" s="5"/>
      <c r="AA448" s="5"/>
      <c r="AB448" s="5"/>
      <c r="AC448" s="5"/>
    </row>
    <row r="449" spans="1:29" ht="12.75" customHeight="1">
      <c r="A449" s="5"/>
      <c r="B449" s="5"/>
      <c r="C449" s="5"/>
      <c r="D449" s="5"/>
      <c r="E449" s="5"/>
      <c r="F449" s="5"/>
      <c r="G449" s="5"/>
      <c r="H449" s="306"/>
      <c r="I449" s="306"/>
      <c r="J449" s="5"/>
      <c r="K449" s="5"/>
      <c r="L449" s="306"/>
      <c r="M449" s="5"/>
      <c r="N449" s="5"/>
      <c r="O449" s="5"/>
      <c r="P449" s="5"/>
      <c r="Q449" s="5"/>
      <c r="R449" s="57"/>
      <c r="S449" s="5"/>
      <c r="T449" s="5"/>
      <c r="U449" s="5"/>
      <c r="V449" s="5"/>
      <c r="W449" s="5"/>
      <c r="X449" s="5"/>
      <c r="Y449" s="5"/>
      <c r="Z449" s="5"/>
      <c r="AA449" s="5"/>
      <c r="AB449" s="5"/>
      <c r="AC449" s="5"/>
    </row>
    <row r="450" spans="1:29" ht="12.75" customHeight="1">
      <c r="A450" s="5"/>
      <c r="B450" s="5"/>
      <c r="C450" s="5"/>
      <c r="D450" s="5"/>
      <c r="E450" s="5"/>
      <c r="F450" s="5"/>
      <c r="G450" s="5"/>
      <c r="H450" s="306"/>
      <c r="I450" s="306"/>
      <c r="J450" s="5"/>
      <c r="K450" s="5"/>
      <c r="L450" s="306"/>
      <c r="M450" s="5"/>
      <c r="N450" s="5"/>
      <c r="O450" s="5"/>
      <c r="P450" s="5"/>
      <c r="Q450" s="5"/>
      <c r="R450" s="57"/>
      <c r="S450" s="5"/>
      <c r="T450" s="5"/>
      <c r="U450" s="5"/>
      <c r="V450" s="5"/>
      <c r="W450" s="5"/>
      <c r="X450" s="5"/>
      <c r="Y450" s="5"/>
      <c r="Z450" s="5"/>
      <c r="AA450" s="5"/>
      <c r="AB450" s="5"/>
      <c r="AC450" s="5"/>
    </row>
    <row r="451" spans="1:29" ht="12.75" customHeight="1">
      <c r="A451" s="5"/>
      <c r="B451" s="5"/>
      <c r="C451" s="5"/>
      <c r="D451" s="5"/>
      <c r="E451" s="5"/>
      <c r="F451" s="5"/>
      <c r="G451" s="5"/>
      <c r="H451" s="306"/>
      <c r="I451" s="306"/>
      <c r="J451" s="5"/>
      <c r="K451" s="5"/>
      <c r="L451" s="306"/>
      <c r="M451" s="5"/>
      <c r="N451" s="5"/>
      <c r="O451" s="5"/>
      <c r="P451" s="5"/>
      <c r="Q451" s="5"/>
      <c r="R451" s="57"/>
      <c r="S451" s="5"/>
      <c r="T451" s="5"/>
      <c r="U451" s="5"/>
      <c r="V451" s="5"/>
      <c r="W451" s="5"/>
      <c r="X451" s="5"/>
      <c r="Y451" s="5"/>
      <c r="Z451" s="5"/>
      <c r="AA451" s="5"/>
      <c r="AB451" s="5"/>
      <c r="AC451" s="5"/>
    </row>
    <row r="452" spans="1:29" ht="12.75" customHeight="1">
      <c r="A452" s="5"/>
      <c r="B452" s="5"/>
      <c r="C452" s="5"/>
      <c r="D452" s="5"/>
      <c r="E452" s="5"/>
      <c r="F452" s="5"/>
      <c r="G452" s="5"/>
      <c r="H452" s="306"/>
      <c r="I452" s="306"/>
      <c r="J452" s="5"/>
      <c r="K452" s="5"/>
      <c r="L452" s="306"/>
      <c r="M452" s="5"/>
      <c r="N452" s="5"/>
      <c r="O452" s="5"/>
      <c r="P452" s="5"/>
      <c r="Q452" s="5"/>
      <c r="R452" s="57"/>
      <c r="S452" s="5"/>
      <c r="T452" s="5"/>
      <c r="U452" s="5"/>
      <c r="V452" s="5"/>
      <c r="W452" s="5"/>
      <c r="X452" s="5"/>
      <c r="Y452" s="5"/>
      <c r="Z452" s="5"/>
      <c r="AA452" s="5"/>
      <c r="AB452" s="5"/>
      <c r="AC452" s="5"/>
    </row>
    <row r="453" spans="1:29" ht="12.75" customHeight="1">
      <c r="A453" s="5"/>
      <c r="B453" s="5"/>
      <c r="C453" s="5"/>
      <c r="D453" s="5"/>
      <c r="E453" s="5"/>
      <c r="F453" s="5"/>
      <c r="G453" s="5"/>
      <c r="H453" s="306"/>
      <c r="I453" s="306"/>
      <c r="J453" s="5"/>
      <c r="K453" s="5"/>
      <c r="L453" s="306"/>
      <c r="M453" s="5"/>
      <c r="N453" s="5"/>
      <c r="O453" s="5"/>
      <c r="P453" s="5"/>
      <c r="Q453" s="5"/>
      <c r="R453" s="57"/>
      <c r="S453" s="5"/>
      <c r="T453" s="5"/>
      <c r="U453" s="5"/>
      <c r="V453" s="5"/>
      <c r="W453" s="5"/>
      <c r="X453" s="5"/>
      <c r="Y453" s="5"/>
      <c r="Z453" s="5"/>
      <c r="AA453" s="5"/>
      <c r="AB453" s="5"/>
      <c r="AC453" s="5"/>
    </row>
    <row r="454" spans="1:29" ht="12.75" customHeight="1">
      <c r="A454" s="5"/>
      <c r="B454" s="5"/>
      <c r="C454" s="5"/>
      <c r="D454" s="5"/>
      <c r="E454" s="5"/>
      <c r="F454" s="5"/>
      <c r="G454" s="5"/>
      <c r="H454" s="306"/>
      <c r="I454" s="306"/>
      <c r="J454" s="5"/>
      <c r="K454" s="5"/>
      <c r="L454" s="306"/>
      <c r="M454" s="5"/>
      <c r="N454" s="5"/>
      <c r="O454" s="5"/>
      <c r="P454" s="5"/>
      <c r="Q454" s="5"/>
      <c r="R454" s="57"/>
      <c r="S454" s="5"/>
      <c r="T454" s="5"/>
      <c r="U454" s="5"/>
      <c r="V454" s="5"/>
      <c r="W454" s="5"/>
      <c r="X454" s="5"/>
      <c r="Y454" s="5"/>
      <c r="Z454" s="5"/>
      <c r="AA454" s="5"/>
      <c r="AB454" s="5"/>
      <c r="AC454" s="5"/>
    </row>
    <row r="455" spans="1:29" ht="12.75" customHeight="1">
      <c r="A455" s="5"/>
      <c r="B455" s="5"/>
      <c r="C455" s="5"/>
      <c r="D455" s="5"/>
      <c r="E455" s="5"/>
      <c r="F455" s="5"/>
      <c r="G455" s="5"/>
      <c r="H455" s="306"/>
      <c r="I455" s="306"/>
      <c r="J455" s="5"/>
      <c r="K455" s="5"/>
      <c r="L455" s="306"/>
      <c r="M455" s="5"/>
      <c r="N455" s="5"/>
      <c r="O455" s="5"/>
      <c r="P455" s="5"/>
      <c r="Q455" s="5"/>
      <c r="R455" s="57"/>
      <c r="S455" s="5"/>
      <c r="T455" s="5"/>
      <c r="U455" s="5"/>
      <c r="V455" s="5"/>
      <c r="W455" s="5"/>
      <c r="X455" s="5"/>
      <c r="Y455" s="5"/>
      <c r="Z455" s="5"/>
      <c r="AA455" s="5"/>
      <c r="AB455" s="5"/>
      <c r="AC455" s="5"/>
    </row>
    <row r="456" spans="1:29" ht="12.75" customHeight="1">
      <c r="A456" s="5"/>
      <c r="B456" s="5"/>
      <c r="C456" s="5"/>
      <c r="D456" s="5"/>
      <c r="E456" s="5"/>
      <c r="F456" s="5"/>
      <c r="G456" s="5"/>
      <c r="H456" s="306"/>
      <c r="I456" s="306"/>
      <c r="J456" s="5"/>
      <c r="K456" s="5"/>
      <c r="L456" s="306"/>
      <c r="M456" s="5"/>
      <c r="N456" s="5"/>
      <c r="O456" s="5"/>
      <c r="P456" s="5"/>
      <c r="Q456" s="5"/>
      <c r="R456" s="57"/>
      <c r="S456" s="5"/>
      <c r="T456" s="5"/>
      <c r="U456" s="5"/>
      <c r="V456" s="5"/>
      <c r="W456" s="5"/>
      <c r="X456" s="5"/>
      <c r="Y456" s="5"/>
      <c r="Z456" s="5"/>
      <c r="AA456" s="5"/>
      <c r="AB456" s="5"/>
      <c r="AC456" s="5"/>
    </row>
    <row r="457" spans="1:29" ht="12.75" customHeight="1">
      <c r="A457" s="5"/>
      <c r="B457" s="5"/>
      <c r="C457" s="5"/>
      <c r="D457" s="5"/>
      <c r="E457" s="5"/>
      <c r="F457" s="5"/>
      <c r="G457" s="5"/>
      <c r="H457" s="306"/>
      <c r="I457" s="306"/>
      <c r="J457" s="5"/>
      <c r="K457" s="5"/>
      <c r="L457" s="306"/>
      <c r="M457" s="5"/>
      <c r="N457" s="5"/>
      <c r="O457" s="5"/>
      <c r="P457" s="5"/>
      <c r="Q457" s="5"/>
      <c r="R457" s="57"/>
      <c r="S457" s="5"/>
      <c r="T457" s="5"/>
      <c r="U457" s="5"/>
      <c r="V457" s="5"/>
      <c r="W457" s="5"/>
      <c r="X457" s="5"/>
      <c r="Y457" s="5"/>
      <c r="Z457" s="5"/>
      <c r="AA457" s="5"/>
      <c r="AB457" s="5"/>
      <c r="AC457" s="5"/>
    </row>
    <row r="458" spans="1:29" ht="12.75" customHeight="1">
      <c r="A458" s="5"/>
      <c r="B458" s="5"/>
      <c r="C458" s="5"/>
      <c r="D458" s="5"/>
      <c r="E458" s="5"/>
      <c r="F458" s="5"/>
      <c r="G458" s="5"/>
      <c r="H458" s="306"/>
      <c r="I458" s="306"/>
      <c r="J458" s="5"/>
      <c r="K458" s="5"/>
      <c r="L458" s="306"/>
      <c r="M458" s="5"/>
      <c r="N458" s="5"/>
      <c r="O458" s="5"/>
      <c r="P458" s="5"/>
      <c r="Q458" s="5"/>
      <c r="R458" s="57"/>
      <c r="S458" s="5"/>
      <c r="T458" s="5"/>
      <c r="U458" s="5"/>
      <c r="V458" s="5"/>
      <c r="W458" s="5"/>
      <c r="X458" s="5"/>
      <c r="Y458" s="5"/>
      <c r="Z458" s="5"/>
      <c r="AA458" s="5"/>
      <c r="AB458" s="5"/>
      <c r="AC458" s="5"/>
    </row>
    <row r="459" spans="1:29" ht="12.75" customHeight="1">
      <c r="A459" s="5"/>
      <c r="B459" s="5"/>
      <c r="C459" s="5"/>
      <c r="D459" s="5"/>
      <c r="E459" s="5"/>
      <c r="F459" s="5"/>
      <c r="G459" s="5"/>
      <c r="H459" s="306"/>
      <c r="I459" s="306"/>
      <c r="J459" s="5"/>
      <c r="K459" s="5"/>
      <c r="L459" s="306"/>
      <c r="M459" s="5"/>
      <c r="N459" s="5"/>
      <c r="O459" s="5"/>
      <c r="P459" s="5"/>
      <c r="Q459" s="5"/>
      <c r="R459" s="57"/>
      <c r="S459" s="5"/>
      <c r="T459" s="5"/>
      <c r="U459" s="5"/>
      <c r="V459" s="5"/>
      <c r="W459" s="5"/>
      <c r="X459" s="5"/>
      <c r="Y459" s="5"/>
      <c r="Z459" s="5"/>
      <c r="AA459" s="5"/>
      <c r="AB459" s="5"/>
      <c r="AC459" s="5"/>
    </row>
    <row r="460" spans="1:29" ht="12.75" customHeight="1">
      <c r="A460" s="5"/>
      <c r="B460" s="5"/>
      <c r="C460" s="5"/>
      <c r="D460" s="5"/>
      <c r="E460" s="5"/>
      <c r="F460" s="5"/>
      <c r="G460" s="5"/>
      <c r="H460" s="306"/>
      <c r="I460" s="306"/>
      <c r="J460" s="5"/>
      <c r="K460" s="5"/>
      <c r="L460" s="306"/>
      <c r="M460" s="5"/>
      <c r="N460" s="5"/>
      <c r="O460" s="5"/>
      <c r="P460" s="5"/>
      <c r="Q460" s="5"/>
      <c r="R460" s="57"/>
      <c r="S460" s="5"/>
      <c r="T460" s="5"/>
      <c r="U460" s="5"/>
      <c r="V460" s="5"/>
      <c r="W460" s="5"/>
      <c r="X460" s="5"/>
      <c r="Y460" s="5"/>
      <c r="Z460" s="5"/>
      <c r="AA460" s="5"/>
      <c r="AB460" s="5"/>
      <c r="AC460" s="5"/>
    </row>
    <row r="461" spans="1:29" ht="12.75" customHeight="1">
      <c r="A461" s="5"/>
      <c r="B461" s="5"/>
      <c r="C461" s="5"/>
      <c r="D461" s="5"/>
      <c r="E461" s="5"/>
      <c r="F461" s="5"/>
      <c r="G461" s="5"/>
      <c r="H461" s="306"/>
      <c r="I461" s="306"/>
      <c r="J461" s="5"/>
      <c r="K461" s="5"/>
      <c r="L461" s="306"/>
      <c r="M461" s="5"/>
      <c r="N461" s="5"/>
      <c r="O461" s="5"/>
      <c r="P461" s="5"/>
      <c r="Q461" s="5"/>
      <c r="R461" s="57"/>
      <c r="S461" s="5"/>
      <c r="T461" s="5"/>
      <c r="U461" s="5"/>
      <c r="V461" s="5"/>
      <c r="W461" s="5"/>
      <c r="X461" s="5"/>
      <c r="Y461" s="5"/>
      <c r="Z461" s="5"/>
      <c r="AA461" s="5"/>
      <c r="AB461" s="5"/>
      <c r="AC461" s="5"/>
    </row>
    <row r="462" spans="1:29" ht="12.75" customHeight="1">
      <c r="A462" s="5"/>
      <c r="B462" s="5"/>
      <c r="C462" s="5"/>
      <c r="D462" s="5"/>
      <c r="E462" s="5"/>
      <c r="F462" s="5"/>
      <c r="G462" s="5"/>
      <c r="H462" s="306"/>
      <c r="I462" s="306"/>
      <c r="J462" s="5"/>
      <c r="K462" s="5"/>
      <c r="L462" s="306"/>
      <c r="M462" s="5"/>
      <c r="N462" s="5"/>
      <c r="O462" s="5"/>
      <c r="P462" s="5"/>
      <c r="Q462" s="5"/>
      <c r="R462" s="57"/>
      <c r="S462" s="5"/>
      <c r="T462" s="5"/>
      <c r="U462" s="5"/>
      <c r="V462" s="5"/>
      <c r="W462" s="5"/>
      <c r="X462" s="5"/>
      <c r="Y462" s="5"/>
      <c r="Z462" s="5"/>
      <c r="AA462" s="5"/>
      <c r="AB462" s="5"/>
      <c r="AC462" s="5"/>
    </row>
    <row r="463" spans="1:29" ht="12.75" customHeight="1">
      <c r="A463" s="5"/>
      <c r="B463" s="5"/>
      <c r="C463" s="5"/>
      <c r="D463" s="5"/>
      <c r="E463" s="5"/>
      <c r="F463" s="5"/>
      <c r="G463" s="5"/>
      <c r="H463" s="306"/>
      <c r="I463" s="306"/>
      <c r="J463" s="5"/>
      <c r="K463" s="5"/>
      <c r="L463" s="306"/>
      <c r="M463" s="5"/>
      <c r="N463" s="5"/>
      <c r="O463" s="5"/>
      <c r="P463" s="5"/>
      <c r="Q463" s="5"/>
      <c r="R463" s="57"/>
      <c r="S463" s="5"/>
      <c r="T463" s="5"/>
      <c r="U463" s="5"/>
      <c r="V463" s="5"/>
      <c r="W463" s="5"/>
      <c r="X463" s="5"/>
      <c r="Y463" s="5"/>
      <c r="Z463" s="5"/>
      <c r="AA463" s="5"/>
      <c r="AB463" s="5"/>
      <c r="AC463" s="5"/>
    </row>
    <row r="464" spans="1:29" ht="12.75" customHeight="1">
      <c r="A464" s="5"/>
      <c r="B464" s="5"/>
      <c r="C464" s="5"/>
      <c r="D464" s="5"/>
      <c r="E464" s="5"/>
      <c r="F464" s="5"/>
      <c r="G464" s="5"/>
      <c r="H464" s="306"/>
      <c r="I464" s="306"/>
      <c r="J464" s="5"/>
      <c r="K464" s="5"/>
      <c r="L464" s="306"/>
      <c r="M464" s="5"/>
      <c r="N464" s="5"/>
      <c r="O464" s="5"/>
      <c r="P464" s="5"/>
      <c r="Q464" s="5"/>
      <c r="R464" s="57"/>
      <c r="S464" s="5"/>
      <c r="T464" s="5"/>
      <c r="U464" s="5"/>
      <c r="V464" s="5"/>
      <c r="W464" s="5"/>
      <c r="X464" s="5"/>
      <c r="Y464" s="5"/>
      <c r="Z464" s="5"/>
      <c r="AA464" s="5"/>
      <c r="AB464" s="5"/>
      <c r="AC464" s="5"/>
    </row>
    <row r="465" spans="1:29" ht="12.75" customHeight="1">
      <c r="A465" s="5"/>
      <c r="B465" s="5"/>
      <c r="C465" s="5"/>
      <c r="D465" s="5"/>
      <c r="E465" s="5"/>
      <c r="F465" s="5"/>
      <c r="G465" s="5"/>
      <c r="H465" s="306"/>
      <c r="I465" s="306"/>
      <c r="J465" s="5"/>
      <c r="K465" s="5"/>
      <c r="L465" s="306"/>
      <c r="M465" s="5"/>
      <c r="N465" s="5"/>
      <c r="O465" s="5"/>
      <c r="P465" s="5"/>
      <c r="Q465" s="5"/>
      <c r="R465" s="57"/>
      <c r="S465" s="5"/>
      <c r="T465" s="5"/>
      <c r="U465" s="5"/>
      <c r="V465" s="5"/>
      <c r="W465" s="5"/>
      <c r="X465" s="5"/>
      <c r="Y465" s="5"/>
      <c r="Z465" s="5"/>
      <c r="AA465" s="5"/>
      <c r="AB465" s="5"/>
      <c r="AC465" s="5"/>
    </row>
    <row r="466" spans="1:29" ht="12.75" customHeight="1">
      <c r="A466" s="5"/>
      <c r="B466" s="5"/>
      <c r="C466" s="5"/>
      <c r="D466" s="5"/>
      <c r="E466" s="5"/>
      <c r="F466" s="5"/>
      <c r="G466" s="5"/>
      <c r="H466" s="306"/>
      <c r="I466" s="306"/>
      <c r="J466" s="5"/>
      <c r="K466" s="5"/>
      <c r="L466" s="306"/>
      <c r="M466" s="5"/>
      <c r="N466" s="5"/>
      <c r="O466" s="5"/>
      <c r="P466" s="5"/>
      <c r="Q466" s="5"/>
      <c r="R466" s="57"/>
      <c r="S466" s="5"/>
      <c r="T466" s="5"/>
      <c r="U466" s="5"/>
      <c r="V466" s="5"/>
      <c r="W466" s="5"/>
      <c r="X466" s="5"/>
      <c r="Y466" s="5"/>
      <c r="Z466" s="5"/>
      <c r="AA466" s="5"/>
      <c r="AB466" s="5"/>
      <c r="AC466" s="5"/>
    </row>
    <row r="467" spans="1:29" ht="12.75" customHeight="1">
      <c r="A467" s="5"/>
      <c r="B467" s="5"/>
      <c r="C467" s="5"/>
      <c r="D467" s="5"/>
      <c r="E467" s="5"/>
      <c r="F467" s="5"/>
      <c r="G467" s="5"/>
      <c r="H467" s="306"/>
      <c r="I467" s="306"/>
      <c r="J467" s="5"/>
      <c r="K467" s="5"/>
      <c r="L467" s="306"/>
      <c r="M467" s="5"/>
      <c r="N467" s="5"/>
      <c r="O467" s="5"/>
      <c r="P467" s="5"/>
      <c r="Q467" s="5"/>
      <c r="R467" s="57"/>
      <c r="S467" s="5"/>
      <c r="T467" s="5"/>
      <c r="U467" s="5"/>
      <c r="V467" s="5"/>
      <c r="W467" s="5"/>
      <c r="X467" s="5"/>
      <c r="Y467" s="5"/>
      <c r="Z467" s="5"/>
      <c r="AA467" s="5"/>
      <c r="AB467" s="5"/>
      <c r="AC467" s="5"/>
    </row>
    <row r="468" spans="1:29" ht="12.75" customHeight="1">
      <c r="A468" s="5"/>
      <c r="B468" s="5"/>
      <c r="C468" s="5"/>
      <c r="D468" s="5"/>
      <c r="E468" s="5"/>
      <c r="F468" s="5"/>
      <c r="G468" s="5"/>
      <c r="H468" s="306"/>
      <c r="I468" s="306"/>
      <c r="J468" s="5"/>
      <c r="K468" s="5"/>
      <c r="L468" s="306"/>
      <c r="M468" s="5"/>
      <c r="N468" s="5"/>
      <c r="O468" s="5"/>
      <c r="P468" s="5"/>
      <c r="Q468" s="5"/>
      <c r="R468" s="57"/>
      <c r="S468" s="5"/>
      <c r="T468" s="5"/>
      <c r="U468" s="5"/>
      <c r="V468" s="5"/>
      <c r="W468" s="5"/>
      <c r="X468" s="5"/>
      <c r="Y468" s="5"/>
      <c r="Z468" s="5"/>
      <c r="AA468" s="5"/>
      <c r="AB468" s="5"/>
      <c r="AC468" s="5"/>
    </row>
    <row r="469" spans="1:29" ht="12.75" customHeight="1">
      <c r="A469" s="5"/>
      <c r="B469" s="5"/>
      <c r="C469" s="5"/>
      <c r="D469" s="5"/>
      <c r="E469" s="5"/>
      <c r="F469" s="5"/>
      <c r="G469" s="5"/>
      <c r="H469" s="306"/>
      <c r="I469" s="306"/>
      <c r="J469" s="5"/>
      <c r="K469" s="5"/>
      <c r="L469" s="306"/>
      <c r="M469" s="5"/>
      <c r="N469" s="5"/>
      <c r="O469" s="5"/>
      <c r="P469" s="5"/>
      <c r="Q469" s="5"/>
      <c r="R469" s="57"/>
      <c r="S469" s="5"/>
      <c r="T469" s="5"/>
      <c r="U469" s="5"/>
      <c r="V469" s="5"/>
      <c r="W469" s="5"/>
      <c r="X469" s="5"/>
      <c r="Y469" s="5"/>
      <c r="Z469" s="5"/>
      <c r="AA469" s="5"/>
      <c r="AB469" s="5"/>
      <c r="AC469" s="5"/>
    </row>
    <row r="470" spans="1:29" ht="12.75" customHeight="1">
      <c r="A470" s="5"/>
      <c r="B470" s="5"/>
      <c r="C470" s="5"/>
      <c r="D470" s="5"/>
      <c r="E470" s="5"/>
      <c r="F470" s="5"/>
      <c r="G470" s="5"/>
      <c r="H470" s="306"/>
      <c r="I470" s="306"/>
      <c r="J470" s="5"/>
      <c r="K470" s="5"/>
      <c r="L470" s="306"/>
      <c r="M470" s="5"/>
      <c r="N470" s="5"/>
      <c r="O470" s="5"/>
      <c r="P470" s="5"/>
      <c r="Q470" s="5"/>
      <c r="R470" s="57"/>
      <c r="S470" s="5"/>
      <c r="T470" s="5"/>
      <c r="U470" s="5"/>
      <c r="V470" s="5"/>
      <c r="W470" s="5"/>
      <c r="X470" s="5"/>
      <c r="Y470" s="5"/>
      <c r="Z470" s="5"/>
      <c r="AA470" s="5"/>
      <c r="AB470" s="5"/>
      <c r="AC470" s="5"/>
    </row>
    <row r="471" spans="1:29" ht="12.75" customHeight="1">
      <c r="A471" s="5"/>
      <c r="B471" s="5"/>
      <c r="C471" s="5"/>
      <c r="D471" s="5"/>
      <c r="E471" s="5"/>
      <c r="F471" s="5"/>
      <c r="G471" s="5"/>
      <c r="H471" s="306"/>
      <c r="I471" s="306"/>
      <c r="J471" s="5"/>
      <c r="K471" s="5"/>
      <c r="L471" s="306"/>
      <c r="M471" s="5"/>
      <c r="N471" s="5"/>
      <c r="O471" s="5"/>
      <c r="P471" s="5"/>
      <c r="Q471" s="5"/>
      <c r="R471" s="57"/>
      <c r="S471" s="5"/>
      <c r="T471" s="5"/>
      <c r="U471" s="5"/>
      <c r="V471" s="5"/>
      <c r="W471" s="5"/>
      <c r="X471" s="5"/>
      <c r="Y471" s="5"/>
      <c r="Z471" s="5"/>
      <c r="AA471" s="5"/>
      <c r="AB471" s="5"/>
      <c r="AC471" s="5"/>
    </row>
    <row r="472" spans="1:29" ht="12.75" customHeight="1">
      <c r="A472" s="5"/>
      <c r="B472" s="5"/>
      <c r="C472" s="5"/>
      <c r="D472" s="5"/>
      <c r="E472" s="5"/>
      <c r="F472" s="5"/>
      <c r="G472" s="5"/>
      <c r="H472" s="306"/>
      <c r="I472" s="306"/>
      <c r="J472" s="5"/>
      <c r="K472" s="5"/>
      <c r="L472" s="306"/>
      <c r="M472" s="5"/>
      <c r="N472" s="5"/>
      <c r="O472" s="5"/>
      <c r="P472" s="5"/>
      <c r="Q472" s="5"/>
      <c r="R472" s="57"/>
      <c r="S472" s="5"/>
      <c r="T472" s="5"/>
      <c r="U472" s="5"/>
      <c r="V472" s="5"/>
      <c r="W472" s="5"/>
      <c r="X472" s="5"/>
      <c r="Y472" s="5"/>
      <c r="Z472" s="5"/>
      <c r="AA472" s="5"/>
      <c r="AB472" s="5"/>
      <c r="AC472" s="5"/>
    </row>
    <row r="473" spans="1:29" ht="12.75" customHeight="1">
      <c r="A473" s="5"/>
      <c r="B473" s="5"/>
      <c r="C473" s="5"/>
      <c r="D473" s="5"/>
      <c r="E473" s="5"/>
      <c r="F473" s="5"/>
      <c r="G473" s="5"/>
      <c r="H473" s="306"/>
      <c r="I473" s="306"/>
      <c r="J473" s="5"/>
      <c r="K473" s="5"/>
      <c r="L473" s="306"/>
      <c r="M473" s="5"/>
      <c r="N473" s="5"/>
      <c r="O473" s="5"/>
      <c r="P473" s="5"/>
      <c r="Q473" s="5"/>
      <c r="R473" s="57"/>
      <c r="S473" s="5"/>
      <c r="T473" s="5"/>
      <c r="U473" s="5"/>
      <c r="V473" s="5"/>
      <c r="W473" s="5"/>
      <c r="X473" s="5"/>
      <c r="Y473" s="5"/>
      <c r="Z473" s="5"/>
      <c r="AA473" s="5"/>
      <c r="AB473" s="5"/>
      <c r="AC473" s="5"/>
    </row>
    <row r="474" spans="1:29" ht="12.75" customHeight="1">
      <c r="A474" s="5"/>
      <c r="B474" s="5"/>
      <c r="C474" s="5"/>
      <c r="D474" s="5"/>
      <c r="E474" s="5"/>
      <c r="F474" s="5"/>
      <c r="G474" s="5"/>
      <c r="H474" s="306"/>
      <c r="I474" s="306"/>
      <c r="J474" s="5"/>
      <c r="K474" s="5"/>
      <c r="L474" s="306"/>
      <c r="M474" s="5"/>
      <c r="N474" s="5"/>
      <c r="O474" s="5"/>
      <c r="P474" s="5"/>
      <c r="Q474" s="5"/>
      <c r="R474" s="57"/>
      <c r="S474" s="5"/>
      <c r="T474" s="5"/>
      <c r="U474" s="5"/>
      <c r="V474" s="5"/>
      <c r="W474" s="5"/>
      <c r="X474" s="5"/>
      <c r="Y474" s="5"/>
      <c r="Z474" s="5"/>
      <c r="AA474" s="5"/>
      <c r="AB474" s="5"/>
      <c r="AC474" s="5"/>
    </row>
    <row r="475" spans="1:29" ht="12.75" customHeight="1">
      <c r="A475" s="5"/>
      <c r="B475" s="5"/>
      <c r="C475" s="5"/>
      <c r="D475" s="5"/>
      <c r="E475" s="5"/>
      <c r="F475" s="5"/>
      <c r="G475" s="5"/>
      <c r="H475" s="306"/>
      <c r="I475" s="306"/>
      <c r="J475" s="5"/>
      <c r="K475" s="5"/>
      <c r="L475" s="306"/>
      <c r="M475" s="5"/>
      <c r="N475" s="5"/>
      <c r="O475" s="5"/>
      <c r="P475" s="5"/>
      <c r="Q475" s="5"/>
      <c r="R475" s="57"/>
      <c r="S475" s="5"/>
      <c r="T475" s="5"/>
      <c r="U475" s="5"/>
      <c r="V475" s="5"/>
      <c r="W475" s="5"/>
      <c r="X475" s="5"/>
      <c r="Y475" s="5"/>
      <c r="Z475" s="5"/>
      <c r="AA475" s="5"/>
      <c r="AB475" s="5"/>
      <c r="AC475" s="5"/>
    </row>
    <row r="476" spans="1:29" ht="12.75" customHeight="1">
      <c r="A476" s="5"/>
      <c r="B476" s="5"/>
      <c r="C476" s="5"/>
      <c r="D476" s="5"/>
      <c r="E476" s="5"/>
      <c r="F476" s="5"/>
      <c r="G476" s="5"/>
      <c r="H476" s="306"/>
      <c r="I476" s="306"/>
      <c r="J476" s="5"/>
      <c r="K476" s="5"/>
      <c r="L476" s="306"/>
      <c r="M476" s="5"/>
      <c r="N476" s="5"/>
      <c r="O476" s="5"/>
      <c r="P476" s="5"/>
      <c r="Q476" s="5"/>
      <c r="R476" s="57"/>
      <c r="S476" s="5"/>
      <c r="T476" s="5"/>
      <c r="U476" s="5"/>
      <c r="V476" s="5"/>
      <c r="W476" s="5"/>
      <c r="X476" s="5"/>
      <c r="Y476" s="5"/>
      <c r="Z476" s="5"/>
      <c r="AA476" s="5"/>
      <c r="AB476" s="5"/>
      <c r="AC476" s="5"/>
    </row>
    <row r="477" spans="1:29" ht="12.75" customHeight="1">
      <c r="A477" s="5"/>
      <c r="B477" s="5"/>
      <c r="C477" s="5"/>
      <c r="D477" s="5"/>
      <c r="E477" s="5"/>
      <c r="F477" s="5"/>
      <c r="G477" s="5"/>
      <c r="H477" s="306"/>
      <c r="I477" s="306"/>
      <c r="J477" s="5"/>
      <c r="K477" s="5"/>
      <c r="L477" s="306"/>
      <c r="M477" s="5"/>
      <c r="N477" s="5"/>
      <c r="O477" s="5"/>
      <c r="P477" s="5"/>
      <c r="Q477" s="5"/>
      <c r="R477" s="57"/>
      <c r="S477" s="5"/>
      <c r="T477" s="5"/>
      <c r="U477" s="5"/>
      <c r="V477" s="5"/>
      <c r="W477" s="5"/>
      <c r="X477" s="5"/>
      <c r="Y477" s="5"/>
      <c r="Z477" s="5"/>
      <c r="AA477" s="5"/>
      <c r="AB477" s="5"/>
      <c r="AC477" s="5"/>
    </row>
    <row r="478" spans="1:29" ht="12.75" customHeight="1">
      <c r="A478" s="5"/>
      <c r="B478" s="5"/>
      <c r="C478" s="5"/>
      <c r="D478" s="5"/>
      <c r="E478" s="5"/>
      <c r="F478" s="5"/>
      <c r="G478" s="5"/>
      <c r="H478" s="306"/>
      <c r="I478" s="306"/>
      <c r="J478" s="5"/>
      <c r="K478" s="5"/>
      <c r="L478" s="306"/>
      <c r="M478" s="5"/>
      <c r="N478" s="5"/>
      <c r="O478" s="5"/>
      <c r="P478" s="5"/>
      <c r="Q478" s="5"/>
      <c r="R478" s="57"/>
      <c r="S478" s="5"/>
      <c r="T478" s="5"/>
      <c r="U478" s="5"/>
      <c r="V478" s="5"/>
      <c r="W478" s="5"/>
      <c r="X478" s="5"/>
      <c r="Y478" s="5"/>
      <c r="Z478" s="5"/>
      <c r="AA478" s="5"/>
      <c r="AB478" s="5"/>
      <c r="AC478" s="5"/>
    </row>
    <row r="479" spans="1:29" ht="12.75" customHeight="1">
      <c r="A479" s="5"/>
      <c r="B479" s="5"/>
      <c r="C479" s="5"/>
      <c r="D479" s="5"/>
      <c r="E479" s="5"/>
      <c r="F479" s="5"/>
      <c r="G479" s="5"/>
      <c r="H479" s="306"/>
      <c r="I479" s="306"/>
      <c r="J479" s="5"/>
      <c r="K479" s="5"/>
      <c r="L479" s="306"/>
      <c r="M479" s="5"/>
      <c r="N479" s="5"/>
      <c r="O479" s="5"/>
      <c r="P479" s="5"/>
      <c r="Q479" s="5"/>
      <c r="R479" s="57"/>
      <c r="S479" s="5"/>
      <c r="T479" s="5"/>
      <c r="U479" s="5"/>
      <c r="V479" s="5"/>
      <c r="W479" s="5"/>
      <c r="X479" s="5"/>
      <c r="Y479" s="5"/>
      <c r="Z479" s="5"/>
      <c r="AA479" s="5"/>
      <c r="AB479" s="5"/>
      <c r="AC479" s="5"/>
    </row>
    <row r="480" spans="1:29" ht="12.75" customHeight="1">
      <c r="A480" s="5"/>
      <c r="B480" s="5"/>
      <c r="C480" s="5"/>
      <c r="D480" s="5"/>
      <c r="E480" s="5"/>
      <c r="F480" s="5"/>
      <c r="G480" s="5"/>
      <c r="H480" s="306"/>
      <c r="I480" s="306"/>
      <c r="J480" s="5"/>
      <c r="K480" s="5"/>
      <c r="L480" s="306"/>
      <c r="M480" s="5"/>
      <c r="N480" s="5"/>
      <c r="O480" s="5"/>
      <c r="P480" s="5"/>
      <c r="Q480" s="5"/>
      <c r="R480" s="57"/>
      <c r="S480" s="5"/>
      <c r="T480" s="5"/>
      <c r="U480" s="5"/>
      <c r="V480" s="5"/>
      <c r="W480" s="5"/>
      <c r="X480" s="5"/>
      <c r="Y480" s="5"/>
      <c r="Z480" s="5"/>
      <c r="AA480" s="5"/>
      <c r="AB480" s="5"/>
      <c r="AC480" s="5"/>
    </row>
    <row r="481" spans="1:29" ht="12.75" customHeight="1">
      <c r="A481" s="5"/>
      <c r="B481" s="5"/>
      <c r="C481" s="5"/>
      <c r="D481" s="5"/>
      <c r="E481" s="5"/>
      <c r="F481" s="5"/>
      <c r="G481" s="5"/>
      <c r="H481" s="306"/>
      <c r="I481" s="306"/>
      <c r="J481" s="5"/>
      <c r="K481" s="5"/>
      <c r="L481" s="306"/>
      <c r="M481" s="5"/>
      <c r="N481" s="5"/>
      <c r="O481" s="5"/>
      <c r="P481" s="5"/>
      <c r="Q481" s="5"/>
      <c r="R481" s="57"/>
      <c r="S481" s="5"/>
      <c r="T481" s="5"/>
      <c r="U481" s="5"/>
      <c r="V481" s="5"/>
      <c r="W481" s="5"/>
      <c r="X481" s="5"/>
      <c r="Y481" s="5"/>
      <c r="Z481" s="5"/>
      <c r="AA481" s="5"/>
      <c r="AB481" s="5"/>
      <c r="AC481" s="5"/>
    </row>
    <row r="482" spans="1:29" ht="12.75" customHeight="1">
      <c r="A482" s="5"/>
      <c r="B482" s="5"/>
      <c r="C482" s="5"/>
      <c r="D482" s="5"/>
      <c r="E482" s="5"/>
      <c r="F482" s="5"/>
      <c r="G482" s="5"/>
      <c r="H482" s="306"/>
      <c r="I482" s="306"/>
      <c r="J482" s="5"/>
      <c r="K482" s="5"/>
      <c r="L482" s="306"/>
      <c r="M482" s="5"/>
      <c r="N482" s="5"/>
      <c r="O482" s="5"/>
      <c r="P482" s="5"/>
      <c r="Q482" s="5"/>
      <c r="R482" s="57"/>
      <c r="S482" s="5"/>
      <c r="T482" s="5"/>
      <c r="U482" s="5"/>
      <c r="V482" s="5"/>
      <c r="W482" s="5"/>
      <c r="X482" s="5"/>
      <c r="Y482" s="5"/>
      <c r="Z482" s="5"/>
      <c r="AA482" s="5"/>
      <c r="AB482" s="5"/>
      <c r="AC482" s="5"/>
    </row>
    <row r="483" spans="1:29" ht="12.75" customHeight="1">
      <c r="A483" s="5"/>
      <c r="B483" s="5"/>
      <c r="C483" s="5"/>
      <c r="D483" s="5"/>
      <c r="E483" s="5"/>
      <c r="F483" s="5"/>
      <c r="G483" s="5"/>
      <c r="H483" s="306"/>
      <c r="I483" s="306"/>
      <c r="J483" s="5"/>
      <c r="K483" s="5"/>
      <c r="L483" s="306"/>
      <c r="M483" s="5"/>
      <c r="N483" s="5"/>
      <c r="O483" s="5"/>
      <c r="P483" s="5"/>
      <c r="Q483" s="5"/>
      <c r="R483" s="57"/>
      <c r="S483" s="5"/>
      <c r="T483" s="5"/>
      <c r="U483" s="5"/>
      <c r="V483" s="5"/>
      <c r="W483" s="5"/>
      <c r="X483" s="5"/>
      <c r="Y483" s="5"/>
      <c r="Z483" s="5"/>
      <c r="AA483" s="5"/>
      <c r="AB483" s="5"/>
      <c r="AC483" s="5"/>
    </row>
    <row r="484" spans="1:29" ht="12.75" customHeight="1">
      <c r="A484" s="5"/>
      <c r="B484" s="5"/>
      <c r="C484" s="5"/>
      <c r="D484" s="5"/>
      <c r="E484" s="5"/>
      <c r="F484" s="5"/>
      <c r="G484" s="5"/>
      <c r="H484" s="306"/>
      <c r="I484" s="306"/>
      <c r="J484" s="5"/>
      <c r="K484" s="5"/>
      <c r="L484" s="306"/>
      <c r="M484" s="5"/>
      <c r="N484" s="5"/>
      <c r="O484" s="5"/>
      <c r="P484" s="5"/>
      <c r="Q484" s="5"/>
      <c r="R484" s="57"/>
      <c r="S484" s="5"/>
      <c r="T484" s="5"/>
      <c r="U484" s="5"/>
      <c r="V484" s="5"/>
      <c r="W484" s="5"/>
      <c r="X484" s="5"/>
      <c r="Y484" s="5"/>
      <c r="Z484" s="5"/>
      <c r="AA484" s="5"/>
      <c r="AB484" s="5"/>
      <c r="AC484" s="5"/>
    </row>
    <row r="485" spans="1:29" ht="12.75" customHeight="1">
      <c r="A485" s="5"/>
      <c r="B485" s="5"/>
      <c r="C485" s="5"/>
      <c r="D485" s="5"/>
      <c r="E485" s="5"/>
      <c r="F485" s="5"/>
      <c r="G485" s="5"/>
      <c r="H485" s="306"/>
      <c r="I485" s="306"/>
      <c r="J485" s="5"/>
      <c r="K485" s="5"/>
      <c r="L485" s="306"/>
      <c r="M485" s="5"/>
      <c r="N485" s="5"/>
      <c r="O485" s="5"/>
      <c r="P485" s="5"/>
      <c r="Q485" s="5"/>
      <c r="R485" s="57"/>
      <c r="S485" s="5"/>
      <c r="T485" s="5"/>
      <c r="U485" s="5"/>
      <c r="V485" s="5"/>
      <c r="W485" s="5"/>
      <c r="X485" s="5"/>
      <c r="Y485" s="5"/>
      <c r="Z485" s="5"/>
      <c r="AA485" s="5"/>
      <c r="AB485" s="5"/>
      <c r="AC485" s="5"/>
    </row>
    <row r="486" spans="1:29" ht="12.75" customHeight="1">
      <c r="A486" s="5"/>
      <c r="B486" s="5"/>
      <c r="C486" s="5"/>
      <c r="D486" s="5"/>
      <c r="E486" s="5"/>
      <c r="F486" s="5"/>
      <c r="G486" s="5"/>
      <c r="H486" s="306"/>
      <c r="I486" s="306"/>
      <c r="J486" s="5"/>
      <c r="K486" s="5"/>
      <c r="L486" s="306"/>
      <c r="M486" s="5"/>
      <c r="N486" s="5"/>
      <c r="O486" s="5"/>
      <c r="P486" s="5"/>
      <c r="Q486" s="5"/>
      <c r="R486" s="57"/>
      <c r="S486" s="5"/>
      <c r="T486" s="5"/>
      <c r="U486" s="5"/>
      <c r="V486" s="5"/>
      <c r="W486" s="5"/>
      <c r="X486" s="5"/>
      <c r="Y486" s="5"/>
      <c r="Z486" s="5"/>
      <c r="AA486" s="5"/>
      <c r="AB486" s="5"/>
      <c r="AC486" s="5"/>
    </row>
    <row r="487" spans="1:29" ht="12.75" customHeight="1">
      <c r="A487" s="5"/>
      <c r="B487" s="5"/>
      <c r="C487" s="5"/>
      <c r="D487" s="5"/>
      <c r="E487" s="5"/>
      <c r="F487" s="5"/>
      <c r="G487" s="5"/>
      <c r="H487" s="306"/>
      <c r="I487" s="306"/>
      <c r="J487" s="5"/>
      <c r="K487" s="5"/>
      <c r="L487" s="306"/>
      <c r="M487" s="5"/>
      <c r="N487" s="5"/>
      <c r="O487" s="5"/>
      <c r="P487" s="5"/>
      <c r="Q487" s="5"/>
      <c r="R487" s="57"/>
      <c r="S487" s="5"/>
      <c r="T487" s="5"/>
      <c r="U487" s="5"/>
      <c r="V487" s="5"/>
      <c r="W487" s="5"/>
      <c r="X487" s="5"/>
      <c r="Y487" s="5"/>
      <c r="Z487" s="5"/>
      <c r="AA487" s="5"/>
      <c r="AB487" s="5"/>
      <c r="AC487" s="5"/>
    </row>
    <row r="488" spans="1:29" ht="12.75" customHeight="1">
      <c r="A488" s="5"/>
      <c r="B488" s="5"/>
      <c r="C488" s="5"/>
      <c r="D488" s="5"/>
      <c r="E488" s="5"/>
      <c r="F488" s="5"/>
      <c r="G488" s="5"/>
      <c r="H488" s="306"/>
      <c r="I488" s="306"/>
      <c r="J488" s="5"/>
      <c r="K488" s="5"/>
      <c r="L488" s="306"/>
      <c r="M488" s="5"/>
      <c r="N488" s="5"/>
      <c r="O488" s="5"/>
      <c r="P488" s="5"/>
      <c r="Q488" s="5"/>
      <c r="R488" s="57"/>
      <c r="S488" s="5"/>
      <c r="T488" s="5"/>
      <c r="U488" s="5"/>
      <c r="V488" s="5"/>
      <c r="W488" s="5"/>
      <c r="X488" s="5"/>
      <c r="Y488" s="5"/>
      <c r="Z488" s="5"/>
      <c r="AA488" s="5"/>
      <c r="AB488" s="5"/>
      <c r="AC488" s="5"/>
    </row>
    <row r="489" spans="1:29" ht="12.75" customHeight="1">
      <c r="A489" s="5"/>
      <c r="B489" s="5"/>
      <c r="C489" s="5"/>
      <c r="D489" s="5"/>
      <c r="E489" s="5"/>
      <c r="F489" s="5"/>
      <c r="G489" s="5"/>
      <c r="H489" s="306"/>
      <c r="I489" s="306"/>
      <c r="J489" s="5"/>
      <c r="K489" s="5"/>
      <c r="L489" s="306"/>
      <c r="M489" s="5"/>
      <c r="N489" s="5"/>
      <c r="O489" s="5"/>
      <c r="P489" s="5"/>
      <c r="Q489" s="5"/>
      <c r="R489" s="57"/>
      <c r="S489" s="5"/>
      <c r="T489" s="5"/>
      <c r="U489" s="5"/>
      <c r="V489" s="5"/>
      <c r="W489" s="5"/>
      <c r="X489" s="5"/>
      <c r="Y489" s="5"/>
      <c r="Z489" s="5"/>
      <c r="AA489" s="5"/>
      <c r="AB489" s="5"/>
      <c r="AC489" s="5"/>
    </row>
    <row r="490" spans="1:29" ht="12.75" customHeight="1">
      <c r="A490" s="5"/>
      <c r="B490" s="5"/>
      <c r="C490" s="5"/>
      <c r="D490" s="5"/>
      <c r="E490" s="5"/>
      <c r="F490" s="5"/>
      <c r="G490" s="5"/>
      <c r="H490" s="306"/>
      <c r="I490" s="306"/>
      <c r="J490" s="5"/>
      <c r="K490" s="5"/>
      <c r="L490" s="306"/>
      <c r="M490" s="5"/>
      <c r="N490" s="5"/>
      <c r="O490" s="5"/>
      <c r="P490" s="5"/>
      <c r="Q490" s="5"/>
      <c r="R490" s="57"/>
      <c r="S490" s="5"/>
      <c r="T490" s="5"/>
      <c r="U490" s="5"/>
      <c r="V490" s="5"/>
      <c r="W490" s="5"/>
      <c r="X490" s="5"/>
      <c r="Y490" s="5"/>
      <c r="Z490" s="5"/>
      <c r="AA490" s="5"/>
      <c r="AB490" s="5"/>
      <c r="AC490" s="5"/>
    </row>
    <row r="491" spans="1:29" ht="12.75" customHeight="1">
      <c r="A491" s="5"/>
      <c r="B491" s="5"/>
      <c r="C491" s="5"/>
      <c r="D491" s="5"/>
      <c r="E491" s="5"/>
      <c r="F491" s="5"/>
      <c r="G491" s="5"/>
      <c r="H491" s="306"/>
      <c r="I491" s="306"/>
      <c r="J491" s="5"/>
      <c r="K491" s="5"/>
      <c r="L491" s="306"/>
      <c r="M491" s="5"/>
      <c r="N491" s="5"/>
      <c r="O491" s="5"/>
      <c r="P491" s="5"/>
      <c r="Q491" s="5"/>
      <c r="R491" s="57"/>
      <c r="S491" s="5"/>
      <c r="T491" s="5"/>
      <c r="U491" s="5"/>
      <c r="V491" s="5"/>
      <c r="W491" s="5"/>
      <c r="X491" s="5"/>
      <c r="Y491" s="5"/>
      <c r="Z491" s="5"/>
      <c r="AA491" s="5"/>
      <c r="AB491" s="5"/>
      <c r="AC491" s="5"/>
    </row>
    <row r="492" spans="1:29" ht="12.75" customHeight="1">
      <c r="A492" s="5"/>
      <c r="B492" s="5"/>
      <c r="C492" s="5"/>
      <c r="D492" s="5"/>
      <c r="E492" s="5"/>
      <c r="F492" s="5"/>
      <c r="G492" s="5"/>
      <c r="H492" s="306"/>
      <c r="I492" s="306"/>
      <c r="J492" s="5"/>
      <c r="K492" s="5"/>
      <c r="L492" s="306"/>
      <c r="M492" s="5"/>
      <c r="N492" s="5"/>
      <c r="O492" s="5"/>
      <c r="P492" s="5"/>
      <c r="Q492" s="5"/>
      <c r="R492" s="57"/>
      <c r="S492" s="5"/>
      <c r="T492" s="5"/>
      <c r="U492" s="5"/>
      <c r="V492" s="5"/>
      <c r="W492" s="5"/>
      <c r="X492" s="5"/>
      <c r="Y492" s="5"/>
      <c r="Z492" s="5"/>
      <c r="AA492" s="5"/>
      <c r="AB492" s="5"/>
      <c r="AC492" s="5"/>
    </row>
    <row r="493" spans="1:29" ht="12.75" customHeight="1">
      <c r="A493" s="5"/>
      <c r="B493" s="5"/>
      <c r="C493" s="5"/>
      <c r="D493" s="5"/>
      <c r="E493" s="5"/>
      <c r="F493" s="5"/>
      <c r="G493" s="5"/>
      <c r="H493" s="306"/>
      <c r="I493" s="306"/>
      <c r="J493" s="5"/>
      <c r="K493" s="5"/>
      <c r="L493" s="306"/>
      <c r="M493" s="5"/>
      <c r="N493" s="5"/>
      <c r="O493" s="5"/>
      <c r="P493" s="5"/>
      <c r="Q493" s="5"/>
      <c r="R493" s="57"/>
      <c r="S493" s="5"/>
      <c r="T493" s="5"/>
      <c r="U493" s="5"/>
      <c r="V493" s="5"/>
      <c r="W493" s="5"/>
      <c r="X493" s="5"/>
      <c r="Y493" s="5"/>
      <c r="Z493" s="5"/>
      <c r="AA493" s="5"/>
      <c r="AB493" s="5"/>
      <c r="AC493" s="5"/>
    </row>
    <row r="494" spans="1:29" ht="12.75" customHeight="1">
      <c r="A494" s="5"/>
      <c r="B494" s="5"/>
      <c r="C494" s="5"/>
      <c r="D494" s="5"/>
      <c r="E494" s="5"/>
      <c r="F494" s="5"/>
      <c r="G494" s="5"/>
      <c r="H494" s="306"/>
      <c r="I494" s="306"/>
      <c r="J494" s="5"/>
      <c r="K494" s="5"/>
      <c r="L494" s="306"/>
      <c r="M494" s="5"/>
      <c r="N494" s="5"/>
      <c r="O494" s="5"/>
      <c r="P494" s="5"/>
      <c r="Q494" s="5"/>
      <c r="R494" s="57"/>
      <c r="S494" s="5"/>
      <c r="T494" s="5"/>
      <c r="U494" s="5"/>
      <c r="V494" s="5"/>
      <c r="W494" s="5"/>
      <c r="X494" s="5"/>
      <c r="Y494" s="5"/>
      <c r="Z494" s="5"/>
      <c r="AA494" s="5"/>
      <c r="AB494" s="5"/>
      <c r="AC494" s="5"/>
    </row>
    <row r="495" spans="1:29" ht="12.75" customHeight="1">
      <c r="A495" s="5"/>
      <c r="B495" s="5"/>
      <c r="C495" s="5"/>
      <c r="D495" s="5"/>
      <c r="E495" s="5"/>
      <c r="F495" s="5"/>
      <c r="G495" s="5"/>
      <c r="H495" s="306"/>
      <c r="I495" s="306"/>
      <c r="J495" s="5"/>
      <c r="K495" s="5"/>
      <c r="L495" s="306"/>
      <c r="M495" s="5"/>
      <c r="N495" s="5"/>
      <c r="O495" s="5"/>
      <c r="P495" s="5"/>
      <c r="Q495" s="5"/>
      <c r="R495" s="57"/>
      <c r="S495" s="5"/>
      <c r="T495" s="5"/>
      <c r="U495" s="5"/>
      <c r="V495" s="5"/>
      <c r="W495" s="5"/>
      <c r="X495" s="5"/>
      <c r="Y495" s="5"/>
      <c r="Z495" s="5"/>
      <c r="AA495" s="5"/>
      <c r="AB495" s="5"/>
      <c r="AC495" s="5"/>
    </row>
    <row r="496" spans="1:29" ht="12.75" customHeight="1">
      <c r="A496" s="5"/>
      <c r="B496" s="5"/>
      <c r="C496" s="5"/>
      <c r="D496" s="5"/>
      <c r="E496" s="5"/>
      <c r="F496" s="5"/>
      <c r="G496" s="5"/>
      <c r="H496" s="306"/>
      <c r="I496" s="306"/>
      <c r="J496" s="5"/>
      <c r="K496" s="5"/>
      <c r="L496" s="306"/>
      <c r="M496" s="5"/>
      <c r="N496" s="5"/>
      <c r="O496" s="5"/>
      <c r="P496" s="5"/>
      <c r="Q496" s="5"/>
      <c r="R496" s="57"/>
      <c r="S496" s="5"/>
      <c r="T496" s="5"/>
      <c r="U496" s="5"/>
      <c r="V496" s="5"/>
      <c r="W496" s="5"/>
      <c r="X496" s="5"/>
      <c r="Y496" s="5"/>
      <c r="Z496" s="5"/>
      <c r="AA496" s="5"/>
      <c r="AB496" s="5"/>
      <c r="AC496" s="5"/>
    </row>
    <row r="497" spans="1:29" ht="12.75" customHeight="1">
      <c r="A497" s="5"/>
      <c r="B497" s="5"/>
      <c r="C497" s="5"/>
      <c r="D497" s="5"/>
      <c r="E497" s="5"/>
      <c r="F497" s="5"/>
      <c r="G497" s="5"/>
      <c r="H497" s="306"/>
      <c r="I497" s="306"/>
      <c r="J497" s="5"/>
      <c r="K497" s="5"/>
      <c r="L497" s="306"/>
      <c r="M497" s="5"/>
      <c r="N497" s="5"/>
      <c r="O497" s="5"/>
      <c r="P497" s="5"/>
      <c r="Q497" s="5"/>
      <c r="R497" s="57"/>
      <c r="S497" s="5"/>
      <c r="T497" s="5"/>
      <c r="U497" s="5"/>
      <c r="V497" s="5"/>
      <c r="W497" s="5"/>
      <c r="X497" s="5"/>
      <c r="Y497" s="5"/>
      <c r="Z497" s="5"/>
      <c r="AA497" s="5"/>
      <c r="AB497" s="5"/>
      <c r="AC497" s="5"/>
    </row>
    <row r="498" spans="1:29" ht="12.75" customHeight="1">
      <c r="A498" s="5"/>
      <c r="B498" s="5"/>
      <c r="C498" s="5"/>
      <c r="D498" s="5"/>
      <c r="E498" s="5"/>
      <c r="F498" s="5"/>
      <c r="G498" s="5"/>
      <c r="H498" s="306"/>
      <c r="I498" s="306"/>
      <c r="J498" s="5"/>
      <c r="K498" s="5"/>
      <c r="L498" s="306"/>
      <c r="M498" s="5"/>
      <c r="N498" s="5"/>
      <c r="O498" s="5"/>
      <c r="P498" s="5"/>
      <c r="Q498" s="5"/>
      <c r="R498" s="57"/>
      <c r="S498" s="5"/>
      <c r="T498" s="5"/>
      <c r="U498" s="5"/>
      <c r="V498" s="5"/>
      <c r="W498" s="5"/>
      <c r="X498" s="5"/>
      <c r="Y498" s="5"/>
      <c r="Z498" s="5"/>
      <c r="AA498" s="5"/>
      <c r="AB498" s="5"/>
      <c r="AC498" s="5"/>
    </row>
    <row r="499" spans="1:29" ht="12.75" customHeight="1">
      <c r="A499" s="5"/>
      <c r="B499" s="5"/>
      <c r="C499" s="5"/>
      <c r="D499" s="5"/>
      <c r="E499" s="5"/>
      <c r="F499" s="5"/>
      <c r="G499" s="5"/>
      <c r="H499" s="306"/>
      <c r="I499" s="306"/>
      <c r="J499" s="5"/>
      <c r="K499" s="5"/>
      <c r="L499" s="306"/>
      <c r="M499" s="5"/>
      <c r="N499" s="5"/>
      <c r="O499" s="5"/>
      <c r="P499" s="5"/>
      <c r="Q499" s="5"/>
      <c r="R499" s="57"/>
      <c r="S499" s="5"/>
      <c r="T499" s="5"/>
      <c r="U499" s="5"/>
      <c r="V499" s="5"/>
      <c r="W499" s="5"/>
      <c r="X499" s="5"/>
      <c r="Y499" s="5"/>
      <c r="Z499" s="5"/>
      <c r="AA499" s="5"/>
      <c r="AB499" s="5"/>
      <c r="AC499" s="5"/>
    </row>
    <row r="500" spans="1:29" ht="12.75" customHeight="1">
      <c r="A500" s="5"/>
      <c r="B500" s="5"/>
      <c r="C500" s="5"/>
      <c r="D500" s="5"/>
      <c r="E500" s="5"/>
      <c r="F500" s="5"/>
      <c r="G500" s="5"/>
      <c r="H500" s="306"/>
      <c r="I500" s="306"/>
      <c r="J500" s="5"/>
      <c r="K500" s="5"/>
      <c r="L500" s="306"/>
      <c r="M500" s="5"/>
      <c r="N500" s="5"/>
      <c r="O500" s="5"/>
      <c r="P500" s="5"/>
      <c r="Q500" s="5"/>
      <c r="R500" s="57"/>
      <c r="S500" s="5"/>
      <c r="T500" s="5"/>
      <c r="U500" s="5"/>
      <c r="V500" s="5"/>
      <c r="W500" s="5"/>
      <c r="X500" s="5"/>
      <c r="Y500" s="5"/>
      <c r="Z500" s="5"/>
      <c r="AA500" s="5"/>
      <c r="AB500" s="5"/>
      <c r="AC500" s="5"/>
    </row>
    <row r="501" spans="1:29" ht="12.75" customHeight="1">
      <c r="A501" s="5"/>
      <c r="B501" s="5"/>
      <c r="C501" s="5"/>
      <c r="D501" s="5"/>
      <c r="E501" s="5"/>
      <c r="F501" s="5"/>
      <c r="G501" s="5"/>
      <c r="H501" s="306"/>
      <c r="I501" s="306"/>
      <c r="J501" s="5"/>
      <c r="K501" s="5"/>
      <c r="L501" s="306"/>
      <c r="M501" s="5"/>
      <c r="N501" s="5"/>
      <c r="O501" s="5"/>
      <c r="P501" s="5"/>
      <c r="Q501" s="5"/>
      <c r="R501" s="57"/>
      <c r="S501" s="5"/>
      <c r="T501" s="5"/>
      <c r="U501" s="5"/>
      <c r="V501" s="5"/>
      <c r="W501" s="5"/>
      <c r="X501" s="5"/>
      <c r="Y501" s="5"/>
      <c r="Z501" s="5"/>
      <c r="AA501" s="5"/>
      <c r="AB501" s="5"/>
      <c r="AC501" s="5"/>
    </row>
    <row r="502" spans="1:29" ht="12.75" customHeight="1">
      <c r="A502" s="5"/>
      <c r="B502" s="5"/>
      <c r="C502" s="5"/>
      <c r="D502" s="5"/>
      <c r="E502" s="5"/>
      <c r="F502" s="5"/>
      <c r="G502" s="5"/>
      <c r="H502" s="306"/>
      <c r="I502" s="306"/>
      <c r="J502" s="5"/>
      <c r="K502" s="5"/>
      <c r="L502" s="306"/>
      <c r="M502" s="5"/>
      <c r="N502" s="5"/>
      <c r="O502" s="5"/>
      <c r="P502" s="5"/>
      <c r="Q502" s="5"/>
      <c r="R502" s="57"/>
      <c r="S502" s="5"/>
      <c r="T502" s="5"/>
      <c r="U502" s="5"/>
      <c r="V502" s="5"/>
      <c r="W502" s="5"/>
      <c r="X502" s="5"/>
      <c r="Y502" s="5"/>
      <c r="Z502" s="5"/>
      <c r="AA502" s="5"/>
      <c r="AB502" s="5"/>
      <c r="AC502" s="5"/>
    </row>
    <row r="503" spans="1:29" ht="12.75" customHeight="1">
      <c r="A503" s="5"/>
      <c r="B503" s="5"/>
      <c r="C503" s="5"/>
      <c r="D503" s="5"/>
      <c r="E503" s="5"/>
      <c r="F503" s="5"/>
      <c r="G503" s="5"/>
      <c r="H503" s="306"/>
      <c r="I503" s="306"/>
      <c r="J503" s="5"/>
      <c r="K503" s="5"/>
      <c r="L503" s="306"/>
      <c r="M503" s="5"/>
      <c r="N503" s="5"/>
      <c r="O503" s="5"/>
      <c r="P503" s="5"/>
      <c r="Q503" s="5"/>
      <c r="R503" s="57"/>
      <c r="S503" s="5"/>
      <c r="T503" s="5"/>
      <c r="U503" s="5"/>
      <c r="V503" s="5"/>
      <c r="W503" s="5"/>
      <c r="X503" s="5"/>
      <c r="Y503" s="5"/>
      <c r="Z503" s="5"/>
      <c r="AA503" s="5"/>
      <c r="AB503" s="5"/>
      <c r="AC503" s="5"/>
    </row>
    <row r="504" spans="1:29" ht="12.75" customHeight="1">
      <c r="A504" s="5"/>
      <c r="B504" s="5"/>
      <c r="C504" s="5"/>
      <c r="D504" s="5"/>
      <c r="E504" s="5"/>
      <c r="F504" s="5"/>
      <c r="G504" s="5"/>
      <c r="H504" s="306"/>
      <c r="I504" s="306"/>
      <c r="J504" s="5"/>
      <c r="K504" s="5"/>
      <c r="L504" s="306"/>
      <c r="M504" s="5"/>
      <c r="N504" s="5"/>
      <c r="O504" s="5"/>
      <c r="P504" s="5"/>
      <c r="Q504" s="5"/>
      <c r="R504" s="57"/>
      <c r="S504" s="5"/>
      <c r="T504" s="5"/>
      <c r="U504" s="5"/>
      <c r="V504" s="5"/>
      <c r="W504" s="5"/>
      <c r="X504" s="5"/>
      <c r="Y504" s="5"/>
      <c r="Z504" s="5"/>
      <c r="AA504" s="5"/>
      <c r="AB504" s="5"/>
      <c r="AC504" s="5"/>
    </row>
    <row r="505" spans="1:29" ht="12.75" customHeight="1">
      <c r="A505" s="5"/>
      <c r="B505" s="5"/>
      <c r="C505" s="5"/>
      <c r="D505" s="5"/>
      <c r="E505" s="5"/>
      <c r="F505" s="5"/>
      <c r="G505" s="5"/>
      <c r="H505" s="306"/>
      <c r="I505" s="306"/>
      <c r="J505" s="5"/>
      <c r="K505" s="5"/>
      <c r="L505" s="306"/>
      <c r="M505" s="5"/>
      <c r="N505" s="5"/>
      <c r="O505" s="5"/>
      <c r="P505" s="5"/>
      <c r="Q505" s="5"/>
      <c r="R505" s="57"/>
      <c r="S505" s="5"/>
      <c r="T505" s="5"/>
      <c r="U505" s="5"/>
      <c r="V505" s="5"/>
      <c r="W505" s="5"/>
      <c r="X505" s="5"/>
      <c r="Y505" s="5"/>
      <c r="Z505" s="5"/>
      <c r="AA505" s="5"/>
      <c r="AB505" s="5"/>
      <c r="AC505" s="5"/>
    </row>
    <row r="506" spans="1:29" ht="12.75" customHeight="1">
      <c r="A506" s="5"/>
      <c r="B506" s="5"/>
      <c r="C506" s="5"/>
      <c r="D506" s="5"/>
      <c r="E506" s="5"/>
      <c r="F506" s="5"/>
      <c r="G506" s="5"/>
      <c r="H506" s="306"/>
      <c r="I506" s="306"/>
      <c r="J506" s="5"/>
      <c r="K506" s="5"/>
      <c r="L506" s="306"/>
      <c r="M506" s="5"/>
      <c r="N506" s="5"/>
      <c r="O506" s="5"/>
      <c r="P506" s="5"/>
      <c r="Q506" s="5"/>
      <c r="R506" s="57"/>
      <c r="S506" s="5"/>
      <c r="T506" s="5"/>
      <c r="U506" s="5"/>
      <c r="V506" s="5"/>
      <c r="W506" s="5"/>
      <c r="X506" s="5"/>
      <c r="Y506" s="5"/>
      <c r="Z506" s="5"/>
      <c r="AA506" s="5"/>
      <c r="AB506" s="5"/>
      <c r="AC506" s="5"/>
    </row>
    <row r="507" spans="1:29" ht="12.75" customHeight="1">
      <c r="A507" s="5"/>
      <c r="B507" s="5"/>
      <c r="C507" s="5"/>
      <c r="D507" s="5"/>
      <c r="E507" s="5"/>
      <c r="F507" s="5"/>
      <c r="G507" s="5"/>
      <c r="H507" s="306"/>
      <c r="I507" s="306"/>
      <c r="J507" s="5"/>
      <c r="K507" s="5"/>
      <c r="L507" s="306"/>
      <c r="M507" s="5"/>
      <c r="N507" s="5"/>
      <c r="O507" s="5"/>
      <c r="P507" s="5"/>
      <c r="Q507" s="5"/>
      <c r="R507" s="57"/>
      <c r="S507" s="5"/>
      <c r="T507" s="5"/>
      <c r="U507" s="5"/>
      <c r="V507" s="5"/>
      <c r="W507" s="5"/>
      <c r="X507" s="5"/>
      <c r="Y507" s="5"/>
      <c r="Z507" s="5"/>
      <c r="AA507" s="5"/>
      <c r="AB507" s="5"/>
      <c r="AC507" s="5"/>
    </row>
    <row r="508" spans="1:29" ht="12.75" customHeight="1">
      <c r="A508" s="5"/>
      <c r="B508" s="5"/>
      <c r="C508" s="5"/>
      <c r="D508" s="5"/>
      <c r="E508" s="5"/>
      <c r="F508" s="5"/>
      <c r="G508" s="5"/>
      <c r="H508" s="306"/>
      <c r="I508" s="306"/>
      <c r="J508" s="5"/>
      <c r="K508" s="5"/>
      <c r="L508" s="306"/>
      <c r="M508" s="5"/>
      <c r="N508" s="5"/>
      <c r="O508" s="5"/>
      <c r="P508" s="5"/>
      <c r="Q508" s="5"/>
      <c r="R508" s="57"/>
      <c r="S508" s="5"/>
      <c r="T508" s="5"/>
      <c r="U508" s="5"/>
      <c r="V508" s="5"/>
      <c r="W508" s="5"/>
      <c r="X508" s="5"/>
      <c r="Y508" s="5"/>
      <c r="Z508" s="5"/>
      <c r="AA508" s="5"/>
      <c r="AB508" s="5"/>
      <c r="AC508" s="5"/>
    </row>
    <row r="509" spans="1:29" ht="12.75" customHeight="1">
      <c r="A509" s="5"/>
      <c r="B509" s="5"/>
      <c r="C509" s="5"/>
      <c r="D509" s="5"/>
      <c r="E509" s="5"/>
      <c r="F509" s="5"/>
      <c r="G509" s="5"/>
      <c r="H509" s="306"/>
      <c r="I509" s="306"/>
      <c r="J509" s="5"/>
      <c r="K509" s="5"/>
      <c r="L509" s="306"/>
      <c r="M509" s="5"/>
      <c r="N509" s="5"/>
      <c r="O509" s="5"/>
      <c r="P509" s="5"/>
      <c r="Q509" s="5"/>
      <c r="R509" s="57"/>
      <c r="S509" s="5"/>
      <c r="T509" s="5"/>
      <c r="U509" s="5"/>
      <c r="V509" s="5"/>
      <c r="W509" s="5"/>
      <c r="X509" s="5"/>
      <c r="Y509" s="5"/>
      <c r="Z509" s="5"/>
      <c r="AA509" s="5"/>
      <c r="AB509" s="5"/>
      <c r="AC509" s="5"/>
    </row>
    <row r="510" spans="1:29" ht="12.75" customHeight="1">
      <c r="A510" s="5"/>
      <c r="B510" s="5"/>
      <c r="C510" s="5"/>
      <c r="D510" s="5"/>
      <c r="E510" s="5"/>
      <c r="F510" s="5"/>
      <c r="G510" s="5"/>
      <c r="H510" s="306"/>
      <c r="I510" s="306"/>
      <c r="J510" s="5"/>
      <c r="K510" s="5"/>
      <c r="L510" s="306"/>
      <c r="M510" s="5"/>
      <c r="N510" s="5"/>
      <c r="O510" s="5"/>
      <c r="P510" s="5"/>
      <c r="Q510" s="5"/>
      <c r="R510" s="57"/>
      <c r="S510" s="5"/>
      <c r="T510" s="5"/>
      <c r="U510" s="5"/>
      <c r="V510" s="5"/>
      <c r="W510" s="5"/>
      <c r="X510" s="5"/>
      <c r="Y510" s="5"/>
      <c r="Z510" s="5"/>
      <c r="AA510" s="5"/>
      <c r="AB510" s="5"/>
      <c r="AC510" s="5"/>
    </row>
    <row r="511" spans="1:29" ht="12.75" customHeight="1">
      <c r="A511" s="5"/>
      <c r="B511" s="5"/>
      <c r="C511" s="5"/>
      <c r="D511" s="5"/>
      <c r="E511" s="5"/>
      <c r="F511" s="5"/>
      <c r="G511" s="5"/>
      <c r="H511" s="306"/>
      <c r="I511" s="306"/>
      <c r="J511" s="5"/>
      <c r="K511" s="5"/>
      <c r="L511" s="306"/>
      <c r="M511" s="5"/>
      <c r="N511" s="5"/>
      <c r="O511" s="5"/>
      <c r="P511" s="5"/>
      <c r="Q511" s="5"/>
      <c r="R511" s="57"/>
      <c r="S511" s="5"/>
      <c r="T511" s="5"/>
      <c r="U511" s="5"/>
      <c r="V511" s="5"/>
      <c r="W511" s="5"/>
      <c r="X511" s="5"/>
      <c r="Y511" s="5"/>
      <c r="Z511" s="5"/>
      <c r="AA511" s="5"/>
      <c r="AB511" s="5"/>
      <c r="AC511" s="5"/>
    </row>
    <row r="512" spans="1:29" ht="12.75" customHeight="1">
      <c r="A512" s="5"/>
      <c r="B512" s="5"/>
      <c r="C512" s="5"/>
      <c r="D512" s="5"/>
      <c r="E512" s="5"/>
      <c r="F512" s="5"/>
      <c r="G512" s="5"/>
      <c r="H512" s="306"/>
      <c r="I512" s="306"/>
      <c r="J512" s="5"/>
      <c r="K512" s="5"/>
      <c r="L512" s="306"/>
      <c r="M512" s="5"/>
      <c r="N512" s="5"/>
      <c r="O512" s="5"/>
      <c r="P512" s="5"/>
      <c r="Q512" s="5"/>
      <c r="R512" s="57"/>
      <c r="S512" s="5"/>
      <c r="T512" s="5"/>
      <c r="U512" s="5"/>
      <c r="V512" s="5"/>
      <c r="W512" s="5"/>
      <c r="X512" s="5"/>
      <c r="Y512" s="5"/>
      <c r="Z512" s="5"/>
      <c r="AA512" s="5"/>
      <c r="AB512" s="5"/>
      <c r="AC512" s="5"/>
    </row>
    <row r="513" spans="1:29" ht="12.75" customHeight="1">
      <c r="A513" s="5"/>
      <c r="B513" s="5"/>
      <c r="C513" s="5"/>
      <c r="D513" s="5"/>
      <c r="E513" s="5"/>
      <c r="F513" s="5"/>
      <c r="G513" s="5"/>
      <c r="H513" s="306"/>
      <c r="I513" s="306"/>
      <c r="J513" s="5"/>
      <c r="K513" s="5"/>
      <c r="L513" s="306"/>
      <c r="M513" s="5"/>
      <c r="N513" s="5"/>
      <c r="O513" s="5"/>
      <c r="P513" s="5"/>
      <c r="Q513" s="5"/>
      <c r="R513" s="57"/>
      <c r="S513" s="5"/>
      <c r="T513" s="5"/>
      <c r="U513" s="5"/>
      <c r="V513" s="5"/>
      <c r="W513" s="5"/>
      <c r="X513" s="5"/>
      <c r="Y513" s="5"/>
      <c r="Z513" s="5"/>
      <c r="AA513" s="5"/>
      <c r="AB513" s="5"/>
      <c r="AC513" s="5"/>
    </row>
    <row r="514" spans="1:29" ht="12.75" customHeight="1">
      <c r="A514" s="5"/>
      <c r="B514" s="5"/>
      <c r="C514" s="5"/>
      <c r="D514" s="5"/>
      <c r="E514" s="5"/>
      <c r="F514" s="5"/>
      <c r="G514" s="5"/>
      <c r="H514" s="306"/>
      <c r="I514" s="306"/>
      <c r="J514" s="5"/>
      <c r="K514" s="5"/>
      <c r="L514" s="306"/>
      <c r="M514" s="5"/>
      <c r="N514" s="5"/>
      <c r="O514" s="5"/>
      <c r="P514" s="5"/>
      <c r="Q514" s="5"/>
      <c r="R514" s="57"/>
      <c r="S514" s="5"/>
      <c r="T514" s="5"/>
      <c r="U514" s="5"/>
      <c r="V514" s="5"/>
      <c r="W514" s="5"/>
      <c r="X514" s="5"/>
      <c r="Y514" s="5"/>
      <c r="Z514" s="5"/>
      <c r="AA514" s="5"/>
      <c r="AB514" s="5"/>
      <c r="AC514" s="5"/>
    </row>
    <row r="515" spans="1:29" ht="12.75" customHeight="1">
      <c r="A515" s="5"/>
      <c r="B515" s="5"/>
      <c r="C515" s="5"/>
      <c r="D515" s="5"/>
      <c r="E515" s="5"/>
      <c r="F515" s="5"/>
      <c r="G515" s="5"/>
      <c r="H515" s="306"/>
      <c r="I515" s="306"/>
      <c r="J515" s="5"/>
      <c r="K515" s="5"/>
      <c r="L515" s="306"/>
      <c r="M515" s="5"/>
      <c r="N515" s="5"/>
      <c r="O515" s="5"/>
      <c r="P515" s="5"/>
      <c r="Q515" s="5"/>
      <c r="R515" s="57"/>
      <c r="S515" s="5"/>
      <c r="T515" s="5"/>
      <c r="U515" s="5"/>
      <c r="V515" s="5"/>
      <c r="W515" s="5"/>
      <c r="X515" s="5"/>
      <c r="Y515" s="5"/>
      <c r="Z515" s="5"/>
      <c r="AA515" s="5"/>
      <c r="AB515" s="5"/>
      <c r="AC515" s="5"/>
    </row>
    <row r="516" spans="1:29" ht="12.75" customHeight="1">
      <c r="A516" s="5"/>
      <c r="B516" s="5"/>
      <c r="C516" s="5"/>
      <c r="D516" s="5"/>
      <c r="E516" s="5"/>
      <c r="F516" s="5"/>
      <c r="G516" s="5"/>
      <c r="H516" s="306"/>
      <c r="I516" s="306"/>
      <c r="J516" s="5"/>
      <c r="K516" s="5"/>
      <c r="L516" s="306"/>
      <c r="M516" s="5"/>
      <c r="N516" s="5"/>
      <c r="O516" s="5"/>
      <c r="P516" s="5"/>
      <c r="Q516" s="5"/>
      <c r="R516" s="57"/>
      <c r="S516" s="5"/>
      <c r="T516" s="5"/>
      <c r="U516" s="5"/>
      <c r="V516" s="5"/>
      <c r="W516" s="5"/>
      <c r="X516" s="5"/>
      <c r="Y516" s="5"/>
      <c r="Z516" s="5"/>
      <c r="AA516" s="5"/>
      <c r="AB516" s="5"/>
      <c r="AC516" s="5"/>
    </row>
    <row r="517" spans="1:29" ht="12.75" customHeight="1">
      <c r="A517" s="5"/>
      <c r="B517" s="5"/>
      <c r="C517" s="5"/>
      <c r="D517" s="5"/>
      <c r="E517" s="5"/>
      <c r="F517" s="5"/>
      <c r="G517" s="5"/>
      <c r="H517" s="306"/>
      <c r="I517" s="306"/>
      <c r="J517" s="5"/>
      <c r="K517" s="5"/>
      <c r="L517" s="306"/>
      <c r="M517" s="5"/>
      <c r="N517" s="5"/>
      <c r="O517" s="5"/>
      <c r="P517" s="5"/>
      <c r="Q517" s="5"/>
      <c r="R517" s="57"/>
      <c r="S517" s="5"/>
      <c r="T517" s="5"/>
      <c r="U517" s="5"/>
      <c r="V517" s="5"/>
      <c r="W517" s="5"/>
      <c r="X517" s="5"/>
      <c r="Y517" s="5"/>
      <c r="Z517" s="5"/>
      <c r="AA517" s="5"/>
      <c r="AB517" s="5"/>
      <c r="AC517" s="5"/>
    </row>
    <row r="518" spans="1:29" ht="12.75" customHeight="1">
      <c r="A518" s="5"/>
      <c r="B518" s="5"/>
      <c r="C518" s="5"/>
      <c r="D518" s="5"/>
      <c r="E518" s="5"/>
      <c r="F518" s="5"/>
      <c r="G518" s="5"/>
      <c r="H518" s="306"/>
      <c r="I518" s="306"/>
      <c r="J518" s="5"/>
      <c r="K518" s="5"/>
      <c r="L518" s="306"/>
      <c r="M518" s="5"/>
      <c r="N518" s="5"/>
      <c r="O518" s="5"/>
      <c r="P518" s="5"/>
      <c r="Q518" s="5"/>
      <c r="R518" s="57"/>
      <c r="S518" s="5"/>
      <c r="T518" s="5"/>
      <c r="U518" s="5"/>
      <c r="V518" s="5"/>
      <c r="W518" s="5"/>
      <c r="X518" s="5"/>
      <c r="Y518" s="5"/>
      <c r="Z518" s="5"/>
      <c r="AA518" s="5"/>
      <c r="AB518" s="5"/>
      <c r="AC518" s="5"/>
    </row>
    <row r="519" spans="1:29" ht="12.75" customHeight="1">
      <c r="A519" s="5"/>
      <c r="B519" s="5"/>
      <c r="C519" s="5"/>
      <c r="D519" s="5"/>
      <c r="E519" s="5"/>
      <c r="F519" s="5"/>
      <c r="G519" s="5"/>
      <c r="H519" s="306"/>
      <c r="I519" s="306"/>
      <c r="J519" s="5"/>
      <c r="K519" s="5"/>
      <c r="L519" s="306"/>
      <c r="M519" s="5"/>
      <c r="N519" s="5"/>
      <c r="O519" s="5"/>
      <c r="P519" s="5"/>
      <c r="Q519" s="5"/>
      <c r="R519" s="57"/>
      <c r="S519" s="5"/>
      <c r="T519" s="5"/>
      <c r="U519" s="5"/>
      <c r="V519" s="5"/>
      <c r="W519" s="5"/>
      <c r="X519" s="5"/>
      <c r="Y519" s="5"/>
      <c r="Z519" s="5"/>
      <c r="AA519" s="5"/>
      <c r="AB519" s="5"/>
      <c r="AC519" s="5"/>
    </row>
    <row r="520" spans="1:29" ht="12.75" customHeight="1">
      <c r="A520" s="5"/>
      <c r="B520" s="5"/>
      <c r="C520" s="5"/>
      <c r="D520" s="5"/>
      <c r="E520" s="5"/>
      <c r="F520" s="5"/>
      <c r="G520" s="5"/>
      <c r="H520" s="306"/>
      <c r="I520" s="306"/>
      <c r="J520" s="5"/>
      <c r="K520" s="5"/>
      <c r="L520" s="306"/>
      <c r="M520" s="5"/>
      <c r="N520" s="5"/>
      <c r="O520" s="5"/>
      <c r="P520" s="5"/>
      <c r="Q520" s="5"/>
      <c r="R520" s="57"/>
      <c r="S520" s="5"/>
      <c r="T520" s="5"/>
      <c r="U520" s="5"/>
      <c r="V520" s="5"/>
      <c r="W520" s="5"/>
      <c r="X520" s="5"/>
      <c r="Y520" s="5"/>
      <c r="Z520" s="5"/>
      <c r="AA520" s="5"/>
      <c r="AB520" s="5"/>
      <c r="AC520" s="5"/>
    </row>
    <row r="521" spans="1:29" ht="12.75" customHeight="1">
      <c r="A521" s="5"/>
      <c r="B521" s="5"/>
      <c r="C521" s="5"/>
      <c r="D521" s="5"/>
      <c r="E521" s="5"/>
      <c r="F521" s="5"/>
      <c r="G521" s="5"/>
      <c r="H521" s="306"/>
      <c r="I521" s="306"/>
      <c r="J521" s="5"/>
      <c r="K521" s="5"/>
      <c r="L521" s="306"/>
      <c r="M521" s="5"/>
      <c r="N521" s="5"/>
      <c r="O521" s="5"/>
      <c r="P521" s="5"/>
      <c r="Q521" s="5"/>
      <c r="R521" s="57"/>
      <c r="S521" s="5"/>
      <c r="T521" s="5"/>
      <c r="U521" s="5"/>
      <c r="V521" s="5"/>
      <c r="W521" s="5"/>
      <c r="X521" s="5"/>
      <c r="Y521" s="5"/>
      <c r="Z521" s="5"/>
      <c r="AA521" s="5"/>
      <c r="AB521" s="5"/>
      <c r="AC521" s="5"/>
    </row>
    <row r="522" spans="1:29" ht="12.75" customHeight="1">
      <c r="A522" s="5"/>
      <c r="B522" s="5"/>
      <c r="C522" s="5"/>
      <c r="D522" s="5"/>
      <c r="E522" s="5"/>
      <c r="F522" s="5"/>
      <c r="G522" s="5"/>
      <c r="H522" s="306"/>
      <c r="I522" s="306"/>
      <c r="J522" s="5"/>
      <c r="K522" s="5"/>
      <c r="L522" s="306"/>
      <c r="M522" s="5"/>
      <c r="N522" s="5"/>
      <c r="O522" s="5"/>
      <c r="P522" s="5"/>
      <c r="Q522" s="5"/>
      <c r="R522" s="57"/>
      <c r="S522" s="5"/>
      <c r="T522" s="5"/>
      <c r="U522" s="5"/>
      <c r="V522" s="5"/>
      <c r="W522" s="5"/>
      <c r="X522" s="5"/>
      <c r="Y522" s="5"/>
      <c r="Z522" s="5"/>
      <c r="AA522" s="5"/>
      <c r="AB522" s="5"/>
      <c r="AC522" s="5"/>
    </row>
    <row r="523" spans="1:29" ht="12.75" customHeight="1">
      <c r="A523" s="5"/>
      <c r="B523" s="5"/>
      <c r="C523" s="5"/>
      <c r="D523" s="5"/>
      <c r="E523" s="5"/>
      <c r="F523" s="5"/>
      <c r="G523" s="5"/>
      <c r="H523" s="306"/>
      <c r="I523" s="306"/>
      <c r="J523" s="5"/>
      <c r="K523" s="5"/>
      <c r="L523" s="306"/>
      <c r="M523" s="5"/>
      <c r="N523" s="5"/>
      <c r="O523" s="5"/>
      <c r="P523" s="5"/>
      <c r="Q523" s="5"/>
      <c r="R523" s="57"/>
      <c r="S523" s="5"/>
      <c r="T523" s="5"/>
      <c r="U523" s="5"/>
      <c r="V523" s="5"/>
      <c r="W523" s="5"/>
      <c r="X523" s="5"/>
      <c r="Y523" s="5"/>
      <c r="Z523" s="5"/>
      <c r="AA523" s="5"/>
      <c r="AB523" s="5"/>
      <c r="AC523" s="5"/>
    </row>
    <row r="524" spans="1:29" ht="12.75" customHeight="1">
      <c r="A524" s="5"/>
      <c r="B524" s="5"/>
      <c r="C524" s="5"/>
      <c r="D524" s="5"/>
      <c r="E524" s="5"/>
      <c r="F524" s="5"/>
      <c r="G524" s="5"/>
      <c r="H524" s="306"/>
      <c r="I524" s="306"/>
      <c r="J524" s="5"/>
      <c r="K524" s="5"/>
      <c r="L524" s="306"/>
      <c r="M524" s="5"/>
      <c r="N524" s="5"/>
      <c r="O524" s="5"/>
      <c r="P524" s="5"/>
      <c r="Q524" s="5"/>
      <c r="R524" s="57"/>
      <c r="S524" s="5"/>
      <c r="T524" s="5"/>
      <c r="U524" s="5"/>
      <c r="V524" s="5"/>
      <c r="W524" s="5"/>
      <c r="X524" s="5"/>
      <c r="Y524" s="5"/>
      <c r="Z524" s="5"/>
      <c r="AA524" s="5"/>
      <c r="AB524" s="5"/>
      <c r="AC524" s="5"/>
    </row>
    <row r="525" spans="1:29" ht="12.75" customHeight="1">
      <c r="A525" s="5"/>
      <c r="B525" s="5"/>
      <c r="C525" s="5"/>
      <c r="D525" s="5"/>
      <c r="E525" s="5"/>
      <c r="F525" s="5"/>
      <c r="G525" s="5"/>
      <c r="H525" s="306"/>
      <c r="I525" s="306"/>
      <c r="J525" s="5"/>
      <c r="K525" s="5"/>
      <c r="L525" s="306"/>
      <c r="M525" s="5"/>
      <c r="N525" s="5"/>
      <c r="O525" s="5"/>
      <c r="P525" s="5"/>
      <c r="Q525" s="5"/>
      <c r="R525" s="57"/>
      <c r="S525" s="5"/>
      <c r="T525" s="5"/>
      <c r="U525" s="5"/>
      <c r="V525" s="5"/>
      <c r="W525" s="5"/>
      <c r="X525" s="5"/>
      <c r="Y525" s="5"/>
      <c r="Z525" s="5"/>
      <c r="AA525" s="5"/>
      <c r="AB525" s="5"/>
      <c r="AC525" s="5"/>
    </row>
    <row r="526" spans="1:29" ht="12.75" customHeight="1">
      <c r="A526" s="5"/>
      <c r="B526" s="5"/>
      <c r="C526" s="5"/>
      <c r="D526" s="5"/>
      <c r="E526" s="5"/>
      <c r="F526" s="5"/>
      <c r="G526" s="5"/>
      <c r="H526" s="306"/>
      <c r="I526" s="306"/>
      <c r="J526" s="5"/>
      <c r="K526" s="5"/>
      <c r="L526" s="306"/>
      <c r="M526" s="5"/>
      <c r="N526" s="5"/>
      <c r="O526" s="5"/>
      <c r="P526" s="5"/>
      <c r="Q526" s="5"/>
      <c r="R526" s="57"/>
      <c r="S526" s="5"/>
      <c r="T526" s="5"/>
      <c r="U526" s="5"/>
      <c r="V526" s="5"/>
      <c r="W526" s="5"/>
      <c r="X526" s="5"/>
      <c r="Y526" s="5"/>
      <c r="Z526" s="5"/>
      <c r="AA526" s="5"/>
      <c r="AB526" s="5"/>
      <c r="AC526" s="5"/>
    </row>
    <row r="527" spans="1:29" ht="12.75" customHeight="1">
      <c r="A527" s="5"/>
      <c r="B527" s="5"/>
      <c r="C527" s="5"/>
      <c r="D527" s="5"/>
      <c r="E527" s="5"/>
      <c r="F527" s="5"/>
      <c r="G527" s="5"/>
      <c r="H527" s="306"/>
      <c r="I527" s="306"/>
      <c r="J527" s="5"/>
      <c r="K527" s="5"/>
      <c r="L527" s="306"/>
      <c r="M527" s="5"/>
      <c r="N527" s="5"/>
      <c r="O527" s="5"/>
      <c r="P527" s="5"/>
      <c r="Q527" s="5"/>
      <c r="R527" s="57"/>
      <c r="S527" s="5"/>
      <c r="T527" s="5"/>
      <c r="U527" s="5"/>
      <c r="V527" s="5"/>
      <c r="W527" s="5"/>
      <c r="X527" s="5"/>
      <c r="Y527" s="5"/>
      <c r="Z527" s="5"/>
      <c r="AA527" s="5"/>
      <c r="AB527" s="5"/>
      <c r="AC527" s="5"/>
    </row>
    <row r="528" spans="1:29" ht="12.75" customHeight="1">
      <c r="A528" s="5"/>
      <c r="B528" s="5"/>
      <c r="C528" s="5"/>
      <c r="D528" s="5"/>
      <c r="E528" s="5"/>
      <c r="F528" s="5"/>
      <c r="G528" s="5"/>
      <c r="H528" s="306"/>
      <c r="I528" s="306"/>
      <c r="J528" s="5"/>
      <c r="K528" s="5"/>
      <c r="L528" s="306"/>
      <c r="M528" s="5"/>
      <c r="N528" s="5"/>
      <c r="O528" s="5"/>
      <c r="P528" s="5"/>
      <c r="Q528" s="5"/>
      <c r="R528" s="57"/>
      <c r="S528" s="5"/>
      <c r="T528" s="5"/>
      <c r="U528" s="5"/>
      <c r="V528" s="5"/>
      <c r="W528" s="5"/>
      <c r="X528" s="5"/>
      <c r="Y528" s="5"/>
      <c r="Z528" s="5"/>
      <c r="AA528" s="5"/>
      <c r="AB528" s="5"/>
      <c r="AC528" s="5"/>
    </row>
    <row r="529" spans="1:29" ht="12.75" customHeight="1">
      <c r="A529" s="5"/>
      <c r="B529" s="5"/>
      <c r="C529" s="5"/>
      <c r="D529" s="5"/>
      <c r="E529" s="5"/>
      <c r="F529" s="5"/>
      <c r="G529" s="5"/>
      <c r="H529" s="306"/>
      <c r="I529" s="306"/>
      <c r="J529" s="5"/>
      <c r="K529" s="5"/>
      <c r="L529" s="306"/>
      <c r="M529" s="5"/>
      <c r="N529" s="5"/>
      <c r="O529" s="5"/>
      <c r="P529" s="5"/>
      <c r="Q529" s="5"/>
      <c r="R529" s="57"/>
      <c r="S529" s="5"/>
      <c r="T529" s="5"/>
      <c r="U529" s="5"/>
      <c r="V529" s="5"/>
      <c r="W529" s="5"/>
      <c r="X529" s="5"/>
      <c r="Y529" s="5"/>
      <c r="Z529" s="5"/>
      <c r="AA529" s="5"/>
      <c r="AB529" s="5"/>
      <c r="AC529" s="5"/>
    </row>
    <row r="530" spans="1:29" ht="12.75" customHeight="1">
      <c r="A530" s="5"/>
      <c r="B530" s="5"/>
      <c r="C530" s="5"/>
      <c r="D530" s="5"/>
      <c r="E530" s="5"/>
      <c r="F530" s="5"/>
      <c r="G530" s="5"/>
      <c r="H530" s="306"/>
      <c r="I530" s="306"/>
      <c r="J530" s="5"/>
      <c r="K530" s="5"/>
      <c r="L530" s="306"/>
      <c r="M530" s="5"/>
      <c r="N530" s="5"/>
      <c r="O530" s="5"/>
      <c r="P530" s="5"/>
      <c r="Q530" s="5"/>
      <c r="R530" s="57"/>
      <c r="S530" s="5"/>
      <c r="T530" s="5"/>
      <c r="U530" s="5"/>
      <c r="V530" s="5"/>
      <c r="W530" s="5"/>
      <c r="X530" s="5"/>
      <c r="Y530" s="5"/>
      <c r="Z530" s="5"/>
      <c r="AA530" s="5"/>
      <c r="AB530" s="5"/>
      <c r="AC530" s="5"/>
    </row>
    <row r="531" spans="1:29" ht="12.75" customHeight="1">
      <c r="A531" s="5"/>
      <c r="B531" s="5"/>
      <c r="C531" s="5"/>
      <c r="D531" s="5"/>
      <c r="E531" s="5"/>
      <c r="F531" s="5"/>
      <c r="G531" s="5"/>
      <c r="H531" s="306"/>
      <c r="I531" s="306"/>
      <c r="J531" s="5"/>
      <c r="K531" s="5"/>
      <c r="L531" s="306"/>
      <c r="M531" s="5"/>
      <c r="N531" s="5"/>
      <c r="O531" s="5"/>
      <c r="P531" s="5"/>
      <c r="Q531" s="5"/>
      <c r="R531" s="57"/>
      <c r="S531" s="5"/>
      <c r="T531" s="5"/>
      <c r="U531" s="5"/>
      <c r="V531" s="5"/>
      <c r="W531" s="5"/>
      <c r="X531" s="5"/>
      <c r="Y531" s="5"/>
      <c r="Z531" s="5"/>
      <c r="AA531" s="5"/>
      <c r="AB531" s="5"/>
      <c r="AC531" s="5"/>
    </row>
    <row r="532" spans="1:29" ht="12.75" customHeight="1">
      <c r="A532" s="5"/>
      <c r="B532" s="5"/>
      <c r="C532" s="5"/>
      <c r="D532" s="5"/>
      <c r="E532" s="5"/>
      <c r="F532" s="5"/>
      <c r="G532" s="5"/>
      <c r="H532" s="306"/>
      <c r="I532" s="306"/>
      <c r="J532" s="5"/>
      <c r="K532" s="5"/>
      <c r="L532" s="306"/>
      <c r="M532" s="5"/>
      <c r="N532" s="5"/>
      <c r="O532" s="5"/>
      <c r="P532" s="5"/>
      <c r="Q532" s="5"/>
      <c r="R532" s="57"/>
      <c r="S532" s="5"/>
      <c r="T532" s="5"/>
      <c r="U532" s="5"/>
      <c r="V532" s="5"/>
      <c r="W532" s="5"/>
      <c r="X532" s="5"/>
      <c r="Y532" s="5"/>
      <c r="Z532" s="5"/>
      <c r="AA532" s="5"/>
      <c r="AB532" s="5"/>
      <c r="AC532" s="5"/>
    </row>
    <row r="533" spans="1:29" ht="12.75" customHeight="1">
      <c r="A533" s="5"/>
      <c r="B533" s="5"/>
      <c r="C533" s="5"/>
      <c r="D533" s="5"/>
      <c r="E533" s="5"/>
      <c r="F533" s="5"/>
      <c r="G533" s="5"/>
      <c r="H533" s="306"/>
      <c r="I533" s="306"/>
      <c r="J533" s="5"/>
      <c r="K533" s="5"/>
      <c r="L533" s="306"/>
      <c r="M533" s="5"/>
      <c r="N533" s="5"/>
      <c r="O533" s="5"/>
      <c r="P533" s="5"/>
      <c r="Q533" s="5"/>
      <c r="R533" s="57"/>
      <c r="S533" s="5"/>
      <c r="T533" s="5"/>
      <c r="U533" s="5"/>
      <c r="V533" s="5"/>
      <c r="W533" s="5"/>
      <c r="X533" s="5"/>
      <c r="Y533" s="5"/>
      <c r="Z533" s="5"/>
      <c r="AA533" s="5"/>
      <c r="AB533" s="5"/>
      <c r="AC533" s="5"/>
    </row>
    <row r="534" spans="1:29" ht="12.75" customHeight="1">
      <c r="A534" s="5"/>
      <c r="B534" s="5"/>
      <c r="C534" s="5"/>
      <c r="D534" s="5"/>
      <c r="E534" s="5"/>
      <c r="F534" s="5"/>
      <c r="G534" s="5"/>
      <c r="H534" s="306"/>
      <c r="I534" s="306"/>
      <c r="J534" s="5"/>
      <c r="K534" s="5"/>
      <c r="L534" s="306"/>
      <c r="M534" s="5"/>
      <c r="N534" s="5"/>
      <c r="O534" s="5"/>
      <c r="P534" s="5"/>
      <c r="Q534" s="5"/>
      <c r="R534" s="57"/>
      <c r="S534" s="5"/>
      <c r="T534" s="5"/>
      <c r="U534" s="5"/>
      <c r="V534" s="5"/>
      <c r="W534" s="5"/>
      <c r="X534" s="5"/>
      <c r="Y534" s="5"/>
      <c r="Z534" s="5"/>
      <c r="AA534" s="5"/>
      <c r="AB534" s="5"/>
      <c r="AC534" s="5"/>
    </row>
    <row r="535" spans="1:29" ht="12.75" customHeight="1">
      <c r="A535" s="5"/>
      <c r="B535" s="5"/>
      <c r="C535" s="5"/>
      <c r="D535" s="5"/>
      <c r="E535" s="5"/>
      <c r="F535" s="5"/>
      <c r="G535" s="5"/>
      <c r="H535" s="306"/>
      <c r="I535" s="306"/>
      <c r="J535" s="5"/>
      <c r="K535" s="5"/>
      <c r="L535" s="306"/>
      <c r="M535" s="5"/>
      <c r="N535" s="5"/>
      <c r="O535" s="5"/>
      <c r="P535" s="5"/>
      <c r="Q535" s="5"/>
      <c r="R535" s="57"/>
      <c r="S535" s="5"/>
      <c r="T535" s="5"/>
      <c r="U535" s="5"/>
      <c r="V535" s="5"/>
      <c r="W535" s="5"/>
      <c r="X535" s="5"/>
      <c r="Y535" s="5"/>
      <c r="Z535" s="5"/>
      <c r="AA535" s="5"/>
      <c r="AB535" s="5"/>
      <c r="AC535" s="5"/>
    </row>
    <row r="536" spans="1:29" ht="12.75" customHeight="1">
      <c r="A536" s="5"/>
      <c r="B536" s="5"/>
      <c r="C536" s="5"/>
      <c r="D536" s="5"/>
      <c r="E536" s="5"/>
      <c r="F536" s="5"/>
      <c r="G536" s="5"/>
      <c r="H536" s="306"/>
      <c r="I536" s="306"/>
      <c r="J536" s="5"/>
      <c r="K536" s="5"/>
      <c r="L536" s="306"/>
      <c r="M536" s="5"/>
      <c r="N536" s="5"/>
      <c r="O536" s="5"/>
      <c r="P536" s="5"/>
      <c r="Q536" s="5"/>
      <c r="R536" s="57"/>
      <c r="S536" s="5"/>
      <c r="T536" s="5"/>
      <c r="U536" s="5"/>
      <c r="V536" s="5"/>
      <c r="W536" s="5"/>
      <c r="X536" s="5"/>
      <c r="Y536" s="5"/>
      <c r="Z536" s="5"/>
      <c r="AA536" s="5"/>
      <c r="AB536" s="5"/>
      <c r="AC536" s="5"/>
    </row>
    <row r="537" spans="1:29" ht="12.75" customHeight="1">
      <c r="A537" s="5"/>
      <c r="B537" s="5"/>
      <c r="C537" s="5"/>
      <c r="D537" s="5"/>
      <c r="E537" s="5"/>
      <c r="F537" s="5"/>
      <c r="G537" s="5"/>
      <c r="H537" s="306"/>
      <c r="I537" s="306"/>
      <c r="J537" s="5"/>
      <c r="K537" s="5"/>
      <c r="L537" s="306"/>
      <c r="M537" s="5"/>
      <c r="N537" s="5"/>
      <c r="O537" s="5"/>
      <c r="P537" s="5"/>
      <c r="Q537" s="5"/>
      <c r="R537" s="57"/>
      <c r="S537" s="5"/>
      <c r="T537" s="5"/>
      <c r="U537" s="5"/>
      <c r="V537" s="5"/>
      <c r="W537" s="5"/>
      <c r="X537" s="5"/>
      <c r="Y537" s="5"/>
      <c r="Z537" s="5"/>
      <c r="AA537" s="5"/>
      <c r="AB537" s="5"/>
      <c r="AC537" s="5"/>
    </row>
    <row r="538" spans="1:29" ht="12.75" customHeight="1">
      <c r="A538" s="5"/>
      <c r="B538" s="5"/>
      <c r="C538" s="5"/>
      <c r="D538" s="5"/>
      <c r="E538" s="5"/>
      <c r="F538" s="5"/>
      <c r="G538" s="5"/>
      <c r="H538" s="306"/>
      <c r="I538" s="306"/>
      <c r="J538" s="5"/>
      <c r="K538" s="5"/>
      <c r="L538" s="306"/>
      <c r="M538" s="5"/>
      <c r="N538" s="5"/>
      <c r="O538" s="5"/>
      <c r="P538" s="5"/>
      <c r="Q538" s="5"/>
      <c r="R538" s="57"/>
      <c r="S538" s="5"/>
      <c r="T538" s="5"/>
      <c r="U538" s="5"/>
      <c r="V538" s="5"/>
      <c r="W538" s="5"/>
      <c r="X538" s="5"/>
      <c r="Y538" s="5"/>
      <c r="Z538" s="5"/>
      <c r="AA538" s="5"/>
      <c r="AB538" s="5"/>
      <c r="AC538" s="5"/>
    </row>
    <row r="539" spans="1:29" ht="12.75" customHeight="1">
      <c r="A539" s="5"/>
      <c r="B539" s="5"/>
      <c r="C539" s="5"/>
      <c r="D539" s="5"/>
      <c r="E539" s="5"/>
      <c r="F539" s="5"/>
      <c r="G539" s="5"/>
      <c r="H539" s="306"/>
      <c r="I539" s="306"/>
      <c r="J539" s="5"/>
      <c r="K539" s="5"/>
      <c r="L539" s="306"/>
      <c r="M539" s="5"/>
      <c r="N539" s="5"/>
      <c r="O539" s="5"/>
      <c r="P539" s="5"/>
      <c r="Q539" s="5"/>
      <c r="R539" s="57"/>
      <c r="S539" s="5"/>
      <c r="T539" s="5"/>
      <c r="U539" s="5"/>
      <c r="V539" s="5"/>
      <c r="W539" s="5"/>
      <c r="X539" s="5"/>
      <c r="Y539" s="5"/>
      <c r="Z539" s="5"/>
      <c r="AA539" s="5"/>
      <c r="AB539" s="5"/>
      <c r="AC539" s="5"/>
    </row>
    <row r="540" spans="1:29" ht="12.75" customHeight="1">
      <c r="A540" s="5"/>
      <c r="B540" s="5"/>
      <c r="C540" s="5"/>
      <c r="D540" s="5"/>
      <c r="E540" s="5"/>
      <c r="F540" s="5"/>
      <c r="G540" s="5"/>
      <c r="H540" s="306"/>
      <c r="I540" s="306"/>
      <c r="J540" s="5"/>
      <c r="K540" s="5"/>
      <c r="L540" s="306"/>
      <c r="M540" s="5"/>
      <c r="N540" s="5"/>
      <c r="O540" s="5"/>
      <c r="P540" s="5"/>
      <c r="Q540" s="5"/>
      <c r="R540" s="57"/>
      <c r="S540" s="5"/>
      <c r="T540" s="5"/>
      <c r="U540" s="5"/>
      <c r="V540" s="5"/>
      <c r="W540" s="5"/>
      <c r="X540" s="5"/>
      <c r="Y540" s="5"/>
      <c r="Z540" s="5"/>
      <c r="AA540" s="5"/>
      <c r="AB540" s="5"/>
      <c r="AC540" s="5"/>
    </row>
    <row r="541" spans="1:29" ht="12.75" customHeight="1">
      <c r="A541" s="5"/>
      <c r="B541" s="5"/>
      <c r="C541" s="5"/>
      <c r="D541" s="5"/>
      <c r="E541" s="5"/>
      <c r="F541" s="5"/>
      <c r="G541" s="5"/>
      <c r="H541" s="306"/>
      <c r="I541" s="306"/>
      <c r="J541" s="5"/>
      <c r="K541" s="5"/>
      <c r="L541" s="306"/>
      <c r="M541" s="5"/>
      <c r="N541" s="5"/>
      <c r="O541" s="5"/>
      <c r="P541" s="5"/>
      <c r="Q541" s="5"/>
      <c r="R541" s="57"/>
      <c r="S541" s="5"/>
      <c r="T541" s="5"/>
      <c r="U541" s="5"/>
      <c r="V541" s="5"/>
      <c r="W541" s="5"/>
      <c r="X541" s="5"/>
      <c r="Y541" s="5"/>
      <c r="Z541" s="5"/>
      <c r="AA541" s="5"/>
      <c r="AB541" s="5"/>
      <c r="AC541" s="5"/>
    </row>
    <row r="542" spans="1:29" ht="12.75" customHeight="1">
      <c r="A542" s="5"/>
      <c r="B542" s="5"/>
      <c r="C542" s="5"/>
      <c r="D542" s="5"/>
      <c r="E542" s="5"/>
      <c r="F542" s="5"/>
      <c r="G542" s="5"/>
      <c r="H542" s="306"/>
      <c r="I542" s="306"/>
      <c r="J542" s="5"/>
      <c r="K542" s="5"/>
      <c r="L542" s="306"/>
      <c r="M542" s="5"/>
      <c r="N542" s="5"/>
      <c r="O542" s="5"/>
      <c r="P542" s="5"/>
      <c r="Q542" s="5"/>
      <c r="R542" s="57"/>
      <c r="S542" s="5"/>
      <c r="T542" s="5"/>
      <c r="U542" s="5"/>
      <c r="V542" s="5"/>
      <c r="W542" s="5"/>
      <c r="X542" s="5"/>
      <c r="Y542" s="5"/>
      <c r="Z542" s="5"/>
      <c r="AA542" s="5"/>
      <c r="AB542" s="5"/>
      <c r="AC542" s="5"/>
    </row>
    <row r="543" spans="1:29" ht="12.75" customHeight="1">
      <c r="A543" s="5"/>
      <c r="B543" s="5"/>
      <c r="C543" s="5"/>
      <c r="D543" s="5"/>
      <c r="E543" s="5"/>
      <c r="F543" s="5"/>
      <c r="G543" s="5"/>
      <c r="H543" s="306"/>
      <c r="I543" s="306"/>
      <c r="J543" s="5"/>
      <c r="K543" s="5"/>
      <c r="L543" s="306"/>
      <c r="M543" s="5"/>
      <c r="N543" s="5"/>
      <c r="O543" s="5"/>
      <c r="P543" s="5"/>
      <c r="Q543" s="5"/>
      <c r="R543" s="57"/>
      <c r="S543" s="5"/>
      <c r="T543" s="5"/>
      <c r="U543" s="5"/>
      <c r="V543" s="5"/>
      <c r="W543" s="5"/>
      <c r="X543" s="5"/>
      <c r="Y543" s="5"/>
      <c r="Z543" s="5"/>
      <c r="AA543" s="5"/>
      <c r="AB543" s="5"/>
      <c r="AC543" s="5"/>
    </row>
    <row r="544" spans="1:29" ht="12.75" customHeight="1">
      <c r="A544" s="5"/>
      <c r="B544" s="5"/>
      <c r="C544" s="5"/>
      <c r="D544" s="5"/>
      <c r="E544" s="5"/>
      <c r="F544" s="5"/>
      <c r="G544" s="5"/>
      <c r="H544" s="306"/>
      <c r="I544" s="306"/>
      <c r="J544" s="5"/>
      <c r="K544" s="5"/>
      <c r="L544" s="306"/>
      <c r="M544" s="5"/>
      <c r="N544" s="5"/>
      <c r="O544" s="5"/>
      <c r="P544" s="5"/>
      <c r="Q544" s="5"/>
      <c r="R544" s="57"/>
      <c r="S544" s="5"/>
      <c r="T544" s="5"/>
      <c r="U544" s="5"/>
      <c r="V544" s="5"/>
      <c r="W544" s="5"/>
      <c r="X544" s="5"/>
      <c r="Y544" s="5"/>
      <c r="Z544" s="5"/>
      <c r="AA544" s="5"/>
      <c r="AB544" s="5"/>
      <c r="AC544" s="5"/>
    </row>
    <row r="545" spans="1:29" ht="12.75" customHeight="1">
      <c r="A545" s="5"/>
      <c r="B545" s="5"/>
      <c r="C545" s="5"/>
      <c r="D545" s="5"/>
      <c r="E545" s="5"/>
      <c r="F545" s="5"/>
      <c r="G545" s="5"/>
      <c r="H545" s="306"/>
      <c r="I545" s="306"/>
      <c r="J545" s="5"/>
      <c r="K545" s="5"/>
      <c r="L545" s="306"/>
      <c r="M545" s="5"/>
      <c r="N545" s="5"/>
      <c r="O545" s="5"/>
      <c r="P545" s="5"/>
      <c r="Q545" s="5"/>
      <c r="R545" s="57"/>
      <c r="S545" s="5"/>
      <c r="T545" s="5"/>
      <c r="U545" s="5"/>
      <c r="V545" s="5"/>
      <c r="W545" s="5"/>
      <c r="X545" s="5"/>
      <c r="Y545" s="5"/>
      <c r="Z545" s="5"/>
      <c r="AA545" s="5"/>
      <c r="AB545" s="5"/>
      <c r="AC545" s="5"/>
    </row>
    <row r="546" spans="1:29" ht="12.75" customHeight="1">
      <c r="A546" s="5"/>
      <c r="B546" s="5"/>
      <c r="C546" s="5"/>
      <c r="D546" s="5"/>
      <c r="E546" s="5"/>
      <c r="F546" s="5"/>
      <c r="G546" s="5"/>
      <c r="H546" s="306"/>
      <c r="I546" s="306"/>
      <c r="J546" s="5"/>
      <c r="K546" s="5"/>
      <c r="L546" s="306"/>
      <c r="M546" s="5"/>
      <c r="N546" s="5"/>
      <c r="O546" s="5"/>
      <c r="P546" s="5"/>
      <c r="Q546" s="5"/>
      <c r="R546" s="57"/>
      <c r="S546" s="5"/>
      <c r="T546" s="5"/>
      <c r="U546" s="5"/>
      <c r="V546" s="5"/>
      <c r="W546" s="5"/>
      <c r="X546" s="5"/>
      <c r="Y546" s="5"/>
      <c r="Z546" s="5"/>
      <c r="AA546" s="5"/>
      <c r="AB546" s="5"/>
      <c r="AC546" s="5"/>
    </row>
    <row r="547" spans="1:29" ht="12.75" customHeight="1">
      <c r="A547" s="5"/>
      <c r="B547" s="5"/>
      <c r="C547" s="5"/>
      <c r="D547" s="5"/>
      <c r="E547" s="5"/>
      <c r="F547" s="5"/>
      <c r="G547" s="5"/>
      <c r="H547" s="306"/>
      <c r="I547" s="306"/>
      <c r="J547" s="5"/>
      <c r="K547" s="5"/>
      <c r="L547" s="306"/>
      <c r="M547" s="5"/>
      <c r="N547" s="5"/>
      <c r="O547" s="5"/>
      <c r="P547" s="5"/>
      <c r="Q547" s="5"/>
      <c r="R547" s="57"/>
      <c r="S547" s="5"/>
      <c r="T547" s="5"/>
      <c r="U547" s="5"/>
      <c r="V547" s="5"/>
      <c r="W547" s="5"/>
      <c r="X547" s="5"/>
      <c r="Y547" s="5"/>
      <c r="Z547" s="5"/>
      <c r="AA547" s="5"/>
      <c r="AB547" s="5"/>
      <c r="AC547" s="5"/>
    </row>
    <row r="548" spans="1:29" ht="12.75" customHeight="1">
      <c r="A548" s="5"/>
      <c r="B548" s="5"/>
      <c r="C548" s="5"/>
      <c r="D548" s="5"/>
      <c r="E548" s="5"/>
      <c r="F548" s="5"/>
      <c r="G548" s="5"/>
      <c r="H548" s="306"/>
      <c r="I548" s="306"/>
      <c r="J548" s="5"/>
      <c r="K548" s="5"/>
      <c r="L548" s="306"/>
      <c r="M548" s="5"/>
      <c r="N548" s="5"/>
      <c r="O548" s="5"/>
      <c r="P548" s="5"/>
      <c r="Q548" s="5"/>
      <c r="R548" s="57"/>
      <c r="S548" s="5"/>
      <c r="T548" s="5"/>
      <c r="U548" s="5"/>
      <c r="V548" s="5"/>
      <c r="W548" s="5"/>
      <c r="X548" s="5"/>
      <c r="Y548" s="5"/>
      <c r="Z548" s="5"/>
      <c r="AA548" s="5"/>
      <c r="AB548" s="5"/>
      <c r="AC548" s="5"/>
    </row>
    <row r="549" spans="1:29" ht="12.75" customHeight="1">
      <c r="A549" s="5"/>
      <c r="B549" s="5"/>
      <c r="C549" s="5"/>
      <c r="D549" s="5"/>
      <c r="E549" s="5"/>
      <c r="F549" s="5"/>
      <c r="G549" s="5"/>
      <c r="H549" s="306"/>
      <c r="I549" s="306"/>
      <c r="J549" s="5"/>
      <c r="K549" s="5"/>
      <c r="L549" s="306"/>
      <c r="M549" s="5"/>
      <c r="N549" s="5"/>
      <c r="O549" s="5"/>
      <c r="P549" s="5"/>
      <c r="Q549" s="5"/>
      <c r="R549" s="57"/>
      <c r="S549" s="5"/>
      <c r="T549" s="5"/>
      <c r="U549" s="5"/>
      <c r="V549" s="5"/>
      <c r="W549" s="5"/>
      <c r="X549" s="5"/>
      <c r="Y549" s="5"/>
      <c r="Z549" s="5"/>
      <c r="AA549" s="5"/>
      <c r="AB549" s="5"/>
      <c r="AC549" s="5"/>
    </row>
    <row r="550" spans="1:29" ht="12.75" customHeight="1">
      <c r="A550" s="5"/>
      <c r="B550" s="5"/>
      <c r="C550" s="5"/>
      <c r="D550" s="5"/>
      <c r="E550" s="5"/>
      <c r="F550" s="5"/>
      <c r="G550" s="5"/>
      <c r="H550" s="306"/>
      <c r="I550" s="306"/>
      <c r="J550" s="5"/>
      <c r="K550" s="5"/>
      <c r="L550" s="306"/>
      <c r="M550" s="5"/>
      <c r="N550" s="5"/>
      <c r="O550" s="5"/>
      <c r="P550" s="5"/>
      <c r="Q550" s="5"/>
      <c r="R550" s="57"/>
      <c r="S550" s="5"/>
      <c r="T550" s="5"/>
      <c r="U550" s="5"/>
      <c r="V550" s="5"/>
      <c r="W550" s="5"/>
      <c r="X550" s="5"/>
      <c r="Y550" s="5"/>
      <c r="Z550" s="5"/>
      <c r="AA550" s="5"/>
      <c r="AB550" s="5"/>
      <c r="AC550" s="5"/>
    </row>
    <row r="551" spans="1:29" ht="12.75" customHeight="1">
      <c r="A551" s="5"/>
      <c r="B551" s="5"/>
      <c r="C551" s="5"/>
      <c r="D551" s="5"/>
      <c r="E551" s="5"/>
      <c r="F551" s="5"/>
      <c r="G551" s="5"/>
      <c r="H551" s="306"/>
      <c r="I551" s="306"/>
      <c r="J551" s="5"/>
      <c r="K551" s="5"/>
      <c r="L551" s="306"/>
      <c r="M551" s="5"/>
      <c r="N551" s="5"/>
      <c r="O551" s="5"/>
      <c r="P551" s="5"/>
      <c r="Q551" s="5"/>
      <c r="R551" s="57"/>
      <c r="S551" s="5"/>
      <c r="T551" s="5"/>
      <c r="U551" s="5"/>
      <c r="V551" s="5"/>
      <c r="W551" s="5"/>
      <c r="X551" s="5"/>
      <c r="Y551" s="5"/>
      <c r="Z551" s="5"/>
      <c r="AA551" s="5"/>
      <c r="AB551" s="5"/>
      <c r="AC551" s="5"/>
    </row>
    <row r="552" spans="1:29" ht="12.75" customHeight="1">
      <c r="A552" s="5"/>
      <c r="B552" s="5"/>
      <c r="C552" s="5"/>
      <c r="D552" s="5"/>
      <c r="E552" s="5"/>
      <c r="F552" s="5"/>
      <c r="G552" s="5"/>
      <c r="H552" s="306"/>
      <c r="I552" s="306"/>
      <c r="J552" s="5"/>
      <c r="K552" s="5"/>
      <c r="L552" s="306"/>
      <c r="M552" s="5"/>
      <c r="N552" s="5"/>
      <c r="O552" s="5"/>
      <c r="P552" s="5"/>
      <c r="Q552" s="5"/>
      <c r="R552" s="57"/>
      <c r="S552" s="5"/>
      <c r="T552" s="5"/>
      <c r="U552" s="5"/>
      <c r="V552" s="5"/>
      <c r="W552" s="5"/>
      <c r="X552" s="5"/>
      <c r="Y552" s="5"/>
      <c r="Z552" s="5"/>
      <c r="AA552" s="5"/>
      <c r="AB552" s="5"/>
      <c r="AC552" s="5"/>
    </row>
    <row r="553" spans="1:29" ht="12.75" customHeight="1">
      <c r="A553" s="5"/>
      <c r="B553" s="5"/>
      <c r="C553" s="5"/>
      <c r="D553" s="5"/>
      <c r="E553" s="5"/>
      <c r="F553" s="5"/>
      <c r="G553" s="5"/>
      <c r="H553" s="306"/>
      <c r="I553" s="306"/>
      <c r="J553" s="5"/>
      <c r="K553" s="5"/>
      <c r="L553" s="306"/>
      <c r="M553" s="5"/>
      <c r="N553" s="5"/>
      <c r="O553" s="5"/>
      <c r="P553" s="5"/>
      <c r="Q553" s="5"/>
      <c r="R553" s="57"/>
      <c r="S553" s="5"/>
      <c r="T553" s="5"/>
      <c r="U553" s="5"/>
      <c r="V553" s="5"/>
      <c r="W553" s="5"/>
      <c r="X553" s="5"/>
      <c r="Y553" s="5"/>
      <c r="Z553" s="5"/>
      <c r="AA553" s="5"/>
      <c r="AB553" s="5"/>
      <c r="AC553" s="5"/>
    </row>
    <row r="554" spans="1:29" ht="12.75" customHeight="1">
      <c r="A554" s="5"/>
      <c r="B554" s="5"/>
      <c r="C554" s="5"/>
      <c r="D554" s="5"/>
      <c r="E554" s="5"/>
      <c r="F554" s="5"/>
      <c r="G554" s="5"/>
      <c r="H554" s="306"/>
      <c r="I554" s="306"/>
      <c r="J554" s="5"/>
      <c r="K554" s="5"/>
      <c r="L554" s="306"/>
      <c r="M554" s="5"/>
      <c r="N554" s="5"/>
      <c r="O554" s="5"/>
      <c r="P554" s="5"/>
      <c r="Q554" s="5"/>
      <c r="R554" s="57"/>
      <c r="S554" s="5"/>
      <c r="T554" s="5"/>
      <c r="U554" s="5"/>
      <c r="V554" s="5"/>
      <c r="W554" s="5"/>
      <c r="X554" s="5"/>
      <c r="Y554" s="5"/>
      <c r="Z554" s="5"/>
      <c r="AA554" s="5"/>
      <c r="AB554" s="5"/>
      <c r="AC554" s="5"/>
    </row>
    <row r="555" spans="1:29" ht="12.75" customHeight="1">
      <c r="A555" s="5"/>
      <c r="B555" s="5"/>
      <c r="C555" s="5"/>
      <c r="D555" s="5"/>
      <c r="E555" s="5"/>
      <c r="F555" s="5"/>
      <c r="G555" s="5"/>
      <c r="H555" s="306"/>
      <c r="I555" s="306"/>
      <c r="J555" s="5"/>
      <c r="K555" s="5"/>
      <c r="L555" s="306"/>
      <c r="M555" s="5"/>
      <c r="N555" s="5"/>
      <c r="O555" s="5"/>
      <c r="P555" s="5"/>
      <c r="Q555" s="5"/>
      <c r="R555" s="57"/>
      <c r="S555" s="5"/>
      <c r="T555" s="5"/>
      <c r="U555" s="5"/>
      <c r="V555" s="5"/>
      <c r="W555" s="5"/>
      <c r="X555" s="5"/>
      <c r="Y555" s="5"/>
      <c r="Z555" s="5"/>
      <c r="AA555" s="5"/>
      <c r="AB555" s="5"/>
      <c r="AC555" s="5"/>
    </row>
    <row r="556" spans="1:29" ht="12.75" customHeight="1">
      <c r="A556" s="5"/>
      <c r="B556" s="5"/>
      <c r="C556" s="5"/>
      <c r="D556" s="5"/>
      <c r="E556" s="5"/>
      <c r="F556" s="5"/>
      <c r="G556" s="5"/>
      <c r="H556" s="306"/>
      <c r="I556" s="306"/>
      <c r="J556" s="5"/>
      <c r="K556" s="5"/>
      <c r="L556" s="306"/>
      <c r="M556" s="5"/>
      <c r="N556" s="5"/>
      <c r="O556" s="5"/>
      <c r="P556" s="5"/>
      <c r="Q556" s="5"/>
      <c r="R556" s="57"/>
      <c r="S556" s="5"/>
      <c r="T556" s="5"/>
      <c r="U556" s="5"/>
      <c r="V556" s="5"/>
      <c r="W556" s="5"/>
      <c r="X556" s="5"/>
      <c r="Y556" s="5"/>
      <c r="Z556" s="5"/>
      <c r="AA556" s="5"/>
      <c r="AB556" s="5"/>
      <c r="AC556" s="5"/>
    </row>
    <row r="557" spans="1:29" ht="12.75" customHeight="1">
      <c r="A557" s="5"/>
      <c r="B557" s="5"/>
      <c r="C557" s="5"/>
      <c r="D557" s="5"/>
      <c r="E557" s="5"/>
      <c r="F557" s="5"/>
      <c r="G557" s="5"/>
      <c r="H557" s="306"/>
      <c r="I557" s="306"/>
      <c r="J557" s="5"/>
      <c r="K557" s="5"/>
      <c r="L557" s="306"/>
      <c r="M557" s="5"/>
      <c r="N557" s="5"/>
      <c r="O557" s="5"/>
      <c r="P557" s="5"/>
      <c r="Q557" s="5"/>
      <c r="R557" s="57"/>
      <c r="S557" s="5"/>
      <c r="T557" s="5"/>
      <c r="U557" s="5"/>
      <c r="V557" s="5"/>
      <c r="W557" s="5"/>
      <c r="X557" s="5"/>
      <c r="Y557" s="5"/>
      <c r="Z557" s="5"/>
      <c r="AA557" s="5"/>
      <c r="AB557" s="5"/>
      <c r="AC557" s="5"/>
    </row>
    <row r="558" spans="1:29" ht="12.75" customHeight="1">
      <c r="A558" s="5"/>
      <c r="B558" s="5"/>
      <c r="C558" s="5"/>
      <c r="D558" s="5"/>
      <c r="E558" s="5"/>
      <c r="F558" s="5"/>
      <c r="G558" s="5"/>
      <c r="H558" s="306"/>
      <c r="I558" s="306"/>
      <c r="J558" s="5"/>
      <c r="K558" s="5"/>
      <c r="L558" s="306"/>
      <c r="M558" s="5"/>
      <c r="N558" s="5"/>
      <c r="O558" s="5"/>
      <c r="P558" s="5"/>
      <c r="Q558" s="5"/>
      <c r="R558" s="57"/>
      <c r="S558" s="5"/>
      <c r="T558" s="5"/>
      <c r="U558" s="5"/>
      <c r="V558" s="5"/>
      <c r="W558" s="5"/>
      <c r="X558" s="5"/>
      <c r="Y558" s="5"/>
      <c r="Z558" s="5"/>
      <c r="AA558" s="5"/>
      <c r="AB558" s="5"/>
      <c r="AC558" s="5"/>
    </row>
    <row r="559" spans="1:29" ht="12.75" customHeight="1">
      <c r="A559" s="5"/>
      <c r="B559" s="5"/>
      <c r="C559" s="5"/>
      <c r="D559" s="5"/>
      <c r="E559" s="5"/>
      <c r="F559" s="5"/>
      <c r="G559" s="5"/>
      <c r="H559" s="306"/>
      <c r="I559" s="306"/>
      <c r="J559" s="5"/>
      <c r="K559" s="5"/>
      <c r="L559" s="306"/>
      <c r="M559" s="5"/>
      <c r="N559" s="5"/>
      <c r="O559" s="5"/>
      <c r="P559" s="5"/>
      <c r="Q559" s="5"/>
      <c r="R559" s="57"/>
      <c r="S559" s="5"/>
      <c r="T559" s="5"/>
      <c r="U559" s="5"/>
      <c r="V559" s="5"/>
      <c r="W559" s="5"/>
      <c r="X559" s="5"/>
      <c r="Y559" s="5"/>
      <c r="Z559" s="5"/>
      <c r="AA559" s="5"/>
      <c r="AB559" s="5"/>
      <c r="AC559" s="5"/>
    </row>
    <row r="560" spans="1:29" ht="12.75" customHeight="1">
      <c r="A560" s="5"/>
      <c r="B560" s="5"/>
      <c r="C560" s="5"/>
      <c r="D560" s="5"/>
      <c r="E560" s="5"/>
      <c r="F560" s="5"/>
      <c r="G560" s="5"/>
      <c r="H560" s="306"/>
      <c r="I560" s="306"/>
      <c r="J560" s="5"/>
      <c r="K560" s="5"/>
      <c r="L560" s="306"/>
      <c r="M560" s="5"/>
      <c r="N560" s="5"/>
      <c r="O560" s="5"/>
      <c r="P560" s="5"/>
      <c r="Q560" s="5"/>
      <c r="R560" s="57"/>
      <c r="S560" s="5"/>
      <c r="T560" s="5"/>
      <c r="U560" s="5"/>
      <c r="V560" s="5"/>
      <c r="W560" s="5"/>
      <c r="X560" s="5"/>
      <c r="Y560" s="5"/>
      <c r="Z560" s="5"/>
      <c r="AA560" s="5"/>
      <c r="AB560" s="5"/>
      <c r="AC560" s="5"/>
    </row>
    <row r="561" spans="1:29" ht="12.75" customHeight="1">
      <c r="A561" s="5"/>
      <c r="B561" s="5"/>
      <c r="C561" s="5"/>
      <c r="D561" s="5"/>
      <c r="E561" s="5"/>
      <c r="F561" s="5"/>
      <c r="G561" s="5"/>
      <c r="H561" s="306"/>
      <c r="I561" s="306"/>
      <c r="J561" s="5"/>
      <c r="K561" s="5"/>
      <c r="L561" s="306"/>
      <c r="M561" s="5"/>
      <c r="N561" s="5"/>
      <c r="O561" s="5"/>
      <c r="P561" s="5"/>
      <c r="Q561" s="5"/>
      <c r="R561" s="57"/>
      <c r="S561" s="5"/>
      <c r="T561" s="5"/>
      <c r="U561" s="5"/>
      <c r="V561" s="5"/>
      <c r="W561" s="5"/>
      <c r="X561" s="5"/>
      <c r="Y561" s="5"/>
      <c r="Z561" s="5"/>
      <c r="AA561" s="5"/>
      <c r="AB561" s="5"/>
      <c r="AC561" s="5"/>
    </row>
    <row r="562" spans="1:29" ht="12.75" customHeight="1">
      <c r="A562" s="5"/>
      <c r="B562" s="5"/>
      <c r="C562" s="5"/>
      <c r="D562" s="5"/>
      <c r="E562" s="5"/>
      <c r="F562" s="5"/>
      <c r="G562" s="5"/>
      <c r="H562" s="306"/>
      <c r="I562" s="306"/>
      <c r="J562" s="5"/>
      <c r="K562" s="5"/>
      <c r="L562" s="306"/>
      <c r="M562" s="5"/>
      <c r="N562" s="5"/>
      <c r="O562" s="5"/>
      <c r="P562" s="5"/>
      <c r="Q562" s="5"/>
      <c r="R562" s="57"/>
      <c r="S562" s="5"/>
      <c r="T562" s="5"/>
      <c r="U562" s="5"/>
      <c r="V562" s="5"/>
      <c r="W562" s="5"/>
      <c r="X562" s="5"/>
      <c r="Y562" s="5"/>
      <c r="Z562" s="5"/>
      <c r="AA562" s="5"/>
      <c r="AB562" s="5"/>
      <c r="AC562" s="5"/>
    </row>
    <row r="563" spans="1:29" ht="12.75" customHeight="1">
      <c r="A563" s="5"/>
      <c r="B563" s="5"/>
      <c r="C563" s="5"/>
      <c r="D563" s="5"/>
      <c r="E563" s="5"/>
      <c r="F563" s="5"/>
      <c r="G563" s="5"/>
      <c r="H563" s="306"/>
      <c r="I563" s="306"/>
      <c r="J563" s="5"/>
      <c r="K563" s="5"/>
      <c r="L563" s="306"/>
      <c r="M563" s="5"/>
      <c r="N563" s="5"/>
      <c r="O563" s="5"/>
      <c r="P563" s="5"/>
      <c r="Q563" s="5"/>
      <c r="R563" s="57"/>
      <c r="S563" s="5"/>
      <c r="T563" s="5"/>
      <c r="U563" s="5"/>
      <c r="V563" s="5"/>
      <c r="W563" s="5"/>
      <c r="X563" s="5"/>
      <c r="Y563" s="5"/>
      <c r="Z563" s="5"/>
      <c r="AA563" s="5"/>
      <c r="AB563" s="5"/>
      <c r="AC563" s="5"/>
    </row>
    <row r="564" spans="1:29" ht="12.75" customHeight="1">
      <c r="A564" s="5"/>
      <c r="B564" s="5"/>
      <c r="C564" s="5"/>
      <c r="D564" s="5"/>
      <c r="E564" s="5"/>
      <c r="F564" s="5"/>
      <c r="G564" s="5"/>
      <c r="H564" s="306"/>
      <c r="I564" s="306"/>
      <c r="J564" s="5"/>
      <c r="K564" s="5"/>
      <c r="L564" s="306"/>
      <c r="M564" s="5"/>
      <c r="N564" s="5"/>
      <c r="O564" s="5"/>
      <c r="P564" s="5"/>
      <c r="Q564" s="5"/>
      <c r="R564" s="57"/>
      <c r="S564" s="5"/>
      <c r="T564" s="5"/>
      <c r="U564" s="5"/>
      <c r="V564" s="5"/>
      <c r="W564" s="5"/>
      <c r="X564" s="5"/>
      <c r="Y564" s="5"/>
      <c r="Z564" s="5"/>
      <c r="AA564" s="5"/>
      <c r="AB564" s="5"/>
      <c r="AC564" s="5"/>
    </row>
    <row r="565" spans="1:29" ht="12.75" customHeight="1">
      <c r="A565" s="5"/>
      <c r="B565" s="5"/>
      <c r="C565" s="5"/>
      <c r="D565" s="5"/>
      <c r="E565" s="5"/>
      <c r="F565" s="5"/>
      <c r="G565" s="5"/>
      <c r="H565" s="306"/>
      <c r="I565" s="306"/>
      <c r="J565" s="5"/>
      <c r="K565" s="5"/>
      <c r="L565" s="306"/>
      <c r="M565" s="5"/>
      <c r="N565" s="5"/>
      <c r="O565" s="5"/>
      <c r="P565" s="5"/>
      <c r="Q565" s="5"/>
      <c r="R565" s="57"/>
      <c r="S565" s="5"/>
      <c r="T565" s="5"/>
      <c r="U565" s="5"/>
      <c r="V565" s="5"/>
      <c r="W565" s="5"/>
      <c r="X565" s="5"/>
      <c r="Y565" s="5"/>
      <c r="Z565" s="5"/>
      <c r="AA565" s="5"/>
      <c r="AB565" s="5"/>
      <c r="AC565" s="5"/>
    </row>
    <row r="566" spans="1:29" ht="12.75" customHeight="1">
      <c r="A566" s="5"/>
      <c r="B566" s="5"/>
      <c r="C566" s="5"/>
      <c r="D566" s="5"/>
      <c r="E566" s="5"/>
      <c r="F566" s="5"/>
      <c r="G566" s="5"/>
      <c r="H566" s="306"/>
      <c r="I566" s="306"/>
      <c r="J566" s="5"/>
      <c r="K566" s="5"/>
      <c r="L566" s="306"/>
      <c r="M566" s="5"/>
      <c r="N566" s="5"/>
      <c r="O566" s="5"/>
      <c r="P566" s="5"/>
      <c r="Q566" s="5"/>
      <c r="R566" s="57"/>
      <c r="S566" s="5"/>
      <c r="T566" s="5"/>
      <c r="U566" s="5"/>
      <c r="V566" s="5"/>
      <c r="W566" s="5"/>
      <c r="X566" s="5"/>
      <c r="Y566" s="5"/>
      <c r="Z566" s="5"/>
      <c r="AA566" s="5"/>
      <c r="AB566" s="5"/>
      <c r="AC566" s="5"/>
    </row>
    <row r="567" spans="1:29" ht="12.75" customHeight="1">
      <c r="A567" s="5"/>
      <c r="B567" s="5"/>
      <c r="C567" s="5"/>
      <c r="D567" s="5"/>
      <c r="E567" s="5"/>
      <c r="F567" s="5"/>
      <c r="G567" s="5"/>
      <c r="H567" s="306"/>
      <c r="I567" s="306"/>
      <c r="J567" s="5"/>
      <c r="K567" s="5"/>
      <c r="L567" s="306"/>
      <c r="M567" s="5"/>
      <c r="N567" s="5"/>
      <c r="O567" s="5"/>
      <c r="P567" s="5"/>
      <c r="Q567" s="5"/>
      <c r="R567" s="57"/>
      <c r="S567" s="5"/>
      <c r="T567" s="5"/>
      <c r="U567" s="5"/>
      <c r="V567" s="5"/>
      <c r="W567" s="5"/>
      <c r="X567" s="5"/>
      <c r="Y567" s="5"/>
      <c r="Z567" s="5"/>
      <c r="AA567" s="5"/>
      <c r="AB567" s="5"/>
      <c r="AC567" s="5"/>
    </row>
    <row r="568" spans="1:29" ht="12.75" customHeight="1">
      <c r="A568" s="5"/>
      <c r="B568" s="5"/>
      <c r="C568" s="5"/>
      <c r="D568" s="5"/>
      <c r="E568" s="5"/>
      <c r="F568" s="5"/>
      <c r="G568" s="5"/>
      <c r="H568" s="306"/>
      <c r="I568" s="306"/>
      <c r="J568" s="5"/>
      <c r="K568" s="5"/>
      <c r="L568" s="306"/>
      <c r="M568" s="5"/>
      <c r="N568" s="5"/>
      <c r="O568" s="5"/>
      <c r="P568" s="5"/>
      <c r="Q568" s="5"/>
      <c r="R568" s="57"/>
      <c r="S568" s="5"/>
      <c r="T568" s="5"/>
      <c r="U568" s="5"/>
      <c r="V568" s="5"/>
      <c r="W568" s="5"/>
      <c r="X568" s="5"/>
      <c r="Y568" s="5"/>
      <c r="Z568" s="5"/>
      <c r="AA568" s="5"/>
      <c r="AB568" s="5"/>
      <c r="AC568" s="5"/>
    </row>
    <row r="569" spans="1:29" ht="12.75" customHeight="1">
      <c r="A569" s="5"/>
      <c r="B569" s="5"/>
      <c r="C569" s="5"/>
      <c r="D569" s="5"/>
      <c r="E569" s="5"/>
      <c r="F569" s="5"/>
      <c r="G569" s="5"/>
      <c r="H569" s="306"/>
      <c r="I569" s="306"/>
      <c r="J569" s="5"/>
      <c r="K569" s="5"/>
      <c r="L569" s="306"/>
      <c r="M569" s="5"/>
      <c r="N569" s="5"/>
      <c r="O569" s="5"/>
      <c r="P569" s="5"/>
      <c r="Q569" s="5"/>
      <c r="R569" s="57"/>
      <c r="S569" s="5"/>
      <c r="T569" s="5"/>
      <c r="U569" s="5"/>
      <c r="V569" s="5"/>
      <c r="W569" s="5"/>
      <c r="X569" s="5"/>
      <c r="Y569" s="5"/>
      <c r="Z569" s="5"/>
      <c r="AA569" s="5"/>
      <c r="AB569" s="5"/>
      <c r="AC569" s="5"/>
    </row>
    <row r="570" spans="1:29" ht="12.75" customHeight="1">
      <c r="A570" s="5"/>
      <c r="B570" s="5"/>
      <c r="C570" s="5"/>
      <c r="D570" s="5"/>
      <c r="E570" s="5"/>
      <c r="F570" s="5"/>
      <c r="G570" s="5"/>
      <c r="H570" s="306"/>
      <c r="I570" s="306"/>
      <c r="J570" s="5"/>
      <c r="K570" s="5"/>
      <c r="L570" s="306"/>
      <c r="M570" s="5"/>
      <c r="N570" s="5"/>
      <c r="O570" s="5"/>
      <c r="P570" s="5"/>
      <c r="Q570" s="5"/>
      <c r="R570" s="57"/>
      <c r="S570" s="5"/>
      <c r="T570" s="5"/>
      <c r="U570" s="5"/>
      <c r="V570" s="5"/>
      <c r="W570" s="5"/>
      <c r="X570" s="5"/>
      <c r="Y570" s="5"/>
      <c r="Z570" s="5"/>
      <c r="AA570" s="5"/>
      <c r="AB570" s="5"/>
      <c r="AC570" s="5"/>
    </row>
    <row r="571" spans="1:29" ht="12.75" customHeight="1">
      <c r="A571" s="5"/>
      <c r="B571" s="5"/>
      <c r="C571" s="5"/>
      <c r="D571" s="5"/>
      <c r="E571" s="5"/>
      <c r="F571" s="5"/>
      <c r="G571" s="5"/>
      <c r="H571" s="306"/>
      <c r="I571" s="306"/>
      <c r="J571" s="5"/>
      <c r="K571" s="5"/>
      <c r="L571" s="306"/>
      <c r="M571" s="5"/>
      <c r="N571" s="5"/>
      <c r="O571" s="5"/>
      <c r="P571" s="5"/>
      <c r="Q571" s="5"/>
      <c r="R571" s="57"/>
      <c r="S571" s="5"/>
      <c r="T571" s="5"/>
      <c r="U571" s="5"/>
      <c r="V571" s="5"/>
      <c r="W571" s="5"/>
      <c r="X571" s="5"/>
      <c r="Y571" s="5"/>
      <c r="Z571" s="5"/>
      <c r="AA571" s="5"/>
      <c r="AB571" s="5"/>
      <c r="AC571" s="5"/>
    </row>
    <row r="572" spans="1:29" ht="12.75" customHeight="1">
      <c r="A572" s="5"/>
      <c r="B572" s="5"/>
      <c r="C572" s="5"/>
      <c r="D572" s="5"/>
      <c r="E572" s="5"/>
      <c r="F572" s="5"/>
      <c r="G572" s="5"/>
      <c r="H572" s="306"/>
      <c r="I572" s="306"/>
      <c r="J572" s="5"/>
      <c r="K572" s="5"/>
      <c r="L572" s="306"/>
      <c r="M572" s="5"/>
      <c r="N572" s="5"/>
      <c r="O572" s="5"/>
      <c r="P572" s="5"/>
      <c r="Q572" s="5"/>
      <c r="R572" s="57"/>
      <c r="S572" s="5"/>
      <c r="T572" s="5"/>
      <c r="U572" s="5"/>
      <c r="V572" s="5"/>
      <c r="W572" s="5"/>
      <c r="X572" s="5"/>
      <c r="Y572" s="5"/>
      <c r="Z572" s="5"/>
      <c r="AA572" s="5"/>
      <c r="AB572" s="5"/>
      <c r="AC572" s="5"/>
    </row>
    <row r="573" spans="1:29" ht="12.75" customHeight="1">
      <c r="A573" s="5"/>
      <c r="B573" s="5"/>
      <c r="C573" s="5"/>
      <c r="D573" s="5"/>
      <c r="E573" s="5"/>
      <c r="F573" s="5"/>
      <c r="G573" s="5"/>
      <c r="H573" s="306"/>
      <c r="I573" s="306"/>
      <c r="J573" s="5"/>
      <c r="K573" s="5"/>
      <c r="L573" s="306"/>
      <c r="M573" s="5"/>
      <c r="N573" s="5"/>
      <c r="O573" s="5"/>
      <c r="P573" s="5"/>
      <c r="Q573" s="5"/>
      <c r="R573" s="57"/>
      <c r="S573" s="5"/>
      <c r="T573" s="5"/>
      <c r="U573" s="5"/>
      <c r="V573" s="5"/>
      <c r="W573" s="5"/>
      <c r="X573" s="5"/>
      <c r="Y573" s="5"/>
      <c r="Z573" s="5"/>
      <c r="AA573" s="5"/>
      <c r="AB573" s="5"/>
      <c r="AC573" s="5"/>
    </row>
    <row r="574" spans="1:29" ht="12.75" customHeight="1">
      <c r="A574" s="5"/>
      <c r="B574" s="5"/>
      <c r="C574" s="5"/>
      <c r="D574" s="5"/>
      <c r="E574" s="5"/>
      <c r="F574" s="5"/>
      <c r="G574" s="5"/>
      <c r="H574" s="306"/>
      <c r="I574" s="306"/>
      <c r="J574" s="5"/>
      <c r="K574" s="5"/>
      <c r="L574" s="306"/>
      <c r="M574" s="5"/>
      <c r="N574" s="5"/>
      <c r="O574" s="5"/>
      <c r="P574" s="5"/>
      <c r="Q574" s="5"/>
      <c r="R574" s="57"/>
      <c r="S574" s="5"/>
      <c r="T574" s="5"/>
      <c r="U574" s="5"/>
      <c r="V574" s="5"/>
      <c r="W574" s="5"/>
      <c r="X574" s="5"/>
      <c r="Y574" s="5"/>
      <c r="Z574" s="5"/>
      <c r="AA574" s="5"/>
      <c r="AB574" s="5"/>
      <c r="AC574" s="5"/>
    </row>
    <row r="575" spans="1:29" ht="12.75" customHeight="1">
      <c r="A575" s="5"/>
      <c r="B575" s="5"/>
      <c r="C575" s="5"/>
      <c r="D575" s="5"/>
      <c r="E575" s="5"/>
      <c r="F575" s="5"/>
      <c r="G575" s="5"/>
      <c r="H575" s="306"/>
      <c r="I575" s="306"/>
      <c r="J575" s="5"/>
      <c r="K575" s="5"/>
      <c r="L575" s="306"/>
      <c r="M575" s="5"/>
      <c r="N575" s="5"/>
      <c r="O575" s="5"/>
      <c r="P575" s="5"/>
      <c r="Q575" s="5"/>
      <c r="R575" s="57"/>
      <c r="S575" s="5"/>
      <c r="T575" s="5"/>
      <c r="U575" s="5"/>
      <c r="V575" s="5"/>
      <c r="W575" s="5"/>
      <c r="X575" s="5"/>
      <c r="Y575" s="5"/>
      <c r="Z575" s="5"/>
      <c r="AA575" s="5"/>
      <c r="AB575" s="5"/>
      <c r="AC575" s="5"/>
    </row>
    <row r="576" spans="1:29" ht="12.75" customHeight="1">
      <c r="A576" s="5"/>
      <c r="B576" s="5"/>
      <c r="C576" s="5"/>
      <c r="D576" s="5"/>
      <c r="E576" s="5"/>
      <c r="F576" s="5"/>
      <c r="G576" s="5"/>
      <c r="H576" s="306"/>
      <c r="I576" s="306"/>
      <c r="J576" s="5"/>
      <c r="K576" s="5"/>
      <c r="L576" s="306"/>
      <c r="M576" s="5"/>
      <c r="N576" s="5"/>
      <c r="O576" s="5"/>
      <c r="P576" s="5"/>
      <c r="Q576" s="5"/>
      <c r="R576" s="57"/>
      <c r="S576" s="5"/>
      <c r="T576" s="5"/>
      <c r="U576" s="5"/>
      <c r="V576" s="5"/>
      <c r="W576" s="5"/>
      <c r="X576" s="5"/>
      <c r="Y576" s="5"/>
      <c r="Z576" s="5"/>
      <c r="AA576" s="5"/>
      <c r="AB576" s="5"/>
      <c r="AC576" s="5"/>
    </row>
    <row r="577" spans="1:29" ht="12.75" customHeight="1">
      <c r="A577" s="5"/>
      <c r="B577" s="5"/>
      <c r="C577" s="5"/>
      <c r="D577" s="5"/>
      <c r="E577" s="5"/>
      <c r="F577" s="5"/>
      <c r="G577" s="5"/>
      <c r="H577" s="306"/>
      <c r="I577" s="306"/>
      <c r="J577" s="5"/>
      <c r="K577" s="5"/>
      <c r="L577" s="306"/>
      <c r="M577" s="5"/>
      <c r="N577" s="5"/>
      <c r="O577" s="5"/>
      <c r="P577" s="5"/>
      <c r="Q577" s="5"/>
      <c r="R577" s="57"/>
      <c r="S577" s="5"/>
      <c r="T577" s="5"/>
      <c r="U577" s="5"/>
      <c r="V577" s="5"/>
      <c r="W577" s="5"/>
      <c r="X577" s="5"/>
      <c r="Y577" s="5"/>
      <c r="Z577" s="5"/>
      <c r="AA577" s="5"/>
      <c r="AB577" s="5"/>
      <c r="AC577" s="5"/>
    </row>
    <row r="578" spans="1:29" ht="12.75" customHeight="1">
      <c r="A578" s="5"/>
      <c r="B578" s="5"/>
      <c r="C578" s="5"/>
      <c r="D578" s="5"/>
      <c r="E578" s="5"/>
      <c r="F578" s="5"/>
      <c r="G578" s="5"/>
      <c r="H578" s="306"/>
      <c r="I578" s="306"/>
      <c r="J578" s="5"/>
      <c r="K578" s="5"/>
      <c r="L578" s="306"/>
      <c r="M578" s="5"/>
      <c r="N578" s="5"/>
      <c r="O578" s="5"/>
      <c r="P578" s="5"/>
      <c r="Q578" s="5"/>
      <c r="R578" s="57"/>
      <c r="S578" s="5"/>
      <c r="T578" s="5"/>
      <c r="U578" s="5"/>
      <c r="V578" s="5"/>
      <c r="W578" s="5"/>
      <c r="X578" s="5"/>
      <c r="Y578" s="5"/>
      <c r="Z578" s="5"/>
      <c r="AA578" s="5"/>
      <c r="AB578" s="5"/>
      <c r="AC578" s="5"/>
    </row>
    <row r="579" spans="1:29" ht="12.75" customHeight="1">
      <c r="A579" s="5"/>
      <c r="B579" s="5"/>
      <c r="C579" s="5"/>
      <c r="D579" s="5"/>
      <c r="E579" s="5"/>
      <c r="F579" s="5"/>
      <c r="G579" s="5"/>
      <c r="H579" s="306"/>
      <c r="I579" s="306"/>
      <c r="J579" s="5"/>
      <c r="K579" s="5"/>
      <c r="L579" s="306"/>
      <c r="M579" s="5"/>
      <c r="N579" s="5"/>
      <c r="O579" s="5"/>
      <c r="P579" s="5"/>
      <c r="Q579" s="5"/>
      <c r="R579" s="57"/>
      <c r="S579" s="5"/>
      <c r="T579" s="5"/>
      <c r="U579" s="5"/>
      <c r="V579" s="5"/>
      <c r="W579" s="5"/>
      <c r="X579" s="5"/>
      <c r="Y579" s="5"/>
      <c r="Z579" s="5"/>
      <c r="AA579" s="5"/>
      <c r="AB579" s="5"/>
      <c r="AC579" s="5"/>
    </row>
    <row r="580" spans="1:29" ht="12.75" customHeight="1">
      <c r="A580" s="5"/>
      <c r="B580" s="5"/>
      <c r="C580" s="5"/>
      <c r="D580" s="5"/>
      <c r="E580" s="5"/>
      <c r="F580" s="5"/>
      <c r="G580" s="5"/>
      <c r="H580" s="306"/>
      <c r="I580" s="306"/>
      <c r="J580" s="5"/>
      <c r="K580" s="5"/>
      <c r="L580" s="306"/>
      <c r="M580" s="5"/>
      <c r="N580" s="5"/>
      <c r="O580" s="5"/>
      <c r="P580" s="5"/>
      <c r="Q580" s="5"/>
      <c r="R580" s="57"/>
      <c r="S580" s="5"/>
      <c r="T580" s="5"/>
      <c r="U580" s="5"/>
      <c r="V580" s="5"/>
      <c r="W580" s="5"/>
      <c r="X580" s="5"/>
      <c r="Y580" s="5"/>
      <c r="Z580" s="5"/>
      <c r="AA580" s="5"/>
      <c r="AB580" s="5"/>
      <c r="AC580" s="5"/>
    </row>
    <row r="581" spans="1:29" ht="12.75" customHeight="1">
      <c r="A581" s="5"/>
      <c r="B581" s="5"/>
      <c r="C581" s="5"/>
      <c r="D581" s="5"/>
      <c r="E581" s="5"/>
      <c r="F581" s="5"/>
      <c r="G581" s="5"/>
      <c r="H581" s="306"/>
      <c r="I581" s="306"/>
      <c r="J581" s="5"/>
      <c r="K581" s="5"/>
      <c r="L581" s="306"/>
      <c r="M581" s="5"/>
      <c r="N581" s="5"/>
      <c r="O581" s="5"/>
      <c r="P581" s="5"/>
      <c r="Q581" s="5"/>
      <c r="R581" s="57"/>
      <c r="S581" s="5"/>
      <c r="T581" s="5"/>
      <c r="U581" s="5"/>
      <c r="V581" s="5"/>
      <c r="W581" s="5"/>
      <c r="X581" s="5"/>
      <c r="Y581" s="5"/>
      <c r="Z581" s="5"/>
      <c r="AA581" s="5"/>
      <c r="AB581" s="5"/>
      <c r="AC581" s="5"/>
    </row>
    <row r="582" spans="1:29" ht="12.75" customHeight="1">
      <c r="A582" s="5"/>
      <c r="B582" s="5"/>
      <c r="C582" s="5"/>
      <c r="D582" s="5"/>
      <c r="E582" s="5"/>
      <c r="F582" s="5"/>
      <c r="G582" s="5"/>
      <c r="H582" s="306"/>
      <c r="I582" s="306"/>
      <c r="J582" s="5"/>
      <c r="K582" s="5"/>
      <c r="L582" s="306"/>
      <c r="M582" s="5"/>
      <c r="N582" s="5"/>
      <c r="O582" s="5"/>
      <c r="P582" s="5"/>
      <c r="Q582" s="5"/>
      <c r="R582" s="57"/>
      <c r="S582" s="5"/>
      <c r="T582" s="5"/>
      <c r="U582" s="5"/>
      <c r="V582" s="5"/>
      <c r="W582" s="5"/>
      <c r="X582" s="5"/>
      <c r="Y582" s="5"/>
      <c r="Z582" s="5"/>
      <c r="AA582" s="5"/>
      <c r="AB582" s="5"/>
      <c r="AC582" s="5"/>
    </row>
    <row r="583" spans="1:29" ht="12.75" customHeight="1">
      <c r="A583" s="5"/>
      <c r="B583" s="5"/>
      <c r="C583" s="5"/>
      <c r="D583" s="5"/>
      <c r="E583" s="5"/>
      <c r="F583" s="5"/>
      <c r="G583" s="5"/>
      <c r="H583" s="306"/>
      <c r="I583" s="306"/>
      <c r="J583" s="5"/>
      <c r="K583" s="5"/>
      <c r="L583" s="306"/>
      <c r="M583" s="5"/>
      <c r="N583" s="5"/>
      <c r="O583" s="5"/>
      <c r="P583" s="5"/>
      <c r="Q583" s="5"/>
      <c r="R583" s="57"/>
      <c r="S583" s="5"/>
      <c r="T583" s="5"/>
      <c r="U583" s="5"/>
      <c r="V583" s="5"/>
      <c r="W583" s="5"/>
      <c r="X583" s="5"/>
      <c r="Y583" s="5"/>
      <c r="Z583" s="5"/>
      <c r="AA583" s="5"/>
      <c r="AB583" s="5"/>
      <c r="AC583" s="5"/>
    </row>
    <row r="584" spans="1:29" ht="12.75" customHeight="1">
      <c r="A584" s="5"/>
      <c r="B584" s="5"/>
      <c r="C584" s="5"/>
      <c r="D584" s="5"/>
      <c r="E584" s="5"/>
      <c r="F584" s="5"/>
      <c r="G584" s="5"/>
      <c r="H584" s="306"/>
      <c r="I584" s="306"/>
      <c r="J584" s="5"/>
      <c r="K584" s="5"/>
      <c r="L584" s="306"/>
      <c r="M584" s="5"/>
      <c r="N584" s="5"/>
      <c r="O584" s="5"/>
      <c r="P584" s="5"/>
      <c r="Q584" s="5"/>
      <c r="R584" s="57"/>
      <c r="S584" s="5"/>
      <c r="T584" s="5"/>
      <c r="U584" s="5"/>
      <c r="V584" s="5"/>
      <c r="W584" s="5"/>
      <c r="X584" s="5"/>
      <c r="Y584" s="5"/>
      <c r="Z584" s="5"/>
      <c r="AA584" s="5"/>
      <c r="AB584" s="5"/>
      <c r="AC584" s="5"/>
    </row>
    <row r="585" spans="1:29" ht="12.75" customHeight="1">
      <c r="A585" s="5"/>
      <c r="B585" s="5"/>
      <c r="C585" s="5"/>
      <c r="D585" s="5"/>
      <c r="E585" s="5"/>
      <c r="F585" s="5"/>
      <c r="G585" s="5"/>
      <c r="H585" s="306"/>
      <c r="I585" s="306"/>
      <c r="J585" s="5"/>
      <c r="K585" s="5"/>
      <c r="L585" s="306"/>
      <c r="M585" s="5"/>
      <c r="N585" s="5"/>
      <c r="O585" s="5"/>
      <c r="P585" s="5"/>
      <c r="Q585" s="5"/>
      <c r="R585" s="57"/>
      <c r="S585" s="5"/>
      <c r="T585" s="5"/>
      <c r="U585" s="5"/>
      <c r="V585" s="5"/>
      <c r="W585" s="5"/>
      <c r="X585" s="5"/>
      <c r="Y585" s="5"/>
      <c r="Z585" s="5"/>
      <c r="AA585" s="5"/>
      <c r="AB585" s="5"/>
      <c r="AC585" s="5"/>
    </row>
    <row r="586" spans="1:29" ht="12.75" customHeight="1">
      <c r="A586" s="5"/>
      <c r="B586" s="5"/>
      <c r="C586" s="5"/>
      <c r="D586" s="5"/>
      <c r="E586" s="5"/>
      <c r="F586" s="5"/>
      <c r="G586" s="5"/>
      <c r="H586" s="306"/>
      <c r="I586" s="306"/>
      <c r="J586" s="5"/>
      <c r="K586" s="5"/>
      <c r="L586" s="306"/>
      <c r="M586" s="5"/>
      <c r="N586" s="5"/>
      <c r="O586" s="5"/>
      <c r="P586" s="5"/>
      <c r="Q586" s="5"/>
      <c r="R586" s="57"/>
      <c r="S586" s="5"/>
      <c r="T586" s="5"/>
      <c r="U586" s="5"/>
      <c r="V586" s="5"/>
      <c r="W586" s="5"/>
      <c r="X586" s="5"/>
      <c r="Y586" s="5"/>
      <c r="Z586" s="5"/>
      <c r="AA586" s="5"/>
      <c r="AB586" s="5"/>
      <c r="AC586" s="5"/>
    </row>
    <row r="587" spans="1:29" ht="12.75" customHeight="1">
      <c r="A587" s="5"/>
      <c r="B587" s="5"/>
      <c r="C587" s="5"/>
      <c r="D587" s="5"/>
      <c r="E587" s="5"/>
      <c r="F587" s="5"/>
      <c r="G587" s="5"/>
      <c r="H587" s="306"/>
      <c r="I587" s="306"/>
      <c r="J587" s="5"/>
      <c r="K587" s="5"/>
      <c r="L587" s="306"/>
      <c r="M587" s="5"/>
      <c r="N587" s="5"/>
      <c r="O587" s="5"/>
      <c r="P587" s="5"/>
      <c r="Q587" s="5"/>
      <c r="R587" s="57"/>
      <c r="S587" s="5"/>
      <c r="T587" s="5"/>
      <c r="U587" s="5"/>
      <c r="V587" s="5"/>
      <c r="W587" s="5"/>
      <c r="X587" s="5"/>
      <c r="Y587" s="5"/>
      <c r="Z587" s="5"/>
      <c r="AA587" s="5"/>
      <c r="AB587" s="5"/>
      <c r="AC587" s="5"/>
    </row>
    <row r="588" spans="1:29" ht="12.75" customHeight="1">
      <c r="A588" s="5"/>
      <c r="B588" s="5"/>
      <c r="C588" s="5"/>
      <c r="D588" s="5"/>
      <c r="E588" s="5"/>
      <c r="F588" s="5"/>
      <c r="G588" s="5"/>
      <c r="H588" s="306"/>
      <c r="I588" s="306"/>
      <c r="J588" s="5"/>
      <c r="K588" s="5"/>
      <c r="L588" s="306"/>
      <c r="M588" s="5"/>
      <c r="N588" s="5"/>
      <c r="O588" s="5"/>
      <c r="P588" s="5"/>
      <c r="Q588" s="5"/>
      <c r="R588" s="57"/>
      <c r="S588" s="5"/>
      <c r="T588" s="5"/>
      <c r="U588" s="5"/>
      <c r="V588" s="5"/>
      <c r="W588" s="5"/>
      <c r="X588" s="5"/>
      <c r="Y588" s="5"/>
      <c r="Z588" s="5"/>
      <c r="AA588" s="5"/>
      <c r="AB588" s="5"/>
      <c r="AC588" s="5"/>
    </row>
    <row r="589" spans="1:29" ht="12.75" customHeight="1">
      <c r="A589" s="5"/>
      <c r="B589" s="5"/>
      <c r="C589" s="5"/>
      <c r="D589" s="5"/>
      <c r="E589" s="5"/>
      <c r="F589" s="5"/>
      <c r="G589" s="5"/>
      <c r="H589" s="306"/>
      <c r="I589" s="306"/>
      <c r="J589" s="5"/>
      <c r="K589" s="5"/>
      <c r="L589" s="306"/>
      <c r="M589" s="5"/>
      <c r="N589" s="5"/>
      <c r="O589" s="5"/>
      <c r="P589" s="5"/>
      <c r="Q589" s="5"/>
      <c r="R589" s="57"/>
      <c r="S589" s="5"/>
      <c r="T589" s="5"/>
      <c r="U589" s="5"/>
      <c r="V589" s="5"/>
      <c r="W589" s="5"/>
      <c r="X589" s="5"/>
      <c r="Y589" s="5"/>
      <c r="Z589" s="5"/>
      <c r="AA589" s="5"/>
      <c r="AB589" s="5"/>
      <c r="AC589" s="5"/>
    </row>
    <row r="590" spans="1:29" ht="12.75" customHeight="1">
      <c r="A590" s="5"/>
      <c r="B590" s="5"/>
      <c r="C590" s="5"/>
      <c r="D590" s="5"/>
      <c r="E590" s="5"/>
      <c r="F590" s="5"/>
      <c r="G590" s="5"/>
      <c r="H590" s="306"/>
      <c r="I590" s="306"/>
      <c r="J590" s="5"/>
      <c r="K590" s="5"/>
      <c r="L590" s="306"/>
      <c r="M590" s="5"/>
      <c r="N590" s="5"/>
      <c r="O590" s="5"/>
      <c r="P590" s="5"/>
      <c r="Q590" s="5"/>
      <c r="R590" s="57"/>
      <c r="S590" s="5"/>
      <c r="T590" s="5"/>
      <c r="U590" s="5"/>
      <c r="V590" s="5"/>
      <c r="W590" s="5"/>
      <c r="X590" s="5"/>
      <c r="Y590" s="5"/>
      <c r="Z590" s="5"/>
      <c r="AA590" s="5"/>
      <c r="AB590" s="5"/>
      <c r="AC590" s="5"/>
    </row>
    <row r="591" spans="1:29" ht="12.75" customHeight="1">
      <c r="A591" s="5"/>
      <c r="B591" s="5"/>
      <c r="C591" s="5"/>
      <c r="D591" s="5"/>
      <c r="E591" s="5"/>
      <c r="F591" s="5"/>
      <c r="G591" s="5"/>
      <c r="H591" s="306"/>
      <c r="I591" s="306"/>
      <c r="J591" s="5"/>
      <c r="K591" s="5"/>
      <c r="L591" s="306"/>
      <c r="M591" s="5"/>
      <c r="N591" s="5"/>
      <c r="O591" s="5"/>
      <c r="P591" s="5"/>
      <c r="Q591" s="5"/>
      <c r="R591" s="57"/>
      <c r="S591" s="5"/>
      <c r="T591" s="5"/>
      <c r="U591" s="5"/>
      <c r="V591" s="5"/>
      <c r="W591" s="5"/>
      <c r="X591" s="5"/>
      <c r="Y591" s="5"/>
      <c r="Z591" s="5"/>
      <c r="AA591" s="5"/>
      <c r="AB591" s="5"/>
      <c r="AC591" s="5"/>
    </row>
    <row r="592" spans="1:29" ht="12.75" customHeight="1">
      <c r="A592" s="5"/>
      <c r="B592" s="5"/>
      <c r="C592" s="5"/>
      <c r="D592" s="5"/>
      <c r="E592" s="5"/>
      <c r="F592" s="5"/>
      <c r="G592" s="5"/>
      <c r="H592" s="306"/>
      <c r="I592" s="306"/>
      <c r="J592" s="5"/>
      <c r="K592" s="5"/>
      <c r="L592" s="306"/>
      <c r="M592" s="5"/>
      <c r="N592" s="5"/>
      <c r="O592" s="5"/>
      <c r="P592" s="5"/>
      <c r="Q592" s="5"/>
      <c r="R592" s="57"/>
      <c r="S592" s="5"/>
      <c r="T592" s="5"/>
      <c r="U592" s="5"/>
      <c r="V592" s="5"/>
      <c r="W592" s="5"/>
      <c r="X592" s="5"/>
      <c r="Y592" s="5"/>
      <c r="Z592" s="5"/>
      <c r="AA592" s="5"/>
      <c r="AB592" s="5"/>
      <c r="AC592" s="5"/>
    </row>
    <row r="593" spans="1:29" ht="12.75" customHeight="1">
      <c r="A593" s="5"/>
      <c r="B593" s="5"/>
      <c r="C593" s="5"/>
      <c r="D593" s="5"/>
      <c r="E593" s="5"/>
      <c r="F593" s="5"/>
      <c r="G593" s="5"/>
      <c r="H593" s="306"/>
      <c r="I593" s="306"/>
      <c r="J593" s="5"/>
      <c r="K593" s="5"/>
      <c r="L593" s="306"/>
      <c r="M593" s="5"/>
      <c r="N593" s="5"/>
      <c r="O593" s="5"/>
      <c r="P593" s="5"/>
      <c r="Q593" s="5"/>
      <c r="R593" s="57"/>
      <c r="S593" s="5"/>
      <c r="T593" s="5"/>
      <c r="U593" s="5"/>
      <c r="V593" s="5"/>
      <c r="W593" s="5"/>
      <c r="X593" s="5"/>
      <c r="Y593" s="5"/>
      <c r="Z593" s="5"/>
      <c r="AA593" s="5"/>
      <c r="AB593" s="5"/>
      <c r="AC593" s="5"/>
    </row>
    <row r="594" spans="1:29" ht="12.75" customHeight="1">
      <c r="A594" s="5"/>
      <c r="B594" s="5"/>
      <c r="C594" s="5"/>
      <c r="D594" s="5"/>
      <c r="E594" s="5"/>
      <c r="F594" s="5"/>
      <c r="G594" s="5"/>
      <c r="H594" s="306"/>
      <c r="I594" s="306"/>
      <c r="J594" s="5"/>
      <c r="K594" s="5"/>
      <c r="L594" s="306"/>
      <c r="M594" s="5"/>
      <c r="N594" s="5"/>
      <c r="O594" s="5"/>
      <c r="P594" s="5"/>
      <c r="Q594" s="5"/>
      <c r="R594" s="57"/>
      <c r="S594" s="5"/>
      <c r="T594" s="5"/>
      <c r="U594" s="5"/>
      <c r="V594" s="5"/>
      <c r="W594" s="5"/>
      <c r="X594" s="5"/>
      <c r="Y594" s="5"/>
      <c r="Z594" s="5"/>
      <c r="AA594" s="5"/>
      <c r="AB594" s="5"/>
      <c r="AC594" s="5"/>
    </row>
    <row r="595" spans="1:29" ht="12.75" customHeight="1">
      <c r="A595" s="5"/>
      <c r="B595" s="5"/>
      <c r="C595" s="5"/>
      <c r="D595" s="5"/>
      <c r="E595" s="5"/>
      <c r="F595" s="5"/>
      <c r="G595" s="5"/>
      <c r="H595" s="306"/>
      <c r="I595" s="306"/>
      <c r="J595" s="5"/>
      <c r="K595" s="5"/>
      <c r="L595" s="306"/>
      <c r="M595" s="5"/>
      <c r="N595" s="5"/>
      <c r="O595" s="5"/>
      <c r="P595" s="5"/>
      <c r="Q595" s="5"/>
      <c r="R595" s="57"/>
      <c r="S595" s="5"/>
      <c r="T595" s="5"/>
      <c r="U595" s="5"/>
      <c r="V595" s="5"/>
      <c r="W595" s="5"/>
      <c r="X595" s="5"/>
      <c r="Y595" s="5"/>
      <c r="Z595" s="5"/>
      <c r="AA595" s="5"/>
      <c r="AB595" s="5"/>
      <c r="AC595" s="5"/>
    </row>
    <row r="596" spans="1:29" ht="12.75" customHeight="1">
      <c r="A596" s="5"/>
      <c r="B596" s="5"/>
      <c r="C596" s="5"/>
      <c r="D596" s="5"/>
      <c r="E596" s="5"/>
      <c r="F596" s="5"/>
      <c r="G596" s="5"/>
      <c r="H596" s="306"/>
      <c r="I596" s="306"/>
      <c r="J596" s="5"/>
      <c r="K596" s="5"/>
      <c r="L596" s="306"/>
      <c r="M596" s="5"/>
      <c r="N596" s="5"/>
      <c r="O596" s="5"/>
      <c r="P596" s="5"/>
      <c r="Q596" s="5"/>
      <c r="R596" s="57"/>
      <c r="S596" s="5"/>
      <c r="T596" s="5"/>
      <c r="U596" s="5"/>
      <c r="V596" s="5"/>
      <c r="W596" s="5"/>
      <c r="X596" s="5"/>
      <c r="Y596" s="5"/>
      <c r="Z596" s="5"/>
      <c r="AA596" s="5"/>
      <c r="AB596" s="5"/>
      <c r="AC596" s="5"/>
    </row>
    <row r="597" spans="1:29" ht="12.75" customHeight="1">
      <c r="A597" s="5"/>
      <c r="B597" s="5"/>
      <c r="C597" s="5"/>
      <c r="D597" s="5"/>
      <c r="E597" s="5"/>
      <c r="F597" s="5"/>
      <c r="G597" s="5"/>
      <c r="H597" s="306"/>
      <c r="I597" s="306"/>
      <c r="J597" s="5"/>
      <c r="K597" s="5"/>
      <c r="L597" s="306"/>
      <c r="M597" s="5"/>
      <c r="N597" s="5"/>
      <c r="O597" s="5"/>
      <c r="P597" s="5"/>
      <c r="Q597" s="5"/>
      <c r="R597" s="57"/>
      <c r="S597" s="5"/>
      <c r="T597" s="5"/>
      <c r="U597" s="5"/>
      <c r="V597" s="5"/>
      <c r="W597" s="5"/>
      <c r="X597" s="5"/>
      <c r="Y597" s="5"/>
      <c r="Z597" s="5"/>
      <c r="AA597" s="5"/>
      <c r="AB597" s="5"/>
      <c r="AC597" s="5"/>
    </row>
    <row r="598" spans="1:29" ht="12.75" customHeight="1">
      <c r="A598" s="5"/>
      <c r="B598" s="5"/>
      <c r="C598" s="5"/>
      <c r="D598" s="5"/>
      <c r="E598" s="5"/>
      <c r="F598" s="5"/>
      <c r="G598" s="5"/>
      <c r="H598" s="306"/>
      <c r="I598" s="306"/>
      <c r="J598" s="5"/>
      <c r="K598" s="5"/>
      <c r="L598" s="306"/>
      <c r="M598" s="5"/>
      <c r="N598" s="5"/>
      <c r="O598" s="5"/>
      <c r="P598" s="5"/>
      <c r="Q598" s="5"/>
      <c r="R598" s="57"/>
      <c r="S598" s="5"/>
      <c r="T598" s="5"/>
      <c r="U598" s="5"/>
      <c r="V598" s="5"/>
      <c r="W598" s="5"/>
      <c r="X598" s="5"/>
      <c r="Y598" s="5"/>
      <c r="Z598" s="5"/>
      <c r="AA598" s="5"/>
      <c r="AB598" s="5"/>
      <c r="AC598" s="5"/>
    </row>
    <row r="599" spans="1:29" ht="12.75" customHeight="1">
      <c r="A599" s="5"/>
      <c r="B599" s="5"/>
      <c r="C599" s="5"/>
      <c r="D599" s="5"/>
      <c r="E599" s="5"/>
      <c r="F599" s="5"/>
      <c r="G599" s="5"/>
      <c r="H599" s="306"/>
      <c r="I599" s="306"/>
      <c r="J599" s="5"/>
      <c r="K599" s="5"/>
      <c r="L599" s="306"/>
      <c r="M599" s="5"/>
      <c r="N599" s="5"/>
      <c r="O599" s="5"/>
      <c r="P599" s="5"/>
      <c r="Q599" s="5"/>
      <c r="R599" s="57"/>
      <c r="S599" s="5"/>
      <c r="T599" s="5"/>
      <c r="U599" s="5"/>
      <c r="V599" s="5"/>
      <c r="W599" s="5"/>
      <c r="X599" s="5"/>
      <c r="Y599" s="5"/>
      <c r="Z599" s="5"/>
      <c r="AA599" s="5"/>
      <c r="AB599" s="5"/>
      <c r="AC599" s="5"/>
    </row>
    <row r="600" spans="1:29" ht="12.75" customHeight="1">
      <c r="A600" s="5"/>
      <c r="B600" s="5"/>
      <c r="C600" s="5"/>
      <c r="D600" s="5"/>
      <c r="E600" s="5"/>
      <c r="F600" s="5"/>
      <c r="G600" s="5"/>
      <c r="H600" s="306"/>
      <c r="I600" s="306"/>
      <c r="J600" s="5"/>
      <c r="K600" s="5"/>
      <c r="L600" s="306"/>
      <c r="M600" s="5"/>
      <c r="N600" s="5"/>
      <c r="O600" s="5"/>
      <c r="P600" s="5"/>
      <c r="Q600" s="5"/>
      <c r="R600" s="57"/>
      <c r="S600" s="5"/>
      <c r="T600" s="5"/>
      <c r="U600" s="5"/>
      <c r="V600" s="5"/>
      <c r="W600" s="5"/>
      <c r="X600" s="5"/>
      <c r="Y600" s="5"/>
      <c r="Z600" s="5"/>
      <c r="AA600" s="5"/>
      <c r="AB600" s="5"/>
      <c r="AC600" s="5"/>
    </row>
    <row r="601" spans="1:29" ht="12.75" customHeight="1">
      <c r="A601" s="5"/>
      <c r="B601" s="5"/>
      <c r="C601" s="5"/>
      <c r="D601" s="5"/>
      <c r="E601" s="5"/>
      <c r="F601" s="5"/>
      <c r="G601" s="5"/>
      <c r="H601" s="306"/>
      <c r="I601" s="306"/>
      <c r="J601" s="5"/>
      <c r="K601" s="5"/>
      <c r="L601" s="306"/>
      <c r="M601" s="5"/>
      <c r="N601" s="5"/>
      <c r="O601" s="5"/>
      <c r="P601" s="5"/>
      <c r="Q601" s="5"/>
      <c r="R601" s="57"/>
      <c r="S601" s="5"/>
      <c r="T601" s="5"/>
      <c r="U601" s="5"/>
      <c r="V601" s="5"/>
      <c r="W601" s="5"/>
      <c r="X601" s="5"/>
      <c r="Y601" s="5"/>
      <c r="Z601" s="5"/>
      <c r="AA601" s="5"/>
      <c r="AB601" s="5"/>
      <c r="AC601" s="5"/>
    </row>
    <row r="602" spans="1:29" ht="12.75" customHeight="1">
      <c r="A602" s="5"/>
      <c r="B602" s="5"/>
      <c r="C602" s="5"/>
      <c r="D602" s="5"/>
      <c r="E602" s="5"/>
      <c r="F602" s="5"/>
      <c r="G602" s="5"/>
      <c r="H602" s="306"/>
      <c r="I602" s="306"/>
      <c r="J602" s="5"/>
      <c r="K602" s="5"/>
      <c r="L602" s="306"/>
      <c r="M602" s="5"/>
      <c r="N602" s="5"/>
      <c r="O602" s="5"/>
      <c r="P602" s="5"/>
      <c r="Q602" s="5"/>
      <c r="R602" s="57"/>
      <c r="S602" s="5"/>
      <c r="T602" s="5"/>
      <c r="U602" s="5"/>
      <c r="V602" s="5"/>
      <c r="W602" s="5"/>
      <c r="X602" s="5"/>
      <c r="Y602" s="5"/>
      <c r="Z602" s="5"/>
      <c r="AA602" s="5"/>
      <c r="AB602" s="5"/>
      <c r="AC602" s="5"/>
    </row>
    <row r="603" spans="1:29" ht="12.75" customHeight="1">
      <c r="A603" s="5"/>
      <c r="B603" s="5"/>
      <c r="C603" s="5"/>
      <c r="D603" s="5"/>
      <c r="E603" s="5"/>
      <c r="F603" s="5"/>
      <c r="G603" s="5"/>
      <c r="H603" s="306"/>
      <c r="I603" s="306"/>
      <c r="J603" s="5"/>
      <c r="K603" s="5"/>
      <c r="L603" s="306"/>
      <c r="M603" s="5"/>
      <c r="N603" s="5"/>
      <c r="O603" s="5"/>
      <c r="P603" s="5"/>
      <c r="Q603" s="5"/>
      <c r="R603" s="57"/>
      <c r="S603" s="5"/>
      <c r="T603" s="5"/>
      <c r="U603" s="5"/>
      <c r="V603" s="5"/>
      <c r="W603" s="5"/>
      <c r="X603" s="5"/>
      <c r="Y603" s="5"/>
      <c r="Z603" s="5"/>
      <c r="AA603" s="5"/>
      <c r="AB603" s="5"/>
      <c r="AC603" s="5"/>
    </row>
    <row r="604" spans="1:29" ht="12.75" customHeight="1">
      <c r="A604" s="5"/>
      <c r="B604" s="5"/>
      <c r="C604" s="5"/>
      <c r="D604" s="5"/>
      <c r="E604" s="5"/>
      <c r="F604" s="5"/>
      <c r="G604" s="5"/>
      <c r="H604" s="306"/>
      <c r="I604" s="306"/>
      <c r="J604" s="5"/>
      <c r="K604" s="5"/>
      <c r="L604" s="306"/>
      <c r="M604" s="5"/>
      <c r="N604" s="5"/>
      <c r="O604" s="5"/>
      <c r="P604" s="5"/>
      <c r="Q604" s="5"/>
      <c r="R604" s="57"/>
      <c r="S604" s="5"/>
      <c r="T604" s="5"/>
      <c r="U604" s="5"/>
      <c r="V604" s="5"/>
      <c r="W604" s="5"/>
      <c r="X604" s="5"/>
      <c r="Y604" s="5"/>
      <c r="Z604" s="5"/>
      <c r="AA604" s="5"/>
      <c r="AB604" s="5"/>
      <c r="AC604" s="5"/>
    </row>
    <row r="605" spans="1:29" ht="12.75" customHeight="1">
      <c r="A605" s="5"/>
      <c r="B605" s="5"/>
      <c r="C605" s="5"/>
      <c r="D605" s="5"/>
      <c r="E605" s="5"/>
      <c r="F605" s="5"/>
      <c r="G605" s="5"/>
      <c r="H605" s="306"/>
      <c r="I605" s="306"/>
      <c r="J605" s="5"/>
      <c r="K605" s="5"/>
      <c r="L605" s="306"/>
      <c r="M605" s="5"/>
      <c r="N605" s="5"/>
      <c r="O605" s="5"/>
      <c r="P605" s="5"/>
      <c r="Q605" s="5"/>
      <c r="R605" s="57"/>
      <c r="S605" s="5"/>
      <c r="T605" s="5"/>
      <c r="U605" s="5"/>
      <c r="V605" s="5"/>
      <c r="W605" s="5"/>
      <c r="X605" s="5"/>
      <c r="Y605" s="5"/>
      <c r="Z605" s="5"/>
      <c r="AA605" s="5"/>
      <c r="AB605" s="5"/>
      <c r="AC605" s="5"/>
    </row>
    <row r="606" spans="1:29" ht="12.75" customHeight="1">
      <c r="A606" s="5"/>
      <c r="B606" s="5"/>
      <c r="C606" s="5"/>
      <c r="D606" s="5"/>
      <c r="E606" s="5"/>
      <c r="F606" s="5"/>
      <c r="G606" s="5"/>
      <c r="H606" s="306"/>
      <c r="I606" s="306"/>
      <c r="J606" s="5"/>
      <c r="K606" s="5"/>
      <c r="L606" s="306"/>
      <c r="M606" s="5"/>
      <c r="N606" s="5"/>
      <c r="O606" s="5"/>
      <c r="P606" s="5"/>
      <c r="Q606" s="5"/>
      <c r="R606" s="57"/>
      <c r="S606" s="5"/>
      <c r="T606" s="5"/>
      <c r="U606" s="5"/>
      <c r="V606" s="5"/>
      <c r="W606" s="5"/>
      <c r="X606" s="5"/>
      <c r="Y606" s="5"/>
      <c r="Z606" s="5"/>
      <c r="AA606" s="5"/>
      <c r="AB606" s="5"/>
      <c r="AC606" s="5"/>
    </row>
    <row r="607" spans="1:29" ht="12.75" customHeight="1">
      <c r="A607" s="5"/>
      <c r="B607" s="5"/>
      <c r="C607" s="5"/>
      <c r="D607" s="5"/>
      <c r="E607" s="5"/>
      <c r="F607" s="5"/>
      <c r="G607" s="5"/>
      <c r="H607" s="306"/>
      <c r="I607" s="306"/>
      <c r="J607" s="5"/>
      <c r="K607" s="5"/>
      <c r="L607" s="306"/>
      <c r="M607" s="5"/>
      <c r="N607" s="5"/>
      <c r="O607" s="5"/>
      <c r="P607" s="5"/>
      <c r="Q607" s="5"/>
      <c r="R607" s="57"/>
      <c r="S607" s="5"/>
      <c r="T607" s="5"/>
      <c r="U607" s="5"/>
      <c r="V607" s="5"/>
      <c r="W607" s="5"/>
      <c r="X607" s="5"/>
      <c r="Y607" s="5"/>
      <c r="Z607" s="5"/>
      <c r="AA607" s="5"/>
      <c r="AB607" s="5"/>
      <c r="AC607" s="5"/>
    </row>
    <row r="608" spans="1:29" ht="12.75" customHeight="1">
      <c r="A608" s="5"/>
      <c r="B608" s="5"/>
      <c r="C608" s="5"/>
      <c r="D608" s="5"/>
      <c r="E608" s="5"/>
      <c r="F608" s="5"/>
      <c r="G608" s="5"/>
      <c r="H608" s="306"/>
      <c r="I608" s="306"/>
      <c r="J608" s="5"/>
      <c r="K608" s="5"/>
      <c r="L608" s="306"/>
      <c r="M608" s="5"/>
      <c r="N608" s="5"/>
      <c r="O608" s="5"/>
      <c r="P608" s="5"/>
      <c r="Q608" s="5"/>
      <c r="R608" s="57"/>
      <c r="S608" s="5"/>
      <c r="T608" s="5"/>
      <c r="U608" s="5"/>
      <c r="V608" s="5"/>
      <c r="W608" s="5"/>
      <c r="X608" s="5"/>
      <c r="Y608" s="5"/>
      <c r="Z608" s="5"/>
      <c r="AA608" s="5"/>
      <c r="AB608" s="5"/>
      <c r="AC608" s="5"/>
    </row>
    <row r="609" spans="1:29" ht="12.75" customHeight="1">
      <c r="A609" s="5"/>
      <c r="B609" s="5"/>
      <c r="C609" s="5"/>
      <c r="D609" s="5"/>
      <c r="E609" s="5"/>
      <c r="F609" s="5"/>
      <c r="G609" s="5"/>
      <c r="H609" s="306"/>
      <c r="I609" s="306"/>
      <c r="J609" s="5"/>
      <c r="K609" s="5"/>
      <c r="L609" s="306"/>
      <c r="M609" s="5"/>
      <c r="N609" s="5"/>
      <c r="O609" s="5"/>
      <c r="P609" s="5"/>
      <c r="Q609" s="5"/>
      <c r="R609" s="57"/>
      <c r="S609" s="5"/>
      <c r="T609" s="5"/>
      <c r="U609" s="5"/>
      <c r="V609" s="5"/>
      <c r="W609" s="5"/>
      <c r="X609" s="5"/>
      <c r="Y609" s="5"/>
      <c r="Z609" s="5"/>
      <c r="AA609" s="5"/>
      <c r="AB609" s="5"/>
      <c r="AC609" s="5"/>
    </row>
    <row r="610" spans="1:29" ht="12.75" customHeight="1">
      <c r="A610" s="5"/>
      <c r="B610" s="5"/>
      <c r="C610" s="5"/>
      <c r="D610" s="5"/>
      <c r="E610" s="5"/>
      <c r="F610" s="5"/>
      <c r="G610" s="5"/>
      <c r="H610" s="306"/>
      <c r="I610" s="306"/>
      <c r="J610" s="5"/>
      <c r="K610" s="5"/>
      <c r="L610" s="306"/>
      <c r="M610" s="5"/>
      <c r="N610" s="5"/>
      <c r="O610" s="5"/>
      <c r="P610" s="5"/>
      <c r="Q610" s="5"/>
      <c r="R610" s="57"/>
      <c r="S610" s="5"/>
      <c r="T610" s="5"/>
      <c r="U610" s="5"/>
      <c r="V610" s="5"/>
      <c r="W610" s="5"/>
      <c r="X610" s="5"/>
      <c r="Y610" s="5"/>
      <c r="Z610" s="5"/>
      <c r="AA610" s="5"/>
      <c r="AB610" s="5"/>
      <c r="AC610" s="5"/>
    </row>
    <row r="611" spans="1:29" ht="12.75" customHeight="1">
      <c r="A611" s="5"/>
      <c r="B611" s="5"/>
      <c r="C611" s="5"/>
      <c r="D611" s="5"/>
      <c r="E611" s="5"/>
      <c r="F611" s="5"/>
      <c r="G611" s="5"/>
      <c r="H611" s="306"/>
      <c r="I611" s="306"/>
      <c r="J611" s="5"/>
      <c r="K611" s="5"/>
      <c r="L611" s="306"/>
      <c r="M611" s="5"/>
      <c r="N611" s="5"/>
      <c r="O611" s="5"/>
      <c r="P611" s="5"/>
      <c r="Q611" s="5"/>
      <c r="R611" s="57"/>
      <c r="S611" s="5"/>
      <c r="T611" s="5"/>
      <c r="U611" s="5"/>
      <c r="V611" s="5"/>
      <c r="W611" s="5"/>
      <c r="X611" s="5"/>
      <c r="Y611" s="5"/>
      <c r="Z611" s="5"/>
      <c r="AA611" s="5"/>
      <c r="AB611" s="5"/>
      <c r="AC611" s="5"/>
    </row>
    <row r="612" spans="1:29" ht="12.75" customHeight="1">
      <c r="A612" s="5"/>
      <c r="B612" s="5"/>
      <c r="C612" s="5"/>
      <c r="D612" s="5"/>
      <c r="E612" s="5"/>
      <c r="F612" s="5"/>
      <c r="G612" s="5"/>
      <c r="H612" s="306"/>
      <c r="I612" s="306"/>
      <c r="J612" s="5"/>
      <c r="K612" s="5"/>
      <c r="L612" s="306"/>
      <c r="M612" s="5"/>
      <c r="N612" s="5"/>
      <c r="O612" s="5"/>
      <c r="P612" s="5"/>
      <c r="Q612" s="5"/>
      <c r="R612" s="57"/>
      <c r="S612" s="5"/>
      <c r="T612" s="5"/>
      <c r="U612" s="5"/>
      <c r="V612" s="5"/>
      <c r="W612" s="5"/>
      <c r="X612" s="5"/>
      <c r="Y612" s="5"/>
      <c r="Z612" s="5"/>
      <c r="AA612" s="5"/>
      <c r="AB612" s="5"/>
      <c r="AC612" s="5"/>
    </row>
    <row r="613" spans="1:29" ht="12.75" customHeight="1">
      <c r="A613" s="5"/>
      <c r="B613" s="5"/>
      <c r="C613" s="5"/>
      <c r="D613" s="5"/>
      <c r="E613" s="5"/>
      <c r="F613" s="5"/>
      <c r="G613" s="5"/>
      <c r="H613" s="306"/>
      <c r="I613" s="306"/>
      <c r="J613" s="5"/>
      <c r="K613" s="5"/>
      <c r="L613" s="306"/>
      <c r="M613" s="5"/>
      <c r="N613" s="5"/>
      <c r="O613" s="5"/>
      <c r="P613" s="5"/>
      <c r="Q613" s="5"/>
      <c r="R613" s="57"/>
      <c r="S613" s="5"/>
      <c r="T613" s="5"/>
      <c r="U613" s="5"/>
      <c r="V613" s="5"/>
      <c r="W613" s="5"/>
      <c r="X613" s="5"/>
      <c r="Y613" s="5"/>
      <c r="Z613" s="5"/>
      <c r="AA613" s="5"/>
      <c r="AB613" s="5"/>
      <c r="AC613" s="5"/>
    </row>
    <row r="614" spans="1:29" ht="12.75" customHeight="1">
      <c r="A614" s="5"/>
      <c r="B614" s="5"/>
      <c r="C614" s="5"/>
      <c r="D614" s="5"/>
      <c r="E614" s="5"/>
      <c r="F614" s="5"/>
      <c r="G614" s="5"/>
      <c r="H614" s="306"/>
      <c r="I614" s="306"/>
      <c r="J614" s="5"/>
      <c r="K614" s="5"/>
      <c r="L614" s="306"/>
      <c r="M614" s="5"/>
      <c r="N614" s="5"/>
      <c r="O614" s="5"/>
      <c r="P614" s="5"/>
      <c r="Q614" s="5"/>
      <c r="R614" s="57"/>
      <c r="S614" s="5"/>
      <c r="T614" s="5"/>
      <c r="U614" s="5"/>
      <c r="V614" s="5"/>
      <c r="W614" s="5"/>
      <c r="X614" s="5"/>
      <c r="Y614" s="5"/>
      <c r="Z614" s="5"/>
      <c r="AA614" s="5"/>
      <c r="AB614" s="5"/>
      <c r="AC614" s="5"/>
    </row>
    <row r="615" spans="1:29" ht="12.75" customHeight="1">
      <c r="A615" s="5"/>
      <c r="B615" s="5"/>
      <c r="C615" s="5"/>
      <c r="D615" s="5"/>
      <c r="E615" s="5"/>
      <c r="F615" s="5"/>
      <c r="G615" s="5"/>
      <c r="H615" s="306"/>
      <c r="I615" s="306"/>
      <c r="J615" s="5"/>
      <c r="K615" s="5"/>
      <c r="L615" s="306"/>
      <c r="M615" s="5"/>
      <c r="N615" s="5"/>
      <c r="O615" s="5"/>
      <c r="P615" s="5"/>
      <c r="Q615" s="5"/>
      <c r="R615" s="57"/>
      <c r="S615" s="5"/>
      <c r="T615" s="5"/>
      <c r="U615" s="5"/>
      <c r="V615" s="5"/>
      <c r="W615" s="5"/>
      <c r="X615" s="5"/>
      <c r="Y615" s="5"/>
      <c r="Z615" s="5"/>
      <c r="AA615" s="5"/>
      <c r="AB615" s="5"/>
      <c r="AC615" s="5"/>
    </row>
    <row r="616" spans="1:29" ht="12.75" customHeight="1">
      <c r="A616" s="5"/>
      <c r="B616" s="5"/>
      <c r="C616" s="5"/>
      <c r="D616" s="5"/>
      <c r="E616" s="5"/>
      <c r="F616" s="5"/>
      <c r="G616" s="5"/>
      <c r="H616" s="306"/>
      <c r="I616" s="306"/>
      <c r="J616" s="5"/>
      <c r="K616" s="5"/>
      <c r="L616" s="306"/>
      <c r="M616" s="5"/>
      <c r="N616" s="5"/>
      <c r="O616" s="5"/>
      <c r="P616" s="5"/>
      <c r="Q616" s="5"/>
      <c r="R616" s="57"/>
      <c r="S616" s="5"/>
      <c r="T616" s="5"/>
      <c r="U616" s="5"/>
      <c r="V616" s="5"/>
      <c r="W616" s="5"/>
      <c r="X616" s="5"/>
      <c r="Y616" s="5"/>
      <c r="Z616" s="5"/>
      <c r="AA616" s="5"/>
      <c r="AB616" s="5"/>
      <c r="AC616" s="5"/>
    </row>
    <row r="617" spans="1:29" ht="12.75" customHeight="1">
      <c r="A617" s="5"/>
      <c r="B617" s="5"/>
      <c r="C617" s="5"/>
      <c r="D617" s="5"/>
      <c r="E617" s="5"/>
      <c r="F617" s="5"/>
      <c r="G617" s="5"/>
      <c r="H617" s="306"/>
      <c r="I617" s="306"/>
      <c r="J617" s="5"/>
      <c r="K617" s="5"/>
      <c r="L617" s="306"/>
      <c r="M617" s="5"/>
      <c r="N617" s="5"/>
      <c r="O617" s="5"/>
      <c r="P617" s="5"/>
      <c r="Q617" s="5"/>
      <c r="R617" s="57"/>
      <c r="S617" s="5"/>
      <c r="T617" s="5"/>
      <c r="U617" s="5"/>
      <c r="V617" s="5"/>
      <c r="W617" s="5"/>
      <c r="X617" s="5"/>
      <c r="Y617" s="5"/>
      <c r="Z617" s="5"/>
      <c r="AA617" s="5"/>
      <c r="AB617" s="5"/>
      <c r="AC617" s="5"/>
    </row>
    <row r="618" spans="1:29" ht="12.75" customHeight="1">
      <c r="A618" s="5"/>
      <c r="B618" s="5"/>
      <c r="C618" s="5"/>
      <c r="D618" s="5"/>
      <c r="E618" s="5"/>
      <c r="F618" s="5"/>
      <c r="G618" s="5"/>
      <c r="H618" s="306"/>
      <c r="I618" s="306"/>
      <c r="J618" s="5"/>
      <c r="K618" s="5"/>
      <c r="L618" s="306"/>
      <c r="M618" s="5"/>
      <c r="N618" s="5"/>
      <c r="O618" s="5"/>
      <c r="P618" s="5"/>
      <c r="Q618" s="5"/>
      <c r="R618" s="57"/>
      <c r="S618" s="5"/>
      <c r="T618" s="5"/>
      <c r="U618" s="5"/>
      <c r="V618" s="5"/>
      <c r="W618" s="5"/>
      <c r="X618" s="5"/>
      <c r="Y618" s="5"/>
      <c r="Z618" s="5"/>
      <c r="AA618" s="5"/>
      <c r="AB618" s="5"/>
      <c r="AC618" s="5"/>
    </row>
    <row r="619" spans="1:29" ht="12.75" customHeight="1">
      <c r="A619" s="5"/>
      <c r="B619" s="5"/>
      <c r="C619" s="5"/>
      <c r="D619" s="5"/>
      <c r="E619" s="5"/>
      <c r="F619" s="5"/>
      <c r="G619" s="5"/>
      <c r="H619" s="306"/>
      <c r="I619" s="306"/>
      <c r="J619" s="5"/>
      <c r="K619" s="5"/>
      <c r="L619" s="306"/>
      <c r="M619" s="5"/>
      <c r="N619" s="5"/>
      <c r="O619" s="5"/>
      <c r="P619" s="5"/>
      <c r="Q619" s="5"/>
      <c r="R619" s="57"/>
      <c r="S619" s="5"/>
      <c r="T619" s="5"/>
      <c r="U619" s="5"/>
      <c r="V619" s="5"/>
      <c r="W619" s="5"/>
      <c r="X619" s="5"/>
      <c r="Y619" s="5"/>
      <c r="Z619" s="5"/>
      <c r="AA619" s="5"/>
      <c r="AB619" s="5"/>
      <c r="AC619" s="5"/>
    </row>
    <row r="620" spans="1:29" ht="12.75" customHeight="1">
      <c r="A620" s="5"/>
      <c r="B620" s="5"/>
      <c r="C620" s="5"/>
      <c r="D620" s="5"/>
      <c r="E620" s="5"/>
      <c r="F620" s="5"/>
      <c r="G620" s="5"/>
      <c r="H620" s="306"/>
      <c r="I620" s="306"/>
      <c r="J620" s="5"/>
      <c r="K620" s="5"/>
      <c r="L620" s="306"/>
      <c r="M620" s="5"/>
      <c r="N620" s="5"/>
      <c r="O620" s="5"/>
      <c r="P620" s="5"/>
      <c r="Q620" s="5"/>
      <c r="R620" s="57"/>
      <c r="S620" s="5"/>
      <c r="T620" s="5"/>
      <c r="U620" s="5"/>
      <c r="V620" s="5"/>
      <c r="W620" s="5"/>
      <c r="X620" s="5"/>
      <c r="Y620" s="5"/>
      <c r="Z620" s="5"/>
      <c r="AA620" s="5"/>
      <c r="AB620" s="5"/>
      <c r="AC620" s="5"/>
    </row>
    <row r="621" spans="1:29" ht="12.75" customHeight="1">
      <c r="A621" s="5"/>
      <c r="B621" s="5"/>
      <c r="C621" s="5"/>
      <c r="D621" s="5"/>
      <c r="E621" s="5"/>
      <c r="F621" s="5"/>
      <c r="G621" s="5"/>
      <c r="H621" s="306"/>
      <c r="I621" s="306"/>
      <c r="J621" s="5"/>
      <c r="K621" s="5"/>
      <c r="L621" s="306"/>
      <c r="M621" s="5"/>
      <c r="N621" s="5"/>
      <c r="O621" s="5"/>
      <c r="P621" s="5"/>
      <c r="Q621" s="5"/>
      <c r="R621" s="57"/>
      <c r="S621" s="5"/>
      <c r="T621" s="5"/>
      <c r="U621" s="5"/>
      <c r="V621" s="5"/>
      <c r="W621" s="5"/>
      <c r="X621" s="5"/>
      <c r="Y621" s="5"/>
      <c r="Z621" s="5"/>
      <c r="AA621" s="5"/>
      <c r="AB621" s="5"/>
      <c r="AC621" s="5"/>
    </row>
    <row r="622" spans="1:29" ht="12.75" customHeight="1">
      <c r="A622" s="5"/>
      <c r="B622" s="5"/>
      <c r="C622" s="5"/>
      <c r="D622" s="5"/>
      <c r="E622" s="5"/>
      <c r="F622" s="5"/>
      <c r="G622" s="5"/>
      <c r="H622" s="306"/>
      <c r="I622" s="306"/>
      <c r="J622" s="5"/>
      <c r="K622" s="5"/>
      <c r="L622" s="306"/>
      <c r="M622" s="5"/>
      <c r="N622" s="5"/>
      <c r="O622" s="5"/>
      <c r="P622" s="5"/>
      <c r="Q622" s="5"/>
      <c r="R622" s="57"/>
      <c r="S622" s="5"/>
      <c r="T622" s="5"/>
      <c r="U622" s="5"/>
      <c r="V622" s="5"/>
      <c r="W622" s="5"/>
      <c r="X622" s="5"/>
      <c r="Y622" s="5"/>
      <c r="Z622" s="5"/>
      <c r="AA622" s="5"/>
      <c r="AB622" s="5"/>
      <c r="AC622" s="5"/>
    </row>
    <row r="623" spans="1:29" ht="12.75" customHeight="1">
      <c r="A623" s="5"/>
      <c r="B623" s="5"/>
      <c r="C623" s="5"/>
      <c r="D623" s="5"/>
      <c r="E623" s="5"/>
      <c r="F623" s="5"/>
      <c r="G623" s="5"/>
      <c r="H623" s="306"/>
      <c r="I623" s="306"/>
      <c r="J623" s="5"/>
      <c r="K623" s="5"/>
      <c r="L623" s="306"/>
      <c r="M623" s="5"/>
      <c r="N623" s="5"/>
      <c r="O623" s="5"/>
      <c r="P623" s="5"/>
      <c r="Q623" s="5"/>
      <c r="R623" s="57"/>
      <c r="S623" s="5"/>
      <c r="T623" s="5"/>
      <c r="U623" s="5"/>
      <c r="V623" s="5"/>
      <c r="W623" s="5"/>
      <c r="X623" s="5"/>
      <c r="Y623" s="5"/>
      <c r="Z623" s="5"/>
      <c r="AA623" s="5"/>
      <c r="AB623" s="5"/>
      <c r="AC623" s="5"/>
    </row>
    <row r="624" spans="1:29" ht="12.75" customHeight="1">
      <c r="A624" s="5"/>
      <c r="B624" s="5"/>
      <c r="C624" s="5"/>
      <c r="D624" s="5"/>
      <c r="E624" s="5"/>
      <c r="F624" s="5"/>
      <c r="G624" s="5"/>
      <c r="H624" s="306"/>
      <c r="I624" s="306"/>
      <c r="J624" s="5"/>
      <c r="K624" s="5"/>
      <c r="L624" s="306"/>
      <c r="M624" s="5"/>
      <c r="N624" s="5"/>
      <c r="O624" s="5"/>
      <c r="P624" s="5"/>
      <c r="Q624" s="5"/>
      <c r="R624" s="57"/>
      <c r="S624" s="5"/>
      <c r="T624" s="5"/>
      <c r="U624" s="5"/>
      <c r="V624" s="5"/>
      <c r="W624" s="5"/>
      <c r="X624" s="5"/>
      <c r="Y624" s="5"/>
      <c r="Z624" s="5"/>
      <c r="AA624" s="5"/>
      <c r="AB624" s="5"/>
      <c r="AC624" s="5"/>
    </row>
    <row r="625" spans="1:29" ht="12.75" customHeight="1">
      <c r="A625" s="5"/>
      <c r="B625" s="5"/>
      <c r="C625" s="5"/>
      <c r="D625" s="5"/>
      <c r="E625" s="5"/>
      <c r="F625" s="5"/>
      <c r="G625" s="5"/>
      <c r="H625" s="306"/>
      <c r="I625" s="306"/>
      <c r="J625" s="5"/>
      <c r="K625" s="5"/>
      <c r="L625" s="306"/>
      <c r="M625" s="5"/>
      <c r="N625" s="5"/>
      <c r="O625" s="5"/>
      <c r="P625" s="5"/>
      <c r="Q625" s="5"/>
      <c r="R625" s="57"/>
      <c r="S625" s="5"/>
      <c r="T625" s="5"/>
      <c r="U625" s="5"/>
      <c r="V625" s="5"/>
      <c r="W625" s="5"/>
      <c r="X625" s="5"/>
      <c r="Y625" s="5"/>
      <c r="Z625" s="5"/>
      <c r="AA625" s="5"/>
      <c r="AB625" s="5"/>
      <c r="AC625" s="5"/>
    </row>
    <row r="626" spans="1:29" ht="12.75" customHeight="1">
      <c r="A626" s="5"/>
      <c r="B626" s="5"/>
      <c r="C626" s="5"/>
      <c r="D626" s="5"/>
      <c r="E626" s="5"/>
      <c r="F626" s="5"/>
      <c r="G626" s="5"/>
      <c r="H626" s="306"/>
      <c r="I626" s="306"/>
      <c r="J626" s="5"/>
      <c r="K626" s="5"/>
      <c r="L626" s="306"/>
      <c r="M626" s="5"/>
      <c r="N626" s="5"/>
      <c r="O626" s="5"/>
      <c r="P626" s="5"/>
      <c r="Q626" s="5"/>
      <c r="R626" s="57"/>
      <c r="S626" s="5"/>
      <c r="T626" s="5"/>
      <c r="U626" s="5"/>
      <c r="V626" s="5"/>
      <c r="W626" s="5"/>
      <c r="X626" s="5"/>
      <c r="Y626" s="5"/>
      <c r="Z626" s="5"/>
      <c r="AA626" s="5"/>
      <c r="AB626" s="5"/>
      <c r="AC626" s="5"/>
    </row>
    <row r="627" spans="1:29" ht="12.75" customHeight="1">
      <c r="A627" s="5"/>
      <c r="B627" s="5"/>
      <c r="C627" s="5"/>
      <c r="D627" s="5"/>
      <c r="E627" s="5"/>
      <c r="F627" s="5"/>
      <c r="G627" s="5"/>
      <c r="H627" s="306"/>
      <c r="I627" s="306"/>
      <c r="J627" s="5"/>
      <c r="K627" s="5"/>
      <c r="L627" s="306"/>
      <c r="M627" s="5"/>
      <c r="N627" s="5"/>
      <c r="O627" s="5"/>
      <c r="P627" s="5"/>
      <c r="Q627" s="5"/>
      <c r="R627" s="57"/>
      <c r="S627" s="5"/>
      <c r="T627" s="5"/>
      <c r="U627" s="5"/>
      <c r="V627" s="5"/>
      <c r="W627" s="5"/>
      <c r="X627" s="5"/>
      <c r="Y627" s="5"/>
      <c r="Z627" s="5"/>
      <c r="AA627" s="5"/>
      <c r="AB627" s="5"/>
      <c r="AC627" s="5"/>
    </row>
    <row r="628" spans="1:29" ht="12.75" customHeight="1">
      <c r="A628" s="5"/>
      <c r="B628" s="5"/>
      <c r="C628" s="5"/>
      <c r="D628" s="5"/>
      <c r="E628" s="5"/>
      <c r="F628" s="5"/>
      <c r="G628" s="5"/>
      <c r="H628" s="306"/>
      <c r="I628" s="306"/>
      <c r="J628" s="5"/>
      <c r="K628" s="5"/>
      <c r="L628" s="306"/>
      <c r="M628" s="5"/>
      <c r="N628" s="5"/>
      <c r="O628" s="5"/>
      <c r="P628" s="5"/>
      <c r="Q628" s="5"/>
      <c r="R628" s="57"/>
      <c r="S628" s="5"/>
      <c r="T628" s="5"/>
      <c r="U628" s="5"/>
      <c r="V628" s="5"/>
      <c r="W628" s="5"/>
      <c r="X628" s="5"/>
      <c r="Y628" s="5"/>
      <c r="Z628" s="5"/>
      <c r="AA628" s="5"/>
      <c r="AB628" s="5"/>
      <c r="AC628" s="5"/>
    </row>
    <row r="629" spans="1:29" ht="12.75" customHeight="1">
      <c r="A629" s="5"/>
      <c r="B629" s="5"/>
      <c r="C629" s="5"/>
      <c r="D629" s="5"/>
      <c r="E629" s="5"/>
      <c r="F629" s="5"/>
      <c r="G629" s="5"/>
      <c r="H629" s="306"/>
      <c r="I629" s="306"/>
      <c r="J629" s="5"/>
      <c r="K629" s="5"/>
      <c r="L629" s="306"/>
      <c r="M629" s="5"/>
      <c r="N629" s="5"/>
      <c r="O629" s="5"/>
      <c r="P629" s="5"/>
      <c r="Q629" s="5"/>
      <c r="R629" s="57"/>
      <c r="S629" s="5"/>
      <c r="T629" s="5"/>
      <c r="U629" s="5"/>
      <c r="V629" s="5"/>
      <c r="W629" s="5"/>
      <c r="X629" s="5"/>
      <c r="Y629" s="5"/>
      <c r="Z629" s="5"/>
      <c r="AA629" s="5"/>
      <c r="AB629" s="5"/>
      <c r="AC629" s="5"/>
    </row>
    <row r="630" spans="1:29" ht="12.75" customHeight="1">
      <c r="A630" s="5"/>
      <c r="B630" s="5"/>
      <c r="C630" s="5"/>
      <c r="D630" s="5"/>
      <c r="E630" s="5"/>
      <c r="F630" s="5"/>
      <c r="G630" s="5"/>
      <c r="H630" s="306"/>
      <c r="I630" s="306"/>
      <c r="J630" s="5"/>
      <c r="K630" s="5"/>
      <c r="L630" s="306"/>
      <c r="M630" s="5"/>
      <c r="N630" s="5"/>
      <c r="O630" s="5"/>
      <c r="P630" s="5"/>
      <c r="Q630" s="5"/>
      <c r="R630" s="57"/>
      <c r="S630" s="5"/>
      <c r="T630" s="5"/>
      <c r="U630" s="5"/>
      <c r="V630" s="5"/>
      <c r="W630" s="5"/>
      <c r="X630" s="5"/>
      <c r="Y630" s="5"/>
      <c r="Z630" s="5"/>
      <c r="AA630" s="5"/>
      <c r="AB630" s="5"/>
      <c r="AC630" s="5"/>
    </row>
    <row r="631" spans="1:29" ht="12.75" customHeight="1">
      <c r="A631" s="5"/>
      <c r="B631" s="5"/>
      <c r="C631" s="5"/>
      <c r="D631" s="5"/>
      <c r="E631" s="5"/>
      <c r="F631" s="5"/>
      <c r="G631" s="5"/>
      <c r="H631" s="306"/>
      <c r="I631" s="306"/>
      <c r="J631" s="5"/>
      <c r="K631" s="5"/>
      <c r="L631" s="306"/>
      <c r="M631" s="5"/>
      <c r="N631" s="5"/>
      <c r="O631" s="5"/>
      <c r="P631" s="5"/>
      <c r="Q631" s="5"/>
      <c r="R631" s="57"/>
      <c r="S631" s="5"/>
      <c r="T631" s="5"/>
      <c r="U631" s="5"/>
      <c r="V631" s="5"/>
      <c r="W631" s="5"/>
      <c r="X631" s="5"/>
      <c r="Y631" s="5"/>
      <c r="Z631" s="5"/>
      <c r="AA631" s="5"/>
      <c r="AB631" s="5"/>
      <c r="AC631" s="5"/>
    </row>
    <row r="632" spans="1:29" ht="12.75" customHeight="1">
      <c r="A632" s="5"/>
      <c r="B632" s="5"/>
      <c r="C632" s="5"/>
      <c r="D632" s="5"/>
      <c r="E632" s="5"/>
      <c r="F632" s="5"/>
      <c r="G632" s="5"/>
      <c r="H632" s="306"/>
      <c r="I632" s="306"/>
      <c r="J632" s="5"/>
      <c r="K632" s="5"/>
      <c r="L632" s="306"/>
      <c r="M632" s="5"/>
      <c r="N632" s="5"/>
      <c r="O632" s="5"/>
      <c r="P632" s="5"/>
      <c r="Q632" s="5"/>
      <c r="R632" s="57"/>
      <c r="S632" s="5"/>
      <c r="T632" s="5"/>
      <c r="U632" s="5"/>
      <c r="V632" s="5"/>
      <c r="W632" s="5"/>
      <c r="X632" s="5"/>
      <c r="Y632" s="5"/>
      <c r="Z632" s="5"/>
      <c r="AA632" s="5"/>
      <c r="AB632" s="5"/>
      <c r="AC632" s="5"/>
    </row>
    <row r="633" spans="1:29" ht="12.75" customHeight="1">
      <c r="A633" s="5"/>
      <c r="B633" s="5"/>
      <c r="C633" s="5"/>
      <c r="D633" s="5"/>
      <c r="E633" s="5"/>
      <c r="F633" s="5"/>
      <c r="G633" s="5"/>
      <c r="H633" s="306"/>
      <c r="I633" s="306"/>
      <c r="J633" s="5"/>
      <c r="K633" s="5"/>
      <c r="L633" s="306"/>
      <c r="M633" s="5"/>
      <c r="N633" s="5"/>
      <c r="O633" s="5"/>
      <c r="P633" s="5"/>
      <c r="Q633" s="5"/>
      <c r="R633" s="57"/>
      <c r="S633" s="5"/>
      <c r="T633" s="5"/>
      <c r="U633" s="5"/>
      <c r="V633" s="5"/>
      <c r="W633" s="5"/>
      <c r="X633" s="5"/>
      <c r="Y633" s="5"/>
      <c r="Z633" s="5"/>
      <c r="AA633" s="5"/>
      <c r="AB633" s="5"/>
      <c r="AC633" s="5"/>
    </row>
    <row r="634" spans="1:29" ht="12.75" customHeight="1">
      <c r="A634" s="5"/>
      <c r="B634" s="5"/>
      <c r="C634" s="5"/>
      <c r="D634" s="5"/>
      <c r="E634" s="5"/>
      <c r="F634" s="5"/>
      <c r="G634" s="5"/>
      <c r="H634" s="306"/>
      <c r="I634" s="306"/>
      <c r="J634" s="5"/>
      <c r="K634" s="5"/>
      <c r="L634" s="306"/>
      <c r="M634" s="5"/>
      <c r="N634" s="5"/>
      <c r="O634" s="5"/>
      <c r="P634" s="5"/>
      <c r="Q634" s="5"/>
      <c r="R634" s="57"/>
      <c r="S634" s="5"/>
      <c r="T634" s="5"/>
      <c r="U634" s="5"/>
      <c r="V634" s="5"/>
      <c r="W634" s="5"/>
      <c r="X634" s="5"/>
      <c r="Y634" s="5"/>
      <c r="Z634" s="5"/>
      <c r="AA634" s="5"/>
      <c r="AB634" s="5"/>
      <c r="AC634" s="5"/>
    </row>
    <row r="635" spans="1:29" ht="12.75" customHeight="1">
      <c r="A635" s="5"/>
      <c r="B635" s="5"/>
      <c r="C635" s="5"/>
      <c r="D635" s="5"/>
      <c r="E635" s="5"/>
      <c r="F635" s="5"/>
      <c r="G635" s="5"/>
      <c r="H635" s="306"/>
      <c r="I635" s="306"/>
      <c r="J635" s="5"/>
      <c r="K635" s="5"/>
      <c r="L635" s="306"/>
      <c r="M635" s="5"/>
      <c r="N635" s="5"/>
      <c r="O635" s="5"/>
      <c r="P635" s="5"/>
      <c r="Q635" s="5"/>
      <c r="R635" s="57"/>
      <c r="S635" s="5"/>
      <c r="T635" s="5"/>
      <c r="U635" s="5"/>
      <c r="V635" s="5"/>
      <c r="W635" s="5"/>
      <c r="X635" s="5"/>
      <c r="Y635" s="5"/>
      <c r="Z635" s="5"/>
      <c r="AA635" s="5"/>
      <c r="AB635" s="5"/>
      <c r="AC635" s="5"/>
    </row>
    <row r="636" spans="1:29" ht="12.75" customHeight="1">
      <c r="A636" s="5"/>
      <c r="B636" s="5"/>
      <c r="C636" s="5"/>
      <c r="D636" s="5"/>
      <c r="E636" s="5"/>
      <c r="F636" s="5"/>
      <c r="G636" s="5"/>
      <c r="H636" s="306"/>
      <c r="I636" s="306"/>
      <c r="J636" s="5"/>
      <c r="K636" s="5"/>
      <c r="L636" s="306"/>
      <c r="M636" s="5"/>
      <c r="N636" s="5"/>
      <c r="O636" s="5"/>
      <c r="P636" s="5"/>
      <c r="Q636" s="5"/>
      <c r="R636" s="57"/>
      <c r="S636" s="5"/>
      <c r="T636" s="5"/>
      <c r="U636" s="5"/>
      <c r="V636" s="5"/>
      <c r="W636" s="5"/>
      <c r="X636" s="5"/>
      <c r="Y636" s="5"/>
      <c r="Z636" s="5"/>
      <c r="AA636" s="5"/>
      <c r="AB636" s="5"/>
      <c r="AC636" s="5"/>
    </row>
    <row r="637" spans="1:29" ht="12.75" customHeight="1">
      <c r="A637" s="5"/>
      <c r="B637" s="5"/>
      <c r="C637" s="5"/>
      <c r="D637" s="5"/>
      <c r="E637" s="5"/>
      <c r="F637" s="5"/>
      <c r="G637" s="5"/>
      <c r="H637" s="306"/>
      <c r="I637" s="306"/>
      <c r="J637" s="5"/>
      <c r="K637" s="5"/>
      <c r="L637" s="306"/>
      <c r="M637" s="5"/>
      <c r="N637" s="5"/>
      <c r="O637" s="5"/>
      <c r="P637" s="5"/>
      <c r="Q637" s="5"/>
      <c r="R637" s="57"/>
      <c r="S637" s="5"/>
      <c r="T637" s="5"/>
      <c r="U637" s="5"/>
      <c r="V637" s="5"/>
      <c r="W637" s="5"/>
      <c r="X637" s="5"/>
      <c r="Y637" s="5"/>
      <c r="Z637" s="5"/>
      <c r="AA637" s="5"/>
      <c r="AB637" s="5"/>
      <c r="AC637" s="5"/>
    </row>
    <row r="638" spans="1:29" ht="12.75" customHeight="1">
      <c r="A638" s="5"/>
      <c r="B638" s="5"/>
      <c r="C638" s="5"/>
      <c r="D638" s="5"/>
      <c r="E638" s="5"/>
      <c r="F638" s="5"/>
      <c r="G638" s="5"/>
      <c r="H638" s="306"/>
      <c r="I638" s="306"/>
      <c r="J638" s="5"/>
      <c r="K638" s="5"/>
      <c r="L638" s="306"/>
      <c r="M638" s="5"/>
      <c r="N638" s="5"/>
      <c r="O638" s="5"/>
      <c r="P638" s="5"/>
      <c r="Q638" s="5"/>
      <c r="R638" s="57"/>
      <c r="S638" s="5"/>
      <c r="T638" s="5"/>
      <c r="U638" s="5"/>
      <c r="V638" s="5"/>
      <c r="W638" s="5"/>
      <c r="X638" s="5"/>
      <c r="Y638" s="5"/>
      <c r="Z638" s="5"/>
      <c r="AA638" s="5"/>
      <c r="AB638" s="5"/>
      <c r="AC638" s="5"/>
    </row>
    <row r="639" spans="1:29" ht="12.75" customHeight="1">
      <c r="A639" s="5"/>
      <c r="B639" s="5"/>
      <c r="C639" s="5"/>
      <c r="D639" s="5"/>
      <c r="E639" s="5"/>
      <c r="F639" s="5"/>
      <c r="G639" s="5"/>
      <c r="H639" s="306"/>
      <c r="I639" s="306"/>
      <c r="J639" s="5"/>
      <c r="K639" s="5"/>
      <c r="L639" s="306"/>
      <c r="M639" s="5"/>
      <c r="N639" s="5"/>
      <c r="O639" s="5"/>
      <c r="P639" s="5"/>
      <c r="Q639" s="5"/>
      <c r="R639" s="57"/>
      <c r="S639" s="5"/>
      <c r="T639" s="5"/>
      <c r="U639" s="5"/>
      <c r="V639" s="5"/>
      <c r="W639" s="5"/>
      <c r="X639" s="5"/>
      <c r="Y639" s="5"/>
      <c r="Z639" s="5"/>
      <c r="AA639" s="5"/>
      <c r="AB639" s="5"/>
      <c r="AC639" s="5"/>
    </row>
    <row r="640" spans="1:29" ht="12.75" customHeight="1">
      <c r="A640" s="5"/>
      <c r="B640" s="5"/>
      <c r="C640" s="5"/>
      <c r="D640" s="5"/>
      <c r="E640" s="5"/>
      <c r="F640" s="5"/>
      <c r="G640" s="5"/>
      <c r="H640" s="306"/>
      <c r="I640" s="306"/>
      <c r="J640" s="5"/>
      <c r="K640" s="5"/>
      <c r="L640" s="306"/>
      <c r="M640" s="5"/>
      <c r="N640" s="5"/>
      <c r="O640" s="5"/>
      <c r="P640" s="5"/>
      <c r="Q640" s="5"/>
      <c r="R640" s="57"/>
      <c r="S640" s="5"/>
      <c r="T640" s="5"/>
      <c r="U640" s="5"/>
      <c r="V640" s="5"/>
      <c r="W640" s="5"/>
      <c r="X640" s="5"/>
      <c r="Y640" s="5"/>
      <c r="Z640" s="5"/>
      <c r="AA640" s="5"/>
      <c r="AB640" s="5"/>
      <c r="AC640" s="5"/>
    </row>
    <row r="641" spans="1:29" ht="12.75" customHeight="1">
      <c r="A641" s="5"/>
      <c r="B641" s="5"/>
      <c r="C641" s="5"/>
      <c r="D641" s="5"/>
      <c r="E641" s="5"/>
      <c r="F641" s="5"/>
      <c r="G641" s="5"/>
      <c r="H641" s="306"/>
      <c r="I641" s="306"/>
      <c r="J641" s="5"/>
      <c r="K641" s="5"/>
      <c r="L641" s="306"/>
      <c r="M641" s="5"/>
      <c r="N641" s="5"/>
      <c r="O641" s="5"/>
      <c r="P641" s="5"/>
      <c r="Q641" s="5"/>
      <c r="R641" s="57"/>
      <c r="S641" s="5"/>
      <c r="T641" s="5"/>
      <c r="U641" s="5"/>
      <c r="V641" s="5"/>
      <c r="W641" s="5"/>
      <c r="X641" s="5"/>
      <c r="Y641" s="5"/>
      <c r="Z641" s="5"/>
      <c r="AA641" s="5"/>
      <c r="AB641" s="5"/>
      <c r="AC641" s="5"/>
    </row>
    <row r="642" spans="1:29" ht="12.75" customHeight="1">
      <c r="A642" s="5"/>
      <c r="B642" s="5"/>
      <c r="C642" s="5"/>
      <c r="D642" s="5"/>
      <c r="E642" s="5"/>
      <c r="F642" s="5"/>
      <c r="G642" s="5"/>
      <c r="H642" s="306"/>
      <c r="I642" s="306"/>
      <c r="J642" s="5"/>
      <c r="K642" s="5"/>
      <c r="L642" s="306"/>
      <c r="M642" s="5"/>
      <c r="N642" s="5"/>
      <c r="O642" s="5"/>
      <c r="P642" s="5"/>
      <c r="Q642" s="5"/>
      <c r="R642" s="57"/>
      <c r="S642" s="5"/>
      <c r="T642" s="5"/>
      <c r="U642" s="5"/>
      <c r="V642" s="5"/>
      <c r="W642" s="5"/>
      <c r="X642" s="5"/>
      <c r="Y642" s="5"/>
      <c r="Z642" s="5"/>
      <c r="AA642" s="5"/>
      <c r="AB642" s="5"/>
      <c r="AC642" s="5"/>
    </row>
    <row r="643" spans="1:29" ht="12.75" customHeight="1">
      <c r="A643" s="5"/>
      <c r="B643" s="5"/>
      <c r="C643" s="5"/>
      <c r="D643" s="5"/>
      <c r="E643" s="5"/>
      <c r="F643" s="5"/>
      <c r="G643" s="5"/>
      <c r="H643" s="306"/>
      <c r="I643" s="306"/>
      <c r="J643" s="5"/>
      <c r="K643" s="5"/>
      <c r="L643" s="306"/>
      <c r="M643" s="5"/>
      <c r="N643" s="5"/>
      <c r="O643" s="5"/>
      <c r="P643" s="5"/>
      <c r="Q643" s="5"/>
      <c r="R643" s="57"/>
      <c r="S643" s="5"/>
      <c r="T643" s="5"/>
      <c r="U643" s="5"/>
      <c r="V643" s="5"/>
      <c r="W643" s="5"/>
      <c r="X643" s="5"/>
      <c r="Y643" s="5"/>
      <c r="Z643" s="5"/>
      <c r="AA643" s="5"/>
      <c r="AB643" s="5"/>
      <c r="AC643" s="5"/>
    </row>
    <row r="644" spans="1:29" ht="12.75" customHeight="1">
      <c r="A644" s="5"/>
      <c r="B644" s="5"/>
      <c r="C644" s="5"/>
      <c r="D644" s="5"/>
      <c r="E644" s="5"/>
      <c r="F644" s="5"/>
      <c r="G644" s="5"/>
      <c r="H644" s="306"/>
      <c r="I644" s="306"/>
      <c r="J644" s="5"/>
      <c r="K644" s="5"/>
      <c r="L644" s="306"/>
      <c r="M644" s="5"/>
      <c r="N644" s="5"/>
      <c r="O644" s="5"/>
      <c r="P644" s="5"/>
      <c r="Q644" s="5"/>
      <c r="R644" s="57"/>
      <c r="S644" s="5"/>
      <c r="T644" s="5"/>
      <c r="U644" s="5"/>
      <c r="V644" s="5"/>
      <c r="W644" s="5"/>
      <c r="X644" s="5"/>
      <c r="Y644" s="5"/>
      <c r="Z644" s="5"/>
      <c r="AA644" s="5"/>
      <c r="AB644" s="5"/>
      <c r="AC644" s="5"/>
    </row>
    <row r="645" spans="1:29" ht="12.75" customHeight="1">
      <c r="A645" s="5"/>
      <c r="B645" s="5"/>
      <c r="C645" s="5"/>
      <c r="D645" s="5"/>
      <c r="E645" s="5"/>
      <c r="F645" s="5"/>
      <c r="G645" s="5"/>
      <c r="H645" s="306"/>
      <c r="I645" s="306"/>
      <c r="J645" s="5"/>
      <c r="K645" s="5"/>
      <c r="L645" s="306"/>
      <c r="M645" s="5"/>
      <c r="N645" s="5"/>
      <c r="O645" s="5"/>
      <c r="P645" s="5"/>
      <c r="Q645" s="5"/>
      <c r="R645" s="57"/>
      <c r="S645" s="5"/>
      <c r="T645" s="5"/>
      <c r="U645" s="5"/>
      <c r="V645" s="5"/>
      <c r="W645" s="5"/>
      <c r="X645" s="5"/>
      <c r="Y645" s="5"/>
      <c r="Z645" s="5"/>
      <c r="AA645" s="5"/>
      <c r="AB645" s="5"/>
      <c r="AC645" s="5"/>
    </row>
    <row r="646" spans="1:29" ht="12.75" customHeight="1">
      <c r="A646" s="5"/>
      <c r="B646" s="5"/>
      <c r="C646" s="5"/>
      <c r="D646" s="5"/>
      <c r="E646" s="5"/>
      <c r="F646" s="5"/>
      <c r="G646" s="5"/>
      <c r="H646" s="306"/>
      <c r="I646" s="306"/>
      <c r="J646" s="5"/>
      <c r="K646" s="5"/>
      <c r="L646" s="306"/>
      <c r="M646" s="5"/>
      <c r="N646" s="5"/>
      <c r="O646" s="5"/>
      <c r="P646" s="5"/>
      <c r="Q646" s="5"/>
      <c r="R646" s="57"/>
      <c r="S646" s="5"/>
      <c r="T646" s="5"/>
      <c r="U646" s="5"/>
      <c r="V646" s="5"/>
      <c r="W646" s="5"/>
      <c r="X646" s="5"/>
      <c r="Y646" s="5"/>
      <c r="Z646" s="5"/>
      <c r="AA646" s="5"/>
      <c r="AB646" s="5"/>
      <c r="AC646" s="5"/>
    </row>
    <row r="647" spans="1:29" ht="12.75" customHeight="1">
      <c r="A647" s="5"/>
      <c r="B647" s="5"/>
      <c r="C647" s="5"/>
      <c r="D647" s="5"/>
      <c r="E647" s="5"/>
      <c r="F647" s="5"/>
      <c r="G647" s="5"/>
      <c r="H647" s="306"/>
      <c r="I647" s="306"/>
      <c r="J647" s="5"/>
      <c r="K647" s="5"/>
      <c r="L647" s="306"/>
      <c r="M647" s="5"/>
      <c r="N647" s="5"/>
      <c r="O647" s="5"/>
      <c r="P647" s="5"/>
      <c r="Q647" s="5"/>
      <c r="R647" s="57"/>
      <c r="S647" s="5"/>
      <c r="T647" s="5"/>
      <c r="U647" s="5"/>
      <c r="V647" s="5"/>
      <c r="W647" s="5"/>
      <c r="X647" s="5"/>
      <c r="Y647" s="5"/>
      <c r="Z647" s="5"/>
      <c r="AA647" s="5"/>
      <c r="AB647" s="5"/>
      <c r="AC647" s="5"/>
    </row>
    <row r="648" spans="1:29" ht="12.75" customHeight="1">
      <c r="A648" s="5"/>
      <c r="B648" s="5"/>
      <c r="C648" s="5"/>
      <c r="D648" s="5"/>
      <c r="E648" s="5"/>
      <c r="F648" s="5"/>
      <c r="G648" s="5"/>
      <c r="H648" s="306"/>
      <c r="I648" s="306"/>
      <c r="J648" s="5"/>
      <c r="K648" s="5"/>
      <c r="L648" s="306"/>
      <c r="M648" s="5"/>
      <c r="N648" s="5"/>
      <c r="O648" s="5"/>
      <c r="P648" s="5"/>
      <c r="Q648" s="5"/>
      <c r="R648" s="57"/>
      <c r="S648" s="5"/>
      <c r="T648" s="5"/>
      <c r="U648" s="5"/>
      <c r="V648" s="5"/>
      <c r="W648" s="5"/>
      <c r="X648" s="5"/>
      <c r="Y648" s="5"/>
      <c r="Z648" s="5"/>
      <c r="AA648" s="5"/>
      <c r="AB648" s="5"/>
      <c r="AC648" s="5"/>
    </row>
    <row r="649" spans="1:29" ht="12.75" customHeight="1">
      <c r="A649" s="5"/>
      <c r="B649" s="5"/>
      <c r="C649" s="5"/>
      <c r="D649" s="5"/>
      <c r="E649" s="5"/>
      <c r="F649" s="5"/>
      <c r="G649" s="5"/>
      <c r="H649" s="306"/>
      <c r="I649" s="306"/>
      <c r="J649" s="5"/>
      <c r="K649" s="5"/>
      <c r="L649" s="306"/>
      <c r="M649" s="5"/>
      <c r="N649" s="5"/>
      <c r="O649" s="5"/>
      <c r="P649" s="5"/>
      <c r="Q649" s="5"/>
      <c r="R649" s="57"/>
      <c r="S649" s="5"/>
      <c r="T649" s="5"/>
      <c r="U649" s="5"/>
      <c r="V649" s="5"/>
      <c r="W649" s="5"/>
      <c r="X649" s="5"/>
      <c r="Y649" s="5"/>
      <c r="Z649" s="5"/>
      <c r="AA649" s="5"/>
      <c r="AB649" s="5"/>
      <c r="AC649" s="5"/>
    </row>
    <row r="650" spans="1:29" ht="12.75" customHeight="1">
      <c r="A650" s="5"/>
      <c r="B650" s="5"/>
      <c r="C650" s="5"/>
      <c r="D650" s="5"/>
      <c r="E650" s="5"/>
      <c r="F650" s="5"/>
      <c r="G650" s="5"/>
      <c r="H650" s="306"/>
      <c r="I650" s="306"/>
      <c r="J650" s="5"/>
      <c r="K650" s="5"/>
      <c r="L650" s="306"/>
      <c r="M650" s="5"/>
      <c r="N650" s="5"/>
      <c r="O650" s="5"/>
      <c r="P650" s="5"/>
      <c r="Q650" s="5"/>
      <c r="R650" s="57"/>
      <c r="S650" s="5"/>
      <c r="T650" s="5"/>
      <c r="U650" s="5"/>
      <c r="V650" s="5"/>
      <c r="W650" s="5"/>
      <c r="X650" s="5"/>
      <c r="Y650" s="5"/>
      <c r="Z650" s="5"/>
      <c r="AA650" s="5"/>
      <c r="AB650" s="5"/>
      <c r="AC650" s="5"/>
    </row>
    <row r="651" spans="1:29" ht="12.75" customHeight="1">
      <c r="A651" s="5"/>
      <c r="B651" s="5"/>
      <c r="C651" s="5"/>
      <c r="D651" s="5"/>
      <c r="E651" s="5"/>
      <c r="F651" s="5"/>
      <c r="G651" s="5"/>
      <c r="H651" s="306"/>
      <c r="I651" s="306"/>
      <c r="J651" s="5"/>
      <c r="K651" s="5"/>
      <c r="L651" s="306"/>
      <c r="M651" s="5"/>
      <c r="N651" s="5"/>
      <c r="O651" s="5"/>
      <c r="P651" s="5"/>
      <c r="Q651" s="5"/>
      <c r="R651" s="57"/>
      <c r="S651" s="5"/>
      <c r="T651" s="5"/>
      <c r="U651" s="5"/>
      <c r="V651" s="5"/>
      <c r="W651" s="5"/>
      <c r="X651" s="5"/>
      <c r="Y651" s="5"/>
      <c r="Z651" s="5"/>
      <c r="AA651" s="5"/>
      <c r="AB651" s="5"/>
      <c r="AC651" s="5"/>
    </row>
    <row r="652" spans="1:29" ht="12.75" customHeight="1">
      <c r="A652" s="5"/>
      <c r="B652" s="5"/>
      <c r="C652" s="5"/>
      <c r="D652" s="5"/>
      <c r="E652" s="5"/>
      <c r="F652" s="5"/>
      <c r="G652" s="5"/>
      <c r="H652" s="306"/>
      <c r="I652" s="306"/>
      <c r="J652" s="5"/>
      <c r="K652" s="5"/>
      <c r="L652" s="306"/>
      <c r="M652" s="5"/>
      <c r="N652" s="5"/>
      <c r="O652" s="5"/>
      <c r="P652" s="5"/>
      <c r="Q652" s="5"/>
      <c r="R652" s="57"/>
      <c r="S652" s="5"/>
      <c r="T652" s="5"/>
      <c r="U652" s="5"/>
      <c r="V652" s="5"/>
      <c r="W652" s="5"/>
      <c r="X652" s="5"/>
      <c r="Y652" s="5"/>
      <c r="Z652" s="5"/>
      <c r="AA652" s="5"/>
      <c r="AB652" s="5"/>
      <c r="AC652" s="5"/>
    </row>
    <row r="653" spans="1:29" ht="12.75" customHeight="1">
      <c r="A653" s="5"/>
      <c r="B653" s="5"/>
      <c r="C653" s="5"/>
      <c r="D653" s="5"/>
      <c r="E653" s="5"/>
      <c r="F653" s="5"/>
      <c r="G653" s="5"/>
      <c r="H653" s="306"/>
      <c r="I653" s="306"/>
      <c r="J653" s="5"/>
      <c r="K653" s="5"/>
      <c r="L653" s="306"/>
      <c r="M653" s="5"/>
      <c r="N653" s="5"/>
      <c r="O653" s="5"/>
      <c r="P653" s="5"/>
      <c r="Q653" s="5"/>
      <c r="R653" s="57"/>
      <c r="S653" s="5"/>
      <c r="T653" s="5"/>
      <c r="U653" s="5"/>
      <c r="V653" s="5"/>
      <c r="W653" s="5"/>
      <c r="X653" s="5"/>
      <c r="Y653" s="5"/>
      <c r="Z653" s="5"/>
      <c r="AA653" s="5"/>
      <c r="AB653" s="5"/>
      <c r="AC653" s="5"/>
    </row>
    <row r="654" spans="1:29" ht="12.75" customHeight="1">
      <c r="A654" s="5"/>
      <c r="B654" s="5"/>
      <c r="C654" s="5"/>
      <c r="D654" s="5"/>
      <c r="E654" s="5"/>
      <c r="F654" s="5"/>
      <c r="G654" s="5"/>
      <c r="H654" s="306"/>
      <c r="I654" s="306"/>
      <c r="J654" s="5"/>
      <c r="K654" s="5"/>
      <c r="L654" s="306"/>
      <c r="M654" s="5"/>
      <c r="N654" s="5"/>
      <c r="O654" s="5"/>
      <c r="P654" s="5"/>
      <c r="Q654" s="5"/>
      <c r="R654" s="57"/>
      <c r="S654" s="5"/>
      <c r="T654" s="5"/>
      <c r="U654" s="5"/>
      <c r="V654" s="5"/>
      <c r="W654" s="5"/>
      <c r="X654" s="5"/>
      <c r="Y654" s="5"/>
      <c r="Z654" s="5"/>
      <c r="AA654" s="5"/>
      <c r="AB654" s="5"/>
      <c r="AC654" s="5"/>
    </row>
    <row r="655" spans="1:29" ht="12.75" customHeight="1">
      <c r="A655" s="5"/>
      <c r="B655" s="5"/>
      <c r="C655" s="5"/>
      <c r="D655" s="5"/>
      <c r="E655" s="5"/>
      <c r="F655" s="5"/>
      <c r="G655" s="5"/>
      <c r="H655" s="306"/>
      <c r="I655" s="306"/>
      <c r="J655" s="5"/>
      <c r="K655" s="5"/>
      <c r="L655" s="306"/>
      <c r="M655" s="5"/>
      <c r="N655" s="5"/>
      <c r="O655" s="5"/>
      <c r="P655" s="5"/>
      <c r="Q655" s="5"/>
      <c r="R655" s="57"/>
      <c r="S655" s="5"/>
      <c r="T655" s="5"/>
      <c r="U655" s="5"/>
      <c r="V655" s="5"/>
      <c r="W655" s="5"/>
      <c r="X655" s="5"/>
      <c r="Y655" s="5"/>
      <c r="Z655" s="5"/>
      <c r="AA655" s="5"/>
      <c r="AB655" s="5"/>
      <c r="AC655" s="5"/>
    </row>
    <row r="656" spans="1:29" ht="12.75" customHeight="1">
      <c r="A656" s="5"/>
      <c r="B656" s="5"/>
      <c r="C656" s="5"/>
      <c r="D656" s="5"/>
      <c r="E656" s="5"/>
      <c r="F656" s="5"/>
      <c r="G656" s="5"/>
      <c r="H656" s="306"/>
      <c r="I656" s="306"/>
      <c r="J656" s="5"/>
      <c r="K656" s="5"/>
      <c r="L656" s="306"/>
      <c r="M656" s="5"/>
      <c r="N656" s="5"/>
      <c r="O656" s="5"/>
      <c r="P656" s="5"/>
      <c r="Q656" s="5"/>
      <c r="R656" s="57"/>
      <c r="S656" s="5"/>
      <c r="T656" s="5"/>
      <c r="U656" s="5"/>
      <c r="V656" s="5"/>
      <c r="W656" s="5"/>
      <c r="X656" s="5"/>
      <c r="Y656" s="5"/>
      <c r="Z656" s="5"/>
      <c r="AA656" s="5"/>
      <c r="AB656" s="5"/>
      <c r="AC656" s="5"/>
    </row>
    <row r="657" spans="1:29" ht="12.75" customHeight="1">
      <c r="A657" s="5"/>
      <c r="B657" s="5"/>
      <c r="C657" s="5"/>
      <c r="D657" s="5"/>
      <c r="E657" s="5"/>
      <c r="F657" s="5"/>
      <c r="G657" s="5"/>
      <c r="H657" s="306"/>
      <c r="I657" s="306"/>
      <c r="J657" s="5"/>
      <c r="K657" s="5"/>
      <c r="L657" s="306"/>
      <c r="M657" s="5"/>
      <c r="N657" s="5"/>
      <c r="O657" s="5"/>
      <c r="P657" s="5"/>
      <c r="Q657" s="5"/>
      <c r="R657" s="57"/>
      <c r="S657" s="5"/>
      <c r="T657" s="5"/>
      <c r="U657" s="5"/>
      <c r="V657" s="5"/>
      <c r="W657" s="5"/>
      <c r="X657" s="5"/>
      <c r="Y657" s="5"/>
      <c r="Z657" s="5"/>
      <c r="AA657" s="5"/>
      <c r="AB657" s="5"/>
      <c r="AC657" s="5"/>
    </row>
    <row r="658" spans="1:29" ht="12.75" customHeight="1">
      <c r="A658" s="5"/>
      <c r="B658" s="5"/>
      <c r="C658" s="5"/>
      <c r="D658" s="5"/>
      <c r="E658" s="5"/>
      <c r="F658" s="5"/>
      <c r="G658" s="5"/>
      <c r="H658" s="306"/>
      <c r="I658" s="306"/>
      <c r="J658" s="5"/>
      <c r="K658" s="5"/>
      <c r="L658" s="306"/>
      <c r="M658" s="5"/>
      <c r="N658" s="5"/>
      <c r="O658" s="5"/>
      <c r="P658" s="5"/>
      <c r="Q658" s="5"/>
      <c r="R658" s="57"/>
      <c r="S658" s="5"/>
      <c r="T658" s="5"/>
      <c r="U658" s="5"/>
      <c r="V658" s="5"/>
      <c r="W658" s="5"/>
      <c r="X658" s="5"/>
      <c r="Y658" s="5"/>
      <c r="Z658" s="5"/>
      <c r="AA658" s="5"/>
      <c r="AB658" s="5"/>
      <c r="AC658" s="5"/>
    </row>
    <row r="659" spans="1:29" ht="12.75" customHeight="1">
      <c r="A659" s="5"/>
      <c r="B659" s="5"/>
      <c r="C659" s="5"/>
      <c r="D659" s="5"/>
      <c r="E659" s="5"/>
      <c r="F659" s="5"/>
      <c r="G659" s="5"/>
      <c r="H659" s="306"/>
      <c r="I659" s="306"/>
      <c r="J659" s="5"/>
      <c r="K659" s="5"/>
      <c r="L659" s="306"/>
      <c r="M659" s="5"/>
      <c r="N659" s="5"/>
      <c r="O659" s="5"/>
      <c r="P659" s="5"/>
      <c r="Q659" s="5"/>
      <c r="R659" s="57"/>
      <c r="S659" s="5"/>
      <c r="T659" s="5"/>
      <c r="U659" s="5"/>
      <c r="V659" s="5"/>
      <c r="W659" s="5"/>
      <c r="X659" s="5"/>
      <c r="Y659" s="5"/>
      <c r="Z659" s="5"/>
      <c r="AA659" s="5"/>
      <c r="AB659" s="5"/>
      <c r="AC659" s="5"/>
    </row>
    <row r="660" spans="1:29" ht="12.75" customHeight="1">
      <c r="A660" s="5"/>
      <c r="B660" s="5"/>
      <c r="C660" s="5"/>
      <c r="D660" s="5"/>
      <c r="E660" s="5"/>
      <c r="F660" s="5"/>
      <c r="G660" s="5"/>
      <c r="H660" s="306"/>
      <c r="I660" s="306"/>
      <c r="J660" s="5"/>
      <c r="K660" s="5"/>
      <c r="L660" s="306"/>
      <c r="M660" s="5"/>
      <c r="N660" s="5"/>
      <c r="O660" s="5"/>
      <c r="P660" s="5"/>
      <c r="Q660" s="5"/>
      <c r="R660" s="57"/>
      <c r="S660" s="5"/>
      <c r="T660" s="5"/>
      <c r="U660" s="5"/>
      <c r="V660" s="5"/>
      <c r="W660" s="5"/>
      <c r="X660" s="5"/>
      <c r="Y660" s="5"/>
      <c r="Z660" s="5"/>
      <c r="AA660" s="5"/>
      <c r="AB660" s="5"/>
      <c r="AC660" s="5"/>
    </row>
    <row r="661" spans="1:29" ht="12.75" customHeight="1">
      <c r="A661" s="5"/>
      <c r="B661" s="5"/>
      <c r="C661" s="5"/>
      <c r="D661" s="5"/>
      <c r="E661" s="5"/>
      <c r="F661" s="5"/>
      <c r="G661" s="5"/>
      <c r="H661" s="306"/>
      <c r="I661" s="306"/>
      <c r="J661" s="5"/>
      <c r="K661" s="5"/>
      <c r="L661" s="306"/>
      <c r="M661" s="5"/>
      <c r="N661" s="5"/>
      <c r="O661" s="5"/>
      <c r="P661" s="5"/>
      <c r="Q661" s="5"/>
      <c r="R661" s="57"/>
      <c r="S661" s="5"/>
      <c r="T661" s="5"/>
      <c r="U661" s="5"/>
      <c r="V661" s="5"/>
      <c r="W661" s="5"/>
      <c r="X661" s="5"/>
      <c r="Y661" s="5"/>
      <c r="Z661" s="5"/>
      <c r="AA661" s="5"/>
      <c r="AB661" s="5"/>
      <c r="AC661" s="5"/>
    </row>
    <row r="662" spans="1:29" ht="12.75" customHeight="1">
      <c r="A662" s="5"/>
      <c r="B662" s="5"/>
      <c r="C662" s="5"/>
      <c r="D662" s="5"/>
      <c r="E662" s="5"/>
      <c r="F662" s="5"/>
      <c r="G662" s="5"/>
      <c r="H662" s="306"/>
      <c r="I662" s="306"/>
      <c r="J662" s="5"/>
      <c r="K662" s="5"/>
      <c r="L662" s="306"/>
      <c r="M662" s="5"/>
      <c r="N662" s="5"/>
      <c r="O662" s="5"/>
      <c r="P662" s="5"/>
      <c r="Q662" s="5"/>
      <c r="R662" s="57"/>
      <c r="S662" s="5"/>
      <c r="T662" s="5"/>
      <c r="U662" s="5"/>
      <c r="V662" s="5"/>
      <c r="W662" s="5"/>
      <c r="X662" s="5"/>
      <c r="Y662" s="5"/>
      <c r="Z662" s="5"/>
      <c r="AA662" s="5"/>
      <c r="AB662" s="5"/>
      <c r="AC662" s="5"/>
    </row>
    <row r="663" spans="1:29" ht="12.75" customHeight="1">
      <c r="A663" s="5"/>
      <c r="B663" s="5"/>
      <c r="C663" s="5"/>
      <c r="D663" s="5"/>
      <c r="E663" s="5"/>
      <c r="F663" s="5"/>
      <c r="G663" s="5"/>
      <c r="H663" s="306"/>
      <c r="I663" s="306"/>
      <c r="J663" s="5"/>
      <c r="K663" s="5"/>
      <c r="L663" s="306"/>
      <c r="M663" s="5"/>
      <c r="N663" s="5"/>
      <c r="O663" s="5"/>
      <c r="P663" s="5"/>
      <c r="Q663" s="5"/>
      <c r="R663" s="57"/>
      <c r="S663" s="5"/>
      <c r="T663" s="5"/>
      <c r="U663" s="5"/>
      <c r="V663" s="5"/>
      <c r="W663" s="5"/>
      <c r="X663" s="5"/>
      <c r="Y663" s="5"/>
      <c r="Z663" s="5"/>
      <c r="AA663" s="5"/>
      <c r="AB663" s="5"/>
      <c r="AC663" s="5"/>
    </row>
    <row r="664" spans="1:29" ht="12.75" customHeight="1">
      <c r="A664" s="5"/>
      <c r="B664" s="5"/>
      <c r="C664" s="5"/>
      <c r="D664" s="5"/>
      <c r="E664" s="5"/>
      <c r="F664" s="5"/>
      <c r="G664" s="5"/>
      <c r="H664" s="306"/>
      <c r="I664" s="306"/>
      <c r="J664" s="5"/>
      <c r="K664" s="5"/>
      <c r="L664" s="306"/>
      <c r="M664" s="5"/>
      <c r="N664" s="5"/>
      <c r="O664" s="5"/>
      <c r="P664" s="5"/>
      <c r="Q664" s="5"/>
      <c r="R664" s="57"/>
      <c r="S664" s="5"/>
      <c r="T664" s="5"/>
      <c r="U664" s="5"/>
      <c r="V664" s="5"/>
      <c r="W664" s="5"/>
      <c r="X664" s="5"/>
      <c r="Y664" s="5"/>
      <c r="Z664" s="5"/>
      <c r="AA664" s="5"/>
      <c r="AB664" s="5"/>
      <c r="AC664" s="5"/>
    </row>
    <row r="665" spans="1:29" ht="12.75" customHeight="1">
      <c r="A665" s="5"/>
      <c r="B665" s="5"/>
      <c r="C665" s="5"/>
      <c r="D665" s="5"/>
      <c r="E665" s="5"/>
      <c r="F665" s="5"/>
      <c r="G665" s="5"/>
      <c r="H665" s="306"/>
      <c r="I665" s="306"/>
      <c r="J665" s="5"/>
      <c r="K665" s="5"/>
      <c r="L665" s="306"/>
      <c r="M665" s="5"/>
      <c r="N665" s="5"/>
      <c r="O665" s="5"/>
      <c r="P665" s="5"/>
      <c r="Q665" s="5"/>
      <c r="R665" s="57"/>
      <c r="S665" s="5"/>
      <c r="T665" s="5"/>
      <c r="U665" s="5"/>
      <c r="V665" s="5"/>
      <c r="W665" s="5"/>
      <c r="X665" s="5"/>
      <c r="Y665" s="5"/>
      <c r="Z665" s="5"/>
      <c r="AA665" s="5"/>
      <c r="AB665" s="5"/>
      <c r="AC665" s="5"/>
    </row>
    <row r="666" spans="1:29" ht="12.75" customHeight="1">
      <c r="A666" s="5"/>
      <c r="B666" s="5"/>
      <c r="C666" s="5"/>
      <c r="D666" s="5"/>
      <c r="E666" s="5"/>
      <c r="F666" s="5"/>
      <c r="G666" s="5"/>
      <c r="H666" s="306"/>
      <c r="I666" s="306"/>
      <c r="J666" s="5"/>
      <c r="K666" s="5"/>
      <c r="L666" s="306"/>
      <c r="M666" s="5"/>
      <c r="N666" s="5"/>
      <c r="O666" s="5"/>
      <c r="P666" s="5"/>
      <c r="Q666" s="5"/>
      <c r="R666" s="57"/>
      <c r="S666" s="5"/>
      <c r="T666" s="5"/>
      <c r="U666" s="5"/>
      <c r="V666" s="5"/>
      <c r="W666" s="5"/>
      <c r="X666" s="5"/>
      <c r="Y666" s="5"/>
      <c r="Z666" s="5"/>
      <c r="AA666" s="5"/>
      <c r="AB666" s="5"/>
      <c r="AC666" s="5"/>
    </row>
    <row r="667" spans="1:29" ht="12.75" customHeight="1">
      <c r="A667" s="5"/>
      <c r="B667" s="5"/>
      <c r="C667" s="5"/>
      <c r="D667" s="5"/>
      <c r="E667" s="5"/>
      <c r="F667" s="5"/>
      <c r="G667" s="5"/>
      <c r="H667" s="306"/>
      <c r="I667" s="306"/>
      <c r="J667" s="5"/>
      <c r="K667" s="5"/>
      <c r="L667" s="306"/>
      <c r="M667" s="5"/>
      <c r="N667" s="5"/>
      <c r="O667" s="5"/>
      <c r="P667" s="5"/>
      <c r="Q667" s="5"/>
      <c r="R667" s="57"/>
      <c r="S667" s="5"/>
      <c r="T667" s="5"/>
      <c r="U667" s="5"/>
      <c r="V667" s="5"/>
      <c r="W667" s="5"/>
      <c r="X667" s="5"/>
      <c r="Y667" s="5"/>
      <c r="Z667" s="5"/>
      <c r="AA667" s="5"/>
      <c r="AB667" s="5"/>
      <c r="AC667" s="5"/>
    </row>
    <row r="668" spans="1:29" ht="12.75" customHeight="1">
      <c r="A668" s="5"/>
      <c r="B668" s="5"/>
      <c r="C668" s="5"/>
      <c r="D668" s="5"/>
      <c r="E668" s="5"/>
      <c r="F668" s="5"/>
      <c r="G668" s="5"/>
      <c r="H668" s="306"/>
      <c r="I668" s="306"/>
      <c r="J668" s="5"/>
      <c r="K668" s="5"/>
      <c r="L668" s="306"/>
      <c r="M668" s="5"/>
      <c r="N668" s="5"/>
      <c r="O668" s="5"/>
      <c r="P668" s="5"/>
      <c r="Q668" s="5"/>
      <c r="R668" s="57"/>
      <c r="S668" s="5"/>
      <c r="T668" s="5"/>
      <c r="U668" s="5"/>
      <c r="V668" s="5"/>
      <c r="W668" s="5"/>
      <c r="X668" s="5"/>
      <c r="Y668" s="5"/>
      <c r="Z668" s="5"/>
      <c r="AA668" s="5"/>
      <c r="AB668" s="5"/>
      <c r="AC668" s="5"/>
    </row>
    <row r="669" spans="1:29" ht="12.75" customHeight="1">
      <c r="A669" s="5"/>
      <c r="B669" s="5"/>
      <c r="C669" s="5"/>
      <c r="D669" s="5"/>
      <c r="E669" s="5"/>
      <c r="F669" s="5"/>
      <c r="G669" s="5"/>
      <c r="H669" s="306"/>
      <c r="I669" s="306"/>
      <c r="J669" s="5"/>
      <c r="K669" s="5"/>
      <c r="L669" s="306"/>
      <c r="M669" s="5"/>
      <c r="N669" s="5"/>
      <c r="O669" s="5"/>
      <c r="P669" s="5"/>
      <c r="Q669" s="5"/>
      <c r="R669" s="57"/>
      <c r="S669" s="5"/>
      <c r="T669" s="5"/>
      <c r="U669" s="5"/>
      <c r="V669" s="5"/>
      <c r="W669" s="5"/>
      <c r="X669" s="5"/>
      <c r="Y669" s="5"/>
      <c r="Z669" s="5"/>
      <c r="AA669" s="5"/>
      <c r="AB669" s="5"/>
      <c r="AC669" s="5"/>
    </row>
    <row r="670" spans="1:29" ht="12.75" customHeight="1">
      <c r="A670" s="5"/>
      <c r="B670" s="5"/>
      <c r="C670" s="5"/>
      <c r="D670" s="5"/>
      <c r="E670" s="5"/>
      <c r="F670" s="5"/>
      <c r="G670" s="5"/>
      <c r="H670" s="306"/>
      <c r="I670" s="306"/>
      <c r="J670" s="5"/>
      <c r="K670" s="5"/>
      <c r="L670" s="306"/>
      <c r="M670" s="5"/>
      <c r="N670" s="5"/>
      <c r="O670" s="5"/>
      <c r="P670" s="5"/>
      <c r="Q670" s="5"/>
      <c r="R670" s="57"/>
      <c r="S670" s="5"/>
      <c r="T670" s="5"/>
      <c r="U670" s="5"/>
      <c r="V670" s="5"/>
      <c r="W670" s="5"/>
      <c r="X670" s="5"/>
      <c r="Y670" s="5"/>
      <c r="Z670" s="5"/>
      <c r="AA670" s="5"/>
      <c r="AB670" s="5"/>
      <c r="AC670" s="5"/>
    </row>
    <row r="671" spans="1:29" ht="12.75" customHeight="1">
      <c r="A671" s="5"/>
      <c r="B671" s="5"/>
      <c r="C671" s="5"/>
      <c r="D671" s="5"/>
      <c r="E671" s="5"/>
      <c r="F671" s="5"/>
      <c r="G671" s="5"/>
      <c r="H671" s="306"/>
      <c r="I671" s="306"/>
      <c r="J671" s="5"/>
      <c r="K671" s="5"/>
      <c r="L671" s="306"/>
      <c r="M671" s="5"/>
      <c r="N671" s="5"/>
      <c r="O671" s="5"/>
      <c r="P671" s="5"/>
      <c r="Q671" s="5"/>
      <c r="R671" s="57"/>
      <c r="S671" s="5"/>
      <c r="T671" s="5"/>
      <c r="U671" s="5"/>
      <c r="V671" s="5"/>
      <c r="W671" s="5"/>
      <c r="X671" s="5"/>
      <c r="Y671" s="5"/>
      <c r="Z671" s="5"/>
      <c r="AA671" s="5"/>
      <c r="AB671" s="5"/>
      <c r="AC671" s="5"/>
    </row>
    <row r="672" spans="1:29" ht="12.75" customHeight="1">
      <c r="A672" s="5"/>
      <c r="B672" s="5"/>
      <c r="C672" s="5"/>
      <c r="D672" s="5"/>
      <c r="E672" s="5"/>
      <c r="F672" s="5"/>
      <c r="G672" s="5"/>
      <c r="H672" s="306"/>
      <c r="I672" s="306"/>
      <c r="J672" s="5"/>
      <c r="K672" s="5"/>
      <c r="L672" s="306"/>
      <c r="M672" s="5"/>
      <c r="N672" s="5"/>
      <c r="O672" s="5"/>
      <c r="P672" s="5"/>
      <c r="Q672" s="5"/>
      <c r="R672" s="57"/>
      <c r="S672" s="5"/>
      <c r="T672" s="5"/>
      <c r="U672" s="5"/>
      <c r="V672" s="5"/>
      <c r="W672" s="5"/>
      <c r="X672" s="5"/>
      <c r="Y672" s="5"/>
      <c r="Z672" s="5"/>
      <c r="AA672" s="5"/>
      <c r="AB672" s="5"/>
      <c r="AC672" s="5"/>
    </row>
    <row r="673" spans="1:29" ht="12.75" customHeight="1">
      <c r="A673" s="5"/>
      <c r="B673" s="5"/>
      <c r="C673" s="5"/>
      <c r="D673" s="5"/>
      <c r="E673" s="5"/>
      <c r="F673" s="5"/>
      <c r="G673" s="5"/>
      <c r="H673" s="306"/>
      <c r="I673" s="306"/>
      <c r="J673" s="5"/>
      <c r="K673" s="5"/>
      <c r="L673" s="306"/>
      <c r="M673" s="5"/>
      <c r="N673" s="5"/>
      <c r="O673" s="5"/>
      <c r="P673" s="5"/>
      <c r="Q673" s="5"/>
      <c r="R673" s="57"/>
      <c r="S673" s="5"/>
      <c r="T673" s="5"/>
      <c r="U673" s="5"/>
      <c r="V673" s="5"/>
      <c r="W673" s="5"/>
      <c r="X673" s="5"/>
      <c r="Y673" s="5"/>
      <c r="Z673" s="5"/>
      <c r="AA673" s="5"/>
      <c r="AB673" s="5"/>
      <c r="AC673" s="5"/>
    </row>
    <row r="674" spans="1:29" ht="12.75" customHeight="1">
      <c r="A674" s="5"/>
      <c r="B674" s="5"/>
      <c r="C674" s="5"/>
      <c r="D674" s="5"/>
      <c r="E674" s="5"/>
      <c r="F674" s="5"/>
      <c r="G674" s="5"/>
      <c r="H674" s="306"/>
      <c r="I674" s="306"/>
      <c r="J674" s="5"/>
      <c r="K674" s="5"/>
      <c r="L674" s="306"/>
      <c r="M674" s="5"/>
      <c r="N674" s="5"/>
      <c r="O674" s="5"/>
      <c r="P674" s="5"/>
      <c r="Q674" s="5"/>
      <c r="R674" s="57"/>
      <c r="S674" s="5"/>
      <c r="T674" s="5"/>
      <c r="U674" s="5"/>
      <c r="V674" s="5"/>
      <c r="W674" s="5"/>
      <c r="X674" s="5"/>
      <c r="Y674" s="5"/>
      <c r="Z674" s="5"/>
      <c r="AA674" s="5"/>
      <c r="AB674" s="5"/>
      <c r="AC674" s="5"/>
    </row>
    <row r="675" spans="1:29" ht="12.75" customHeight="1">
      <c r="A675" s="5"/>
      <c r="B675" s="5"/>
      <c r="C675" s="5"/>
      <c r="D675" s="5"/>
      <c r="E675" s="5"/>
      <c r="F675" s="5"/>
      <c r="G675" s="5"/>
      <c r="H675" s="306"/>
      <c r="I675" s="306"/>
      <c r="J675" s="5"/>
      <c r="K675" s="5"/>
      <c r="L675" s="306"/>
      <c r="M675" s="5"/>
      <c r="N675" s="5"/>
      <c r="O675" s="5"/>
      <c r="P675" s="5"/>
      <c r="Q675" s="5"/>
      <c r="R675" s="57"/>
      <c r="S675" s="5"/>
      <c r="T675" s="5"/>
      <c r="U675" s="5"/>
      <c r="V675" s="5"/>
      <c r="W675" s="5"/>
      <c r="X675" s="5"/>
      <c r="Y675" s="5"/>
      <c r="Z675" s="5"/>
      <c r="AA675" s="5"/>
      <c r="AB675" s="5"/>
      <c r="AC675" s="5"/>
    </row>
    <row r="676" spans="1:29" ht="12.75" customHeight="1">
      <c r="A676" s="5"/>
      <c r="B676" s="5"/>
      <c r="C676" s="5"/>
      <c r="D676" s="5"/>
      <c r="E676" s="5"/>
      <c r="F676" s="5"/>
      <c r="G676" s="5"/>
      <c r="H676" s="306"/>
      <c r="I676" s="306"/>
      <c r="J676" s="5"/>
      <c r="K676" s="5"/>
      <c r="L676" s="306"/>
      <c r="M676" s="5"/>
      <c r="N676" s="5"/>
      <c r="O676" s="5"/>
      <c r="P676" s="5"/>
      <c r="Q676" s="5"/>
      <c r="R676" s="57"/>
      <c r="S676" s="5"/>
      <c r="T676" s="5"/>
      <c r="U676" s="5"/>
      <c r="V676" s="5"/>
      <c r="W676" s="5"/>
      <c r="X676" s="5"/>
      <c r="Y676" s="5"/>
      <c r="Z676" s="5"/>
      <c r="AA676" s="5"/>
      <c r="AB676" s="5"/>
      <c r="AC676" s="5"/>
    </row>
    <row r="677" spans="1:29" ht="12.75" customHeight="1">
      <c r="A677" s="5"/>
      <c r="B677" s="5"/>
      <c r="C677" s="5"/>
      <c r="D677" s="5"/>
      <c r="E677" s="5"/>
      <c r="F677" s="5"/>
      <c r="G677" s="5"/>
      <c r="H677" s="306"/>
      <c r="I677" s="306"/>
      <c r="J677" s="5"/>
      <c r="K677" s="5"/>
      <c r="L677" s="306"/>
      <c r="M677" s="5"/>
      <c r="N677" s="5"/>
      <c r="O677" s="5"/>
      <c r="P677" s="5"/>
      <c r="Q677" s="5"/>
      <c r="R677" s="57"/>
      <c r="S677" s="5"/>
      <c r="T677" s="5"/>
      <c r="U677" s="5"/>
      <c r="V677" s="5"/>
      <c r="W677" s="5"/>
      <c r="X677" s="5"/>
      <c r="Y677" s="5"/>
      <c r="Z677" s="5"/>
      <c r="AA677" s="5"/>
      <c r="AB677" s="5"/>
      <c r="AC677" s="5"/>
    </row>
    <row r="678" spans="1:29" ht="12.75" customHeight="1">
      <c r="A678" s="5"/>
      <c r="B678" s="5"/>
      <c r="C678" s="5"/>
      <c r="D678" s="5"/>
      <c r="E678" s="5"/>
      <c r="F678" s="5"/>
      <c r="G678" s="5"/>
      <c r="H678" s="306"/>
      <c r="I678" s="306"/>
      <c r="J678" s="5"/>
      <c r="K678" s="5"/>
      <c r="L678" s="306"/>
      <c r="M678" s="5"/>
      <c r="N678" s="5"/>
      <c r="O678" s="5"/>
      <c r="P678" s="5"/>
      <c r="Q678" s="5"/>
      <c r="R678" s="57"/>
      <c r="S678" s="5"/>
      <c r="T678" s="5"/>
      <c r="U678" s="5"/>
      <c r="V678" s="5"/>
      <c r="W678" s="5"/>
      <c r="X678" s="5"/>
      <c r="Y678" s="5"/>
      <c r="Z678" s="5"/>
      <c r="AA678" s="5"/>
      <c r="AB678" s="5"/>
      <c r="AC678" s="5"/>
    </row>
    <row r="679" spans="1:29" ht="12.75" customHeight="1">
      <c r="A679" s="5"/>
      <c r="B679" s="5"/>
      <c r="C679" s="5"/>
      <c r="D679" s="5"/>
      <c r="E679" s="5"/>
      <c r="F679" s="5"/>
      <c r="G679" s="5"/>
      <c r="H679" s="306"/>
      <c r="I679" s="306"/>
      <c r="J679" s="5"/>
      <c r="K679" s="5"/>
      <c r="L679" s="306"/>
      <c r="M679" s="5"/>
      <c r="N679" s="5"/>
      <c r="O679" s="5"/>
      <c r="P679" s="5"/>
      <c r="Q679" s="5"/>
      <c r="R679" s="57"/>
      <c r="S679" s="5"/>
      <c r="T679" s="5"/>
      <c r="U679" s="5"/>
      <c r="V679" s="5"/>
      <c r="W679" s="5"/>
      <c r="X679" s="5"/>
      <c r="Y679" s="5"/>
      <c r="Z679" s="5"/>
      <c r="AA679" s="5"/>
      <c r="AB679" s="5"/>
      <c r="AC679" s="5"/>
    </row>
    <row r="680" spans="1:29" ht="12.75" customHeight="1">
      <c r="A680" s="5"/>
      <c r="B680" s="5"/>
      <c r="C680" s="5"/>
      <c r="D680" s="5"/>
      <c r="E680" s="5"/>
      <c r="F680" s="5"/>
      <c r="G680" s="5"/>
      <c r="H680" s="306"/>
      <c r="I680" s="306"/>
      <c r="J680" s="5"/>
      <c r="K680" s="5"/>
      <c r="L680" s="306"/>
      <c r="M680" s="5"/>
      <c r="N680" s="5"/>
      <c r="O680" s="5"/>
      <c r="P680" s="5"/>
      <c r="Q680" s="5"/>
      <c r="R680" s="57"/>
      <c r="S680" s="5"/>
      <c r="T680" s="5"/>
      <c r="U680" s="5"/>
      <c r="V680" s="5"/>
      <c r="W680" s="5"/>
      <c r="X680" s="5"/>
      <c r="Y680" s="5"/>
      <c r="Z680" s="5"/>
      <c r="AA680" s="5"/>
      <c r="AB680" s="5"/>
      <c r="AC680" s="5"/>
    </row>
    <row r="681" spans="1:29" ht="12.75" customHeight="1">
      <c r="A681" s="5"/>
      <c r="B681" s="5"/>
      <c r="C681" s="5"/>
      <c r="D681" s="5"/>
      <c r="E681" s="5"/>
      <c r="F681" s="5"/>
      <c r="G681" s="5"/>
      <c r="H681" s="306"/>
      <c r="I681" s="306"/>
      <c r="J681" s="5"/>
      <c r="K681" s="5"/>
      <c r="L681" s="306"/>
      <c r="M681" s="5"/>
      <c r="N681" s="5"/>
      <c r="O681" s="5"/>
      <c r="P681" s="5"/>
      <c r="Q681" s="5"/>
      <c r="R681" s="57"/>
      <c r="S681" s="5"/>
      <c r="T681" s="5"/>
      <c r="U681" s="5"/>
      <c r="V681" s="5"/>
      <c r="W681" s="5"/>
      <c r="X681" s="5"/>
      <c r="Y681" s="5"/>
      <c r="Z681" s="5"/>
      <c r="AA681" s="5"/>
      <c r="AB681" s="5"/>
      <c r="AC681" s="5"/>
    </row>
    <row r="682" spans="1:29" ht="12.75" customHeight="1">
      <c r="A682" s="5"/>
      <c r="B682" s="5"/>
      <c r="C682" s="5"/>
      <c r="D682" s="5"/>
      <c r="E682" s="5"/>
      <c r="F682" s="5"/>
      <c r="G682" s="5"/>
      <c r="H682" s="306"/>
      <c r="I682" s="306"/>
      <c r="J682" s="5"/>
      <c r="K682" s="5"/>
      <c r="L682" s="306"/>
      <c r="M682" s="5"/>
      <c r="N682" s="5"/>
      <c r="O682" s="5"/>
      <c r="P682" s="5"/>
      <c r="Q682" s="5"/>
      <c r="R682" s="57"/>
      <c r="S682" s="5"/>
      <c r="T682" s="5"/>
      <c r="U682" s="5"/>
      <c r="V682" s="5"/>
      <c r="W682" s="5"/>
      <c r="X682" s="5"/>
      <c r="Y682" s="5"/>
      <c r="Z682" s="5"/>
      <c r="AA682" s="5"/>
      <c r="AB682" s="5"/>
      <c r="AC682" s="5"/>
    </row>
    <row r="683" spans="1:29" ht="12.75" customHeight="1">
      <c r="A683" s="5"/>
      <c r="B683" s="5"/>
      <c r="C683" s="5"/>
      <c r="D683" s="5"/>
      <c r="E683" s="5"/>
      <c r="F683" s="5"/>
      <c r="G683" s="5"/>
      <c r="H683" s="306"/>
      <c r="I683" s="306"/>
      <c r="J683" s="5"/>
      <c r="K683" s="5"/>
      <c r="L683" s="306"/>
      <c r="M683" s="5"/>
      <c r="N683" s="5"/>
      <c r="O683" s="5"/>
      <c r="P683" s="5"/>
      <c r="Q683" s="5"/>
      <c r="R683" s="57"/>
      <c r="S683" s="5"/>
      <c r="T683" s="5"/>
      <c r="U683" s="5"/>
      <c r="V683" s="5"/>
      <c r="W683" s="5"/>
      <c r="X683" s="5"/>
      <c r="Y683" s="5"/>
      <c r="Z683" s="5"/>
      <c r="AA683" s="5"/>
      <c r="AB683" s="5"/>
      <c r="AC683" s="5"/>
    </row>
    <row r="684" spans="1:29" ht="12.75" customHeight="1">
      <c r="A684" s="5"/>
      <c r="B684" s="5"/>
      <c r="C684" s="5"/>
      <c r="D684" s="5"/>
      <c r="E684" s="5"/>
      <c r="F684" s="5"/>
      <c r="G684" s="5"/>
      <c r="H684" s="306"/>
      <c r="I684" s="306"/>
      <c r="J684" s="5"/>
      <c r="K684" s="5"/>
      <c r="L684" s="306"/>
      <c r="M684" s="5"/>
      <c r="N684" s="5"/>
      <c r="O684" s="5"/>
      <c r="P684" s="5"/>
      <c r="Q684" s="5"/>
      <c r="R684" s="57"/>
      <c r="S684" s="5"/>
      <c r="T684" s="5"/>
      <c r="U684" s="5"/>
      <c r="V684" s="5"/>
      <c r="W684" s="5"/>
      <c r="X684" s="5"/>
      <c r="Y684" s="5"/>
      <c r="Z684" s="5"/>
      <c r="AA684" s="5"/>
      <c r="AB684" s="5"/>
      <c r="AC684" s="5"/>
    </row>
    <row r="685" spans="1:29" ht="12.75" customHeight="1">
      <c r="A685" s="5"/>
      <c r="B685" s="5"/>
      <c r="C685" s="5"/>
      <c r="D685" s="5"/>
      <c r="E685" s="5"/>
      <c r="F685" s="5"/>
      <c r="G685" s="5"/>
      <c r="H685" s="306"/>
      <c r="I685" s="306"/>
      <c r="J685" s="5"/>
      <c r="K685" s="5"/>
      <c r="L685" s="306"/>
      <c r="M685" s="5"/>
      <c r="N685" s="5"/>
      <c r="O685" s="5"/>
      <c r="P685" s="5"/>
      <c r="Q685" s="5"/>
      <c r="R685" s="57"/>
      <c r="S685" s="5"/>
      <c r="T685" s="5"/>
      <c r="U685" s="5"/>
      <c r="V685" s="5"/>
      <c r="W685" s="5"/>
      <c r="X685" s="5"/>
      <c r="Y685" s="5"/>
      <c r="Z685" s="5"/>
      <c r="AA685" s="5"/>
      <c r="AB685" s="5"/>
      <c r="AC685" s="5"/>
    </row>
    <row r="686" spans="1:29" ht="12.75" customHeight="1">
      <c r="A686" s="5"/>
      <c r="B686" s="5"/>
      <c r="C686" s="5"/>
      <c r="D686" s="5"/>
      <c r="E686" s="5"/>
      <c r="F686" s="5"/>
      <c r="G686" s="5"/>
      <c r="H686" s="306"/>
      <c r="I686" s="306"/>
      <c r="J686" s="5"/>
      <c r="K686" s="5"/>
      <c r="L686" s="306"/>
      <c r="M686" s="5"/>
      <c r="N686" s="5"/>
      <c r="O686" s="5"/>
      <c r="P686" s="5"/>
      <c r="Q686" s="5"/>
      <c r="R686" s="57"/>
      <c r="S686" s="5"/>
      <c r="T686" s="5"/>
      <c r="U686" s="5"/>
      <c r="V686" s="5"/>
      <c r="W686" s="5"/>
      <c r="X686" s="5"/>
      <c r="Y686" s="5"/>
      <c r="Z686" s="5"/>
      <c r="AA686" s="5"/>
      <c r="AB686" s="5"/>
      <c r="AC686" s="5"/>
    </row>
    <row r="687" spans="1:29" ht="12.75" customHeight="1">
      <c r="A687" s="5"/>
      <c r="B687" s="5"/>
      <c r="C687" s="5"/>
      <c r="D687" s="5"/>
      <c r="E687" s="5"/>
      <c r="F687" s="5"/>
      <c r="G687" s="5"/>
      <c r="H687" s="306"/>
      <c r="I687" s="306"/>
      <c r="J687" s="5"/>
      <c r="K687" s="5"/>
      <c r="L687" s="306"/>
      <c r="M687" s="5"/>
      <c r="N687" s="5"/>
      <c r="O687" s="5"/>
      <c r="P687" s="5"/>
      <c r="Q687" s="5"/>
      <c r="R687" s="57"/>
      <c r="S687" s="5"/>
      <c r="T687" s="5"/>
      <c r="U687" s="5"/>
      <c r="V687" s="5"/>
      <c r="W687" s="5"/>
      <c r="X687" s="5"/>
      <c r="Y687" s="5"/>
      <c r="Z687" s="5"/>
      <c r="AA687" s="5"/>
      <c r="AB687" s="5"/>
      <c r="AC687" s="5"/>
    </row>
    <row r="688" spans="1:29" ht="12.75" customHeight="1">
      <c r="A688" s="5"/>
      <c r="B688" s="5"/>
      <c r="C688" s="5"/>
      <c r="D688" s="5"/>
      <c r="E688" s="5"/>
      <c r="F688" s="5"/>
      <c r="G688" s="5"/>
      <c r="H688" s="306"/>
      <c r="I688" s="306"/>
      <c r="J688" s="5"/>
      <c r="K688" s="5"/>
      <c r="L688" s="306"/>
      <c r="M688" s="5"/>
      <c r="N688" s="5"/>
      <c r="O688" s="5"/>
      <c r="P688" s="5"/>
      <c r="Q688" s="5"/>
      <c r="R688" s="57"/>
      <c r="S688" s="5"/>
      <c r="T688" s="5"/>
      <c r="U688" s="5"/>
      <c r="V688" s="5"/>
      <c r="W688" s="5"/>
      <c r="X688" s="5"/>
      <c r="Y688" s="5"/>
      <c r="Z688" s="5"/>
      <c r="AA688" s="5"/>
      <c r="AB688" s="5"/>
      <c r="AC688" s="5"/>
    </row>
    <row r="689" spans="1:29" ht="12.75" customHeight="1">
      <c r="A689" s="5"/>
      <c r="B689" s="5"/>
      <c r="C689" s="5"/>
      <c r="D689" s="5"/>
      <c r="E689" s="5"/>
      <c r="F689" s="5"/>
      <c r="G689" s="5"/>
      <c r="H689" s="306"/>
      <c r="I689" s="306"/>
      <c r="J689" s="5"/>
      <c r="K689" s="5"/>
      <c r="L689" s="306"/>
      <c r="M689" s="5"/>
      <c r="N689" s="5"/>
      <c r="O689" s="5"/>
      <c r="P689" s="5"/>
      <c r="Q689" s="5"/>
      <c r="R689" s="57"/>
      <c r="S689" s="5"/>
      <c r="T689" s="5"/>
      <c r="U689" s="5"/>
      <c r="V689" s="5"/>
      <c r="W689" s="5"/>
      <c r="X689" s="5"/>
      <c r="Y689" s="5"/>
      <c r="Z689" s="5"/>
      <c r="AA689" s="5"/>
      <c r="AB689" s="5"/>
      <c r="AC689" s="5"/>
    </row>
    <row r="690" spans="1:29" ht="12.75" customHeight="1">
      <c r="A690" s="5"/>
      <c r="B690" s="5"/>
      <c r="C690" s="5"/>
      <c r="D690" s="5"/>
      <c r="E690" s="5"/>
      <c r="F690" s="5"/>
      <c r="G690" s="5"/>
      <c r="H690" s="306"/>
      <c r="I690" s="306"/>
      <c r="J690" s="5"/>
      <c r="K690" s="5"/>
      <c r="L690" s="306"/>
      <c r="M690" s="5"/>
      <c r="N690" s="5"/>
      <c r="O690" s="5"/>
      <c r="P690" s="5"/>
      <c r="Q690" s="5"/>
      <c r="R690" s="57"/>
      <c r="S690" s="5"/>
      <c r="T690" s="5"/>
      <c r="U690" s="5"/>
      <c r="V690" s="5"/>
      <c r="W690" s="5"/>
      <c r="X690" s="5"/>
      <c r="Y690" s="5"/>
      <c r="Z690" s="5"/>
      <c r="AA690" s="5"/>
      <c r="AB690" s="5"/>
      <c r="AC690" s="5"/>
    </row>
    <row r="691" spans="1:29" ht="12.75" customHeight="1">
      <c r="A691" s="5"/>
      <c r="B691" s="5"/>
      <c r="C691" s="5"/>
      <c r="D691" s="5"/>
      <c r="E691" s="5"/>
      <c r="F691" s="5"/>
      <c r="G691" s="5"/>
      <c r="H691" s="306"/>
      <c r="I691" s="306"/>
      <c r="J691" s="5"/>
      <c r="K691" s="5"/>
      <c r="L691" s="306"/>
      <c r="M691" s="5"/>
      <c r="N691" s="5"/>
      <c r="O691" s="5"/>
      <c r="P691" s="5"/>
      <c r="Q691" s="5"/>
      <c r="R691" s="57"/>
      <c r="S691" s="5"/>
      <c r="T691" s="5"/>
      <c r="U691" s="5"/>
      <c r="V691" s="5"/>
      <c r="W691" s="5"/>
      <c r="X691" s="5"/>
      <c r="Y691" s="5"/>
      <c r="Z691" s="5"/>
      <c r="AA691" s="5"/>
      <c r="AB691" s="5"/>
      <c r="AC691" s="5"/>
    </row>
    <row r="692" spans="1:29" ht="12.75" customHeight="1">
      <c r="A692" s="5"/>
      <c r="B692" s="5"/>
      <c r="C692" s="5"/>
      <c r="D692" s="5"/>
      <c r="E692" s="5"/>
      <c r="F692" s="5"/>
      <c r="G692" s="5"/>
      <c r="H692" s="306"/>
      <c r="I692" s="306"/>
      <c r="J692" s="5"/>
      <c r="K692" s="5"/>
      <c r="L692" s="306"/>
      <c r="M692" s="5"/>
      <c r="N692" s="5"/>
      <c r="O692" s="5"/>
      <c r="P692" s="5"/>
      <c r="Q692" s="5"/>
      <c r="R692" s="57"/>
      <c r="S692" s="5"/>
      <c r="T692" s="5"/>
      <c r="U692" s="5"/>
      <c r="V692" s="5"/>
      <c r="W692" s="5"/>
      <c r="X692" s="5"/>
      <c r="Y692" s="5"/>
      <c r="Z692" s="5"/>
      <c r="AA692" s="5"/>
      <c r="AB692" s="5"/>
      <c r="AC692" s="5"/>
    </row>
    <row r="693" spans="1:29" ht="12.75" customHeight="1">
      <c r="A693" s="5"/>
      <c r="B693" s="5"/>
      <c r="C693" s="5"/>
      <c r="D693" s="5"/>
      <c r="E693" s="5"/>
      <c r="F693" s="5"/>
      <c r="G693" s="5"/>
      <c r="H693" s="306"/>
      <c r="I693" s="306"/>
      <c r="J693" s="5"/>
      <c r="K693" s="5"/>
      <c r="L693" s="306"/>
      <c r="M693" s="5"/>
      <c r="N693" s="5"/>
      <c r="O693" s="5"/>
      <c r="P693" s="5"/>
      <c r="Q693" s="5"/>
      <c r="R693" s="57"/>
      <c r="S693" s="5"/>
      <c r="T693" s="5"/>
      <c r="U693" s="5"/>
      <c r="V693" s="5"/>
      <c r="W693" s="5"/>
      <c r="X693" s="5"/>
      <c r="Y693" s="5"/>
      <c r="Z693" s="5"/>
      <c r="AA693" s="5"/>
      <c r="AB693" s="5"/>
      <c r="AC693" s="5"/>
    </row>
    <row r="694" spans="1:29" ht="12.75" customHeight="1">
      <c r="A694" s="5"/>
      <c r="B694" s="5"/>
      <c r="C694" s="5"/>
      <c r="D694" s="5"/>
      <c r="E694" s="5"/>
      <c r="F694" s="5"/>
      <c r="G694" s="5"/>
      <c r="H694" s="306"/>
      <c r="I694" s="306"/>
      <c r="J694" s="5"/>
      <c r="K694" s="5"/>
      <c r="L694" s="306"/>
      <c r="M694" s="5"/>
      <c r="N694" s="5"/>
      <c r="O694" s="5"/>
      <c r="P694" s="5"/>
      <c r="Q694" s="5"/>
      <c r="R694" s="57"/>
      <c r="S694" s="5"/>
      <c r="T694" s="5"/>
      <c r="U694" s="5"/>
      <c r="V694" s="5"/>
      <c r="W694" s="5"/>
      <c r="X694" s="5"/>
      <c r="Y694" s="5"/>
      <c r="Z694" s="5"/>
      <c r="AA694" s="5"/>
      <c r="AB694" s="5"/>
      <c r="AC694" s="5"/>
    </row>
    <row r="695" spans="1:29" ht="12.75" customHeight="1">
      <c r="A695" s="5"/>
      <c r="B695" s="5"/>
      <c r="C695" s="5"/>
      <c r="D695" s="5"/>
      <c r="E695" s="5"/>
      <c r="F695" s="5"/>
      <c r="G695" s="5"/>
      <c r="H695" s="306"/>
      <c r="I695" s="306"/>
      <c r="J695" s="5"/>
      <c r="K695" s="5"/>
      <c r="L695" s="306"/>
      <c r="M695" s="5"/>
      <c r="N695" s="5"/>
      <c r="O695" s="5"/>
      <c r="P695" s="5"/>
      <c r="Q695" s="5"/>
      <c r="R695" s="57"/>
      <c r="S695" s="5"/>
      <c r="T695" s="5"/>
      <c r="U695" s="5"/>
      <c r="V695" s="5"/>
      <c r="W695" s="5"/>
      <c r="X695" s="5"/>
      <c r="Y695" s="5"/>
      <c r="Z695" s="5"/>
      <c r="AA695" s="5"/>
      <c r="AB695" s="5"/>
      <c r="AC695" s="5"/>
    </row>
    <row r="696" spans="1:29" ht="12.75" customHeight="1">
      <c r="A696" s="5"/>
      <c r="B696" s="5"/>
      <c r="C696" s="5"/>
      <c r="D696" s="5"/>
      <c r="E696" s="5"/>
      <c r="F696" s="5"/>
      <c r="G696" s="5"/>
      <c r="H696" s="306"/>
      <c r="I696" s="306"/>
      <c r="J696" s="5"/>
      <c r="K696" s="5"/>
      <c r="L696" s="306"/>
      <c r="M696" s="5"/>
      <c r="N696" s="5"/>
      <c r="O696" s="5"/>
      <c r="P696" s="5"/>
      <c r="Q696" s="5"/>
      <c r="R696" s="57"/>
      <c r="S696" s="5"/>
      <c r="T696" s="5"/>
      <c r="U696" s="5"/>
      <c r="V696" s="5"/>
      <c r="W696" s="5"/>
      <c r="X696" s="5"/>
      <c r="Y696" s="5"/>
      <c r="Z696" s="5"/>
      <c r="AA696" s="5"/>
      <c r="AB696" s="5"/>
      <c r="AC696" s="5"/>
    </row>
    <row r="697" spans="1:29" ht="12.75" customHeight="1">
      <c r="A697" s="5"/>
      <c r="B697" s="5"/>
      <c r="C697" s="5"/>
      <c r="D697" s="5"/>
      <c r="E697" s="5"/>
      <c r="F697" s="5"/>
      <c r="G697" s="5"/>
      <c r="H697" s="306"/>
      <c r="I697" s="306"/>
      <c r="J697" s="5"/>
      <c r="K697" s="5"/>
      <c r="L697" s="306"/>
      <c r="M697" s="5"/>
      <c r="N697" s="5"/>
      <c r="O697" s="5"/>
      <c r="P697" s="5"/>
      <c r="Q697" s="5"/>
      <c r="R697" s="57"/>
      <c r="S697" s="5"/>
      <c r="T697" s="5"/>
      <c r="U697" s="5"/>
      <c r="V697" s="5"/>
      <c r="W697" s="5"/>
      <c r="X697" s="5"/>
      <c r="Y697" s="5"/>
      <c r="Z697" s="5"/>
      <c r="AA697" s="5"/>
      <c r="AB697" s="5"/>
      <c r="AC697" s="5"/>
    </row>
    <row r="698" spans="1:29" ht="12.75" customHeight="1">
      <c r="A698" s="5"/>
      <c r="B698" s="5"/>
      <c r="C698" s="5"/>
      <c r="D698" s="5"/>
      <c r="E698" s="5"/>
      <c r="F698" s="5"/>
      <c r="G698" s="5"/>
      <c r="H698" s="306"/>
      <c r="I698" s="306"/>
      <c r="J698" s="5"/>
      <c r="K698" s="5"/>
      <c r="L698" s="306"/>
      <c r="M698" s="5"/>
      <c r="N698" s="5"/>
      <c r="O698" s="5"/>
      <c r="P698" s="5"/>
      <c r="Q698" s="5"/>
      <c r="R698" s="57"/>
      <c r="S698" s="5"/>
      <c r="T698" s="5"/>
      <c r="U698" s="5"/>
      <c r="V698" s="5"/>
      <c r="W698" s="5"/>
      <c r="X698" s="5"/>
      <c r="Y698" s="5"/>
      <c r="Z698" s="5"/>
      <c r="AA698" s="5"/>
      <c r="AB698" s="5"/>
      <c r="AC698" s="5"/>
    </row>
    <row r="699" spans="1:29" ht="12.75" customHeight="1">
      <c r="A699" s="5"/>
      <c r="B699" s="5"/>
      <c r="C699" s="5"/>
      <c r="D699" s="5"/>
      <c r="E699" s="5"/>
      <c r="F699" s="5"/>
      <c r="G699" s="5"/>
      <c r="H699" s="306"/>
      <c r="I699" s="306"/>
      <c r="J699" s="5"/>
      <c r="K699" s="5"/>
      <c r="L699" s="306"/>
      <c r="M699" s="5"/>
      <c r="N699" s="5"/>
      <c r="O699" s="5"/>
      <c r="P699" s="5"/>
      <c r="Q699" s="5"/>
      <c r="R699" s="57"/>
      <c r="S699" s="5"/>
      <c r="T699" s="5"/>
      <c r="U699" s="5"/>
      <c r="V699" s="5"/>
      <c r="W699" s="5"/>
      <c r="X699" s="5"/>
      <c r="Y699" s="5"/>
      <c r="Z699" s="5"/>
      <c r="AA699" s="5"/>
      <c r="AB699" s="5"/>
      <c r="AC699" s="5"/>
    </row>
    <row r="700" spans="1:29" ht="12.75" customHeight="1">
      <c r="A700" s="5"/>
      <c r="B700" s="5"/>
      <c r="C700" s="5"/>
      <c r="D700" s="5"/>
      <c r="E700" s="5"/>
      <c r="F700" s="5"/>
      <c r="G700" s="5"/>
      <c r="H700" s="306"/>
      <c r="I700" s="306"/>
      <c r="J700" s="5"/>
      <c r="K700" s="5"/>
      <c r="L700" s="306"/>
      <c r="M700" s="5"/>
      <c r="N700" s="5"/>
      <c r="O700" s="5"/>
      <c r="P700" s="5"/>
      <c r="Q700" s="5"/>
      <c r="R700" s="57"/>
      <c r="S700" s="5"/>
      <c r="T700" s="5"/>
      <c r="U700" s="5"/>
      <c r="V700" s="5"/>
      <c r="W700" s="5"/>
      <c r="X700" s="5"/>
      <c r="Y700" s="5"/>
      <c r="Z700" s="5"/>
      <c r="AA700" s="5"/>
      <c r="AB700" s="5"/>
      <c r="AC700" s="5"/>
    </row>
    <row r="701" spans="1:29" ht="12.75" customHeight="1">
      <c r="A701" s="5"/>
      <c r="B701" s="5"/>
      <c r="C701" s="5"/>
      <c r="D701" s="5"/>
      <c r="E701" s="5"/>
      <c r="F701" s="5"/>
      <c r="G701" s="5"/>
      <c r="H701" s="306"/>
      <c r="I701" s="306"/>
      <c r="J701" s="5"/>
      <c r="K701" s="5"/>
      <c r="L701" s="306"/>
      <c r="M701" s="5"/>
      <c r="N701" s="5"/>
      <c r="O701" s="5"/>
      <c r="P701" s="5"/>
      <c r="Q701" s="5"/>
      <c r="R701" s="57"/>
      <c r="S701" s="5"/>
      <c r="T701" s="5"/>
      <c r="U701" s="5"/>
      <c r="V701" s="5"/>
      <c r="W701" s="5"/>
      <c r="X701" s="5"/>
      <c r="Y701" s="5"/>
      <c r="Z701" s="5"/>
      <c r="AA701" s="5"/>
      <c r="AB701" s="5"/>
      <c r="AC701" s="5"/>
    </row>
    <row r="702" spans="1:29" ht="12.75" customHeight="1">
      <c r="A702" s="5"/>
      <c r="B702" s="5"/>
      <c r="C702" s="5"/>
      <c r="D702" s="5"/>
      <c r="E702" s="5"/>
      <c r="F702" s="5"/>
      <c r="G702" s="5"/>
      <c r="H702" s="306"/>
      <c r="I702" s="306"/>
      <c r="J702" s="5"/>
      <c r="K702" s="5"/>
      <c r="L702" s="306"/>
      <c r="M702" s="5"/>
      <c r="N702" s="5"/>
      <c r="O702" s="5"/>
      <c r="P702" s="5"/>
      <c r="Q702" s="5"/>
      <c r="R702" s="57"/>
      <c r="S702" s="5"/>
      <c r="T702" s="5"/>
      <c r="U702" s="5"/>
      <c r="V702" s="5"/>
      <c r="W702" s="5"/>
      <c r="X702" s="5"/>
      <c r="Y702" s="5"/>
      <c r="Z702" s="5"/>
      <c r="AA702" s="5"/>
      <c r="AB702" s="5"/>
      <c r="AC702" s="5"/>
    </row>
    <row r="703" spans="1:29" ht="12.75" customHeight="1">
      <c r="A703" s="5"/>
      <c r="B703" s="5"/>
      <c r="C703" s="5"/>
      <c r="D703" s="5"/>
      <c r="E703" s="5"/>
      <c r="F703" s="5"/>
      <c r="G703" s="5"/>
      <c r="H703" s="306"/>
      <c r="I703" s="306"/>
      <c r="J703" s="5"/>
      <c r="K703" s="5"/>
      <c r="L703" s="306"/>
      <c r="M703" s="5"/>
      <c r="N703" s="5"/>
      <c r="O703" s="5"/>
      <c r="P703" s="5"/>
      <c r="Q703" s="5"/>
      <c r="R703" s="57"/>
      <c r="S703" s="5"/>
      <c r="T703" s="5"/>
      <c r="U703" s="5"/>
      <c r="V703" s="5"/>
      <c r="W703" s="5"/>
      <c r="X703" s="5"/>
      <c r="Y703" s="5"/>
      <c r="Z703" s="5"/>
      <c r="AA703" s="5"/>
      <c r="AB703" s="5"/>
      <c r="AC703" s="5"/>
    </row>
    <row r="704" spans="1:29" ht="12.75" customHeight="1">
      <c r="A704" s="5"/>
      <c r="B704" s="5"/>
      <c r="C704" s="5"/>
      <c r="D704" s="5"/>
      <c r="E704" s="5"/>
      <c r="F704" s="5"/>
      <c r="G704" s="5"/>
      <c r="H704" s="306"/>
      <c r="I704" s="306"/>
      <c r="J704" s="5"/>
      <c r="K704" s="5"/>
      <c r="L704" s="306"/>
      <c r="M704" s="5"/>
      <c r="N704" s="5"/>
      <c r="O704" s="5"/>
      <c r="P704" s="5"/>
      <c r="Q704" s="5"/>
      <c r="R704" s="57"/>
      <c r="S704" s="5"/>
      <c r="T704" s="5"/>
      <c r="U704" s="5"/>
      <c r="V704" s="5"/>
      <c r="W704" s="5"/>
      <c r="X704" s="5"/>
      <c r="Y704" s="5"/>
      <c r="Z704" s="5"/>
      <c r="AA704" s="5"/>
      <c r="AB704" s="5"/>
      <c r="AC704" s="5"/>
    </row>
    <row r="705" spans="1:29" ht="12.75" customHeight="1">
      <c r="A705" s="5"/>
      <c r="B705" s="5"/>
      <c r="C705" s="5"/>
      <c r="D705" s="5"/>
      <c r="E705" s="5"/>
      <c r="F705" s="5"/>
      <c r="G705" s="5"/>
      <c r="H705" s="306"/>
      <c r="I705" s="306"/>
      <c r="J705" s="5"/>
      <c r="K705" s="5"/>
      <c r="L705" s="306"/>
      <c r="M705" s="5"/>
      <c r="N705" s="5"/>
      <c r="O705" s="5"/>
      <c r="P705" s="5"/>
      <c r="Q705" s="5"/>
      <c r="R705" s="57"/>
      <c r="S705" s="5"/>
      <c r="T705" s="5"/>
      <c r="U705" s="5"/>
      <c r="V705" s="5"/>
      <c r="W705" s="5"/>
      <c r="X705" s="5"/>
      <c r="Y705" s="5"/>
      <c r="Z705" s="5"/>
      <c r="AA705" s="5"/>
      <c r="AB705" s="5"/>
      <c r="AC705" s="5"/>
    </row>
    <row r="706" spans="1:29" ht="12.75" customHeight="1">
      <c r="A706" s="5"/>
      <c r="B706" s="5"/>
      <c r="C706" s="5"/>
      <c r="D706" s="5"/>
      <c r="E706" s="5"/>
      <c r="F706" s="5"/>
      <c r="G706" s="5"/>
      <c r="H706" s="306"/>
      <c r="I706" s="306"/>
      <c r="J706" s="5"/>
      <c r="K706" s="5"/>
      <c r="L706" s="306"/>
      <c r="M706" s="5"/>
      <c r="N706" s="5"/>
      <c r="O706" s="5"/>
      <c r="P706" s="5"/>
      <c r="Q706" s="5"/>
      <c r="R706" s="57"/>
      <c r="S706" s="5"/>
      <c r="T706" s="5"/>
      <c r="U706" s="5"/>
      <c r="V706" s="5"/>
      <c r="W706" s="5"/>
      <c r="X706" s="5"/>
      <c r="Y706" s="5"/>
      <c r="Z706" s="5"/>
      <c r="AA706" s="5"/>
      <c r="AB706" s="5"/>
      <c r="AC706" s="5"/>
    </row>
    <row r="707" spans="1:29" ht="12.75" customHeight="1">
      <c r="A707" s="5"/>
      <c r="B707" s="5"/>
      <c r="C707" s="5"/>
      <c r="D707" s="5"/>
      <c r="E707" s="5"/>
      <c r="F707" s="5"/>
      <c r="G707" s="5"/>
      <c r="H707" s="306"/>
      <c r="I707" s="306"/>
      <c r="J707" s="5"/>
      <c r="K707" s="5"/>
      <c r="L707" s="306"/>
      <c r="M707" s="5"/>
      <c r="N707" s="5"/>
      <c r="O707" s="5"/>
      <c r="P707" s="5"/>
      <c r="Q707" s="5"/>
      <c r="R707" s="57"/>
      <c r="S707" s="5"/>
      <c r="T707" s="5"/>
      <c r="U707" s="5"/>
      <c r="V707" s="5"/>
      <c r="W707" s="5"/>
      <c r="X707" s="5"/>
      <c r="Y707" s="5"/>
      <c r="Z707" s="5"/>
      <c r="AA707" s="5"/>
      <c r="AB707" s="5"/>
      <c r="AC707" s="5"/>
    </row>
    <row r="708" spans="1:29" ht="12.75" customHeight="1">
      <c r="A708" s="5"/>
      <c r="B708" s="5"/>
      <c r="C708" s="5"/>
      <c r="D708" s="5"/>
      <c r="E708" s="5"/>
      <c r="F708" s="5"/>
      <c r="G708" s="5"/>
      <c r="H708" s="306"/>
      <c r="I708" s="306"/>
      <c r="J708" s="5"/>
      <c r="K708" s="5"/>
      <c r="L708" s="306"/>
      <c r="M708" s="5"/>
      <c r="N708" s="5"/>
      <c r="O708" s="5"/>
      <c r="P708" s="5"/>
      <c r="Q708" s="5"/>
      <c r="R708" s="57"/>
      <c r="S708" s="5"/>
      <c r="T708" s="5"/>
      <c r="U708" s="5"/>
      <c r="V708" s="5"/>
      <c r="W708" s="5"/>
      <c r="X708" s="5"/>
      <c r="Y708" s="5"/>
      <c r="Z708" s="5"/>
      <c r="AA708" s="5"/>
      <c r="AB708" s="5"/>
      <c r="AC708" s="5"/>
    </row>
    <row r="709" spans="1:29" ht="12.75" customHeight="1">
      <c r="A709" s="5"/>
      <c r="B709" s="5"/>
      <c r="C709" s="5"/>
      <c r="D709" s="5"/>
      <c r="E709" s="5"/>
      <c r="F709" s="5"/>
      <c r="G709" s="5"/>
      <c r="H709" s="306"/>
      <c r="I709" s="306"/>
      <c r="J709" s="5"/>
      <c r="K709" s="5"/>
      <c r="L709" s="306"/>
      <c r="M709" s="5"/>
      <c r="N709" s="5"/>
      <c r="O709" s="5"/>
      <c r="P709" s="5"/>
      <c r="Q709" s="5"/>
      <c r="R709" s="57"/>
      <c r="S709" s="5"/>
      <c r="T709" s="5"/>
      <c r="U709" s="5"/>
      <c r="V709" s="5"/>
      <c r="W709" s="5"/>
      <c r="X709" s="5"/>
      <c r="Y709" s="5"/>
      <c r="Z709" s="5"/>
      <c r="AA709" s="5"/>
      <c r="AB709" s="5"/>
      <c r="AC709" s="5"/>
    </row>
    <row r="710" spans="1:29" ht="12.75" customHeight="1">
      <c r="A710" s="5"/>
      <c r="B710" s="5"/>
      <c r="C710" s="5"/>
      <c r="D710" s="5"/>
      <c r="E710" s="5"/>
      <c r="F710" s="5"/>
      <c r="G710" s="5"/>
      <c r="H710" s="306"/>
      <c r="I710" s="306"/>
      <c r="J710" s="5"/>
      <c r="K710" s="5"/>
      <c r="L710" s="306"/>
      <c r="M710" s="5"/>
      <c r="N710" s="5"/>
      <c r="O710" s="5"/>
      <c r="P710" s="5"/>
      <c r="Q710" s="5"/>
      <c r="R710" s="57"/>
      <c r="S710" s="5"/>
      <c r="T710" s="5"/>
      <c r="U710" s="5"/>
      <c r="V710" s="5"/>
      <c r="W710" s="5"/>
      <c r="X710" s="5"/>
      <c r="Y710" s="5"/>
      <c r="Z710" s="5"/>
      <c r="AA710" s="5"/>
      <c r="AB710" s="5"/>
      <c r="AC710" s="5"/>
    </row>
    <row r="711" spans="1:29" ht="12.75" customHeight="1">
      <c r="A711" s="5"/>
      <c r="B711" s="5"/>
      <c r="C711" s="5"/>
      <c r="D711" s="5"/>
      <c r="E711" s="5"/>
      <c r="F711" s="5"/>
      <c r="G711" s="5"/>
      <c r="H711" s="306"/>
      <c r="I711" s="306"/>
      <c r="J711" s="5"/>
      <c r="K711" s="5"/>
      <c r="L711" s="306"/>
      <c r="M711" s="5"/>
      <c r="N711" s="5"/>
      <c r="O711" s="5"/>
      <c r="P711" s="5"/>
      <c r="Q711" s="5"/>
      <c r="R711" s="57"/>
      <c r="S711" s="5"/>
      <c r="T711" s="5"/>
      <c r="U711" s="5"/>
      <c r="V711" s="5"/>
      <c r="W711" s="5"/>
      <c r="X711" s="5"/>
      <c r="Y711" s="5"/>
      <c r="Z711" s="5"/>
      <c r="AA711" s="5"/>
      <c r="AB711" s="5"/>
      <c r="AC711" s="5"/>
    </row>
    <row r="712" spans="1:29" ht="12.75" customHeight="1">
      <c r="A712" s="5"/>
      <c r="B712" s="5"/>
      <c r="C712" s="5"/>
      <c r="D712" s="5"/>
      <c r="E712" s="5"/>
      <c r="F712" s="5"/>
      <c r="G712" s="5"/>
      <c r="H712" s="306"/>
      <c r="I712" s="306"/>
      <c r="J712" s="5"/>
      <c r="K712" s="5"/>
      <c r="L712" s="306"/>
      <c r="M712" s="5"/>
      <c r="N712" s="5"/>
      <c r="O712" s="5"/>
      <c r="P712" s="5"/>
      <c r="Q712" s="5"/>
      <c r="R712" s="57"/>
      <c r="S712" s="5"/>
      <c r="T712" s="5"/>
      <c r="U712" s="5"/>
      <c r="V712" s="5"/>
      <c r="W712" s="5"/>
      <c r="X712" s="5"/>
      <c r="Y712" s="5"/>
      <c r="Z712" s="5"/>
      <c r="AA712" s="5"/>
      <c r="AB712" s="5"/>
      <c r="AC712" s="5"/>
    </row>
    <row r="713" spans="1:29" ht="12.75" customHeight="1">
      <c r="A713" s="5"/>
      <c r="B713" s="5"/>
      <c r="C713" s="5"/>
      <c r="D713" s="5"/>
      <c r="E713" s="5"/>
      <c r="F713" s="5"/>
      <c r="G713" s="5"/>
      <c r="H713" s="306"/>
      <c r="I713" s="306"/>
      <c r="J713" s="5"/>
      <c r="K713" s="5"/>
      <c r="L713" s="306"/>
      <c r="M713" s="5"/>
      <c r="N713" s="5"/>
      <c r="O713" s="5"/>
      <c r="P713" s="5"/>
      <c r="Q713" s="5"/>
      <c r="R713" s="57"/>
      <c r="S713" s="5"/>
      <c r="T713" s="5"/>
      <c r="U713" s="5"/>
      <c r="V713" s="5"/>
      <c r="W713" s="5"/>
      <c r="X713" s="5"/>
      <c r="Y713" s="5"/>
      <c r="Z713" s="5"/>
      <c r="AA713" s="5"/>
      <c r="AB713" s="5"/>
      <c r="AC713" s="5"/>
    </row>
    <row r="714" spans="1:29" ht="12.75" customHeight="1">
      <c r="A714" s="5"/>
      <c r="B714" s="5"/>
      <c r="C714" s="5"/>
      <c r="D714" s="5"/>
      <c r="E714" s="5"/>
      <c r="F714" s="5"/>
      <c r="G714" s="5"/>
      <c r="H714" s="306"/>
      <c r="I714" s="306"/>
      <c r="J714" s="5"/>
      <c r="K714" s="5"/>
      <c r="L714" s="306"/>
      <c r="M714" s="5"/>
      <c r="N714" s="5"/>
      <c r="O714" s="5"/>
      <c r="P714" s="5"/>
      <c r="Q714" s="5"/>
      <c r="R714" s="57"/>
      <c r="S714" s="5"/>
      <c r="T714" s="5"/>
      <c r="U714" s="5"/>
      <c r="V714" s="5"/>
      <c r="W714" s="5"/>
      <c r="X714" s="5"/>
      <c r="Y714" s="5"/>
      <c r="Z714" s="5"/>
      <c r="AA714" s="5"/>
      <c r="AB714" s="5"/>
      <c r="AC714" s="5"/>
    </row>
    <row r="715" spans="1:29" ht="12.75" customHeight="1">
      <c r="A715" s="5"/>
      <c r="B715" s="5"/>
      <c r="C715" s="5"/>
      <c r="D715" s="5"/>
      <c r="E715" s="5"/>
      <c r="F715" s="5"/>
      <c r="G715" s="5"/>
      <c r="H715" s="306"/>
      <c r="I715" s="306"/>
      <c r="J715" s="5"/>
      <c r="K715" s="5"/>
      <c r="L715" s="306"/>
      <c r="M715" s="5"/>
      <c r="N715" s="5"/>
      <c r="O715" s="5"/>
      <c r="P715" s="5"/>
      <c r="Q715" s="5"/>
      <c r="R715" s="57"/>
      <c r="S715" s="5"/>
      <c r="T715" s="5"/>
      <c r="U715" s="5"/>
      <c r="V715" s="5"/>
      <c r="W715" s="5"/>
      <c r="X715" s="5"/>
      <c r="Y715" s="5"/>
      <c r="Z715" s="5"/>
      <c r="AA715" s="5"/>
      <c r="AB715" s="5"/>
      <c r="AC715" s="5"/>
    </row>
    <row r="716" spans="1:29" ht="12.75" customHeight="1">
      <c r="A716" s="5"/>
      <c r="B716" s="5"/>
      <c r="C716" s="5"/>
      <c r="D716" s="5"/>
      <c r="E716" s="5"/>
      <c r="F716" s="5"/>
      <c r="G716" s="5"/>
      <c r="H716" s="306"/>
      <c r="I716" s="306"/>
      <c r="J716" s="5"/>
      <c r="K716" s="5"/>
      <c r="L716" s="306"/>
      <c r="M716" s="5"/>
      <c r="N716" s="5"/>
      <c r="O716" s="5"/>
      <c r="P716" s="5"/>
      <c r="Q716" s="5"/>
      <c r="R716" s="57"/>
      <c r="S716" s="5"/>
      <c r="T716" s="5"/>
      <c r="U716" s="5"/>
      <c r="V716" s="5"/>
      <c r="W716" s="5"/>
      <c r="X716" s="5"/>
      <c r="Y716" s="5"/>
      <c r="Z716" s="5"/>
      <c r="AA716" s="5"/>
      <c r="AB716" s="5"/>
      <c r="AC716" s="5"/>
    </row>
    <row r="717" spans="1:29" ht="12.75" customHeight="1">
      <c r="A717" s="5"/>
      <c r="B717" s="5"/>
      <c r="C717" s="5"/>
      <c r="D717" s="5"/>
      <c r="E717" s="5"/>
      <c r="F717" s="5"/>
      <c r="G717" s="5"/>
      <c r="H717" s="306"/>
      <c r="I717" s="306"/>
      <c r="J717" s="5"/>
      <c r="K717" s="5"/>
      <c r="L717" s="306"/>
      <c r="M717" s="5"/>
      <c r="N717" s="5"/>
      <c r="O717" s="5"/>
      <c r="P717" s="5"/>
      <c r="Q717" s="5"/>
      <c r="R717" s="57"/>
      <c r="S717" s="5"/>
      <c r="T717" s="5"/>
      <c r="U717" s="5"/>
      <c r="V717" s="5"/>
      <c r="W717" s="5"/>
      <c r="X717" s="5"/>
      <c r="Y717" s="5"/>
      <c r="Z717" s="5"/>
      <c r="AA717" s="5"/>
      <c r="AB717" s="5"/>
      <c r="AC717" s="5"/>
    </row>
    <row r="718" spans="1:29" ht="12.75" customHeight="1">
      <c r="A718" s="5"/>
      <c r="B718" s="5"/>
      <c r="C718" s="5"/>
      <c r="D718" s="5"/>
      <c r="E718" s="5"/>
      <c r="F718" s="5"/>
      <c r="G718" s="5"/>
      <c r="H718" s="306"/>
      <c r="I718" s="306"/>
      <c r="J718" s="5"/>
      <c r="K718" s="5"/>
      <c r="L718" s="306"/>
      <c r="M718" s="5"/>
      <c r="N718" s="5"/>
      <c r="O718" s="5"/>
      <c r="P718" s="5"/>
      <c r="Q718" s="5"/>
      <c r="R718" s="57"/>
      <c r="S718" s="5"/>
      <c r="T718" s="5"/>
      <c r="U718" s="5"/>
      <c r="V718" s="5"/>
      <c r="W718" s="5"/>
      <c r="X718" s="5"/>
      <c r="Y718" s="5"/>
      <c r="Z718" s="5"/>
      <c r="AA718" s="5"/>
      <c r="AB718" s="5"/>
      <c r="AC718" s="5"/>
    </row>
    <row r="719" spans="1:29" ht="12.75" customHeight="1">
      <c r="A719" s="5"/>
      <c r="B719" s="5"/>
      <c r="C719" s="5"/>
      <c r="D719" s="5"/>
      <c r="E719" s="5"/>
      <c r="F719" s="5"/>
      <c r="G719" s="5"/>
      <c r="H719" s="306"/>
      <c r="I719" s="306"/>
      <c r="J719" s="5"/>
      <c r="K719" s="5"/>
      <c r="L719" s="306"/>
      <c r="M719" s="5"/>
      <c r="N719" s="5"/>
      <c r="O719" s="5"/>
      <c r="P719" s="5"/>
      <c r="Q719" s="5"/>
      <c r="R719" s="57"/>
      <c r="S719" s="5"/>
      <c r="T719" s="5"/>
      <c r="U719" s="5"/>
      <c r="V719" s="5"/>
      <c r="W719" s="5"/>
      <c r="X719" s="5"/>
      <c r="Y719" s="5"/>
      <c r="Z719" s="5"/>
      <c r="AA719" s="5"/>
      <c r="AB719" s="5"/>
      <c r="AC719" s="5"/>
    </row>
    <row r="720" spans="1:29" ht="12.75" customHeight="1">
      <c r="A720" s="5"/>
      <c r="B720" s="5"/>
      <c r="C720" s="5"/>
      <c r="D720" s="5"/>
      <c r="E720" s="5"/>
      <c r="F720" s="5"/>
      <c r="G720" s="5"/>
      <c r="H720" s="306"/>
      <c r="I720" s="306"/>
      <c r="J720" s="5"/>
      <c r="K720" s="5"/>
      <c r="L720" s="306"/>
      <c r="M720" s="5"/>
      <c r="N720" s="5"/>
      <c r="O720" s="5"/>
      <c r="P720" s="5"/>
      <c r="Q720" s="5"/>
      <c r="R720" s="57"/>
      <c r="S720" s="5"/>
      <c r="T720" s="5"/>
      <c r="U720" s="5"/>
      <c r="V720" s="5"/>
      <c r="W720" s="5"/>
      <c r="X720" s="5"/>
      <c r="Y720" s="5"/>
      <c r="Z720" s="5"/>
      <c r="AA720" s="5"/>
      <c r="AB720" s="5"/>
      <c r="AC720" s="5"/>
    </row>
    <row r="721" spans="1:29" ht="12.75" customHeight="1">
      <c r="A721" s="5"/>
      <c r="B721" s="5"/>
      <c r="C721" s="5"/>
      <c r="D721" s="5"/>
      <c r="E721" s="5"/>
      <c r="F721" s="5"/>
      <c r="G721" s="5"/>
      <c r="H721" s="306"/>
      <c r="I721" s="306"/>
      <c r="J721" s="5"/>
      <c r="K721" s="5"/>
      <c r="L721" s="306"/>
      <c r="M721" s="5"/>
      <c r="N721" s="5"/>
      <c r="O721" s="5"/>
      <c r="P721" s="5"/>
      <c r="Q721" s="5"/>
      <c r="R721" s="57"/>
      <c r="S721" s="5"/>
      <c r="T721" s="5"/>
      <c r="U721" s="5"/>
      <c r="V721" s="5"/>
      <c r="W721" s="5"/>
      <c r="X721" s="5"/>
      <c r="Y721" s="5"/>
      <c r="Z721" s="5"/>
      <c r="AA721" s="5"/>
      <c r="AB721" s="5"/>
      <c r="AC721" s="5"/>
    </row>
    <row r="722" spans="1:29" ht="12.75" customHeight="1">
      <c r="A722" s="5"/>
      <c r="B722" s="5"/>
      <c r="C722" s="5"/>
      <c r="D722" s="5"/>
      <c r="E722" s="5"/>
      <c r="F722" s="5"/>
      <c r="G722" s="5"/>
      <c r="H722" s="306"/>
      <c r="I722" s="306"/>
      <c r="J722" s="5"/>
      <c r="K722" s="5"/>
      <c r="L722" s="306"/>
      <c r="M722" s="5"/>
      <c r="N722" s="5"/>
      <c r="O722" s="5"/>
      <c r="P722" s="5"/>
      <c r="Q722" s="5"/>
      <c r="R722" s="57"/>
      <c r="S722" s="5"/>
      <c r="T722" s="5"/>
      <c r="U722" s="5"/>
      <c r="V722" s="5"/>
      <c r="W722" s="5"/>
      <c r="X722" s="5"/>
      <c r="Y722" s="5"/>
      <c r="Z722" s="5"/>
      <c r="AA722" s="5"/>
      <c r="AB722" s="5"/>
      <c r="AC722" s="5"/>
    </row>
    <row r="723" spans="1:29" ht="12.75" customHeight="1">
      <c r="A723" s="5"/>
      <c r="B723" s="5"/>
      <c r="C723" s="5"/>
      <c r="D723" s="5"/>
      <c r="E723" s="5"/>
      <c r="F723" s="5"/>
      <c r="G723" s="5"/>
      <c r="H723" s="306"/>
      <c r="I723" s="306"/>
      <c r="J723" s="5"/>
      <c r="K723" s="5"/>
      <c r="L723" s="306"/>
      <c r="M723" s="5"/>
      <c r="N723" s="5"/>
      <c r="O723" s="5"/>
      <c r="P723" s="5"/>
      <c r="Q723" s="5"/>
      <c r="R723" s="57"/>
      <c r="S723" s="5"/>
      <c r="T723" s="5"/>
      <c r="U723" s="5"/>
      <c r="V723" s="5"/>
      <c r="W723" s="5"/>
      <c r="X723" s="5"/>
      <c r="Y723" s="5"/>
      <c r="Z723" s="5"/>
      <c r="AA723" s="5"/>
      <c r="AB723" s="5"/>
      <c r="AC723" s="5"/>
    </row>
    <row r="724" spans="1:29" ht="12.75" customHeight="1">
      <c r="A724" s="5"/>
      <c r="B724" s="5"/>
      <c r="C724" s="5"/>
      <c r="D724" s="5"/>
      <c r="E724" s="5"/>
      <c r="F724" s="5"/>
      <c r="G724" s="5"/>
      <c r="H724" s="306"/>
      <c r="I724" s="306"/>
      <c r="J724" s="5"/>
      <c r="K724" s="5"/>
      <c r="L724" s="306"/>
      <c r="M724" s="5"/>
      <c r="N724" s="5"/>
      <c r="O724" s="5"/>
      <c r="P724" s="5"/>
      <c r="Q724" s="5"/>
      <c r="R724" s="57"/>
      <c r="S724" s="5"/>
      <c r="T724" s="5"/>
      <c r="U724" s="5"/>
      <c r="V724" s="5"/>
      <c r="W724" s="5"/>
      <c r="X724" s="5"/>
      <c r="Y724" s="5"/>
      <c r="Z724" s="5"/>
      <c r="AA724" s="5"/>
      <c r="AB724" s="5"/>
      <c r="AC724" s="5"/>
    </row>
    <row r="725" spans="1:29" ht="12.75" customHeight="1">
      <c r="A725" s="5"/>
      <c r="B725" s="5"/>
      <c r="C725" s="5"/>
      <c r="D725" s="5"/>
      <c r="E725" s="5"/>
      <c r="F725" s="5"/>
      <c r="G725" s="5"/>
      <c r="H725" s="306"/>
      <c r="I725" s="306"/>
      <c r="J725" s="5"/>
      <c r="K725" s="5"/>
      <c r="L725" s="306"/>
      <c r="M725" s="5"/>
      <c r="N725" s="5"/>
      <c r="O725" s="5"/>
      <c r="P725" s="5"/>
      <c r="Q725" s="5"/>
      <c r="R725" s="57"/>
      <c r="S725" s="5"/>
      <c r="T725" s="5"/>
      <c r="U725" s="5"/>
      <c r="V725" s="5"/>
      <c r="W725" s="5"/>
      <c r="X725" s="5"/>
      <c r="Y725" s="5"/>
      <c r="Z725" s="5"/>
      <c r="AA725" s="5"/>
      <c r="AB725" s="5"/>
      <c r="AC725" s="5"/>
    </row>
    <row r="726" spans="1:29" ht="12.75" customHeight="1">
      <c r="A726" s="5"/>
      <c r="B726" s="5"/>
      <c r="C726" s="5"/>
      <c r="D726" s="5"/>
      <c r="E726" s="5"/>
      <c r="F726" s="5"/>
      <c r="G726" s="5"/>
      <c r="H726" s="306"/>
      <c r="I726" s="306"/>
      <c r="J726" s="5"/>
      <c r="K726" s="5"/>
      <c r="L726" s="306"/>
      <c r="M726" s="5"/>
      <c r="N726" s="5"/>
      <c r="O726" s="5"/>
      <c r="P726" s="5"/>
      <c r="Q726" s="5"/>
      <c r="R726" s="57"/>
      <c r="S726" s="5"/>
      <c r="T726" s="5"/>
      <c r="U726" s="5"/>
      <c r="V726" s="5"/>
      <c r="W726" s="5"/>
      <c r="X726" s="5"/>
      <c r="Y726" s="5"/>
      <c r="Z726" s="5"/>
      <c r="AA726" s="5"/>
      <c r="AB726" s="5"/>
      <c r="AC726" s="5"/>
    </row>
    <row r="727" spans="1:29" ht="12.75" customHeight="1">
      <c r="A727" s="5"/>
      <c r="B727" s="5"/>
      <c r="C727" s="5"/>
      <c r="D727" s="5"/>
      <c r="E727" s="5"/>
      <c r="F727" s="5"/>
      <c r="G727" s="5"/>
      <c r="H727" s="306"/>
      <c r="I727" s="306"/>
      <c r="J727" s="5"/>
      <c r="K727" s="5"/>
      <c r="L727" s="306"/>
      <c r="M727" s="5"/>
      <c r="N727" s="5"/>
      <c r="O727" s="5"/>
      <c r="P727" s="5"/>
      <c r="Q727" s="5"/>
      <c r="R727" s="57"/>
      <c r="S727" s="5"/>
      <c r="T727" s="5"/>
      <c r="U727" s="5"/>
      <c r="V727" s="5"/>
      <c r="W727" s="5"/>
      <c r="X727" s="5"/>
      <c r="Y727" s="5"/>
      <c r="Z727" s="5"/>
      <c r="AA727" s="5"/>
      <c r="AB727" s="5"/>
      <c r="AC727" s="5"/>
    </row>
    <row r="728" spans="1:29" ht="12.75" customHeight="1">
      <c r="A728" s="5"/>
      <c r="B728" s="5"/>
      <c r="C728" s="5"/>
      <c r="D728" s="5"/>
      <c r="E728" s="5"/>
      <c r="F728" s="5"/>
      <c r="G728" s="5"/>
      <c r="H728" s="306"/>
      <c r="I728" s="306"/>
      <c r="J728" s="5"/>
      <c r="K728" s="5"/>
      <c r="L728" s="306"/>
      <c r="M728" s="5"/>
      <c r="N728" s="5"/>
      <c r="O728" s="5"/>
      <c r="P728" s="5"/>
      <c r="Q728" s="5"/>
      <c r="R728" s="57"/>
      <c r="S728" s="5"/>
      <c r="T728" s="5"/>
      <c r="U728" s="5"/>
      <c r="V728" s="5"/>
      <c r="W728" s="5"/>
      <c r="X728" s="5"/>
      <c r="Y728" s="5"/>
      <c r="Z728" s="5"/>
      <c r="AA728" s="5"/>
      <c r="AB728" s="5"/>
      <c r="AC728" s="5"/>
    </row>
    <row r="729" spans="1:29" ht="12.75" customHeight="1">
      <c r="A729" s="5"/>
      <c r="B729" s="5"/>
      <c r="C729" s="5"/>
      <c r="D729" s="5"/>
      <c r="E729" s="5"/>
      <c r="F729" s="5"/>
      <c r="G729" s="5"/>
      <c r="H729" s="306"/>
      <c r="I729" s="306"/>
      <c r="J729" s="5"/>
      <c r="K729" s="5"/>
      <c r="L729" s="306"/>
      <c r="M729" s="5"/>
      <c r="N729" s="5"/>
      <c r="O729" s="5"/>
      <c r="P729" s="5"/>
      <c r="Q729" s="5"/>
      <c r="R729" s="57"/>
      <c r="S729" s="5"/>
      <c r="T729" s="5"/>
      <c r="U729" s="5"/>
      <c r="V729" s="5"/>
      <c r="W729" s="5"/>
      <c r="X729" s="5"/>
      <c r="Y729" s="5"/>
      <c r="Z729" s="5"/>
      <c r="AA729" s="5"/>
      <c r="AB729" s="5"/>
      <c r="AC729" s="5"/>
    </row>
    <row r="730" spans="1:29" ht="12.75" customHeight="1">
      <c r="A730" s="5"/>
      <c r="B730" s="5"/>
      <c r="C730" s="5"/>
      <c r="D730" s="5"/>
      <c r="E730" s="5"/>
      <c r="F730" s="5"/>
      <c r="G730" s="5"/>
      <c r="H730" s="306"/>
      <c r="I730" s="306"/>
      <c r="J730" s="5"/>
      <c r="K730" s="5"/>
      <c r="L730" s="306"/>
      <c r="M730" s="5"/>
      <c r="N730" s="5"/>
      <c r="O730" s="5"/>
      <c r="P730" s="5"/>
      <c r="Q730" s="5"/>
      <c r="R730" s="57"/>
      <c r="S730" s="5"/>
      <c r="T730" s="5"/>
      <c r="U730" s="5"/>
      <c r="V730" s="5"/>
      <c r="W730" s="5"/>
      <c r="X730" s="5"/>
      <c r="Y730" s="5"/>
      <c r="Z730" s="5"/>
      <c r="AA730" s="5"/>
      <c r="AB730" s="5"/>
      <c r="AC730" s="5"/>
    </row>
    <row r="731" spans="1:29" ht="12.75" customHeight="1">
      <c r="A731" s="5"/>
      <c r="B731" s="5"/>
      <c r="C731" s="5"/>
      <c r="D731" s="5"/>
      <c r="E731" s="5"/>
      <c r="F731" s="5"/>
      <c r="G731" s="5"/>
      <c r="H731" s="306"/>
      <c r="I731" s="306"/>
      <c r="J731" s="5"/>
      <c r="K731" s="5"/>
      <c r="L731" s="306"/>
      <c r="M731" s="5"/>
      <c r="N731" s="5"/>
      <c r="O731" s="5"/>
      <c r="P731" s="5"/>
      <c r="Q731" s="5"/>
      <c r="R731" s="57"/>
      <c r="S731" s="5"/>
      <c r="T731" s="5"/>
      <c r="U731" s="5"/>
      <c r="V731" s="5"/>
      <c r="W731" s="5"/>
      <c r="X731" s="5"/>
      <c r="Y731" s="5"/>
      <c r="Z731" s="5"/>
      <c r="AA731" s="5"/>
      <c r="AB731" s="5"/>
      <c r="AC731" s="5"/>
    </row>
    <row r="732" spans="1:29" ht="12.75" customHeight="1">
      <c r="A732" s="5"/>
      <c r="B732" s="5"/>
      <c r="C732" s="5"/>
      <c r="D732" s="5"/>
      <c r="E732" s="5"/>
      <c r="F732" s="5"/>
      <c r="G732" s="5"/>
      <c r="H732" s="306"/>
      <c r="I732" s="306"/>
      <c r="J732" s="5"/>
      <c r="K732" s="5"/>
      <c r="L732" s="306"/>
      <c r="M732" s="5"/>
      <c r="N732" s="5"/>
      <c r="O732" s="5"/>
      <c r="P732" s="5"/>
      <c r="Q732" s="5"/>
      <c r="R732" s="57"/>
      <c r="S732" s="5"/>
      <c r="T732" s="5"/>
      <c r="U732" s="5"/>
      <c r="V732" s="5"/>
      <c r="W732" s="5"/>
      <c r="X732" s="5"/>
      <c r="Y732" s="5"/>
      <c r="Z732" s="5"/>
      <c r="AA732" s="5"/>
      <c r="AB732" s="5"/>
      <c r="AC732" s="5"/>
    </row>
    <row r="733" spans="1:29" ht="12.75" customHeight="1">
      <c r="A733" s="5"/>
      <c r="B733" s="5"/>
      <c r="C733" s="5"/>
      <c r="D733" s="5"/>
      <c r="E733" s="5"/>
      <c r="F733" s="5"/>
      <c r="G733" s="5"/>
      <c r="H733" s="306"/>
      <c r="I733" s="306"/>
      <c r="J733" s="5"/>
      <c r="K733" s="5"/>
      <c r="L733" s="306"/>
      <c r="M733" s="5"/>
      <c r="N733" s="5"/>
      <c r="O733" s="5"/>
      <c r="P733" s="5"/>
      <c r="Q733" s="5"/>
      <c r="R733" s="57"/>
      <c r="S733" s="5"/>
      <c r="T733" s="5"/>
      <c r="U733" s="5"/>
      <c r="V733" s="5"/>
      <c r="W733" s="5"/>
      <c r="X733" s="5"/>
      <c r="Y733" s="5"/>
      <c r="Z733" s="5"/>
      <c r="AA733" s="5"/>
      <c r="AB733" s="5"/>
      <c r="AC733" s="5"/>
    </row>
    <row r="734" spans="1:29" ht="12.75" customHeight="1">
      <c r="A734" s="5"/>
      <c r="B734" s="5"/>
      <c r="C734" s="5"/>
      <c r="D734" s="5"/>
      <c r="E734" s="5"/>
      <c r="F734" s="5"/>
      <c r="G734" s="5"/>
      <c r="H734" s="306"/>
      <c r="I734" s="306"/>
      <c r="J734" s="5"/>
      <c r="K734" s="5"/>
      <c r="L734" s="306"/>
      <c r="M734" s="5"/>
      <c r="N734" s="5"/>
      <c r="O734" s="5"/>
      <c r="P734" s="5"/>
      <c r="Q734" s="5"/>
      <c r="R734" s="57"/>
      <c r="S734" s="5"/>
      <c r="T734" s="5"/>
      <c r="U734" s="5"/>
      <c r="V734" s="5"/>
      <c r="W734" s="5"/>
      <c r="X734" s="5"/>
      <c r="Y734" s="5"/>
      <c r="Z734" s="5"/>
      <c r="AA734" s="5"/>
      <c r="AB734" s="5"/>
      <c r="AC734" s="5"/>
    </row>
    <row r="735" spans="1:29" ht="12.75" customHeight="1">
      <c r="A735" s="5"/>
      <c r="B735" s="5"/>
      <c r="C735" s="5"/>
      <c r="D735" s="5"/>
      <c r="E735" s="5"/>
      <c r="F735" s="5"/>
      <c r="G735" s="5"/>
      <c r="H735" s="306"/>
      <c r="I735" s="306"/>
      <c r="J735" s="5"/>
      <c r="K735" s="5"/>
      <c r="L735" s="306"/>
      <c r="M735" s="5"/>
      <c r="N735" s="5"/>
      <c r="O735" s="5"/>
      <c r="P735" s="5"/>
      <c r="Q735" s="5"/>
      <c r="R735" s="57"/>
      <c r="S735" s="5"/>
      <c r="T735" s="5"/>
      <c r="U735" s="5"/>
      <c r="V735" s="5"/>
      <c r="W735" s="5"/>
      <c r="X735" s="5"/>
      <c r="Y735" s="5"/>
      <c r="Z735" s="5"/>
      <c r="AA735" s="5"/>
      <c r="AB735" s="5"/>
      <c r="AC735" s="5"/>
    </row>
    <row r="736" spans="1:29" ht="12.75" customHeight="1">
      <c r="A736" s="5"/>
      <c r="B736" s="5"/>
      <c r="C736" s="5"/>
      <c r="D736" s="5"/>
      <c r="E736" s="5"/>
      <c r="F736" s="5"/>
      <c r="G736" s="5"/>
      <c r="H736" s="306"/>
      <c r="I736" s="306"/>
      <c r="J736" s="5"/>
      <c r="K736" s="5"/>
      <c r="L736" s="306"/>
      <c r="M736" s="5"/>
      <c r="N736" s="5"/>
      <c r="O736" s="5"/>
      <c r="P736" s="5"/>
      <c r="Q736" s="5"/>
      <c r="R736" s="57"/>
      <c r="S736" s="5"/>
      <c r="T736" s="5"/>
      <c r="U736" s="5"/>
      <c r="V736" s="5"/>
      <c r="W736" s="5"/>
      <c r="X736" s="5"/>
      <c r="Y736" s="5"/>
      <c r="Z736" s="5"/>
      <c r="AA736" s="5"/>
      <c r="AB736" s="5"/>
      <c r="AC736" s="5"/>
    </row>
    <row r="737" spans="1:29" ht="12.75" customHeight="1">
      <c r="A737" s="5"/>
      <c r="B737" s="5"/>
      <c r="C737" s="5"/>
      <c r="D737" s="5"/>
      <c r="E737" s="5"/>
      <c r="F737" s="5"/>
      <c r="G737" s="5"/>
      <c r="H737" s="306"/>
      <c r="I737" s="306"/>
      <c r="J737" s="5"/>
      <c r="K737" s="5"/>
      <c r="L737" s="306"/>
      <c r="M737" s="5"/>
      <c r="N737" s="5"/>
      <c r="O737" s="5"/>
      <c r="P737" s="5"/>
      <c r="Q737" s="5"/>
      <c r="R737" s="57"/>
      <c r="S737" s="5"/>
      <c r="T737" s="5"/>
      <c r="U737" s="5"/>
      <c r="V737" s="5"/>
      <c r="W737" s="5"/>
      <c r="X737" s="5"/>
      <c r="Y737" s="5"/>
      <c r="Z737" s="5"/>
      <c r="AA737" s="5"/>
      <c r="AB737" s="5"/>
      <c r="AC737" s="5"/>
    </row>
    <row r="738" spans="1:29" ht="12.75" customHeight="1">
      <c r="A738" s="5"/>
      <c r="B738" s="5"/>
      <c r="C738" s="5"/>
      <c r="D738" s="5"/>
      <c r="E738" s="5"/>
      <c r="F738" s="5"/>
      <c r="G738" s="5"/>
      <c r="H738" s="306"/>
      <c r="I738" s="306"/>
      <c r="J738" s="5"/>
      <c r="K738" s="5"/>
      <c r="L738" s="306"/>
      <c r="M738" s="5"/>
      <c r="N738" s="5"/>
      <c r="O738" s="5"/>
      <c r="P738" s="5"/>
      <c r="Q738" s="5"/>
      <c r="R738" s="57"/>
      <c r="S738" s="5"/>
      <c r="T738" s="5"/>
      <c r="U738" s="5"/>
      <c r="V738" s="5"/>
      <c r="W738" s="5"/>
      <c r="X738" s="5"/>
      <c r="Y738" s="5"/>
      <c r="Z738" s="5"/>
      <c r="AA738" s="5"/>
      <c r="AB738" s="5"/>
      <c r="AC738" s="5"/>
    </row>
    <row r="739" spans="1:29" ht="12.75" customHeight="1">
      <c r="A739" s="5"/>
      <c r="B739" s="5"/>
      <c r="C739" s="5"/>
      <c r="D739" s="5"/>
      <c r="E739" s="5"/>
      <c r="F739" s="5"/>
      <c r="G739" s="5"/>
      <c r="H739" s="306"/>
      <c r="I739" s="306"/>
      <c r="J739" s="5"/>
      <c r="K739" s="5"/>
      <c r="L739" s="306"/>
      <c r="M739" s="5"/>
      <c r="N739" s="5"/>
      <c r="O739" s="5"/>
      <c r="P739" s="5"/>
      <c r="Q739" s="5"/>
      <c r="R739" s="57"/>
      <c r="S739" s="5"/>
      <c r="T739" s="5"/>
      <c r="U739" s="5"/>
      <c r="V739" s="5"/>
      <c r="W739" s="5"/>
      <c r="X739" s="5"/>
      <c r="Y739" s="5"/>
      <c r="Z739" s="5"/>
      <c r="AA739" s="5"/>
      <c r="AB739" s="5"/>
      <c r="AC739" s="5"/>
    </row>
    <row r="740" spans="1:29" ht="12.75" customHeight="1">
      <c r="A740" s="5"/>
      <c r="B740" s="5"/>
      <c r="C740" s="5"/>
      <c r="D740" s="5"/>
      <c r="E740" s="5"/>
      <c r="F740" s="5"/>
      <c r="G740" s="5"/>
      <c r="H740" s="306"/>
      <c r="I740" s="306"/>
      <c r="J740" s="5"/>
      <c r="K740" s="5"/>
      <c r="L740" s="306"/>
      <c r="M740" s="5"/>
      <c r="N740" s="5"/>
      <c r="O740" s="5"/>
      <c r="P740" s="5"/>
      <c r="Q740" s="5"/>
      <c r="R740" s="57"/>
      <c r="S740" s="5"/>
      <c r="T740" s="5"/>
      <c r="U740" s="5"/>
      <c r="V740" s="5"/>
      <c r="W740" s="5"/>
      <c r="X740" s="5"/>
      <c r="Y740" s="5"/>
      <c r="Z740" s="5"/>
      <c r="AA740" s="5"/>
      <c r="AB740" s="5"/>
      <c r="AC740" s="5"/>
    </row>
    <row r="741" spans="1:29" ht="12.75" customHeight="1">
      <c r="A741" s="5"/>
      <c r="B741" s="5"/>
      <c r="C741" s="5"/>
      <c r="D741" s="5"/>
      <c r="E741" s="5"/>
      <c r="F741" s="5"/>
      <c r="G741" s="5"/>
      <c r="H741" s="306"/>
      <c r="I741" s="306"/>
      <c r="J741" s="5"/>
      <c r="K741" s="5"/>
      <c r="L741" s="306"/>
      <c r="M741" s="5"/>
      <c r="N741" s="5"/>
      <c r="O741" s="5"/>
      <c r="P741" s="5"/>
      <c r="Q741" s="5"/>
      <c r="R741" s="57"/>
      <c r="S741" s="5"/>
      <c r="T741" s="5"/>
      <c r="U741" s="5"/>
      <c r="V741" s="5"/>
      <c r="W741" s="5"/>
      <c r="X741" s="5"/>
      <c r="Y741" s="5"/>
      <c r="Z741" s="5"/>
      <c r="AA741" s="5"/>
      <c r="AB741" s="5"/>
      <c r="AC741" s="5"/>
    </row>
    <row r="742" spans="1:29" ht="12.75" customHeight="1">
      <c r="A742" s="5"/>
      <c r="B742" s="5"/>
      <c r="C742" s="5"/>
      <c r="D742" s="5"/>
      <c r="E742" s="5"/>
      <c r="F742" s="5"/>
      <c r="G742" s="5"/>
      <c r="H742" s="306"/>
      <c r="I742" s="306"/>
      <c r="J742" s="5"/>
      <c r="K742" s="5"/>
      <c r="L742" s="306"/>
      <c r="M742" s="5"/>
      <c r="N742" s="5"/>
      <c r="O742" s="5"/>
      <c r="P742" s="5"/>
      <c r="Q742" s="5"/>
      <c r="R742" s="57"/>
      <c r="S742" s="5"/>
      <c r="T742" s="5"/>
      <c r="U742" s="5"/>
      <c r="V742" s="5"/>
      <c r="W742" s="5"/>
      <c r="X742" s="5"/>
      <c r="Y742" s="5"/>
      <c r="Z742" s="5"/>
      <c r="AA742" s="5"/>
      <c r="AB742" s="5"/>
      <c r="AC742" s="5"/>
    </row>
    <row r="743" spans="1:29" ht="12.75" customHeight="1">
      <c r="A743" s="5"/>
      <c r="B743" s="5"/>
      <c r="C743" s="5"/>
      <c r="D743" s="5"/>
      <c r="E743" s="5"/>
      <c r="F743" s="5"/>
      <c r="G743" s="5"/>
      <c r="H743" s="306"/>
      <c r="I743" s="306"/>
      <c r="J743" s="5"/>
      <c r="K743" s="5"/>
      <c r="L743" s="306"/>
      <c r="M743" s="5"/>
      <c r="N743" s="5"/>
      <c r="O743" s="5"/>
      <c r="P743" s="5"/>
      <c r="Q743" s="5"/>
      <c r="R743" s="57"/>
      <c r="S743" s="5"/>
      <c r="T743" s="5"/>
      <c r="U743" s="5"/>
      <c r="V743" s="5"/>
      <c r="W743" s="5"/>
      <c r="X743" s="5"/>
      <c r="Y743" s="5"/>
      <c r="Z743" s="5"/>
      <c r="AA743" s="5"/>
      <c r="AB743" s="5"/>
      <c r="AC743" s="5"/>
    </row>
    <row r="744" spans="1:29" ht="12.75" customHeight="1">
      <c r="A744" s="5"/>
      <c r="B744" s="5"/>
      <c r="C744" s="5"/>
      <c r="D744" s="5"/>
      <c r="E744" s="5"/>
      <c r="F744" s="5"/>
      <c r="G744" s="5"/>
      <c r="H744" s="306"/>
      <c r="I744" s="306"/>
      <c r="J744" s="5"/>
      <c r="K744" s="5"/>
      <c r="L744" s="306"/>
      <c r="M744" s="5"/>
      <c r="N744" s="5"/>
      <c r="O744" s="5"/>
      <c r="P744" s="5"/>
      <c r="Q744" s="5"/>
      <c r="R744" s="57"/>
      <c r="S744" s="5"/>
      <c r="T744" s="5"/>
      <c r="U744" s="5"/>
      <c r="V744" s="5"/>
      <c r="W744" s="5"/>
      <c r="X744" s="5"/>
      <c r="Y744" s="5"/>
      <c r="Z744" s="5"/>
      <c r="AA744" s="5"/>
      <c r="AB744" s="5"/>
      <c r="AC744" s="5"/>
    </row>
    <row r="745" spans="1:29" ht="12.75" customHeight="1">
      <c r="A745" s="5"/>
      <c r="B745" s="5"/>
      <c r="C745" s="5"/>
      <c r="D745" s="5"/>
      <c r="E745" s="5"/>
      <c r="F745" s="5"/>
      <c r="G745" s="5"/>
      <c r="H745" s="306"/>
      <c r="I745" s="306"/>
      <c r="J745" s="5"/>
      <c r="K745" s="5"/>
      <c r="L745" s="306"/>
      <c r="M745" s="5"/>
      <c r="N745" s="5"/>
      <c r="O745" s="5"/>
      <c r="P745" s="5"/>
      <c r="Q745" s="5"/>
      <c r="R745" s="57"/>
      <c r="S745" s="5"/>
      <c r="T745" s="5"/>
      <c r="U745" s="5"/>
      <c r="V745" s="5"/>
      <c r="W745" s="5"/>
      <c r="X745" s="5"/>
      <c r="Y745" s="5"/>
      <c r="Z745" s="5"/>
      <c r="AA745" s="5"/>
      <c r="AB745" s="5"/>
      <c r="AC745" s="5"/>
    </row>
    <row r="746" spans="1:29" ht="12.75" customHeight="1">
      <c r="A746" s="5"/>
      <c r="B746" s="5"/>
      <c r="C746" s="5"/>
      <c r="D746" s="5"/>
      <c r="E746" s="5"/>
      <c r="F746" s="5"/>
      <c r="G746" s="5"/>
      <c r="H746" s="306"/>
      <c r="I746" s="306"/>
      <c r="J746" s="5"/>
      <c r="K746" s="5"/>
      <c r="L746" s="306"/>
      <c r="M746" s="5"/>
      <c r="N746" s="5"/>
      <c r="O746" s="5"/>
      <c r="P746" s="5"/>
      <c r="Q746" s="5"/>
      <c r="R746" s="57"/>
      <c r="S746" s="5"/>
      <c r="T746" s="5"/>
      <c r="U746" s="5"/>
      <c r="V746" s="5"/>
      <c r="W746" s="5"/>
      <c r="X746" s="5"/>
      <c r="Y746" s="5"/>
      <c r="Z746" s="5"/>
      <c r="AA746" s="5"/>
      <c r="AB746" s="5"/>
      <c r="AC746" s="5"/>
    </row>
    <row r="747" spans="1:29" ht="12.75" customHeight="1">
      <c r="A747" s="5"/>
      <c r="B747" s="5"/>
      <c r="C747" s="5"/>
      <c r="D747" s="5"/>
      <c r="E747" s="5"/>
      <c r="F747" s="5"/>
      <c r="G747" s="5"/>
      <c r="H747" s="306"/>
      <c r="I747" s="306"/>
      <c r="J747" s="5"/>
      <c r="K747" s="5"/>
      <c r="L747" s="306"/>
      <c r="M747" s="5"/>
      <c r="N747" s="5"/>
      <c r="O747" s="5"/>
      <c r="P747" s="5"/>
      <c r="Q747" s="5"/>
      <c r="R747" s="57"/>
      <c r="S747" s="5"/>
      <c r="T747" s="5"/>
      <c r="U747" s="5"/>
      <c r="V747" s="5"/>
      <c r="W747" s="5"/>
      <c r="X747" s="5"/>
      <c r="Y747" s="5"/>
      <c r="Z747" s="5"/>
      <c r="AA747" s="5"/>
      <c r="AB747" s="5"/>
      <c r="AC747" s="5"/>
    </row>
    <row r="748" spans="1:29" ht="12.75" customHeight="1">
      <c r="A748" s="5"/>
      <c r="B748" s="5"/>
      <c r="C748" s="5"/>
      <c r="D748" s="5"/>
      <c r="E748" s="5"/>
      <c r="F748" s="5"/>
      <c r="G748" s="5"/>
      <c r="H748" s="306"/>
      <c r="I748" s="306"/>
      <c r="J748" s="5"/>
      <c r="K748" s="5"/>
      <c r="L748" s="306"/>
      <c r="M748" s="5"/>
      <c r="N748" s="5"/>
      <c r="O748" s="5"/>
      <c r="P748" s="5"/>
      <c r="Q748" s="5"/>
      <c r="R748" s="57"/>
      <c r="S748" s="5"/>
      <c r="T748" s="5"/>
      <c r="U748" s="5"/>
      <c r="V748" s="5"/>
      <c r="W748" s="5"/>
      <c r="X748" s="5"/>
      <c r="Y748" s="5"/>
      <c r="Z748" s="5"/>
      <c r="AA748" s="5"/>
      <c r="AB748" s="5"/>
      <c r="AC748" s="5"/>
    </row>
    <row r="749" spans="1:29" ht="12.75" customHeight="1">
      <c r="A749" s="5"/>
      <c r="B749" s="5"/>
      <c r="C749" s="5"/>
      <c r="D749" s="5"/>
      <c r="E749" s="5"/>
      <c r="F749" s="5"/>
      <c r="G749" s="5"/>
      <c r="H749" s="306"/>
      <c r="I749" s="306"/>
      <c r="J749" s="5"/>
      <c r="K749" s="5"/>
      <c r="L749" s="306"/>
      <c r="M749" s="5"/>
      <c r="N749" s="5"/>
      <c r="O749" s="5"/>
      <c r="P749" s="5"/>
      <c r="Q749" s="5"/>
      <c r="R749" s="57"/>
      <c r="S749" s="5"/>
      <c r="T749" s="5"/>
      <c r="U749" s="5"/>
      <c r="V749" s="5"/>
      <c r="W749" s="5"/>
      <c r="X749" s="5"/>
      <c r="Y749" s="5"/>
      <c r="Z749" s="5"/>
      <c r="AA749" s="5"/>
      <c r="AB749" s="5"/>
      <c r="AC749" s="5"/>
    </row>
    <row r="750" spans="1:29" ht="12.75" customHeight="1">
      <c r="A750" s="5"/>
      <c r="B750" s="5"/>
      <c r="C750" s="5"/>
      <c r="D750" s="5"/>
      <c r="E750" s="5"/>
      <c r="F750" s="5"/>
      <c r="G750" s="5"/>
      <c r="H750" s="306"/>
      <c r="I750" s="306"/>
      <c r="J750" s="5"/>
      <c r="K750" s="5"/>
      <c r="L750" s="306"/>
      <c r="M750" s="5"/>
      <c r="N750" s="5"/>
      <c r="O750" s="5"/>
      <c r="P750" s="5"/>
      <c r="Q750" s="5"/>
      <c r="R750" s="57"/>
      <c r="S750" s="5"/>
      <c r="T750" s="5"/>
      <c r="U750" s="5"/>
      <c r="V750" s="5"/>
      <c r="W750" s="5"/>
      <c r="X750" s="5"/>
      <c r="Y750" s="5"/>
      <c r="Z750" s="5"/>
      <c r="AA750" s="5"/>
      <c r="AB750" s="5"/>
      <c r="AC750" s="5"/>
    </row>
    <row r="751" spans="1:29" ht="12.75" customHeight="1">
      <c r="A751" s="5"/>
      <c r="B751" s="5"/>
      <c r="C751" s="5"/>
      <c r="D751" s="5"/>
      <c r="E751" s="5"/>
      <c r="F751" s="5"/>
      <c r="G751" s="5"/>
      <c r="H751" s="306"/>
      <c r="I751" s="306"/>
      <c r="J751" s="5"/>
      <c r="K751" s="5"/>
      <c r="L751" s="306"/>
      <c r="M751" s="5"/>
      <c r="N751" s="5"/>
      <c r="O751" s="5"/>
      <c r="P751" s="5"/>
      <c r="Q751" s="5"/>
      <c r="R751" s="57"/>
      <c r="S751" s="5"/>
      <c r="T751" s="5"/>
      <c r="U751" s="5"/>
      <c r="V751" s="5"/>
      <c r="W751" s="5"/>
      <c r="X751" s="5"/>
      <c r="Y751" s="5"/>
      <c r="Z751" s="5"/>
      <c r="AA751" s="5"/>
      <c r="AB751" s="5"/>
      <c r="AC751" s="5"/>
    </row>
    <row r="752" spans="1:29" ht="12.75" customHeight="1">
      <c r="A752" s="5"/>
      <c r="B752" s="5"/>
      <c r="C752" s="5"/>
      <c r="D752" s="5"/>
      <c r="E752" s="5"/>
      <c r="F752" s="5"/>
      <c r="G752" s="5"/>
      <c r="H752" s="306"/>
      <c r="I752" s="306"/>
      <c r="J752" s="5"/>
      <c r="K752" s="5"/>
      <c r="L752" s="306"/>
      <c r="M752" s="5"/>
      <c r="N752" s="5"/>
      <c r="O752" s="5"/>
      <c r="P752" s="5"/>
      <c r="Q752" s="5"/>
      <c r="R752" s="57"/>
      <c r="S752" s="5"/>
      <c r="T752" s="5"/>
      <c r="U752" s="5"/>
      <c r="V752" s="5"/>
      <c r="W752" s="5"/>
      <c r="X752" s="5"/>
      <c r="Y752" s="5"/>
      <c r="Z752" s="5"/>
      <c r="AA752" s="5"/>
      <c r="AB752" s="5"/>
      <c r="AC752" s="5"/>
    </row>
    <row r="753" spans="1:29" ht="12.75" customHeight="1">
      <c r="A753" s="5"/>
      <c r="B753" s="5"/>
      <c r="C753" s="5"/>
      <c r="D753" s="5"/>
      <c r="E753" s="5"/>
      <c r="F753" s="5"/>
      <c r="G753" s="5"/>
      <c r="H753" s="306"/>
      <c r="I753" s="306"/>
      <c r="J753" s="5"/>
      <c r="K753" s="5"/>
      <c r="L753" s="306"/>
      <c r="M753" s="5"/>
      <c r="N753" s="5"/>
      <c r="O753" s="5"/>
      <c r="P753" s="5"/>
      <c r="Q753" s="5"/>
      <c r="R753" s="57"/>
      <c r="S753" s="5"/>
      <c r="T753" s="5"/>
      <c r="U753" s="5"/>
      <c r="V753" s="5"/>
      <c r="W753" s="5"/>
      <c r="X753" s="5"/>
      <c r="Y753" s="5"/>
      <c r="Z753" s="5"/>
      <c r="AA753" s="5"/>
      <c r="AB753" s="5"/>
      <c r="AC753" s="5"/>
    </row>
    <row r="754" spans="1:29" ht="12.75" customHeight="1">
      <c r="A754" s="5"/>
      <c r="B754" s="5"/>
      <c r="C754" s="5"/>
      <c r="D754" s="5"/>
      <c r="E754" s="5"/>
      <c r="F754" s="5"/>
      <c r="G754" s="5"/>
      <c r="H754" s="306"/>
      <c r="I754" s="306"/>
      <c r="J754" s="5"/>
      <c r="K754" s="5"/>
      <c r="L754" s="306"/>
      <c r="M754" s="5"/>
      <c r="N754" s="5"/>
      <c r="O754" s="5"/>
      <c r="P754" s="5"/>
      <c r="Q754" s="5"/>
      <c r="R754" s="57"/>
      <c r="S754" s="5"/>
      <c r="T754" s="5"/>
      <c r="U754" s="5"/>
      <c r="V754" s="5"/>
      <c r="W754" s="5"/>
      <c r="X754" s="5"/>
      <c r="Y754" s="5"/>
      <c r="Z754" s="5"/>
      <c r="AA754" s="5"/>
      <c r="AB754" s="5"/>
      <c r="AC754" s="5"/>
    </row>
    <row r="755" spans="1:29" ht="12.75" customHeight="1">
      <c r="A755" s="5"/>
      <c r="B755" s="5"/>
      <c r="C755" s="5"/>
      <c r="D755" s="5"/>
      <c r="E755" s="5"/>
      <c r="F755" s="5"/>
      <c r="G755" s="5"/>
      <c r="H755" s="306"/>
      <c r="I755" s="306"/>
      <c r="J755" s="5"/>
      <c r="K755" s="5"/>
      <c r="L755" s="306"/>
      <c r="M755" s="5"/>
      <c r="N755" s="5"/>
      <c r="O755" s="5"/>
      <c r="P755" s="5"/>
      <c r="Q755" s="5"/>
      <c r="R755" s="57"/>
      <c r="S755" s="5"/>
      <c r="T755" s="5"/>
      <c r="U755" s="5"/>
      <c r="V755" s="5"/>
      <c r="W755" s="5"/>
      <c r="X755" s="5"/>
      <c r="Y755" s="5"/>
      <c r="Z755" s="5"/>
      <c r="AA755" s="5"/>
      <c r="AB755" s="5"/>
      <c r="AC755" s="5"/>
    </row>
    <row r="756" spans="1:29" ht="12.75" customHeight="1">
      <c r="A756" s="5"/>
      <c r="B756" s="5"/>
      <c r="C756" s="5"/>
      <c r="D756" s="5"/>
      <c r="E756" s="5"/>
      <c r="F756" s="5"/>
      <c r="G756" s="5"/>
      <c r="H756" s="306"/>
      <c r="I756" s="306"/>
      <c r="J756" s="5"/>
      <c r="K756" s="5"/>
      <c r="L756" s="306"/>
      <c r="M756" s="5"/>
      <c r="N756" s="5"/>
      <c r="O756" s="5"/>
      <c r="P756" s="5"/>
      <c r="Q756" s="5"/>
      <c r="R756" s="57"/>
      <c r="S756" s="5"/>
      <c r="T756" s="5"/>
      <c r="U756" s="5"/>
      <c r="V756" s="5"/>
      <c r="W756" s="5"/>
      <c r="X756" s="5"/>
      <c r="Y756" s="5"/>
      <c r="Z756" s="5"/>
      <c r="AA756" s="5"/>
      <c r="AB756" s="5"/>
      <c r="AC756" s="5"/>
    </row>
    <row r="757" spans="1:29" ht="12.75" customHeight="1">
      <c r="A757" s="5"/>
      <c r="B757" s="5"/>
      <c r="C757" s="5"/>
      <c r="D757" s="5"/>
      <c r="E757" s="5"/>
      <c r="F757" s="5"/>
      <c r="G757" s="5"/>
      <c r="H757" s="306"/>
      <c r="I757" s="306"/>
      <c r="J757" s="5"/>
      <c r="K757" s="5"/>
      <c r="L757" s="306"/>
      <c r="M757" s="5"/>
      <c r="N757" s="5"/>
      <c r="O757" s="5"/>
      <c r="P757" s="5"/>
      <c r="Q757" s="5"/>
      <c r="R757" s="57"/>
      <c r="S757" s="5"/>
      <c r="T757" s="5"/>
      <c r="U757" s="5"/>
      <c r="V757" s="5"/>
      <c r="W757" s="5"/>
      <c r="X757" s="5"/>
      <c r="Y757" s="5"/>
      <c r="Z757" s="5"/>
      <c r="AA757" s="5"/>
      <c r="AB757" s="5"/>
      <c r="AC757" s="5"/>
    </row>
    <row r="758" spans="1:29" ht="12.75" customHeight="1">
      <c r="A758" s="5"/>
      <c r="B758" s="5"/>
      <c r="C758" s="5"/>
      <c r="D758" s="5"/>
      <c r="E758" s="5"/>
      <c r="F758" s="5"/>
      <c r="G758" s="5"/>
      <c r="H758" s="306"/>
      <c r="I758" s="306"/>
      <c r="J758" s="5"/>
      <c r="K758" s="5"/>
      <c r="L758" s="306"/>
      <c r="M758" s="5"/>
      <c r="N758" s="5"/>
      <c r="O758" s="5"/>
      <c r="P758" s="5"/>
      <c r="Q758" s="5"/>
      <c r="R758" s="57"/>
      <c r="S758" s="5"/>
      <c r="T758" s="5"/>
      <c r="U758" s="5"/>
      <c r="V758" s="5"/>
      <c r="W758" s="5"/>
      <c r="X758" s="5"/>
      <c r="Y758" s="5"/>
      <c r="Z758" s="5"/>
      <c r="AA758" s="5"/>
      <c r="AB758" s="5"/>
      <c r="AC758" s="5"/>
    </row>
    <row r="759" spans="1:29" ht="12.75" customHeight="1">
      <c r="A759" s="5"/>
      <c r="B759" s="5"/>
      <c r="C759" s="5"/>
      <c r="D759" s="5"/>
      <c r="E759" s="5"/>
      <c r="F759" s="5"/>
      <c r="G759" s="5"/>
      <c r="H759" s="306"/>
      <c r="I759" s="306"/>
      <c r="J759" s="5"/>
      <c r="K759" s="5"/>
      <c r="L759" s="306"/>
      <c r="M759" s="5"/>
      <c r="N759" s="5"/>
      <c r="O759" s="5"/>
      <c r="P759" s="5"/>
      <c r="Q759" s="5"/>
      <c r="R759" s="57"/>
      <c r="S759" s="5"/>
      <c r="T759" s="5"/>
      <c r="U759" s="5"/>
      <c r="V759" s="5"/>
      <c r="W759" s="5"/>
      <c r="X759" s="5"/>
      <c r="Y759" s="5"/>
      <c r="Z759" s="5"/>
      <c r="AA759" s="5"/>
      <c r="AB759" s="5"/>
      <c r="AC759" s="5"/>
    </row>
    <row r="760" spans="1:29" ht="12.75" customHeight="1">
      <c r="A760" s="5"/>
      <c r="B760" s="5"/>
      <c r="C760" s="5"/>
      <c r="D760" s="5"/>
      <c r="E760" s="5"/>
      <c r="F760" s="5"/>
      <c r="G760" s="5"/>
      <c r="H760" s="306"/>
      <c r="I760" s="306"/>
      <c r="J760" s="5"/>
      <c r="K760" s="5"/>
      <c r="L760" s="306"/>
      <c r="M760" s="5"/>
      <c r="N760" s="5"/>
      <c r="O760" s="5"/>
      <c r="P760" s="5"/>
      <c r="Q760" s="5"/>
      <c r="R760" s="57"/>
      <c r="S760" s="5"/>
      <c r="T760" s="5"/>
      <c r="U760" s="5"/>
      <c r="V760" s="5"/>
      <c r="W760" s="5"/>
      <c r="X760" s="5"/>
      <c r="Y760" s="5"/>
      <c r="Z760" s="5"/>
      <c r="AA760" s="5"/>
      <c r="AB760" s="5"/>
      <c r="AC760" s="5"/>
    </row>
    <row r="761" spans="1:29" ht="12.75" customHeight="1">
      <c r="A761" s="5"/>
      <c r="B761" s="5"/>
      <c r="C761" s="5"/>
      <c r="D761" s="5"/>
      <c r="E761" s="5"/>
      <c r="F761" s="5"/>
      <c r="G761" s="5"/>
      <c r="H761" s="306"/>
      <c r="I761" s="306"/>
      <c r="J761" s="5"/>
      <c r="K761" s="5"/>
      <c r="L761" s="306"/>
      <c r="M761" s="5"/>
      <c r="N761" s="5"/>
      <c r="O761" s="5"/>
      <c r="P761" s="5"/>
      <c r="Q761" s="5"/>
      <c r="R761" s="57"/>
      <c r="S761" s="5"/>
      <c r="T761" s="5"/>
      <c r="U761" s="5"/>
      <c r="V761" s="5"/>
      <c r="W761" s="5"/>
      <c r="X761" s="5"/>
      <c r="Y761" s="5"/>
      <c r="Z761" s="5"/>
      <c r="AA761" s="5"/>
      <c r="AB761" s="5"/>
      <c r="AC761" s="5"/>
    </row>
    <row r="762" spans="1:29" ht="12.75" customHeight="1">
      <c r="A762" s="5"/>
      <c r="B762" s="5"/>
      <c r="C762" s="5"/>
      <c r="D762" s="5"/>
      <c r="E762" s="5"/>
      <c r="F762" s="5"/>
      <c r="G762" s="5"/>
      <c r="H762" s="306"/>
      <c r="I762" s="306"/>
      <c r="J762" s="5"/>
      <c r="K762" s="5"/>
      <c r="L762" s="306"/>
      <c r="M762" s="5"/>
      <c r="N762" s="5"/>
      <c r="O762" s="5"/>
      <c r="P762" s="5"/>
      <c r="Q762" s="5"/>
      <c r="R762" s="57"/>
      <c r="S762" s="5"/>
      <c r="T762" s="5"/>
      <c r="U762" s="5"/>
      <c r="V762" s="5"/>
      <c r="W762" s="5"/>
      <c r="X762" s="5"/>
      <c r="Y762" s="5"/>
      <c r="Z762" s="5"/>
      <c r="AA762" s="5"/>
      <c r="AB762" s="5"/>
      <c r="AC762" s="5"/>
    </row>
    <row r="763" spans="1:29" ht="12.75" customHeight="1">
      <c r="A763" s="5"/>
      <c r="B763" s="5"/>
      <c r="C763" s="5"/>
      <c r="D763" s="5"/>
      <c r="E763" s="5"/>
      <c r="F763" s="5"/>
      <c r="G763" s="5"/>
      <c r="H763" s="306"/>
      <c r="I763" s="306"/>
      <c r="J763" s="5"/>
      <c r="K763" s="5"/>
      <c r="L763" s="306"/>
      <c r="M763" s="5"/>
      <c r="N763" s="5"/>
      <c r="O763" s="5"/>
      <c r="P763" s="5"/>
      <c r="Q763" s="5"/>
      <c r="R763" s="57"/>
      <c r="S763" s="5"/>
      <c r="T763" s="5"/>
      <c r="U763" s="5"/>
      <c r="V763" s="5"/>
      <c r="W763" s="5"/>
      <c r="X763" s="5"/>
      <c r="Y763" s="5"/>
      <c r="Z763" s="5"/>
      <c r="AA763" s="5"/>
      <c r="AB763" s="5"/>
      <c r="AC763" s="5"/>
    </row>
    <row r="764" spans="1:29" ht="12.75" customHeight="1">
      <c r="A764" s="5"/>
      <c r="B764" s="5"/>
      <c r="C764" s="5"/>
      <c r="D764" s="5"/>
      <c r="E764" s="5"/>
      <c r="F764" s="5"/>
      <c r="G764" s="5"/>
      <c r="H764" s="306"/>
      <c r="I764" s="306"/>
      <c r="J764" s="5"/>
      <c r="K764" s="5"/>
      <c r="L764" s="306"/>
      <c r="M764" s="5"/>
      <c r="N764" s="5"/>
      <c r="O764" s="5"/>
      <c r="P764" s="5"/>
      <c r="Q764" s="5"/>
      <c r="R764" s="57"/>
      <c r="S764" s="5"/>
      <c r="T764" s="5"/>
      <c r="U764" s="5"/>
      <c r="V764" s="5"/>
      <c r="W764" s="5"/>
      <c r="X764" s="5"/>
      <c r="Y764" s="5"/>
      <c r="Z764" s="5"/>
      <c r="AA764" s="5"/>
      <c r="AB764" s="5"/>
      <c r="AC764" s="5"/>
    </row>
    <row r="765" spans="1:29" ht="12.75" customHeight="1">
      <c r="A765" s="5"/>
      <c r="B765" s="5"/>
      <c r="C765" s="5"/>
      <c r="D765" s="5"/>
      <c r="E765" s="5"/>
      <c r="F765" s="5"/>
      <c r="G765" s="5"/>
      <c r="H765" s="306"/>
      <c r="I765" s="306"/>
      <c r="J765" s="5"/>
      <c r="K765" s="5"/>
      <c r="L765" s="306"/>
      <c r="M765" s="5"/>
      <c r="N765" s="5"/>
      <c r="O765" s="5"/>
      <c r="P765" s="5"/>
      <c r="Q765" s="5"/>
      <c r="R765" s="57"/>
      <c r="S765" s="5"/>
      <c r="T765" s="5"/>
      <c r="U765" s="5"/>
      <c r="V765" s="5"/>
      <c r="W765" s="5"/>
      <c r="X765" s="5"/>
      <c r="Y765" s="5"/>
      <c r="Z765" s="5"/>
      <c r="AA765" s="5"/>
      <c r="AB765" s="5"/>
      <c r="AC765" s="5"/>
    </row>
    <row r="766" spans="1:29" ht="12.75" customHeight="1">
      <c r="A766" s="5"/>
      <c r="B766" s="5"/>
      <c r="C766" s="5"/>
      <c r="D766" s="5"/>
      <c r="E766" s="5"/>
      <c r="F766" s="5"/>
      <c r="G766" s="5"/>
      <c r="H766" s="306"/>
      <c r="I766" s="306"/>
      <c r="J766" s="5"/>
      <c r="K766" s="5"/>
      <c r="L766" s="306"/>
      <c r="M766" s="5"/>
      <c r="N766" s="5"/>
      <c r="O766" s="5"/>
      <c r="P766" s="5"/>
      <c r="Q766" s="5"/>
      <c r="R766" s="57"/>
      <c r="S766" s="5"/>
      <c r="T766" s="5"/>
      <c r="U766" s="5"/>
      <c r="V766" s="5"/>
      <c r="W766" s="5"/>
      <c r="X766" s="5"/>
      <c r="Y766" s="5"/>
      <c r="Z766" s="5"/>
      <c r="AA766" s="5"/>
      <c r="AB766" s="5"/>
      <c r="AC766" s="5"/>
    </row>
    <row r="767" spans="1:29" ht="12.75" customHeight="1">
      <c r="A767" s="5"/>
      <c r="B767" s="5"/>
      <c r="C767" s="5"/>
      <c r="D767" s="5"/>
      <c r="E767" s="5"/>
      <c r="F767" s="5"/>
      <c r="G767" s="5"/>
      <c r="H767" s="306"/>
      <c r="I767" s="306"/>
      <c r="J767" s="5"/>
      <c r="K767" s="5"/>
      <c r="L767" s="306"/>
      <c r="M767" s="5"/>
      <c r="N767" s="5"/>
      <c r="O767" s="5"/>
      <c r="P767" s="5"/>
      <c r="Q767" s="5"/>
      <c r="R767" s="57"/>
      <c r="S767" s="5"/>
      <c r="T767" s="5"/>
      <c r="U767" s="5"/>
      <c r="V767" s="5"/>
      <c r="W767" s="5"/>
      <c r="X767" s="5"/>
      <c r="Y767" s="5"/>
      <c r="Z767" s="5"/>
      <c r="AA767" s="5"/>
      <c r="AB767" s="5"/>
      <c r="AC767" s="5"/>
    </row>
    <row r="768" spans="1:29" ht="12.75" customHeight="1">
      <c r="A768" s="5"/>
      <c r="B768" s="5"/>
      <c r="C768" s="5"/>
      <c r="D768" s="5"/>
      <c r="E768" s="5"/>
      <c r="F768" s="5"/>
      <c r="G768" s="5"/>
      <c r="H768" s="306"/>
      <c r="I768" s="306"/>
      <c r="J768" s="5"/>
      <c r="K768" s="5"/>
      <c r="L768" s="306"/>
      <c r="M768" s="5"/>
      <c r="N768" s="5"/>
      <c r="O768" s="5"/>
      <c r="P768" s="5"/>
      <c r="Q768" s="5"/>
      <c r="R768" s="57"/>
      <c r="S768" s="5"/>
      <c r="T768" s="5"/>
      <c r="U768" s="5"/>
      <c r="V768" s="5"/>
      <c r="W768" s="5"/>
      <c r="X768" s="5"/>
      <c r="Y768" s="5"/>
      <c r="Z768" s="5"/>
      <c r="AA768" s="5"/>
      <c r="AB768" s="5"/>
      <c r="AC768" s="5"/>
    </row>
    <row r="769" spans="1:29" ht="12.75" customHeight="1">
      <c r="A769" s="5"/>
      <c r="B769" s="5"/>
      <c r="C769" s="5"/>
      <c r="D769" s="5"/>
      <c r="E769" s="5"/>
      <c r="F769" s="5"/>
      <c r="G769" s="5"/>
      <c r="H769" s="306"/>
      <c r="I769" s="306"/>
      <c r="J769" s="5"/>
      <c r="K769" s="5"/>
      <c r="L769" s="306"/>
      <c r="M769" s="5"/>
      <c r="N769" s="5"/>
      <c r="O769" s="5"/>
      <c r="P769" s="5"/>
      <c r="Q769" s="5"/>
      <c r="R769" s="57"/>
      <c r="S769" s="5"/>
      <c r="T769" s="5"/>
      <c r="U769" s="5"/>
      <c r="V769" s="5"/>
      <c r="W769" s="5"/>
      <c r="X769" s="5"/>
      <c r="Y769" s="5"/>
      <c r="Z769" s="5"/>
      <c r="AA769" s="5"/>
      <c r="AB769" s="5"/>
      <c r="AC769" s="5"/>
    </row>
    <row r="770" spans="1:29" ht="12.75" customHeight="1">
      <c r="A770" s="5"/>
      <c r="B770" s="5"/>
      <c r="C770" s="5"/>
      <c r="D770" s="5"/>
      <c r="E770" s="5"/>
      <c r="F770" s="5"/>
      <c r="G770" s="5"/>
      <c r="H770" s="306"/>
      <c r="I770" s="306"/>
      <c r="J770" s="5"/>
      <c r="K770" s="5"/>
      <c r="L770" s="306"/>
      <c r="M770" s="5"/>
      <c r="N770" s="5"/>
      <c r="O770" s="5"/>
      <c r="P770" s="5"/>
      <c r="Q770" s="5"/>
      <c r="R770" s="57"/>
      <c r="S770" s="5"/>
      <c r="T770" s="5"/>
      <c r="U770" s="5"/>
      <c r="V770" s="5"/>
      <c r="W770" s="5"/>
      <c r="X770" s="5"/>
      <c r="Y770" s="5"/>
      <c r="Z770" s="5"/>
      <c r="AA770" s="5"/>
      <c r="AB770" s="5"/>
      <c r="AC770" s="5"/>
    </row>
    <row r="771" spans="1:29" ht="12.75" customHeight="1">
      <c r="A771" s="5"/>
      <c r="B771" s="5"/>
      <c r="C771" s="5"/>
      <c r="D771" s="5"/>
      <c r="E771" s="5"/>
      <c r="F771" s="5"/>
      <c r="G771" s="5"/>
      <c r="H771" s="306"/>
      <c r="I771" s="306"/>
      <c r="J771" s="5"/>
      <c r="K771" s="5"/>
      <c r="L771" s="306"/>
      <c r="M771" s="5"/>
      <c r="N771" s="5"/>
      <c r="O771" s="5"/>
      <c r="P771" s="5"/>
      <c r="Q771" s="5"/>
      <c r="R771" s="57"/>
      <c r="S771" s="5"/>
      <c r="T771" s="5"/>
      <c r="U771" s="5"/>
      <c r="V771" s="5"/>
      <c r="W771" s="5"/>
      <c r="X771" s="5"/>
      <c r="Y771" s="5"/>
      <c r="Z771" s="5"/>
      <c r="AA771" s="5"/>
      <c r="AB771" s="5"/>
      <c r="AC771" s="5"/>
    </row>
    <row r="772" spans="1:29" ht="12.75" customHeight="1">
      <c r="A772" s="5"/>
      <c r="B772" s="5"/>
      <c r="C772" s="5"/>
      <c r="D772" s="5"/>
      <c r="E772" s="5"/>
      <c r="F772" s="5"/>
      <c r="G772" s="5"/>
      <c r="H772" s="306"/>
      <c r="I772" s="306"/>
      <c r="J772" s="5"/>
      <c r="K772" s="5"/>
      <c r="L772" s="306"/>
      <c r="M772" s="5"/>
      <c r="N772" s="5"/>
      <c r="O772" s="5"/>
      <c r="P772" s="5"/>
      <c r="Q772" s="5"/>
      <c r="R772" s="57"/>
      <c r="S772" s="5"/>
      <c r="T772" s="5"/>
      <c r="U772" s="5"/>
      <c r="V772" s="5"/>
      <c r="W772" s="5"/>
      <c r="X772" s="5"/>
      <c r="Y772" s="5"/>
      <c r="Z772" s="5"/>
      <c r="AA772" s="5"/>
      <c r="AB772" s="5"/>
      <c r="AC772" s="5"/>
    </row>
    <row r="773" spans="1:29" ht="12.75" customHeight="1">
      <c r="A773" s="5"/>
      <c r="B773" s="5"/>
      <c r="C773" s="5"/>
      <c r="D773" s="5"/>
      <c r="E773" s="5"/>
      <c r="F773" s="5"/>
      <c r="G773" s="5"/>
      <c r="H773" s="306"/>
      <c r="I773" s="306"/>
      <c r="J773" s="5"/>
      <c r="K773" s="5"/>
      <c r="L773" s="306"/>
      <c r="M773" s="5"/>
      <c r="N773" s="5"/>
      <c r="O773" s="5"/>
      <c r="P773" s="5"/>
      <c r="Q773" s="5"/>
      <c r="R773" s="57"/>
      <c r="S773" s="5"/>
      <c r="T773" s="5"/>
      <c r="U773" s="5"/>
      <c r="V773" s="5"/>
      <c r="W773" s="5"/>
      <c r="X773" s="5"/>
      <c r="Y773" s="5"/>
      <c r="Z773" s="5"/>
      <c r="AA773" s="5"/>
      <c r="AB773" s="5"/>
      <c r="AC773" s="5"/>
    </row>
    <row r="774" spans="1:29" ht="12.75" customHeight="1">
      <c r="A774" s="5"/>
      <c r="B774" s="5"/>
      <c r="C774" s="5"/>
      <c r="D774" s="5"/>
      <c r="E774" s="5"/>
      <c r="F774" s="5"/>
      <c r="G774" s="5"/>
      <c r="H774" s="306"/>
      <c r="I774" s="306"/>
      <c r="J774" s="5"/>
      <c r="K774" s="5"/>
      <c r="L774" s="306"/>
      <c r="M774" s="5"/>
      <c r="N774" s="5"/>
      <c r="O774" s="5"/>
      <c r="P774" s="5"/>
      <c r="Q774" s="5"/>
      <c r="R774" s="57"/>
      <c r="S774" s="5"/>
      <c r="T774" s="5"/>
      <c r="U774" s="5"/>
      <c r="V774" s="5"/>
      <c r="W774" s="5"/>
      <c r="X774" s="5"/>
      <c r="Y774" s="5"/>
      <c r="Z774" s="5"/>
      <c r="AA774" s="5"/>
      <c r="AB774" s="5"/>
      <c r="AC774" s="5"/>
    </row>
    <row r="775" spans="1:29" ht="12.75" customHeight="1">
      <c r="A775" s="5"/>
      <c r="B775" s="5"/>
      <c r="C775" s="5"/>
      <c r="D775" s="5"/>
      <c r="E775" s="5"/>
      <c r="F775" s="5"/>
      <c r="G775" s="5"/>
      <c r="H775" s="306"/>
      <c r="I775" s="306"/>
      <c r="J775" s="5"/>
      <c r="K775" s="5"/>
      <c r="L775" s="306"/>
      <c r="M775" s="5"/>
      <c r="N775" s="5"/>
      <c r="O775" s="5"/>
      <c r="P775" s="5"/>
      <c r="Q775" s="5"/>
      <c r="R775" s="57"/>
      <c r="S775" s="5"/>
      <c r="T775" s="5"/>
      <c r="U775" s="5"/>
      <c r="V775" s="5"/>
      <c r="W775" s="5"/>
      <c r="X775" s="5"/>
      <c r="Y775" s="5"/>
      <c r="Z775" s="5"/>
      <c r="AA775" s="5"/>
      <c r="AB775" s="5"/>
      <c r="AC775" s="5"/>
    </row>
    <row r="776" spans="1:29" ht="12.75" customHeight="1">
      <c r="A776" s="5"/>
      <c r="B776" s="5"/>
      <c r="C776" s="5"/>
      <c r="D776" s="5"/>
      <c r="E776" s="5"/>
      <c r="F776" s="5"/>
      <c r="G776" s="5"/>
      <c r="H776" s="306"/>
      <c r="I776" s="306"/>
      <c r="J776" s="5"/>
      <c r="K776" s="5"/>
      <c r="L776" s="306"/>
      <c r="M776" s="5"/>
      <c r="N776" s="5"/>
      <c r="O776" s="5"/>
      <c r="P776" s="5"/>
      <c r="Q776" s="5"/>
      <c r="R776" s="57"/>
      <c r="S776" s="5"/>
      <c r="T776" s="5"/>
      <c r="U776" s="5"/>
      <c r="V776" s="5"/>
      <c r="W776" s="5"/>
      <c r="X776" s="5"/>
      <c r="Y776" s="5"/>
      <c r="Z776" s="5"/>
      <c r="AA776" s="5"/>
      <c r="AB776" s="5"/>
      <c r="AC776" s="5"/>
    </row>
    <row r="777" spans="1:29" ht="12.75" customHeight="1">
      <c r="A777" s="5"/>
      <c r="B777" s="5"/>
      <c r="C777" s="5"/>
      <c r="D777" s="5"/>
      <c r="E777" s="5"/>
      <c r="F777" s="5"/>
      <c r="G777" s="5"/>
      <c r="H777" s="306"/>
      <c r="I777" s="306"/>
      <c r="J777" s="5"/>
      <c r="K777" s="5"/>
      <c r="L777" s="306"/>
      <c r="M777" s="5"/>
      <c r="N777" s="5"/>
      <c r="O777" s="5"/>
      <c r="P777" s="5"/>
      <c r="Q777" s="5"/>
      <c r="R777" s="57"/>
      <c r="S777" s="5"/>
      <c r="T777" s="5"/>
      <c r="U777" s="5"/>
      <c r="V777" s="5"/>
      <c r="W777" s="5"/>
      <c r="X777" s="5"/>
      <c r="Y777" s="5"/>
      <c r="Z777" s="5"/>
      <c r="AA777" s="5"/>
      <c r="AB777" s="5"/>
      <c r="AC777" s="5"/>
    </row>
    <row r="778" spans="1:29" ht="12.75" customHeight="1">
      <c r="A778" s="5"/>
      <c r="B778" s="5"/>
      <c r="C778" s="5"/>
      <c r="D778" s="5"/>
      <c r="E778" s="5"/>
      <c r="F778" s="5"/>
      <c r="G778" s="5"/>
      <c r="H778" s="306"/>
      <c r="I778" s="306"/>
      <c r="J778" s="5"/>
      <c r="K778" s="5"/>
      <c r="L778" s="306"/>
      <c r="M778" s="5"/>
      <c r="N778" s="5"/>
      <c r="O778" s="5"/>
      <c r="P778" s="5"/>
      <c r="Q778" s="5"/>
      <c r="R778" s="57"/>
      <c r="S778" s="5"/>
      <c r="T778" s="5"/>
      <c r="U778" s="5"/>
      <c r="V778" s="5"/>
      <c r="W778" s="5"/>
      <c r="X778" s="5"/>
      <c r="Y778" s="5"/>
      <c r="Z778" s="5"/>
      <c r="AA778" s="5"/>
      <c r="AB778" s="5"/>
      <c r="AC778" s="5"/>
    </row>
    <row r="779" spans="1:29" ht="12.75" customHeight="1">
      <c r="A779" s="5"/>
      <c r="B779" s="5"/>
      <c r="C779" s="5"/>
      <c r="D779" s="5"/>
      <c r="E779" s="5"/>
      <c r="F779" s="5"/>
      <c r="G779" s="5"/>
      <c r="H779" s="306"/>
      <c r="I779" s="306"/>
      <c r="J779" s="5"/>
      <c r="K779" s="5"/>
      <c r="L779" s="306"/>
      <c r="M779" s="5"/>
      <c r="N779" s="5"/>
      <c r="O779" s="5"/>
      <c r="P779" s="5"/>
      <c r="Q779" s="5"/>
      <c r="R779" s="57"/>
      <c r="S779" s="5"/>
      <c r="T779" s="5"/>
      <c r="U779" s="5"/>
      <c r="V779" s="5"/>
      <c r="W779" s="5"/>
      <c r="X779" s="5"/>
      <c r="Y779" s="5"/>
      <c r="Z779" s="5"/>
      <c r="AA779" s="5"/>
      <c r="AB779" s="5"/>
      <c r="AC779" s="5"/>
    </row>
    <row r="780" spans="1:29" ht="12.75" customHeight="1">
      <c r="A780" s="5"/>
      <c r="B780" s="5"/>
      <c r="C780" s="5"/>
      <c r="D780" s="5"/>
      <c r="E780" s="5"/>
      <c r="F780" s="5"/>
      <c r="G780" s="5"/>
      <c r="H780" s="306"/>
      <c r="I780" s="306"/>
      <c r="J780" s="5"/>
      <c r="K780" s="5"/>
      <c r="L780" s="306"/>
      <c r="M780" s="5"/>
      <c r="N780" s="5"/>
      <c r="O780" s="5"/>
      <c r="P780" s="5"/>
      <c r="Q780" s="5"/>
      <c r="R780" s="57"/>
      <c r="S780" s="5"/>
      <c r="T780" s="5"/>
      <c r="U780" s="5"/>
      <c r="V780" s="5"/>
      <c r="W780" s="5"/>
      <c r="X780" s="5"/>
      <c r="Y780" s="5"/>
      <c r="Z780" s="5"/>
      <c r="AA780" s="5"/>
      <c r="AB780" s="5"/>
      <c r="AC780" s="5"/>
    </row>
    <row r="781" spans="1:29" ht="12.75" customHeight="1">
      <c r="A781" s="5"/>
      <c r="B781" s="5"/>
      <c r="C781" s="5"/>
      <c r="D781" s="5"/>
      <c r="E781" s="5"/>
      <c r="F781" s="5"/>
      <c r="G781" s="5"/>
      <c r="H781" s="306"/>
      <c r="I781" s="306"/>
      <c r="J781" s="5"/>
      <c r="K781" s="5"/>
      <c r="L781" s="306"/>
      <c r="M781" s="5"/>
      <c r="N781" s="5"/>
      <c r="O781" s="5"/>
      <c r="P781" s="5"/>
      <c r="Q781" s="5"/>
      <c r="R781" s="57"/>
      <c r="S781" s="5"/>
      <c r="T781" s="5"/>
      <c r="U781" s="5"/>
      <c r="V781" s="5"/>
      <c r="W781" s="5"/>
      <c r="X781" s="5"/>
      <c r="Y781" s="5"/>
      <c r="Z781" s="5"/>
      <c r="AA781" s="5"/>
      <c r="AB781" s="5"/>
      <c r="AC781" s="5"/>
    </row>
    <row r="782" spans="1:29" ht="12.75" customHeight="1">
      <c r="A782" s="5"/>
      <c r="B782" s="5"/>
      <c r="C782" s="5"/>
      <c r="D782" s="5"/>
      <c r="E782" s="5"/>
      <c r="F782" s="5"/>
      <c r="G782" s="5"/>
      <c r="H782" s="306"/>
      <c r="I782" s="306"/>
      <c r="J782" s="5"/>
      <c r="K782" s="5"/>
      <c r="L782" s="306"/>
      <c r="M782" s="5"/>
      <c r="N782" s="5"/>
      <c r="O782" s="5"/>
      <c r="P782" s="5"/>
      <c r="Q782" s="5"/>
      <c r="R782" s="57"/>
      <c r="S782" s="5"/>
      <c r="T782" s="5"/>
      <c r="U782" s="5"/>
      <c r="V782" s="5"/>
      <c r="W782" s="5"/>
      <c r="X782" s="5"/>
      <c r="Y782" s="5"/>
      <c r="Z782" s="5"/>
      <c r="AA782" s="5"/>
      <c r="AB782" s="5"/>
      <c r="AC782" s="5"/>
    </row>
    <row r="783" spans="1:29" ht="12.75" customHeight="1">
      <c r="A783" s="5"/>
      <c r="B783" s="5"/>
      <c r="C783" s="5"/>
      <c r="D783" s="5"/>
      <c r="E783" s="5"/>
      <c r="F783" s="5"/>
      <c r="G783" s="5"/>
      <c r="H783" s="306"/>
      <c r="I783" s="306"/>
      <c r="J783" s="5"/>
      <c r="K783" s="5"/>
      <c r="L783" s="306"/>
      <c r="M783" s="5"/>
      <c r="N783" s="5"/>
      <c r="O783" s="5"/>
      <c r="P783" s="5"/>
      <c r="Q783" s="5"/>
      <c r="R783" s="57"/>
      <c r="S783" s="5"/>
      <c r="T783" s="5"/>
      <c r="U783" s="5"/>
      <c r="V783" s="5"/>
      <c r="W783" s="5"/>
      <c r="X783" s="5"/>
      <c r="Y783" s="5"/>
      <c r="Z783" s="5"/>
      <c r="AA783" s="5"/>
      <c r="AB783" s="5"/>
      <c r="AC783" s="5"/>
    </row>
    <row r="784" spans="1:29" ht="12.75" customHeight="1">
      <c r="A784" s="5"/>
      <c r="B784" s="5"/>
      <c r="C784" s="5"/>
      <c r="D784" s="5"/>
      <c r="E784" s="5"/>
      <c r="F784" s="5"/>
      <c r="G784" s="5"/>
      <c r="H784" s="306"/>
      <c r="I784" s="306"/>
      <c r="J784" s="5"/>
      <c r="K784" s="5"/>
      <c r="L784" s="306"/>
      <c r="M784" s="5"/>
      <c r="N784" s="5"/>
      <c r="O784" s="5"/>
      <c r="P784" s="5"/>
      <c r="Q784" s="5"/>
      <c r="R784" s="57"/>
      <c r="S784" s="5"/>
      <c r="T784" s="5"/>
      <c r="U784" s="5"/>
      <c r="V784" s="5"/>
      <c r="W784" s="5"/>
      <c r="X784" s="5"/>
      <c r="Y784" s="5"/>
      <c r="Z784" s="5"/>
      <c r="AA784" s="5"/>
      <c r="AB784" s="5"/>
      <c r="AC784" s="5"/>
    </row>
    <row r="785" spans="1:29" ht="12.75" customHeight="1">
      <c r="A785" s="5"/>
      <c r="B785" s="5"/>
      <c r="C785" s="5"/>
      <c r="D785" s="5"/>
      <c r="E785" s="5"/>
      <c r="F785" s="5"/>
      <c r="G785" s="5"/>
      <c r="H785" s="306"/>
      <c r="I785" s="306"/>
      <c r="J785" s="5"/>
      <c r="K785" s="5"/>
      <c r="L785" s="306"/>
      <c r="M785" s="5"/>
      <c r="N785" s="5"/>
      <c r="O785" s="5"/>
      <c r="P785" s="5"/>
      <c r="Q785" s="5"/>
      <c r="R785" s="57"/>
      <c r="S785" s="5"/>
      <c r="T785" s="5"/>
      <c r="U785" s="5"/>
      <c r="V785" s="5"/>
      <c r="W785" s="5"/>
      <c r="X785" s="5"/>
      <c r="Y785" s="5"/>
      <c r="Z785" s="5"/>
      <c r="AA785" s="5"/>
      <c r="AB785" s="5"/>
      <c r="AC785" s="5"/>
    </row>
    <row r="786" spans="1:29" ht="12.75" customHeight="1">
      <c r="A786" s="5"/>
      <c r="B786" s="5"/>
      <c r="C786" s="5"/>
      <c r="D786" s="5"/>
      <c r="E786" s="5"/>
      <c r="F786" s="5"/>
      <c r="G786" s="5"/>
      <c r="H786" s="306"/>
      <c r="I786" s="306"/>
      <c r="J786" s="5"/>
      <c r="K786" s="5"/>
      <c r="L786" s="306"/>
      <c r="M786" s="5"/>
      <c r="N786" s="5"/>
      <c r="O786" s="5"/>
      <c r="P786" s="5"/>
      <c r="Q786" s="5"/>
      <c r="R786" s="57"/>
      <c r="S786" s="5"/>
      <c r="T786" s="5"/>
      <c r="U786" s="5"/>
      <c r="V786" s="5"/>
      <c r="W786" s="5"/>
      <c r="X786" s="5"/>
      <c r="Y786" s="5"/>
      <c r="Z786" s="5"/>
      <c r="AA786" s="5"/>
      <c r="AB786" s="5"/>
      <c r="AC786" s="5"/>
    </row>
    <row r="787" spans="1:29" ht="12.75" customHeight="1">
      <c r="A787" s="5"/>
      <c r="B787" s="5"/>
      <c r="C787" s="5"/>
      <c r="D787" s="5"/>
      <c r="E787" s="5"/>
      <c r="F787" s="5"/>
      <c r="G787" s="5"/>
      <c r="H787" s="306"/>
      <c r="I787" s="306"/>
      <c r="J787" s="5"/>
      <c r="K787" s="5"/>
      <c r="L787" s="306"/>
      <c r="M787" s="5"/>
      <c r="N787" s="5"/>
      <c r="O787" s="5"/>
      <c r="P787" s="5"/>
      <c r="Q787" s="5"/>
      <c r="R787" s="57"/>
      <c r="S787" s="5"/>
      <c r="T787" s="5"/>
      <c r="U787" s="5"/>
      <c r="V787" s="5"/>
      <c r="W787" s="5"/>
      <c r="X787" s="5"/>
      <c r="Y787" s="5"/>
      <c r="Z787" s="5"/>
      <c r="AA787" s="5"/>
      <c r="AB787" s="5"/>
      <c r="AC787" s="5"/>
    </row>
    <row r="788" spans="1:29" ht="12.75" customHeight="1">
      <c r="A788" s="5"/>
      <c r="B788" s="5"/>
      <c r="C788" s="5"/>
      <c r="D788" s="5"/>
      <c r="E788" s="5"/>
      <c r="F788" s="5"/>
      <c r="G788" s="5"/>
      <c r="H788" s="306"/>
      <c r="I788" s="306"/>
      <c r="J788" s="5"/>
      <c r="K788" s="5"/>
      <c r="L788" s="306"/>
      <c r="M788" s="5"/>
      <c r="N788" s="5"/>
      <c r="O788" s="5"/>
      <c r="P788" s="5"/>
      <c r="Q788" s="5"/>
      <c r="R788" s="57"/>
      <c r="S788" s="5"/>
      <c r="T788" s="5"/>
      <c r="U788" s="5"/>
      <c r="V788" s="5"/>
      <c r="W788" s="5"/>
      <c r="X788" s="5"/>
      <c r="Y788" s="5"/>
      <c r="Z788" s="5"/>
      <c r="AA788" s="5"/>
      <c r="AB788" s="5"/>
      <c r="AC788" s="5"/>
    </row>
    <row r="789" spans="1:29" ht="12.75" customHeight="1">
      <c r="A789" s="5"/>
      <c r="B789" s="5"/>
      <c r="C789" s="5"/>
      <c r="D789" s="5"/>
      <c r="E789" s="5"/>
      <c r="F789" s="5"/>
      <c r="G789" s="5"/>
      <c r="H789" s="306"/>
      <c r="I789" s="306"/>
      <c r="J789" s="5"/>
      <c r="K789" s="5"/>
      <c r="L789" s="306"/>
      <c r="M789" s="5"/>
      <c r="N789" s="5"/>
      <c r="O789" s="5"/>
      <c r="P789" s="5"/>
      <c r="Q789" s="5"/>
      <c r="R789" s="57"/>
      <c r="S789" s="5"/>
      <c r="T789" s="5"/>
      <c r="U789" s="5"/>
      <c r="V789" s="5"/>
      <c r="W789" s="5"/>
      <c r="X789" s="5"/>
      <c r="Y789" s="5"/>
      <c r="Z789" s="5"/>
      <c r="AA789" s="5"/>
      <c r="AB789" s="5"/>
      <c r="AC789" s="5"/>
    </row>
    <row r="790" spans="1:29" ht="12.75" customHeight="1">
      <c r="A790" s="5"/>
      <c r="B790" s="5"/>
      <c r="C790" s="5"/>
      <c r="D790" s="5"/>
      <c r="E790" s="5"/>
      <c r="F790" s="5"/>
      <c r="G790" s="5"/>
      <c r="H790" s="306"/>
      <c r="I790" s="306"/>
      <c r="J790" s="5"/>
      <c r="K790" s="5"/>
      <c r="L790" s="306"/>
      <c r="M790" s="5"/>
      <c r="N790" s="5"/>
      <c r="O790" s="5"/>
      <c r="P790" s="5"/>
      <c r="Q790" s="5"/>
      <c r="R790" s="57"/>
      <c r="S790" s="5"/>
      <c r="T790" s="5"/>
      <c r="U790" s="5"/>
      <c r="V790" s="5"/>
      <c r="W790" s="5"/>
      <c r="X790" s="5"/>
      <c r="Y790" s="5"/>
      <c r="Z790" s="5"/>
      <c r="AA790" s="5"/>
      <c r="AB790" s="5"/>
      <c r="AC790" s="5"/>
    </row>
    <row r="791" spans="1:29" ht="12.75" customHeight="1">
      <c r="A791" s="5"/>
      <c r="B791" s="5"/>
      <c r="C791" s="5"/>
      <c r="D791" s="5"/>
      <c r="E791" s="5"/>
      <c r="F791" s="5"/>
      <c r="G791" s="5"/>
      <c r="H791" s="306"/>
      <c r="I791" s="306"/>
      <c r="J791" s="5"/>
      <c r="K791" s="5"/>
      <c r="L791" s="306"/>
      <c r="M791" s="5"/>
      <c r="N791" s="5"/>
      <c r="O791" s="5"/>
      <c r="P791" s="5"/>
      <c r="Q791" s="5"/>
      <c r="R791" s="57"/>
      <c r="S791" s="5"/>
      <c r="T791" s="5"/>
      <c r="U791" s="5"/>
      <c r="V791" s="5"/>
      <c r="W791" s="5"/>
      <c r="X791" s="5"/>
      <c r="Y791" s="5"/>
      <c r="Z791" s="5"/>
      <c r="AA791" s="5"/>
      <c r="AB791" s="5"/>
      <c r="AC791" s="5"/>
    </row>
    <row r="792" spans="1:29" ht="12.75" customHeight="1">
      <c r="A792" s="5"/>
      <c r="B792" s="5"/>
      <c r="C792" s="5"/>
      <c r="D792" s="5"/>
      <c r="E792" s="5"/>
      <c r="F792" s="5"/>
      <c r="G792" s="5"/>
      <c r="H792" s="306"/>
      <c r="I792" s="306"/>
      <c r="J792" s="5"/>
      <c r="K792" s="5"/>
      <c r="L792" s="306"/>
      <c r="M792" s="5"/>
      <c r="N792" s="5"/>
      <c r="O792" s="5"/>
      <c r="P792" s="5"/>
      <c r="Q792" s="5"/>
      <c r="R792" s="57"/>
      <c r="S792" s="5"/>
      <c r="T792" s="5"/>
      <c r="U792" s="5"/>
      <c r="V792" s="5"/>
      <c r="W792" s="5"/>
      <c r="X792" s="5"/>
      <c r="Y792" s="5"/>
      <c r="Z792" s="5"/>
      <c r="AA792" s="5"/>
      <c r="AB792" s="5"/>
      <c r="AC792" s="5"/>
    </row>
    <row r="793" spans="1:29" ht="12.75" customHeight="1">
      <c r="A793" s="5"/>
      <c r="B793" s="5"/>
      <c r="C793" s="5"/>
      <c r="D793" s="5"/>
      <c r="E793" s="5"/>
      <c r="F793" s="5"/>
      <c r="G793" s="5"/>
      <c r="H793" s="306"/>
      <c r="I793" s="306"/>
      <c r="J793" s="5"/>
      <c r="K793" s="5"/>
      <c r="L793" s="306"/>
      <c r="M793" s="5"/>
      <c r="N793" s="5"/>
      <c r="O793" s="5"/>
      <c r="P793" s="5"/>
      <c r="Q793" s="5"/>
      <c r="R793" s="57"/>
      <c r="S793" s="5"/>
      <c r="T793" s="5"/>
      <c r="U793" s="5"/>
      <c r="V793" s="5"/>
      <c r="W793" s="5"/>
      <c r="X793" s="5"/>
      <c r="Y793" s="5"/>
      <c r="Z793" s="5"/>
      <c r="AA793" s="5"/>
      <c r="AB793" s="5"/>
      <c r="AC793" s="5"/>
    </row>
    <row r="794" spans="1:29" ht="12.75" customHeight="1">
      <c r="A794" s="5"/>
      <c r="B794" s="5"/>
      <c r="C794" s="5"/>
      <c r="D794" s="5"/>
      <c r="E794" s="5"/>
      <c r="F794" s="5"/>
      <c r="G794" s="5"/>
      <c r="H794" s="306"/>
      <c r="I794" s="306"/>
      <c r="J794" s="5"/>
      <c r="K794" s="5"/>
      <c r="L794" s="306"/>
      <c r="M794" s="5"/>
      <c r="N794" s="5"/>
      <c r="O794" s="5"/>
      <c r="P794" s="5"/>
      <c r="Q794" s="5"/>
      <c r="R794" s="57"/>
      <c r="S794" s="5"/>
      <c r="T794" s="5"/>
      <c r="U794" s="5"/>
      <c r="V794" s="5"/>
      <c r="W794" s="5"/>
      <c r="X794" s="5"/>
      <c r="Y794" s="5"/>
      <c r="Z794" s="5"/>
      <c r="AA794" s="5"/>
      <c r="AB794" s="5"/>
      <c r="AC794" s="5"/>
    </row>
    <row r="795" spans="1:29" ht="12.75" customHeight="1">
      <c r="A795" s="5"/>
      <c r="B795" s="5"/>
      <c r="C795" s="5"/>
      <c r="D795" s="5"/>
      <c r="E795" s="5"/>
      <c r="F795" s="5"/>
      <c r="G795" s="5"/>
      <c r="H795" s="306"/>
      <c r="I795" s="306"/>
      <c r="J795" s="5"/>
      <c r="K795" s="5"/>
      <c r="L795" s="306"/>
      <c r="M795" s="5"/>
      <c r="N795" s="5"/>
      <c r="O795" s="5"/>
      <c r="P795" s="5"/>
      <c r="Q795" s="5"/>
      <c r="R795" s="57"/>
      <c r="S795" s="5"/>
      <c r="T795" s="5"/>
      <c r="U795" s="5"/>
      <c r="V795" s="5"/>
      <c r="W795" s="5"/>
      <c r="X795" s="5"/>
      <c r="Y795" s="5"/>
      <c r="Z795" s="5"/>
      <c r="AA795" s="5"/>
      <c r="AB795" s="5"/>
      <c r="AC795" s="5"/>
    </row>
    <row r="796" spans="1:29" ht="12.75" customHeight="1">
      <c r="A796" s="5"/>
      <c r="B796" s="5"/>
      <c r="C796" s="5"/>
      <c r="D796" s="5"/>
      <c r="E796" s="5"/>
      <c r="F796" s="5"/>
      <c r="G796" s="5"/>
      <c r="H796" s="306"/>
      <c r="I796" s="306"/>
      <c r="J796" s="5"/>
      <c r="K796" s="5"/>
      <c r="L796" s="306"/>
      <c r="M796" s="5"/>
      <c r="N796" s="5"/>
      <c r="O796" s="5"/>
      <c r="P796" s="5"/>
      <c r="Q796" s="5"/>
      <c r="R796" s="57"/>
      <c r="S796" s="5"/>
      <c r="T796" s="5"/>
      <c r="U796" s="5"/>
      <c r="V796" s="5"/>
      <c r="W796" s="5"/>
      <c r="X796" s="5"/>
      <c r="Y796" s="5"/>
      <c r="Z796" s="5"/>
      <c r="AA796" s="5"/>
      <c r="AB796" s="5"/>
      <c r="AC796" s="5"/>
    </row>
    <row r="797" spans="1:29" ht="12.75" customHeight="1">
      <c r="A797" s="5"/>
      <c r="B797" s="5"/>
      <c r="C797" s="5"/>
      <c r="D797" s="5"/>
      <c r="E797" s="5"/>
      <c r="F797" s="5"/>
      <c r="G797" s="5"/>
      <c r="H797" s="306"/>
      <c r="I797" s="306"/>
      <c r="J797" s="5"/>
      <c r="K797" s="5"/>
      <c r="L797" s="306"/>
      <c r="M797" s="5"/>
      <c r="N797" s="5"/>
      <c r="O797" s="5"/>
      <c r="P797" s="5"/>
      <c r="Q797" s="5"/>
      <c r="R797" s="57"/>
      <c r="S797" s="5"/>
      <c r="T797" s="5"/>
      <c r="U797" s="5"/>
      <c r="V797" s="5"/>
      <c r="W797" s="5"/>
      <c r="X797" s="5"/>
      <c r="Y797" s="5"/>
      <c r="Z797" s="5"/>
      <c r="AA797" s="5"/>
      <c r="AB797" s="5"/>
      <c r="AC797" s="5"/>
    </row>
    <row r="798" spans="1:29" ht="12.75" customHeight="1">
      <c r="A798" s="5"/>
      <c r="B798" s="5"/>
      <c r="C798" s="5"/>
      <c r="D798" s="5"/>
      <c r="E798" s="5"/>
      <c r="F798" s="5"/>
      <c r="G798" s="5"/>
      <c r="H798" s="306"/>
      <c r="I798" s="306"/>
      <c r="J798" s="5"/>
      <c r="K798" s="5"/>
      <c r="L798" s="306"/>
      <c r="M798" s="5"/>
      <c r="N798" s="5"/>
      <c r="O798" s="5"/>
      <c r="P798" s="5"/>
      <c r="Q798" s="5"/>
      <c r="R798" s="57"/>
      <c r="S798" s="5"/>
      <c r="T798" s="5"/>
      <c r="U798" s="5"/>
      <c r="V798" s="5"/>
      <c r="W798" s="5"/>
      <c r="X798" s="5"/>
      <c r="Y798" s="5"/>
      <c r="Z798" s="5"/>
      <c r="AA798" s="5"/>
      <c r="AB798" s="5"/>
      <c r="AC798" s="5"/>
    </row>
    <row r="799" spans="1:29" ht="12.75" customHeight="1">
      <c r="A799" s="5"/>
      <c r="B799" s="5"/>
      <c r="C799" s="5"/>
      <c r="D799" s="5"/>
      <c r="E799" s="5"/>
      <c r="F799" s="5"/>
      <c r="G799" s="5"/>
      <c r="H799" s="306"/>
      <c r="I799" s="306"/>
      <c r="J799" s="5"/>
      <c r="K799" s="5"/>
      <c r="L799" s="306"/>
      <c r="M799" s="5"/>
      <c r="N799" s="5"/>
      <c r="O799" s="5"/>
      <c r="P799" s="5"/>
      <c r="Q799" s="5"/>
      <c r="R799" s="57"/>
      <c r="S799" s="5"/>
      <c r="T799" s="5"/>
      <c r="U799" s="5"/>
      <c r="V799" s="5"/>
      <c r="W799" s="5"/>
      <c r="X799" s="5"/>
      <c r="Y799" s="5"/>
      <c r="Z799" s="5"/>
      <c r="AA799" s="5"/>
      <c r="AB799" s="5"/>
      <c r="AC799" s="5"/>
    </row>
    <row r="800" spans="1:29" ht="12.75" customHeight="1">
      <c r="A800" s="5"/>
      <c r="B800" s="5"/>
      <c r="C800" s="5"/>
      <c r="D800" s="5"/>
      <c r="E800" s="5"/>
      <c r="F800" s="5"/>
      <c r="G800" s="5"/>
      <c r="H800" s="306"/>
      <c r="I800" s="306"/>
      <c r="J800" s="5"/>
      <c r="K800" s="5"/>
      <c r="L800" s="306"/>
      <c r="M800" s="5"/>
      <c r="N800" s="5"/>
      <c r="O800" s="5"/>
      <c r="P800" s="5"/>
      <c r="Q800" s="5"/>
      <c r="R800" s="57"/>
      <c r="S800" s="5"/>
      <c r="T800" s="5"/>
      <c r="U800" s="5"/>
      <c r="V800" s="5"/>
      <c r="W800" s="5"/>
      <c r="X800" s="5"/>
      <c r="Y800" s="5"/>
      <c r="Z800" s="5"/>
      <c r="AA800" s="5"/>
      <c r="AB800" s="5"/>
      <c r="AC800" s="5"/>
    </row>
    <row r="801" spans="1:29" ht="12.75" customHeight="1">
      <c r="A801" s="5"/>
      <c r="B801" s="5"/>
      <c r="C801" s="5"/>
      <c r="D801" s="5"/>
      <c r="E801" s="5"/>
      <c r="F801" s="5"/>
      <c r="G801" s="5"/>
      <c r="H801" s="306"/>
      <c r="I801" s="306"/>
      <c r="J801" s="5"/>
      <c r="K801" s="5"/>
      <c r="L801" s="306"/>
      <c r="M801" s="5"/>
      <c r="N801" s="5"/>
      <c r="O801" s="5"/>
      <c r="P801" s="5"/>
      <c r="Q801" s="5"/>
      <c r="R801" s="57"/>
      <c r="S801" s="5"/>
      <c r="T801" s="5"/>
      <c r="U801" s="5"/>
      <c r="V801" s="5"/>
      <c r="W801" s="5"/>
      <c r="X801" s="5"/>
      <c r="Y801" s="5"/>
      <c r="Z801" s="5"/>
      <c r="AA801" s="5"/>
      <c r="AB801" s="5"/>
      <c r="AC801" s="5"/>
    </row>
    <row r="802" spans="1:29" ht="12.75" customHeight="1">
      <c r="A802" s="5"/>
      <c r="B802" s="5"/>
      <c r="C802" s="5"/>
      <c r="D802" s="5"/>
      <c r="E802" s="5"/>
      <c r="F802" s="5"/>
      <c r="G802" s="5"/>
      <c r="H802" s="306"/>
      <c r="I802" s="306"/>
      <c r="J802" s="5"/>
      <c r="K802" s="5"/>
      <c r="L802" s="306"/>
      <c r="M802" s="5"/>
      <c r="N802" s="5"/>
      <c r="O802" s="5"/>
      <c r="P802" s="5"/>
      <c r="Q802" s="5"/>
      <c r="R802" s="57"/>
      <c r="S802" s="5"/>
      <c r="T802" s="5"/>
      <c r="U802" s="5"/>
      <c r="V802" s="5"/>
      <c r="W802" s="5"/>
      <c r="X802" s="5"/>
      <c r="Y802" s="5"/>
      <c r="Z802" s="5"/>
      <c r="AA802" s="5"/>
      <c r="AB802" s="5"/>
      <c r="AC802" s="5"/>
    </row>
    <row r="803" spans="1:29" ht="12.75" customHeight="1">
      <c r="A803" s="5"/>
      <c r="B803" s="5"/>
      <c r="C803" s="5"/>
      <c r="D803" s="5"/>
      <c r="E803" s="5"/>
      <c r="F803" s="5"/>
      <c r="G803" s="5"/>
      <c r="H803" s="306"/>
      <c r="I803" s="306"/>
      <c r="J803" s="5"/>
      <c r="K803" s="5"/>
      <c r="L803" s="306"/>
      <c r="M803" s="5"/>
      <c r="N803" s="5"/>
      <c r="O803" s="5"/>
      <c r="P803" s="5"/>
      <c r="Q803" s="5"/>
      <c r="R803" s="57"/>
      <c r="S803" s="5"/>
      <c r="T803" s="5"/>
      <c r="U803" s="5"/>
      <c r="V803" s="5"/>
      <c r="W803" s="5"/>
      <c r="X803" s="5"/>
      <c r="Y803" s="5"/>
      <c r="Z803" s="5"/>
      <c r="AA803" s="5"/>
      <c r="AB803" s="5"/>
      <c r="AC803" s="5"/>
    </row>
    <row r="804" spans="1:29" ht="12.75" customHeight="1">
      <c r="A804" s="5"/>
      <c r="B804" s="5"/>
      <c r="C804" s="5"/>
      <c r="D804" s="5"/>
      <c r="E804" s="5"/>
      <c r="F804" s="5"/>
      <c r="G804" s="5"/>
      <c r="H804" s="306"/>
      <c r="I804" s="306"/>
      <c r="J804" s="5"/>
      <c r="K804" s="5"/>
      <c r="L804" s="306"/>
      <c r="M804" s="5"/>
      <c r="N804" s="5"/>
      <c r="O804" s="5"/>
      <c r="P804" s="5"/>
      <c r="Q804" s="5"/>
      <c r="R804" s="57"/>
      <c r="S804" s="5"/>
      <c r="T804" s="5"/>
      <c r="U804" s="5"/>
      <c r="V804" s="5"/>
      <c r="W804" s="5"/>
      <c r="X804" s="5"/>
      <c r="Y804" s="5"/>
      <c r="Z804" s="5"/>
      <c r="AA804" s="5"/>
      <c r="AB804" s="5"/>
      <c r="AC804" s="5"/>
    </row>
    <row r="805" spans="1:29" ht="12.75" customHeight="1">
      <c r="A805" s="5"/>
      <c r="B805" s="5"/>
      <c r="C805" s="5"/>
      <c r="D805" s="5"/>
      <c r="E805" s="5"/>
      <c r="F805" s="5"/>
      <c r="G805" s="5"/>
      <c r="H805" s="306"/>
      <c r="I805" s="306"/>
      <c r="J805" s="5"/>
      <c r="K805" s="5"/>
      <c r="L805" s="306"/>
      <c r="M805" s="5"/>
      <c r="N805" s="5"/>
      <c r="O805" s="5"/>
      <c r="P805" s="5"/>
      <c r="Q805" s="5"/>
      <c r="R805" s="57"/>
      <c r="S805" s="5"/>
      <c r="T805" s="5"/>
      <c r="U805" s="5"/>
      <c r="V805" s="5"/>
      <c r="W805" s="5"/>
      <c r="X805" s="5"/>
      <c r="Y805" s="5"/>
      <c r="Z805" s="5"/>
      <c r="AA805" s="5"/>
      <c r="AB805" s="5"/>
      <c r="AC805" s="5"/>
    </row>
    <row r="806" spans="1:29" ht="12.75" customHeight="1">
      <c r="A806" s="5"/>
      <c r="B806" s="5"/>
      <c r="C806" s="5"/>
      <c r="D806" s="5"/>
      <c r="E806" s="5"/>
      <c r="F806" s="5"/>
      <c r="G806" s="5"/>
      <c r="H806" s="306"/>
      <c r="I806" s="306"/>
      <c r="J806" s="5"/>
      <c r="K806" s="5"/>
      <c r="L806" s="306"/>
      <c r="M806" s="5"/>
      <c r="N806" s="5"/>
      <c r="O806" s="5"/>
      <c r="P806" s="5"/>
      <c r="Q806" s="5"/>
      <c r="R806" s="57"/>
      <c r="S806" s="5"/>
      <c r="T806" s="5"/>
      <c r="U806" s="5"/>
      <c r="V806" s="5"/>
      <c r="W806" s="5"/>
      <c r="X806" s="5"/>
      <c r="Y806" s="5"/>
      <c r="Z806" s="5"/>
      <c r="AA806" s="5"/>
      <c r="AB806" s="5"/>
      <c r="AC806" s="5"/>
    </row>
    <row r="807" spans="1:29" ht="12.75" customHeight="1">
      <c r="A807" s="5"/>
      <c r="B807" s="5"/>
      <c r="C807" s="5"/>
      <c r="D807" s="5"/>
      <c r="E807" s="5"/>
      <c r="F807" s="5"/>
      <c r="G807" s="5"/>
      <c r="H807" s="306"/>
      <c r="I807" s="306"/>
      <c r="J807" s="5"/>
      <c r="K807" s="5"/>
      <c r="L807" s="306"/>
      <c r="M807" s="5"/>
      <c r="N807" s="5"/>
      <c r="O807" s="5"/>
      <c r="P807" s="5"/>
      <c r="Q807" s="5"/>
      <c r="R807" s="57"/>
      <c r="S807" s="5"/>
      <c r="T807" s="5"/>
      <c r="U807" s="5"/>
      <c r="V807" s="5"/>
      <c r="W807" s="5"/>
      <c r="X807" s="5"/>
      <c r="Y807" s="5"/>
      <c r="Z807" s="5"/>
      <c r="AA807" s="5"/>
      <c r="AB807" s="5"/>
      <c r="AC807" s="5"/>
    </row>
    <row r="808" spans="1:29" ht="12.75" customHeight="1">
      <c r="A808" s="5"/>
      <c r="B808" s="5"/>
      <c r="C808" s="5"/>
      <c r="D808" s="5"/>
      <c r="E808" s="5"/>
      <c r="F808" s="5"/>
      <c r="G808" s="5"/>
      <c r="H808" s="306"/>
      <c r="I808" s="306"/>
      <c r="J808" s="5"/>
      <c r="K808" s="5"/>
      <c r="L808" s="306"/>
      <c r="M808" s="5"/>
      <c r="N808" s="5"/>
      <c r="O808" s="5"/>
      <c r="P808" s="5"/>
      <c r="Q808" s="5"/>
      <c r="R808" s="57"/>
      <c r="S808" s="5"/>
      <c r="T808" s="5"/>
      <c r="U808" s="5"/>
      <c r="V808" s="5"/>
      <c r="W808" s="5"/>
      <c r="X808" s="5"/>
      <c r="Y808" s="5"/>
      <c r="Z808" s="5"/>
      <c r="AA808" s="5"/>
      <c r="AB808" s="5"/>
      <c r="AC808" s="5"/>
    </row>
    <row r="809" spans="1:29" ht="12.75" customHeight="1">
      <c r="A809" s="5"/>
      <c r="B809" s="5"/>
      <c r="C809" s="5"/>
      <c r="D809" s="5"/>
      <c r="E809" s="5"/>
      <c r="F809" s="5"/>
      <c r="G809" s="5"/>
      <c r="H809" s="306"/>
      <c r="I809" s="306"/>
      <c r="J809" s="5"/>
      <c r="K809" s="5"/>
      <c r="L809" s="306"/>
      <c r="M809" s="5"/>
      <c r="N809" s="5"/>
      <c r="O809" s="5"/>
      <c r="P809" s="5"/>
      <c r="Q809" s="5"/>
      <c r="R809" s="57"/>
      <c r="S809" s="5"/>
      <c r="T809" s="5"/>
      <c r="U809" s="5"/>
      <c r="V809" s="5"/>
      <c r="W809" s="5"/>
      <c r="X809" s="5"/>
      <c r="Y809" s="5"/>
      <c r="Z809" s="5"/>
      <c r="AA809" s="5"/>
      <c r="AB809" s="5"/>
      <c r="AC809" s="5"/>
    </row>
    <row r="810" spans="1:29" ht="12.75" customHeight="1">
      <c r="A810" s="5"/>
      <c r="B810" s="5"/>
      <c r="C810" s="5"/>
      <c r="D810" s="5"/>
      <c r="E810" s="5"/>
      <c r="F810" s="5"/>
      <c r="G810" s="5"/>
      <c r="H810" s="306"/>
      <c r="I810" s="306"/>
      <c r="J810" s="5"/>
      <c r="K810" s="5"/>
      <c r="L810" s="306"/>
      <c r="M810" s="5"/>
      <c r="N810" s="5"/>
      <c r="O810" s="5"/>
      <c r="P810" s="5"/>
      <c r="Q810" s="5"/>
      <c r="R810" s="57"/>
      <c r="S810" s="5"/>
      <c r="T810" s="5"/>
      <c r="U810" s="5"/>
      <c r="V810" s="5"/>
      <c r="W810" s="5"/>
      <c r="X810" s="5"/>
      <c r="Y810" s="5"/>
      <c r="Z810" s="5"/>
      <c r="AA810" s="5"/>
      <c r="AB810" s="5"/>
      <c r="AC810" s="5"/>
    </row>
    <row r="811" spans="1:29" ht="12.75" customHeight="1">
      <c r="A811" s="5"/>
      <c r="B811" s="5"/>
      <c r="C811" s="5"/>
      <c r="D811" s="5"/>
      <c r="E811" s="5"/>
      <c r="F811" s="5"/>
      <c r="G811" s="5"/>
      <c r="H811" s="306"/>
      <c r="I811" s="306"/>
      <c r="J811" s="5"/>
      <c r="K811" s="5"/>
      <c r="L811" s="306"/>
      <c r="M811" s="5"/>
      <c r="N811" s="5"/>
      <c r="O811" s="5"/>
      <c r="P811" s="5"/>
      <c r="Q811" s="5"/>
      <c r="R811" s="57"/>
      <c r="S811" s="5"/>
      <c r="T811" s="5"/>
      <c r="U811" s="5"/>
      <c r="V811" s="5"/>
      <c r="W811" s="5"/>
      <c r="X811" s="5"/>
      <c r="Y811" s="5"/>
      <c r="Z811" s="5"/>
      <c r="AA811" s="5"/>
      <c r="AB811" s="5"/>
      <c r="AC811" s="5"/>
    </row>
    <row r="812" spans="1:29" ht="12.75" customHeight="1">
      <c r="A812" s="5"/>
      <c r="B812" s="5"/>
      <c r="C812" s="5"/>
      <c r="D812" s="5"/>
      <c r="E812" s="5"/>
      <c r="F812" s="5"/>
      <c r="G812" s="5"/>
      <c r="H812" s="306"/>
      <c r="I812" s="306"/>
      <c r="J812" s="5"/>
      <c r="K812" s="5"/>
      <c r="L812" s="306"/>
      <c r="M812" s="5"/>
      <c r="N812" s="5"/>
      <c r="O812" s="5"/>
      <c r="P812" s="5"/>
      <c r="Q812" s="5"/>
      <c r="R812" s="57"/>
      <c r="S812" s="5"/>
      <c r="T812" s="5"/>
      <c r="U812" s="5"/>
      <c r="V812" s="5"/>
      <c r="W812" s="5"/>
      <c r="X812" s="5"/>
      <c r="Y812" s="5"/>
      <c r="Z812" s="5"/>
      <c r="AA812" s="5"/>
      <c r="AB812" s="5"/>
      <c r="AC812" s="5"/>
    </row>
    <row r="813" spans="1:29" ht="12.75" customHeight="1">
      <c r="A813" s="5"/>
      <c r="B813" s="5"/>
      <c r="C813" s="5"/>
      <c r="D813" s="5"/>
      <c r="E813" s="5"/>
      <c r="F813" s="5"/>
      <c r="G813" s="5"/>
      <c r="H813" s="306"/>
      <c r="I813" s="306"/>
      <c r="J813" s="5"/>
      <c r="K813" s="5"/>
      <c r="L813" s="306"/>
      <c r="M813" s="5"/>
      <c r="N813" s="5"/>
      <c r="O813" s="5"/>
      <c r="P813" s="5"/>
      <c r="Q813" s="5"/>
      <c r="R813" s="57"/>
      <c r="S813" s="5"/>
      <c r="T813" s="5"/>
      <c r="U813" s="5"/>
      <c r="V813" s="5"/>
      <c r="W813" s="5"/>
      <c r="X813" s="5"/>
      <c r="Y813" s="5"/>
      <c r="Z813" s="5"/>
      <c r="AA813" s="5"/>
      <c r="AB813" s="5"/>
      <c r="AC813" s="5"/>
    </row>
    <row r="814" spans="1:29" ht="12.75" customHeight="1">
      <c r="A814" s="5"/>
      <c r="B814" s="5"/>
      <c r="C814" s="5"/>
      <c r="D814" s="5"/>
      <c r="E814" s="5"/>
      <c r="F814" s="5"/>
      <c r="G814" s="5"/>
      <c r="H814" s="306"/>
      <c r="I814" s="306"/>
      <c r="J814" s="5"/>
      <c r="K814" s="5"/>
      <c r="L814" s="306"/>
      <c r="M814" s="5"/>
      <c r="N814" s="5"/>
      <c r="O814" s="5"/>
      <c r="P814" s="5"/>
      <c r="Q814" s="5"/>
      <c r="R814" s="57"/>
      <c r="S814" s="5"/>
      <c r="T814" s="5"/>
      <c r="U814" s="5"/>
      <c r="V814" s="5"/>
      <c r="W814" s="5"/>
      <c r="X814" s="5"/>
      <c r="Y814" s="5"/>
      <c r="Z814" s="5"/>
      <c r="AA814" s="5"/>
      <c r="AB814" s="5"/>
      <c r="AC814" s="5"/>
    </row>
    <row r="815" spans="1:29" ht="12.75" customHeight="1">
      <c r="A815" s="5"/>
      <c r="B815" s="5"/>
      <c r="C815" s="5"/>
      <c r="D815" s="5"/>
      <c r="E815" s="5"/>
      <c r="F815" s="5"/>
      <c r="G815" s="5"/>
      <c r="H815" s="306"/>
      <c r="I815" s="306"/>
      <c r="J815" s="5"/>
      <c r="K815" s="5"/>
      <c r="L815" s="306"/>
      <c r="M815" s="5"/>
      <c r="N815" s="5"/>
      <c r="O815" s="5"/>
      <c r="P815" s="5"/>
      <c r="Q815" s="5"/>
      <c r="R815" s="57"/>
      <c r="S815" s="5"/>
      <c r="T815" s="5"/>
      <c r="U815" s="5"/>
      <c r="V815" s="5"/>
      <c r="W815" s="5"/>
      <c r="X815" s="5"/>
      <c r="Y815" s="5"/>
      <c r="Z815" s="5"/>
      <c r="AA815" s="5"/>
      <c r="AB815" s="5"/>
      <c r="AC815" s="5"/>
    </row>
    <row r="816" spans="1:29" ht="12.75" customHeight="1">
      <c r="A816" s="5"/>
      <c r="B816" s="5"/>
      <c r="C816" s="5"/>
      <c r="D816" s="5"/>
      <c r="E816" s="5"/>
      <c r="F816" s="5"/>
      <c r="G816" s="5"/>
      <c r="H816" s="306"/>
      <c r="I816" s="306"/>
      <c r="J816" s="5"/>
      <c r="K816" s="5"/>
      <c r="L816" s="306"/>
      <c r="M816" s="5"/>
      <c r="N816" s="5"/>
      <c r="O816" s="5"/>
      <c r="P816" s="5"/>
      <c r="Q816" s="5"/>
      <c r="R816" s="57"/>
      <c r="S816" s="5"/>
      <c r="T816" s="5"/>
      <c r="U816" s="5"/>
      <c r="V816" s="5"/>
      <c r="W816" s="5"/>
      <c r="X816" s="5"/>
      <c r="Y816" s="5"/>
      <c r="Z816" s="5"/>
      <c r="AA816" s="5"/>
      <c r="AB816" s="5"/>
      <c r="AC816" s="5"/>
    </row>
    <row r="817" spans="1:29" ht="12.75" customHeight="1">
      <c r="A817" s="5"/>
      <c r="B817" s="5"/>
      <c r="C817" s="5"/>
      <c r="D817" s="5"/>
      <c r="E817" s="5"/>
      <c r="F817" s="5"/>
      <c r="G817" s="5"/>
      <c r="H817" s="306"/>
      <c r="I817" s="306"/>
      <c r="J817" s="5"/>
      <c r="K817" s="5"/>
      <c r="L817" s="306"/>
      <c r="M817" s="5"/>
      <c r="N817" s="5"/>
      <c r="O817" s="5"/>
      <c r="P817" s="5"/>
      <c r="Q817" s="5"/>
      <c r="R817" s="57"/>
      <c r="S817" s="5"/>
      <c r="T817" s="5"/>
      <c r="U817" s="5"/>
      <c r="V817" s="5"/>
      <c r="W817" s="5"/>
      <c r="X817" s="5"/>
      <c r="Y817" s="5"/>
      <c r="Z817" s="5"/>
      <c r="AA817" s="5"/>
      <c r="AB817" s="5"/>
      <c r="AC817" s="5"/>
    </row>
    <row r="818" spans="1:29" ht="12.75" customHeight="1">
      <c r="A818" s="5"/>
      <c r="B818" s="5"/>
      <c r="C818" s="5"/>
      <c r="D818" s="5"/>
      <c r="E818" s="5"/>
      <c r="F818" s="5"/>
      <c r="G818" s="5"/>
      <c r="H818" s="306"/>
      <c r="I818" s="306"/>
      <c r="J818" s="5"/>
      <c r="K818" s="5"/>
      <c r="L818" s="306"/>
      <c r="M818" s="5"/>
      <c r="N818" s="5"/>
      <c r="O818" s="5"/>
      <c r="P818" s="5"/>
      <c r="Q818" s="5"/>
      <c r="R818" s="57"/>
      <c r="S818" s="5"/>
      <c r="T818" s="5"/>
      <c r="U818" s="5"/>
      <c r="V818" s="5"/>
      <c r="W818" s="5"/>
      <c r="X818" s="5"/>
      <c r="Y818" s="5"/>
      <c r="Z818" s="5"/>
      <c r="AA818" s="5"/>
      <c r="AB818" s="5"/>
      <c r="AC818" s="5"/>
    </row>
    <row r="819" spans="1:29" ht="12.75" customHeight="1">
      <c r="A819" s="5"/>
      <c r="B819" s="5"/>
      <c r="C819" s="5"/>
      <c r="D819" s="5"/>
      <c r="E819" s="5"/>
      <c r="F819" s="5"/>
      <c r="G819" s="5"/>
      <c r="H819" s="306"/>
      <c r="I819" s="306"/>
      <c r="J819" s="5"/>
      <c r="K819" s="5"/>
      <c r="L819" s="306"/>
      <c r="M819" s="5"/>
      <c r="N819" s="5"/>
      <c r="O819" s="5"/>
      <c r="P819" s="5"/>
      <c r="Q819" s="5"/>
      <c r="R819" s="57"/>
      <c r="S819" s="5"/>
      <c r="T819" s="5"/>
      <c r="U819" s="5"/>
      <c r="V819" s="5"/>
      <c r="W819" s="5"/>
      <c r="X819" s="5"/>
      <c r="Y819" s="5"/>
      <c r="Z819" s="5"/>
      <c r="AA819" s="5"/>
      <c r="AB819" s="5"/>
      <c r="AC819" s="5"/>
    </row>
    <row r="820" spans="1:29" ht="12.75" customHeight="1">
      <c r="A820" s="5"/>
      <c r="B820" s="5"/>
      <c r="C820" s="5"/>
      <c r="D820" s="5"/>
      <c r="E820" s="5"/>
      <c r="F820" s="5"/>
      <c r="G820" s="5"/>
      <c r="H820" s="306"/>
      <c r="I820" s="306"/>
      <c r="J820" s="5"/>
      <c r="K820" s="5"/>
      <c r="L820" s="306"/>
      <c r="M820" s="5"/>
      <c r="N820" s="5"/>
      <c r="O820" s="5"/>
      <c r="P820" s="5"/>
      <c r="Q820" s="5"/>
      <c r="R820" s="57"/>
      <c r="S820" s="5"/>
      <c r="T820" s="5"/>
      <c r="U820" s="5"/>
      <c r="V820" s="5"/>
      <c r="W820" s="5"/>
      <c r="X820" s="5"/>
      <c r="Y820" s="5"/>
      <c r="Z820" s="5"/>
      <c r="AA820" s="5"/>
      <c r="AB820" s="5"/>
      <c r="AC820" s="5"/>
    </row>
    <row r="821" spans="1:29" ht="12.75" customHeight="1">
      <c r="A821" s="5"/>
      <c r="B821" s="5"/>
      <c r="C821" s="5"/>
      <c r="D821" s="5"/>
      <c r="E821" s="5"/>
      <c r="F821" s="5"/>
      <c r="G821" s="5"/>
      <c r="H821" s="306"/>
      <c r="I821" s="306"/>
      <c r="J821" s="5"/>
      <c r="K821" s="5"/>
      <c r="L821" s="306"/>
      <c r="M821" s="5"/>
      <c r="N821" s="5"/>
      <c r="O821" s="5"/>
      <c r="P821" s="5"/>
      <c r="Q821" s="5"/>
      <c r="R821" s="57"/>
      <c r="S821" s="5"/>
      <c r="T821" s="5"/>
      <c r="U821" s="5"/>
      <c r="V821" s="5"/>
      <c r="W821" s="5"/>
      <c r="X821" s="5"/>
      <c r="Y821" s="5"/>
      <c r="Z821" s="5"/>
      <c r="AA821" s="5"/>
      <c r="AB821" s="5"/>
      <c r="AC821" s="5"/>
    </row>
    <row r="822" spans="1:29" ht="12.75" customHeight="1">
      <c r="A822" s="5"/>
      <c r="B822" s="5"/>
      <c r="C822" s="5"/>
      <c r="D822" s="5"/>
      <c r="E822" s="5"/>
      <c r="F822" s="5"/>
      <c r="G822" s="5"/>
      <c r="H822" s="306"/>
      <c r="I822" s="306"/>
      <c r="J822" s="5"/>
      <c r="K822" s="5"/>
      <c r="L822" s="306"/>
      <c r="M822" s="5"/>
      <c r="N822" s="5"/>
      <c r="O822" s="5"/>
      <c r="P822" s="5"/>
      <c r="Q822" s="5"/>
      <c r="R822" s="57"/>
      <c r="S822" s="5"/>
      <c r="T822" s="5"/>
      <c r="U822" s="5"/>
      <c r="V822" s="5"/>
      <c r="W822" s="5"/>
      <c r="X822" s="5"/>
      <c r="Y822" s="5"/>
      <c r="Z822" s="5"/>
      <c r="AA822" s="5"/>
      <c r="AB822" s="5"/>
      <c r="AC822" s="5"/>
    </row>
    <row r="823" spans="1:29" ht="12.75" customHeight="1">
      <c r="A823" s="5"/>
      <c r="B823" s="5"/>
      <c r="C823" s="5"/>
      <c r="D823" s="5"/>
      <c r="E823" s="5"/>
      <c r="F823" s="5"/>
      <c r="G823" s="5"/>
      <c r="H823" s="306"/>
      <c r="I823" s="306"/>
      <c r="J823" s="5"/>
      <c r="K823" s="5"/>
      <c r="L823" s="306"/>
      <c r="M823" s="5"/>
      <c r="N823" s="5"/>
      <c r="O823" s="5"/>
      <c r="P823" s="5"/>
      <c r="Q823" s="5"/>
      <c r="R823" s="57"/>
      <c r="S823" s="5"/>
      <c r="T823" s="5"/>
      <c r="U823" s="5"/>
      <c r="V823" s="5"/>
      <c r="W823" s="5"/>
      <c r="X823" s="5"/>
      <c r="Y823" s="5"/>
      <c r="Z823" s="5"/>
      <c r="AA823" s="5"/>
      <c r="AB823" s="5"/>
      <c r="AC823" s="5"/>
    </row>
    <row r="824" spans="1:29" ht="12.75" customHeight="1">
      <c r="A824" s="5"/>
      <c r="B824" s="5"/>
      <c r="C824" s="5"/>
      <c r="D824" s="5"/>
      <c r="E824" s="5"/>
      <c r="F824" s="5"/>
      <c r="G824" s="5"/>
      <c r="H824" s="306"/>
      <c r="I824" s="306"/>
      <c r="J824" s="5"/>
      <c r="K824" s="5"/>
      <c r="L824" s="306"/>
      <c r="M824" s="5"/>
      <c r="N824" s="5"/>
      <c r="O824" s="5"/>
      <c r="P824" s="5"/>
      <c r="Q824" s="5"/>
      <c r="R824" s="57"/>
      <c r="S824" s="5"/>
      <c r="T824" s="5"/>
      <c r="U824" s="5"/>
      <c r="V824" s="5"/>
      <c r="W824" s="5"/>
      <c r="X824" s="5"/>
      <c r="Y824" s="5"/>
      <c r="Z824" s="5"/>
      <c r="AA824" s="5"/>
      <c r="AB824" s="5"/>
      <c r="AC824" s="5"/>
    </row>
    <row r="825" spans="1:29" ht="12.75" customHeight="1">
      <c r="A825" s="5"/>
      <c r="B825" s="5"/>
      <c r="C825" s="5"/>
      <c r="D825" s="5"/>
      <c r="E825" s="5"/>
      <c r="F825" s="5"/>
      <c r="G825" s="5"/>
      <c r="H825" s="306"/>
      <c r="I825" s="306"/>
      <c r="J825" s="5"/>
      <c r="K825" s="5"/>
      <c r="L825" s="306"/>
      <c r="M825" s="5"/>
      <c r="N825" s="5"/>
      <c r="O825" s="5"/>
      <c r="P825" s="5"/>
      <c r="Q825" s="5"/>
      <c r="R825" s="57"/>
      <c r="S825" s="5"/>
      <c r="T825" s="5"/>
      <c r="U825" s="5"/>
      <c r="V825" s="5"/>
      <c r="W825" s="5"/>
      <c r="X825" s="5"/>
      <c r="Y825" s="5"/>
      <c r="Z825" s="5"/>
      <c r="AA825" s="5"/>
      <c r="AB825" s="5"/>
      <c r="AC825" s="5"/>
    </row>
    <row r="826" spans="1:29" ht="12.75" customHeight="1">
      <c r="A826" s="5"/>
      <c r="B826" s="5"/>
      <c r="C826" s="5"/>
      <c r="D826" s="5"/>
      <c r="E826" s="5"/>
      <c r="F826" s="5"/>
      <c r="G826" s="5"/>
      <c r="H826" s="306"/>
      <c r="I826" s="306"/>
      <c r="J826" s="5"/>
      <c r="K826" s="5"/>
      <c r="L826" s="306"/>
      <c r="M826" s="5"/>
      <c r="N826" s="5"/>
      <c r="O826" s="5"/>
      <c r="P826" s="5"/>
      <c r="Q826" s="5"/>
      <c r="R826" s="57"/>
      <c r="S826" s="5"/>
      <c r="T826" s="5"/>
      <c r="U826" s="5"/>
      <c r="V826" s="5"/>
      <c r="W826" s="5"/>
      <c r="X826" s="5"/>
      <c r="Y826" s="5"/>
      <c r="Z826" s="5"/>
      <c r="AA826" s="5"/>
      <c r="AB826" s="5"/>
      <c r="AC826" s="5"/>
    </row>
    <row r="827" spans="1:29" ht="12.75" customHeight="1">
      <c r="A827" s="5"/>
      <c r="B827" s="5"/>
      <c r="C827" s="5"/>
      <c r="D827" s="5"/>
      <c r="E827" s="5"/>
      <c r="F827" s="5"/>
      <c r="G827" s="5"/>
      <c r="H827" s="306"/>
      <c r="I827" s="306"/>
      <c r="J827" s="5"/>
      <c r="K827" s="5"/>
      <c r="L827" s="306"/>
      <c r="M827" s="5"/>
      <c r="N827" s="5"/>
      <c r="O827" s="5"/>
      <c r="P827" s="5"/>
      <c r="Q827" s="5"/>
      <c r="R827" s="57"/>
      <c r="S827" s="5"/>
      <c r="T827" s="5"/>
      <c r="U827" s="5"/>
      <c r="V827" s="5"/>
      <c r="W827" s="5"/>
      <c r="X827" s="5"/>
      <c r="Y827" s="5"/>
      <c r="Z827" s="5"/>
      <c r="AA827" s="5"/>
      <c r="AB827" s="5"/>
      <c r="AC827" s="5"/>
    </row>
    <row r="828" spans="1:29" ht="12.75" customHeight="1">
      <c r="A828" s="5"/>
      <c r="B828" s="5"/>
      <c r="C828" s="5"/>
      <c r="D828" s="5"/>
      <c r="E828" s="5"/>
      <c r="F828" s="5"/>
      <c r="G828" s="5"/>
      <c r="H828" s="306"/>
      <c r="I828" s="306"/>
      <c r="J828" s="5"/>
      <c r="K828" s="5"/>
      <c r="L828" s="306"/>
      <c r="M828" s="5"/>
      <c r="N828" s="5"/>
      <c r="O828" s="5"/>
      <c r="P828" s="5"/>
      <c r="Q828" s="5"/>
      <c r="R828" s="57"/>
      <c r="S828" s="5"/>
      <c r="T828" s="5"/>
      <c r="U828" s="5"/>
      <c r="V828" s="5"/>
      <c r="W828" s="5"/>
      <c r="X828" s="5"/>
      <c r="Y828" s="5"/>
      <c r="Z828" s="5"/>
      <c r="AA828" s="5"/>
      <c r="AB828" s="5"/>
      <c r="AC828" s="5"/>
    </row>
    <row r="829" spans="1:29" ht="12.75" customHeight="1">
      <c r="A829" s="5"/>
      <c r="B829" s="5"/>
      <c r="C829" s="5"/>
      <c r="D829" s="5"/>
      <c r="E829" s="5"/>
      <c r="F829" s="5"/>
      <c r="G829" s="5"/>
      <c r="H829" s="306"/>
      <c r="I829" s="306"/>
      <c r="J829" s="5"/>
      <c r="K829" s="5"/>
      <c r="L829" s="306"/>
      <c r="M829" s="5"/>
      <c r="N829" s="5"/>
      <c r="O829" s="5"/>
      <c r="P829" s="5"/>
      <c r="Q829" s="5"/>
      <c r="R829" s="57"/>
      <c r="S829" s="5"/>
      <c r="T829" s="5"/>
      <c r="U829" s="5"/>
      <c r="V829" s="5"/>
      <c r="W829" s="5"/>
      <c r="X829" s="5"/>
      <c r="Y829" s="5"/>
      <c r="Z829" s="5"/>
      <c r="AA829" s="5"/>
      <c r="AB829" s="5"/>
      <c r="AC829" s="5"/>
    </row>
    <row r="830" spans="1:29" ht="12.75" customHeight="1">
      <c r="A830" s="5"/>
      <c r="B830" s="5"/>
      <c r="C830" s="5"/>
      <c r="D830" s="5"/>
      <c r="E830" s="5"/>
      <c r="F830" s="5"/>
      <c r="G830" s="5"/>
      <c r="H830" s="306"/>
      <c r="I830" s="306"/>
      <c r="J830" s="5"/>
      <c r="K830" s="5"/>
      <c r="L830" s="306"/>
      <c r="M830" s="5"/>
      <c r="N830" s="5"/>
      <c r="O830" s="5"/>
      <c r="P830" s="5"/>
      <c r="Q830" s="5"/>
      <c r="R830" s="57"/>
      <c r="S830" s="5"/>
      <c r="T830" s="5"/>
      <c r="U830" s="5"/>
      <c r="V830" s="5"/>
      <c r="W830" s="5"/>
      <c r="X830" s="5"/>
      <c r="Y830" s="5"/>
      <c r="Z830" s="5"/>
      <c r="AA830" s="5"/>
      <c r="AB830" s="5"/>
      <c r="AC830" s="5"/>
    </row>
    <row r="831" spans="1:29" ht="12.75" customHeight="1">
      <c r="A831" s="5"/>
      <c r="B831" s="5"/>
      <c r="C831" s="5"/>
      <c r="D831" s="5"/>
      <c r="E831" s="5"/>
      <c r="F831" s="5"/>
      <c r="G831" s="5"/>
      <c r="H831" s="306"/>
      <c r="I831" s="306"/>
      <c r="J831" s="5"/>
      <c r="K831" s="5"/>
      <c r="L831" s="306"/>
      <c r="M831" s="5"/>
      <c r="N831" s="5"/>
      <c r="O831" s="5"/>
      <c r="P831" s="5"/>
      <c r="Q831" s="5"/>
      <c r="R831" s="57"/>
      <c r="S831" s="5"/>
      <c r="T831" s="5"/>
      <c r="U831" s="5"/>
      <c r="V831" s="5"/>
      <c r="W831" s="5"/>
      <c r="X831" s="5"/>
      <c r="Y831" s="5"/>
      <c r="Z831" s="5"/>
      <c r="AA831" s="5"/>
      <c r="AB831" s="5"/>
      <c r="AC831" s="5"/>
    </row>
    <row r="832" spans="1:29" ht="12.75" customHeight="1">
      <c r="A832" s="5"/>
      <c r="B832" s="5"/>
      <c r="C832" s="5"/>
      <c r="D832" s="5"/>
      <c r="E832" s="5"/>
      <c r="F832" s="5"/>
      <c r="G832" s="5"/>
      <c r="H832" s="306"/>
      <c r="I832" s="306"/>
      <c r="J832" s="5"/>
      <c r="K832" s="5"/>
      <c r="L832" s="306"/>
      <c r="M832" s="5"/>
      <c r="N832" s="5"/>
      <c r="O832" s="5"/>
      <c r="P832" s="5"/>
      <c r="Q832" s="5"/>
      <c r="R832" s="57"/>
      <c r="S832" s="5"/>
      <c r="T832" s="5"/>
      <c r="U832" s="5"/>
      <c r="V832" s="5"/>
      <c r="W832" s="5"/>
      <c r="X832" s="5"/>
      <c r="Y832" s="5"/>
      <c r="Z832" s="5"/>
      <c r="AA832" s="5"/>
      <c r="AB832" s="5"/>
      <c r="AC832" s="5"/>
    </row>
    <row r="833" spans="1:29" ht="12.75" customHeight="1">
      <c r="A833" s="5"/>
      <c r="B833" s="5"/>
      <c r="C833" s="5"/>
      <c r="D833" s="5"/>
      <c r="E833" s="5"/>
      <c r="F833" s="5"/>
      <c r="G833" s="5"/>
      <c r="H833" s="306"/>
      <c r="I833" s="306"/>
      <c r="J833" s="5"/>
      <c r="K833" s="5"/>
      <c r="L833" s="306"/>
      <c r="M833" s="5"/>
      <c r="N833" s="5"/>
      <c r="O833" s="5"/>
      <c r="P833" s="5"/>
      <c r="Q833" s="5"/>
      <c r="R833" s="57"/>
      <c r="S833" s="5"/>
      <c r="T833" s="5"/>
      <c r="U833" s="5"/>
      <c r="V833" s="5"/>
      <c r="W833" s="5"/>
      <c r="X833" s="5"/>
      <c r="Y833" s="5"/>
      <c r="Z833" s="5"/>
      <c r="AA833" s="5"/>
      <c r="AB833" s="5"/>
      <c r="AC833" s="5"/>
    </row>
    <row r="834" spans="1:29" ht="12.75" customHeight="1">
      <c r="A834" s="5"/>
      <c r="B834" s="5"/>
      <c r="C834" s="5"/>
      <c r="D834" s="5"/>
      <c r="E834" s="5"/>
      <c r="F834" s="5"/>
      <c r="G834" s="5"/>
      <c r="H834" s="306"/>
      <c r="I834" s="306"/>
      <c r="J834" s="5"/>
      <c r="K834" s="5"/>
      <c r="L834" s="306"/>
      <c r="M834" s="5"/>
      <c r="N834" s="5"/>
      <c r="O834" s="5"/>
      <c r="P834" s="5"/>
      <c r="Q834" s="5"/>
      <c r="R834" s="57"/>
      <c r="S834" s="5"/>
      <c r="T834" s="5"/>
      <c r="U834" s="5"/>
      <c r="V834" s="5"/>
      <c r="W834" s="5"/>
      <c r="X834" s="5"/>
      <c r="Y834" s="5"/>
      <c r="Z834" s="5"/>
      <c r="AA834" s="5"/>
      <c r="AB834" s="5"/>
      <c r="AC834" s="5"/>
    </row>
    <row r="835" spans="1:29" ht="12.75" customHeight="1">
      <c r="A835" s="5"/>
      <c r="B835" s="5"/>
      <c r="C835" s="5"/>
      <c r="D835" s="5"/>
      <c r="E835" s="5"/>
      <c r="F835" s="5"/>
      <c r="G835" s="5"/>
      <c r="H835" s="306"/>
      <c r="I835" s="306"/>
      <c r="J835" s="5"/>
      <c r="K835" s="5"/>
      <c r="L835" s="306"/>
      <c r="M835" s="5"/>
      <c r="N835" s="5"/>
      <c r="O835" s="5"/>
      <c r="P835" s="5"/>
      <c r="Q835" s="5"/>
      <c r="R835" s="57"/>
      <c r="S835" s="5"/>
      <c r="T835" s="5"/>
      <c r="U835" s="5"/>
      <c r="V835" s="5"/>
      <c r="W835" s="5"/>
      <c r="X835" s="5"/>
      <c r="Y835" s="5"/>
      <c r="Z835" s="5"/>
      <c r="AA835" s="5"/>
      <c r="AB835" s="5"/>
      <c r="AC835" s="5"/>
    </row>
    <row r="836" spans="1:29" ht="12.75" customHeight="1">
      <c r="A836" s="5"/>
      <c r="B836" s="5"/>
      <c r="C836" s="5"/>
      <c r="D836" s="5"/>
      <c r="E836" s="5"/>
      <c r="F836" s="5"/>
      <c r="G836" s="5"/>
      <c r="H836" s="306"/>
      <c r="I836" s="306"/>
      <c r="J836" s="5"/>
      <c r="K836" s="5"/>
      <c r="L836" s="306"/>
      <c r="M836" s="5"/>
      <c r="N836" s="5"/>
      <c r="O836" s="5"/>
      <c r="P836" s="5"/>
      <c r="Q836" s="5"/>
      <c r="R836" s="57"/>
      <c r="S836" s="5"/>
      <c r="T836" s="5"/>
      <c r="U836" s="5"/>
      <c r="V836" s="5"/>
      <c r="W836" s="5"/>
      <c r="X836" s="5"/>
      <c r="Y836" s="5"/>
      <c r="Z836" s="5"/>
      <c r="AA836" s="5"/>
      <c r="AB836" s="5"/>
      <c r="AC836" s="5"/>
    </row>
    <row r="837" spans="1:29" ht="12.75" customHeight="1">
      <c r="A837" s="5"/>
      <c r="B837" s="5"/>
      <c r="C837" s="5"/>
      <c r="D837" s="5"/>
      <c r="E837" s="5"/>
      <c r="F837" s="5"/>
      <c r="G837" s="5"/>
      <c r="H837" s="306"/>
      <c r="I837" s="306"/>
      <c r="J837" s="5"/>
      <c r="K837" s="5"/>
      <c r="L837" s="306"/>
      <c r="M837" s="5"/>
      <c r="N837" s="5"/>
      <c r="O837" s="5"/>
      <c r="P837" s="5"/>
      <c r="Q837" s="5"/>
      <c r="R837" s="57"/>
      <c r="S837" s="5"/>
      <c r="T837" s="5"/>
      <c r="U837" s="5"/>
      <c r="V837" s="5"/>
      <c r="W837" s="5"/>
      <c r="X837" s="5"/>
      <c r="Y837" s="5"/>
      <c r="Z837" s="5"/>
      <c r="AA837" s="5"/>
      <c r="AB837" s="5"/>
      <c r="AC837" s="5"/>
    </row>
    <row r="838" spans="1:29" ht="12.75" customHeight="1">
      <c r="A838" s="5"/>
      <c r="B838" s="5"/>
      <c r="C838" s="5"/>
      <c r="D838" s="5"/>
      <c r="E838" s="5"/>
      <c r="F838" s="5"/>
      <c r="G838" s="5"/>
      <c r="H838" s="306"/>
      <c r="I838" s="306"/>
      <c r="J838" s="5"/>
      <c r="K838" s="5"/>
      <c r="L838" s="306"/>
      <c r="M838" s="5"/>
      <c r="N838" s="5"/>
      <c r="O838" s="5"/>
      <c r="P838" s="5"/>
      <c r="Q838" s="5"/>
      <c r="R838" s="57"/>
      <c r="S838" s="5"/>
      <c r="T838" s="5"/>
      <c r="U838" s="5"/>
      <c r="V838" s="5"/>
      <c r="W838" s="5"/>
      <c r="X838" s="5"/>
      <c r="Y838" s="5"/>
      <c r="Z838" s="5"/>
      <c r="AA838" s="5"/>
      <c r="AB838" s="5"/>
      <c r="AC838" s="5"/>
    </row>
    <row r="839" spans="1:29" ht="12.75" customHeight="1">
      <c r="A839" s="5"/>
      <c r="B839" s="5"/>
      <c r="C839" s="5"/>
      <c r="D839" s="5"/>
      <c r="E839" s="5"/>
      <c r="F839" s="5"/>
      <c r="G839" s="5"/>
      <c r="H839" s="306"/>
      <c r="I839" s="306"/>
      <c r="J839" s="5"/>
      <c r="K839" s="5"/>
      <c r="L839" s="306"/>
      <c r="M839" s="5"/>
      <c r="N839" s="5"/>
      <c r="O839" s="5"/>
      <c r="P839" s="5"/>
      <c r="Q839" s="5"/>
      <c r="R839" s="57"/>
      <c r="S839" s="5"/>
      <c r="T839" s="5"/>
      <c r="U839" s="5"/>
      <c r="V839" s="5"/>
      <c r="W839" s="5"/>
      <c r="X839" s="5"/>
      <c r="Y839" s="5"/>
      <c r="Z839" s="5"/>
      <c r="AA839" s="5"/>
      <c r="AB839" s="5"/>
      <c r="AC839" s="5"/>
    </row>
    <row r="840" spans="1:29" ht="12.75" customHeight="1">
      <c r="A840" s="5"/>
      <c r="B840" s="5"/>
      <c r="C840" s="5"/>
      <c r="D840" s="5"/>
      <c r="E840" s="5"/>
      <c r="F840" s="5"/>
      <c r="G840" s="5"/>
      <c r="H840" s="306"/>
      <c r="I840" s="306"/>
      <c r="J840" s="5"/>
      <c r="K840" s="5"/>
      <c r="L840" s="306"/>
      <c r="M840" s="5"/>
      <c r="N840" s="5"/>
      <c r="O840" s="5"/>
      <c r="P840" s="5"/>
      <c r="Q840" s="5"/>
      <c r="R840" s="57"/>
      <c r="S840" s="5"/>
      <c r="T840" s="5"/>
      <c r="U840" s="5"/>
      <c r="V840" s="5"/>
      <c r="W840" s="5"/>
      <c r="X840" s="5"/>
      <c r="Y840" s="5"/>
      <c r="Z840" s="5"/>
      <c r="AA840" s="5"/>
      <c r="AB840" s="5"/>
      <c r="AC840" s="5"/>
    </row>
    <row r="841" spans="1:29" ht="12.75" customHeight="1">
      <c r="A841" s="5"/>
      <c r="B841" s="5"/>
      <c r="C841" s="5"/>
      <c r="D841" s="5"/>
      <c r="E841" s="5"/>
      <c r="F841" s="5"/>
      <c r="G841" s="5"/>
      <c r="H841" s="306"/>
      <c r="I841" s="306"/>
      <c r="J841" s="5"/>
      <c r="K841" s="5"/>
      <c r="L841" s="306"/>
      <c r="M841" s="5"/>
      <c r="N841" s="5"/>
      <c r="O841" s="5"/>
      <c r="P841" s="5"/>
      <c r="Q841" s="5"/>
      <c r="R841" s="57"/>
      <c r="S841" s="5"/>
      <c r="T841" s="5"/>
      <c r="U841" s="5"/>
      <c r="V841" s="5"/>
      <c r="W841" s="5"/>
      <c r="X841" s="5"/>
      <c r="Y841" s="5"/>
      <c r="Z841" s="5"/>
      <c r="AA841" s="5"/>
      <c r="AB841" s="5"/>
      <c r="AC841" s="5"/>
    </row>
    <row r="842" spans="1:29" ht="12.75" customHeight="1">
      <c r="A842" s="5"/>
      <c r="B842" s="5"/>
      <c r="C842" s="5"/>
      <c r="D842" s="5"/>
      <c r="E842" s="5"/>
      <c r="F842" s="5"/>
      <c r="G842" s="5"/>
      <c r="H842" s="306"/>
      <c r="I842" s="306"/>
      <c r="J842" s="5"/>
      <c r="K842" s="5"/>
      <c r="L842" s="306"/>
      <c r="M842" s="5"/>
      <c r="N842" s="5"/>
      <c r="O842" s="5"/>
      <c r="P842" s="5"/>
      <c r="Q842" s="5"/>
      <c r="R842" s="57"/>
      <c r="S842" s="5"/>
      <c r="T842" s="5"/>
      <c r="U842" s="5"/>
      <c r="V842" s="5"/>
      <c r="W842" s="5"/>
      <c r="X842" s="5"/>
      <c r="Y842" s="5"/>
      <c r="Z842" s="5"/>
      <c r="AA842" s="5"/>
      <c r="AB842" s="5"/>
      <c r="AC842" s="5"/>
    </row>
    <row r="843" spans="1:29" ht="12.75" customHeight="1">
      <c r="A843" s="5"/>
      <c r="B843" s="5"/>
      <c r="C843" s="5"/>
      <c r="D843" s="5"/>
      <c r="E843" s="5"/>
      <c r="F843" s="5"/>
      <c r="G843" s="5"/>
      <c r="H843" s="306"/>
      <c r="I843" s="306"/>
      <c r="J843" s="5"/>
      <c r="K843" s="5"/>
      <c r="L843" s="306"/>
      <c r="M843" s="5"/>
      <c r="N843" s="5"/>
      <c r="O843" s="5"/>
      <c r="P843" s="5"/>
      <c r="Q843" s="5"/>
      <c r="R843" s="57"/>
      <c r="S843" s="5"/>
      <c r="T843" s="5"/>
      <c r="U843" s="5"/>
      <c r="V843" s="5"/>
      <c r="W843" s="5"/>
      <c r="X843" s="5"/>
      <c r="Y843" s="5"/>
      <c r="Z843" s="5"/>
      <c r="AA843" s="5"/>
      <c r="AB843" s="5"/>
      <c r="AC843" s="5"/>
    </row>
    <row r="844" spans="1:29" ht="12.75" customHeight="1">
      <c r="A844" s="5"/>
      <c r="B844" s="5"/>
      <c r="C844" s="5"/>
      <c r="D844" s="5"/>
      <c r="E844" s="5"/>
      <c r="F844" s="5"/>
      <c r="G844" s="5"/>
      <c r="H844" s="306"/>
      <c r="I844" s="306"/>
      <c r="J844" s="5"/>
      <c r="K844" s="5"/>
      <c r="L844" s="306"/>
      <c r="M844" s="5"/>
      <c r="N844" s="5"/>
      <c r="O844" s="5"/>
      <c r="P844" s="5"/>
      <c r="Q844" s="5"/>
      <c r="R844" s="57"/>
      <c r="S844" s="5"/>
      <c r="T844" s="5"/>
      <c r="U844" s="5"/>
      <c r="V844" s="5"/>
      <c r="W844" s="5"/>
      <c r="X844" s="5"/>
      <c r="Y844" s="5"/>
      <c r="Z844" s="5"/>
      <c r="AA844" s="5"/>
      <c r="AB844" s="5"/>
      <c r="AC844" s="5"/>
    </row>
    <row r="845" spans="1:29" ht="12.75" customHeight="1">
      <c r="A845" s="5"/>
      <c r="B845" s="5"/>
      <c r="C845" s="5"/>
      <c r="D845" s="5"/>
      <c r="E845" s="5"/>
      <c r="F845" s="5"/>
      <c r="G845" s="5"/>
      <c r="H845" s="306"/>
      <c r="I845" s="306"/>
      <c r="J845" s="5"/>
      <c r="K845" s="5"/>
      <c r="L845" s="306"/>
      <c r="M845" s="5"/>
      <c r="N845" s="5"/>
      <c r="O845" s="5"/>
      <c r="P845" s="5"/>
      <c r="Q845" s="5"/>
      <c r="R845" s="57"/>
      <c r="S845" s="5"/>
      <c r="T845" s="5"/>
      <c r="U845" s="5"/>
      <c r="V845" s="5"/>
      <c r="W845" s="5"/>
      <c r="X845" s="5"/>
      <c r="Y845" s="5"/>
      <c r="Z845" s="5"/>
      <c r="AA845" s="5"/>
      <c r="AB845" s="5"/>
      <c r="AC845" s="5"/>
    </row>
    <row r="846" spans="1:29" ht="12.75" customHeight="1">
      <c r="A846" s="5"/>
      <c r="B846" s="5"/>
      <c r="C846" s="5"/>
      <c r="D846" s="5"/>
      <c r="E846" s="5"/>
      <c r="F846" s="5"/>
      <c r="G846" s="5"/>
      <c r="H846" s="306"/>
      <c r="I846" s="306"/>
      <c r="J846" s="5"/>
      <c r="K846" s="5"/>
      <c r="L846" s="306"/>
      <c r="M846" s="5"/>
      <c r="N846" s="5"/>
      <c r="O846" s="5"/>
      <c r="P846" s="5"/>
      <c r="Q846" s="5"/>
      <c r="R846" s="57"/>
      <c r="S846" s="5"/>
      <c r="T846" s="5"/>
      <c r="U846" s="5"/>
      <c r="V846" s="5"/>
      <c r="W846" s="5"/>
      <c r="X846" s="5"/>
      <c r="Y846" s="5"/>
      <c r="Z846" s="5"/>
      <c r="AA846" s="5"/>
      <c r="AB846" s="5"/>
      <c r="AC846" s="5"/>
    </row>
    <row r="847" spans="1:29" ht="12.75" customHeight="1">
      <c r="A847" s="5"/>
      <c r="B847" s="5"/>
      <c r="C847" s="5"/>
      <c r="D847" s="5"/>
      <c r="E847" s="5"/>
      <c r="F847" s="5"/>
      <c r="G847" s="5"/>
      <c r="H847" s="306"/>
      <c r="I847" s="306"/>
      <c r="J847" s="5"/>
      <c r="K847" s="5"/>
      <c r="L847" s="306"/>
      <c r="M847" s="5"/>
      <c r="N847" s="5"/>
      <c r="O847" s="5"/>
      <c r="P847" s="5"/>
      <c r="Q847" s="5"/>
      <c r="R847" s="57"/>
      <c r="S847" s="5"/>
      <c r="T847" s="5"/>
      <c r="U847" s="5"/>
      <c r="V847" s="5"/>
      <c r="W847" s="5"/>
      <c r="X847" s="5"/>
      <c r="Y847" s="5"/>
      <c r="Z847" s="5"/>
      <c r="AA847" s="5"/>
      <c r="AB847" s="5"/>
      <c r="AC847" s="5"/>
    </row>
    <row r="848" spans="1:29" ht="12.75" customHeight="1">
      <c r="A848" s="5"/>
      <c r="B848" s="5"/>
      <c r="C848" s="5"/>
      <c r="D848" s="5"/>
      <c r="E848" s="5"/>
      <c r="F848" s="5"/>
      <c r="G848" s="5"/>
      <c r="H848" s="306"/>
      <c r="I848" s="306"/>
      <c r="J848" s="5"/>
      <c r="K848" s="5"/>
      <c r="L848" s="306"/>
      <c r="M848" s="5"/>
      <c r="N848" s="5"/>
      <c r="O848" s="5"/>
      <c r="P848" s="5"/>
      <c r="Q848" s="5"/>
      <c r="R848" s="57"/>
      <c r="S848" s="5"/>
      <c r="T848" s="5"/>
      <c r="U848" s="5"/>
      <c r="V848" s="5"/>
      <c r="W848" s="5"/>
      <c r="X848" s="5"/>
      <c r="Y848" s="5"/>
      <c r="Z848" s="5"/>
      <c r="AA848" s="5"/>
      <c r="AB848" s="5"/>
      <c r="AC848" s="5"/>
    </row>
    <row r="849" spans="1:29" ht="12.75" customHeight="1">
      <c r="A849" s="5"/>
      <c r="B849" s="5"/>
      <c r="C849" s="5"/>
      <c r="D849" s="5"/>
      <c r="E849" s="5"/>
      <c r="F849" s="5"/>
      <c r="G849" s="5"/>
      <c r="H849" s="306"/>
      <c r="I849" s="306"/>
      <c r="J849" s="5"/>
      <c r="K849" s="5"/>
      <c r="L849" s="306"/>
      <c r="M849" s="5"/>
      <c r="N849" s="5"/>
      <c r="O849" s="5"/>
      <c r="P849" s="5"/>
      <c r="Q849" s="5"/>
      <c r="R849" s="57"/>
      <c r="S849" s="5"/>
      <c r="T849" s="5"/>
      <c r="U849" s="5"/>
      <c r="V849" s="5"/>
      <c r="W849" s="5"/>
      <c r="X849" s="5"/>
      <c r="Y849" s="5"/>
      <c r="Z849" s="5"/>
      <c r="AA849" s="5"/>
      <c r="AB849" s="5"/>
      <c r="AC849" s="5"/>
    </row>
    <row r="850" spans="1:29" ht="12.75" customHeight="1">
      <c r="A850" s="5"/>
      <c r="B850" s="5"/>
      <c r="C850" s="5"/>
      <c r="D850" s="5"/>
      <c r="E850" s="5"/>
      <c r="F850" s="5"/>
      <c r="G850" s="5"/>
      <c r="H850" s="306"/>
      <c r="I850" s="306"/>
      <c r="J850" s="5"/>
      <c r="K850" s="5"/>
      <c r="L850" s="306"/>
      <c r="M850" s="5"/>
      <c r="N850" s="5"/>
      <c r="O850" s="5"/>
      <c r="P850" s="5"/>
      <c r="Q850" s="5"/>
      <c r="R850" s="57"/>
      <c r="S850" s="5"/>
      <c r="T850" s="5"/>
      <c r="U850" s="5"/>
      <c r="V850" s="5"/>
      <c r="W850" s="5"/>
      <c r="X850" s="5"/>
      <c r="Y850" s="5"/>
      <c r="Z850" s="5"/>
      <c r="AA850" s="5"/>
      <c r="AB850" s="5"/>
      <c r="AC850" s="5"/>
    </row>
    <row r="851" spans="1:29" ht="12.75" customHeight="1">
      <c r="A851" s="5"/>
      <c r="B851" s="5"/>
      <c r="C851" s="5"/>
      <c r="D851" s="5"/>
      <c r="E851" s="5"/>
      <c r="F851" s="5"/>
      <c r="G851" s="5"/>
      <c r="H851" s="306"/>
      <c r="I851" s="306"/>
      <c r="J851" s="5"/>
      <c r="K851" s="5"/>
      <c r="L851" s="306"/>
      <c r="M851" s="5"/>
      <c r="N851" s="5"/>
      <c r="O851" s="5"/>
      <c r="P851" s="5"/>
      <c r="Q851" s="5"/>
      <c r="R851" s="57"/>
      <c r="S851" s="5"/>
      <c r="T851" s="5"/>
      <c r="U851" s="5"/>
      <c r="V851" s="5"/>
      <c r="W851" s="5"/>
      <c r="X851" s="5"/>
      <c r="Y851" s="5"/>
      <c r="Z851" s="5"/>
      <c r="AA851" s="5"/>
      <c r="AB851" s="5"/>
      <c r="AC851" s="5"/>
    </row>
    <row r="852" spans="1:29" ht="12.75" customHeight="1">
      <c r="A852" s="5"/>
      <c r="B852" s="5"/>
      <c r="C852" s="5"/>
      <c r="D852" s="5"/>
      <c r="E852" s="5"/>
      <c r="F852" s="5"/>
      <c r="G852" s="5"/>
      <c r="H852" s="306"/>
      <c r="I852" s="306"/>
      <c r="J852" s="5"/>
      <c r="K852" s="5"/>
      <c r="L852" s="306"/>
      <c r="M852" s="5"/>
      <c r="N852" s="5"/>
      <c r="O852" s="5"/>
      <c r="P852" s="5"/>
      <c r="Q852" s="5"/>
      <c r="R852" s="57"/>
      <c r="S852" s="5"/>
      <c r="T852" s="5"/>
      <c r="U852" s="5"/>
      <c r="V852" s="5"/>
      <c r="W852" s="5"/>
      <c r="X852" s="5"/>
      <c r="Y852" s="5"/>
      <c r="Z852" s="5"/>
      <c r="AA852" s="5"/>
      <c r="AB852" s="5"/>
      <c r="AC852" s="5"/>
    </row>
    <row r="853" spans="1:29" ht="12.75" customHeight="1">
      <c r="A853" s="5"/>
      <c r="B853" s="5"/>
      <c r="C853" s="5"/>
      <c r="D853" s="5"/>
      <c r="E853" s="5"/>
      <c r="F853" s="5"/>
      <c r="G853" s="5"/>
      <c r="H853" s="306"/>
      <c r="I853" s="306"/>
      <c r="J853" s="5"/>
      <c r="K853" s="5"/>
      <c r="L853" s="306"/>
      <c r="M853" s="5"/>
      <c r="N853" s="5"/>
      <c r="O853" s="5"/>
      <c r="P853" s="5"/>
      <c r="Q853" s="5"/>
      <c r="R853" s="57"/>
      <c r="S853" s="5"/>
      <c r="T853" s="5"/>
      <c r="U853" s="5"/>
      <c r="V853" s="5"/>
      <c r="W853" s="5"/>
      <c r="X853" s="5"/>
      <c r="Y853" s="5"/>
      <c r="Z853" s="5"/>
      <c r="AA853" s="5"/>
      <c r="AB853" s="5"/>
      <c r="AC853" s="5"/>
    </row>
    <row r="854" spans="1:29" ht="12.75" customHeight="1">
      <c r="A854" s="5"/>
      <c r="B854" s="5"/>
      <c r="C854" s="5"/>
      <c r="D854" s="5"/>
      <c r="E854" s="5"/>
      <c r="F854" s="5"/>
      <c r="G854" s="5"/>
      <c r="H854" s="306"/>
      <c r="I854" s="306"/>
      <c r="J854" s="5"/>
      <c r="K854" s="5"/>
      <c r="L854" s="306"/>
      <c r="M854" s="5"/>
      <c r="N854" s="5"/>
      <c r="O854" s="5"/>
      <c r="P854" s="5"/>
      <c r="Q854" s="5"/>
      <c r="R854" s="57"/>
      <c r="S854" s="5"/>
      <c r="T854" s="5"/>
      <c r="U854" s="5"/>
      <c r="V854" s="5"/>
      <c r="W854" s="5"/>
      <c r="X854" s="5"/>
      <c r="Y854" s="5"/>
      <c r="Z854" s="5"/>
      <c r="AA854" s="5"/>
      <c r="AB854" s="5"/>
      <c r="AC854" s="5"/>
    </row>
    <row r="855" spans="1:29" ht="12.75" customHeight="1">
      <c r="A855" s="5"/>
      <c r="B855" s="5"/>
      <c r="C855" s="5"/>
      <c r="D855" s="5"/>
      <c r="E855" s="5"/>
      <c r="F855" s="5"/>
      <c r="G855" s="5"/>
      <c r="H855" s="306"/>
      <c r="I855" s="306"/>
      <c r="J855" s="5"/>
      <c r="K855" s="5"/>
      <c r="L855" s="306"/>
      <c r="M855" s="5"/>
      <c r="N855" s="5"/>
      <c r="O855" s="5"/>
      <c r="P855" s="5"/>
      <c r="Q855" s="5"/>
      <c r="R855" s="57"/>
      <c r="S855" s="5"/>
      <c r="T855" s="5"/>
      <c r="U855" s="5"/>
      <c r="V855" s="5"/>
      <c r="W855" s="5"/>
      <c r="X855" s="5"/>
      <c r="Y855" s="5"/>
      <c r="Z855" s="5"/>
      <c r="AA855" s="5"/>
      <c r="AB855" s="5"/>
      <c r="AC855" s="5"/>
    </row>
    <row r="856" spans="1:29" ht="12.75" customHeight="1">
      <c r="A856" s="5"/>
      <c r="B856" s="5"/>
      <c r="C856" s="5"/>
      <c r="D856" s="5"/>
      <c r="E856" s="5"/>
      <c r="F856" s="5"/>
      <c r="G856" s="5"/>
      <c r="H856" s="306"/>
      <c r="I856" s="306"/>
      <c r="J856" s="5"/>
      <c r="K856" s="5"/>
      <c r="L856" s="306"/>
      <c r="M856" s="5"/>
      <c r="N856" s="5"/>
      <c r="O856" s="5"/>
      <c r="P856" s="5"/>
      <c r="Q856" s="5"/>
      <c r="R856" s="57"/>
      <c r="S856" s="5"/>
      <c r="T856" s="5"/>
      <c r="U856" s="5"/>
      <c r="V856" s="5"/>
      <c r="W856" s="5"/>
      <c r="X856" s="5"/>
      <c r="Y856" s="5"/>
      <c r="Z856" s="5"/>
      <c r="AA856" s="5"/>
      <c r="AB856" s="5"/>
      <c r="AC856" s="5"/>
    </row>
    <row r="857" spans="1:29" ht="12.75" customHeight="1">
      <c r="A857" s="5"/>
      <c r="B857" s="5"/>
      <c r="C857" s="5"/>
      <c r="D857" s="5"/>
      <c r="E857" s="5"/>
      <c r="F857" s="5"/>
      <c r="G857" s="5"/>
      <c r="H857" s="306"/>
      <c r="I857" s="306"/>
      <c r="J857" s="5"/>
      <c r="K857" s="5"/>
      <c r="L857" s="306"/>
      <c r="M857" s="5"/>
      <c r="N857" s="5"/>
      <c r="O857" s="5"/>
      <c r="P857" s="5"/>
      <c r="Q857" s="5"/>
      <c r="R857" s="57"/>
      <c r="S857" s="5"/>
      <c r="T857" s="5"/>
      <c r="U857" s="5"/>
      <c r="V857" s="5"/>
      <c r="W857" s="5"/>
      <c r="X857" s="5"/>
      <c r="Y857" s="5"/>
      <c r="Z857" s="5"/>
      <c r="AA857" s="5"/>
      <c r="AB857" s="5"/>
      <c r="AC857" s="5"/>
    </row>
    <row r="858" spans="1:29" ht="12.75" customHeight="1">
      <c r="A858" s="5"/>
      <c r="B858" s="5"/>
      <c r="C858" s="5"/>
      <c r="D858" s="5"/>
      <c r="E858" s="5"/>
      <c r="F858" s="5"/>
      <c r="G858" s="5"/>
      <c r="H858" s="306"/>
      <c r="I858" s="306"/>
      <c r="J858" s="5"/>
      <c r="K858" s="5"/>
      <c r="L858" s="306"/>
      <c r="M858" s="5"/>
      <c r="N858" s="5"/>
      <c r="O858" s="5"/>
      <c r="P858" s="5"/>
      <c r="Q858" s="5"/>
      <c r="R858" s="57"/>
      <c r="S858" s="5"/>
      <c r="T858" s="5"/>
      <c r="U858" s="5"/>
      <c r="V858" s="5"/>
      <c r="W858" s="5"/>
      <c r="X858" s="5"/>
      <c r="Y858" s="5"/>
      <c r="Z858" s="5"/>
      <c r="AA858" s="5"/>
      <c r="AB858" s="5"/>
      <c r="AC858" s="5"/>
    </row>
    <row r="859" spans="1:29" ht="12.75" customHeight="1">
      <c r="A859" s="5"/>
      <c r="B859" s="5"/>
      <c r="C859" s="5"/>
      <c r="D859" s="5"/>
      <c r="E859" s="5"/>
      <c r="F859" s="5"/>
      <c r="G859" s="5"/>
      <c r="H859" s="306"/>
      <c r="I859" s="306"/>
      <c r="J859" s="5"/>
      <c r="K859" s="5"/>
      <c r="L859" s="306"/>
      <c r="M859" s="5"/>
      <c r="N859" s="5"/>
      <c r="O859" s="5"/>
      <c r="P859" s="5"/>
      <c r="Q859" s="5"/>
      <c r="R859" s="57"/>
      <c r="S859" s="5"/>
      <c r="T859" s="5"/>
      <c r="U859" s="5"/>
      <c r="V859" s="5"/>
      <c r="W859" s="5"/>
      <c r="X859" s="5"/>
      <c r="Y859" s="5"/>
      <c r="Z859" s="5"/>
      <c r="AA859" s="5"/>
      <c r="AB859" s="5"/>
      <c r="AC859" s="5"/>
    </row>
    <row r="860" spans="1:29" ht="12.75" customHeight="1">
      <c r="A860" s="5"/>
      <c r="B860" s="5"/>
      <c r="C860" s="5"/>
      <c r="D860" s="5"/>
      <c r="E860" s="5"/>
      <c r="F860" s="5"/>
      <c r="G860" s="5"/>
      <c r="H860" s="306"/>
      <c r="I860" s="306"/>
      <c r="J860" s="5"/>
      <c r="K860" s="5"/>
      <c r="L860" s="306"/>
      <c r="M860" s="5"/>
      <c r="N860" s="5"/>
      <c r="O860" s="5"/>
      <c r="P860" s="5"/>
      <c r="Q860" s="5"/>
      <c r="R860" s="57"/>
      <c r="S860" s="5"/>
      <c r="T860" s="5"/>
      <c r="U860" s="5"/>
      <c r="V860" s="5"/>
      <c r="W860" s="5"/>
      <c r="X860" s="5"/>
      <c r="Y860" s="5"/>
      <c r="Z860" s="5"/>
      <c r="AA860" s="5"/>
      <c r="AB860" s="5"/>
      <c r="AC860" s="5"/>
    </row>
    <row r="861" spans="1:29" ht="12.75" customHeight="1">
      <c r="A861" s="5"/>
      <c r="B861" s="5"/>
      <c r="C861" s="5"/>
      <c r="D861" s="5"/>
      <c r="E861" s="5"/>
      <c r="F861" s="5"/>
      <c r="G861" s="5"/>
      <c r="H861" s="306"/>
      <c r="I861" s="306"/>
      <c r="J861" s="5"/>
      <c r="K861" s="5"/>
      <c r="L861" s="306"/>
      <c r="M861" s="5"/>
      <c r="N861" s="5"/>
      <c r="O861" s="5"/>
      <c r="P861" s="5"/>
      <c r="Q861" s="5"/>
      <c r="R861" s="57"/>
      <c r="S861" s="5"/>
      <c r="T861" s="5"/>
      <c r="U861" s="5"/>
      <c r="V861" s="5"/>
      <c r="W861" s="5"/>
      <c r="X861" s="5"/>
      <c r="Y861" s="5"/>
      <c r="Z861" s="5"/>
      <c r="AA861" s="5"/>
      <c r="AB861" s="5"/>
      <c r="AC861" s="5"/>
    </row>
    <row r="862" spans="1:29" ht="12.75" customHeight="1">
      <c r="A862" s="5"/>
      <c r="B862" s="5"/>
      <c r="C862" s="5"/>
      <c r="D862" s="5"/>
      <c r="E862" s="5"/>
      <c r="F862" s="5"/>
      <c r="G862" s="5"/>
      <c r="H862" s="306"/>
      <c r="I862" s="306"/>
      <c r="J862" s="5"/>
      <c r="K862" s="5"/>
      <c r="L862" s="306"/>
      <c r="M862" s="5"/>
      <c r="N862" s="5"/>
      <c r="O862" s="5"/>
      <c r="P862" s="5"/>
      <c r="Q862" s="5"/>
      <c r="R862" s="57"/>
      <c r="S862" s="5"/>
      <c r="T862" s="5"/>
      <c r="U862" s="5"/>
      <c r="V862" s="5"/>
      <c r="W862" s="5"/>
      <c r="X862" s="5"/>
      <c r="Y862" s="5"/>
      <c r="Z862" s="5"/>
      <c r="AA862" s="5"/>
      <c r="AB862" s="5"/>
      <c r="AC862" s="5"/>
    </row>
    <row r="863" spans="1:29" ht="12.75" customHeight="1">
      <c r="A863" s="5"/>
      <c r="B863" s="5"/>
      <c r="C863" s="5"/>
      <c r="D863" s="5"/>
      <c r="E863" s="5"/>
      <c r="F863" s="5"/>
      <c r="G863" s="5"/>
      <c r="H863" s="306"/>
      <c r="I863" s="306"/>
      <c r="J863" s="5"/>
      <c r="K863" s="5"/>
      <c r="L863" s="306"/>
      <c r="M863" s="5"/>
      <c r="N863" s="5"/>
      <c r="O863" s="5"/>
      <c r="P863" s="5"/>
      <c r="Q863" s="5"/>
      <c r="R863" s="57"/>
      <c r="S863" s="5"/>
      <c r="T863" s="5"/>
      <c r="U863" s="5"/>
      <c r="V863" s="5"/>
      <c r="W863" s="5"/>
      <c r="X863" s="5"/>
      <c r="Y863" s="5"/>
      <c r="Z863" s="5"/>
      <c r="AA863" s="5"/>
      <c r="AB863" s="5"/>
      <c r="AC863" s="5"/>
    </row>
    <row r="864" spans="1:29" ht="12.75" customHeight="1">
      <c r="A864" s="5"/>
      <c r="B864" s="5"/>
      <c r="C864" s="5"/>
      <c r="D864" s="5"/>
      <c r="E864" s="5"/>
      <c r="F864" s="5"/>
      <c r="G864" s="5"/>
      <c r="H864" s="306"/>
      <c r="I864" s="306"/>
      <c r="J864" s="5"/>
      <c r="K864" s="5"/>
      <c r="L864" s="306"/>
      <c r="M864" s="5"/>
      <c r="N864" s="5"/>
      <c r="O864" s="5"/>
      <c r="P864" s="5"/>
      <c r="Q864" s="5"/>
      <c r="R864" s="57"/>
      <c r="S864" s="5"/>
      <c r="T864" s="5"/>
      <c r="U864" s="5"/>
      <c r="V864" s="5"/>
      <c r="W864" s="5"/>
      <c r="X864" s="5"/>
      <c r="Y864" s="5"/>
      <c r="Z864" s="5"/>
      <c r="AA864" s="5"/>
      <c r="AB864" s="5"/>
      <c r="AC864" s="5"/>
    </row>
    <row r="865" spans="1:29" ht="12.75" customHeight="1">
      <c r="A865" s="5"/>
      <c r="B865" s="5"/>
      <c r="C865" s="5"/>
      <c r="D865" s="5"/>
      <c r="E865" s="5"/>
      <c r="F865" s="5"/>
      <c r="G865" s="5"/>
      <c r="H865" s="306"/>
      <c r="I865" s="306"/>
      <c r="J865" s="5"/>
      <c r="K865" s="5"/>
      <c r="L865" s="306"/>
      <c r="M865" s="5"/>
      <c r="N865" s="5"/>
      <c r="O865" s="5"/>
      <c r="P865" s="5"/>
      <c r="Q865" s="5"/>
      <c r="R865" s="57"/>
      <c r="S865" s="5"/>
      <c r="T865" s="5"/>
      <c r="U865" s="5"/>
      <c r="V865" s="5"/>
      <c r="W865" s="5"/>
      <c r="X865" s="5"/>
      <c r="Y865" s="5"/>
      <c r="Z865" s="5"/>
      <c r="AA865" s="5"/>
      <c r="AB865" s="5"/>
      <c r="AC865" s="5"/>
    </row>
    <row r="866" spans="1:29" ht="12.75" customHeight="1">
      <c r="A866" s="5"/>
      <c r="B866" s="5"/>
      <c r="C866" s="5"/>
      <c r="D866" s="5"/>
      <c r="E866" s="5"/>
      <c r="F866" s="5"/>
      <c r="G866" s="5"/>
      <c r="H866" s="306"/>
      <c r="I866" s="306"/>
      <c r="J866" s="5"/>
      <c r="K866" s="5"/>
      <c r="L866" s="306"/>
      <c r="M866" s="5"/>
      <c r="N866" s="5"/>
      <c r="O866" s="5"/>
      <c r="P866" s="5"/>
      <c r="Q866" s="5"/>
      <c r="R866" s="57"/>
      <c r="S866" s="5"/>
      <c r="T866" s="5"/>
      <c r="U866" s="5"/>
      <c r="V866" s="5"/>
      <c r="W866" s="5"/>
      <c r="X866" s="5"/>
      <c r="Y866" s="5"/>
      <c r="Z866" s="5"/>
      <c r="AA866" s="5"/>
      <c r="AB866" s="5"/>
      <c r="AC866" s="5"/>
    </row>
    <row r="867" spans="1:29" ht="12.75" customHeight="1">
      <c r="A867" s="5"/>
      <c r="B867" s="5"/>
      <c r="C867" s="5"/>
      <c r="D867" s="5"/>
      <c r="E867" s="5"/>
      <c r="F867" s="5"/>
      <c r="G867" s="5"/>
      <c r="H867" s="306"/>
      <c r="I867" s="306"/>
      <c r="J867" s="5"/>
      <c r="K867" s="5"/>
      <c r="L867" s="306"/>
      <c r="M867" s="5"/>
      <c r="N867" s="5"/>
      <c r="O867" s="5"/>
      <c r="P867" s="5"/>
      <c r="Q867" s="5"/>
      <c r="R867" s="57"/>
      <c r="S867" s="5"/>
      <c r="T867" s="5"/>
      <c r="U867" s="5"/>
      <c r="V867" s="5"/>
      <c r="W867" s="5"/>
      <c r="X867" s="5"/>
      <c r="Y867" s="5"/>
      <c r="Z867" s="5"/>
      <c r="AA867" s="5"/>
      <c r="AB867" s="5"/>
      <c r="AC867" s="5"/>
    </row>
    <row r="868" spans="1:29" ht="12.75" customHeight="1">
      <c r="A868" s="5"/>
      <c r="B868" s="5"/>
      <c r="C868" s="5"/>
      <c r="D868" s="5"/>
      <c r="E868" s="5"/>
      <c r="F868" s="5"/>
      <c r="G868" s="5"/>
      <c r="H868" s="306"/>
      <c r="I868" s="306"/>
      <c r="J868" s="5"/>
      <c r="K868" s="5"/>
      <c r="L868" s="306"/>
      <c r="M868" s="5"/>
      <c r="N868" s="5"/>
      <c r="O868" s="5"/>
      <c r="P868" s="5"/>
      <c r="Q868" s="5"/>
      <c r="R868" s="57"/>
      <c r="S868" s="5"/>
      <c r="T868" s="5"/>
      <c r="U868" s="5"/>
      <c r="V868" s="5"/>
      <c r="W868" s="5"/>
      <c r="X868" s="5"/>
      <c r="Y868" s="5"/>
      <c r="Z868" s="5"/>
      <c r="AA868" s="5"/>
      <c r="AB868" s="5"/>
      <c r="AC868" s="5"/>
    </row>
    <row r="869" spans="1:29" ht="12.75" customHeight="1">
      <c r="A869" s="5"/>
      <c r="B869" s="5"/>
      <c r="C869" s="5"/>
      <c r="D869" s="5"/>
      <c r="E869" s="5"/>
      <c r="F869" s="5"/>
      <c r="G869" s="5"/>
      <c r="H869" s="306"/>
      <c r="I869" s="306"/>
      <c r="J869" s="5"/>
      <c r="K869" s="5"/>
      <c r="L869" s="306"/>
      <c r="M869" s="5"/>
      <c r="N869" s="5"/>
      <c r="O869" s="5"/>
      <c r="P869" s="5"/>
      <c r="Q869" s="5"/>
      <c r="R869" s="57"/>
      <c r="S869" s="5"/>
      <c r="T869" s="5"/>
      <c r="U869" s="5"/>
      <c r="V869" s="5"/>
      <c r="W869" s="5"/>
      <c r="X869" s="5"/>
      <c r="Y869" s="5"/>
      <c r="Z869" s="5"/>
      <c r="AA869" s="5"/>
      <c r="AB869" s="5"/>
      <c r="AC869" s="5"/>
    </row>
    <row r="870" spans="1:29" ht="12.75" customHeight="1">
      <c r="A870" s="5"/>
      <c r="B870" s="5"/>
      <c r="C870" s="5"/>
      <c r="D870" s="5"/>
      <c r="E870" s="5"/>
      <c r="F870" s="5"/>
      <c r="G870" s="5"/>
      <c r="H870" s="306"/>
      <c r="I870" s="306"/>
      <c r="J870" s="5"/>
      <c r="K870" s="5"/>
      <c r="L870" s="306"/>
      <c r="M870" s="5"/>
      <c r="N870" s="5"/>
      <c r="O870" s="5"/>
      <c r="P870" s="5"/>
      <c r="Q870" s="5"/>
      <c r="R870" s="57"/>
      <c r="S870" s="5"/>
      <c r="T870" s="5"/>
      <c r="U870" s="5"/>
      <c r="V870" s="5"/>
      <c r="W870" s="5"/>
      <c r="X870" s="5"/>
      <c r="Y870" s="5"/>
      <c r="Z870" s="5"/>
      <c r="AA870" s="5"/>
      <c r="AB870" s="5"/>
      <c r="AC870" s="5"/>
    </row>
    <row r="871" spans="1:29" ht="12.75" customHeight="1">
      <c r="A871" s="5"/>
      <c r="B871" s="5"/>
      <c r="C871" s="5"/>
      <c r="D871" s="5"/>
      <c r="E871" s="5"/>
      <c r="F871" s="5"/>
      <c r="G871" s="5"/>
      <c r="H871" s="306"/>
      <c r="I871" s="306"/>
      <c r="J871" s="5"/>
      <c r="K871" s="5"/>
      <c r="L871" s="306"/>
      <c r="M871" s="5"/>
      <c r="N871" s="5"/>
      <c r="O871" s="5"/>
      <c r="P871" s="5"/>
      <c r="Q871" s="5"/>
      <c r="R871" s="57"/>
      <c r="S871" s="5"/>
      <c r="T871" s="5"/>
      <c r="U871" s="5"/>
      <c r="V871" s="5"/>
      <c r="W871" s="5"/>
      <c r="X871" s="5"/>
      <c r="Y871" s="5"/>
      <c r="Z871" s="5"/>
      <c r="AA871" s="5"/>
      <c r="AB871" s="5"/>
      <c r="AC871" s="5"/>
    </row>
    <row r="872" spans="1:29" ht="12.75" customHeight="1">
      <c r="A872" s="5"/>
      <c r="B872" s="5"/>
      <c r="C872" s="5"/>
      <c r="D872" s="5"/>
      <c r="E872" s="5"/>
      <c r="F872" s="5"/>
      <c r="G872" s="5"/>
      <c r="H872" s="306"/>
      <c r="I872" s="306"/>
      <c r="J872" s="5"/>
      <c r="K872" s="5"/>
      <c r="L872" s="306"/>
      <c r="M872" s="5"/>
      <c r="N872" s="5"/>
      <c r="O872" s="5"/>
      <c r="P872" s="5"/>
      <c r="Q872" s="5"/>
      <c r="R872" s="57"/>
      <c r="S872" s="5"/>
      <c r="T872" s="5"/>
      <c r="U872" s="5"/>
      <c r="V872" s="5"/>
      <c r="W872" s="5"/>
      <c r="X872" s="5"/>
      <c r="Y872" s="5"/>
      <c r="Z872" s="5"/>
      <c r="AA872" s="5"/>
      <c r="AB872" s="5"/>
      <c r="AC872" s="5"/>
    </row>
    <row r="873" spans="1:29" ht="12.75" customHeight="1">
      <c r="A873" s="5"/>
      <c r="B873" s="5"/>
      <c r="C873" s="5"/>
      <c r="D873" s="5"/>
      <c r="E873" s="5"/>
      <c r="F873" s="5"/>
      <c r="G873" s="5"/>
      <c r="H873" s="306"/>
      <c r="I873" s="306"/>
      <c r="J873" s="5"/>
      <c r="K873" s="5"/>
      <c r="L873" s="306"/>
      <c r="M873" s="5"/>
      <c r="N873" s="5"/>
      <c r="O873" s="5"/>
      <c r="P873" s="5"/>
      <c r="Q873" s="5"/>
      <c r="R873" s="57"/>
      <c r="S873" s="5"/>
      <c r="T873" s="5"/>
      <c r="U873" s="5"/>
      <c r="V873" s="5"/>
      <c r="W873" s="5"/>
      <c r="X873" s="5"/>
      <c r="Y873" s="5"/>
      <c r="Z873" s="5"/>
      <c r="AA873" s="5"/>
      <c r="AB873" s="5"/>
      <c r="AC873" s="5"/>
    </row>
    <row r="874" spans="1:29" ht="12.75" customHeight="1">
      <c r="A874" s="5"/>
      <c r="B874" s="5"/>
      <c r="C874" s="5"/>
      <c r="D874" s="5"/>
      <c r="E874" s="5"/>
      <c r="F874" s="5"/>
      <c r="G874" s="5"/>
      <c r="H874" s="306"/>
      <c r="I874" s="306"/>
      <c r="J874" s="5"/>
      <c r="K874" s="5"/>
      <c r="L874" s="306"/>
      <c r="M874" s="5"/>
      <c r="N874" s="5"/>
      <c r="O874" s="5"/>
      <c r="P874" s="5"/>
      <c r="Q874" s="5"/>
      <c r="R874" s="57"/>
      <c r="S874" s="5"/>
      <c r="T874" s="5"/>
      <c r="U874" s="5"/>
      <c r="V874" s="5"/>
      <c r="W874" s="5"/>
      <c r="X874" s="5"/>
      <c r="Y874" s="5"/>
      <c r="Z874" s="5"/>
      <c r="AA874" s="5"/>
      <c r="AB874" s="5"/>
      <c r="AC874" s="5"/>
    </row>
    <row r="875" spans="1:29" ht="12.75" customHeight="1">
      <c r="A875" s="5"/>
      <c r="B875" s="5"/>
      <c r="C875" s="5"/>
      <c r="D875" s="5"/>
      <c r="E875" s="5"/>
      <c r="F875" s="5"/>
      <c r="G875" s="5"/>
      <c r="H875" s="306"/>
      <c r="I875" s="306"/>
      <c r="J875" s="5"/>
      <c r="K875" s="5"/>
      <c r="L875" s="306"/>
      <c r="M875" s="5"/>
      <c r="N875" s="5"/>
      <c r="O875" s="5"/>
      <c r="P875" s="5"/>
      <c r="Q875" s="5"/>
      <c r="R875" s="57"/>
      <c r="S875" s="5"/>
      <c r="T875" s="5"/>
      <c r="U875" s="5"/>
      <c r="V875" s="5"/>
      <c r="W875" s="5"/>
      <c r="X875" s="5"/>
      <c r="Y875" s="5"/>
      <c r="Z875" s="5"/>
      <c r="AA875" s="5"/>
      <c r="AB875" s="5"/>
      <c r="AC875" s="5"/>
    </row>
    <row r="876" spans="1:29" ht="12.75" customHeight="1">
      <c r="A876" s="5"/>
      <c r="B876" s="5"/>
      <c r="C876" s="5"/>
      <c r="D876" s="5"/>
      <c r="E876" s="5"/>
      <c r="F876" s="5"/>
      <c r="G876" s="5"/>
      <c r="H876" s="306"/>
      <c r="I876" s="306"/>
      <c r="J876" s="5"/>
      <c r="K876" s="5"/>
      <c r="L876" s="306"/>
      <c r="M876" s="5"/>
      <c r="N876" s="5"/>
      <c r="O876" s="5"/>
      <c r="P876" s="5"/>
      <c r="Q876" s="5"/>
      <c r="R876" s="57"/>
      <c r="S876" s="5"/>
      <c r="T876" s="5"/>
      <c r="U876" s="5"/>
      <c r="V876" s="5"/>
      <c r="W876" s="5"/>
      <c r="X876" s="5"/>
      <c r="Y876" s="5"/>
      <c r="Z876" s="5"/>
      <c r="AA876" s="5"/>
      <c r="AB876" s="5"/>
      <c r="AC876" s="5"/>
    </row>
    <row r="877" spans="1:29" ht="12.75" customHeight="1">
      <c r="A877" s="5"/>
      <c r="B877" s="5"/>
      <c r="C877" s="5"/>
      <c r="D877" s="5"/>
      <c r="E877" s="5"/>
      <c r="F877" s="5"/>
      <c r="G877" s="5"/>
      <c r="H877" s="306"/>
      <c r="I877" s="306"/>
      <c r="J877" s="5"/>
      <c r="K877" s="5"/>
      <c r="L877" s="306"/>
      <c r="M877" s="5"/>
      <c r="N877" s="5"/>
      <c r="O877" s="5"/>
      <c r="P877" s="5"/>
      <c r="Q877" s="5"/>
      <c r="R877" s="57"/>
      <c r="S877" s="5"/>
      <c r="T877" s="5"/>
      <c r="U877" s="5"/>
      <c r="V877" s="5"/>
      <c r="W877" s="5"/>
      <c r="X877" s="5"/>
      <c r="Y877" s="5"/>
      <c r="Z877" s="5"/>
      <c r="AA877" s="5"/>
      <c r="AB877" s="5"/>
      <c r="AC877" s="5"/>
    </row>
    <row r="878" spans="1:29" ht="12.75" customHeight="1">
      <c r="A878" s="5"/>
      <c r="B878" s="5"/>
      <c r="C878" s="5"/>
      <c r="D878" s="5"/>
      <c r="E878" s="5"/>
      <c r="F878" s="5"/>
      <c r="G878" s="5"/>
      <c r="H878" s="306"/>
      <c r="I878" s="306"/>
      <c r="J878" s="5"/>
      <c r="K878" s="5"/>
      <c r="L878" s="306"/>
      <c r="M878" s="5"/>
      <c r="N878" s="5"/>
      <c r="O878" s="5"/>
      <c r="P878" s="5"/>
      <c r="Q878" s="5"/>
      <c r="R878" s="57"/>
      <c r="S878" s="5"/>
      <c r="T878" s="5"/>
      <c r="U878" s="5"/>
      <c r="V878" s="5"/>
      <c r="W878" s="5"/>
      <c r="X878" s="5"/>
      <c r="Y878" s="5"/>
      <c r="Z878" s="5"/>
      <c r="AA878" s="5"/>
      <c r="AB878" s="5"/>
      <c r="AC878" s="5"/>
    </row>
    <row r="879" spans="1:29" ht="12.75" customHeight="1">
      <c r="A879" s="5"/>
      <c r="B879" s="5"/>
      <c r="C879" s="5"/>
      <c r="D879" s="5"/>
      <c r="E879" s="5"/>
      <c r="F879" s="5"/>
      <c r="G879" s="5"/>
      <c r="H879" s="306"/>
      <c r="I879" s="306"/>
      <c r="J879" s="5"/>
      <c r="K879" s="5"/>
      <c r="L879" s="306"/>
      <c r="M879" s="5"/>
      <c r="N879" s="5"/>
      <c r="O879" s="5"/>
      <c r="P879" s="5"/>
      <c r="Q879" s="5"/>
      <c r="R879" s="57"/>
      <c r="S879" s="5"/>
      <c r="T879" s="5"/>
      <c r="U879" s="5"/>
      <c r="V879" s="5"/>
      <c r="W879" s="5"/>
      <c r="X879" s="5"/>
      <c r="Y879" s="5"/>
      <c r="Z879" s="5"/>
      <c r="AA879" s="5"/>
      <c r="AB879" s="5"/>
      <c r="AC879" s="5"/>
    </row>
    <row r="880" spans="1:29" ht="12.75" customHeight="1">
      <c r="A880" s="5"/>
      <c r="B880" s="5"/>
      <c r="C880" s="5"/>
      <c r="D880" s="5"/>
      <c r="E880" s="5"/>
      <c r="F880" s="5"/>
      <c r="G880" s="5"/>
      <c r="H880" s="306"/>
      <c r="I880" s="306"/>
      <c r="J880" s="5"/>
      <c r="K880" s="5"/>
      <c r="L880" s="306"/>
      <c r="M880" s="5"/>
      <c r="N880" s="5"/>
      <c r="O880" s="5"/>
      <c r="P880" s="5"/>
      <c r="Q880" s="5"/>
      <c r="R880" s="57"/>
      <c r="S880" s="5"/>
      <c r="T880" s="5"/>
      <c r="U880" s="5"/>
      <c r="V880" s="5"/>
      <c r="W880" s="5"/>
      <c r="X880" s="5"/>
      <c r="Y880" s="5"/>
      <c r="Z880" s="5"/>
      <c r="AA880" s="5"/>
      <c r="AB880" s="5"/>
      <c r="AC880" s="5"/>
    </row>
    <row r="881" spans="1:29" ht="12.75" customHeight="1">
      <c r="A881" s="5"/>
      <c r="B881" s="5"/>
      <c r="C881" s="5"/>
      <c r="D881" s="5"/>
      <c r="E881" s="5"/>
      <c r="F881" s="5"/>
      <c r="G881" s="5"/>
      <c r="H881" s="306"/>
      <c r="I881" s="306"/>
      <c r="J881" s="5"/>
      <c r="K881" s="5"/>
      <c r="L881" s="306"/>
      <c r="M881" s="5"/>
      <c r="N881" s="5"/>
      <c r="O881" s="5"/>
      <c r="P881" s="5"/>
      <c r="Q881" s="5"/>
      <c r="R881" s="57"/>
      <c r="S881" s="5"/>
      <c r="T881" s="5"/>
      <c r="U881" s="5"/>
      <c r="V881" s="5"/>
      <c r="W881" s="5"/>
      <c r="X881" s="5"/>
      <c r="Y881" s="5"/>
      <c r="Z881" s="5"/>
      <c r="AA881" s="5"/>
      <c r="AB881" s="5"/>
      <c r="AC881" s="5"/>
    </row>
    <row r="882" spans="1:29" ht="12.75" customHeight="1">
      <c r="A882" s="5"/>
      <c r="B882" s="5"/>
      <c r="C882" s="5"/>
      <c r="D882" s="5"/>
      <c r="E882" s="5"/>
      <c r="F882" s="5"/>
      <c r="G882" s="5"/>
      <c r="H882" s="306"/>
      <c r="I882" s="306"/>
      <c r="J882" s="5"/>
      <c r="K882" s="5"/>
      <c r="L882" s="306"/>
      <c r="M882" s="5"/>
      <c r="N882" s="5"/>
      <c r="O882" s="5"/>
      <c r="P882" s="5"/>
      <c r="Q882" s="5"/>
      <c r="R882" s="57"/>
      <c r="S882" s="5"/>
      <c r="T882" s="5"/>
      <c r="U882" s="5"/>
      <c r="V882" s="5"/>
      <c r="W882" s="5"/>
      <c r="X882" s="5"/>
      <c r="Y882" s="5"/>
      <c r="Z882" s="5"/>
      <c r="AA882" s="5"/>
      <c r="AB882" s="5"/>
      <c r="AC882" s="5"/>
    </row>
    <row r="883" spans="1:29" ht="12.75" customHeight="1">
      <c r="A883" s="5"/>
      <c r="B883" s="5"/>
      <c r="C883" s="5"/>
      <c r="D883" s="5"/>
      <c r="E883" s="5"/>
      <c r="F883" s="5"/>
      <c r="G883" s="5"/>
      <c r="H883" s="306"/>
      <c r="I883" s="306"/>
      <c r="J883" s="5"/>
      <c r="K883" s="5"/>
      <c r="L883" s="306"/>
      <c r="M883" s="5"/>
      <c r="N883" s="5"/>
      <c r="O883" s="5"/>
      <c r="P883" s="5"/>
      <c r="Q883" s="5"/>
      <c r="R883" s="57"/>
      <c r="S883" s="5"/>
      <c r="T883" s="5"/>
      <c r="U883" s="5"/>
      <c r="V883" s="5"/>
      <c r="W883" s="5"/>
      <c r="X883" s="5"/>
      <c r="Y883" s="5"/>
      <c r="Z883" s="5"/>
      <c r="AA883" s="5"/>
      <c r="AB883" s="5"/>
      <c r="AC883" s="5"/>
    </row>
    <row r="884" spans="1:29" ht="12.75" customHeight="1">
      <c r="A884" s="5"/>
      <c r="B884" s="5"/>
      <c r="C884" s="5"/>
      <c r="D884" s="5"/>
      <c r="E884" s="5"/>
      <c r="F884" s="5"/>
      <c r="G884" s="5"/>
      <c r="H884" s="306"/>
      <c r="I884" s="306"/>
      <c r="J884" s="5"/>
      <c r="K884" s="5"/>
      <c r="L884" s="306"/>
      <c r="M884" s="5"/>
      <c r="N884" s="5"/>
      <c r="O884" s="5"/>
      <c r="P884" s="5"/>
      <c r="Q884" s="5"/>
      <c r="R884" s="57"/>
      <c r="S884" s="5"/>
      <c r="T884" s="5"/>
      <c r="U884" s="5"/>
      <c r="V884" s="5"/>
      <c r="W884" s="5"/>
      <c r="X884" s="5"/>
      <c r="Y884" s="5"/>
      <c r="Z884" s="5"/>
      <c r="AA884" s="5"/>
      <c r="AB884" s="5"/>
      <c r="AC884" s="5"/>
    </row>
    <row r="885" spans="1:29" ht="12.75" customHeight="1">
      <c r="A885" s="5"/>
      <c r="B885" s="5"/>
      <c r="C885" s="5"/>
      <c r="D885" s="5"/>
      <c r="E885" s="5"/>
      <c r="F885" s="5"/>
      <c r="G885" s="5"/>
      <c r="H885" s="306"/>
      <c r="I885" s="306"/>
      <c r="J885" s="5"/>
      <c r="K885" s="5"/>
      <c r="L885" s="306"/>
      <c r="M885" s="5"/>
      <c r="N885" s="5"/>
      <c r="O885" s="5"/>
      <c r="P885" s="5"/>
      <c r="Q885" s="5"/>
      <c r="R885" s="57"/>
      <c r="S885" s="5"/>
      <c r="T885" s="5"/>
      <c r="U885" s="5"/>
      <c r="V885" s="5"/>
      <c r="W885" s="5"/>
      <c r="X885" s="5"/>
      <c r="Y885" s="5"/>
      <c r="Z885" s="5"/>
      <c r="AA885" s="5"/>
      <c r="AB885" s="5"/>
      <c r="AC885" s="5"/>
    </row>
    <row r="886" spans="1:29" ht="12.75" customHeight="1">
      <c r="A886" s="5"/>
      <c r="B886" s="5"/>
      <c r="C886" s="5"/>
      <c r="D886" s="5"/>
      <c r="E886" s="5"/>
      <c r="F886" s="5"/>
      <c r="G886" s="5"/>
      <c r="H886" s="306"/>
      <c r="I886" s="306"/>
      <c r="J886" s="5"/>
      <c r="K886" s="5"/>
      <c r="L886" s="306"/>
      <c r="M886" s="5"/>
      <c r="N886" s="5"/>
      <c r="O886" s="5"/>
      <c r="P886" s="5"/>
      <c r="Q886" s="5"/>
      <c r="R886" s="57"/>
      <c r="S886" s="5"/>
      <c r="T886" s="5"/>
      <c r="U886" s="5"/>
      <c r="V886" s="5"/>
      <c r="W886" s="5"/>
      <c r="X886" s="5"/>
      <c r="Y886" s="5"/>
      <c r="Z886" s="5"/>
      <c r="AA886" s="5"/>
      <c r="AB886" s="5"/>
      <c r="AC886" s="5"/>
    </row>
    <row r="887" spans="1:29" ht="12.75" customHeight="1">
      <c r="A887" s="5"/>
      <c r="B887" s="5"/>
      <c r="C887" s="5"/>
      <c r="D887" s="5"/>
      <c r="E887" s="5"/>
      <c r="F887" s="5"/>
      <c r="G887" s="5"/>
      <c r="H887" s="306"/>
      <c r="I887" s="306"/>
      <c r="J887" s="5"/>
      <c r="K887" s="5"/>
      <c r="L887" s="306"/>
      <c r="M887" s="5"/>
      <c r="N887" s="5"/>
      <c r="O887" s="5"/>
      <c r="P887" s="5"/>
      <c r="Q887" s="5"/>
      <c r="R887" s="57"/>
      <c r="S887" s="5"/>
      <c r="T887" s="5"/>
      <c r="U887" s="5"/>
      <c r="V887" s="5"/>
      <c r="W887" s="5"/>
      <c r="X887" s="5"/>
      <c r="Y887" s="5"/>
      <c r="Z887" s="5"/>
      <c r="AA887" s="5"/>
      <c r="AB887" s="5"/>
      <c r="AC887" s="5"/>
    </row>
    <row r="888" spans="1:29" ht="12.75" customHeight="1">
      <c r="A888" s="5"/>
      <c r="B888" s="5"/>
      <c r="C888" s="5"/>
      <c r="D888" s="5"/>
      <c r="E888" s="5"/>
      <c r="F888" s="5"/>
      <c r="G888" s="5"/>
      <c r="H888" s="306"/>
      <c r="I888" s="306"/>
      <c r="J888" s="5"/>
      <c r="K888" s="5"/>
      <c r="L888" s="306"/>
      <c r="M888" s="5"/>
      <c r="N888" s="5"/>
      <c r="O888" s="5"/>
      <c r="P888" s="5"/>
      <c r="Q888" s="5"/>
      <c r="R888" s="57"/>
      <c r="S888" s="5"/>
      <c r="T888" s="5"/>
      <c r="U888" s="5"/>
      <c r="V888" s="5"/>
      <c r="W888" s="5"/>
      <c r="X888" s="5"/>
      <c r="Y888" s="5"/>
      <c r="Z888" s="5"/>
      <c r="AA888" s="5"/>
      <c r="AB888" s="5"/>
      <c r="AC888" s="5"/>
    </row>
    <row r="889" spans="1:29" ht="12.75" customHeight="1">
      <c r="A889" s="5"/>
      <c r="B889" s="5"/>
      <c r="C889" s="5"/>
      <c r="D889" s="5"/>
      <c r="E889" s="5"/>
      <c r="F889" s="5"/>
      <c r="G889" s="5"/>
      <c r="H889" s="306"/>
      <c r="I889" s="306"/>
      <c r="J889" s="5"/>
      <c r="K889" s="5"/>
      <c r="L889" s="306"/>
      <c r="M889" s="5"/>
      <c r="N889" s="5"/>
      <c r="O889" s="5"/>
      <c r="P889" s="5"/>
      <c r="Q889" s="5"/>
      <c r="R889" s="57"/>
      <c r="S889" s="5"/>
      <c r="T889" s="5"/>
      <c r="U889" s="5"/>
      <c r="V889" s="5"/>
      <c r="W889" s="5"/>
      <c r="X889" s="5"/>
      <c r="Y889" s="5"/>
      <c r="Z889" s="5"/>
      <c r="AA889" s="5"/>
      <c r="AB889" s="5"/>
      <c r="AC889" s="5"/>
    </row>
    <row r="890" spans="1:29" ht="12.75" customHeight="1">
      <c r="A890" s="5"/>
      <c r="B890" s="5"/>
      <c r="C890" s="5"/>
      <c r="D890" s="5"/>
      <c r="E890" s="5"/>
      <c r="F890" s="5"/>
      <c r="G890" s="5"/>
      <c r="H890" s="306"/>
      <c r="I890" s="306"/>
      <c r="J890" s="5"/>
      <c r="K890" s="5"/>
      <c r="L890" s="306"/>
      <c r="M890" s="5"/>
      <c r="N890" s="5"/>
      <c r="O890" s="5"/>
      <c r="P890" s="5"/>
      <c r="Q890" s="5"/>
      <c r="R890" s="57"/>
      <c r="S890" s="5"/>
      <c r="T890" s="5"/>
      <c r="U890" s="5"/>
      <c r="V890" s="5"/>
      <c r="W890" s="5"/>
      <c r="X890" s="5"/>
      <c r="Y890" s="5"/>
      <c r="Z890" s="5"/>
      <c r="AA890" s="5"/>
      <c r="AB890" s="5"/>
      <c r="AC890" s="5"/>
    </row>
    <row r="891" spans="1:29" ht="12.75" customHeight="1">
      <c r="A891" s="5"/>
      <c r="B891" s="5"/>
      <c r="C891" s="5"/>
      <c r="D891" s="5"/>
      <c r="E891" s="5"/>
      <c r="F891" s="5"/>
      <c r="G891" s="5"/>
      <c r="H891" s="306"/>
      <c r="I891" s="306"/>
      <c r="J891" s="5"/>
      <c r="K891" s="5"/>
      <c r="L891" s="306"/>
      <c r="M891" s="5"/>
      <c r="N891" s="5"/>
      <c r="O891" s="5"/>
      <c r="P891" s="5"/>
      <c r="Q891" s="5"/>
      <c r="R891" s="57"/>
      <c r="S891" s="5"/>
      <c r="T891" s="5"/>
      <c r="U891" s="5"/>
      <c r="V891" s="5"/>
      <c r="W891" s="5"/>
      <c r="X891" s="5"/>
      <c r="Y891" s="5"/>
      <c r="Z891" s="5"/>
      <c r="AA891" s="5"/>
      <c r="AB891" s="5"/>
      <c r="AC891" s="5"/>
    </row>
    <row r="892" spans="1:29" ht="12.75" customHeight="1">
      <c r="A892" s="5"/>
      <c r="B892" s="5"/>
      <c r="C892" s="5"/>
      <c r="D892" s="5"/>
      <c r="E892" s="5"/>
      <c r="F892" s="5"/>
      <c r="G892" s="5"/>
      <c r="H892" s="306"/>
      <c r="I892" s="306"/>
      <c r="J892" s="5"/>
      <c r="K892" s="5"/>
      <c r="L892" s="306"/>
      <c r="M892" s="5"/>
      <c r="N892" s="5"/>
      <c r="O892" s="5"/>
      <c r="P892" s="5"/>
      <c r="Q892" s="5"/>
      <c r="R892" s="57"/>
      <c r="S892" s="5"/>
      <c r="T892" s="5"/>
      <c r="U892" s="5"/>
      <c r="V892" s="5"/>
      <c r="W892" s="5"/>
      <c r="X892" s="5"/>
      <c r="Y892" s="5"/>
      <c r="Z892" s="5"/>
      <c r="AA892" s="5"/>
      <c r="AB892" s="5"/>
      <c r="AC892" s="5"/>
    </row>
    <row r="893" spans="1:29" ht="12.75" customHeight="1">
      <c r="A893" s="5"/>
      <c r="B893" s="5"/>
      <c r="C893" s="5"/>
      <c r="D893" s="5"/>
      <c r="E893" s="5"/>
      <c r="F893" s="5"/>
      <c r="G893" s="5"/>
      <c r="H893" s="306"/>
      <c r="I893" s="306"/>
      <c r="J893" s="5"/>
      <c r="K893" s="5"/>
      <c r="L893" s="306"/>
      <c r="M893" s="5"/>
      <c r="N893" s="5"/>
      <c r="O893" s="5"/>
      <c r="P893" s="5"/>
      <c r="Q893" s="5"/>
      <c r="R893" s="57"/>
      <c r="S893" s="5"/>
      <c r="T893" s="5"/>
      <c r="U893" s="5"/>
      <c r="V893" s="5"/>
      <c r="W893" s="5"/>
      <c r="X893" s="5"/>
      <c r="Y893" s="5"/>
      <c r="Z893" s="5"/>
      <c r="AA893" s="5"/>
      <c r="AB893" s="5"/>
      <c r="AC893" s="5"/>
    </row>
    <row r="894" spans="1:29" ht="12.75" customHeight="1">
      <c r="A894" s="5"/>
      <c r="B894" s="5"/>
      <c r="C894" s="5"/>
      <c r="D894" s="5"/>
      <c r="E894" s="5"/>
      <c r="F894" s="5"/>
      <c r="G894" s="5"/>
      <c r="H894" s="306"/>
      <c r="I894" s="306"/>
      <c r="J894" s="5"/>
      <c r="K894" s="5"/>
      <c r="L894" s="306"/>
      <c r="M894" s="5"/>
      <c r="N894" s="5"/>
      <c r="O894" s="5"/>
      <c r="P894" s="5"/>
      <c r="Q894" s="5"/>
      <c r="R894" s="57"/>
      <c r="S894" s="5"/>
      <c r="T894" s="5"/>
      <c r="U894" s="5"/>
      <c r="V894" s="5"/>
      <c r="W894" s="5"/>
      <c r="X894" s="5"/>
      <c r="Y894" s="5"/>
      <c r="Z894" s="5"/>
      <c r="AA894" s="5"/>
      <c r="AB894" s="5"/>
      <c r="AC894" s="5"/>
    </row>
    <row r="895" spans="1:29" ht="12.75" customHeight="1">
      <c r="A895" s="5"/>
      <c r="B895" s="5"/>
      <c r="C895" s="5"/>
      <c r="D895" s="5"/>
      <c r="E895" s="5"/>
      <c r="F895" s="5"/>
      <c r="G895" s="5"/>
      <c r="H895" s="306"/>
      <c r="I895" s="306"/>
      <c r="J895" s="5"/>
      <c r="K895" s="5"/>
      <c r="L895" s="306"/>
      <c r="M895" s="5"/>
      <c r="N895" s="5"/>
      <c r="O895" s="5"/>
      <c r="P895" s="5"/>
      <c r="Q895" s="5"/>
      <c r="R895" s="57"/>
      <c r="S895" s="5"/>
      <c r="T895" s="5"/>
      <c r="U895" s="5"/>
      <c r="V895" s="5"/>
      <c r="W895" s="5"/>
      <c r="X895" s="5"/>
      <c r="Y895" s="5"/>
      <c r="Z895" s="5"/>
      <c r="AA895" s="5"/>
      <c r="AB895" s="5"/>
      <c r="AC895" s="5"/>
    </row>
    <row r="896" spans="1:29" ht="12.75" customHeight="1">
      <c r="A896" s="5"/>
      <c r="B896" s="5"/>
      <c r="C896" s="5"/>
      <c r="D896" s="5"/>
      <c r="E896" s="5"/>
      <c r="F896" s="5"/>
      <c r="G896" s="5"/>
      <c r="H896" s="306"/>
      <c r="I896" s="306"/>
      <c r="J896" s="5"/>
      <c r="K896" s="5"/>
      <c r="L896" s="306"/>
      <c r="M896" s="5"/>
      <c r="N896" s="5"/>
      <c r="O896" s="5"/>
      <c r="P896" s="5"/>
      <c r="Q896" s="5"/>
      <c r="R896" s="57"/>
      <c r="S896" s="5"/>
      <c r="T896" s="5"/>
      <c r="U896" s="5"/>
      <c r="V896" s="5"/>
      <c r="W896" s="5"/>
      <c r="X896" s="5"/>
      <c r="Y896" s="5"/>
      <c r="Z896" s="5"/>
      <c r="AA896" s="5"/>
      <c r="AB896" s="5"/>
      <c r="AC896" s="5"/>
    </row>
    <row r="897" spans="1:29" ht="12.75" customHeight="1">
      <c r="A897" s="5"/>
      <c r="B897" s="5"/>
      <c r="C897" s="5"/>
      <c r="D897" s="5"/>
      <c r="E897" s="5"/>
      <c r="F897" s="5"/>
      <c r="G897" s="5"/>
      <c r="H897" s="306"/>
      <c r="I897" s="306"/>
      <c r="J897" s="5"/>
      <c r="K897" s="5"/>
      <c r="L897" s="306"/>
      <c r="M897" s="5"/>
      <c r="N897" s="5"/>
      <c r="O897" s="5"/>
      <c r="P897" s="5"/>
      <c r="Q897" s="5"/>
      <c r="R897" s="57"/>
      <c r="S897" s="5"/>
      <c r="T897" s="5"/>
      <c r="U897" s="5"/>
      <c r="V897" s="5"/>
      <c r="W897" s="5"/>
      <c r="X897" s="5"/>
      <c r="Y897" s="5"/>
      <c r="Z897" s="5"/>
      <c r="AA897" s="5"/>
      <c r="AB897" s="5"/>
      <c r="AC897" s="5"/>
    </row>
    <row r="898" spans="1:29" ht="12.75" customHeight="1">
      <c r="A898" s="5"/>
      <c r="B898" s="5"/>
      <c r="C898" s="5"/>
      <c r="D898" s="5"/>
      <c r="E898" s="5"/>
      <c r="F898" s="5"/>
      <c r="G898" s="5"/>
      <c r="H898" s="306"/>
      <c r="I898" s="306"/>
      <c r="J898" s="5"/>
      <c r="K898" s="5"/>
      <c r="L898" s="306"/>
      <c r="M898" s="5"/>
      <c r="N898" s="5"/>
      <c r="O898" s="5"/>
      <c r="P898" s="5"/>
      <c r="Q898" s="5"/>
      <c r="R898" s="57"/>
      <c r="S898" s="5"/>
      <c r="T898" s="5"/>
      <c r="U898" s="5"/>
      <c r="V898" s="5"/>
      <c r="W898" s="5"/>
      <c r="X898" s="5"/>
      <c r="Y898" s="5"/>
      <c r="Z898" s="5"/>
      <c r="AA898" s="5"/>
      <c r="AB898" s="5"/>
      <c r="AC898" s="5"/>
    </row>
    <row r="899" spans="1:29" ht="12.75" customHeight="1">
      <c r="A899" s="5"/>
      <c r="B899" s="5"/>
      <c r="C899" s="5"/>
      <c r="D899" s="5"/>
      <c r="E899" s="5"/>
      <c r="F899" s="5"/>
      <c r="G899" s="5"/>
      <c r="H899" s="306"/>
      <c r="I899" s="306"/>
      <c r="J899" s="5"/>
      <c r="K899" s="5"/>
      <c r="L899" s="306"/>
      <c r="M899" s="5"/>
      <c r="N899" s="5"/>
      <c r="O899" s="5"/>
      <c r="P899" s="5"/>
      <c r="Q899" s="5"/>
      <c r="R899" s="57"/>
      <c r="S899" s="5"/>
      <c r="T899" s="5"/>
      <c r="U899" s="5"/>
      <c r="V899" s="5"/>
      <c r="W899" s="5"/>
      <c r="X899" s="5"/>
      <c r="Y899" s="5"/>
      <c r="Z899" s="5"/>
      <c r="AA899" s="5"/>
      <c r="AB899" s="5"/>
      <c r="AC899" s="5"/>
    </row>
    <row r="900" spans="1:29" ht="12.75" customHeight="1">
      <c r="A900" s="5"/>
      <c r="B900" s="5"/>
      <c r="C900" s="5"/>
      <c r="D900" s="5"/>
      <c r="E900" s="5"/>
      <c r="F900" s="5"/>
      <c r="G900" s="5"/>
      <c r="H900" s="306"/>
      <c r="I900" s="306"/>
      <c r="J900" s="5"/>
      <c r="K900" s="5"/>
      <c r="L900" s="306"/>
      <c r="M900" s="5"/>
      <c r="N900" s="5"/>
      <c r="O900" s="5"/>
      <c r="P900" s="5"/>
      <c r="Q900" s="5"/>
      <c r="R900" s="57"/>
      <c r="S900" s="5"/>
      <c r="T900" s="5"/>
      <c r="U900" s="5"/>
      <c r="V900" s="5"/>
      <c r="W900" s="5"/>
      <c r="X900" s="5"/>
      <c r="Y900" s="5"/>
      <c r="Z900" s="5"/>
      <c r="AA900" s="5"/>
      <c r="AB900" s="5"/>
      <c r="AC900" s="5"/>
    </row>
    <row r="901" spans="1:29" ht="12.75" customHeight="1">
      <c r="A901" s="5"/>
      <c r="B901" s="5"/>
      <c r="C901" s="5"/>
      <c r="D901" s="5"/>
      <c r="E901" s="5"/>
      <c r="F901" s="5"/>
      <c r="G901" s="5"/>
      <c r="H901" s="306"/>
      <c r="I901" s="306"/>
      <c r="J901" s="5"/>
      <c r="K901" s="5"/>
      <c r="L901" s="306"/>
      <c r="M901" s="5"/>
      <c r="N901" s="5"/>
      <c r="O901" s="5"/>
      <c r="P901" s="5"/>
      <c r="Q901" s="5"/>
      <c r="R901" s="57"/>
      <c r="S901" s="5"/>
      <c r="T901" s="5"/>
      <c r="U901" s="5"/>
      <c r="V901" s="5"/>
      <c r="W901" s="5"/>
      <c r="X901" s="5"/>
      <c r="Y901" s="5"/>
      <c r="Z901" s="5"/>
      <c r="AA901" s="5"/>
      <c r="AB901" s="5"/>
      <c r="AC901" s="5"/>
    </row>
    <row r="902" spans="1:29" ht="12.75" customHeight="1">
      <c r="A902" s="5"/>
      <c r="B902" s="5"/>
      <c r="C902" s="5"/>
      <c r="D902" s="5"/>
      <c r="E902" s="5"/>
      <c r="F902" s="5"/>
      <c r="G902" s="5"/>
      <c r="H902" s="306"/>
      <c r="I902" s="306"/>
      <c r="J902" s="5"/>
      <c r="K902" s="5"/>
      <c r="L902" s="306"/>
      <c r="M902" s="5"/>
      <c r="N902" s="5"/>
      <c r="O902" s="5"/>
      <c r="P902" s="5"/>
      <c r="Q902" s="5"/>
      <c r="R902" s="57"/>
      <c r="S902" s="5"/>
      <c r="T902" s="5"/>
      <c r="U902" s="5"/>
      <c r="V902" s="5"/>
      <c r="W902" s="5"/>
      <c r="X902" s="5"/>
      <c r="Y902" s="5"/>
      <c r="Z902" s="5"/>
      <c r="AA902" s="5"/>
      <c r="AB902" s="5"/>
      <c r="AC902" s="5"/>
    </row>
    <row r="903" spans="1:29" ht="12.75" customHeight="1">
      <c r="A903" s="5"/>
      <c r="B903" s="5"/>
      <c r="C903" s="5"/>
      <c r="D903" s="5"/>
      <c r="E903" s="5"/>
      <c r="F903" s="5"/>
      <c r="G903" s="5"/>
      <c r="H903" s="306"/>
      <c r="I903" s="306"/>
      <c r="J903" s="5"/>
      <c r="K903" s="5"/>
      <c r="L903" s="306"/>
      <c r="M903" s="5"/>
      <c r="N903" s="5"/>
      <c r="O903" s="5"/>
      <c r="P903" s="5"/>
      <c r="Q903" s="5"/>
      <c r="R903" s="57"/>
      <c r="S903" s="5"/>
      <c r="T903" s="5"/>
      <c r="U903" s="5"/>
      <c r="V903" s="5"/>
      <c r="W903" s="5"/>
      <c r="X903" s="5"/>
      <c r="Y903" s="5"/>
      <c r="Z903" s="5"/>
      <c r="AA903" s="5"/>
      <c r="AB903" s="5"/>
      <c r="AC903" s="5"/>
    </row>
    <row r="904" spans="1:29" ht="12.75" customHeight="1">
      <c r="A904" s="5"/>
      <c r="B904" s="5"/>
      <c r="C904" s="5"/>
      <c r="D904" s="5"/>
      <c r="E904" s="5"/>
      <c r="F904" s="5"/>
      <c r="G904" s="5"/>
      <c r="H904" s="306"/>
      <c r="I904" s="306"/>
      <c r="J904" s="5"/>
      <c r="K904" s="5"/>
      <c r="L904" s="306"/>
      <c r="M904" s="5"/>
      <c r="N904" s="5"/>
      <c r="O904" s="5"/>
      <c r="P904" s="5"/>
      <c r="Q904" s="5"/>
      <c r="R904" s="57"/>
      <c r="S904" s="5"/>
      <c r="T904" s="5"/>
      <c r="U904" s="5"/>
      <c r="V904" s="5"/>
      <c r="W904" s="5"/>
      <c r="X904" s="5"/>
      <c r="Y904" s="5"/>
      <c r="Z904" s="5"/>
      <c r="AA904" s="5"/>
      <c r="AB904" s="5"/>
      <c r="AC904" s="5"/>
    </row>
    <row r="905" spans="1:29" ht="12.75" customHeight="1">
      <c r="A905" s="5"/>
      <c r="B905" s="5"/>
      <c r="C905" s="5"/>
      <c r="D905" s="5"/>
      <c r="E905" s="5"/>
      <c r="F905" s="5"/>
      <c r="G905" s="5"/>
      <c r="H905" s="306"/>
      <c r="I905" s="306"/>
      <c r="J905" s="5"/>
      <c r="K905" s="5"/>
      <c r="L905" s="306"/>
      <c r="M905" s="5"/>
      <c r="N905" s="5"/>
      <c r="O905" s="5"/>
      <c r="P905" s="5"/>
      <c r="Q905" s="5"/>
      <c r="R905" s="57"/>
      <c r="S905" s="5"/>
      <c r="T905" s="5"/>
      <c r="U905" s="5"/>
      <c r="V905" s="5"/>
      <c r="W905" s="5"/>
      <c r="X905" s="5"/>
      <c r="Y905" s="5"/>
      <c r="Z905" s="5"/>
      <c r="AA905" s="5"/>
      <c r="AB905" s="5"/>
      <c r="AC905" s="5"/>
    </row>
    <row r="906" spans="1:29" ht="12.75" customHeight="1">
      <c r="A906" s="5"/>
      <c r="B906" s="5"/>
      <c r="C906" s="5"/>
      <c r="D906" s="5"/>
      <c r="E906" s="5"/>
      <c r="F906" s="5"/>
      <c r="G906" s="5"/>
      <c r="H906" s="306"/>
      <c r="I906" s="306"/>
      <c r="J906" s="5"/>
      <c r="K906" s="5"/>
      <c r="L906" s="306"/>
      <c r="M906" s="5"/>
      <c r="N906" s="5"/>
      <c r="O906" s="5"/>
      <c r="P906" s="5"/>
      <c r="Q906" s="5"/>
      <c r="R906" s="57"/>
      <c r="S906" s="5"/>
      <c r="T906" s="5"/>
      <c r="U906" s="5"/>
      <c r="V906" s="5"/>
      <c r="W906" s="5"/>
      <c r="X906" s="5"/>
      <c r="Y906" s="5"/>
      <c r="Z906" s="5"/>
      <c r="AA906" s="5"/>
      <c r="AB906" s="5"/>
      <c r="AC906" s="5"/>
    </row>
    <row r="907" spans="1:29" ht="12.75" customHeight="1">
      <c r="A907" s="5"/>
      <c r="B907" s="5"/>
      <c r="C907" s="5"/>
      <c r="D907" s="5"/>
      <c r="E907" s="5"/>
      <c r="F907" s="5"/>
      <c r="G907" s="5"/>
      <c r="H907" s="306"/>
      <c r="I907" s="306"/>
      <c r="J907" s="5"/>
      <c r="K907" s="5"/>
      <c r="L907" s="306"/>
      <c r="M907" s="5"/>
      <c r="N907" s="5"/>
      <c r="O907" s="5"/>
      <c r="P907" s="5"/>
      <c r="Q907" s="5"/>
      <c r="R907" s="57"/>
      <c r="S907" s="5"/>
      <c r="T907" s="5"/>
      <c r="U907" s="5"/>
      <c r="V907" s="5"/>
      <c r="W907" s="5"/>
      <c r="X907" s="5"/>
      <c r="Y907" s="5"/>
      <c r="Z907" s="5"/>
      <c r="AA907" s="5"/>
      <c r="AB907" s="5"/>
      <c r="AC907" s="5"/>
    </row>
    <row r="908" spans="1:29" ht="12.75" customHeight="1">
      <c r="A908" s="5"/>
      <c r="B908" s="5"/>
      <c r="C908" s="5"/>
      <c r="D908" s="5"/>
      <c r="E908" s="5"/>
      <c r="F908" s="5"/>
      <c r="G908" s="5"/>
      <c r="H908" s="306"/>
      <c r="I908" s="306"/>
      <c r="J908" s="5"/>
      <c r="K908" s="5"/>
      <c r="L908" s="306"/>
      <c r="M908" s="5"/>
      <c r="N908" s="5"/>
      <c r="O908" s="5"/>
      <c r="P908" s="5"/>
      <c r="Q908" s="5"/>
      <c r="R908" s="57"/>
      <c r="S908" s="5"/>
      <c r="T908" s="5"/>
      <c r="U908" s="5"/>
      <c r="V908" s="5"/>
      <c r="W908" s="5"/>
      <c r="X908" s="5"/>
      <c r="Y908" s="5"/>
      <c r="Z908" s="5"/>
      <c r="AA908" s="5"/>
      <c r="AB908" s="5"/>
      <c r="AC908" s="5"/>
    </row>
    <row r="909" spans="1:29" ht="12.75" customHeight="1">
      <c r="A909" s="5"/>
      <c r="B909" s="5"/>
      <c r="C909" s="5"/>
      <c r="D909" s="5"/>
      <c r="E909" s="5"/>
      <c r="F909" s="5"/>
      <c r="G909" s="5"/>
      <c r="H909" s="306"/>
      <c r="I909" s="306"/>
      <c r="J909" s="5"/>
      <c r="K909" s="5"/>
      <c r="L909" s="306"/>
      <c r="M909" s="5"/>
      <c r="N909" s="5"/>
      <c r="O909" s="5"/>
      <c r="P909" s="5"/>
      <c r="Q909" s="5"/>
      <c r="R909" s="57"/>
      <c r="S909" s="5"/>
      <c r="T909" s="5"/>
      <c r="U909" s="5"/>
      <c r="V909" s="5"/>
      <c r="W909" s="5"/>
      <c r="X909" s="5"/>
      <c r="Y909" s="5"/>
      <c r="Z909" s="5"/>
      <c r="AA909" s="5"/>
      <c r="AB909" s="5"/>
      <c r="AC909" s="5"/>
    </row>
    <row r="910" spans="1:29" ht="12.75" customHeight="1">
      <c r="A910" s="5"/>
      <c r="B910" s="5"/>
      <c r="C910" s="5"/>
      <c r="D910" s="5"/>
      <c r="E910" s="5"/>
      <c r="F910" s="5"/>
      <c r="G910" s="5"/>
      <c r="H910" s="306"/>
      <c r="I910" s="306"/>
      <c r="J910" s="5"/>
      <c r="K910" s="5"/>
      <c r="L910" s="306"/>
      <c r="M910" s="5"/>
      <c r="N910" s="5"/>
      <c r="O910" s="5"/>
      <c r="P910" s="5"/>
      <c r="Q910" s="5"/>
      <c r="R910" s="57"/>
      <c r="S910" s="5"/>
      <c r="T910" s="5"/>
      <c r="U910" s="5"/>
      <c r="V910" s="5"/>
      <c r="W910" s="5"/>
      <c r="X910" s="5"/>
      <c r="Y910" s="5"/>
      <c r="Z910" s="5"/>
      <c r="AA910" s="5"/>
      <c r="AB910" s="5"/>
      <c r="AC910" s="5"/>
    </row>
    <row r="911" spans="1:29" ht="12.75" customHeight="1">
      <c r="A911" s="5"/>
      <c r="B911" s="5"/>
      <c r="C911" s="5"/>
      <c r="D911" s="5"/>
      <c r="E911" s="5"/>
      <c r="F911" s="5"/>
      <c r="G911" s="5"/>
      <c r="H911" s="306"/>
      <c r="I911" s="306"/>
      <c r="J911" s="5"/>
      <c r="K911" s="5"/>
      <c r="L911" s="306"/>
      <c r="M911" s="5"/>
      <c r="N911" s="5"/>
      <c r="O911" s="5"/>
      <c r="P911" s="5"/>
      <c r="Q911" s="5"/>
      <c r="R911" s="57"/>
      <c r="S911" s="5"/>
      <c r="T911" s="5"/>
      <c r="U911" s="5"/>
      <c r="V911" s="5"/>
      <c r="W911" s="5"/>
      <c r="X911" s="5"/>
      <c r="Y911" s="5"/>
      <c r="Z911" s="5"/>
      <c r="AA911" s="5"/>
      <c r="AB911" s="5"/>
      <c r="AC911" s="5"/>
    </row>
    <row r="912" spans="1:29" ht="12.75" customHeight="1">
      <c r="A912" s="5"/>
      <c r="B912" s="5"/>
      <c r="C912" s="5"/>
      <c r="D912" s="5"/>
      <c r="E912" s="5"/>
      <c r="F912" s="5"/>
      <c r="G912" s="5"/>
      <c r="H912" s="306"/>
      <c r="I912" s="306"/>
      <c r="J912" s="5"/>
      <c r="K912" s="5"/>
      <c r="L912" s="306"/>
      <c r="M912" s="5"/>
      <c r="N912" s="5"/>
      <c r="O912" s="5"/>
      <c r="P912" s="5"/>
      <c r="Q912" s="5"/>
      <c r="R912" s="57"/>
      <c r="S912" s="5"/>
      <c r="T912" s="5"/>
      <c r="U912" s="5"/>
      <c r="V912" s="5"/>
      <c r="W912" s="5"/>
      <c r="X912" s="5"/>
      <c r="Y912" s="5"/>
      <c r="Z912" s="5"/>
      <c r="AA912" s="5"/>
      <c r="AB912" s="5"/>
      <c r="AC912" s="5"/>
    </row>
    <row r="913" spans="1:29" ht="12.75" customHeight="1">
      <c r="A913" s="5"/>
      <c r="B913" s="5"/>
      <c r="C913" s="5"/>
      <c r="D913" s="5"/>
      <c r="E913" s="5"/>
      <c r="F913" s="5"/>
      <c r="G913" s="5"/>
      <c r="H913" s="306"/>
      <c r="I913" s="306"/>
      <c r="J913" s="5"/>
      <c r="K913" s="5"/>
      <c r="L913" s="306"/>
      <c r="M913" s="5"/>
      <c r="N913" s="5"/>
      <c r="O913" s="5"/>
      <c r="P913" s="5"/>
      <c r="Q913" s="5"/>
      <c r="R913" s="57"/>
      <c r="S913" s="5"/>
      <c r="T913" s="5"/>
      <c r="U913" s="5"/>
      <c r="V913" s="5"/>
      <c r="W913" s="5"/>
      <c r="X913" s="5"/>
      <c r="Y913" s="5"/>
      <c r="Z913" s="5"/>
      <c r="AA913" s="5"/>
      <c r="AB913" s="5"/>
      <c r="AC913" s="5"/>
    </row>
    <row r="914" spans="1:29" ht="12.75" customHeight="1">
      <c r="A914" s="5"/>
      <c r="B914" s="5"/>
      <c r="C914" s="5"/>
      <c r="D914" s="5"/>
      <c r="E914" s="5"/>
      <c r="F914" s="5"/>
      <c r="G914" s="5"/>
      <c r="H914" s="306"/>
      <c r="I914" s="306"/>
      <c r="J914" s="5"/>
      <c r="K914" s="5"/>
      <c r="L914" s="306"/>
      <c r="M914" s="5"/>
      <c r="N914" s="5"/>
      <c r="O914" s="5"/>
      <c r="P914" s="5"/>
      <c r="Q914" s="5"/>
      <c r="R914" s="57"/>
      <c r="S914" s="5"/>
      <c r="T914" s="5"/>
      <c r="U914" s="5"/>
      <c r="V914" s="5"/>
      <c r="W914" s="5"/>
      <c r="X914" s="5"/>
      <c r="Y914" s="5"/>
      <c r="Z914" s="5"/>
      <c r="AA914" s="5"/>
      <c r="AB914" s="5"/>
      <c r="AC914" s="5"/>
    </row>
    <row r="915" spans="1:29" ht="12.75" customHeight="1">
      <c r="A915" s="5"/>
      <c r="B915" s="5"/>
      <c r="C915" s="5"/>
      <c r="D915" s="5"/>
      <c r="E915" s="5"/>
      <c r="F915" s="5"/>
      <c r="G915" s="5"/>
      <c r="H915" s="306"/>
      <c r="I915" s="306"/>
      <c r="J915" s="5"/>
      <c r="K915" s="5"/>
      <c r="L915" s="306"/>
      <c r="M915" s="5"/>
      <c r="N915" s="5"/>
      <c r="O915" s="5"/>
      <c r="P915" s="5"/>
      <c r="Q915" s="5"/>
      <c r="R915" s="57"/>
      <c r="S915" s="5"/>
      <c r="T915" s="5"/>
      <c r="U915" s="5"/>
      <c r="V915" s="5"/>
      <c r="W915" s="5"/>
      <c r="X915" s="5"/>
      <c r="Y915" s="5"/>
      <c r="Z915" s="5"/>
      <c r="AA915" s="5"/>
      <c r="AB915" s="5"/>
      <c r="AC915" s="5"/>
    </row>
    <row r="916" spans="1:29" ht="12.75" customHeight="1">
      <c r="A916" s="5"/>
      <c r="B916" s="5"/>
      <c r="C916" s="5"/>
      <c r="D916" s="5"/>
      <c r="E916" s="5"/>
      <c r="F916" s="5"/>
      <c r="G916" s="5"/>
      <c r="H916" s="306"/>
      <c r="I916" s="306"/>
      <c r="J916" s="5"/>
      <c r="K916" s="5"/>
      <c r="L916" s="306"/>
      <c r="M916" s="5"/>
      <c r="N916" s="5"/>
      <c r="O916" s="5"/>
      <c r="P916" s="5"/>
      <c r="Q916" s="5"/>
      <c r="R916" s="57"/>
      <c r="S916" s="5"/>
      <c r="T916" s="5"/>
      <c r="U916" s="5"/>
      <c r="V916" s="5"/>
      <c r="W916" s="5"/>
      <c r="X916" s="5"/>
      <c r="Y916" s="5"/>
      <c r="Z916" s="5"/>
      <c r="AA916" s="5"/>
      <c r="AB916" s="5"/>
      <c r="AC916" s="5"/>
    </row>
    <row r="917" spans="1:29" ht="12.75" customHeight="1">
      <c r="A917" s="5"/>
      <c r="B917" s="5"/>
      <c r="C917" s="5"/>
      <c r="D917" s="5"/>
      <c r="E917" s="5"/>
      <c r="F917" s="5"/>
      <c r="G917" s="5"/>
      <c r="H917" s="306"/>
      <c r="I917" s="306"/>
      <c r="J917" s="5"/>
      <c r="K917" s="5"/>
      <c r="L917" s="306"/>
      <c r="M917" s="5"/>
      <c r="N917" s="5"/>
      <c r="O917" s="5"/>
      <c r="P917" s="5"/>
      <c r="Q917" s="5"/>
      <c r="R917" s="57"/>
      <c r="S917" s="5"/>
      <c r="T917" s="5"/>
      <c r="U917" s="5"/>
      <c r="V917" s="5"/>
      <c r="W917" s="5"/>
      <c r="X917" s="5"/>
      <c r="Y917" s="5"/>
      <c r="Z917" s="5"/>
      <c r="AA917" s="5"/>
      <c r="AB917" s="5"/>
      <c r="AC917" s="5"/>
    </row>
    <row r="918" spans="1:29" ht="12.75" customHeight="1">
      <c r="A918" s="5"/>
      <c r="B918" s="5"/>
      <c r="C918" s="5"/>
      <c r="D918" s="5"/>
      <c r="E918" s="5"/>
      <c r="F918" s="5"/>
      <c r="G918" s="5"/>
      <c r="H918" s="306"/>
      <c r="I918" s="306"/>
      <c r="J918" s="5"/>
      <c r="K918" s="5"/>
      <c r="L918" s="306"/>
      <c r="M918" s="5"/>
      <c r="N918" s="5"/>
      <c r="O918" s="5"/>
      <c r="P918" s="5"/>
      <c r="Q918" s="5"/>
      <c r="R918" s="57"/>
      <c r="S918" s="5"/>
      <c r="T918" s="5"/>
      <c r="U918" s="5"/>
      <c r="V918" s="5"/>
      <c r="W918" s="5"/>
      <c r="X918" s="5"/>
      <c r="Y918" s="5"/>
      <c r="Z918" s="5"/>
      <c r="AA918" s="5"/>
      <c r="AB918" s="5"/>
      <c r="AC918" s="5"/>
    </row>
    <row r="919" spans="1:29" ht="12.75" customHeight="1">
      <c r="A919" s="5"/>
      <c r="B919" s="5"/>
      <c r="C919" s="5"/>
      <c r="D919" s="5"/>
      <c r="E919" s="5"/>
      <c r="F919" s="5"/>
      <c r="G919" s="5"/>
      <c r="H919" s="306"/>
      <c r="I919" s="306"/>
      <c r="J919" s="5"/>
      <c r="K919" s="5"/>
      <c r="L919" s="306"/>
      <c r="M919" s="5"/>
      <c r="N919" s="5"/>
      <c r="O919" s="5"/>
      <c r="P919" s="5"/>
      <c r="Q919" s="5"/>
      <c r="R919" s="57"/>
      <c r="S919" s="5"/>
      <c r="T919" s="5"/>
      <c r="U919" s="5"/>
      <c r="V919" s="5"/>
      <c r="W919" s="5"/>
      <c r="X919" s="5"/>
      <c r="Y919" s="5"/>
      <c r="Z919" s="5"/>
      <c r="AA919" s="5"/>
      <c r="AB919" s="5"/>
      <c r="AC919" s="5"/>
    </row>
    <row r="920" spans="1:29" ht="12.75" customHeight="1">
      <c r="A920" s="5"/>
      <c r="B920" s="5"/>
      <c r="C920" s="5"/>
      <c r="D920" s="5"/>
      <c r="E920" s="5"/>
      <c r="F920" s="5"/>
      <c r="G920" s="5"/>
      <c r="H920" s="306"/>
      <c r="I920" s="306"/>
      <c r="J920" s="5"/>
      <c r="K920" s="5"/>
      <c r="L920" s="306"/>
      <c r="M920" s="5"/>
      <c r="N920" s="5"/>
      <c r="O920" s="5"/>
      <c r="P920" s="5"/>
      <c r="Q920" s="5"/>
      <c r="R920" s="57"/>
      <c r="S920" s="5"/>
      <c r="T920" s="5"/>
      <c r="U920" s="5"/>
      <c r="V920" s="5"/>
      <c r="W920" s="5"/>
      <c r="X920" s="5"/>
      <c r="Y920" s="5"/>
      <c r="Z920" s="5"/>
      <c r="AA920" s="5"/>
      <c r="AB920" s="5"/>
      <c r="AC920" s="5"/>
    </row>
    <row r="921" spans="1:29" ht="12.75" customHeight="1">
      <c r="A921" s="5"/>
      <c r="B921" s="5"/>
      <c r="C921" s="5"/>
      <c r="D921" s="5"/>
      <c r="E921" s="5"/>
      <c r="F921" s="5"/>
      <c r="G921" s="5"/>
      <c r="H921" s="306"/>
      <c r="I921" s="306"/>
      <c r="J921" s="5"/>
      <c r="K921" s="5"/>
      <c r="L921" s="306"/>
      <c r="M921" s="5"/>
      <c r="N921" s="5"/>
      <c r="O921" s="5"/>
      <c r="P921" s="5"/>
      <c r="Q921" s="5"/>
      <c r="R921" s="57"/>
      <c r="S921" s="5"/>
      <c r="T921" s="5"/>
      <c r="U921" s="5"/>
      <c r="V921" s="5"/>
      <c r="W921" s="5"/>
      <c r="X921" s="5"/>
      <c r="Y921" s="5"/>
      <c r="Z921" s="5"/>
      <c r="AA921" s="5"/>
      <c r="AB921" s="5"/>
      <c r="AC921" s="5"/>
    </row>
    <row r="922" spans="1:29" ht="12.75" customHeight="1">
      <c r="A922" s="5"/>
      <c r="B922" s="5"/>
      <c r="C922" s="5"/>
      <c r="D922" s="5"/>
      <c r="E922" s="5"/>
      <c r="F922" s="5"/>
      <c r="G922" s="5"/>
      <c r="H922" s="306"/>
      <c r="I922" s="306"/>
      <c r="J922" s="5"/>
      <c r="K922" s="5"/>
      <c r="L922" s="306"/>
      <c r="M922" s="5"/>
      <c r="N922" s="5"/>
      <c r="O922" s="5"/>
      <c r="P922" s="5"/>
      <c r="Q922" s="5"/>
      <c r="R922" s="57"/>
      <c r="S922" s="5"/>
      <c r="T922" s="5"/>
      <c r="U922" s="5"/>
      <c r="V922" s="5"/>
      <c r="W922" s="5"/>
      <c r="X922" s="5"/>
      <c r="Y922" s="5"/>
      <c r="Z922" s="5"/>
      <c r="AA922" s="5"/>
      <c r="AB922" s="5"/>
      <c r="AC922" s="5"/>
    </row>
    <row r="923" spans="1:29" ht="12.75" customHeight="1">
      <c r="A923" s="5"/>
      <c r="B923" s="5"/>
      <c r="C923" s="5"/>
      <c r="D923" s="5"/>
      <c r="E923" s="5"/>
      <c r="F923" s="5"/>
      <c r="G923" s="5"/>
      <c r="H923" s="306"/>
      <c r="I923" s="306"/>
      <c r="J923" s="5"/>
      <c r="K923" s="5"/>
      <c r="L923" s="306"/>
      <c r="M923" s="5"/>
      <c r="N923" s="5"/>
      <c r="O923" s="5"/>
      <c r="P923" s="5"/>
      <c r="Q923" s="5"/>
      <c r="R923" s="57"/>
      <c r="S923" s="5"/>
      <c r="T923" s="5"/>
      <c r="U923" s="5"/>
      <c r="V923" s="5"/>
      <c r="W923" s="5"/>
      <c r="X923" s="5"/>
      <c r="Y923" s="5"/>
      <c r="Z923" s="5"/>
      <c r="AA923" s="5"/>
      <c r="AB923" s="5"/>
      <c r="AC923" s="5"/>
    </row>
    <row r="924" spans="1:29" ht="12.75" customHeight="1">
      <c r="A924" s="5"/>
      <c r="B924" s="5"/>
      <c r="C924" s="5"/>
      <c r="D924" s="5"/>
      <c r="E924" s="5"/>
      <c r="F924" s="5"/>
      <c r="G924" s="5"/>
      <c r="H924" s="306"/>
      <c r="I924" s="306"/>
      <c r="J924" s="5"/>
      <c r="K924" s="5"/>
      <c r="L924" s="306"/>
      <c r="M924" s="5"/>
      <c r="N924" s="5"/>
      <c r="O924" s="5"/>
      <c r="P924" s="5"/>
      <c r="Q924" s="5"/>
      <c r="R924" s="57"/>
      <c r="S924" s="5"/>
      <c r="T924" s="5"/>
      <c r="U924" s="5"/>
      <c r="V924" s="5"/>
      <c r="W924" s="5"/>
      <c r="X924" s="5"/>
      <c r="Y924" s="5"/>
      <c r="Z924" s="5"/>
      <c r="AA924" s="5"/>
      <c r="AB924" s="5"/>
      <c r="AC924" s="5"/>
    </row>
    <row r="925" spans="1:29" ht="12.75" customHeight="1">
      <c r="A925" s="5"/>
      <c r="B925" s="5"/>
      <c r="C925" s="5"/>
      <c r="D925" s="5"/>
      <c r="E925" s="5"/>
      <c r="F925" s="5"/>
      <c r="G925" s="5"/>
      <c r="H925" s="306"/>
      <c r="I925" s="306"/>
      <c r="J925" s="5"/>
      <c r="K925" s="5"/>
      <c r="L925" s="306"/>
      <c r="M925" s="5"/>
      <c r="N925" s="5"/>
      <c r="O925" s="5"/>
      <c r="P925" s="5"/>
      <c r="Q925" s="5"/>
      <c r="R925" s="57"/>
      <c r="S925" s="5"/>
      <c r="T925" s="5"/>
      <c r="U925" s="5"/>
      <c r="V925" s="5"/>
      <c r="W925" s="5"/>
      <c r="X925" s="5"/>
      <c r="Y925" s="5"/>
      <c r="Z925" s="5"/>
      <c r="AA925" s="5"/>
      <c r="AB925" s="5"/>
      <c r="AC925" s="5"/>
    </row>
    <row r="926" spans="1:29" ht="12.75" customHeight="1">
      <c r="A926" s="5"/>
      <c r="B926" s="5"/>
      <c r="C926" s="5"/>
      <c r="D926" s="5"/>
      <c r="E926" s="5"/>
      <c r="F926" s="5"/>
      <c r="G926" s="5"/>
      <c r="H926" s="306"/>
      <c r="I926" s="306"/>
      <c r="J926" s="5"/>
      <c r="K926" s="5"/>
      <c r="L926" s="306"/>
      <c r="M926" s="5"/>
      <c r="N926" s="5"/>
      <c r="O926" s="5"/>
      <c r="P926" s="5"/>
      <c r="Q926" s="5"/>
      <c r="R926" s="57"/>
      <c r="S926" s="5"/>
      <c r="T926" s="5"/>
      <c r="U926" s="5"/>
      <c r="V926" s="5"/>
      <c r="W926" s="5"/>
      <c r="X926" s="5"/>
      <c r="Y926" s="5"/>
      <c r="Z926" s="5"/>
      <c r="AA926" s="5"/>
      <c r="AB926" s="5"/>
      <c r="AC926" s="5"/>
    </row>
    <row r="927" spans="1:29" ht="12.75" customHeight="1">
      <c r="A927" s="5"/>
      <c r="B927" s="5"/>
      <c r="C927" s="5"/>
      <c r="D927" s="5"/>
      <c r="E927" s="5"/>
      <c r="F927" s="5"/>
      <c r="G927" s="5"/>
      <c r="H927" s="306"/>
      <c r="I927" s="306"/>
      <c r="J927" s="5"/>
      <c r="K927" s="5"/>
      <c r="L927" s="306"/>
      <c r="M927" s="5"/>
      <c r="N927" s="5"/>
      <c r="O927" s="5"/>
      <c r="P927" s="5"/>
      <c r="Q927" s="5"/>
      <c r="R927" s="57"/>
      <c r="S927" s="5"/>
      <c r="T927" s="5"/>
      <c r="U927" s="5"/>
      <c r="V927" s="5"/>
      <c r="W927" s="5"/>
      <c r="X927" s="5"/>
      <c r="Y927" s="5"/>
      <c r="Z927" s="5"/>
      <c r="AA927" s="5"/>
      <c r="AB927" s="5"/>
      <c r="AC927" s="5"/>
    </row>
    <row r="928" spans="1:29" ht="12.75" customHeight="1">
      <c r="A928" s="5"/>
      <c r="B928" s="5"/>
      <c r="C928" s="5"/>
      <c r="D928" s="5"/>
      <c r="E928" s="5"/>
      <c r="F928" s="5"/>
      <c r="G928" s="5"/>
      <c r="H928" s="306"/>
      <c r="I928" s="306"/>
      <c r="J928" s="5"/>
      <c r="K928" s="5"/>
      <c r="L928" s="306"/>
      <c r="M928" s="5"/>
      <c r="N928" s="5"/>
      <c r="O928" s="5"/>
      <c r="P928" s="5"/>
      <c r="Q928" s="5"/>
      <c r="R928" s="57"/>
      <c r="S928" s="5"/>
      <c r="T928" s="5"/>
      <c r="U928" s="5"/>
      <c r="V928" s="5"/>
      <c r="W928" s="5"/>
      <c r="X928" s="5"/>
      <c r="Y928" s="5"/>
      <c r="Z928" s="5"/>
      <c r="AA928" s="5"/>
      <c r="AB928" s="5"/>
      <c r="AC928" s="5"/>
    </row>
    <row r="929" spans="1:29" ht="12.75" customHeight="1">
      <c r="A929" s="5"/>
      <c r="B929" s="5"/>
      <c r="C929" s="5"/>
      <c r="D929" s="5"/>
      <c r="E929" s="5"/>
      <c r="F929" s="5"/>
      <c r="G929" s="5"/>
      <c r="H929" s="306"/>
      <c r="I929" s="306"/>
      <c r="J929" s="5"/>
      <c r="K929" s="5"/>
      <c r="L929" s="306"/>
      <c r="M929" s="5"/>
      <c r="N929" s="5"/>
      <c r="O929" s="5"/>
      <c r="P929" s="5"/>
      <c r="Q929" s="5"/>
      <c r="R929" s="57"/>
      <c r="S929" s="5"/>
      <c r="T929" s="5"/>
      <c r="U929" s="5"/>
      <c r="V929" s="5"/>
      <c r="W929" s="5"/>
      <c r="X929" s="5"/>
      <c r="Y929" s="5"/>
      <c r="Z929" s="5"/>
      <c r="AA929" s="5"/>
      <c r="AB929" s="5"/>
      <c r="AC929" s="5"/>
    </row>
    <row r="930" spans="1:29" ht="12.75" customHeight="1">
      <c r="A930" s="5"/>
      <c r="B930" s="5"/>
      <c r="C930" s="5"/>
      <c r="D930" s="5"/>
      <c r="E930" s="5"/>
      <c r="F930" s="5"/>
      <c r="G930" s="5"/>
      <c r="H930" s="306"/>
      <c r="I930" s="306"/>
      <c r="J930" s="5"/>
      <c r="K930" s="5"/>
      <c r="L930" s="306"/>
      <c r="M930" s="5"/>
      <c r="N930" s="5"/>
      <c r="O930" s="5"/>
      <c r="P930" s="5"/>
      <c r="Q930" s="5"/>
      <c r="R930" s="57"/>
      <c r="S930" s="5"/>
      <c r="T930" s="5"/>
      <c r="U930" s="5"/>
      <c r="V930" s="5"/>
      <c r="W930" s="5"/>
      <c r="X930" s="5"/>
      <c r="Y930" s="5"/>
      <c r="Z930" s="5"/>
      <c r="AA930" s="5"/>
      <c r="AB930" s="5"/>
      <c r="AC930" s="5"/>
    </row>
    <row r="931" spans="1:29" ht="12.75" customHeight="1">
      <c r="A931" s="5"/>
      <c r="B931" s="5"/>
      <c r="C931" s="5"/>
      <c r="D931" s="5"/>
      <c r="E931" s="5"/>
      <c r="F931" s="5"/>
      <c r="G931" s="5"/>
      <c r="H931" s="306"/>
      <c r="I931" s="306"/>
      <c r="J931" s="5"/>
      <c r="K931" s="5"/>
      <c r="L931" s="306"/>
      <c r="M931" s="5"/>
      <c r="N931" s="5"/>
      <c r="O931" s="5"/>
      <c r="P931" s="5"/>
      <c r="Q931" s="5"/>
      <c r="R931" s="57"/>
      <c r="S931" s="5"/>
      <c r="T931" s="5"/>
      <c r="U931" s="5"/>
      <c r="V931" s="5"/>
      <c r="W931" s="5"/>
      <c r="X931" s="5"/>
      <c r="Y931" s="5"/>
      <c r="Z931" s="5"/>
      <c r="AA931" s="5"/>
      <c r="AB931" s="5"/>
      <c r="AC931" s="5"/>
    </row>
    <row r="932" spans="1:29" ht="12.75" customHeight="1">
      <c r="A932" s="5"/>
      <c r="B932" s="5"/>
      <c r="C932" s="5"/>
      <c r="D932" s="5"/>
      <c r="E932" s="5"/>
      <c r="F932" s="5"/>
      <c r="G932" s="5"/>
      <c r="H932" s="306"/>
      <c r="I932" s="306"/>
      <c r="J932" s="5"/>
      <c r="K932" s="5"/>
      <c r="L932" s="306"/>
      <c r="M932" s="5"/>
      <c r="N932" s="5"/>
      <c r="O932" s="5"/>
      <c r="P932" s="5"/>
      <c r="Q932" s="5"/>
      <c r="R932" s="57"/>
      <c r="S932" s="5"/>
      <c r="T932" s="5"/>
      <c r="U932" s="5"/>
      <c r="V932" s="5"/>
      <c r="W932" s="5"/>
      <c r="X932" s="5"/>
      <c r="Y932" s="5"/>
      <c r="Z932" s="5"/>
      <c r="AA932" s="5"/>
      <c r="AB932" s="5"/>
      <c r="AC932" s="5"/>
    </row>
    <row r="933" spans="1:29" ht="12.75" customHeight="1">
      <c r="A933" s="5"/>
      <c r="B933" s="5"/>
      <c r="C933" s="5"/>
      <c r="D933" s="5"/>
      <c r="E933" s="5"/>
      <c r="F933" s="5"/>
      <c r="G933" s="5"/>
      <c r="H933" s="306"/>
      <c r="I933" s="306"/>
      <c r="J933" s="5"/>
      <c r="K933" s="5"/>
      <c r="L933" s="306"/>
      <c r="M933" s="5"/>
      <c r="N933" s="5"/>
      <c r="O933" s="5"/>
      <c r="P933" s="5"/>
      <c r="Q933" s="5"/>
      <c r="R933" s="57"/>
      <c r="S933" s="5"/>
      <c r="T933" s="5"/>
      <c r="U933" s="5"/>
      <c r="V933" s="5"/>
      <c r="W933" s="5"/>
      <c r="X933" s="5"/>
      <c r="Y933" s="5"/>
      <c r="Z933" s="5"/>
      <c r="AA933" s="5"/>
      <c r="AB933" s="5"/>
      <c r="AC933" s="5"/>
    </row>
    <row r="934" spans="1:29" ht="12.75" customHeight="1">
      <c r="A934" s="5"/>
      <c r="B934" s="5"/>
      <c r="C934" s="5"/>
      <c r="D934" s="5"/>
      <c r="E934" s="5"/>
      <c r="F934" s="5"/>
      <c r="G934" s="5"/>
      <c r="H934" s="306"/>
      <c r="I934" s="306"/>
      <c r="J934" s="5"/>
      <c r="K934" s="5"/>
      <c r="L934" s="306"/>
      <c r="M934" s="5"/>
      <c r="N934" s="5"/>
      <c r="O934" s="5"/>
      <c r="P934" s="5"/>
      <c r="Q934" s="5"/>
      <c r="R934" s="57"/>
      <c r="S934" s="5"/>
      <c r="T934" s="5"/>
      <c r="U934" s="5"/>
      <c r="V934" s="5"/>
      <c r="W934" s="5"/>
      <c r="X934" s="5"/>
      <c r="Y934" s="5"/>
      <c r="Z934" s="5"/>
      <c r="AA934" s="5"/>
      <c r="AB934" s="5"/>
      <c r="AC934" s="5"/>
    </row>
    <row r="935" spans="1:29" ht="12.75" customHeight="1">
      <c r="A935" s="5"/>
      <c r="B935" s="5"/>
      <c r="C935" s="5"/>
      <c r="D935" s="5"/>
      <c r="E935" s="5"/>
      <c r="F935" s="5"/>
      <c r="G935" s="5"/>
      <c r="H935" s="306"/>
      <c r="I935" s="306"/>
      <c r="J935" s="5"/>
      <c r="K935" s="5"/>
      <c r="L935" s="306"/>
      <c r="M935" s="5"/>
      <c r="N935" s="5"/>
      <c r="O935" s="5"/>
      <c r="P935" s="5"/>
      <c r="Q935" s="5"/>
      <c r="R935" s="57"/>
      <c r="S935" s="5"/>
      <c r="T935" s="5"/>
      <c r="U935" s="5"/>
      <c r="V935" s="5"/>
      <c r="W935" s="5"/>
      <c r="X935" s="5"/>
      <c r="Y935" s="5"/>
      <c r="Z935" s="5"/>
      <c r="AA935" s="5"/>
      <c r="AB935" s="5"/>
      <c r="AC935" s="5"/>
    </row>
    <row r="936" spans="1:29" ht="12.75" customHeight="1">
      <c r="A936" s="5"/>
      <c r="B936" s="5"/>
      <c r="C936" s="5"/>
      <c r="D936" s="5"/>
      <c r="E936" s="5"/>
      <c r="F936" s="5"/>
      <c r="G936" s="5"/>
      <c r="H936" s="306"/>
      <c r="I936" s="306"/>
      <c r="J936" s="5"/>
      <c r="K936" s="5"/>
      <c r="L936" s="306"/>
      <c r="M936" s="5"/>
      <c r="N936" s="5"/>
      <c r="O936" s="5"/>
      <c r="P936" s="5"/>
      <c r="Q936" s="5"/>
      <c r="R936" s="57"/>
      <c r="S936" s="5"/>
      <c r="T936" s="5"/>
      <c r="U936" s="5"/>
      <c r="V936" s="5"/>
      <c r="W936" s="5"/>
      <c r="X936" s="5"/>
      <c r="Y936" s="5"/>
      <c r="Z936" s="5"/>
      <c r="AA936" s="5"/>
      <c r="AB936" s="5"/>
      <c r="AC936" s="5"/>
    </row>
    <row r="937" spans="1:29" ht="12.75" customHeight="1">
      <c r="A937" s="5"/>
      <c r="B937" s="5"/>
      <c r="C937" s="5"/>
      <c r="D937" s="5"/>
      <c r="E937" s="5"/>
      <c r="F937" s="5"/>
      <c r="G937" s="5"/>
      <c r="H937" s="306"/>
      <c r="I937" s="306"/>
      <c r="J937" s="5"/>
      <c r="K937" s="5"/>
      <c r="L937" s="306"/>
      <c r="M937" s="5"/>
      <c r="N937" s="5"/>
      <c r="O937" s="5"/>
      <c r="P937" s="5"/>
      <c r="Q937" s="5"/>
      <c r="R937" s="57"/>
      <c r="S937" s="5"/>
      <c r="T937" s="5"/>
      <c r="U937" s="5"/>
      <c r="V937" s="5"/>
      <c r="W937" s="5"/>
      <c r="X937" s="5"/>
      <c r="Y937" s="5"/>
      <c r="Z937" s="5"/>
      <c r="AA937" s="5"/>
      <c r="AB937" s="5"/>
      <c r="AC937" s="5"/>
    </row>
    <row r="938" spans="1:29" ht="12.75" customHeight="1">
      <c r="A938" s="5"/>
      <c r="B938" s="5"/>
      <c r="C938" s="5"/>
      <c r="D938" s="5"/>
      <c r="E938" s="5"/>
      <c r="F938" s="5"/>
      <c r="G938" s="5"/>
      <c r="H938" s="306"/>
      <c r="I938" s="306"/>
      <c r="J938" s="5"/>
      <c r="K938" s="5"/>
      <c r="L938" s="306"/>
      <c r="M938" s="5"/>
      <c r="N938" s="5"/>
      <c r="O938" s="5"/>
      <c r="P938" s="5"/>
      <c r="Q938" s="5"/>
      <c r="R938" s="57"/>
      <c r="S938" s="5"/>
      <c r="T938" s="5"/>
      <c r="U938" s="5"/>
      <c r="V938" s="5"/>
      <c r="W938" s="5"/>
      <c r="X938" s="5"/>
      <c r="Y938" s="5"/>
      <c r="Z938" s="5"/>
      <c r="AA938" s="5"/>
      <c r="AB938" s="5"/>
      <c r="AC938" s="5"/>
    </row>
    <row r="939" spans="1:29" ht="12.75" customHeight="1">
      <c r="A939" s="5"/>
      <c r="B939" s="5"/>
      <c r="C939" s="5"/>
      <c r="D939" s="5"/>
      <c r="E939" s="5"/>
      <c r="F939" s="5"/>
      <c r="G939" s="5"/>
      <c r="H939" s="306"/>
      <c r="I939" s="306"/>
      <c r="J939" s="5"/>
      <c r="K939" s="5"/>
      <c r="L939" s="306"/>
      <c r="M939" s="5"/>
      <c r="N939" s="5"/>
      <c r="O939" s="5"/>
      <c r="P939" s="5"/>
      <c r="Q939" s="5"/>
      <c r="R939" s="57"/>
      <c r="S939" s="5"/>
      <c r="T939" s="5"/>
      <c r="U939" s="5"/>
      <c r="V939" s="5"/>
      <c r="W939" s="5"/>
      <c r="X939" s="5"/>
      <c r="Y939" s="5"/>
      <c r="Z939" s="5"/>
      <c r="AA939" s="5"/>
      <c r="AB939" s="5"/>
      <c r="AC939" s="5"/>
    </row>
    <row r="940" spans="1:29" ht="12.75" customHeight="1">
      <c r="A940" s="5"/>
      <c r="B940" s="5"/>
      <c r="C940" s="5"/>
      <c r="D940" s="5"/>
      <c r="E940" s="5"/>
      <c r="F940" s="5"/>
      <c r="G940" s="5"/>
      <c r="H940" s="306"/>
      <c r="I940" s="306"/>
      <c r="J940" s="5"/>
      <c r="K940" s="5"/>
      <c r="L940" s="306"/>
      <c r="M940" s="5"/>
      <c r="N940" s="5"/>
      <c r="O940" s="5"/>
      <c r="P940" s="5"/>
      <c r="Q940" s="5"/>
      <c r="R940" s="57"/>
      <c r="S940" s="5"/>
      <c r="T940" s="5"/>
      <c r="U940" s="5"/>
      <c r="V940" s="5"/>
      <c r="W940" s="5"/>
      <c r="X940" s="5"/>
      <c r="Y940" s="5"/>
      <c r="Z940" s="5"/>
      <c r="AA940" s="5"/>
      <c r="AB940" s="5"/>
      <c r="AC940" s="5"/>
    </row>
    <row r="941" spans="1:29" ht="12.75" customHeight="1">
      <c r="A941" s="5"/>
      <c r="B941" s="5"/>
      <c r="C941" s="5"/>
      <c r="D941" s="5"/>
      <c r="E941" s="5"/>
      <c r="F941" s="5"/>
      <c r="G941" s="5"/>
      <c r="H941" s="306"/>
      <c r="I941" s="306"/>
      <c r="J941" s="5"/>
      <c r="K941" s="5"/>
      <c r="L941" s="306"/>
      <c r="M941" s="5"/>
      <c r="N941" s="5"/>
      <c r="O941" s="5"/>
      <c r="P941" s="5"/>
      <c r="Q941" s="5"/>
      <c r="R941" s="57"/>
      <c r="S941" s="5"/>
      <c r="T941" s="5"/>
      <c r="U941" s="5"/>
      <c r="V941" s="5"/>
      <c r="W941" s="5"/>
      <c r="X941" s="5"/>
      <c r="Y941" s="5"/>
      <c r="Z941" s="5"/>
      <c r="AA941" s="5"/>
      <c r="AB941" s="5"/>
      <c r="AC941" s="5"/>
    </row>
    <row r="942" spans="1:29" ht="12.75" customHeight="1">
      <c r="A942" s="5"/>
      <c r="B942" s="5"/>
      <c r="C942" s="5"/>
      <c r="D942" s="5"/>
      <c r="E942" s="5"/>
      <c r="F942" s="5"/>
      <c r="G942" s="5"/>
      <c r="H942" s="306"/>
      <c r="I942" s="306"/>
      <c r="J942" s="5"/>
      <c r="K942" s="5"/>
      <c r="L942" s="306"/>
      <c r="M942" s="5"/>
      <c r="N942" s="5"/>
      <c r="O942" s="5"/>
      <c r="P942" s="5"/>
      <c r="Q942" s="5"/>
      <c r="R942" s="57"/>
      <c r="S942" s="5"/>
      <c r="T942" s="5"/>
      <c r="U942" s="5"/>
      <c r="V942" s="5"/>
      <c r="W942" s="5"/>
      <c r="X942" s="5"/>
      <c r="Y942" s="5"/>
      <c r="Z942" s="5"/>
      <c r="AA942" s="5"/>
      <c r="AB942" s="5"/>
      <c r="AC942" s="5"/>
    </row>
    <row r="943" spans="1:29" ht="12.75" customHeight="1">
      <c r="A943" s="5"/>
      <c r="B943" s="5"/>
      <c r="C943" s="5"/>
      <c r="D943" s="5"/>
      <c r="E943" s="5"/>
      <c r="F943" s="5"/>
      <c r="G943" s="5"/>
      <c r="H943" s="306"/>
      <c r="I943" s="306"/>
      <c r="J943" s="5"/>
      <c r="K943" s="5"/>
      <c r="L943" s="306"/>
      <c r="M943" s="5"/>
      <c r="N943" s="5"/>
      <c r="O943" s="5"/>
      <c r="P943" s="5"/>
      <c r="Q943" s="5"/>
      <c r="R943" s="57"/>
      <c r="S943" s="5"/>
      <c r="T943" s="5"/>
      <c r="U943" s="5"/>
      <c r="V943" s="5"/>
      <c r="W943" s="5"/>
      <c r="X943" s="5"/>
      <c r="Y943" s="5"/>
      <c r="Z943" s="5"/>
      <c r="AA943" s="5"/>
      <c r="AB943" s="5"/>
      <c r="AC943" s="5"/>
    </row>
    <row r="944" spans="1:29" ht="12.75" customHeight="1">
      <c r="A944" s="5"/>
      <c r="B944" s="5"/>
      <c r="C944" s="5"/>
      <c r="D944" s="5"/>
      <c r="E944" s="5"/>
      <c r="F944" s="5"/>
      <c r="G944" s="5"/>
      <c r="H944" s="306"/>
      <c r="I944" s="306"/>
      <c r="J944" s="5"/>
      <c r="K944" s="5"/>
      <c r="L944" s="306"/>
      <c r="M944" s="5"/>
      <c r="N944" s="5"/>
      <c r="O944" s="5"/>
      <c r="P944" s="5"/>
      <c r="Q944" s="5"/>
      <c r="R944" s="57"/>
      <c r="S944" s="5"/>
      <c r="T944" s="5"/>
      <c r="U944" s="5"/>
      <c r="V944" s="5"/>
      <c r="W944" s="5"/>
      <c r="X944" s="5"/>
      <c r="Y944" s="5"/>
      <c r="Z944" s="5"/>
      <c r="AA944" s="5"/>
      <c r="AB944" s="5"/>
      <c r="AC944" s="5"/>
    </row>
    <row r="945" spans="1:29" ht="12.75" customHeight="1">
      <c r="A945" s="5"/>
      <c r="B945" s="5"/>
      <c r="C945" s="5"/>
      <c r="D945" s="5"/>
      <c r="E945" s="5"/>
      <c r="F945" s="5"/>
      <c r="G945" s="5"/>
      <c r="H945" s="306"/>
      <c r="I945" s="306"/>
      <c r="J945" s="5"/>
      <c r="K945" s="5"/>
      <c r="L945" s="306"/>
      <c r="M945" s="5"/>
      <c r="N945" s="5"/>
      <c r="O945" s="5"/>
      <c r="P945" s="5"/>
      <c r="Q945" s="5"/>
      <c r="R945" s="57"/>
      <c r="S945" s="5"/>
      <c r="T945" s="5"/>
      <c r="U945" s="5"/>
      <c r="V945" s="5"/>
      <c r="W945" s="5"/>
      <c r="X945" s="5"/>
      <c r="Y945" s="5"/>
      <c r="Z945" s="5"/>
      <c r="AA945" s="5"/>
      <c r="AB945" s="5"/>
      <c r="AC945" s="5"/>
    </row>
    <row r="946" spans="1:29" ht="12.75" customHeight="1">
      <c r="A946" s="5"/>
      <c r="B946" s="5"/>
      <c r="C946" s="5"/>
      <c r="D946" s="5"/>
      <c r="E946" s="5"/>
      <c r="F946" s="5"/>
      <c r="G946" s="5"/>
      <c r="H946" s="306"/>
      <c r="I946" s="306"/>
      <c r="J946" s="5"/>
      <c r="K946" s="5"/>
      <c r="L946" s="306"/>
      <c r="M946" s="5"/>
      <c r="N946" s="5"/>
      <c r="O946" s="5"/>
      <c r="P946" s="5"/>
      <c r="Q946" s="5"/>
      <c r="R946" s="57"/>
      <c r="S946" s="5"/>
      <c r="T946" s="5"/>
      <c r="U946" s="5"/>
      <c r="V946" s="5"/>
      <c r="W946" s="5"/>
      <c r="X946" s="5"/>
      <c r="Y946" s="5"/>
      <c r="Z946" s="5"/>
      <c r="AA946" s="5"/>
      <c r="AB946" s="5"/>
      <c r="AC946" s="5"/>
    </row>
    <row r="947" spans="1:29" ht="12.75" customHeight="1">
      <c r="A947" s="5"/>
      <c r="B947" s="5"/>
      <c r="C947" s="5"/>
      <c r="D947" s="5"/>
      <c r="E947" s="5"/>
      <c r="F947" s="5"/>
      <c r="G947" s="5"/>
      <c r="H947" s="306"/>
      <c r="I947" s="306"/>
      <c r="J947" s="5"/>
      <c r="K947" s="5"/>
      <c r="L947" s="306"/>
      <c r="M947" s="5"/>
      <c r="N947" s="5"/>
      <c r="O947" s="5"/>
      <c r="P947" s="5"/>
      <c r="Q947" s="5"/>
      <c r="R947" s="57"/>
      <c r="S947" s="5"/>
      <c r="T947" s="5"/>
      <c r="U947" s="5"/>
      <c r="V947" s="5"/>
      <c r="W947" s="5"/>
      <c r="X947" s="5"/>
      <c r="Y947" s="5"/>
      <c r="Z947" s="5"/>
      <c r="AA947" s="5"/>
      <c r="AB947" s="5"/>
      <c r="AC947" s="5"/>
    </row>
    <row r="948" spans="1:29" ht="12.75" customHeight="1">
      <c r="A948" s="5"/>
      <c r="B948" s="5"/>
      <c r="C948" s="5"/>
      <c r="D948" s="5"/>
      <c r="E948" s="5"/>
      <c r="F948" s="5"/>
      <c r="G948" s="5"/>
      <c r="H948" s="306"/>
      <c r="I948" s="306"/>
      <c r="J948" s="5"/>
      <c r="K948" s="5"/>
      <c r="L948" s="306"/>
      <c r="M948" s="5"/>
      <c r="N948" s="5"/>
      <c r="O948" s="5"/>
      <c r="P948" s="5"/>
      <c r="Q948" s="5"/>
      <c r="R948" s="57"/>
      <c r="S948" s="5"/>
      <c r="T948" s="5"/>
      <c r="U948" s="5"/>
      <c r="V948" s="5"/>
      <c r="W948" s="5"/>
      <c r="X948" s="5"/>
      <c r="Y948" s="5"/>
      <c r="Z948" s="5"/>
      <c r="AA948" s="5"/>
      <c r="AB948" s="5"/>
      <c r="AC948" s="5"/>
    </row>
    <row r="949" spans="1:29" ht="12.75" customHeight="1">
      <c r="A949" s="5"/>
      <c r="B949" s="5"/>
      <c r="C949" s="5"/>
      <c r="D949" s="5"/>
      <c r="E949" s="5"/>
      <c r="F949" s="5"/>
      <c r="G949" s="5"/>
      <c r="H949" s="306"/>
      <c r="I949" s="306"/>
      <c r="J949" s="5"/>
      <c r="K949" s="5"/>
      <c r="L949" s="306"/>
      <c r="M949" s="5"/>
      <c r="N949" s="5"/>
      <c r="O949" s="5"/>
      <c r="P949" s="5"/>
      <c r="Q949" s="5"/>
      <c r="R949" s="57"/>
      <c r="S949" s="5"/>
      <c r="T949" s="5"/>
      <c r="U949" s="5"/>
      <c r="V949" s="5"/>
      <c r="W949" s="5"/>
      <c r="X949" s="5"/>
      <c r="Y949" s="5"/>
      <c r="Z949" s="5"/>
      <c r="AA949" s="5"/>
      <c r="AB949" s="5"/>
      <c r="AC949" s="5"/>
    </row>
    <row r="950" spans="1:29" ht="12.75" customHeight="1">
      <c r="A950" s="5"/>
      <c r="B950" s="5"/>
      <c r="C950" s="5"/>
      <c r="D950" s="5"/>
      <c r="E950" s="5"/>
      <c r="F950" s="5"/>
      <c r="G950" s="5"/>
      <c r="H950" s="306"/>
      <c r="I950" s="306"/>
      <c r="J950" s="5"/>
      <c r="K950" s="5"/>
      <c r="L950" s="306"/>
      <c r="M950" s="5"/>
      <c r="N950" s="5"/>
      <c r="O950" s="5"/>
      <c r="P950" s="5"/>
      <c r="Q950" s="5"/>
      <c r="R950" s="57"/>
      <c r="S950" s="5"/>
      <c r="T950" s="5"/>
      <c r="U950" s="5"/>
      <c r="V950" s="5"/>
      <c r="W950" s="5"/>
      <c r="X950" s="5"/>
      <c r="Y950" s="5"/>
      <c r="Z950" s="5"/>
      <c r="AA950" s="5"/>
      <c r="AB950" s="5"/>
      <c r="AC950" s="5"/>
    </row>
    <row r="951" spans="1:29" ht="12.75" customHeight="1">
      <c r="A951" s="5"/>
      <c r="B951" s="5"/>
      <c r="C951" s="5"/>
      <c r="D951" s="5"/>
      <c r="E951" s="5"/>
      <c r="F951" s="5"/>
      <c r="G951" s="5"/>
      <c r="H951" s="306"/>
      <c r="I951" s="306"/>
      <c r="J951" s="5"/>
      <c r="K951" s="5"/>
      <c r="L951" s="306"/>
      <c r="M951" s="5"/>
      <c r="N951" s="5"/>
      <c r="O951" s="5"/>
      <c r="P951" s="5"/>
      <c r="Q951" s="5"/>
      <c r="R951" s="57"/>
      <c r="S951" s="5"/>
      <c r="T951" s="5"/>
      <c r="U951" s="5"/>
      <c r="V951" s="5"/>
      <c r="W951" s="5"/>
      <c r="X951" s="5"/>
      <c r="Y951" s="5"/>
      <c r="Z951" s="5"/>
      <c r="AA951" s="5"/>
      <c r="AB951" s="5"/>
      <c r="AC951" s="5"/>
    </row>
    <row r="952" spans="1:29" ht="12.75" customHeight="1">
      <c r="A952" s="5"/>
      <c r="B952" s="5"/>
      <c r="C952" s="5"/>
      <c r="D952" s="5"/>
      <c r="E952" s="5"/>
      <c r="F952" s="5"/>
      <c r="G952" s="5"/>
      <c r="H952" s="306"/>
      <c r="I952" s="306"/>
      <c r="J952" s="5"/>
      <c r="K952" s="5"/>
      <c r="L952" s="306"/>
      <c r="M952" s="5"/>
      <c r="N952" s="5"/>
      <c r="O952" s="5"/>
      <c r="P952" s="5"/>
      <c r="Q952" s="5"/>
      <c r="R952" s="57"/>
      <c r="S952" s="5"/>
      <c r="T952" s="5"/>
      <c r="U952" s="5"/>
      <c r="V952" s="5"/>
      <c r="W952" s="5"/>
      <c r="X952" s="5"/>
      <c r="Y952" s="5"/>
      <c r="Z952" s="5"/>
      <c r="AA952" s="5"/>
      <c r="AB952" s="5"/>
      <c r="AC952" s="5"/>
    </row>
    <row r="953" spans="1:29" ht="12.75" customHeight="1">
      <c r="A953" s="5"/>
      <c r="B953" s="5"/>
      <c r="C953" s="5"/>
      <c r="D953" s="5"/>
      <c r="E953" s="5"/>
      <c r="F953" s="5"/>
      <c r="G953" s="5"/>
      <c r="H953" s="306"/>
      <c r="I953" s="306"/>
      <c r="J953" s="5"/>
      <c r="K953" s="5"/>
      <c r="L953" s="306"/>
      <c r="M953" s="5"/>
      <c r="N953" s="5"/>
      <c r="O953" s="5"/>
      <c r="P953" s="5"/>
      <c r="Q953" s="5"/>
      <c r="R953" s="57"/>
      <c r="S953" s="5"/>
      <c r="T953" s="5"/>
      <c r="U953" s="5"/>
      <c r="V953" s="5"/>
      <c r="W953" s="5"/>
      <c r="X953" s="5"/>
      <c r="Y953" s="5"/>
      <c r="Z953" s="5"/>
      <c r="AA953" s="5"/>
      <c r="AB953" s="5"/>
      <c r="AC953" s="5"/>
    </row>
    <row r="954" spans="1:29" ht="12.75" customHeight="1">
      <c r="A954" s="5"/>
      <c r="B954" s="5"/>
      <c r="C954" s="5"/>
      <c r="D954" s="5"/>
      <c r="E954" s="5"/>
      <c r="F954" s="5"/>
      <c r="G954" s="5"/>
      <c r="H954" s="306"/>
      <c r="I954" s="306"/>
      <c r="J954" s="5"/>
      <c r="K954" s="5"/>
      <c r="L954" s="306"/>
      <c r="M954" s="5"/>
      <c r="N954" s="5"/>
      <c r="O954" s="5"/>
      <c r="P954" s="5"/>
      <c r="Q954" s="5"/>
      <c r="R954" s="57"/>
      <c r="S954" s="5"/>
      <c r="T954" s="5"/>
      <c r="U954" s="5"/>
      <c r="V954" s="5"/>
      <c r="W954" s="5"/>
      <c r="X954" s="5"/>
      <c r="Y954" s="5"/>
      <c r="Z954" s="5"/>
      <c r="AA954" s="5"/>
      <c r="AB954" s="5"/>
      <c r="AC954" s="5"/>
    </row>
    <row r="955" spans="1:29" ht="12.75" customHeight="1">
      <c r="A955" s="5"/>
      <c r="B955" s="5"/>
      <c r="C955" s="5"/>
      <c r="D955" s="5"/>
      <c r="E955" s="5"/>
      <c r="F955" s="5"/>
      <c r="G955" s="5"/>
      <c r="H955" s="306"/>
      <c r="I955" s="306"/>
      <c r="J955" s="5"/>
      <c r="K955" s="5"/>
      <c r="L955" s="306"/>
      <c r="M955" s="5"/>
      <c r="N955" s="5"/>
      <c r="O955" s="5"/>
      <c r="P955" s="5"/>
      <c r="Q955" s="5"/>
      <c r="R955" s="57"/>
      <c r="S955" s="5"/>
      <c r="T955" s="5"/>
      <c r="U955" s="5"/>
      <c r="V955" s="5"/>
      <c r="W955" s="5"/>
      <c r="X955" s="5"/>
      <c r="Y955" s="5"/>
      <c r="Z955" s="5"/>
      <c r="AA955" s="5"/>
      <c r="AB955" s="5"/>
      <c r="AC955" s="5"/>
    </row>
    <row r="956" spans="1:29" ht="12.75" customHeight="1">
      <c r="A956" s="5"/>
      <c r="B956" s="5"/>
      <c r="C956" s="5"/>
      <c r="D956" s="5"/>
      <c r="E956" s="5"/>
      <c r="F956" s="5"/>
      <c r="G956" s="5"/>
      <c r="H956" s="306"/>
      <c r="I956" s="306"/>
      <c r="J956" s="5"/>
      <c r="K956" s="5"/>
      <c r="L956" s="306"/>
      <c r="M956" s="5"/>
      <c r="N956" s="5"/>
      <c r="O956" s="5"/>
      <c r="P956" s="5"/>
      <c r="Q956" s="5"/>
      <c r="R956" s="57"/>
      <c r="S956" s="5"/>
      <c r="T956" s="5"/>
      <c r="U956" s="5"/>
      <c r="V956" s="5"/>
      <c r="W956" s="5"/>
      <c r="X956" s="5"/>
      <c r="Y956" s="5"/>
      <c r="Z956" s="5"/>
      <c r="AA956" s="5"/>
      <c r="AB956" s="5"/>
      <c r="AC956" s="5"/>
    </row>
    <row r="957" spans="1:29" ht="12.75" customHeight="1">
      <c r="A957" s="5"/>
      <c r="B957" s="5"/>
      <c r="C957" s="5"/>
      <c r="D957" s="5"/>
      <c r="E957" s="5"/>
      <c r="F957" s="5"/>
      <c r="G957" s="5"/>
      <c r="H957" s="306"/>
      <c r="I957" s="306"/>
      <c r="J957" s="5"/>
      <c r="K957" s="5"/>
      <c r="L957" s="306"/>
      <c r="M957" s="5"/>
      <c r="N957" s="5"/>
      <c r="O957" s="5"/>
      <c r="P957" s="5"/>
      <c r="Q957" s="5"/>
      <c r="R957" s="57"/>
      <c r="S957" s="5"/>
      <c r="T957" s="5"/>
      <c r="U957" s="5"/>
      <c r="V957" s="5"/>
      <c r="W957" s="5"/>
      <c r="X957" s="5"/>
      <c r="Y957" s="5"/>
      <c r="Z957" s="5"/>
      <c r="AA957" s="5"/>
      <c r="AB957" s="5"/>
      <c r="AC957" s="5"/>
    </row>
    <row r="958" spans="1:29" ht="12.75" customHeight="1">
      <c r="A958" s="5"/>
      <c r="B958" s="5"/>
      <c r="C958" s="5"/>
      <c r="D958" s="5"/>
      <c r="E958" s="5"/>
      <c r="F958" s="5"/>
      <c r="G958" s="5"/>
      <c r="H958" s="306"/>
      <c r="I958" s="306"/>
      <c r="J958" s="5"/>
      <c r="K958" s="5"/>
      <c r="L958" s="306"/>
      <c r="M958" s="5"/>
      <c r="N958" s="5"/>
      <c r="O958" s="5"/>
      <c r="P958" s="5"/>
      <c r="Q958" s="5"/>
      <c r="R958" s="57"/>
      <c r="S958" s="5"/>
      <c r="T958" s="5"/>
      <c r="U958" s="5"/>
      <c r="V958" s="5"/>
      <c r="W958" s="5"/>
      <c r="X958" s="5"/>
      <c r="Y958" s="5"/>
      <c r="Z958" s="5"/>
      <c r="AA958" s="5"/>
      <c r="AB958" s="5"/>
      <c r="AC958" s="5"/>
    </row>
    <row r="959" spans="1:29" ht="12.75" customHeight="1">
      <c r="A959" s="5"/>
      <c r="B959" s="5"/>
      <c r="C959" s="5"/>
      <c r="D959" s="5"/>
      <c r="E959" s="5"/>
      <c r="F959" s="5"/>
      <c r="G959" s="5"/>
      <c r="H959" s="306"/>
      <c r="I959" s="306"/>
      <c r="J959" s="5"/>
      <c r="K959" s="5"/>
      <c r="L959" s="306"/>
      <c r="M959" s="5"/>
      <c r="N959" s="5"/>
      <c r="O959" s="5"/>
      <c r="P959" s="5"/>
      <c r="Q959" s="5"/>
      <c r="R959" s="57"/>
      <c r="S959" s="5"/>
      <c r="T959" s="5"/>
      <c r="U959" s="5"/>
      <c r="V959" s="5"/>
      <c r="W959" s="5"/>
      <c r="X959" s="5"/>
      <c r="Y959" s="5"/>
      <c r="Z959" s="5"/>
      <c r="AA959" s="5"/>
      <c r="AB959" s="5"/>
      <c r="AC959" s="5"/>
    </row>
    <row r="960" spans="1:29" ht="12.75" customHeight="1">
      <c r="A960" s="5"/>
      <c r="B960" s="5"/>
      <c r="C960" s="5"/>
      <c r="D960" s="5"/>
      <c r="E960" s="5"/>
      <c r="F960" s="5"/>
      <c r="G960" s="5"/>
      <c r="H960" s="306"/>
      <c r="I960" s="306"/>
      <c r="J960" s="5"/>
      <c r="K960" s="5"/>
      <c r="L960" s="306"/>
      <c r="M960" s="5"/>
      <c r="N960" s="5"/>
      <c r="O960" s="5"/>
      <c r="P960" s="5"/>
      <c r="Q960" s="5"/>
      <c r="R960" s="57"/>
      <c r="S960" s="5"/>
      <c r="T960" s="5"/>
      <c r="U960" s="5"/>
      <c r="V960" s="5"/>
      <c r="W960" s="5"/>
      <c r="X960" s="5"/>
      <c r="Y960" s="5"/>
      <c r="Z960" s="5"/>
      <c r="AA960" s="5"/>
      <c r="AB960" s="5"/>
      <c r="AC960" s="5"/>
    </row>
    <row r="961" spans="1:29" ht="12.75" customHeight="1">
      <c r="A961" s="5"/>
      <c r="B961" s="5"/>
      <c r="C961" s="5"/>
      <c r="D961" s="5"/>
      <c r="E961" s="5"/>
      <c r="F961" s="5"/>
      <c r="G961" s="5"/>
      <c r="H961" s="306"/>
      <c r="I961" s="306"/>
      <c r="J961" s="5"/>
      <c r="K961" s="5"/>
      <c r="L961" s="306"/>
      <c r="M961" s="5"/>
      <c r="N961" s="5"/>
      <c r="O961" s="5"/>
      <c r="P961" s="5"/>
      <c r="Q961" s="5"/>
      <c r="R961" s="57"/>
      <c r="S961" s="5"/>
      <c r="T961" s="5"/>
      <c r="U961" s="5"/>
      <c r="V961" s="5"/>
      <c r="W961" s="5"/>
      <c r="X961" s="5"/>
      <c r="Y961" s="5"/>
      <c r="Z961" s="5"/>
      <c r="AA961" s="5"/>
      <c r="AB961" s="5"/>
      <c r="AC961" s="5"/>
    </row>
    <row r="962" spans="1:29" ht="12.75" customHeight="1">
      <c r="A962" s="5"/>
      <c r="B962" s="5"/>
      <c r="C962" s="5"/>
      <c r="D962" s="5"/>
      <c r="E962" s="5"/>
      <c r="F962" s="5"/>
      <c r="G962" s="5"/>
      <c r="H962" s="306"/>
      <c r="I962" s="306"/>
      <c r="J962" s="5"/>
      <c r="K962" s="5"/>
      <c r="L962" s="306"/>
      <c r="M962" s="5"/>
      <c r="N962" s="5"/>
      <c r="O962" s="5"/>
      <c r="P962" s="5"/>
      <c r="Q962" s="5"/>
      <c r="R962" s="57"/>
      <c r="S962" s="5"/>
      <c r="T962" s="5"/>
      <c r="U962" s="5"/>
      <c r="V962" s="5"/>
      <c r="W962" s="5"/>
      <c r="X962" s="5"/>
      <c r="Y962" s="5"/>
      <c r="Z962" s="5"/>
      <c r="AA962" s="5"/>
      <c r="AB962" s="5"/>
      <c r="AC962" s="5"/>
    </row>
    <row r="963" spans="1:29" ht="12.75" customHeight="1">
      <c r="A963" s="5"/>
      <c r="B963" s="5"/>
      <c r="C963" s="5"/>
      <c r="D963" s="5"/>
      <c r="E963" s="5"/>
      <c r="F963" s="5"/>
      <c r="G963" s="5"/>
      <c r="H963" s="306"/>
      <c r="I963" s="306"/>
      <c r="J963" s="5"/>
      <c r="K963" s="5"/>
      <c r="L963" s="306"/>
      <c r="M963" s="5"/>
      <c r="N963" s="5"/>
      <c r="O963" s="5"/>
      <c r="P963" s="5"/>
      <c r="Q963" s="5"/>
      <c r="R963" s="57"/>
      <c r="S963" s="5"/>
      <c r="T963" s="5"/>
      <c r="U963" s="5"/>
      <c r="V963" s="5"/>
      <c r="W963" s="5"/>
      <c r="X963" s="5"/>
      <c r="Y963" s="5"/>
      <c r="Z963" s="5"/>
      <c r="AA963" s="5"/>
      <c r="AB963" s="5"/>
      <c r="AC963" s="5"/>
    </row>
    <row r="964" spans="1:29" ht="12.75" customHeight="1">
      <c r="A964" s="5"/>
      <c r="B964" s="5"/>
      <c r="C964" s="5"/>
      <c r="D964" s="5"/>
      <c r="E964" s="5"/>
      <c r="F964" s="5"/>
      <c r="G964" s="5"/>
      <c r="H964" s="306"/>
      <c r="I964" s="306"/>
      <c r="J964" s="5"/>
      <c r="K964" s="5"/>
      <c r="L964" s="306"/>
      <c r="M964" s="5"/>
      <c r="N964" s="5"/>
      <c r="O964" s="5"/>
      <c r="P964" s="5"/>
      <c r="Q964" s="5"/>
      <c r="R964" s="57"/>
      <c r="S964" s="5"/>
      <c r="T964" s="5"/>
      <c r="U964" s="5"/>
      <c r="V964" s="5"/>
      <c r="W964" s="5"/>
      <c r="X964" s="5"/>
      <c r="Y964" s="5"/>
      <c r="Z964" s="5"/>
      <c r="AA964" s="5"/>
      <c r="AB964" s="5"/>
      <c r="AC964" s="5"/>
    </row>
    <row r="965" spans="1:29" ht="12.75" customHeight="1">
      <c r="A965" s="5"/>
      <c r="B965" s="5"/>
      <c r="C965" s="5"/>
      <c r="D965" s="5"/>
      <c r="E965" s="5"/>
      <c r="F965" s="5"/>
      <c r="G965" s="5"/>
      <c r="H965" s="306"/>
      <c r="I965" s="306"/>
      <c r="J965" s="5"/>
      <c r="K965" s="5"/>
      <c r="L965" s="306"/>
      <c r="M965" s="5"/>
      <c r="N965" s="5"/>
      <c r="O965" s="5"/>
      <c r="P965" s="5"/>
      <c r="Q965" s="5"/>
      <c r="R965" s="57"/>
      <c r="S965" s="5"/>
      <c r="T965" s="5"/>
      <c r="U965" s="5"/>
      <c r="V965" s="5"/>
      <c r="W965" s="5"/>
      <c r="X965" s="5"/>
      <c r="Y965" s="5"/>
      <c r="Z965" s="5"/>
      <c r="AA965" s="5"/>
      <c r="AB965" s="5"/>
      <c r="AC965" s="5"/>
    </row>
    <row r="966" spans="1:29" ht="12.75" customHeight="1">
      <c r="A966" s="5"/>
      <c r="B966" s="5"/>
      <c r="C966" s="5"/>
      <c r="D966" s="5"/>
      <c r="E966" s="5"/>
      <c r="F966" s="5"/>
      <c r="G966" s="5"/>
      <c r="H966" s="306"/>
      <c r="I966" s="306"/>
      <c r="J966" s="5"/>
      <c r="K966" s="5"/>
      <c r="L966" s="306"/>
      <c r="M966" s="5"/>
      <c r="N966" s="5"/>
      <c r="O966" s="5"/>
      <c r="P966" s="5"/>
      <c r="Q966" s="5"/>
      <c r="R966" s="57"/>
      <c r="S966" s="5"/>
      <c r="T966" s="5"/>
      <c r="U966" s="5"/>
      <c r="V966" s="5"/>
      <c r="W966" s="5"/>
      <c r="X966" s="5"/>
      <c r="Y966" s="5"/>
      <c r="Z966" s="5"/>
      <c r="AA966" s="5"/>
      <c r="AB966" s="5"/>
      <c r="AC966" s="5"/>
    </row>
    <row r="967" spans="1:29" ht="12.75" customHeight="1">
      <c r="A967" s="5"/>
      <c r="B967" s="5"/>
      <c r="C967" s="5"/>
      <c r="D967" s="5"/>
      <c r="E967" s="5"/>
      <c r="F967" s="5"/>
      <c r="G967" s="5"/>
      <c r="H967" s="306"/>
      <c r="I967" s="306"/>
      <c r="J967" s="5"/>
      <c r="K967" s="5"/>
      <c r="L967" s="306"/>
      <c r="M967" s="5"/>
      <c r="N967" s="5"/>
      <c r="O967" s="5"/>
      <c r="P967" s="5"/>
      <c r="Q967" s="5"/>
      <c r="R967" s="57"/>
      <c r="S967" s="5"/>
      <c r="T967" s="5"/>
      <c r="U967" s="5"/>
      <c r="V967" s="5"/>
      <c r="W967" s="5"/>
      <c r="X967" s="5"/>
      <c r="Y967" s="5"/>
      <c r="Z967" s="5"/>
      <c r="AA967" s="5"/>
      <c r="AB967" s="5"/>
      <c r="AC967" s="5"/>
    </row>
    <row r="968" spans="1:29" ht="12.75" customHeight="1">
      <c r="A968" s="5"/>
      <c r="B968" s="5"/>
      <c r="C968" s="5"/>
      <c r="D968" s="5"/>
      <c r="E968" s="5"/>
      <c r="F968" s="5"/>
      <c r="G968" s="5"/>
      <c r="H968" s="306"/>
      <c r="I968" s="306"/>
      <c r="J968" s="5"/>
      <c r="K968" s="5"/>
      <c r="L968" s="306"/>
      <c r="M968" s="5"/>
      <c r="N968" s="5"/>
      <c r="O968" s="5"/>
      <c r="P968" s="5"/>
      <c r="Q968" s="5"/>
      <c r="R968" s="57"/>
      <c r="S968" s="5"/>
      <c r="T968" s="5"/>
      <c r="U968" s="5"/>
      <c r="V968" s="5"/>
      <c r="W968" s="5"/>
      <c r="X968" s="5"/>
      <c r="Y968" s="5"/>
      <c r="Z968" s="5"/>
      <c r="AA968" s="5"/>
      <c r="AB968" s="5"/>
      <c r="AC968" s="5"/>
    </row>
    <row r="969" spans="1:29" ht="12.75" customHeight="1">
      <c r="A969" s="5"/>
      <c r="B969" s="5"/>
      <c r="C969" s="5"/>
      <c r="D969" s="5"/>
      <c r="E969" s="5"/>
      <c r="F969" s="5"/>
      <c r="G969" s="5"/>
      <c r="H969" s="306"/>
      <c r="I969" s="306"/>
      <c r="J969" s="5"/>
      <c r="K969" s="5"/>
      <c r="L969" s="306"/>
      <c r="M969" s="5"/>
      <c r="N969" s="5"/>
      <c r="O969" s="5"/>
      <c r="P969" s="5"/>
      <c r="Q969" s="5"/>
      <c r="R969" s="57"/>
      <c r="S969" s="5"/>
      <c r="T969" s="5"/>
      <c r="U969" s="5"/>
      <c r="V969" s="5"/>
      <c r="W969" s="5"/>
      <c r="X969" s="5"/>
      <c r="Y969" s="5"/>
      <c r="Z969" s="5"/>
      <c r="AA969" s="5"/>
      <c r="AB969" s="5"/>
      <c r="AC969" s="5"/>
    </row>
    <row r="970" spans="1:29" ht="12.75" customHeight="1">
      <c r="A970" s="5"/>
      <c r="B970" s="5"/>
      <c r="C970" s="5"/>
      <c r="D970" s="5"/>
      <c r="E970" s="5"/>
      <c r="F970" s="5"/>
      <c r="G970" s="5"/>
      <c r="H970" s="306"/>
      <c r="I970" s="306"/>
      <c r="J970" s="5"/>
      <c r="K970" s="5"/>
      <c r="L970" s="306"/>
      <c r="M970" s="5"/>
      <c r="N970" s="5"/>
      <c r="O970" s="5"/>
      <c r="P970" s="5"/>
      <c r="Q970" s="5"/>
      <c r="R970" s="57"/>
      <c r="S970" s="5"/>
      <c r="T970" s="5"/>
      <c r="U970" s="5"/>
      <c r="V970" s="5"/>
      <c r="W970" s="5"/>
      <c r="X970" s="5"/>
      <c r="Y970" s="5"/>
      <c r="Z970" s="5"/>
      <c r="AA970" s="5"/>
      <c r="AB970" s="5"/>
      <c r="AC970" s="5"/>
    </row>
    <row r="971" spans="1:29" ht="12.75" customHeight="1">
      <c r="A971" s="5"/>
      <c r="B971" s="5"/>
      <c r="C971" s="5"/>
      <c r="D971" s="5"/>
      <c r="E971" s="5"/>
      <c r="F971" s="5"/>
      <c r="G971" s="5"/>
      <c r="H971" s="306"/>
      <c r="I971" s="306"/>
      <c r="J971" s="5"/>
      <c r="K971" s="5"/>
      <c r="L971" s="306"/>
      <c r="M971" s="5"/>
      <c r="N971" s="5"/>
      <c r="O971" s="5"/>
      <c r="P971" s="5"/>
      <c r="Q971" s="5"/>
      <c r="R971" s="57"/>
      <c r="S971" s="5"/>
      <c r="T971" s="5"/>
      <c r="U971" s="5"/>
      <c r="V971" s="5"/>
      <c r="W971" s="5"/>
      <c r="X971" s="5"/>
      <c r="Y971" s="5"/>
      <c r="Z971" s="5"/>
      <c r="AA971" s="5"/>
      <c r="AB971" s="5"/>
      <c r="AC971" s="5"/>
    </row>
    <row r="972" spans="1:29" ht="12.75" customHeight="1">
      <c r="A972" s="5"/>
      <c r="B972" s="5"/>
      <c r="C972" s="5"/>
      <c r="D972" s="5"/>
      <c r="E972" s="5"/>
      <c r="F972" s="5"/>
      <c r="G972" s="5"/>
      <c r="H972" s="306"/>
      <c r="I972" s="306"/>
      <c r="J972" s="5"/>
      <c r="K972" s="5"/>
      <c r="L972" s="306"/>
      <c r="M972" s="5"/>
      <c r="N972" s="5"/>
      <c r="O972" s="5"/>
      <c r="P972" s="5"/>
      <c r="Q972" s="5"/>
      <c r="R972" s="57"/>
      <c r="S972" s="5"/>
      <c r="T972" s="5"/>
      <c r="U972" s="5"/>
      <c r="V972" s="5"/>
      <c r="W972" s="5"/>
      <c r="X972" s="5"/>
      <c r="Y972" s="5"/>
      <c r="Z972" s="5"/>
      <c r="AA972" s="5"/>
      <c r="AB972" s="5"/>
      <c r="AC972" s="5"/>
    </row>
    <row r="973" spans="1:29" ht="12.75" customHeight="1">
      <c r="A973" s="5"/>
      <c r="B973" s="5"/>
      <c r="C973" s="5"/>
      <c r="D973" s="5"/>
      <c r="E973" s="5"/>
      <c r="F973" s="5"/>
      <c r="G973" s="5"/>
      <c r="H973" s="306"/>
      <c r="I973" s="306"/>
      <c r="J973" s="5"/>
      <c r="K973" s="5"/>
      <c r="L973" s="306"/>
      <c r="M973" s="5"/>
      <c r="N973" s="5"/>
      <c r="O973" s="5"/>
      <c r="P973" s="5"/>
      <c r="Q973" s="5"/>
      <c r="R973" s="57"/>
      <c r="S973" s="5"/>
      <c r="T973" s="5"/>
      <c r="U973" s="5"/>
      <c r="V973" s="5"/>
      <c r="W973" s="5"/>
      <c r="X973" s="5"/>
      <c r="Y973" s="5"/>
      <c r="Z973" s="5"/>
      <c r="AA973" s="5"/>
      <c r="AB973" s="5"/>
      <c r="AC973" s="5"/>
    </row>
    <row r="974" spans="1:29" ht="12.75" customHeight="1">
      <c r="A974" s="5"/>
      <c r="B974" s="5"/>
      <c r="C974" s="5"/>
      <c r="D974" s="5"/>
      <c r="E974" s="5"/>
      <c r="F974" s="5"/>
      <c r="G974" s="5"/>
      <c r="H974" s="306"/>
      <c r="I974" s="306"/>
      <c r="J974" s="5"/>
      <c r="K974" s="5"/>
      <c r="L974" s="306"/>
      <c r="M974" s="5"/>
      <c r="N974" s="5"/>
      <c r="O974" s="5"/>
      <c r="P974" s="5"/>
      <c r="Q974" s="5"/>
      <c r="R974" s="57"/>
      <c r="S974" s="5"/>
      <c r="T974" s="5"/>
      <c r="U974" s="5"/>
      <c r="V974" s="5"/>
      <c r="W974" s="5"/>
      <c r="X974" s="5"/>
      <c r="Y974" s="5"/>
      <c r="Z974" s="5"/>
      <c r="AA974" s="5"/>
      <c r="AB974" s="5"/>
      <c r="AC974" s="5"/>
    </row>
    <row r="975" spans="1:29" ht="12.75" customHeight="1">
      <c r="A975" s="5"/>
      <c r="B975" s="5"/>
      <c r="C975" s="5"/>
      <c r="D975" s="5"/>
      <c r="E975" s="5"/>
      <c r="F975" s="5"/>
      <c r="G975" s="5"/>
      <c r="H975" s="306"/>
      <c r="I975" s="306"/>
      <c r="J975" s="5"/>
      <c r="K975" s="5"/>
      <c r="L975" s="306"/>
      <c r="M975" s="5"/>
      <c r="N975" s="5"/>
      <c r="O975" s="5"/>
      <c r="P975" s="5"/>
      <c r="Q975" s="5"/>
      <c r="R975" s="57"/>
      <c r="S975" s="5"/>
      <c r="T975" s="5"/>
      <c r="U975" s="5"/>
      <c r="V975" s="5"/>
      <c r="W975" s="5"/>
      <c r="X975" s="5"/>
      <c r="Y975" s="5"/>
      <c r="Z975" s="5"/>
      <c r="AA975" s="5"/>
      <c r="AB975" s="5"/>
      <c r="AC975" s="5"/>
    </row>
    <row r="976" spans="1:29" ht="12.75" customHeight="1">
      <c r="A976" s="5"/>
      <c r="B976" s="5"/>
      <c r="C976" s="5"/>
      <c r="D976" s="5"/>
      <c r="E976" s="5"/>
      <c r="F976" s="5"/>
      <c r="G976" s="5"/>
      <c r="H976" s="306"/>
      <c r="I976" s="306"/>
      <c r="J976" s="5"/>
      <c r="K976" s="5"/>
      <c r="L976" s="306"/>
      <c r="M976" s="5"/>
      <c r="N976" s="5"/>
      <c r="O976" s="5"/>
      <c r="P976" s="5"/>
      <c r="Q976" s="5"/>
      <c r="R976" s="57"/>
      <c r="S976" s="5"/>
      <c r="T976" s="5"/>
      <c r="U976" s="5"/>
      <c r="V976" s="5"/>
      <c r="W976" s="5"/>
      <c r="X976" s="5"/>
      <c r="Y976" s="5"/>
      <c r="Z976" s="5"/>
      <c r="AA976" s="5"/>
      <c r="AB976" s="5"/>
      <c r="AC976" s="5"/>
    </row>
    <row r="977" spans="1:29" ht="12.75" customHeight="1">
      <c r="A977" s="5"/>
      <c r="B977" s="5"/>
      <c r="C977" s="5"/>
      <c r="D977" s="5"/>
      <c r="E977" s="5"/>
      <c r="F977" s="5"/>
      <c r="G977" s="5"/>
      <c r="H977" s="306"/>
      <c r="I977" s="306"/>
      <c r="J977" s="5"/>
      <c r="K977" s="5"/>
      <c r="L977" s="306"/>
      <c r="M977" s="5"/>
      <c r="N977" s="5"/>
      <c r="O977" s="5"/>
      <c r="P977" s="5"/>
      <c r="Q977" s="5"/>
      <c r="R977" s="57"/>
      <c r="S977" s="5"/>
      <c r="T977" s="5"/>
      <c r="U977" s="5"/>
      <c r="V977" s="5"/>
      <c r="W977" s="5"/>
      <c r="X977" s="5"/>
      <c r="Y977" s="5"/>
      <c r="Z977" s="5"/>
      <c r="AA977" s="5"/>
      <c r="AB977" s="5"/>
      <c r="AC977" s="5"/>
    </row>
    <row r="978" spans="1:29" ht="12.75" customHeight="1">
      <c r="A978" s="5"/>
      <c r="B978" s="5"/>
      <c r="C978" s="5"/>
      <c r="D978" s="5"/>
      <c r="E978" s="5"/>
      <c r="F978" s="5"/>
      <c r="G978" s="5"/>
      <c r="H978" s="306"/>
      <c r="I978" s="306"/>
      <c r="J978" s="5"/>
      <c r="K978" s="5"/>
      <c r="L978" s="306"/>
      <c r="M978" s="5"/>
      <c r="N978" s="5"/>
      <c r="O978" s="5"/>
      <c r="P978" s="5"/>
      <c r="Q978" s="5"/>
      <c r="R978" s="57"/>
      <c r="S978" s="5"/>
      <c r="T978" s="5"/>
      <c r="U978" s="5"/>
      <c r="V978" s="5"/>
      <c r="W978" s="5"/>
      <c r="X978" s="5"/>
      <c r="Y978" s="5"/>
      <c r="Z978" s="5"/>
      <c r="AA978" s="5"/>
      <c r="AB978" s="5"/>
      <c r="AC978" s="5"/>
    </row>
    <row r="979" spans="1:29" ht="12.75" customHeight="1">
      <c r="A979" s="5"/>
      <c r="B979" s="5"/>
      <c r="C979" s="5"/>
      <c r="D979" s="5"/>
      <c r="E979" s="5"/>
      <c r="F979" s="5"/>
      <c r="G979" s="5"/>
      <c r="H979" s="306"/>
      <c r="I979" s="306"/>
      <c r="J979" s="5"/>
      <c r="K979" s="5"/>
      <c r="L979" s="306"/>
      <c r="M979" s="5"/>
      <c r="N979" s="5"/>
      <c r="O979" s="5"/>
      <c r="P979" s="5"/>
      <c r="Q979" s="5"/>
      <c r="R979" s="57"/>
      <c r="S979" s="5"/>
      <c r="T979" s="5"/>
      <c r="U979" s="5"/>
      <c r="V979" s="5"/>
      <c r="W979" s="5"/>
      <c r="X979" s="5"/>
      <c r="Y979" s="5"/>
      <c r="Z979" s="5"/>
      <c r="AA979" s="5"/>
      <c r="AB979" s="5"/>
      <c r="AC979" s="5"/>
    </row>
    <row r="980" spans="1:29" ht="12.75" customHeight="1">
      <c r="A980" s="5"/>
      <c r="B980" s="5"/>
      <c r="C980" s="5"/>
      <c r="D980" s="5"/>
      <c r="E980" s="5"/>
      <c r="F980" s="5"/>
      <c r="G980" s="5"/>
      <c r="H980" s="306"/>
      <c r="I980" s="306"/>
      <c r="J980" s="5"/>
      <c r="K980" s="5"/>
      <c r="L980" s="306"/>
      <c r="M980" s="5"/>
      <c r="N980" s="5"/>
      <c r="O980" s="5"/>
      <c r="P980" s="5"/>
      <c r="Q980" s="5"/>
      <c r="R980" s="57"/>
      <c r="S980" s="5"/>
      <c r="T980" s="5"/>
      <c r="U980" s="5"/>
      <c r="V980" s="5"/>
      <c r="W980" s="5"/>
      <c r="X980" s="5"/>
      <c r="Y980" s="5"/>
      <c r="Z980" s="5"/>
      <c r="AA980" s="5"/>
      <c r="AB980" s="5"/>
      <c r="AC980" s="5"/>
    </row>
    <row r="981" spans="1:29" ht="12.75" customHeight="1">
      <c r="A981" s="5"/>
      <c r="B981" s="5"/>
      <c r="C981" s="5"/>
      <c r="D981" s="5"/>
      <c r="E981" s="5"/>
      <c r="F981" s="5"/>
      <c r="G981" s="5"/>
      <c r="H981" s="306"/>
      <c r="I981" s="306"/>
      <c r="J981" s="5"/>
      <c r="K981" s="5"/>
      <c r="L981" s="306"/>
      <c r="M981" s="5"/>
      <c r="N981" s="5"/>
      <c r="O981" s="5"/>
      <c r="P981" s="5"/>
      <c r="Q981" s="5"/>
      <c r="R981" s="57"/>
      <c r="S981" s="5"/>
      <c r="T981" s="5"/>
      <c r="U981" s="5"/>
      <c r="V981" s="5"/>
      <c r="W981" s="5"/>
      <c r="X981" s="5"/>
      <c r="Y981" s="5"/>
      <c r="Z981" s="5"/>
      <c r="AA981" s="5"/>
      <c r="AB981" s="5"/>
      <c r="AC981" s="5"/>
    </row>
    <row r="982" spans="1:29" ht="12.75" customHeight="1">
      <c r="A982" s="5"/>
      <c r="B982" s="5"/>
      <c r="C982" s="5"/>
      <c r="D982" s="5"/>
      <c r="E982" s="5"/>
      <c r="F982" s="5"/>
      <c r="G982" s="5"/>
      <c r="H982" s="306"/>
      <c r="I982" s="306"/>
      <c r="J982" s="5"/>
      <c r="K982" s="5"/>
      <c r="L982" s="306"/>
      <c r="M982" s="5"/>
      <c r="N982" s="5"/>
      <c r="O982" s="5"/>
      <c r="P982" s="5"/>
      <c r="Q982" s="5"/>
      <c r="R982" s="57"/>
      <c r="S982" s="5"/>
      <c r="T982" s="5"/>
      <c r="U982" s="5"/>
      <c r="V982" s="5"/>
      <c r="W982" s="5"/>
      <c r="X982" s="5"/>
      <c r="Y982" s="5"/>
      <c r="Z982" s="5"/>
      <c r="AA982" s="5"/>
      <c r="AB982" s="5"/>
      <c r="AC982" s="5"/>
    </row>
    <row r="983" spans="1:29" ht="12.75" customHeight="1">
      <c r="A983" s="5"/>
      <c r="B983" s="5"/>
      <c r="C983" s="5"/>
      <c r="D983" s="5"/>
      <c r="E983" s="5"/>
      <c r="F983" s="5"/>
      <c r="G983" s="5"/>
      <c r="H983" s="306"/>
      <c r="I983" s="306"/>
      <c r="J983" s="5"/>
      <c r="K983" s="5"/>
      <c r="L983" s="306"/>
      <c r="M983" s="5"/>
      <c r="N983" s="5"/>
      <c r="O983" s="5"/>
      <c r="P983" s="5"/>
      <c r="Q983" s="5"/>
      <c r="R983" s="57"/>
      <c r="S983" s="5"/>
      <c r="T983" s="5"/>
      <c r="U983" s="5"/>
      <c r="V983" s="5"/>
      <c r="W983" s="5"/>
      <c r="X983" s="5"/>
      <c r="Y983" s="5"/>
      <c r="Z983" s="5"/>
      <c r="AA983" s="5"/>
      <c r="AB983" s="5"/>
      <c r="AC983" s="5"/>
    </row>
    <row r="984" spans="1:29" ht="12.75" customHeight="1">
      <c r="A984" s="5"/>
      <c r="B984" s="5"/>
      <c r="C984" s="5"/>
      <c r="D984" s="5"/>
      <c r="E984" s="5"/>
      <c r="F984" s="5"/>
      <c r="G984" s="5"/>
      <c r="H984" s="306"/>
      <c r="I984" s="306"/>
      <c r="J984" s="5"/>
      <c r="K984" s="5"/>
      <c r="L984" s="306"/>
      <c r="M984" s="5"/>
      <c r="N984" s="5"/>
      <c r="O984" s="5"/>
      <c r="P984" s="5"/>
      <c r="Q984" s="5"/>
      <c r="R984" s="57"/>
      <c r="S984" s="5"/>
      <c r="T984" s="5"/>
      <c r="U984" s="5"/>
      <c r="V984" s="5"/>
      <c r="W984" s="5"/>
      <c r="X984" s="5"/>
      <c r="Y984" s="5"/>
      <c r="Z984" s="5"/>
      <c r="AA984" s="5"/>
      <c r="AB984" s="5"/>
      <c r="AC984" s="5"/>
    </row>
    <row r="985" spans="1:29" ht="12.75" customHeight="1">
      <c r="A985" s="5"/>
      <c r="B985" s="5"/>
      <c r="C985" s="5"/>
      <c r="D985" s="5"/>
      <c r="E985" s="5"/>
      <c r="F985" s="5"/>
      <c r="G985" s="5"/>
      <c r="H985" s="306"/>
      <c r="I985" s="306"/>
      <c r="J985" s="5"/>
      <c r="K985" s="5"/>
      <c r="L985" s="306"/>
      <c r="M985" s="5"/>
      <c r="N985" s="5"/>
      <c r="O985" s="5"/>
      <c r="P985" s="5"/>
      <c r="Q985" s="5"/>
      <c r="R985" s="57"/>
      <c r="S985" s="5"/>
      <c r="T985" s="5"/>
      <c r="U985" s="5"/>
      <c r="V985" s="5"/>
      <c r="W985" s="5"/>
      <c r="X985" s="5"/>
      <c r="Y985" s="5"/>
      <c r="Z985" s="5"/>
      <c r="AA985" s="5"/>
      <c r="AB985" s="5"/>
      <c r="AC985" s="5"/>
    </row>
    <row r="986" spans="1:29" ht="12.75" customHeight="1">
      <c r="A986" s="5"/>
      <c r="B986" s="5"/>
      <c r="C986" s="5"/>
      <c r="D986" s="5"/>
      <c r="E986" s="5"/>
      <c r="F986" s="5"/>
      <c r="G986" s="5"/>
      <c r="H986" s="306"/>
      <c r="I986" s="306"/>
      <c r="J986" s="5"/>
      <c r="K986" s="5"/>
      <c r="L986" s="306"/>
      <c r="M986" s="5"/>
      <c r="N986" s="5"/>
      <c r="O986" s="5"/>
      <c r="P986" s="5"/>
      <c r="Q986" s="5"/>
      <c r="R986" s="57"/>
      <c r="S986" s="5"/>
      <c r="T986" s="5"/>
      <c r="U986" s="5"/>
      <c r="V986" s="5"/>
      <c r="W986" s="5"/>
      <c r="X986" s="5"/>
      <c r="Y986" s="5"/>
      <c r="Z986" s="5"/>
      <c r="AA986" s="5"/>
      <c r="AB986" s="5"/>
      <c r="AC986" s="5"/>
    </row>
    <row r="987" spans="1:29" ht="12.75" customHeight="1">
      <c r="A987" s="5"/>
      <c r="B987" s="5"/>
      <c r="C987" s="5"/>
      <c r="D987" s="5"/>
      <c r="E987" s="5"/>
      <c r="F987" s="5"/>
      <c r="G987" s="5"/>
      <c r="H987" s="306"/>
      <c r="I987" s="306"/>
      <c r="J987" s="5"/>
      <c r="K987" s="5"/>
      <c r="L987" s="306"/>
      <c r="M987" s="5"/>
      <c r="N987" s="5"/>
      <c r="O987" s="5"/>
      <c r="P987" s="5"/>
      <c r="Q987" s="5"/>
      <c r="R987" s="57"/>
      <c r="S987" s="5"/>
      <c r="T987" s="5"/>
      <c r="U987" s="5"/>
      <c r="V987" s="5"/>
      <c r="W987" s="5"/>
      <c r="X987" s="5"/>
      <c r="Y987" s="5"/>
      <c r="Z987" s="5"/>
      <c r="AA987" s="5"/>
      <c r="AB987" s="5"/>
      <c r="AC987" s="5"/>
    </row>
    <row r="988" spans="1:29" ht="12.75" customHeight="1">
      <c r="A988" s="5"/>
      <c r="B988" s="5"/>
      <c r="C988" s="5"/>
      <c r="D988" s="5"/>
      <c r="E988" s="5"/>
      <c r="F988" s="5"/>
      <c r="G988" s="5"/>
      <c r="H988" s="306"/>
      <c r="I988" s="306"/>
      <c r="J988" s="5"/>
      <c r="K988" s="5"/>
      <c r="L988" s="306"/>
      <c r="M988" s="5"/>
      <c r="N988" s="5"/>
      <c r="O988" s="5"/>
      <c r="P988" s="5"/>
      <c r="Q988" s="5"/>
      <c r="R988" s="57"/>
      <c r="S988" s="5"/>
      <c r="T988" s="5"/>
      <c r="U988" s="5"/>
      <c r="V988" s="5"/>
      <c r="W988" s="5"/>
      <c r="X988" s="5"/>
      <c r="Y988" s="5"/>
      <c r="Z988" s="5"/>
      <c r="AA988" s="5"/>
      <c r="AB988" s="5"/>
      <c r="AC988" s="5"/>
    </row>
    <row r="989" spans="1:29" ht="12.75" customHeight="1">
      <c r="A989" s="5"/>
      <c r="B989" s="5"/>
      <c r="C989" s="5"/>
      <c r="D989" s="5"/>
      <c r="E989" s="5"/>
      <c r="F989" s="5"/>
      <c r="G989" s="5"/>
      <c r="H989" s="306"/>
      <c r="I989" s="306"/>
      <c r="J989" s="5"/>
      <c r="K989" s="5"/>
      <c r="L989" s="306"/>
      <c r="M989" s="5"/>
      <c r="N989" s="5"/>
      <c r="O989" s="5"/>
      <c r="P989" s="5"/>
      <c r="Q989" s="5"/>
      <c r="R989" s="57"/>
      <c r="S989" s="5"/>
      <c r="T989" s="5"/>
      <c r="U989" s="5"/>
      <c r="V989" s="5"/>
      <c r="W989" s="5"/>
      <c r="X989" s="5"/>
      <c r="Y989" s="5"/>
      <c r="Z989" s="5"/>
      <c r="AA989" s="5"/>
      <c r="AB989" s="5"/>
      <c r="AC989" s="5"/>
    </row>
    <row r="990" spans="1:29" ht="12.75" customHeight="1">
      <c r="A990" s="5"/>
      <c r="B990" s="5"/>
      <c r="C990" s="5"/>
      <c r="D990" s="5"/>
      <c r="E990" s="5"/>
      <c r="F990" s="5"/>
      <c r="G990" s="5"/>
      <c r="H990" s="306"/>
      <c r="I990" s="306"/>
      <c r="J990" s="5"/>
      <c r="K990" s="5"/>
      <c r="L990" s="306"/>
      <c r="M990" s="5"/>
      <c r="N990" s="5"/>
      <c r="O990" s="5"/>
      <c r="P990" s="5"/>
      <c r="Q990" s="5"/>
      <c r="R990" s="57"/>
      <c r="S990" s="5"/>
      <c r="T990" s="5"/>
      <c r="U990" s="5"/>
      <c r="V990" s="5"/>
      <c r="W990" s="5"/>
      <c r="X990" s="5"/>
      <c r="Y990" s="5"/>
      <c r="Z990" s="5"/>
      <c r="AA990" s="5"/>
      <c r="AB990" s="5"/>
      <c r="AC990" s="5"/>
    </row>
    <row r="991" spans="1:29" ht="12.75" customHeight="1">
      <c r="A991" s="5"/>
      <c r="B991" s="5"/>
      <c r="C991" s="5"/>
      <c r="D991" s="5"/>
      <c r="E991" s="5"/>
      <c r="F991" s="5"/>
      <c r="G991" s="5"/>
      <c r="H991" s="306"/>
      <c r="I991" s="306"/>
      <c r="J991" s="5"/>
      <c r="K991" s="5"/>
      <c r="L991" s="306"/>
      <c r="M991" s="5"/>
      <c r="N991" s="5"/>
      <c r="O991" s="5"/>
      <c r="P991" s="5"/>
      <c r="Q991" s="5"/>
      <c r="R991" s="57"/>
      <c r="S991" s="5"/>
      <c r="T991" s="5"/>
      <c r="U991" s="5"/>
      <c r="V991" s="5"/>
      <c r="W991" s="5"/>
      <c r="X991" s="5"/>
      <c r="Y991" s="5"/>
      <c r="Z991" s="5"/>
      <c r="AA991" s="5"/>
      <c r="AB991" s="5"/>
      <c r="AC991" s="5"/>
    </row>
    <row r="992" spans="1:29" ht="12.75" customHeight="1">
      <c r="A992" s="5"/>
      <c r="B992" s="5"/>
      <c r="C992" s="5"/>
      <c r="D992" s="5"/>
      <c r="E992" s="5"/>
      <c r="F992" s="5"/>
      <c r="G992" s="5"/>
      <c r="H992" s="306"/>
      <c r="I992" s="306"/>
      <c r="J992" s="5"/>
      <c r="K992" s="5"/>
      <c r="L992" s="306"/>
      <c r="M992" s="5"/>
      <c r="N992" s="5"/>
      <c r="O992" s="5"/>
      <c r="P992" s="5"/>
      <c r="Q992" s="5"/>
      <c r="R992" s="57"/>
      <c r="S992" s="5"/>
      <c r="T992" s="5"/>
      <c r="U992" s="5"/>
      <c r="V992" s="5"/>
      <c r="W992" s="5"/>
      <c r="X992" s="5"/>
      <c r="Y992" s="5"/>
      <c r="Z992" s="5"/>
      <c r="AA992" s="5"/>
      <c r="AB992" s="5"/>
      <c r="AC992" s="5"/>
    </row>
    <row r="993" spans="1:29" ht="12.75" customHeight="1">
      <c r="A993" s="5"/>
      <c r="B993" s="5"/>
      <c r="C993" s="5"/>
      <c r="D993" s="5"/>
      <c r="E993" s="5"/>
      <c r="F993" s="5"/>
      <c r="G993" s="5"/>
      <c r="H993" s="306"/>
      <c r="I993" s="306"/>
      <c r="J993" s="5"/>
      <c r="K993" s="5"/>
      <c r="L993" s="306"/>
      <c r="M993" s="5"/>
      <c r="N993" s="5"/>
      <c r="O993" s="5"/>
      <c r="P993" s="5"/>
      <c r="Q993" s="5"/>
      <c r="R993" s="57"/>
      <c r="S993" s="5"/>
      <c r="T993" s="5"/>
      <c r="U993" s="5"/>
      <c r="V993" s="5"/>
      <c r="W993" s="5"/>
      <c r="X993" s="5"/>
      <c r="Y993" s="5"/>
      <c r="Z993" s="5"/>
      <c r="AA993" s="5"/>
      <c r="AB993" s="5"/>
      <c r="AC993" s="5"/>
    </row>
    <row r="994" spans="1:29" ht="12.75" customHeight="1">
      <c r="A994" s="5"/>
      <c r="B994" s="5"/>
      <c r="C994" s="5"/>
      <c r="D994" s="5"/>
      <c r="E994" s="5"/>
      <c r="F994" s="5"/>
      <c r="G994" s="5"/>
      <c r="H994" s="306"/>
      <c r="I994" s="306"/>
      <c r="J994" s="5"/>
      <c r="K994" s="5"/>
      <c r="L994" s="306"/>
      <c r="M994" s="5"/>
      <c r="N994" s="5"/>
      <c r="O994" s="5"/>
      <c r="P994" s="5"/>
      <c r="Q994" s="5"/>
      <c r="R994" s="57"/>
      <c r="S994" s="5"/>
      <c r="T994" s="5"/>
      <c r="U994" s="5"/>
      <c r="V994" s="5"/>
      <c r="W994" s="5"/>
      <c r="X994" s="5"/>
      <c r="Y994" s="5"/>
      <c r="Z994" s="5"/>
      <c r="AA994" s="5"/>
      <c r="AB994" s="5"/>
      <c r="AC994" s="5"/>
    </row>
    <row r="995" spans="1:29" ht="12.75" customHeight="1">
      <c r="A995" s="5"/>
      <c r="B995" s="5"/>
      <c r="C995" s="5"/>
      <c r="D995" s="5"/>
      <c r="E995" s="5"/>
      <c r="F995" s="5"/>
      <c r="G995" s="5"/>
      <c r="H995" s="306"/>
      <c r="I995" s="306"/>
      <c r="J995" s="5"/>
      <c r="K995" s="5"/>
      <c r="L995" s="306"/>
      <c r="M995" s="5"/>
      <c r="N995" s="5"/>
      <c r="O995" s="5"/>
      <c r="P995" s="5"/>
      <c r="Q995" s="5"/>
      <c r="R995" s="57"/>
      <c r="S995" s="5"/>
      <c r="T995" s="5"/>
      <c r="U995" s="5"/>
      <c r="V995" s="5"/>
      <c r="W995" s="5"/>
      <c r="X995" s="5"/>
      <c r="Y995" s="5"/>
      <c r="Z995" s="5"/>
      <c r="AA995" s="5"/>
      <c r="AB995" s="5"/>
      <c r="AC995" s="5"/>
    </row>
    <row r="996" spans="1:29" ht="12.75" customHeight="1">
      <c r="A996" s="5"/>
      <c r="B996" s="5"/>
      <c r="C996" s="5"/>
      <c r="D996" s="5"/>
      <c r="E996" s="5"/>
      <c r="F996" s="5"/>
      <c r="G996" s="5"/>
      <c r="H996" s="306"/>
      <c r="I996" s="306"/>
      <c r="J996" s="5"/>
      <c r="K996" s="5"/>
      <c r="L996" s="306"/>
      <c r="M996" s="5"/>
      <c r="N996" s="5"/>
      <c r="O996" s="5"/>
      <c r="P996" s="5"/>
      <c r="Q996" s="5"/>
      <c r="R996" s="57"/>
      <c r="S996" s="5"/>
      <c r="T996" s="5"/>
      <c r="U996" s="5"/>
      <c r="V996" s="5"/>
      <c r="W996" s="5"/>
      <c r="X996" s="5"/>
      <c r="Y996" s="5"/>
      <c r="Z996" s="5"/>
      <c r="AA996" s="5"/>
      <c r="AB996" s="5"/>
      <c r="AC996" s="5"/>
    </row>
    <row r="997" spans="1:29" ht="12.75" customHeight="1">
      <c r="A997" s="5"/>
      <c r="B997" s="5"/>
      <c r="C997" s="5"/>
      <c r="D997" s="5"/>
      <c r="E997" s="5"/>
      <c r="F997" s="5"/>
      <c r="G997" s="5"/>
      <c r="H997" s="306"/>
      <c r="I997" s="306"/>
      <c r="J997" s="5"/>
      <c r="K997" s="5"/>
      <c r="L997" s="306"/>
      <c r="M997" s="5"/>
      <c r="N997" s="5"/>
      <c r="O997" s="5"/>
      <c r="P997" s="5"/>
      <c r="Q997" s="5"/>
      <c r="R997" s="57"/>
      <c r="S997" s="5"/>
      <c r="T997" s="5"/>
      <c r="U997" s="5"/>
      <c r="V997" s="5"/>
      <c r="W997" s="5"/>
      <c r="X997" s="5"/>
      <c r="Y997" s="5"/>
      <c r="Z997" s="5"/>
      <c r="AA997" s="5"/>
      <c r="AB997" s="5"/>
      <c r="AC997" s="5"/>
    </row>
    <row r="998" spans="1:29" ht="12.75" customHeight="1">
      <c r="A998" s="5"/>
      <c r="B998" s="5"/>
      <c r="C998" s="5"/>
      <c r="D998" s="5"/>
      <c r="E998" s="5"/>
      <c r="F998" s="5"/>
      <c r="G998" s="5"/>
      <c r="H998" s="306"/>
      <c r="I998" s="306"/>
      <c r="J998" s="5"/>
      <c r="K998" s="5"/>
      <c r="L998" s="306"/>
      <c r="M998" s="5"/>
      <c r="N998" s="5"/>
      <c r="O998" s="5"/>
      <c r="P998" s="5"/>
      <c r="Q998" s="5"/>
      <c r="R998" s="57"/>
      <c r="S998" s="5"/>
      <c r="T998" s="5"/>
      <c r="U998" s="5"/>
      <c r="V998" s="5"/>
      <c r="W998" s="5"/>
      <c r="X998" s="5"/>
      <c r="Y998" s="5"/>
      <c r="Z998" s="5"/>
      <c r="AA998" s="5"/>
      <c r="AB998" s="5"/>
      <c r="AC998" s="5"/>
    </row>
    <row r="999" spans="1:29" ht="12.75" customHeight="1">
      <c r="A999" s="5"/>
      <c r="B999" s="5"/>
      <c r="C999" s="5"/>
      <c r="D999" s="5"/>
      <c r="E999" s="5"/>
      <c r="F999" s="5"/>
      <c r="G999" s="5"/>
      <c r="H999" s="306"/>
      <c r="I999" s="306"/>
      <c r="J999" s="5"/>
      <c r="K999" s="5"/>
      <c r="L999" s="306"/>
      <c r="M999" s="5"/>
      <c r="N999" s="5"/>
      <c r="O999" s="5"/>
      <c r="P999" s="5"/>
      <c r="Q999" s="5"/>
      <c r="R999" s="57"/>
      <c r="S999" s="5"/>
      <c r="T999" s="5"/>
      <c r="U999" s="5"/>
      <c r="V999" s="5"/>
      <c r="W999" s="5"/>
      <c r="X999" s="5"/>
      <c r="Y999" s="5"/>
      <c r="Z999" s="5"/>
      <c r="AA999" s="5"/>
      <c r="AB999" s="5"/>
      <c r="AC999" s="5"/>
    </row>
    <row r="1000" spans="1:29" ht="12.75" customHeight="1">
      <c r="A1000" s="5"/>
      <c r="B1000" s="5"/>
      <c r="C1000" s="5"/>
      <c r="D1000" s="5"/>
      <c r="E1000" s="5"/>
      <c r="F1000" s="5"/>
      <c r="G1000" s="5"/>
      <c r="H1000" s="306"/>
      <c r="I1000" s="306"/>
      <c r="J1000" s="5"/>
      <c r="K1000" s="5"/>
      <c r="L1000" s="306"/>
      <c r="M1000" s="5"/>
      <c r="N1000" s="5"/>
      <c r="O1000" s="5"/>
      <c r="P1000" s="5"/>
      <c r="Q1000" s="5"/>
      <c r="R1000" s="57"/>
      <c r="S1000" s="5"/>
      <c r="T1000" s="5"/>
      <c r="U1000" s="5"/>
      <c r="V1000" s="5"/>
      <c r="W1000" s="5"/>
      <c r="X1000" s="5"/>
      <c r="Y1000" s="5"/>
      <c r="Z1000" s="5"/>
      <c r="AA1000" s="5"/>
      <c r="AB1000" s="5"/>
      <c r="AC1000" s="5"/>
    </row>
    <row r="1001" spans="1:29" ht="12.75" customHeight="1">
      <c r="A1001" s="5"/>
      <c r="B1001" s="5"/>
      <c r="C1001" s="5"/>
      <c r="D1001" s="5"/>
      <c r="E1001" s="5"/>
      <c r="F1001" s="5"/>
      <c r="G1001" s="5"/>
      <c r="H1001" s="306"/>
      <c r="I1001" s="306"/>
      <c r="J1001" s="5"/>
      <c r="K1001" s="5"/>
      <c r="L1001" s="306"/>
      <c r="M1001" s="5"/>
      <c r="N1001" s="5"/>
      <c r="O1001" s="5"/>
      <c r="P1001" s="5"/>
      <c r="Q1001" s="5"/>
      <c r="R1001" s="57"/>
      <c r="S1001" s="5"/>
      <c r="T1001" s="5"/>
      <c r="U1001" s="5"/>
      <c r="V1001" s="5"/>
      <c r="W1001" s="5"/>
      <c r="X1001" s="5"/>
      <c r="Y1001" s="5"/>
      <c r="Z1001" s="5"/>
      <c r="AA1001" s="5"/>
      <c r="AB1001" s="5"/>
      <c r="AC1001" s="5"/>
    </row>
    <row r="1002" spans="1:29" ht="12.75" customHeight="1">
      <c r="A1002" s="5"/>
      <c r="B1002" s="5"/>
      <c r="C1002" s="5"/>
      <c r="D1002" s="5"/>
      <c r="E1002" s="5"/>
      <c r="F1002" s="5"/>
      <c r="G1002" s="5"/>
      <c r="H1002" s="306"/>
      <c r="I1002" s="306"/>
      <c r="J1002" s="5"/>
      <c r="K1002" s="5"/>
      <c r="L1002" s="306"/>
      <c r="M1002" s="5"/>
      <c r="N1002" s="5"/>
      <c r="O1002" s="5"/>
      <c r="P1002" s="5"/>
      <c r="Q1002" s="5"/>
      <c r="R1002" s="57"/>
      <c r="S1002" s="5"/>
      <c r="T1002" s="5"/>
      <c r="U1002" s="5"/>
      <c r="V1002" s="5"/>
      <c r="W1002" s="5"/>
      <c r="X1002" s="5"/>
      <c r="Y1002" s="5"/>
      <c r="Z1002" s="5"/>
      <c r="AA1002" s="5"/>
      <c r="AB1002" s="5"/>
      <c r="AC1002" s="5"/>
    </row>
    <row r="1003" spans="1:29" ht="12.75" customHeight="1">
      <c r="A1003" s="5"/>
      <c r="B1003" s="5"/>
      <c r="C1003" s="5"/>
      <c r="D1003" s="5"/>
      <c r="E1003" s="5"/>
      <c r="F1003" s="5"/>
      <c r="G1003" s="5"/>
      <c r="H1003" s="306"/>
      <c r="I1003" s="306"/>
      <c r="J1003" s="5"/>
      <c r="K1003" s="5"/>
      <c r="L1003" s="306"/>
      <c r="M1003" s="5"/>
      <c r="N1003" s="5"/>
      <c r="O1003" s="5"/>
      <c r="P1003" s="5"/>
      <c r="Q1003" s="5"/>
      <c r="R1003" s="57"/>
      <c r="S1003" s="5"/>
      <c r="T1003" s="5"/>
      <c r="U1003" s="5"/>
      <c r="V1003" s="5"/>
      <c r="W1003" s="5"/>
      <c r="X1003" s="5"/>
      <c r="Y1003" s="5"/>
      <c r="Z1003" s="5"/>
      <c r="AA1003" s="5"/>
      <c r="AB1003" s="5"/>
      <c r="AC1003" s="5"/>
    </row>
    <row r="1004" spans="1:29" ht="12.75" customHeight="1">
      <c r="A1004" s="5"/>
      <c r="B1004" s="5"/>
      <c r="C1004" s="5"/>
      <c r="D1004" s="5"/>
      <c r="E1004" s="5"/>
      <c r="F1004" s="5"/>
      <c r="G1004" s="5"/>
      <c r="H1004" s="306"/>
      <c r="I1004" s="306"/>
      <c r="J1004" s="5"/>
      <c r="K1004" s="5"/>
      <c r="L1004" s="306"/>
      <c r="M1004" s="5"/>
      <c r="N1004" s="5"/>
      <c r="O1004" s="5"/>
      <c r="P1004" s="5"/>
      <c r="Q1004" s="5"/>
      <c r="R1004" s="57"/>
      <c r="S1004" s="5"/>
      <c r="T1004" s="5"/>
      <c r="U1004" s="5"/>
      <c r="V1004" s="5"/>
      <c r="W1004" s="5"/>
      <c r="X1004" s="5"/>
      <c r="Y1004" s="5"/>
      <c r="Z1004" s="5"/>
      <c r="AA1004" s="5"/>
      <c r="AB1004" s="5"/>
      <c r="AC1004" s="5"/>
    </row>
    <row r="1005" spans="1:29" ht="12.75" customHeight="1">
      <c r="A1005" s="5"/>
      <c r="B1005" s="5"/>
      <c r="C1005" s="5"/>
      <c r="D1005" s="5"/>
      <c r="E1005" s="5"/>
      <c r="F1005" s="5"/>
      <c r="G1005" s="5"/>
      <c r="H1005" s="306"/>
      <c r="I1005" s="306"/>
      <c r="J1005" s="5"/>
      <c r="K1005" s="5"/>
      <c r="L1005" s="306"/>
      <c r="M1005" s="5"/>
      <c r="N1005" s="5"/>
      <c r="O1005" s="5"/>
      <c r="P1005" s="5"/>
      <c r="Q1005" s="5"/>
      <c r="R1005" s="57"/>
      <c r="S1005" s="5"/>
      <c r="T1005" s="5"/>
      <c r="U1005" s="5"/>
      <c r="V1005" s="5"/>
      <c r="W1005" s="5"/>
      <c r="X1005" s="5"/>
      <c r="Y1005" s="5"/>
      <c r="Z1005" s="5"/>
      <c r="AA1005" s="5"/>
      <c r="AB1005" s="5"/>
      <c r="AC1005" s="5"/>
    </row>
    <row r="1006" spans="1:29" ht="12.75" customHeight="1">
      <c r="A1006" s="5"/>
      <c r="B1006" s="5"/>
      <c r="C1006" s="5"/>
      <c r="D1006" s="5"/>
      <c r="E1006" s="5"/>
      <c r="F1006" s="5"/>
      <c r="G1006" s="5"/>
      <c r="H1006" s="306"/>
      <c r="I1006" s="306"/>
      <c r="J1006" s="5"/>
      <c r="K1006" s="5"/>
      <c r="L1006" s="306"/>
      <c r="M1006" s="5"/>
      <c r="N1006" s="5"/>
      <c r="O1006" s="5"/>
      <c r="P1006" s="5"/>
      <c r="Q1006" s="5"/>
      <c r="R1006" s="57"/>
      <c r="S1006" s="5"/>
      <c r="T1006" s="5"/>
      <c r="U1006" s="5"/>
      <c r="V1006" s="5"/>
      <c r="W1006" s="5"/>
      <c r="X1006" s="5"/>
      <c r="Y1006" s="5"/>
      <c r="Z1006" s="5"/>
      <c r="AA1006" s="5"/>
      <c r="AB1006" s="5"/>
      <c r="AC1006" s="5"/>
    </row>
    <row r="1007" spans="1:29" ht="12.75" customHeight="1">
      <c r="A1007" s="5"/>
      <c r="B1007" s="5"/>
      <c r="C1007" s="5"/>
      <c r="D1007" s="5"/>
      <c r="E1007" s="5"/>
      <c r="F1007" s="5"/>
      <c r="G1007" s="5"/>
      <c r="H1007" s="306"/>
      <c r="I1007" s="306"/>
      <c r="J1007" s="5"/>
      <c r="K1007" s="5"/>
      <c r="L1007" s="306"/>
      <c r="M1007" s="5"/>
      <c r="N1007" s="5"/>
      <c r="O1007" s="5"/>
      <c r="P1007" s="5"/>
      <c r="Q1007" s="5"/>
      <c r="R1007" s="57"/>
      <c r="S1007" s="5"/>
      <c r="T1007" s="5"/>
      <c r="U1007" s="5"/>
      <c r="V1007" s="5"/>
      <c r="W1007" s="5"/>
      <c r="X1007" s="5"/>
      <c r="Y1007" s="5"/>
      <c r="Z1007" s="5"/>
      <c r="AA1007" s="5"/>
      <c r="AB1007" s="5"/>
      <c r="AC1007" s="5"/>
    </row>
    <row r="1008" spans="1:29" ht="12.75" customHeight="1">
      <c r="A1008" s="5"/>
      <c r="B1008" s="5"/>
      <c r="C1008" s="5"/>
      <c r="D1008" s="5"/>
      <c r="E1008" s="5"/>
      <c r="F1008" s="5"/>
      <c r="G1008" s="5"/>
      <c r="H1008" s="306"/>
      <c r="I1008" s="306"/>
      <c r="J1008" s="5"/>
      <c r="K1008" s="5"/>
      <c r="L1008" s="306"/>
      <c r="M1008" s="5"/>
      <c r="N1008" s="5"/>
      <c r="O1008" s="5"/>
      <c r="P1008" s="5"/>
      <c r="Q1008" s="5"/>
      <c r="R1008" s="57"/>
      <c r="S1008" s="5"/>
      <c r="T1008" s="5"/>
      <c r="U1008" s="5"/>
      <c r="V1008" s="5"/>
      <c r="W1008" s="5"/>
      <c r="X1008" s="5"/>
      <c r="Y1008" s="5"/>
      <c r="Z1008" s="5"/>
      <c r="AA1008" s="5"/>
      <c r="AB1008" s="5"/>
      <c r="AC1008" s="5"/>
    </row>
    <row r="1009" spans="1:29" ht="12.75" customHeight="1">
      <c r="A1009" s="5"/>
      <c r="B1009" s="5"/>
      <c r="C1009" s="5"/>
      <c r="D1009" s="5"/>
      <c r="E1009" s="5"/>
      <c r="F1009" s="5"/>
      <c r="G1009" s="5"/>
      <c r="H1009" s="306"/>
      <c r="I1009" s="306"/>
      <c r="J1009" s="5"/>
      <c r="K1009" s="5"/>
      <c r="L1009" s="306"/>
      <c r="M1009" s="5"/>
      <c r="N1009" s="5"/>
      <c r="O1009" s="5"/>
      <c r="P1009" s="5"/>
      <c r="Q1009" s="5"/>
      <c r="R1009" s="57"/>
      <c r="S1009" s="5"/>
      <c r="T1009" s="5"/>
      <c r="U1009" s="5"/>
      <c r="V1009" s="5"/>
      <c r="W1009" s="5"/>
      <c r="X1009" s="5"/>
      <c r="Y1009" s="5"/>
      <c r="Z1009" s="5"/>
      <c r="AA1009" s="5"/>
      <c r="AB1009" s="5"/>
      <c r="AC1009" s="5"/>
    </row>
    <row r="1010" spans="1:29" ht="12.75" customHeight="1">
      <c r="A1010" s="5"/>
      <c r="B1010" s="5"/>
      <c r="C1010" s="5"/>
      <c r="D1010" s="5"/>
      <c r="E1010" s="5"/>
      <c r="F1010" s="5"/>
      <c r="G1010" s="5"/>
      <c r="H1010" s="306"/>
      <c r="I1010" s="306"/>
      <c r="J1010" s="5"/>
      <c r="K1010" s="5"/>
      <c r="L1010" s="306"/>
      <c r="M1010" s="5"/>
      <c r="N1010" s="5"/>
      <c r="O1010" s="5"/>
      <c r="P1010" s="5"/>
      <c r="Q1010" s="5"/>
      <c r="R1010" s="57"/>
      <c r="S1010" s="5"/>
      <c r="T1010" s="5"/>
      <c r="U1010" s="5"/>
      <c r="V1010" s="5"/>
      <c r="W1010" s="5"/>
      <c r="X1010" s="5"/>
      <c r="Y1010" s="5"/>
      <c r="Z1010" s="5"/>
      <c r="AA1010" s="5"/>
      <c r="AB1010" s="5"/>
      <c r="AC1010" s="5"/>
    </row>
    <row r="1011" spans="1:29" ht="12.75" customHeight="1">
      <c r="A1011" s="5"/>
      <c r="B1011" s="5"/>
      <c r="C1011" s="5"/>
      <c r="D1011" s="5"/>
      <c r="E1011" s="5"/>
      <c r="F1011" s="5"/>
      <c r="G1011" s="5"/>
      <c r="H1011" s="306"/>
      <c r="I1011" s="306"/>
      <c r="J1011" s="5"/>
      <c r="K1011" s="5"/>
      <c r="L1011" s="306"/>
      <c r="M1011" s="5"/>
      <c r="N1011" s="5"/>
      <c r="O1011" s="5"/>
      <c r="P1011" s="5"/>
      <c r="Q1011" s="5"/>
      <c r="R1011" s="57"/>
      <c r="S1011" s="5"/>
      <c r="T1011" s="5"/>
      <c r="U1011" s="5"/>
      <c r="V1011" s="5"/>
      <c r="W1011" s="5"/>
      <c r="X1011" s="5"/>
      <c r="Y1011" s="5"/>
      <c r="Z1011" s="5"/>
      <c r="AA1011" s="5"/>
      <c r="AB1011" s="5"/>
      <c r="AC1011" s="5"/>
    </row>
    <row r="1012" spans="1:29" ht="12.75" customHeight="1">
      <c r="A1012" s="5"/>
      <c r="B1012" s="5"/>
      <c r="C1012" s="5"/>
      <c r="D1012" s="5"/>
      <c r="E1012" s="5"/>
      <c r="F1012" s="5"/>
      <c r="G1012" s="5"/>
      <c r="H1012" s="306"/>
      <c r="I1012" s="306"/>
      <c r="J1012" s="5"/>
      <c r="K1012" s="5"/>
      <c r="L1012" s="306"/>
      <c r="M1012" s="5"/>
      <c r="N1012" s="5"/>
      <c r="O1012" s="5"/>
      <c r="P1012" s="5"/>
      <c r="Q1012" s="5"/>
      <c r="R1012" s="57"/>
      <c r="S1012" s="5"/>
      <c r="T1012" s="5"/>
      <c r="U1012" s="5"/>
      <c r="V1012" s="5"/>
      <c r="W1012" s="5"/>
      <c r="X1012" s="5"/>
      <c r="Y1012" s="5"/>
      <c r="Z1012" s="5"/>
      <c r="AA1012" s="5"/>
      <c r="AB1012" s="5"/>
      <c r="AC1012" s="5"/>
    </row>
    <row r="1013" spans="1:29" ht="12.75" customHeight="1">
      <c r="A1013" s="5"/>
      <c r="B1013" s="5"/>
      <c r="C1013" s="5"/>
      <c r="D1013" s="5"/>
      <c r="E1013" s="5"/>
      <c r="F1013" s="5"/>
      <c r="G1013" s="5"/>
      <c r="H1013" s="306"/>
      <c r="I1013" s="306"/>
      <c r="J1013" s="5"/>
      <c r="K1013" s="5"/>
      <c r="L1013" s="306"/>
      <c r="M1013" s="5"/>
      <c r="N1013" s="5"/>
      <c r="O1013" s="5"/>
      <c r="P1013" s="5"/>
      <c r="Q1013" s="5"/>
      <c r="R1013" s="57"/>
      <c r="S1013" s="5"/>
      <c r="T1013" s="5"/>
      <c r="U1013" s="5"/>
      <c r="V1013" s="5"/>
      <c r="W1013" s="5"/>
      <c r="X1013" s="5"/>
      <c r="Y1013" s="5"/>
      <c r="Z1013" s="5"/>
      <c r="AA1013" s="5"/>
      <c r="AB1013" s="5"/>
      <c r="AC1013" s="5"/>
    </row>
    <row r="1014" spans="1:29" ht="12.75" customHeight="1">
      <c r="Q1014" s="5"/>
      <c r="R1014" s="57"/>
      <c r="S1014" s="5"/>
      <c r="T1014" s="5"/>
      <c r="U1014" s="5"/>
      <c r="V1014" s="5"/>
      <c r="W1014" s="5"/>
      <c r="X1014" s="5"/>
      <c r="Y1014" s="5"/>
      <c r="Z1014" s="5"/>
      <c r="AA1014" s="5"/>
      <c r="AB1014" s="5"/>
      <c r="AC1014" s="5"/>
    </row>
  </sheetData>
  <mergeCells count="10">
    <mergeCell ref="R6:S6"/>
    <mergeCell ref="R7:S7"/>
    <mergeCell ref="B1:Q1"/>
    <mergeCell ref="B2:Q2"/>
    <mergeCell ref="B3:Q3"/>
    <mergeCell ref="D5:L5"/>
    <mergeCell ref="M5:N5"/>
    <mergeCell ref="D6:G6"/>
    <mergeCell ref="I6:L6"/>
    <mergeCell ref="O5:Q5"/>
  </mergeCells>
  <conditionalFormatting sqref="B52:B54">
    <cfRule type="containsText" dxfId="505" priority="38" operator="containsText" text="Buy">
      <formula>NOT(ISERROR(SEARCH(("Buy"),(B52))))</formula>
    </cfRule>
    <cfRule type="containsText" dxfId="504" priority="39" operator="containsText" text="Sell">
      <formula>NOT(ISERROR(SEARCH(("Sell"),(B52))))</formula>
    </cfRule>
  </conditionalFormatting>
  <conditionalFormatting sqref="B64:B65">
    <cfRule type="containsText" dxfId="503" priority="16" operator="containsText" text="Buy">
      <formula>NOT(ISERROR(SEARCH(("Buy"),(B64))))</formula>
    </cfRule>
    <cfRule type="containsText" dxfId="502" priority="17" operator="containsText" text="Sell">
      <formula>NOT(ISERROR(SEARCH(("Sell"),(B64))))</formula>
    </cfRule>
  </conditionalFormatting>
  <conditionalFormatting sqref="B67">
    <cfRule type="containsText" dxfId="501" priority="10" operator="containsText" text="Buy">
      <formula>NOT(ISERROR(SEARCH(("Buy"),(B67))))</formula>
    </cfRule>
    <cfRule type="containsText" dxfId="500" priority="11" operator="containsText" text="Sell">
      <formula>NOT(ISERROR(SEARCH(("Sell"),(B67))))</formula>
    </cfRule>
  </conditionalFormatting>
  <conditionalFormatting sqref="B70">
    <cfRule type="containsText" dxfId="499" priority="8" operator="containsText" text="Buy">
      <formula>NOT(ISERROR(SEARCH(("Buy"),(B70))))</formula>
    </cfRule>
    <cfRule type="containsText" dxfId="498" priority="9" operator="containsText" text="Sell">
      <formula>NOT(ISERROR(SEARCH(("Sell"),(B70))))</formula>
    </cfRule>
  </conditionalFormatting>
  <conditionalFormatting sqref="M9:M62">
    <cfRule type="cellIs" dxfId="497" priority="67" stopIfTrue="1" operator="greaterThanOrEqual">
      <formula>0</formula>
    </cfRule>
    <cfRule type="cellIs" dxfId="496" priority="68" stopIfTrue="1" operator="lessThan">
      <formula>0</formula>
    </cfRule>
  </conditionalFormatting>
  <conditionalFormatting sqref="O55:Q57 O85:P90 O91 O92:P101 T76 M11:M24 N9:N24 Q9:Q54 Q63:Q84 M25:N62 N83">
    <cfRule type="cellIs" dxfId="495" priority="70" stopIfTrue="1" operator="greaterThan">
      <formula>#REF!</formula>
    </cfRule>
  </conditionalFormatting>
  <conditionalFormatting sqref="O55:Q57 T76 O85:P90 O91 O92:P101 M11:M24 N9:N24 Q9:Q54 Q63:Q84 M25:N62 N83">
    <cfRule type="cellIs" dxfId="494" priority="71" stopIfTrue="1" operator="lessThanOrEqual">
      <formula>#REF!</formula>
    </cfRule>
  </conditionalFormatting>
  <conditionalFormatting sqref="M53:M62 N9:N48 M52:N54 M50:M51 N83">
    <cfRule type="cellIs" dxfId="493" priority="65" stopIfTrue="1" operator="greaterThan">
      <formula>#REF!</formula>
    </cfRule>
    <cfRule type="cellIs" dxfId="492" priority="66" stopIfTrue="1" operator="lessThanOrEqual">
      <formula>#REF!</formula>
    </cfRule>
  </conditionalFormatting>
  <conditionalFormatting sqref="O55:P57 O85:P90 O91 O92:P101 N9:N48 N52:N54 N83">
    <cfRule type="cellIs" dxfId="491" priority="69" stopIfTrue="1" operator="lessThanOrEqual">
      <formula>$M$86</formula>
    </cfRule>
  </conditionalFormatting>
  <conditionalFormatting sqref="O55:P57 O85:P90 O91 O92:P101 N9:N48 N52:N54 N83">
    <cfRule type="cellIs" dxfId="490" priority="94" stopIfTrue="1" operator="greaterThan">
      <formula>$M$86</formula>
    </cfRule>
  </conditionalFormatting>
  <conditionalFormatting sqref="N18">
    <cfRule type="cellIs" dxfId="489" priority="476" stopIfTrue="1" operator="lessThanOrEqual">
      <formula>$M$86</formula>
    </cfRule>
    <cfRule type="cellIs" dxfId="488" priority="477" stopIfTrue="1" operator="greaterThan">
      <formula>#REF!</formula>
    </cfRule>
    <cfRule type="cellIs" dxfId="487" priority="478" stopIfTrue="1" operator="lessThanOrEqual">
      <formula>#REF!</formula>
    </cfRule>
    <cfRule type="cellIs" dxfId="486" priority="479" stopIfTrue="1" operator="greaterThan">
      <formula>$M$92</formula>
    </cfRule>
    <cfRule type="cellIs" dxfId="485" priority="480" stopIfTrue="1" operator="lessThanOrEqual">
      <formula>$M$92</formula>
    </cfRule>
  </conditionalFormatting>
  <conditionalFormatting sqref="N22:N28 N32 N42 N46:N48">
    <cfRule type="cellIs" dxfId="484" priority="86" stopIfTrue="1" operator="greaterThan">
      <formula>$M$92</formula>
    </cfRule>
    <cfRule type="cellIs" dxfId="483" priority="87" stopIfTrue="1" operator="lessThanOrEqual">
      <formula>$M$92</formula>
    </cfRule>
  </conditionalFormatting>
  <conditionalFormatting sqref="O55:Q57 O85:P90 O91 O92:P101">
    <cfRule type="cellIs" dxfId="482" priority="78" stopIfTrue="1" operator="greaterThan">
      <formula>#REF!</formula>
    </cfRule>
    <cfRule type="cellIs" dxfId="481" priority="79" stopIfTrue="1" operator="lessThanOrEqual">
      <formula>#REF!</formula>
    </cfRule>
  </conditionalFormatting>
  <conditionalFormatting sqref="Q55:Q57">
    <cfRule type="cellIs" dxfId="480" priority="80" stopIfTrue="1" operator="greaterThan">
      <formula>#REF!</formula>
    </cfRule>
    <cfRule type="cellIs" dxfId="479" priority="81" stopIfTrue="1" operator="lessThanOrEqual">
      <formula>#REF!</formula>
    </cfRule>
  </conditionalFormatting>
  <conditionalFormatting sqref="Q58:Q62">
    <cfRule type="cellIs" dxfId="478" priority="28" stopIfTrue="1" operator="greaterThan">
      <formula>#REF!</formula>
    </cfRule>
    <cfRule type="cellIs" dxfId="477" priority="29" stopIfTrue="1" operator="lessThanOrEqual">
      <formula>#REF!</formula>
    </cfRule>
  </conditionalFormatting>
  <conditionalFormatting sqref="R92">
    <cfRule type="cellIs" dxfId="476" priority="82" stopIfTrue="1" operator="greaterThan">
      <formula>#REF!</formula>
    </cfRule>
    <cfRule type="cellIs" dxfId="475" priority="83" stopIfTrue="1" operator="lessThanOrEqual">
      <formula>#REF!</formula>
    </cfRule>
  </conditionalFormatting>
  <hyperlinks>
    <hyperlink ref="B93" r:id="rId1" xr:uid="{5955AC52-6AEB-4086-8EE6-772C735CF64A}"/>
  </hyperlinks>
  <pageMargins left="0.7" right="0.7" top="0.75" bottom="0.75" header="0.3" footer="0.3"/>
  <pageSetup scale="45"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3CB5-784D-4777-A5B1-E0FB7419BBDD}">
  <sheetPr>
    <tabColor rgb="FFFF0000"/>
  </sheetPr>
  <dimension ref="A1:R933"/>
  <sheetViews>
    <sheetView showGridLines="0" zoomScale="90" zoomScaleNormal="90" workbookViewId="0">
      <pane ySplit="8" topLeftCell="A9" activePane="bottomLeft" state="frozen"/>
      <selection activeCell="C1" sqref="C1"/>
      <selection pane="bottomLeft" activeCell="P69" sqref="P69"/>
    </sheetView>
  </sheetViews>
  <sheetFormatPr defaultColWidth="14.28515625" defaultRowHeight="12.75"/>
  <cols>
    <col min="1" max="1" width="23.28515625" style="637" bestFit="1" customWidth="1"/>
    <col min="2" max="2" width="2.7109375" style="637" bestFit="1" customWidth="1"/>
    <col min="3" max="3" width="64.28515625" style="637" customWidth="1"/>
    <col min="4" max="4" width="6.28515625" style="637" bestFit="1" customWidth="1"/>
    <col min="5" max="5" width="7.7109375" style="637" customWidth="1"/>
    <col min="6" max="6" width="10.5703125" style="637" customWidth="1"/>
    <col min="7" max="7" width="14.28515625" style="637" customWidth="1"/>
    <col min="8" max="8" width="13.7109375" style="637" customWidth="1"/>
    <col min="9" max="9" width="3.85546875" style="637" customWidth="1"/>
    <col min="10" max="10" width="10" style="637" customWidth="1"/>
    <col min="11" max="11" width="12.28515625" style="637" customWidth="1"/>
    <col min="12" max="12" width="22" style="637" customWidth="1"/>
    <col min="13" max="13" width="13.28515625" style="637" customWidth="1"/>
    <col min="14" max="14" width="7.7109375" style="637" bestFit="1" customWidth="1"/>
    <col min="15" max="15" width="19.7109375" style="637" customWidth="1"/>
    <col min="16" max="16" width="9.28515625" style="637" customWidth="1"/>
    <col min="17" max="17" width="12.28515625" style="637" bestFit="1" customWidth="1"/>
    <col min="18" max="18" width="9.28515625" style="637" customWidth="1"/>
    <col min="19" max="16384" width="14.28515625" style="637"/>
  </cols>
  <sheetData>
    <row r="1" spans="1:18" ht="20.25">
      <c r="B1" s="884"/>
      <c r="C1" s="2047" t="s">
        <v>0</v>
      </c>
      <c r="D1" s="2048"/>
      <c r="E1" s="2048"/>
      <c r="F1" s="2048"/>
      <c r="G1" s="2048"/>
      <c r="H1" s="2048"/>
      <c r="I1" s="2048"/>
      <c r="J1" s="2048"/>
      <c r="K1" s="2048"/>
      <c r="L1" s="2048"/>
      <c r="M1" s="2048"/>
      <c r="N1" s="2048"/>
      <c r="O1" s="884"/>
      <c r="P1" s="884"/>
      <c r="Q1" s="884"/>
      <c r="R1" s="884"/>
    </row>
    <row r="2" spans="1:18">
      <c r="B2" s="884"/>
      <c r="C2" s="2049" t="s">
        <v>770</v>
      </c>
      <c r="D2" s="2048"/>
      <c r="E2" s="2048"/>
      <c r="F2" s="2048"/>
      <c r="G2" s="2048"/>
      <c r="H2" s="2048"/>
      <c r="I2" s="2048"/>
      <c r="J2" s="2048"/>
      <c r="K2" s="2048"/>
      <c r="L2" s="2048"/>
      <c r="M2" s="2048"/>
      <c r="N2" s="2048"/>
      <c r="O2" s="884"/>
      <c r="P2" s="884"/>
      <c r="Q2" s="884"/>
      <c r="R2" s="884"/>
    </row>
    <row r="3" spans="1:18">
      <c r="B3" s="884"/>
      <c r="C3" s="2050">
        <f ca="1">TODAY()</f>
        <v>45274</v>
      </c>
      <c r="D3" s="2048"/>
      <c r="E3" s="2048"/>
      <c r="F3" s="2048"/>
      <c r="G3" s="2048"/>
      <c r="H3" s="2048"/>
      <c r="I3" s="2048"/>
      <c r="J3" s="2048"/>
      <c r="K3" s="2048"/>
      <c r="L3" s="2048"/>
      <c r="M3" s="2048"/>
      <c r="N3" s="2048"/>
      <c r="O3" s="884"/>
      <c r="P3" s="884"/>
      <c r="Q3" s="884"/>
      <c r="R3" s="884"/>
    </row>
    <row r="4" spans="1:18">
      <c r="B4" s="884"/>
      <c r="C4" s="638"/>
      <c r="D4" s="638"/>
      <c r="E4" s="638"/>
      <c r="F4" s="638"/>
      <c r="G4" s="638"/>
      <c r="H4" s="638"/>
      <c r="I4" s="638"/>
      <c r="J4" s="638"/>
      <c r="K4" s="639"/>
      <c r="L4" s="638"/>
      <c r="M4" s="638"/>
      <c r="N4" s="638"/>
      <c r="O4" s="884"/>
      <c r="P4" s="884"/>
      <c r="Q4" s="884"/>
      <c r="R4" s="884"/>
    </row>
    <row r="5" spans="1:18" ht="18.75" thickBot="1">
      <c r="B5" s="640"/>
      <c r="C5" s="641"/>
      <c r="D5" s="642"/>
      <c r="E5" s="2051" t="s">
        <v>3</v>
      </c>
      <c r="F5" s="2052"/>
      <c r="G5" s="2052"/>
      <c r="H5" s="2052"/>
      <c r="I5" s="2052"/>
      <c r="J5" s="2052"/>
      <c r="K5" s="2052"/>
      <c r="L5" s="2052"/>
      <c r="M5" s="2052"/>
      <c r="N5" s="1757"/>
      <c r="O5" s="884"/>
      <c r="P5" s="884"/>
      <c r="Q5" s="884"/>
      <c r="R5" s="884"/>
    </row>
    <row r="6" spans="1:18">
      <c r="A6" s="643"/>
      <c r="B6" s="644"/>
      <c r="C6" s="645"/>
      <c r="D6" s="645"/>
      <c r="E6" s="2053">
        <v>44926</v>
      </c>
      <c r="F6" s="2054"/>
      <c r="G6" s="2054"/>
      <c r="H6" s="2054"/>
      <c r="I6" s="1616"/>
      <c r="J6" s="2055">
        <f ca="1">TODAY()</f>
        <v>45274</v>
      </c>
      <c r="K6" s="2054"/>
      <c r="L6" s="2054"/>
      <c r="M6" s="2054"/>
      <c r="N6" s="1887" t="s">
        <v>5</v>
      </c>
      <c r="O6" s="744"/>
      <c r="P6" s="884"/>
      <c r="Q6" s="884"/>
    </row>
    <row r="7" spans="1:18" ht="13.5" thickBot="1">
      <c r="A7" s="648"/>
      <c r="B7" s="649"/>
      <c r="C7" s="650" t="s">
        <v>7</v>
      </c>
      <c r="D7" s="651" t="s">
        <v>8</v>
      </c>
      <c r="E7" s="652" t="s">
        <v>9</v>
      </c>
      <c r="F7" s="650" t="s">
        <v>10</v>
      </c>
      <c r="G7" s="650" t="s">
        <v>11</v>
      </c>
      <c r="H7" s="650" t="s">
        <v>12</v>
      </c>
      <c r="I7" s="650"/>
      <c r="J7" s="650" t="s">
        <v>9</v>
      </c>
      <c r="K7" s="650" t="s">
        <v>10</v>
      </c>
      <c r="L7" s="653" t="s">
        <v>11</v>
      </c>
      <c r="M7" s="651" t="s">
        <v>12</v>
      </c>
      <c r="N7" s="1888" t="s">
        <v>15</v>
      </c>
      <c r="O7" s="744"/>
      <c r="P7" s="884"/>
      <c r="Q7" s="884"/>
    </row>
    <row r="8" spans="1:18">
      <c r="A8" s="654" t="s">
        <v>771</v>
      </c>
      <c r="B8" s="655"/>
      <c r="C8" s="645" t="s">
        <v>360</v>
      </c>
      <c r="D8" s="647"/>
      <c r="E8" s="656"/>
      <c r="F8" s="657"/>
      <c r="G8" s="657"/>
      <c r="H8" s="657"/>
      <c r="I8" s="645"/>
      <c r="J8" s="645"/>
      <c r="K8" s="645"/>
      <c r="L8" s="658"/>
      <c r="M8" s="647"/>
      <c r="N8" s="1780"/>
      <c r="O8" s="884"/>
      <c r="P8" s="884"/>
      <c r="Q8" s="884"/>
    </row>
    <row r="9" spans="1:18" ht="15" customHeight="1">
      <c r="A9" s="2058" t="s">
        <v>772</v>
      </c>
      <c r="B9" s="1784">
        <v>1</v>
      </c>
      <c r="C9" s="1785" t="e" vm="6">
        <v>#VALUE!</v>
      </c>
      <c r="D9" s="660" t="s">
        <v>1282</v>
      </c>
      <c r="E9" s="661"/>
      <c r="F9" s="663"/>
      <c r="G9" s="662"/>
      <c r="H9" s="1621"/>
      <c r="I9" s="661"/>
      <c r="J9" s="661">
        <v>80</v>
      </c>
      <c r="K9" s="663" cm="1">
        <f t="array" ref="K9">_FV(C9,"Price")</f>
        <v>44.64</v>
      </c>
      <c r="L9" s="662">
        <f t="shared" ref="L9:L48" si="0">K9*J9</f>
        <v>3571.2</v>
      </c>
      <c r="M9" s="664">
        <f t="shared" ref="M9:M49" si="1">L9/$L$61</f>
        <v>9.8043602937684174E-3</v>
      </c>
      <c r="N9" s="1943">
        <f>'2023 YTD'!N14</f>
        <v>6.2604141870983135E-2</v>
      </c>
      <c r="O9" s="1886"/>
      <c r="P9" s="884"/>
      <c r="Q9" s="884"/>
    </row>
    <row r="10" spans="1:18" ht="15" customHeight="1">
      <c r="A10" s="2059"/>
      <c r="B10" s="1784">
        <v>1</v>
      </c>
      <c r="C10" s="1785" t="e" vm="21">
        <v>#VALUE!</v>
      </c>
      <c r="D10" s="660" t="s">
        <v>728</v>
      </c>
      <c r="E10" s="661">
        <v>17</v>
      </c>
      <c r="F10" s="663">
        <v>120.34</v>
      </c>
      <c r="G10" s="662">
        <f t="shared" ref="G10" si="2">E10*F10</f>
        <v>2045.78</v>
      </c>
      <c r="H10" s="1621">
        <f t="shared" ref="H10:H15" si="3">G10/G$61</f>
        <v>7.1662392499230228E-3</v>
      </c>
      <c r="I10" s="661"/>
      <c r="J10" s="661">
        <f>17+18</f>
        <v>35</v>
      </c>
      <c r="K10" s="663" cm="1">
        <f t="array" ref="K10">_FV(C10,"Price")</f>
        <v>333.17</v>
      </c>
      <c r="L10" s="662">
        <f t="shared" ref="L10" si="4">K10*J10</f>
        <v>11660.95</v>
      </c>
      <c r="M10" s="664">
        <f t="shared" si="1"/>
        <v>3.2013932338602946E-2</v>
      </c>
      <c r="N10" s="1943">
        <f>(K10-F10)/F10</f>
        <v>1.7685723782615923</v>
      </c>
      <c r="O10" s="1886"/>
      <c r="P10" s="884"/>
      <c r="Q10" s="884"/>
    </row>
    <row r="11" spans="1:18" ht="15" customHeight="1">
      <c r="A11" s="2059"/>
      <c r="B11" s="1784">
        <f>B9+1</f>
        <v>2</v>
      </c>
      <c r="C11" s="1785" t="e" vm="35">
        <v>#VALUE!</v>
      </c>
      <c r="D11" s="660" t="s">
        <v>684</v>
      </c>
      <c r="E11" s="665">
        <v>35</v>
      </c>
      <c r="F11" s="663">
        <v>140</v>
      </c>
      <c r="G11" s="662">
        <f t="shared" ref="G11:G28" si="5">E11*F11</f>
        <v>4900</v>
      </c>
      <c r="H11" s="1621">
        <f t="shared" si="3"/>
        <v>1.7164393201919467E-2</v>
      </c>
      <c r="I11" s="665"/>
      <c r="J11" s="665">
        <v>35</v>
      </c>
      <c r="K11" s="663">
        <f t="shared" ref="K11:K48" si="6">_FV(C11,"Price")</f>
        <v>156.87</v>
      </c>
      <c r="L11" s="662">
        <f t="shared" si="0"/>
        <v>5490.45</v>
      </c>
      <c r="M11" s="664">
        <f t="shared" si="1"/>
        <v>1.5073462694590279E-2</v>
      </c>
      <c r="N11" s="1943">
        <f t="shared" ref="N11:N48" si="7">(K11-F11)/F11</f>
        <v>0.12050000000000004</v>
      </c>
      <c r="O11" s="1886"/>
      <c r="P11" s="884"/>
      <c r="Q11" s="884"/>
    </row>
    <row r="12" spans="1:18" ht="15" customHeight="1">
      <c r="A12" s="2059"/>
      <c r="B12" s="1784">
        <f t="shared" ref="B12:B48" si="8">B11+1</f>
        <v>3</v>
      </c>
      <c r="C12" s="1785" t="e" vm="2">
        <v>#VALUE!</v>
      </c>
      <c r="D12" s="660" t="s">
        <v>675</v>
      </c>
      <c r="E12" s="665">
        <v>60</v>
      </c>
      <c r="F12" s="663">
        <v>88.73</v>
      </c>
      <c r="G12" s="662">
        <f t="shared" si="5"/>
        <v>5323.8</v>
      </c>
      <c r="H12" s="1621">
        <f t="shared" si="3"/>
        <v>1.8648938067016098E-2</v>
      </c>
      <c r="I12" s="665"/>
      <c r="J12" s="665">
        <f>60+20</f>
        <v>80</v>
      </c>
      <c r="K12" s="663">
        <f t="shared" si="6"/>
        <v>133.19999999999999</v>
      </c>
      <c r="L12" s="662">
        <f t="shared" si="0"/>
        <v>10656</v>
      </c>
      <c r="M12" s="664">
        <f t="shared" si="1"/>
        <v>2.9254946037857374E-2</v>
      </c>
      <c r="N12" s="1943">
        <f t="shared" si="7"/>
        <v>0.50118336526541174</v>
      </c>
      <c r="O12" s="1886"/>
      <c r="P12" s="884"/>
      <c r="Q12" s="884"/>
    </row>
    <row r="13" spans="1:18" ht="15" customHeight="1">
      <c r="A13" s="2060" t="s">
        <v>773</v>
      </c>
      <c r="B13" s="1784">
        <f t="shared" si="8"/>
        <v>4</v>
      </c>
      <c r="C13" s="1786" t="e" vm="3">
        <v>#VALUE!</v>
      </c>
      <c r="D13" s="666" t="s">
        <v>540</v>
      </c>
      <c r="E13" s="667">
        <v>100</v>
      </c>
      <c r="F13" s="669">
        <v>84</v>
      </c>
      <c r="G13" s="668">
        <f t="shared" si="5"/>
        <v>8400</v>
      </c>
      <c r="H13" s="1622">
        <f t="shared" si="3"/>
        <v>2.9424674060433375E-2</v>
      </c>
      <c r="I13" s="667"/>
      <c r="J13" s="667">
        <v>170</v>
      </c>
      <c r="K13" s="669">
        <f t="shared" si="6"/>
        <v>147.41999999999999</v>
      </c>
      <c r="L13" s="668">
        <f t="shared" si="0"/>
        <v>25061.399999999998</v>
      </c>
      <c r="M13" s="670">
        <f t="shared" si="1"/>
        <v>6.8803482041400035E-2</v>
      </c>
      <c r="N13" s="1943">
        <f t="shared" si="7"/>
        <v>0.75499999999999989</v>
      </c>
      <c r="O13" s="1886"/>
      <c r="P13" s="884"/>
      <c r="Q13" s="884"/>
    </row>
    <row r="14" spans="1:18" ht="15" customHeight="1">
      <c r="A14" s="2060"/>
      <c r="B14" s="1784">
        <f t="shared" si="8"/>
        <v>5</v>
      </c>
      <c r="C14" s="1786" t="e" vm="37">
        <v>#VALUE!</v>
      </c>
      <c r="D14" s="666" t="s">
        <v>124</v>
      </c>
      <c r="E14" s="671">
        <v>43</v>
      </c>
      <c r="F14" s="669">
        <v>79.599999999999994</v>
      </c>
      <c r="G14" s="668">
        <f t="shared" si="5"/>
        <v>3422.7999999999997</v>
      </c>
      <c r="H14" s="1622">
        <f t="shared" si="3"/>
        <v>1.198985409214897E-2</v>
      </c>
      <c r="I14" s="671"/>
      <c r="J14" s="671">
        <v>43</v>
      </c>
      <c r="K14" s="669">
        <f t="shared" si="6"/>
        <v>89.95</v>
      </c>
      <c r="L14" s="668">
        <f t="shared" si="0"/>
        <v>3867.85</v>
      </c>
      <c r="M14" s="670">
        <f t="shared" si="1"/>
        <v>1.0618782191490863E-2</v>
      </c>
      <c r="N14" s="1943">
        <f t="shared" si="7"/>
        <v>0.13002512562814081</v>
      </c>
      <c r="O14" s="1886"/>
      <c r="P14" s="884"/>
      <c r="Q14" s="884"/>
    </row>
    <row r="15" spans="1:18" ht="15" customHeight="1">
      <c r="A15" s="2056" t="s">
        <v>774</v>
      </c>
      <c r="B15" s="1784">
        <f t="shared" si="8"/>
        <v>6</v>
      </c>
      <c r="C15" s="1787" t="e" vm="25">
        <v>#VALUE!</v>
      </c>
      <c r="D15" s="672" t="s">
        <v>257</v>
      </c>
      <c r="E15" s="676">
        <v>60</v>
      </c>
      <c r="F15" s="674">
        <v>151.56</v>
      </c>
      <c r="G15" s="673">
        <f t="shared" si="5"/>
        <v>9093.6</v>
      </c>
      <c r="H15" s="1623">
        <f t="shared" si="3"/>
        <v>3.1854311432852021E-2</v>
      </c>
      <c r="I15" s="676"/>
      <c r="J15" s="676">
        <v>60</v>
      </c>
      <c r="K15" s="674">
        <f t="shared" si="6"/>
        <v>144.66999999999999</v>
      </c>
      <c r="L15" s="673">
        <f t="shared" si="0"/>
        <v>8680.1999999999989</v>
      </c>
      <c r="M15" s="675">
        <f t="shared" si="1"/>
        <v>2.3830591460004651E-2</v>
      </c>
      <c r="N15" s="1943">
        <f t="shared" si="7"/>
        <v>-4.546054367907109E-2</v>
      </c>
      <c r="O15" s="1886"/>
      <c r="P15" s="884"/>
      <c r="Q15" s="884"/>
    </row>
    <row r="16" spans="1:18" ht="15" customHeight="1">
      <c r="A16" s="2056"/>
      <c r="B16" s="1784">
        <f t="shared" si="8"/>
        <v>7</v>
      </c>
      <c r="C16" s="1787" t="e" vm="34">
        <v>#VALUE!</v>
      </c>
      <c r="D16" s="672" t="s">
        <v>761</v>
      </c>
      <c r="E16" s="676"/>
      <c r="F16" s="674"/>
      <c r="G16" s="673"/>
      <c r="H16" s="1623"/>
      <c r="I16" s="676"/>
      <c r="J16" s="676">
        <v>25</v>
      </c>
      <c r="K16" s="674" cm="1">
        <f t="array" ref="K16">_FV(C16,"Price")</f>
        <v>125.35</v>
      </c>
      <c r="L16" s="673">
        <f t="shared" si="0"/>
        <v>3133.75</v>
      </c>
      <c r="M16" s="675">
        <f t="shared" si="1"/>
        <v>8.6033865565067133E-3</v>
      </c>
      <c r="N16" s="1944">
        <f>'2023 YTD'!N42</f>
        <v>-0.17380701291853415</v>
      </c>
      <c r="O16" s="1886"/>
      <c r="P16" s="884"/>
      <c r="Q16" s="884"/>
    </row>
    <row r="17" spans="1:17" ht="15" customHeight="1">
      <c r="A17" s="2056"/>
      <c r="B17" s="1784">
        <f t="shared" si="8"/>
        <v>8</v>
      </c>
      <c r="C17" s="1787" t="e" vm="17">
        <v>#VALUE!</v>
      </c>
      <c r="D17" s="672" t="s">
        <v>756</v>
      </c>
      <c r="E17" s="676"/>
      <c r="F17" s="674"/>
      <c r="G17" s="673"/>
      <c r="H17" s="1623"/>
      <c r="I17" s="676"/>
      <c r="J17" s="676">
        <v>50</v>
      </c>
      <c r="K17" s="674" cm="1">
        <f t="array" ref="K17">_FV(C17,"Price")</f>
        <v>43.57</v>
      </c>
      <c r="L17" s="673">
        <f t="shared" si="0"/>
        <v>2178.5</v>
      </c>
      <c r="M17" s="675">
        <f t="shared" si="1"/>
        <v>5.9808464661666935E-3</v>
      </c>
      <c r="N17" s="1944">
        <f>'2023 YTD'!N25</f>
        <v>-0.10543065393696746</v>
      </c>
      <c r="O17" s="1886"/>
      <c r="P17" s="884"/>
      <c r="Q17" s="884"/>
    </row>
    <row r="18" spans="1:17" ht="15" customHeight="1">
      <c r="A18" s="2056"/>
      <c r="B18" s="1784">
        <f t="shared" si="8"/>
        <v>9</v>
      </c>
      <c r="C18" s="1787" t="e" vm="14">
        <v>#VALUE!</v>
      </c>
      <c r="D18" s="672" t="s">
        <v>633</v>
      </c>
      <c r="E18" s="676">
        <v>20</v>
      </c>
      <c r="F18" s="674">
        <v>231.57</v>
      </c>
      <c r="G18" s="673">
        <f t="shared" si="5"/>
        <v>4631.3999999999996</v>
      </c>
      <c r="H18" s="1623">
        <f>G18/G$61</f>
        <v>1.6223504219463229E-2</v>
      </c>
      <c r="I18" s="676"/>
      <c r="J18" s="676">
        <v>20</v>
      </c>
      <c r="K18" s="674">
        <f t="shared" si="6"/>
        <v>186.26</v>
      </c>
      <c r="L18" s="673">
        <f t="shared" si="0"/>
        <v>3725.2</v>
      </c>
      <c r="M18" s="675">
        <f t="shared" si="1"/>
        <v>1.0227151368264478E-2</v>
      </c>
      <c r="N18" s="1943">
        <f t="shared" si="7"/>
        <v>-0.19566437794187505</v>
      </c>
      <c r="O18" s="1886"/>
      <c r="P18" s="884"/>
      <c r="Q18" s="884"/>
    </row>
    <row r="19" spans="1:17" ht="15" customHeight="1">
      <c r="A19" s="2057" t="s">
        <v>775</v>
      </c>
      <c r="B19" s="1784">
        <f t="shared" si="8"/>
        <v>10</v>
      </c>
      <c r="C19" s="1788" t="e" vm="11">
        <v>#VALUE!</v>
      </c>
      <c r="D19" s="677" t="s">
        <v>624</v>
      </c>
      <c r="E19" s="678">
        <v>20</v>
      </c>
      <c r="F19" s="680">
        <v>149.96</v>
      </c>
      <c r="G19" s="679">
        <f t="shared" si="5"/>
        <v>2999.2000000000003</v>
      </c>
      <c r="H19" s="1624">
        <f>G19/G$61</f>
        <v>1.0506009814529975E-2</v>
      </c>
      <c r="I19" s="678"/>
      <c r="J19" s="678">
        <v>20</v>
      </c>
      <c r="K19" s="680">
        <f t="shared" si="6"/>
        <v>171.35</v>
      </c>
      <c r="L19" s="679">
        <f t="shared" si="0"/>
        <v>3427</v>
      </c>
      <c r="M19" s="681">
        <f t="shared" si="1"/>
        <v>9.4084741058311962E-3</v>
      </c>
      <c r="N19" s="1943">
        <f t="shared" si="7"/>
        <v>0.14263803680981585</v>
      </c>
      <c r="O19" s="1886"/>
      <c r="P19" s="884"/>
      <c r="Q19" s="884"/>
    </row>
    <row r="20" spans="1:17" ht="15" customHeight="1">
      <c r="A20" s="2057"/>
      <c r="B20" s="1784">
        <f t="shared" si="8"/>
        <v>11</v>
      </c>
      <c r="C20" s="1788" t="e" vm="31">
        <v>#VALUE!</v>
      </c>
      <c r="D20" s="677" t="s">
        <v>759</v>
      </c>
      <c r="E20" s="682"/>
      <c r="F20" s="680"/>
      <c r="G20" s="679"/>
      <c r="H20" s="1624"/>
      <c r="I20" s="682"/>
      <c r="J20" s="682">
        <v>31</v>
      </c>
      <c r="K20" s="680">
        <f t="shared" si="6"/>
        <v>52.43</v>
      </c>
      <c r="L20" s="679">
        <f t="shared" si="0"/>
        <v>1625.33</v>
      </c>
      <c r="M20" s="681">
        <f t="shared" si="1"/>
        <v>4.462175435783664E-3</v>
      </c>
      <c r="N20" s="1943">
        <f>'2023 YTD'!N39</f>
        <v>1.1815606810470955E-2</v>
      </c>
      <c r="O20" s="1886"/>
      <c r="P20" s="884"/>
      <c r="Q20" s="884"/>
    </row>
    <row r="21" spans="1:17">
      <c r="A21" s="2057"/>
      <c r="B21" s="1784">
        <f t="shared" si="8"/>
        <v>12</v>
      </c>
      <c r="C21" s="1788" t="e" vm="19">
        <v>#VALUE!</v>
      </c>
      <c r="D21" s="677" t="s">
        <v>682</v>
      </c>
      <c r="E21" s="682">
        <v>37</v>
      </c>
      <c r="F21" s="680">
        <v>116.39</v>
      </c>
      <c r="G21" s="679">
        <f t="shared" si="5"/>
        <v>4306.43</v>
      </c>
      <c r="H21" s="1624">
        <f>G21/G$61</f>
        <v>1.5085154656437156E-2</v>
      </c>
      <c r="I21" s="682"/>
      <c r="J21" s="682">
        <v>30</v>
      </c>
      <c r="K21" s="680">
        <f t="shared" si="6"/>
        <v>150.86000000000001</v>
      </c>
      <c r="L21" s="679">
        <f t="shared" si="0"/>
        <v>4525.8</v>
      </c>
      <c r="M21" s="681">
        <f t="shared" si="1"/>
        <v>1.2425115876326474E-2</v>
      </c>
      <c r="N21" s="1943">
        <f t="shared" si="7"/>
        <v>0.29615946387146674</v>
      </c>
      <c r="O21" s="1886"/>
      <c r="P21" s="884"/>
      <c r="Q21" s="884"/>
    </row>
    <row r="22" spans="1:17" ht="15" customHeight="1">
      <c r="A22" s="2046" t="s">
        <v>776</v>
      </c>
      <c r="B22" s="1784">
        <f t="shared" si="8"/>
        <v>13</v>
      </c>
      <c r="C22" s="1789" t="e" vm="16">
        <v>#VALUE!</v>
      </c>
      <c r="D22" s="683" t="s">
        <v>655</v>
      </c>
      <c r="E22" s="687">
        <v>200</v>
      </c>
      <c r="F22" s="685">
        <v>11.6</v>
      </c>
      <c r="G22" s="684">
        <f t="shared" si="5"/>
        <v>2320</v>
      </c>
      <c r="H22" s="1625">
        <f>G22/G$61</f>
        <v>8.1268147405006465E-3</v>
      </c>
      <c r="I22" s="687"/>
      <c r="J22" s="687">
        <v>200</v>
      </c>
      <c r="K22" s="685">
        <f t="shared" si="6"/>
        <v>13.13</v>
      </c>
      <c r="L22" s="684">
        <f t="shared" si="0"/>
        <v>2626</v>
      </c>
      <c r="M22" s="686">
        <f t="shared" si="1"/>
        <v>7.2094114391341464E-3</v>
      </c>
      <c r="N22" s="1943">
        <f t="shared" si="7"/>
        <v>0.13189655172413803</v>
      </c>
      <c r="O22" s="1886"/>
      <c r="P22" s="884"/>
      <c r="Q22" s="884"/>
    </row>
    <row r="23" spans="1:17" ht="15" customHeight="1">
      <c r="A23" s="2046"/>
      <c r="B23" s="1784">
        <f t="shared" si="8"/>
        <v>14</v>
      </c>
      <c r="C23" s="1789" t="e" vm="33">
        <v>#VALUE!</v>
      </c>
      <c r="D23" s="683" t="s">
        <v>1283</v>
      </c>
      <c r="E23" s="687"/>
      <c r="F23" s="685"/>
      <c r="G23" s="684"/>
      <c r="H23" s="1625"/>
      <c r="I23" s="687"/>
      <c r="J23" s="687">
        <v>101</v>
      </c>
      <c r="K23" s="685">
        <f t="shared" si="6"/>
        <v>45.215000000000003</v>
      </c>
      <c r="L23" s="684">
        <f>J23*K23</f>
        <v>4566.7150000000001</v>
      </c>
      <c r="M23" s="686">
        <f t="shared" si="1"/>
        <v>1.2537443777709632E-2</v>
      </c>
      <c r="N23" s="1943">
        <f>'2023 YTD'!N41</f>
        <v>6.7913604987753931E-3</v>
      </c>
      <c r="O23" s="1886"/>
      <c r="P23" s="884"/>
      <c r="Q23" s="884"/>
    </row>
    <row r="24" spans="1:17" ht="15" customHeight="1">
      <c r="A24" s="2046"/>
      <c r="B24" s="1784">
        <f t="shared" si="8"/>
        <v>15</v>
      </c>
      <c r="C24" s="1789" t="e" vm="40">
        <v>#VALUE!</v>
      </c>
      <c r="D24" s="683" t="s">
        <v>468</v>
      </c>
      <c r="E24" s="687">
        <v>40</v>
      </c>
      <c r="F24" s="685">
        <v>207.76</v>
      </c>
      <c r="G24" s="684">
        <f t="shared" si="5"/>
        <v>8310.4</v>
      </c>
      <c r="H24" s="1625">
        <f>G24/G$61</f>
        <v>2.9110810870455417E-2</v>
      </c>
      <c r="I24" s="687"/>
      <c r="J24" s="687">
        <v>46</v>
      </c>
      <c r="K24" s="685">
        <f t="shared" si="6"/>
        <v>259.08999999999997</v>
      </c>
      <c r="L24" s="684">
        <f t="shared" si="0"/>
        <v>11918.14</v>
      </c>
      <c r="M24" s="686">
        <f t="shared" si="1"/>
        <v>3.2720020886977237E-2</v>
      </c>
      <c r="N24" s="1943">
        <f t="shared" si="7"/>
        <v>0.24706391990758561</v>
      </c>
      <c r="O24" s="1886"/>
      <c r="P24" s="884"/>
      <c r="Q24" s="884"/>
    </row>
    <row r="25" spans="1:17" ht="15" customHeight="1">
      <c r="A25" s="2046"/>
      <c r="B25" s="1784">
        <f t="shared" si="8"/>
        <v>16</v>
      </c>
      <c r="C25" s="1789" t="e" vm="8">
        <v>#VALUE!</v>
      </c>
      <c r="D25" s="683" t="s">
        <v>602</v>
      </c>
      <c r="E25" s="687">
        <v>7</v>
      </c>
      <c r="F25" s="685">
        <v>708.63</v>
      </c>
      <c r="G25" s="684">
        <f t="shared" si="5"/>
        <v>4960.41</v>
      </c>
      <c r="H25" s="1625">
        <f>G25/G$61</f>
        <v>1.7376005649537417E-2</v>
      </c>
      <c r="I25" s="687"/>
      <c r="J25" s="687">
        <v>7</v>
      </c>
      <c r="K25" s="685">
        <f t="shared" si="6"/>
        <v>807.56</v>
      </c>
      <c r="L25" s="684">
        <f t="shared" si="0"/>
        <v>5652.92</v>
      </c>
      <c r="M25" s="686">
        <f t="shared" si="1"/>
        <v>1.5519507278183626E-2</v>
      </c>
      <c r="N25" s="1943">
        <f t="shared" si="7"/>
        <v>0.13960741148413128</v>
      </c>
      <c r="O25" s="1886"/>
      <c r="P25" s="884"/>
      <c r="Q25" s="884"/>
    </row>
    <row r="26" spans="1:17" ht="15" customHeight="1">
      <c r="A26" s="2062" t="s">
        <v>1256</v>
      </c>
      <c r="B26" s="1784">
        <f t="shared" si="8"/>
        <v>17</v>
      </c>
      <c r="C26" s="1790" t="e" vm="38">
        <v>#VALUE!</v>
      </c>
      <c r="D26" s="688" t="s">
        <v>173</v>
      </c>
      <c r="E26" s="692">
        <v>40</v>
      </c>
      <c r="F26" s="690">
        <v>530.17999999999995</v>
      </c>
      <c r="G26" s="689">
        <f t="shared" si="5"/>
        <v>21207.199999999997</v>
      </c>
      <c r="H26" s="1626">
        <f>G26/G$61</f>
        <v>7.4287493777907457E-2</v>
      </c>
      <c r="I26" s="692"/>
      <c r="J26" s="692">
        <v>50</v>
      </c>
      <c r="K26" s="690">
        <f t="shared" si="6"/>
        <v>534.51</v>
      </c>
      <c r="L26" s="689">
        <f t="shared" si="0"/>
        <v>26725.5</v>
      </c>
      <c r="M26" s="691">
        <f t="shared" si="1"/>
        <v>7.3372096502886383E-2</v>
      </c>
      <c r="N26" s="1943">
        <f t="shared" si="7"/>
        <v>8.1670376098684251E-3</v>
      </c>
      <c r="O26" s="1886"/>
      <c r="P26" s="884"/>
      <c r="Q26" s="884"/>
    </row>
    <row r="27" spans="1:17" ht="15" customHeight="1">
      <c r="A27" s="2062"/>
      <c r="B27" s="1784">
        <f t="shared" si="8"/>
        <v>18</v>
      </c>
      <c r="C27" s="1790" t="e" vm="1">
        <v>#VALUE!</v>
      </c>
      <c r="D27" s="688" t="s">
        <v>362</v>
      </c>
      <c r="E27" s="692">
        <v>37</v>
      </c>
      <c r="F27" s="690">
        <v>161.61000000000001</v>
      </c>
      <c r="G27" s="689">
        <f t="shared" si="5"/>
        <v>5979.5700000000006</v>
      </c>
      <c r="H27" s="1626">
        <f>G27/G$61</f>
        <v>2.0946059318041145E-2</v>
      </c>
      <c r="I27" s="692"/>
      <c r="J27" s="692">
        <v>37</v>
      </c>
      <c r="K27" s="690">
        <f t="shared" si="6"/>
        <v>154.94</v>
      </c>
      <c r="L27" s="689">
        <f t="shared" si="0"/>
        <v>5732.78</v>
      </c>
      <c r="M27" s="691">
        <f t="shared" si="1"/>
        <v>1.5738754649672296E-2</v>
      </c>
      <c r="N27" s="1943">
        <f t="shared" si="7"/>
        <v>-4.1272198502568004E-2</v>
      </c>
      <c r="O27" s="1886"/>
      <c r="P27" s="884"/>
      <c r="Q27" s="884"/>
    </row>
    <row r="28" spans="1:17" ht="15" customHeight="1">
      <c r="A28" s="2062"/>
      <c r="B28" s="1784">
        <f t="shared" si="8"/>
        <v>19</v>
      </c>
      <c r="C28" s="1790" t="e" vm="5">
        <v>#VALUE!</v>
      </c>
      <c r="D28" s="688" t="s">
        <v>721</v>
      </c>
      <c r="E28" s="692">
        <v>35</v>
      </c>
      <c r="F28" s="690">
        <v>165.71</v>
      </c>
      <c r="G28" s="689">
        <f t="shared" si="5"/>
        <v>5799.85</v>
      </c>
      <c r="H28" s="1626">
        <f>G28/G$61</f>
        <v>2.0316511410643397E-2</v>
      </c>
      <c r="I28" s="692"/>
      <c r="J28" s="692">
        <v>35</v>
      </c>
      <c r="K28" s="690">
        <f t="shared" si="6"/>
        <v>201.55</v>
      </c>
      <c r="L28" s="689">
        <f t="shared" si="0"/>
        <v>7054.25</v>
      </c>
      <c r="M28" s="691">
        <f t="shared" si="1"/>
        <v>1.9366713878336654E-2</v>
      </c>
      <c r="N28" s="1943">
        <f t="shared" si="7"/>
        <v>0.21628145555488504</v>
      </c>
      <c r="O28" s="1886"/>
      <c r="P28" s="884"/>
      <c r="Q28" s="884"/>
    </row>
    <row r="29" spans="1:17" ht="15" customHeight="1">
      <c r="A29" s="1933"/>
      <c r="B29" s="1784">
        <f t="shared" si="8"/>
        <v>20</v>
      </c>
      <c r="C29" s="1790" t="e" vm="39">
        <v>#VALUE!</v>
      </c>
      <c r="D29" s="688" t="s">
        <v>1253</v>
      </c>
      <c r="E29" s="692"/>
      <c r="F29" s="690"/>
      <c r="G29" s="689"/>
      <c r="H29" s="1626"/>
      <c r="I29" s="692"/>
      <c r="J29" s="692">
        <f>40+31</f>
        <v>71</v>
      </c>
      <c r="K29" s="690">
        <f t="shared" si="6"/>
        <v>182.79499999999999</v>
      </c>
      <c r="L29" s="689">
        <f t="shared" si="0"/>
        <v>12978.445</v>
      </c>
      <c r="M29" s="691">
        <f t="shared" si="1"/>
        <v>3.5630978615831442E-2</v>
      </c>
      <c r="N29" s="1943">
        <f>'2023 YTD'!N47</f>
        <v>2.6534508900993962E-2</v>
      </c>
      <c r="O29" s="1886"/>
      <c r="P29" s="884"/>
      <c r="Q29" s="884"/>
    </row>
    <row r="30" spans="1:17" ht="15" customHeight="1">
      <c r="A30" s="2063" t="s">
        <v>778</v>
      </c>
      <c r="B30" s="1784">
        <f t="shared" si="8"/>
        <v>21</v>
      </c>
      <c r="C30" s="1791" t="e" vm="15">
        <v>#VALUE!</v>
      </c>
      <c r="D30" s="693" t="s">
        <v>628</v>
      </c>
      <c r="E30" s="697">
        <v>20</v>
      </c>
      <c r="F30" s="695">
        <v>214.3</v>
      </c>
      <c r="G30" s="694">
        <f t="shared" ref="G30:G48" si="9">E30*F30</f>
        <v>4286</v>
      </c>
      <c r="H30" s="1627">
        <f>G30/G$61</f>
        <v>1.5013589645597314E-2</v>
      </c>
      <c r="I30" s="697"/>
      <c r="J30" s="697">
        <v>20</v>
      </c>
      <c r="K30" s="695">
        <f t="shared" si="6"/>
        <v>203.41</v>
      </c>
      <c r="L30" s="694">
        <f t="shared" si="0"/>
        <v>4068.2</v>
      </c>
      <c r="M30" s="696">
        <f t="shared" si="1"/>
        <v>1.1168822397823889E-2</v>
      </c>
      <c r="N30" s="1943">
        <f t="shared" si="7"/>
        <v>-5.0816612225851675E-2</v>
      </c>
      <c r="O30" s="1886"/>
      <c r="P30" s="884"/>
      <c r="Q30" s="884"/>
    </row>
    <row r="31" spans="1:17" ht="15" customHeight="1">
      <c r="A31" s="2063"/>
      <c r="B31" s="1784">
        <f t="shared" si="8"/>
        <v>22</v>
      </c>
      <c r="C31" s="1791" t="e" vm="18">
        <v>#VALUE!</v>
      </c>
      <c r="D31" s="693" t="s">
        <v>550</v>
      </c>
      <c r="E31" s="697">
        <v>9</v>
      </c>
      <c r="F31" s="695">
        <v>486.49</v>
      </c>
      <c r="G31" s="694">
        <f t="shared" si="9"/>
        <v>4378.41</v>
      </c>
      <c r="H31" s="1627">
        <f>G31/G$61</f>
        <v>1.5337296089635964E-2</v>
      </c>
      <c r="I31" s="697"/>
      <c r="J31" s="697">
        <v>9</v>
      </c>
      <c r="K31" s="695" cm="1">
        <f t="array" ref="K31">_FV(C31,"Price")</f>
        <v>445.35</v>
      </c>
      <c r="L31" s="694">
        <f t="shared" si="0"/>
        <v>4008.15</v>
      </c>
      <c r="M31" s="696">
        <f t="shared" si="1"/>
        <v>1.1003961332736302E-2</v>
      </c>
      <c r="N31" s="1943">
        <f t="shared" si="7"/>
        <v>-8.4564944808731904E-2</v>
      </c>
      <c r="O31" s="1886"/>
      <c r="P31" s="884"/>
      <c r="Q31" s="884"/>
    </row>
    <row r="32" spans="1:17" ht="15" customHeight="1">
      <c r="A32" s="2063"/>
      <c r="B32" s="1784">
        <f t="shared" si="8"/>
        <v>23</v>
      </c>
      <c r="C32" s="1791" t="e" vm="12">
        <v>#VALUE!</v>
      </c>
      <c r="D32" s="693" t="s">
        <v>678</v>
      </c>
      <c r="E32" s="697">
        <v>35</v>
      </c>
      <c r="F32" s="695">
        <v>115.08</v>
      </c>
      <c r="G32" s="694">
        <f t="shared" si="9"/>
        <v>4027.7999999999997</v>
      </c>
      <c r="H32" s="1627">
        <f>G32/G$61</f>
        <v>1.4109131211977802E-2</v>
      </c>
      <c r="I32" s="697"/>
      <c r="J32" s="697">
        <v>66</v>
      </c>
      <c r="K32" s="695">
        <f t="shared" si="6"/>
        <v>205.46</v>
      </c>
      <c r="L32" s="694">
        <f>J32*K32</f>
        <v>13560.36</v>
      </c>
      <c r="M32" s="696">
        <f t="shared" si="1"/>
        <v>3.7228566071126089E-2</v>
      </c>
      <c r="N32" s="1943">
        <f t="shared" si="7"/>
        <v>0.78536670142509568</v>
      </c>
      <c r="O32" s="1886"/>
      <c r="P32" s="884"/>
      <c r="Q32" s="884"/>
    </row>
    <row r="33" spans="1:17" ht="15" customHeight="1">
      <c r="A33" s="2063"/>
      <c r="B33" s="1784">
        <f t="shared" si="8"/>
        <v>24</v>
      </c>
      <c r="C33" s="1791" t="e" vm="29">
        <v>#VALUE!</v>
      </c>
      <c r="D33" s="693" t="s">
        <v>758</v>
      </c>
      <c r="E33" s="697"/>
      <c r="F33" s="695"/>
      <c r="G33" s="694"/>
      <c r="H33" s="1627"/>
      <c r="I33" s="697"/>
      <c r="J33" s="697">
        <v>12</v>
      </c>
      <c r="K33" s="695">
        <f t="shared" si="6"/>
        <v>81.87</v>
      </c>
      <c r="L33" s="694">
        <f>J33*K33</f>
        <v>982.44</v>
      </c>
      <c r="M33" s="696">
        <f t="shared" si="1"/>
        <v>2.6971874235578639E-3</v>
      </c>
      <c r="N33" s="1943">
        <f>'2023 YTD'!N37</f>
        <v>-0.2146385917789822</v>
      </c>
      <c r="O33" s="1886"/>
      <c r="P33" s="884"/>
      <c r="Q33" s="884"/>
    </row>
    <row r="34" spans="1:17" ht="15" customHeight="1">
      <c r="A34" s="2063"/>
      <c r="B34" s="1784">
        <f t="shared" si="8"/>
        <v>25</v>
      </c>
      <c r="C34" s="1791" t="e" vm="27">
        <v>#VALUE!</v>
      </c>
      <c r="D34" s="693" t="s">
        <v>732</v>
      </c>
      <c r="E34" s="697">
        <v>12</v>
      </c>
      <c r="F34" s="695">
        <v>257.57</v>
      </c>
      <c r="G34" s="694">
        <f t="shared" si="9"/>
        <v>3090.84</v>
      </c>
      <c r="H34" s="1627">
        <f t="shared" ref="H34:H40" si="10">G34/G$61</f>
        <v>1.082701899677975E-2</v>
      </c>
      <c r="I34" s="697"/>
      <c r="J34" s="697">
        <v>12</v>
      </c>
      <c r="K34" s="695">
        <f t="shared" si="6"/>
        <v>306.88</v>
      </c>
      <c r="L34" s="694">
        <f>J34*K34</f>
        <v>3682.56</v>
      </c>
      <c r="M34" s="696">
        <f t="shared" si="1"/>
        <v>1.0110087657767648E-2</v>
      </c>
      <c r="N34" s="1943">
        <f t="shared" si="7"/>
        <v>0.19144310284582833</v>
      </c>
      <c r="O34" s="1886"/>
      <c r="P34" s="884"/>
      <c r="Q34" s="884"/>
    </row>
    <row r="35" spans="1:17" ht="14.45" customHeight="1">
      <c r="A35" s="2064" t="s">
        <v>779</v>
      </c>
      <c r="B35" s="1784">
        <f t="shared" si="8"/>
        <v>26</v>
      </c>
      <c r="C35" s="1792" t="e" vm="4">
        <v>#VALUE!</v>
      </c>
      <c r="D35" s="698" t="s">
        <v>399</v>
      </c>
      <c r="E35" s="699">
        <v>20</v>
      </c>
      <c r="F35" s="701">
        <v>211.86</v>
      </c>
      <c r="G35" s="700">
        <f t="shared" si="9"/>
        <v>4237.2000000000007</v>
      </c>
      <c r="H35" s="1628">
        <f t="shared" si="10"/>
        <v>1.4842646301055753E-2</v>
      </c>
      <c r="I35" s="699"/>
      <c r="J35" s="699">
        <v>20</v>
      </c>
      <c r="K35" s="701">
        <f t="shared" si="6"/>
        <v>212.19</v>
      </c>
      <c r="L35" s="700">
        <f t="shared" si="0"/>
        <v>4243.8</v>
      </c>
      <c r="M35" s="702">
        <f t="shared" si="1"/>
        <v>1.1650914038612906E-2</v>
      </c>
      <c r="N35" s="1943">
        <f t="shared" si="7"/>
        <v>1.5576323987538188E-3</v>
      </c>
      <c r="O35" s="1886"/>
      <c r="P35" s="884"/>
      <c r="Q35" s="884"/>
    </row>
    <row r="36" spans="1:17" ht="14.45" customHeight="1">
      <c r="A36" s="2064"/>
      <c r="B36" s="1784">
        <f t="shared" si="8"/>
        <v>27</v>
      </c>
      <c r="C36" s="1792" t="e" vm="13">
        <v>#VALUE!</v>
      </c>
      <c r="D36" s="698" t="s">
        <v>726</v>
      </c>
      <c r="E36" s="699">
        <v>14</v>
      </c>
      <c r="F36" s="701">
        <v>100.27</v>
      </c>
      <c r="G36" s="700">
        <f t="shared" si="9"/>
        <v>1403.78</v>
      </c>
      <c r="H36" s="1628">
        <f t="shared" si="10"/>
        <v>4.9173534467327577E-3</v>
      </c>
      <c r="I36" s="699"/>
      <c r="J36" s="699">
        <v>14</v>
      </c>
      <c r="K36" s="701">
        <f t="shared" si="6"/>
        <v>132.93</v>
      </c>
      <c r="L36" s="700">
        <f t="shared" si="0"/>
        <v>1861.02</v>
      </c>
      <c r="M36" s="702">
        <f t="shared" si="1"/>
        <v>5.1092379575237729E-3</v>
      </c>
      <c r="N36" s="1943">
        <f t="shared" si="7"/>
        <v>0.32572055450284243</v>
      </c>
      <c r="O36" s="1886"/>
      <c r="P36" s="884"/>
      <c r="Q36" s="884"/>
    </row>
    <row r="37" spans="1:17" ht="15" customHeight="1">
      <c r="A37" s="2065" t="s">
        <v>780</v>
      </c>
      <c r="B37" s="1784">
        <f t="shared" si="8"/>
        <v>28</v>
      </c>
      <c r="C37" s="1793" t="e" vm="7">
        <v>#VALUE!</v>
      </c>
      <c r="D37" s="703" t="s">
        <v>207</v>
      </c>
      <c r="E37" s="704">
        <v>118</v>
      </c>
      <c r="F37" s="706">
        <v>129.93</v>
      </c>
      <c r="G37" s="705">
        <f t="shared" si="9"/>
        <v>15331.740000000002</v>
      </c>
      <c r="H37" s="1629">
        <f t="shared" si="10"/>
        <v>5.3706125271346293E-2</v>
      </c>
      <c r="I37" s="704"/>
      <c r="J37" s="704">
        <f>118+32</f>
        <v>150</v>
      </c>
      <c r="K37" s="706">
        <f t="shared" si="6"/>
        <v>198.11</v>
      </c>
      <c r="L37" s="705">
        <f t="shared" si="0"/>
        <v>29716.500000000004</v>
      </c>
      <c r="M37" s="707">
        <f t="shared" si="1"/>
        <v>8.1583577696507953E-2</v>
      </c>
      <c r="N37" s="1943">
        <f t="shared" si="7"/>
        <v>0.5247440929731394</v>
      </c>
      <c r="O37" s="1886"/>
      <c r="P37" s="884"/>
      <c r="Q37" s="884"/>
    </row>
    <row r="38" spans="1:17" ht="12.75" customHeight="1">
      <c r="A38" s="2065"/>
      <c r="B38" s="1784">
        <f t="shared" si="8"/>
        <v>29</v>
      </c>
      <c r="C38" s="1793" t="e" vm="22">
        <v>#VALUE!</v>
      </c>
      <c r="D38" s="703" t="s">
        <v>41</v>
      </c>
      <c r="E38" s="708">
        <v>75</v>
      </c>
      <c r="F38" s="706">
        <v>239.82</v>
      </c>
      <c r="G38" s="705">
        <f t="shared" si="9"/>
        <v>17986.5</v>
      </c>
      <c r="H38" s="1629">
        <f t="shared" si="10"/>
        <v>6.3005583331902967E-2</v>
      </c>
      <c r="I38" s="708"/>
      <c r="J38" s="708">
        <f>75+10</f>
        <v>85</v>
      </c>
      <c r="K38" s="706">
        <f t="shared" si="6"/>
        <v>365.93</v>
      </c>
      <c r="L38" s="705">
        <f t="shared" si="0"/>
        <v>31104.05</v>
      </c>
      <c r="M38" s="707">
        <f t="shared" si="1"/>
        <v>8.5392952731683333E-2</v>
      </c>
      <c r="N38" s="1943">
        <f t="shared" si="7"/>
        <v>0.52585272287549001</v>
      </c>
      <c r="O38" s="1886"/>
      <c r="P38" s="884"/>
      <c r="Q38" s="884"/>
    </row>
    <row r="39" spans="1:17" ht="12.75" customHeight="1">
      <c r="A39" s="2065"/>
      <c r="B39" s="1784">
        <f t="shared" si="8"/>
        <v>30</v>
      </c>
      <c r="C39" s="1793" t="e" vm="24">
        <v>#VALUE!</v>
      </c>
      <c r="D39" s="703" t="s">
        <v>194</v>
      </c>
      <c r="E39" s="708">
        <v>100</v>
      </c>
      <c r="F39" s="706">
        <v>146.13999999999999</v>
      </c>
      <c r="G39" s="705">
        <f t="shared" si="9"/>
        <v>14613.999999999998</v>
      </c>
      <c r="H39" s="1629">
        <f t="shared" si="10"/>
        <v>5.1191926990377772E-2</v>
      </c>
      <c r="I39" s="708"/>
      <c r="J39" s="708">
        <v>75</v>
      </c>
      <c r="K39" s="706">
        <f t="shared" si="6"/>
        <v>483.5</v>
      </c>
      <c r="L39" s="705">
        <f t="shared" si="0"/>
        <v>36262.5</v>
      </c>
      <c r="M39" s="707">
        <f t="shared" si="1"/>
        <v>9.9554943759178213E-2</v>
      </c>
      <c r="N39" s="1943">
        <f t="shared" si="7"/>
        <v>2.3084713288627348</v>
      </c>
      <c r="O39" s="1886"/>
      <c r="P39" s="884"/>
      <c r="Q39" s="884"/>
    </row>
    <row r="40" spans="1:17" ht="12.75" customHeight="1">
      <c r="A40" s="2065"/>
      <c r="B40" s="1784">
        <f t="shared" si="8"/>
        <v>31</v>
      </c>
      <c r="C40" s="1793" t="e" vm="28">
        <v>#VALUE!</v>
      </c>
      <c r="D40" s="703" t="s">
        <v>660</v>
      </c>
      <c r="E40" s="708">
        <v>6</v>
      </c>
      <c r="F40" s="706">
        <v>432.09</v>
      </c>
      <c r="G40" s="705">
        <f t="shared" ref="G40" si="11">E40*F40</f>
        <v>2592.54</v>
      </c>
      <c r="H40" s="1629">
        <f t="shared" si="10"/>
        <v>9.0815052962661836E-3</v>
      </c>
      <c r="I40" s="708"/>
      <c r="J40" s="708">
        <v>6</v>
      </c>
      <c r="K40" s="706">
        <f t="shared" ref="K40:K41" si="12">_FV(C40,"Price")</f>
        <v>538.83000000000004</v>
      </c>
      <c r="L40" s="705">
        <f>J40*K40</f>
        <v>3232.9800000000005</v>
      </c>
      <c r="M40" s="707">
        <f t="shared" si="1"/>
        <v>8.8758122598979108E-3</v>
      </c>
      <c r="N40" s="1951">
        <f t="shared" ref="N40" si="13">(K40-F40)/F40</f>
        <v>0.24703186836075836</v>
      </c>
      <c r="O40" s="1886"/>
      <c r="P40" s="884"/>
      <c r="Q40" s="884"/>
    </row>
    <row r="41" spans="1:17" ht="12.75" customHeight="1">
      <c r="A41" s="2065"/>
      <c r="B41" s="1784">
        <f t="shared" si="8"/>
        <v>32</v>
      </c>
      <c r="C41" s="1793" t="e" vm="30">
        <v>#VALUE!</v>
      </c>
      <c r="D41" s="703" t="s">
        <v>1285</v>
      </c>
      <c r="E41" s="708"/>
      <c r="F41" s="706"/>
      <c r="G41" s="705"/>
      <c r="H41" s="1629"/>
      <c r="I41" s="708"/>
      <c r="J41" s="708">
        <v>19</v>
      </c>
      <c r="K41" s="706">
        <f t="shared" si="12"/>
        <v>257.31</v>
      </c>
      <c r="L41" s="705">
        <f>J41*K41</f>
        <v>4888.8900000000003</v>
      </c>
      <c r="M41" s="707">
        <f t="shared" si="1"/>
        <v>1.3421941923331508E-2</v>
      </c>
      <c r="N41" s="1951">
        <f>'2023 YTD'!N38</f>
        <v>2.3793419010862189E-2</v>
      </c>
      <c r="O41" s="1886"/>
      <c r="P41" s="884"/>
      <c r="Q41" s="884"/>
    </row>
    <row r="42" spans="1:17" ht="12.75" customHeight="1">
      <c r="A42" s="2065"/>
      <c r="B42" s="1784">
        <f t="shared" si="8"/>
        <v>33</v>
      </c>
      <c r="C42" s="1793" t="e" vm="36">
        <v>#VALUE!</v>
      </c>
      <c r="D42" s="703" t="s">
        <v>686</v>
      </c>
      <c r="E42" s="708">
        <v>30</v>
      </c>
      <c r="F42" s="706">
        <v>74.489999999999995</v>
      </c>
      <c r="G42" s="705">
        <f t="shared" si="9"/>
        <v>2234.6999999999998</v>
      </c>
      <c r="H42" s="1629">
        <f>G42/G$61</f>
        <v>7.8280141812917207E-3</v>
      </c>
      <c r="I42" s="708"/>
      <c r="J42" s="708">
        <v>30</v>
      </c>
      <c r="K42" s="706">
        <f t="shared" si="6"/>
        <v>103.44</v>
      </c>
      <c r="L42" s="705">
        <f t="shared" si="0"/>
        <v>3103.2</v>
      </c>
      <c r="M42" s="707">
        <f t="shared" si="1"/>
        <v>8.5195146907544109E-3</v>
      </c>
      <c r="N42" s="1943">
        <f t="shared" si="7"/>
        <v>0.38864277084172377</v>
      </c>
      <c r="O42" s="1886"/>
      <c r="P42" s="884"/>
      <c r="Q42" s="884"/>
    </row>
    <row r="43" spans="1:17" ht="12.75" customHeight="1">
      <c r="A43" s="2066" t="s">
        <v>781</v>
      </c>
      <c r="B43" s="1784">
        <f t="shared" si="8"/>
        <v>34</v>
      </c>
      <c r="C43" s="1794" t="e" vm="20">
        <v>#VALUE!</v>
      </c>
      <c r="D43" s="709" t="s">
        <v>552</v>
      </c>
      <c r="E43" s="713">
        <v>7</v>
      </c>
      <c r="F43" s="711">
        <v>337.97</v>
      </c>
      <c r="G43" s="710">
        <f t="shared" si="9"/>
        <v>2365.79</v>
      </c>
      <c r="H43" s="1630">
        <f>G43/G$61</f>
        <v>8.28721424350389E-3</v>
      </c>
      <c r="I43" s="713"/>
      <c r="J43" s="713">
        <v>7</v>
      </c>
      <c r="K43" s="711">
        <f t="shared" si="6"/>
        <v>493.21</v>
      </c>
      <c r="L43" s="710">
        <f t="shared" si="0"/>
        <v>3452.47</v>
      </c>
      <c r="M43" s="712">
        <f t="shared" si="1"/>
        <v>9.4783993569183041E-3</v>
      </c>
      <c r="N43" s="1943">
        <f t="shared" si="7"/>
        <v>0.45933070982631574</v>
      </c>
      <c r="O43" s="1886"/>
      <c r="P43" s="884"/>
      <c r="Q43" s="884"/>
    </row>
    <row r="44" spans="1:17" ht="12.75" customHeight="1">
      <c r="A44" s="2066"/>
      <c r="B44" s="1784">
        <f t="shared" si="8"/>
        <v>35</v>
      </c>
      <c r="C44" s="1794" t="e" vm="32">
        <v>#VALUE!</v>
      </c>
      <c r="D44" s="709" t="s">
        <v>760</v>
      </c>
      <c r="E44" s="713"/>
      <c r="F44" s="711"/>
      <c r="G44" s="710"/>
      <c r="H44" s="1630"/>
      <c r="I44" s="713"/>
      <c r="J44" s="713">
        <v>40</v>
      </c>
      <c r="K44" s="711">
        <f t="shared" si="6"/>
        <v>26.93</v>
      </c>
      <c r="L44" s="710">
        <f t="shared" si="0"/>
        <v>1077.2</v>
      </c>
      <c r="M44" s="712">
        <f t="shared" si="1"/>
        <v>2.9573412042023239E-3</v>
      </c>
      <c r="N44" s="1943">
        <f>'2023 YTD'!N40</f>
        <v>-0.18956943054688266</v>
      </c>
      <c r="O44" s="1886"/>
      <c r="P44" s="884"/>
      <c r="Q44" s="884"/>
    </row>
    <row r="45" spans="1:17" ht="12.75" customHeight="1">
      <c r="A45" s="2066"/>
      <c r="B45" s="1784">
        <f t="shared" si="8"/>
        <v>36</v>
      </c>
      <c r="C45" s="1794" t="e" vm="9">
        <v>#VALUE!</v>
      </c>
      <c r="D45" s="709" t="s">
        <v>724</v>
      </c>
      <c r="E45" s="713">
        <v>28</v>
      </c>
      <c r="F45" s="711">
        <v>68.67</v>
      </c>
      <c r="G45" s="710">
        <f t="shared" si="9"/>
        <v>1922.76</v>
      </c>
      <c r="H45" s="1630">
        <f>G45/G$61</f>
        <v>6.7353078924331997E-3</v>
      </c>
      <c r="I45" s="713"/>
      <c r="J45" s="713">
        <v>28</v>
      </c>
      <c r="K45" s="711">
        <f t="shared" si="6"/>
        <v>119.16</v>
      </c>
      <c r="L45" s="710">
        <f t="shared" si="0"/>
        <v>3336.48</v>
      </c>
      <c r="M45" s="712">
        <f t="shared" si="1"/>
        <v>9.1599608067183154E-3</v>
      </c>
      <c r="N45" s="1943">
        <f t="shared" si="7"/>
        <v>0.73525557011795539</v>
      </c>
      <c r="O45" s="1886"/>
      <c r="P45" s="884"/>
      <c r="Q45" s="884"/>
    </row>
    <row r="46" spans="1:17" ht="15" customHeight="1">
      <c r="A46" s="2061" t="s">
        <v>782</v>
      </c>
      <c r="B46" s="1784">
        <f t="shared" si="8"/>
        <v>37</v>
      </c>
      <c r="C46" s="1795" t="e" vm="10">
        <v>#VALUE!</v>
      </c>
      <c r="D46" s="714" t="s">
        <v>649</v>
      </c>
      <c r="E46" s="715">
        <v>30</v>
      </c>
      <c r="F46" s="717">
        <v>25.34</v>
      </c>
      <c r="G46" s="716">
        <f t="shared" si="9"/>
        <v>760.2</v>
      </c>
      <c r="H46" s="1631">
        <f>G46/G$61</f>
        <v>2.6629330024692207E-3</v>
      </c>
      <c r="I46" s="715"/>
      <c r="J46" s="715">
        <v>30</v>
      </c>
      <c r="K46" s="717">
        <f t="shared" si="6"/>
        <v>27.41</v>
      </c>
      <c r="L46" s="716">
        <f t="shared" si="0"/>
        <v>822.3</v>
      </c>
      <c r="M46" s="718">
        <f t="shared" si="1"/>
        <v>2.2575396140137121E-3</v>
      </c>
      <c r="N46" s="1943">
        <f t="shared" si="7"/>
        <v>8.1689029202841365E-2</v>
      </c>
      <c r="O46" s="1886"/>
      <c r="Q46" s="884"/>
    </row>
    <row r="47" spans="1:17" ht="15" customHeight="1">
      <c r="A47" s="2061"/>
      <c r="B47" s="1784">
        <f t="shared" si="8"/>
        <v>38</v>
      </c>
      <c r="C47" s="1795" t="e" vm="23">
        <v>#VALUE!</v>
      </c>
      <c r="D47" s="714" t="s">
        <v>757</v>
      </c>
      <c r="E47" s="715"/>
      <c r="F47" s="717"/>
      <c r="G47" s="716"/>
      <c r="H47" s="1631"/>
      <c r="I47" s="715"/>
      <c r="J47" s="715">
        <v>35</v>
      </c>
      <c r="K47" s="717">
        <f t="shared" ref="K47" si="14">_FV(C47,"Price")</f>
        <v>62.77</v>
      </c>
      <c r="L47" s="716">
        <f t="shared" ref="L47" si="15">K47*J47</f>
        <v>2196.9500000000003</v>
      </c>
      <c r="M47" s="718">
        <f t="shared" si="1"/>
        <v>6.0314990332085931E-3</v>
      </c>
      <c r="N47" s="1943">
        <f>'2023 YTD'!N31</f>
        <v>-0.18246939307111223</v>
      </c>
      <c r="O47" s="1886"/>
      <c r="P47" s="884"/>
      <c r="Q47" s="884"/>
    </row>
    <row r="48" spans="1:17" ht="12.75" customHeight="1">
      <c r="A48" s="2061"/>
      <c r="B48" s="1784">
        <f t="shared" si="8"/>
        <v>39</v>
      </c>
      <c r="C48" s="1795" t="e" vm="26">
        <v>#VALUE!</v>
      </c>
      <c r="D48" s="714" t="s">
        <v>80</v>
      </c>
      <c r="E48" s="719">
        <v>60</v>
      </c>
      <c r="F48" s="717">
        <v>61.27</v>
      </c>
      <c r="G48" s="716">
        <f t="shared" si="9"/>
        <v>3676.2000000000003</v>
      </c>
      <c r="H48" s="1631">
        <f>G48/G$61</f>
        <v>1.2877498426305379E-2</v>
      </c>
      <c r="I48" s="719"/>
      <c r="J48" s="719">
        <v>60</v>
      </c>
      <c r="K48" s="717">
        <f t="shared" si="6"/>
        <v>63</v>
      </c>
      <c r="L48" s="716">
        <f t="shared" si="0"/>
        <v>3780</v>
      </c>
      <c r="M48" s="718">
        <f t="shared" si="1"/>
        <v>1.0377599101266973E-2</v>
      </c>
      <c r="N48" s="1943">
        <f t="shared" si="7"/>
        <v>2.8235678145911488E-2</v>
      </c>
      <c r="O48" s="1886"/>
      <c r="P48" s="884"/>
      <c r="Q48" s="884"/>
    </row>
    <row r="49" spans="2:18">
      <c r="B49" s="659"/>
      <c r="C49" s="720" t="s">
        <v>375</v>
      </c>
      <c r="D49" s="655"/>
      <c r="E49" s="721"/>
      <c r="F49" s="722"/>
      <c r="G49" s="723">
        <v>230900.93</v>
      </c>
      <c r="H49" s="724">
        <f>SUM(H9:H48)</f>
        <v>0.61864991888948473</v>
      </c>
      <c r="I49" s="725"/>
      <c r="J49" s="725"/>
      <c r="K49" s="726"/>
      <c r="L49" s="727">
        <f>SUM(L9:L48)</f>
        <v>320238.42999999993</v>
      </c>
      <c r="M49" s="728">
        <f t="shared" si="1"/>
        <v>0.87918149295215497</v>
      </c>
      <c r="N49" s="1781"/>
      <c r="O49" s="884"/>
      <c r="P49" s="884"/>
      <c r="Q49" s="794"/>
    </row>
    <row r="50" spans="2:18">
      <c r="B50" s="659"/>
      <c r="C50" s="720"/>
      <c r="D50" s="655"/>
      <c r="E50" s="721"/>
      <c r="F50" s="722"/>
      <c r="G50" s="723"/>
      <c r="H50" s="724"/>
      <c r="I50" s="725"/>
      <c r="J50" s="725"/>
      <c r="K50" s="726"/>
      <c r="L50" s="727"/>
      <c r="M50" s="728"/>
      <c r="N50" s="1781"/>
      <c r="O50" s="884"/>
      <c r="P50" s="884"/>
      <c r="Q50" s="794"/>
    </row>
    <row r="51" spans="2:18">
      <c r="B51" s="659"/>
      <c r="C51" s="1939" t="s">
        <v>1257</v>
      </c>
      <c r="D51" s="655"/>
      <c r="E51" s="721"/>
      <c r="F51" s="722"/>
      <c r="G51" s="723"/>
      <c r="H51" s="724"/>
      <c r="I51" s="725"/>
      <c r="J51" s="725"/>
      <c r="K51" s="726"/>
      <c r="L51" s="727"/>
      <c r="M51" s="728"/>
      <c r="N51" s="1781"/>
      <c r="O51" s="884"/>
      <c r="P51" s="884"/>
      <c r="Q51" s="794"/>
    </row>
    <row r="52" spans="2:18">
      <c r="B52" s="1671">
        <f>B48+1</f>
        <v>40</v>
      </c>
      <c r="C52" s="1674" t="e" vm="41">
        <v>#VALUE!</v>
      </c>
      <c r="D52" s="362" t="s">
        <v>698</v>
      </c>
      <c r="E52" s="363">
        <v>97</v>
      </c>
      <c r="F52" s="350">
        <v>47.86</v>
      </c>
      <c r="G52" s="352">
        <f t="shared" ref="G52" si="16">E52*F52</f>
        <v>4642.42</v>
      </c>
      <c r="H52" s="1942">
        <f>G52/G$61</f>
        <v>1.6262106589480609E-2</v>
      </c>
      <c r="I52" s="130"/>
      <c r="J52" s="363">
        <f>368-62</f>
        <v>306</v>
      </c>
      <c r="K52" s="350" cm="1">
        <f t="array" ref="K52">_FV(C52,"Price")</f>
        <v>48.96</v>
      </c>
      <c r="L52" s="1760">
        <f>J52*K52</f>
        <v>14981.76</v>
      </c>
      <c r="M52" s="1940">
        <f t="shared" ref="M52:M55" si="17">L52/$L$61</f>
        <v>4.1130872780792992E-2</v>
      </c>
      <c r="N52" s="1941">
        <f t="shared" ref="N52" si="18">(K52-F52)/F52</f>
        <v>2.2983702465524475E-2</v>
      </c>
      <c r="O52" s="884"/>
      <c r="P52" s="884"/>
      <c r="Q52" s="794"/>
    </row>
    <row r="53" spans="2:18">
      <c r="B53" s="1671">
        <f>B52+1</f>
        <v>41</v>
      </c>
      <c r="C53" s="1705" t="e" vm="42">
        <v>#VALUE!</v>
      </c>
      <c r="D53" s="362" t="s">
        <v>1250</v>
      </c>
      <c r="E53" s="363"/>
      <c r="F53" s="350"/>
      <c r="G53" s="352"/>
      <c r="H53" s="357"/>
      <c r="I53" s="130"/>
      <c r="J53" s="363">
        <v>186</v>
      </c>
      <c r="K53" s="350" cm="1">
        <f t="array" ref="K53">_FV(C53,"Price")</f>
        <v>77.5</v>
      </c>
      <c r="L53" s="1760">
        <f>J53*K53</f>
        <v>14415</v>
      </c>
      <c r="M53" s="1940">
        <f t="shared" si="17"/>
        <v>3.9574891810783976E-2</v>
      </c>
      <c r="N53" s="1941">
        <f>'2023 YTD'!N53</f>
        <v>5.499591614484077E-2</v>
      </c>
      <c r="O53" s="884"/>
      <c r="P53" s="884"/>
      <c r="Q53" s="794"/>
    </row>
    <row r="54" spans="2:18">
      <c r="B54" s="1671">
        <f>B53+1</f>
        <v>42</v>
      </c>
      <c r="C54" s="1705" t="e" vm="43">
        <v>#VALUE!</v>
      </c>
      <c r="D54" s="362" t="s">
        <v>1286</v>
      </c>
      <c r="E54" s="363"/>
      <c r="F54" s="350"/>
      <c r="G54" s="352"/>
      <c r="H54" s="357"/>
      <c r="I54" s="130"/>
      <c r="J54" s="363">
        <v>91</v>
      </c>
      <c r="K54" s="350" cm="1">
        <f t="array" ref="K54">_FV(C54,"Price")</f>
        <v>80.680000000000007</v>
      </c>
      <c r="L54" s="1760">
        <f>J54*K54</f>
        <v>7341.880000000001</v>
      </c>
      <c r="M54" s="1940">
        <f t="shared" si="17"/>
        <v>2.0156372298838619E-2</v>
      </c>
      <c r="N54" s="1941">
        <f>'2023 YTD'!N54</f>
        <v>4.874561289483946E-2</v>
      </c>
      <c r="O54" s="884"/>
      <c r="P54" s="884"/>
      <c r="Q54" s="794"/>
    </row>
    <row r="55" spans="2:18">
      <c r="B55" s="1671"/>
      <c r="C55" s="1345" t="s">
        <v>375</v>
      </c>
      <c r="D55" s="362"/>
      <c r="E55" s="363"/>
      <c r="F55" s="350"/>
      <c r="G55" s="581">
        <v>38332.22</v>
      </c>
      <c r="H55" s="417">
        <f>G55/$G$61</f>
        <v>0.13427536660866971</v>
      </c>
      <c r="I55" s="130"/>
      <c r="J55" s="363"/>
      <c r="K55" s="350"/>
      <c r="L55" s="1761">
        <f>SUM(L52:L54)</f>
        <v>36738.639999999999</v>
      </c>
      <c r="M55" s="1940">
        <f t="shared" si="17"/>
        <v>0.10086213689041558</v>
      </c>
      <c r="N55" s="1941"/>
      <c r="O55" s="884"/>
      <c r="P55" s="884"/>
      <c r="Q55" s="794"/>
    </row>
    <row r="56" spans="2:18">
      <c r="B56" s="659"/>
      <c r="C56" s="720"/>
      <c r="D56" s="655"/>
      <c r="E56" s="721"/>
      <c r="F56" s="722"/>
      <c r="G56" s="729"/>
      <c r="H56" s="417"/>
      <c r="I56" s="725"/>
      <c r="J56" s="725"/>
      <c r="K56" s="722"/>
      <c r="L56" s="727"/>
      <c r="M56" s="728"/>
      <c r="N56" s="1781"/>
      <c r="O56" s="884"/>
      <c r="P56" s="884"/>
      <c r="Q56" s="884"/>
    </row>
    <row r="57" spans="2:18">
      <c r="B57" s="659"/>
      <c r="C57" s="730"/>
      <c r="D57" s="731"/>
      <c r="E57" s="732"/>
      <c r="F57" s="733"/>
      <c r="G57" s="734"/>
      <c r="H57" s="735"/>
      <c r="I57" s="736"/>
      <c r="J57" s="736"/>
      <c r="K57" s="737"/>
      <c r="L57" s="738"/>
      <c r="M57" s="739"/>
      <c r="N57" s="1782"/>
      <c r="O57" s="884"/>
      <c r="P57" s="884"/>
      <c r="Q57" s="884"/>
    </row>
    <row r="58" spans="2:18">
      <c r="B58" s="1602"/>
      <c r="C58" s="1603" t="s">
        <v>764</v>
      </c>
      <c r="D58" s="1604"/>
      <c r="E58" s="1605"/>
      <c r="F58" s="1606"/>
      <c r="G58" s="1607">
        <f>SUM(G49,G55)</f>
        <v>269233.15000000002</v>
      </c>
      <c r="H58" s="1812">
        <f>G58/$G$61</f>
        <v>0.94310686726354387</v>
      </c>
      <c r="I58" s="1608"/>
      <c r="J58" s="1608"/>
      <c r="K58" s="1609"/>
      <c r="L58" s="1610">
        <f>L49+L55</f>
        <v>356977.06999999995</v>
      </c>
      <c r="M58" s="1813">
        <f>L58/$L$61</f>
        <v>0.98004362984257065</v>
      </c>
      <c r="N58" s="1889"/>
      <c r="O58" s="884"/>
      <c r="P58" s="884"/>
      <c r="Q58" s="884"/>
    </row>
    <row r="59" spans="2:18">
      <c r="B59" s="740"/>
      <c r="C59" s="777" t="s">
        <v>749</v>
      </c>
      <c r="D59" s="741"/>
      <c r="E59" s="646"/>
      <c r="F59" s="743"/>
      <c r="G59" s="723">
        <v>16241.55</v>
      </c>
      <c r="H59" s="724">
        <f>G59/$G$61</f>
        <v>5.6893132736456152E-2</v>
      </c>
      <c r="I59" s="742"/>
      <c r="J59" s="742"/>
      <c r="K59" s="744"/>
      <c r="L59" s="746">
        <v>7269.03</v>
      </c>
      <c r="M59" s="724">
        <f>L59/$L$61</f>
        <v>1.9956370157429276E-2</v>
      </c>
      <c r="N59" s="1890"/>
      <c r="O59" s="884"/>
      <c r="P59" s="884"/>
      <c r="Q59" s="884"/>
    </row>
    <row r="60" spans="2:18" ht="13.5" thickBot="1">
      <c r="B60" s="747"/>
      <c r="C60" s="748"/>
      <c r="D60" s="748"/>
      <c r="E60" s="749"/>
      <c r="F60" s="750"/>
      <c r="G60" s="751"/>
      <c r="H60" s="752"/>
      <c r="I60" s="753"/>
      <c r="J60" s="753"/>
      <c r="K60" s="754"/>
      <c r="L60" s="755"/>
      <c r="M60" s="745"/>
      <c r="N60" s="1891"/>
      <c r="O60" s="884"/>
      <c r="P60" s="884"/>
      <c r="Q60" s="884"/>
    </row>
    <row r="61" spans="2:18" ht="13.5" thickTop="1">
      <c r="B61" s="884"/>
      <c r="C61" s="777" t="s">
        <v>765</v>
      </c>
      <c r="D61" s="741"/>
      <c r="E61" s="756"/>
      <c r="F61" s="757"/>
      <c r="G61" s="412">
        <f>SUM(G58,G59)</f>
        <v>285474.7</v>
      </c>
      <c r="H61" s="795">
        <f>H58+H59</f>
        <v>1</v>
      </c>
      <c r="I61" s="758"/>
      <c r="J61" s="758"/>
      <c r="K61" s="759"/>
      <c r="L61" s="760">
        <f>L58+L59</f>
        <v>364246.1</v>
      </c>
      <c r="M61" s="761">
        <f>SUM(M58:M60)</f>
        <v>0.99999999999999989</v>
      </c>
      <c r="N61" s="1892">
        <f>(L61-G61)/G61</f>
        <v>0.27593128217666912</v>
      </c>
      <c r="O61" s="884"/>
      <c r="P61" s="884"/>
      <c r="Q61" s="884"/>
    </row>
    <row r="62" spans="2:18">
      <c r="B62" s="884"/>
      <c r="C62" s="762"/>
      <c r="D62" s="762"/>
      <c r="E62" s="763"/>
      <c r="F62" s="763"/>
      <c r="G62" s="763"/>
      <c r="H62" s="763"/>
      <c r="I62" s="762"/>
      <c r="J62" s="762"/>
      <c r="K62" s="762"/>
      <c r="L62" s="762"/>
      <c r="M62" s="764"/>
      <c r="N62" s="765"/>
      <c r="O62" s="884"/>
      <c r="P62" s="884"/>
      <c r="Q62" s="884"/>
    </row>
    <row r="63" spans="2:18">
      <c r="B63" s="884"/>
      <c r="C63" s="778" t="s">
        <v>390</v>
      </c>
      <c r="D63" s="762"/>
      <c r="E63" s="763"/>
      <c r="F63" s="763"/>
      <c r="G63" s="766"/>
      <c r="H63" s="763"/>
      <c r="I63" s="762"/>
      <c r="J63" s="762"/>
      <c r="K63" s="762"/>
      <c r="L63" s="762"/>
      <c r="M63" s="885"/>
      <c r="N63" s="762"/>
      <c r="O63" s="884"/>
      <c r="P63" s="884"/>
      <c r="Q63" s="884"/>
      <c r="R63" s="884"/>
    </row>
    <row r="64" spans="2:18">
      <c r="B64" s="884"/>
      <c r="C64" s="359" t="e" vm="66">
        <v>#VALUE!</v>
      </c>
      <c r="D64" s="762"/>
      <c r="E64" s="763"/>
      <c r="F64" s="763"/>
      <c r="G64" s="1336">
        <v>3839.5</v>
      </c>
      <c r="H64" s="731"/>
      <c r="I64" s="884"/>
      <c r="J64" s="884"/>
      <c r="K64" s="884"/>
      <c r="L64" s="779" cm="1">
        <f t="array" ref="L64">_FV(C64,"Price")</f>
        <v>4716.13</v>
      </c>
      <c r="M64" s="767"/>
      <c r="N64" s="1878">
        <f>(L64-G64)/G64</f>
        <v>0.22831879150931114</v>
      </c>
      <c r="O64" s="884"/>
      <c r="P64" s="884"/>
      <c r="Q64" s="884"/>
      <c r="R64" s="884"/>
    </row>
    <row r="65" spans="2:18">
      <c r="B65" s="884"/>
      <c r="C65" s="775" t="s">
        <v>273</v>
      </c>
      <c r="D65" s="762"/>
      <c r="E65" s="762"/>
      <c r="F65" s="762"/>
      <c r="G65" s="768"/>
      <c r="H65" s="884"/>
      <c r="I65" s="884"/>
      <c r="J65" s="884"/>
      <c r="K65" s="884"/>
      <c r="L65" s="884"/>
      <c r="M65" s="769"/>
      <c r="N65" s="1877">
        <v>1.9E-2</v>
      </c>
      <c r="O65" s="884"/>
      <c r="P65" s="884"/>
      <c r="Q65" s="884"/>
      <c r="R65" s="884"/>
    </row>
    <row r="66" spans="2:18">
      <c r="B66" s="884"/>
      <c r="C66" s="776" t="s">
        <v>228</v>
      </c>
      <c r="D66" s="762"/>
      <c r="E66" s="762"/>
      <c r="F66" s="762"/>
      <c r="G66" s="768"/>
      <c r="H66" s="884"/>
      <c r="I66" s="884"/>
      <c r="J66" s="884"/>
      <c r="K66" s="884"/>
      <c r="L66" s="884"/>
      <c r="N66" s="1879">
        <f>N64+N65</f>
        <v>0.24731879150931113</v>
      </c>
      <c r="O66" s="884"/>
      <c r="P66" s="884"/>
      <c r="Q66" s="884"/>
      <c r="R66" s="884"/>
    </row>
    <row r="67" spans="2:18">
      <c r="B67" s="884"/>
      <c r="C67" s="770"/>
      <c r="D67" s="762"/>
      <c r="E67" s="762"/>
      <c r="F67" s="762"/>
      <c r="G67" s="884"/>
      <c r="H67" s="884"/>
      <c r="I67" s="884"/>
      <c r="J67" s="884"/>
      <c r="K67" s="884"/>
      <c r="L67" s="884"/>
      <c r="N67" s="771"/>
      <c r="O67" s="884"/>
      <c r="P67" s="884"/>
      <c r="Q67" s="884"/>
      <c r="R67" s="884"/>
    </row>
    <row r="68" spans="2:18">
      <c r="B68" s="884"/>
      <c r="C68" s="780" t="e" vm="67">
        <v>#VALUE!</v>
      </c>
      <c r="D68" s="762" t="s">
        <v>358</v>
      </c>
      <c r="E68" s="762"/>
      <c r="F68" s="762"/>
      <c r="G68" s="1783">
        <v>96.99</v>
      </c>
      <c r="H68" s="884"/>
      <c r="I68" s="884"/>
      <c r="J68" s="884"/>
      <c r="K68" s="884"/>
      <c r="L68" s="779" cm="1">
        <f t="array" ref="L68">_FV(C68,"Price")</f>
        <v>98.92</v>
      </c>
      <c r="N68" s="1880">
        <f>(L68-G68)/G68</f>
        <v>1.9898958655531568E-2</v>
      </c>
      <c r="O68" s="884"/>
      <c r="P68" s="884"/>
      <c r="Q68" s="884"/>
      <c r="R68" s="884"/>
    </row>
    <row r="69" spans="2:18">
      <c r="B69" s="884"/>
      <c r="C69" s="359" t="s">
        <v>1258</v>
      </c>
      <c r="D69" s="762"/>
      <c r="E69" s="762"/>
      <c r="F69" s="762"/>
      <c r="G69" s="1783"/>
      <c r="H69" s="884"/>
      <c r="I69" s="884"/>
      <c r="J69" s="884"/>
      <c r="K69" s="884"/>
      <c r="L69" s="779"/>
      <c r="N69" s="1945">
        <v>2.3300000000000001E-2</v>
      </c>
      <c r="O69" s="884"/>
      <c r="P69" s="884"/>
      <c r="Q69" s="884"/>
      <c r="R69" s="884"/>
    </row>
    <row r="70" spans="2:18">
      <c r="B70" s="884"/>
      <c r="C70" s="359" t="s">
        <v>1259</v>
      </c>
      <c r="D70" s="762"/>
      <c r="E70" s="762"/>
      <c r="F70" s="762"/>
      <c r="G70" s="1783"/>
      <c r="H70" s="884"/>
      <c r="I70" s="884"/>
      <c r="J70" s="884"/>
      <c r="K70" s="884"/>
      <c r="L70" s="779"/>
      <c r="N70" s="1880">
        <f>N68+N69</f>
        <v>4.3198958655531569E-2</v>
      </c>
      <c r="O70" s="884"/>
      <c r="P70" s="884"/>
      <c r="Q70" s="884"/>
      <c r="R70" s="884"/>
    </row>
    <row r="71" spans="2:18">
      <c r="B71" s="884"/>
      <c r="N71" s="1881"/>
      <c r="O71" s="884"/>
      <c r="P71" s="884"/>
      <c r="Q71" s="884"/>
      <c r="R71" s="884"/>
    </row>
    <row r="72" spans="2:18">
      <c r="B72" s="884"/>
      <c r="C72" s="1946" t="s">
        <v>768</v>
      </c>
      <c r="D72" s="762"/>
      <c r="E72" s="762"/>
      <c r="F72" s="762"/>
      <c r="G72" s="762"/>
      <c r="H72" s="762"/>
      <c r="I72" s="762"/>
      <c r="J72" s="762"/>
      <c r="K72" s="762"/>
      <c r="L72" s="762"/>
      <c r="M72" s="773"/>
      <c r="N72" s="1882">
        <f>0.8*N66+0.2*N70</f>
        <v>0.20649482493855523</v>
      </c>
      <c r="O72" s="884"/>
      <c r="P72" s="884"/>
      <c r="Q72" s="884"/>
      <c r="R72" s="884"/>
    </row>
    <row r="73" spans="2:18">
      <c r="B73" s="884"/>
      <c r="C73" s="772"/>
      <c r="D73" s="884"/>
      <c r="E73" s="884"/>
      <c r="F73" s="884"/>
      <c r="G73" s="884"/>
      <c r="H73" s="884"/>
      <c r="I73" s="774"/>
      <c r="J73" s="774"/>
      <c r="K73" s="884"/>
      <c r="L73" s="884"/>
      <c r="M73" s="884" t="s">
        <v>618</v>
      </c>
      <c r="N73" s="1883">
        <f>N61-N72</f>
        <v>6.9436457238113897E-2</v>
      </c>
      <c r="O73" s="884"/>
      <c r="P73" s="884"/>
      <c r="Q73" s="884"/>
      <c r="R73" s="884"/>
    </row>
    <row r="74" spans="2:18">
      <c r="B74" s="884"/>
      <c r="C74" s="772"/>
      <c r="D74" s="884"/>
      <c r="E74" s="884"/>
      <c r="F74" s="884"/>
      <c r="G74" s="884"/>
      <c r="H74" s="884"/>
      <c r="I74" s="884"/>
      <c r="J74" s="884"/>
      <c r="K74" s="884"/>
      <c r="L74" s="884"/>
      <c r="M74" s="884"/>
      <c r="N74" s="884" t="s">
        <v>564</v>
      </c>
      <c r="O74" s="884"/>
      <c r="P74" s="884"/>
      <c r="Q74" s="884"/>
      <c r="R74" s="884"/>
    </row>
    <row r="75" spans="2:18">
      <c r="B75" s="884"/>
      <c r="C75" s="772"/>
      <c r="D75" s="884"/>
      <c r="E75" s="884"/>
      <c r="F75" s="884"/>
      <c r="G75" s="884"/>
      <c r="H75" s="884"/>
      <c r="I75" s="884"/>
      <c r="J75" s="884"/>
      <c r="L75" s="884" t="s">
        <v>671</v>
      </c>
      <c r="M75" s="884"/>
      <c r="N75" s="884"/>
      <c r="O75" s="884"/>
      <c r="P75" s="884"/>
      <c r="Q75" s="884"/>
      <c r="R75" s="884"/>
    </row>
    <row r="76" spans="2:18">
      <c r="B76" s="884"/>
      <c r="D76" s="884"/>
      <c r="E76" s="884"/>
      <c r="F76" s="884"/>
      <c r="G76" s="884"/>
      <c r="H76" s="884"/>
      <c r="I76" s="884"/>
      <c r="J76" s="884"/>
      <c r="K76" s="884"/>
      <c r="L76" s="884"/>
      <c r="M76" s="884"/>
      <c r="N76" s="884"/>
      <c r="O76" s="884"/>
      <c r="P76" s="884"/>
      <c r="Q76" s="884"/>
      <c r="R76" s="884"/>
    </row>
    <row r="77" spans="2:18">
      <c r="B77" s="884"/>
      <c r="D77" s="884"/>
      <c r="E77" s="884"/>
      <c r="F77" s="884"/>
      <c r="G77" s="884"/>
      <c r="H77" s="884"/>
      <c r="I77" s="884"/>
      <c r="J77" s="884"/>
      <c r="K77" s="884"/>
      <c r="L77" s="884"/>
      <c r="M77" s="884"/>
      <c r="N77" s="884"/>
      <c r="O77" s="884"/>
      <c r="P77" s="884"/>
      <c r="Q77" s="884"/>
      <c r="R77" s="884"/>
    </row>
    <row r="78" spans="2:18">
      <c r="B78" s="884"/>
      <c r="D78" s="884"/>
      <c r="E78" s="884"/>
      <c r="F78" s="884"/>
      <c r="G78" s="884"/>
      <c r="H78" s="884"/>
      <c r="I78" s="884"/>
      <c r="J78" s="884"/>
      <c r="K78" s="884"/>
      <c r="L78" s="884"/>
      <c r="M78" s="884"/>
      <c r="N78" s="884"/>
      <c r="O78" s="884"/>
      <c r="P78" s="884"/>
      <c r="Q78" s="884"/>
      <c r="R78" s="884"/>
    </row>
    <row r="79" spans="2:18">
      <c r="B79" s="884"/>
      <c r="D79" s="884"/>
      <c r="E79" s="884"/>
      <c r="F79" s="884"/>
      <c r="G79" s="884"/>
      <c r="H79" s="884"/>
      <c r="I79" s="884"/>
      <c r="J79" s="884"/>
      <c r="K79" s="884"/>
      <c r="L79" s="884"/>
      <c r="M79" s="884"/>
      <c r="N79" s="884"/>
      <c r="O79" s="884"/>
      <c r="P79" s="884"/>
      <c r="Q79" s="884"/>
      <c r="R79" s="884"/>
    </row>
    <row r="80" spans="2:18">
      <c r="B80" s="884"/>
      <c r="D80" s="884"/>
      <c r="E80" s="884"/>
      <c r="F80" s="884"/>
      <c r="G80" s="884"/>
      <c r="H80" s="884"/>
      <c r="I80" s="884"/>
      <c r="J80" s="884"/>
      <c r="K80" s="884"/>
      <c r="L80" s="884"/>
      <c r="M80" s="884"/>
      <c r="N80" s="884"/>
      <c r="O80" s="884"/>
      <c r="P80" s="884"/>
      <c r="Q80" s="884"/>
      <c r="R80" s="884"/>
    </row>
    <row r="81" spans="2:18">
      <c r="B81" s="884"/>
      <c r="D81" s="884"/>
      <c r="E81" s="884"/>
      <c r="F81" s="884"/>
      <c r="G81" s="884"/>
      <c r="H81" s="884"/>
      <c r="I81" s="884"/>
      <c r="J81" s="884"/>
      <c r="K81" s="884"/>
      <c r="L81" s="884"/>
      <c r="M81" s="884"/>
      <c r="N81" s="884"/>
      <c r="O81" s="884"/>
      <c r="P81" s="884"/>
      <c r="Q81" s="884"/>
      <c r="R81" s="884"/>
    </row>
    <row r="82" spans="2:18">
      <c r="B82" s="884"/>
      <c r="D82" s="884"/>
      <c r="E82" s="884"/>
      <c r="F82" s="884"/>
      <c r="G82" s="884"/>
      <c r="H82" s="884"/>
      <c r="I82" s="884"/>
      <c r="J82" s="884"/>
      <c r="K82" s="884"/>
      <c r="L82" s="884"/>
      <c r="M82" s="884"/>
      <c r="N82" s="884"/>
      <c r="O82" s="884"/>
      <c r="P82" s="884"/>
      <c r="Q82" s="884"/>
      <c r="R82" s="884"/>
    </row>
    <row r="83" spans="2:18">
      <c r="B83" s="884"/>
      <c r="D83" s="884"/>
      <c r="E83" s="884"/>
      <c r="F83" s="884"/>
      <c r="G83" s="884"/>
      <c r="H83" s="884"/>
      <c r="I83" s="884"/>
      <c r="J83" s="884"/>
      <c r="K83" s="884"/>
      <c r="L83" s="884"/>
      <c r="M83" s="884"/>
      <c r="N83" s="884"/>
      <c r="O83" s="884"/>
      <c r="P83" s="884"/>
      <c r="Q83" s="884"/>
      <c r="R83" s="884"/>
    </row>
    <row r="84" spans="2:18">
      <c r="B84" s="884"/>
      <c r="D84" s="884"/>
      <c r="E84" s="884"/>
      <c r="F84" s="884"/>
      <c r="G84" s="884"/>
      <c r="H84" s="884"/>
      <c r="I84" s="884"/>
      <c r="J84" s="884"/>
      <c r="K84" s="884"/>
      <c r="L84" s="884"/>
      <c r="M84" s="884"/>
      <c r="N84" s="884"/>
      <c r="O84" s="884"/>
      <c r="P84" s="884"/>
      <c r="Q84" s="884"/>
      <c r="R84" s="884"/>
    </row>
    <row r="85" spans="2:18">
      <c r="B85" s="884"/>
      <c r="D85" s="884"/>
      <c r="E85" s="884"/>
      <c r="F85" s="884"/>
      <c r="G85" s="884"/>
      <c r="H85" s="884"/>
      <c r="I85" s="884"/>
      <c r="J85" s="884"/>
      <c r="K85" s="884"/>
      <c r="L85" s="884"/>
      <c r="M85" s="884"/>
      <c r="N85" s="884"/>
      <c r="O85" s="884"/>
      <c r="P85" s="884"/>
      <c r="Q85" s="884"/>
      <c r="R85" s="884"/>
    </row>
    <row r="86" spans="2:18">
      <c r="B86" s="884"/>
      <c r="D86" s="884"/>
      <c r="E86" s="884"/>
      <c r="F86" s="884"/>
      <c r="G86" s="884"/>
      <c r="H86" s="884"/>
      <c r="I86" s="884"/>
      <c r="J86" s="884"/>
      <c r="K86" s="884"/>
      <c r="L86" s="884"/>
      <c r="M86" s="884"/>
      <c r="N86" s="884"/>
      <c r="O86" s="884"/>
      <c r="P86" s="884"/>
      <c r="Q86" s="884"/>
      <c r="R86" s="884"/>
    </row>
    <row r="87" spans="2:18">
      <c r="B87" s="884"/>
      <c r="C87" s="884"/>
      <c r="D87" s="884"/>
      <c r="E87" s="884"/>
      <c r="F87" s="884"/>
      <c r="G87" s="884"/>
      <c r="H87" s="884"/>
      <c r="I87" s="884"/>
      <c r="J87" s="884"/>
      <c r="K87" s="884"/>
      <c r="L87" s="884"/>
      <c r="M87" s="884"/>
      <c r="N87" s="884"/>
      <c r="O87" s="884"/>
      <c r="P87" s="884"/>
      <c r="Q87" s="884"/>
      <c r="R87" s="884"/>
    </row>
    <row r="88" spans="2:18">
      <c r="B88" s="884"/>
      <c r="C88" s="884"/>
      <c r="D88" s="884"/>
      <c r="E88" s="884"/>
      <c r="F88" s="884"/>
      <c r="G88" s="884"/>
      <c r="H88" s="884"/>
      <c r="I88" s="884"/>
      <c r="J88" s="884"/>
      <c r="K88" s="884"/>
      <c r="L88" s="884"/>
      <c r="M88" s="884"/>
      <c r="N88" s="884"/>
      <c r="O88" s="884"/>
      <c r="P88" s="884"/>
      <c r="Q88" s="884"/>
      <c r="R88" s="884"/>
    </row>
    <row r="89" spans="2:18">
      <c r="B89" s="884"/>
      <c r="C89" s="884"/>
      <c r="D89" s="884"/>
      <c r="E89" s="884"/>
      <c r="F89" s="884"/>
      <c r="G89" s="884"/>
      <c r="H89" s="884"/>
      <c r="I89" s="884"/>
      <c r="J89" s="884"/>
      <c r="K89" s="884"/>
      <c r="L89" s="884"/>
      <c r="M89" s="884"/>
      <c r="N89" s="884"/>
      <c r="O89" s="884"/>
      <c r="P89" s="884"/>
      <c r="Q89" s="884"/>
      <c r="R89" s="884"/>
    </row>
    <row r="90" spans="2:18">
      <c r="B90" s="884"/>
      <c r="C90" s="884"/>
      <c r="D90" s="884"/>
      <c r="E90" s="884"/>
      <c r="F90" s="884"/>
      <c r="G90" s="884"/>
      <c r="H90" s="884"/>
      <c r="I90" s="884"/>
      <c r="J90" s="884"/>
      <c r="K90" s="884"/>
      <c r="L90" s="884"/>
      <c r="M90" s="884"/>
      <c r="N90" s="884"/>
      <c r="O90" s="884"/>
      <c r="P90" s="884"/>
      <c r="Q90" s="884"/>
      <c r="R90" s="884"/>
    </row>
    <row r="91" spans="2:18">
      <c r="B91" s="884"/>
      <c r="C91" s="884"/>
      <c r="D91" s="884"/>
      <c r="E91" s="884"/>
      <c r="F91" s="884"/>
      <c r="G91" s="884"/>
      <c r="H91" s="884"/>
      <c r="I91" s="884"/>
      <c r="J91" s="884"/>
      <c r="K91" s="884"/>
      <c r="L91" s="884"/>
      <c r="M91" s="884"/>
      <c r="N91" s="884"/>
      <c r="O91" s="884"/>
      <c r="P91" s="884"/>
      <c r="Q91" s="884"/>
      <c r="R91" s="884"/>
    </row>
    <row r="92" spans="2:18">
      <c r="B92" s="884"/>
      <c r="C92" s="884"/>
      <c r="D92" s="884"/>
      <c r="E92" s="884"/>
      <c r="F92" s="884"/>
      <c r="G92" s="884"/>
      <c r="H92" s="884"/>
      <c r="I92" s="884"/>
      <c r="J92" s="884"/>
      <c r="K92" s="884"/>
      <c r="L92" s="884"/>
      <c r="M92" s="884"/>
      <c r="N92" s="884"/>
      <c r="O92" s="884"/>
      <c r="P92" s="884"/>
      <c r="Q92" s="884"/>
      <c r="R92" s="884"/>
    </row>
    <row r="93" spans="2:18">
      <c r="B93" s="884"/>
      <c r="C93" s="884"/>
      <c r="D93" s="884"/>
      <c r="E93" s="884"/>
      <c r="F93" s="884"/>
      <c r="G93" s="884"/>
      <c r="H93" s="884"/>
      <c r="I93" s="884"/>
      <c r="J93" s="884"/>
      <c r="K93" s="884"/>
      <c r="L93" s="884"/>
      <c r="M93" s="884"/>
      <c r="N93" s="884"/>
      <c r="O93" s="884"/>
      <c r="P93" s="884"/>
      <c r="Q93" s="884"/>
      <c r="R93" s="884"/>
    </row>
    <row r="94" spans="2:18">
      <c r="B94" s="884"/>
      <c r="C94" s="884"/>
      <c r="D94" s="884"/>
      <c r="E94" s="884"/>
      <c r="F94" s="884"/>
      <c r="G94" s="884"/>
      <c r="H94" s="884"/>
      <c r="I94" s="884"/>
      <c r="J94" s="884"/>
      <c r="K94" s="884"/>
      <c r="L94" s="884"/>
      <c r="M94" s="884"/>
      <c r="N94" s="884"/>
      <c r="O94" s="884"/>
      <c r="P94" s="884"/>
      <c r="Q94" s="884"/>
      <c r="R94" s="884"/>
    </row>
    <row r="95" spans="2:18">
      <c r="B95" s="884"/>
      <c r="C95" s="884"/>
      <c r="D95" s="884"/>
      <c r="E95" s="884"/>
      <c r="F95" s="884"/>
      <c r="G95" s="884"/>
      <c r="H95" s="884"/>
      <c r="I95" s="884"/>
      <c r="J95" s="884"/>
      <c r="K95" s="884"/>
      <c r="L95" s="884"/>
      <c r="M95" s="884"/>
      <c r="N95" s="884"/>
      <c r="O95" s="884"/>
      <c r="P95" s="884"/>
      <c r="Q95" s="884"/>
      <c r="R95" s="884"/>
    </row>
    <row r="96" spans="2:18">
      <c r="B96" s="884"/>
      <c r="C96" s="884"/>
      <c r="D96" s="884"/>
      <c r="E96" s="884"/>
      <c r="F96" s="884"/>
      <c r="G96" s="884"/>
      <c r="H96" s="884"/>
      <c r="I96" s="884"/>
      <c r="J96" s="884"/>
      <c r="K96" s="884"/>
      <c r="L96" s="884"/>
      <c r="M96" s="884"/>
      <c r="N96" s="884"/>
      <c r="O96" s="884"/>
      <c r="P96" s="884"/>
      <c r="Q96" s="884"/>
      <c r="R96" s="884"/>
    </row>
    <row r="97" spans="2:18">
      <c r="B97" s="884"/>
      <c r="C97" s="884"/>
      <c r="D97" s="884"/>
      <c r="E97" s="884"/>
      <c r="F97" s="884"/>
      <c r="G97" s="884"/>
      <c r="H97" s="884"/>
      <c r="I97" s="884"/>
      <c r="J97" s="884"/>
      <c r="K97" s="884"/>
      <c r="L97" s="884"/>
      <c r="M97" s="884"/>
      <c r="N97" s="884"/>
      <c r="O97" s="884"/>
      <c r="P97" s="884"/>
      <c r="Q97" s="884"/>
      <c r="R97" s="884"/>
    </row>
    <row r="98" spans="2:18">
      <c r="B98" s="884"/>
      <c r="C98" s="884"/>
      <c r="D98" s="884"/>
      <c r="E98" s="884"/>
      <c r="F98" s="884"/>
      <c r="G98" s="884"/>
      <c r="H98" s="884"/>
      <c r="I98" s="884"/>
      <c r="J98" s="884"/>
      <c r="K98" s="884"/>
      <c r="L98" s="884"/>
      <c r="M98" s="884"/>
      <c r="N98" s="884"/>
      <c r="O98" s="884"/>
      <c r="P98" s="884"/>
      <c r="Q98" s="884"/>
      <c r="R98" s="884"/>
    </row>
    <row r="99" spans="2:18">
      <c r="B99" s="884"/>
      <c r="C99" s="884"/>
      <c r="D99" s="884"/>
      <c r="E99" s="884"/>
      <c r="F99" s="884"/>
      <c r="G99" s="884"/>
      <c r="H99" s="884"/>
      <c r="I99" s="884"/>
      <c r="J99" s="884"/>
      <c r="K99" s="884"/>
      <c r="L99" s="884"/>
      <c r="M99" s="884"/>
      <c r="N99" s="884"/>
      <c r="O99" s="884"/>
      <c r="P99" s="884"/>
      <c r="Q99" s="884"/>
      <c r="R99" s="884"/>
    </row>
    <row r="100" spans="2:18">
      <c r="B100" s="884"/>
      <c r="C100" s="884"/>
      <c r="D100" s="884"/>
      <c r="E100" s="884"/>
      <c r="F100" s="884"/>
      <c r="G100" s="884"/>
      <c r="H100" s="884"/>
      <c r="I100" s="884"/>
      <c r="J100" s="884"/>
      <c r="K100" s="884"/>
      <c r="L100" s="884"/>
      <c r="M100" s="884"/>
      <c r="N100" s="884"/>
      <c r="O100" s="884"/>
      <c r="P100" s="884"/>
      <c r="Q100" s="884"/>
      <c r="R100" s="884"/>
    </row>
    <row r="101" spans="2:18">
      <c r="B101" s="884"/>
      <c r="C101" s="884"/>
      <c r="D101" s="884"/>
      <c r="E101" s="884"/>
      <c r="F101" s="884"/>
      <c r="G101" s="884"/>
      <c r="H101" s="884"/>
      <c r="I101" s="884"/>
      <c r="J101" s="884"/>
      <c r="K101" s="884"/>
      <c r="L101" s="884"/>
      <c r="M101" s="884"/>
      <c r="N101" s="884"/>
      <c r="O101" s="884"/>
      <c r="P101" s="884"/>
      <c r="Q101" s="884"/>
      <c r="R101" s="884"/>
    </row>
    <row r="102" spans="2:18">
      <c r="B102" s="884"/>
      <c r="C102" s="884"/>
      <c r="D102" s="884"/>
      <c r="E102" s="884"/>
      <c r="F102" s="884"/>
      <c r="G102" s="884"/>
      <c r="H102" s="884"/>
      <c r="I102" s="884"/>
      <c r="J102" s="884"/>
      <c r="K102" s="884"/>
      <c r="L102" s="884"/>
      <c r="M102" s="884"/>
      <c r="N102" s="884"/>
      <c r="O102" s="884"/>
      <c r="P102" s="884"/>
      <c r="Q102" s="884"/>
      <c r="R102" s="884"/>
    </row>
    <row r="103" spans="2:18">
      <c r="B103" s="884"/>
      <c r="C103" s="884"/>
      <c r="D103" s="884"/>
      <c r="E103" s="884"/>
      <c r="F103" s="884"/>
      <c r="G103" s="884"/>
      <c r="H103" s="884"/>
      <c r="I103" s="884"/>
      <c r="J103" s="884"/>
      <c r="K103" s="884"/>
      <c r="L103" s="884"/>
      <c r="M103" s="884"/>
      <c r="N103" s="884"/>
      <c r="O103" s="884"/>
      <c r="P103" s="884"/>
      <c r="Q103" s="884"/>
      <c r="R103" s="884"/>
    </row>
    <row r="104" spans="2:18">
      <c r="B104" s="884"/>
      <c r="C104" s="884"/>
      <c r="D104" s="884"/>
      <c r="E104" s="884"/>
      <c r="F104" s="884"/>
      <c r="G104" s="884"/>
      <c r="H104" s="884"/>
      <c r="I104" s="884"/>
      <c r="J104" s="884"/>
      <c r="K104" s="884"/>
      <c r="L104" s="884"/>
      <c r="M104" s="884"/>
      <c r="N104" s="884"/>
      <c r="O104" s="884"/>
      <c r="P104" s="884"/>
      <c r="Q104" s="884"/>
      <c r="R104" s="884"/>
    </row>
    <row r="105" spans="2:18">
      <c r="B105" s="884"/>
      <c r="C105" s="884"/>
      <c r="D105" s="884"/>
      <c r="E105" s="884"/>
      <c r="F105" s="884"/>
      <c r="G105" s="884"/>
      <c r="H105" s="884"/>
      <c r="I105" s="884"/>
      <c r="J105" s="884"/>
      <c r="K105" s="884"/>
      <c r="L105" s="884"/>
      <c r="M105" s="884"/>
      <c r="N105" s="884"/>
      <c r="O105" s="884"/>
      <c r="P105" s="884"/>
      <c r="Q105" s="884"/>
      <c r="R105" s="884"/>
    </row>
    <row r="106" spans="2:18">
      <c r="B106" s="884"/>
      <c r="C106" s="884"/>
      <c r="D106" s="884"/>
      <c r="E106" s="884"/>
      <c r="F106" s="884"/>
      <c r="G106" s="884"/>
      <c r="H106" s="884"/>
      <c r="I106" s="884"/>
      <c r="J106" s="884"/>
      <c r="K106" s="884"/>
      <c r="L106" s="884"/>
      <c r="M106" s="884"/>
      <c r="N106" s="884"/>
      <c r="O106" s="884"/>
      <c r="P106" s="884"/>
      <c r="Q106" s="884"/>
      <c r="R106" s="884"/>
    </row>
    <row r="107" spans="2:18">
      <c r="B107" s="884"/>
      <c r="C107" s="884"/>
      <c r="D107" s="884"/>
      <c r="E107" s="884"/>
      <c r="F107" s="884"/>
      <c r="G107" s="884"/>
      <c r="H107" s="884"/>
      <c r="I107" s="884"/>
      <c r="J107" s="884"/>
      <c r="K107" s="884"/>
      <c r="L107" s="884"/>
      <c r="M107" s="884"/>
      <c r="N107" s="884"/>
      <c r="O107" s="884"/>
      <c r="P107" s="884"/>
      <c r="Q107" s="884"/>
      <c r="R107" s="884"/>
    </row>
    <row r="108" spans="2:18">
      <c r="B108" s="884"/>
      <c r="C108" s="884"/>
      <c r="D108" s="884"/>
      <c r="E108" s="884"/>
      <c r="F108" s="884"/>
      <c r="G108" s="884"/>
      <c r="H108" s="884"/>
      <c r="I108" s="884"/>
      <c r="J108" s="884"/>
      <c r="K108" s="884"/>
      <c r="L108" s="884"/>
      <c r="M108" s="884"/>
      <c r="N108" s="884"/>
      <c r="O108" s="884"/>
      <c r="P108" s="884"/>
      <c r="Q108" s="884"/>
      <c r="R108" s="884"/>
    </row>
    <row r="109" spans="2:18">
      <c r="B109" s="884"/>
      <c r="C109" s="884"/>
      <c r="D109" s="884"/>
      <c r="E109" s="884"/>
      <c r="F109" s="884"/>
      <c r="G109" s="884"/>
      <c r="H109" s="884"/>
      <c r="I109" s="884"/>
      <c r="J109" s="884"/>
      <c r="K109" s="884"/>
      <c r="L109" s="884"/>
      <c r="M109" s="884"/>
      <c r="N109" s="884"/>
      <c r="O109" s="884"/>
      <c r="P109" s="884"/>
      <c r="Q109" s="884"/>
      <c r="R109" s="884"/>
    </row>
    <row r="110" spans="2:18">
      <c r="B110" s="884"/>
      <c r="C110" s="884"/>
      <c r="D110" s="884"/>
      <c r="E110" s="884"/>
      <c r="F110" s="884"/>
      <c r="G110" s="884"/>
      <c r="H110" s="884"/>
      <c r="I110" s="884"/>
      <c r="J110" s="884"/>
      <c r="K110" s="884"/>
      <c r="L110" s="884"/>
      <c r="M110" s="884"/>
      <c r="N110" s="884"/>
      <c r="O110" s="884"/>
      <c r="P110" s="884"/>
      <c r="Q110" s="884"/>
      <c r="R110" s="884"/>
    </row>
    <row r="111" spans="2:18">
      <c r="B111" s="884"/>
      <c r="C111" s="884"/>
      <c r="D111" s="884"/>
      <c r="E111" s="884"/>
      <c r="F111" s="884"/>
      <c r="G111" s="884"/>
      <c r="H111" s="884"/>
      <c r="I111" s="884"/>
      <c r="J111" s="884"/>
      <c r="K111" s="884"/>
      <c r="L111" s="884"/>
      <c r="M111" s="884"/>
      <c r="N111" s="884"/>
      <c r="O111" s="884"/>
      <c r="P111" s="884"/>
      <c r="Q111" s="884"/>
      <c r="R111" s="884"/>
    </row>
    <row r="112" spans="2:18">
      <c r="B112" s="884"/>
      <c r="C112" s="884"/>
      <c r="D112" s="884"/>
      <c r="E112" s="884"/>
      <c r="F112" s="884"/>
      <c r="G112" s="884"/>
      <c r="H112" s="884"/>
      <c r="I112" s="884"/>
      <c r="J112" s="884"/>
      <c r="K112" s="884"/>
      <c r="L112" s="884"/>
      <c r="M112" s="884"/>
      <c r="N112" s="884"/>
      <c r="O112" s="884"/>
      <c r="P112" s="884"/>
      <c r="Q112" s="884"/>
      <c r="R112" s="884"/>
    </row>
    <row r="113" spans="2:18">
      <c r="B113" s="884"/>
      <c r="C113" s="884"/>
      <c r="D113" s="884"/>
      <c r="E113" s="884"/>
      <c r="F113" s="884"/>
      <c r="G113" s="884"/>
      <c r="H113" s="884"/>
      <c r="I113" s="884"/>
      <c r="J113" s="884"/>
      <c r="K113" s="884"/>
      <c r="L113" s="884"/>
      <c r="M113" s="884"/>
      <c r="N113" s="884"/>
      <c r="O113" s="884"/>
      <c r="P113" s="884"/>
      <c r="Q113" s="884"/>
      <c r="R113" s="884"/>
    </row>
    <row r="114" spans="2:18">
      <c r="B114" s="884"/>
      <c r="C114" s="884"/>
      <c r="D114" s="884"/>
      <c r="E114" s="884"/>
      <c r="F114" s="884"/>
      <c r="G114" s="884"/>
      <c r="H114" s="884"/>
      <c r="I114" s="884"/>
      <c r="J114" s="884"/>
      <c r="K114" s="884"/>
      <c r="L114" s="884"/>
      <c r="M114" s="884"/>
      <c r="N114" s="884"/>
      <c r="O114" s="884"/>
      <c r="P114" s="884"/>
      <c r="Q114" s="884"/>
      <c r="R114" s="884"/>
    </row>
    <row r="115" spans="2:18">
      <c r="B115" s="884"/>
      <c r="C115" s="884"/>
      <c r="D115" s="884"/>
      <c r="E115" s="884"/>
      <c r="F115" s="884"/>
      <c r="G115" s="884"/>
      <c r="H115" s="884"/>
      <c r="I115" s="884"/>
      <c r="J115" s="884"/>
      <c r="K115" s="884"/>
      <c r="L115" s="884"/>
      <c r="M115" s="884"/>
      <c r="N115" s="884"/>
      <c r="O115" s="884"/>
      <c r="P115" s="884"/>
      <c r="Q115" s="884"/>
      <c r="R115" s="884"/>
    </row>
    <row r="116" spans="2:18">
      <c r="B116" s="884"/>
      <c r="C116" s="884"/>
      <c r="D116" s="884"/>
      <c r="E116" s="884"/>
      <c r="F116" s="884"/>
      <c r="G116" s="884"/>
      <c r="H116" s="884"/>
      <c r="I116" s="884"/>
      <c r="J116" s="884"/>
      <c r="K116" s="884"/>
      <c r="L116" s="884"/>
      <c r="M116" s="884"/>
      <c r="N116" s="884"/>
      <c r="O116" s="884"/>
      <c r="P116" s="884"/>
      <c r="Q116" s="884"/>
      <c r="R116" s="884"/>
    </row>
    <row r="117" spans="2:18">
      <c r="B117" s="884"/>
      <c r="C117" s="884"/>
      <c r="D117" s="884"/>
      <c r="E117" s="884"/>
      <c r="F117" s="884"/>
      <c r="G117" s="884"/>
      <c r="H117" s="884"/>
      <c r="I117" s="884"/>
      <c r="J117" s="884"/>
      <c r="K117" s="884"/>
      <c r="L117" s="884"/>
      <c r="M117" s="884"/>
      <c r="N117" s="884"/>
      <c r="O117" s="884"/>
      <c r="P117" s="884"/>
      <c r="Q117" s="884"/>
      <c r="R117" s="884"/>
    </row>
    <row r="118" spans="2:18">
      <c r="B118" s="884"/>
      <c r="C118" s="884"/>
      <c r="D118" s="884"/>
      <c r="E118" s="884"/>
      <c r="F118" s="884"/>
      <c r="G118" s="884"/>
      <c r="H118" s="884"/>
      <c r="I118" s="884"/>
      <c r="J118" s="884"/>
      <c r="K118" s="884"/>
      <c r="L118" s="884"/>
      <c r="M118" s="884"/>
      <c r="N118" s="884"/>
      <c r="O118" s="884"/>
      <c r="P118" s="884"/>
      <c r="Q118" s="884"/>
      <c r="R118" s="884"/>
    </row>
    <row r="119" spans="2:18">
      <c r="B119" s="884"/>
      <c r="C119" s="884"/>
      <c r="D119" s="884"/>
      <c r="E119" s="884"/>
      <c r="F119" s="884"/>
      <c r="G119" s="884"/>
      <c r="H119" s="884"/>
      <c r="I119" s="884"/>
      <c r="J119" s="884"/>
      <c r="K119" s="884"/>
      <c r="L119" s="884"/>
      <c r="M119" s="884"/>
      <c r="N119" s="884"/>
      <c r="O119" s="884"/>
      <c r="P119" s="884"/>
      <c r="Q119" s="884"/>
      <c r="R119" s="884"/>
    </row>
    <row r="120" spans="2:18">
      <c r="B120" s="884"/>
      <c r="C120" s="884"/>
      <c r="D120" s="884"/>
      <c r="E120" s="884"/>
      <c r="F120" s="884"/>
      <c r="G120" s="884"/>
      <c r="H120" s="884"/>
      <c r="I120" s="884"/>
      <c r="J120" s="884"/>
      <c r="K120" s="884"/>
      <c r="L120" s="884"/>
      <c r="M120" s="884"/>
      <c r="N120" s="884"/>
      <c r="O120" s="884"/>
      <c r="P120" s="884"/>
      <c r="Q120" s="884"/>
      <c r="R120" s="884"/>
    </row>
    <row r="121" spans="2:18">
      <c r="B121" s="884"/>
      <c r="C121" s="884"/>
      <c r="D121" s="884"/>
      <c r="E121" s="884"/>
      <c r="F121" s="884"/>
      <c r="G121" s="884"/>
      <c r="H121" s="884"/>
      <c r="I121" s="884"/>
      <c r="J121" s="884"/>
      <c r="K121" s="884"/>
      <c r="L121" s="884"/>
      <c r="M121" s="884"/>
      <c r="N121" s="884"/>
      <c r="O121" s="884"/>
      <c r="P121" s="884"/>
      <c r="Q121" s="884"/>
      <c r="R121" s="884"/>
    </row>
    <row r="122" spans="2:18">
      <c r="B122" s="884"/>
      <c r="C122" s="884"/>
      <c r="D122" s="884"/>
      <c r="E122" s="884"/>
      <c r="F122" s="884"/>
      <c r="G122" s="884"/>
      <c r="H122" s="884"/>
      <c r="I122" s="884"/>
      <c r="J122" s="884"/>
      <c r="K122" s="884"/>
      <c r="L122" s="884"/>
      <c r="M122" s="884"/>
      <c r="N122" s="884"/>
      <c r="O122" s="884"/>
      <c r="P122" s="884"/>
      <c r="Q122" s="884"/>
      <c r="R122" s="884"/>
    </row>
    <row r="123" spans="2:18">
      <c r="B123" s="884"/>
      <c r="C123" s="884"/>
      <c r="D123" s="884"/>
      <c r="E123" s="884"/>
      <c r="F123" s="884"/>
      <c r="G123" s="884"/>
      <c r="H123" s="884"/>
      <c r="I123" s="884"/>
      <c r="J123" s="884"/>
      <c r="K123" s="884"/>
      <c r="L123" s="884"/>
      <c r="M123" s="884"/>
      <c r="N123" s="884"/>
      <c r="O123" s="884"/>
      <c r="P123" s="884"/>
      <c r="Q123" s="884"/>
      <c r="R123" s="884"/>
    </row>
    <row r="124" spans="2:18">
      <c r="B124" s="884"/>
      <c r="C124" s="884"/>
      <c r="D124" s="884"/>
      <c r="E124" s="884"/>
      <c r="F124" s="884"/>
      <c r="G124" s="884"/>
      <c r="H124" s="884"/>
      <c r="I124" s="884"/>
      <c r="J124" s="884"/>
      <c r="K124" s="884"/>
      <c r="L124" s="884"/>
      <c r="M124" s="884"/>
      <c r="N124" s="884"/>
      <c r="O124" s="884"/>
      <c r="P124" s="884"/>
      <c r="Q124" s="884"/>
      <c r="R124" s="884"/>
    </row>
    <row r="125" spans="2:18">
      <c r="B125" s="884"/>
      <c r="C125" s="884"/>
      <c r="D125" s="884"/>
      <c r="E125" s="884"/>
      <c r="F125" s="884"/>
      <c r="G125" s="884"/>
      <c r="H125" s="884"/>
      <c r="I125" s="884"/>
      <c r="J125" s="884"/>
      <c r="K125" s="884"/>
      <c r="L125" s="884"/>
      <c r="M125" s="884"/>
      <c r="N125" s="884"/>
      <c r="O125" s="884"/>
      <c r="P125" s="884"/>
      <c r="Q125" s="884"/>
      <c r="R125" s="884"/>
    </row>
    <row r="126" spans="2:18">
      <c r="B126" s="884"/>
      <c r="C126" s="884"/>
      <c r="D126" s="884"/>
      <c r="E126" s="884"/>
      <c r="F126" s="884"/>
      <c r="G126" s="884"/>
      <c r="H126" s="884"/>
      <c r="I126" s="884"/>
      <c r="J126" s="884"/>
      <c r="K126" s="884"/>
      <c r="L126" s="884"/>
      <c r="M126" s="884"/>
      <c r="N126" s="884"/>
      <c r="O126" s="884"/>
      <c r="P126" s="884"/>
      <c r="Q126" s="884"/>
      <c r="R126" s="884"/>
    </row>
    <row r="127" spans="2:18">
      <c r="B127" s="884"/>
      <c r="C127" s="884"/>
      <c r="D127" s="884"/>
      <c r="E127" s="884"/>
      <c r="F127" s="884"/>
      <c r="G127" s="884"/>
      <c r="H127" s="884"/>
      <c r="I127" s="884"/>
      <c r="J127" s="884"/>
      <c r="K127" s="884"/>
      <c r="L127" s="884"/>
      <c r="M127" s="884"/>
      <c r="N127" s="884"/>
      <c r="O127" s="884"/>
      <c r="P127" s="884"/>
      <c r="Q127" s="884"/>
      <c r="R127" s="884"/>
    </row>
    <row r="128" spans="2:18">
      <c r="B128" s="884"/>
      <c r="C128" s="884"/>
      <c r="D128" s="884"/>
      <c r="E128" s="884"/>
      <c r="F128" s="884"/>
      <c r="G128" s="884"/>
      <c r="H128" s="884"/>
      <c r="I128" s="884"/>
      <c r="J128" s="884"/>
      <c r="K128" s="884"/>
      <c r="L128" s="884"/>
      <c r="M128" s="884"/>
      <c r="N128" s="884"/>
      <c r="O128" s="884"/>
      <c r="P128" s="884"/>
      <c r="Q128" s="884"/>
      <c r="R128" s="884"/>
    </row>
    <row r="129" spans="2:18">
      <c r="B129" s="884"/>
      <c r="C129" s="884"/>
      <c r="D129" s="884"/>
      <c r="E129" s="884"/>
      <c r="F129" s="884"/>
      <c r="G129" s="884"/>
      <c r="H129" s="884"/>
      <c r="I129" s="884"/>
      <c r="J129" s="884"/>
      <c r="K129" s="884"/>
      <c r="L129" s="884"/>
      <c r="M129" s="884"/>
      <c r="N129" s="884"/>
      <c r="O129" s="884"/>
      <c r="P129" s="884"/>
      <c r="Q129" s="884"/>
      <c r="R129" s="884"/>
    </row>
    <row r="130" spans="2:18">
      <c r="B130" s="884"/>
      <c r="C130" s="884"/>
      <c r="D130" s="884"/>
      <c r="E130" s="884"/>
      <c r="F130" s="884"/>
      <c r="G130" s="884"/>
      <c r="H130" s="884"/>
      <c r="I130" s="884"/>
      <c r="J130" s="884"/>
      <c r="K130" s="884"/>
      <c r="L130" s="884"/>
      <c r="M130" s="884"/>
      <c r="N130" s="884"/>
      <c r="O130" s="884"/>
      <c r="P130" s="884"/>
      <c r="Q130" s="884"/>
      <c r="R130" s="884"/>
    </row>
    <row r="131" spans="2:18">
      <c r="B131" s="884"/>
      <c r="C131" s="884"/>
      <c r="D131" s="884"/>
      <c r="E131" s="884"/>
      <c r="F131" s="884"/>
      <c r="G131" s="884"/>
      <c r="H131" s="884"/>
      <c r="I131" s="884"/>
      <c r="J131" s="884"/>
      <c r="K131" s="884"/>
      <c r="L131" s="884"/>
      <c r="M131" s="884"/>
      <c r="N131" s="884"/>
      <c r="O131" s="884"/>
      <c r="P131" s="884"/>
      <c r="Q131" s="884"/>
      <c r="R131" s="884"/>
    </row>
    <row r="132" spans="2:18">
      <c r="B132" s="884"/>
      <c r="C132" s="884"/>
      <c r="D132" s="884"/>
      <c r="E132" s="884"/>
      <c r="F132" s="884"/>
      <c r="G132" s="884"/>
      <c r="H132" s="884"/>
      <c r="I132" s="884"/>
      <c r="J132" s="884"/>
      <c r="K132" s="884"/>
      <c r="L132" s="884"/>
      <c r="M132" s="884"/>
      <c r="N132" s="884"/>
      <c r="O132" s="884"/>
      <c r="P132" s="884"/>
      <c r="Q132" s="884"/>
      <c r="R132" s="884"/>
    </row>
    <row r="133" spans="2:18">
      <c r="B133" s="884"/>
      <c r="C133" s="884"/>
      <c r="D133" s="884"/>
      <c r="E133" s="884"/>
      <c r="F133" s="884"/>
      <c r="G133" s="884"/>
      <c r="H133" s="884"/>
      <c r="I133" s="884"/>
      <c r="J133" s="884"/>
      <c r="K133" s="884"/>
      <c r="L133" s="884"/>
      <c r="M133" s="884"/>
      <c r="N133" s="884"/>
      <c r="O133" s="884"/>
      <c r="P133" s="884"/>
      <c r="Q133" s="884"/>
      <c r="R133" s="884"/>
    </row>
    <row r="134" spans="2:18">
      <c r="B134" s="884"/>
      <c r="C134" s="884"/>
      <c r="D134" s="884"/>
      <c r="E134" s="884"/>
      <c r="F134" s="884"/>
      <c r="G134" s="884"/>
      <c r="H134" s="884"/>
      <c r="I134" s="884"/>
      <c r="J134" s="884"/>
      <c r="K134" s="884"/>
      <c r="L134" s="884"/>
      <c r="M134" s="884"/>
      <c r="N134" s="884"/>
      <c r="O134" s="884"/>
      <c r="P134" s="884"/>
      <c r="Q134" s="884"/>
      <c r="R134" s="884"/>
    </row>
    <row r="135" spans="2:18">
      <c r="B135" s="884"/>
      <c r="C135" s="884"/>
      <c r="D135" s="884"/>
      <c r="E135" s="884"/>
      <c r="F135" s="884"/>
      <c r="G135" s="884"/>
      <c r="H135" s="884"/>
      <c r="I135" s="884"/>
      <c r="J135" s="884"/>
      <c r="K135" s="884"/>
      <c r="L135" s="884"/>
      <c r="M135" s="884"/>
      <c r="N135" s="884"/>
      <c r="O135" s="884"/>
      <c r="P135" s="884"/>
      <c r="Q135" s="884"/>
      <c r="R135" s="884"/>
    </row>
    <row r="136" spans="2:18">
      <c r="B136" s="884"/>
      <c r="C136" s="884"/>
      <c r="D136" s="884"/>
      <c r="E136" s="884"/>
      <c r="F136" s="884"/>
      <c r="G136" s="884"/>
      <c r="H136" s="884"/>
      <c r="I136" s="884"/>
      <c r="J136" s="884"/>
      <c r="K136" s="884"/>
      <c r="L136" s="884"/>
      <c r="M136" s="884"/>
      <c r="N136" s="884"/>
      <c r="O136" s="884"/>
      <c r="P136" s="884"/>
      <c r="Q136" s="884"/>
      <c r="R136" s="884"/>
    </row>
    <row r="137" spans="2:18">
      <c r="B137" s="884"/>
      <c r="C137" s="884"/>
      <c r="D137" s="884"/>
      <c r="E137" s="884"/>
      <c r="F137" s="884"/>
      <c r="G137" s="884"/>
      <c r="H137" s="884"/>
      <c r="I137" s="884"/>
      <c r="J137" s="884"/>
      <c r="K137" s="884"/>
      <c r="L137" s="884"/>
      <c r="M137" s="884"/>
      <c r="N137" s="884"/>
      <c r="O137" s="884"/>
      <c r="P137" s="884"/>
      <c r="Q137" s="884"/>
      <c r="R137" s="884"/>
    </row>
    <row r="138" spans="2:18">
      <c r="B138" s="884"/>
      <c r="C138" s="884"/>
      <c r="D138" s="884"/>
      <c r="E138" s="884"/>
      <c r="F138" s="884"/>
      <c r="G138" s="884"/>
      <c r="H138" s="884"/>
      <c r="I138" s="884"/>
      <c r="J138" s="884"/>
      <c r="K138" s="884"/>
      <c r="L138" s="884"/>
      <c r="M138" s="884"/>
      <c r="N138" s="884"/>
      <c r="O138" s="884"/>
      <c r="P138" s="884"/>
      <c r="Q138" s="884"/>
      <c r="R138" s="884"/>
    </row>
    <row r="139" spans="2:18">
      <c r="B139" s="884"/>
      <c r="C139" s="884"/>
      <c r="D139" s="884"/>
      <c r="E139" s="884"/>
      <c r="F139" s="884"/>
      <c r="G139" s="884"/>
      <c r="H139" s="884"/>
      <c r="I139" s="884"/>
      <c r="J139" s="884"/>
      <c r="K139" s="884"/>
      <c r="L139" s="884"/>
      <c r="M139" s="884"/>
      <c r="N139" s="884"/>
      <c r="O139" s="884"/>
      <c r="P139" s="884"/>
      <c r="Q139" s="884"/>
      <c r="R139" s="884"/>
    </row>
    <row r="140" spans="2:18">
      <c r="B140" s="884"/>
      <c r="C140" s="884"/>
      <c r="D140" s="884"/>
      <c r="E140" s="884"/>
      <c r="F140" s="884"/>
      <c r="G140" s="884"/>
      <c r="H140" s="884"/>
      <c r="I140" s="884"/>
      <c r="J140" s="884"/>
      <c r="K140" s="884"/>
      <c r="L140" s="884"/>
      <c r="M140" s="884"/>
      <c r="N140" s="884"/>
      <c r="O140" s="884"/>
      <c r="P140" s="884"/>
      <c r="Q140" s="884"/>
      <c r="R140" s="884"/>
    </row>
    <row r="141" spans="2:18">
      <c r="B141" s="884"/>
      <c r="C141" s="884"/>
      <c r="D141" s="884"/>
      <c r="E141" s="884"/>
      <c r="F141" s="884"/>
      <c r="G141" s="884"/>
      <c r="H141" s="884"/>
      <c r="I141" s="884"/>
      <c r="J141" s="884"/>
      <c r="K141" s="884"/>
      <c r="L141" s="884"/>
      <c r="M141" s="884"/>
      <c r="N141" s="884"/>
      <c r="O141" s="884"/>
      <c r="P141" s="884"/>
      <c r="Q141" s="884"/>
      <c r="R141" s="884"/>
    </row>
    <row r="142" spans="2:18">
      <c r="B142" s="884"/>
      <c r="C142" s="884"/>
      <c r="D142" s="884"/>
      <c r="E142" s="884"/>
      <c r="F142" s="884"/>
      <c r="G142" s="884"/>
      <c r="H142" s="884"/>
      <c r="I142" s="884"/>
      <c r="J142" s="884"/>
      <c r="K142" s="884"/>
      <c r="L142" s="884"/>
      <c r="M142" s="884"/>
      <c r="N142" s="884"/>
      <c r="O142" s="884"/>
      <c r="P142" s="884"/>
      <c r="Q142" s="884"/>
      <c r="R142" s="884"/>
    </row>
    <row r="143" spans="2:18">
      <c r="B143" s="884"/>
      <c r="C143" s="884"/>
      <c r="D143" s="884"/>
      <c r="E143" s="884"/>
      <c r="F143" s="884"/>
      <c r="G143" s="884"/>
      <c r="H143" s="884"/>
      <c r="I143" s="884"/>
      <c r="J143" s="884"/>
      <c r="K143" s="884"/>
      <c r="L143" s="884"/>
      <c r="M143" s="884"/>
      <c r="N143" s="884"/>
      <c r="O143" s="884"/>
      <c r="P143" s="884"/>
      <c r="Q143" s="884"/>
      <c r="R143" s="884"/>
    </row>
    <row r="144" spans="2:18">
      <c r="B144" s="884"/>
      <c r="C144" s="884"/>
      <c r="D144" s="884"/>
      <c r="E144" s="884"/>
      <c r="F144" s="884"/>
      <c r="G144" s="884"/>
      <c r="H144" s="884"/>
      <c r="I144" s="884"/>
      <c r="J144" s="884"/>
      <c r="K144" s="884"/>
      <c r="L144" s="884"/>
      <c r="M144" s="884"/>
      <c r="N144" s="884"/>
      <c r="O144" s="884"/>
      <c r="P144" s="884"/>
      <c r="Q144" s="884"/>
      <c r="R144" s="884"/>
    </row>
    <row r="145" spans="2:18">
      <c r="B145" s="884"/>
      <c r="C145" s="884"/>
      <c r="D145" s="884"/>
      <c r="E145" s="884"/>
      <c r="F145" s="884"/>
      <c r="G145" s="884"/>
      <c r="H145" s="884"/>
      <c r="I145" s="884"/>
      <c r="J145" s="884"/>
      <c r="K145" s="884"/>
      <c r="L145" s="884"/>
      <c r="M145" s="884"/>
      <c r="N145" s="884"/>
      <c r="O145" s="884"/>
      <c r="P145" s="884"/>
      <c r="Q145" s="884"/>
      <c r="R145" s="884"/>
    </row>
    <row r="146" spans="2:18">
      <c r="B146" s="884"/>
      <c r="C146" s="884"/>
      <c r="D146" s="884"/>
      <c r="E146" s="884"/>
      <c r="F146" s="884"/>
      <c r="G146" s="884"/>
      <c r="H146" s="884"/>
      <c r="I146" s="884"/>
      <c r="J146" s="884"/>
      <c r="K146" s="884"/>
      <c r="L146" s="884"/>
      <c r="M146" s="884"/>
      <c r="N146" s="884"/>
      <c r="O146" s="884"/>
      <c r="P146" s="884"/>
      <c r="Q146" s="884"/>
      <c r="R146" s="884"/>
    </row>
    <row r="147" spans="2:18">
      <c r="B147" s="884"/>
      <c r="C147" s="884"/>
      <c r="D147" s="884"/>
      <c r="E147" s="884"/>
      <c r="F147" s="884"/>
      <c r="G147" s="884"/>
      <c r="H147" s="884"/>
      <c r="I147" s="884"/>
      <c r="J147" s="884"/>
      <c r="K147" s="884"/>
      <c r="L147" s="884"/>
      <c r="M147" s="884"/>
      <c r="N147" s="884"/>
      <c r="O147" s="884"/>
      <c r="P147" s="884"/>
      <c r="Q147" s="884"/>
      <c r="R147" s="884"/>
    </row>
    <row r="148" spans="2:18">
      <c r="B148" s="884"/>
      <c r="C148" s="884"/>
      <c r="D148" s="884"/>
      <c r="E148" s="884"/>
      <c r="F148" s="884"/>
      <c r="G148" s="884"/>
      <c r="H148" s="884"/>
      <c r="I148" s="884"/>
      <c r="J148" s="884"/>
      <c r="K148" s="884"/>
      <c r="L148" s="884"/>
      <c r="M148" s="884"/>
      <c r="N148" s="884"/>
      <c r="O148" s="884"/>
      <c r="P148" s="884"/>
      <c r="Q148" s="884"/>
      <c r="R148" s="884"/>
    </row>
    <row r="149" spans="2:18">
      <c r="B149" s="884"/>
      <c r="C149" s="884"/>
      <c r="D149" s="884"/>
      <c r="E149" s="884"/>
      <c r="F149" s="884"/>
      <c r="G149" s="884"/>
      <c r="H149" s="884"/>
      <c r="I149" s="884"/>
      <c r="J149" s="884"/>
      <c r="K149" s="884"/>
      <c r="L149" s="884"/>
      <c r="M149" s="884"/>
      <c r="N149" s="884"/>
      <c r="O149" s="884"/>
      <c r="P149" s="884"/>
      <c r="Q149" s="884"/>
      <c r="R149" s="884"/>
    </row>
    <row r="150" spans="2:18">
      <c r="B150" s="884"/>
      <c r="C150" s="884"/>
      <c r="D150" s="884"/>
      <c r="E150" s="884"/>
      <c r="F150" s="884"/>
      <c r="G150" s="884"/>
      <c r="H150" s="884"/>
      <c r="I150" s="884"/>
      <c r="J150" s="884"/>
      <c r="K150" s="884"/>
      <c r="L150" s="884"/>
      <c r="M150" s="884"/>
      <c r="N150" s="884"/>
      <c r="O150" s="884"/>
      <c r="P150" s="884"/>
      <c r="Q150" s="884"/>
      <c r="R150" s="884"/>
    </row>
    <row r="151" spans="2:18">
      <c r="B151" s="884"/>
      <c r="C151" s="884"/>
      <c r="D151" s="884"/>
      <c r="E151" s="884"/>
      <c r="F151" s="884"/>
      <c r="G151" s="884"/>
      <c r="H151" s="884"/>
      <c r="I151" s="884"/>
      <c r="J151" s="884"/>
      <c r="K151" s="884"/>
      <c r="L151" s="884"/>
      <c r="M151" s="884"/>
      <c r="N151" s="884"/>
      <c r="O151" s="884"/>
      <c r="P151" s="884"/>
      <c r="Q151" s="884"/>
      <c r="R151" s="884"/>
    </row>
    <row r="152" spans="2:18">
      <c r="B152" s="884"/>
      <c r="C152" s="884"/>
      <c r="D152" s="884"/>
      <c r="E152" s="884"/>
      <c r="F152" s="884"/>
      <c r="G152" s="884"/>
      <c r="H152" s="884"/>
      <c r="I152" s="884"/>
      <c r="J152" s="884"/>
      <c r="K152" s="884"/>
      <c r="L152" s="884"/>
      <c r="M152" s="884"/>
      <c r="N152" s="884"/>
      <c r="O152" s="884"/>
      <c r="P152" s="884"/>
      <c r="Q152" s="884"/>
      <c r="R152" s="884"/>
    </row>
    <row r="153" spans="2:18">
      <c r="B153" s="884"/>
      <c r="C153" s="884"/>
      <c r="D153" s="884"/>
      <c r="E153" s="884"/>
      <c r="F153" s="884"/>
      <c r="G153" s="884"/>
      <c r="H153" s="884"/>
      <c r="I153" s="884"/>
      <c r="J153" s="884"/>
      <c r="K153" s="884"/>
      <c r="L153" s="884"/>
      <c r="M153" s="884"/>
      <c r="N153" s="884"/>
      <c r="O153" s="884"/>
      <c r="P153" s="884"/>
      <c r="Q153" s="884"/>
      <c r="R153" s="884"/>
    </row>
    <row r="154" spans="2:18">
      <c r="B154" s="884"/>
      <c r="C154" s="884"/>
      <c r="D154" s="884"/>
      <c r="E154" s="884"/>
      <c r="F154" s="884"/>
      <c r="G154" s="884"/>
      <c r="H154" s="884"/>
      <c r="I154" s="884"/>
      <c r="J154" s="884"/>
      <c r="K154" s="884"/>
      <c r="L154" s="884"/>
      <c r="M154" s="884"/>
      <c r="N154" s="884"/>
      <c r="O154" s="884"/>
      <c r="P154" s="884"/>
      <c r="Q154" s="884"/>
      <c r="R154" s="884"/>
    </row>
    <row r="155" spans="2:18">
      <c r="B155" s="884"/>
      <c r="C155" s="884"/>
      <c r="D155" s="884"/>
      <c r="E155" s="884"/>
      <c r="F155" s="884"/>
      <c r="G155" s="884"/>
      <c r="H155" s="884"/>
      <c r="I155" s="884"/>
      <c r="J155" s="884"/>
      <c r="K155" s="884"/>
      <c r="L155" s="884"/>
      <c r="M155" s="884"/>
      <c r="N155" s="884"/>
      <c r="O155" s="884"/>
      <c r="P155" s="884"/>
      <c r="Q155" s="884"/>
      <c r="R155" s="884"/>
    </row>
    <row r="156" spans="2:18">
      <c r="B156" s="884"/>
      <c r="C156" s="884"/>
      <c r="D156" s="884"/>
      <c r="E156" s="884"/>
      <c r="F156" s="884"/>
      <c r="G156" s="884"/>
      <c r="H156" s="884"/>
      <c r="I156" s="884"/>
      <c r="J156" s="884"/>
      <c r="K156" s="884"/>
      <c r="L156" s="884"/>
      <c r="M156" s="884"/>
      <c r="N156" s="884"/>
      <c r="O156" s="884"/>
      <c r="P156" s="884"/>
      <c r="Q156" s="884"/>
      <c r="R156" s="884"/>
    </row>
    <row r="157" spans="2:18">
      <c r="B157" s="884"/>
      <c r="C157" s="884"/>
      <c r="D157" s="884"/>
      <c r="E157" s="884"/>
      <c r="F157" s="884"/>
      <c r="G157" s="884"/>
      <c r="H157" s="884"/>
      <c r="I157" s="884"/>
      <c r="J157" s="884"/>
      <c r="K157" s="884"/>
      <c r="L157" s="884"/>
      <c r="M157" s="884"/>
      <c r="N157" s="884"/>
      <c r="O157" s="884"/>
      <c r="P157" s="884"/>
      <c r="Q157" s="884"/>
      <c r="R157" s="884"/>
    </row>
    <row r="158" spans="2:18">
      <c r="B158" s="884"/>
      <c r="C158" s="884"/>
      <c r="D158" s="884"/>
      <c r="E158" s="884"/>
      <c r="F158" s="884"/>
      <c r="G158" s="884"/>
      <c r="H158" s="884"/>
      <c r="I158" s="884"/>
      <c r="J158" s="884"/>
      <c r="K158" s="884"/>
      <c r="L158" s="884"/>
      <c r="M158" s="884"/>
      <c r="N158" s="884"/>
      <c r="O158" s="884"/>
      <c r="P158" s="884"/>
      <c r="Q158" s="884"/>
      <c r="R158" s="884"/>
    </row>
    <row r="159" spans="2:18">
      <c r="B159" s="884"/>
      <c r="C159" s="884"/>
      <c r="D159" s="884"/>
      <c r="E159" s="884"/>
      <c r="F159" s="884"/>
      <c r="G159" s="884"/>
      <c r="H159" s="884"/>
      <c r="I159" s="884"/>
      <c r="J159" s="884"/>
      <c r="K159" s="884"/>
      <c r="L159" s="884"/>
      <c r="M159" s="884"/>
      <c r="N159" s="884"/>
      <c r="O159" s="884"/>
      <c r="P159" s="884"/>
      <c r="Q159" s="884"/>
      <c r="R159" s="884"/>
    </row>
    <row r="160" spans="2:18">
      <c r="B160" s="884"/>
      <c r="C160" s="884"/>
      <c r="D160" s="884"/>
      <c r="E160" s="884"/>
      <c r="F160" s="884"/>
      <c r="G160" s="884"/>
      <c r="H160" s="884"/>
      <c r="I160" s="884"/>
      <c r="J160" s="884"/>
      <c r="K160" s="884"/>
      <c r="L160" s="884"/>
      <c r="M160" s="884"/>
      <c r="N160" s="884"/>
      <c r="O160" s="884"/>
      <c r="P160" s="884"/>
      <c r="Q160" s="884"/>
      <c r="R160" s="884"/>
    </row>
    <row r="161" spans="2:18">
      <c r="B161" s="884"/>
      <c r="C161" s="884"/>
      <c r="D161" s="884"/>
      <c r="E161" s="884"/>
      <c r="F161" s="884"/>
      <c r="G161" s="884"/>
      <c r="H161" s="884"/>
      <c r="I161" s="884"/>
      <c r="J161" s="884"/>
      <c r="K161" s="884"/>
      <c r="L161" s="884"/>
      <c r="M161" s="884"/>
      <c r="N161" s="884"/>
      <c r="O161" s="884"/>
      <c r="P161" s="884"/>
      <c r="Q161" s="884"/>
      <c r="R161" s="884"/>
    </row>
    <row r="162" spans="2:18">
      <c r="B162" s="884"/>
      <c r="C162" s="884"/>
      <c r="D162" s="884"/>
      <c r="E162" s="884"/>
      <c r="F162" s="884"/>
      <c r="G162" s="884"/>
      <c r="H162" s="884"/>
      <c r="I162" s="884"/>
      <c r="J162" s="884"/>
      <c r="K162" s="884"/>
      <c r="L162" s="884"/>
      <c r="M162" s="884"/>
      <c r="N162" s="884"/>
      <c r="O162" s="884"/>
      <c r="P162" s="884"/>
      <c r="Q162" s="884"/>
      <c r="R162" s="884"/>
    </row>
    <row r="163" spans="2:18">
      <c r="B163" s="884"/>
      <c r="C163" s="884"/>
      <c r="D163" s="884"/>
      <c r="E163" s="884"/>
      <c r="F163" s="884"/>
      <c r="G163" s="884"/>
      <c r="H163" s="884"/>
      <c r="I163" s="884"/>
      <c r="J163" s="884"/>
      <c r="K163" s="884"/>
      <c r="L163" s="884"/>
      <c r="M163" s="884"/>
      <c r="N163" s="884"/>
      <c r="O163" s="884"/>
      <c r="P163" s="884"/>
      <c r="Q163" s="884"/>
      <c r="R163" s="884"/>
    </row>
    <row r="164" spans="2:18">
      <c r="B164" s="884"/>
      <c r="C164" s="884"/>
      <c r="D164" s="884"/>
      <c r="E164" s="884"/>
      <c r="F164" s="884"/>
      <c r="G164" s="884"/>
      <c r="H164" s="884"/>
      <c r="I164" s="884"/>
      <c r="J164" s="884"/>
      <c r="K164" s="884"/>
      <c r="L164" s="884"/>
      <c r="M164" s="884"/>
      <c r="N164" s="884"/>
      <c r="O164" s="884"/>
      <c r="P164" s="884"/>
      <c r="Q164" s="884"/>
      <c r="R164" s="884"/>
    </row>
    <row r="165" spans="2:18">
      <c r="B165" s="884"/>
      <c r="C165" s="884"/>
      <c r="D165" s="884"/>
      <c r="E165" s="884"/>
      <c r="F165" s="884"/>
      <c r="G165" s="884"/>
      <c r="H165" s="884"/>
      <c r="I165" s="884"/>
      <c r="J165" s="884"/>
      <c r="K165" s="884"/>
      <c r="L165" s="884"/>
      <c r="M165" s="884"/>
      <c r="N165" s="884"/>
      <c r="O165" s="884"/>
      <c r="P165" s="884"/>
      <c r="Q165" s="884"/>
      <c r="R165" s="884"/>
    </row>
    <row r="166" spans="2:18">
      <c r="B166" s="884"/>
      <c r="C166" s="884"/>
      <c r="D166" s="884"/>
      <c r="E166" s="884"/>
      <c r="F166" s="884"/>
      <c r="G166" s="884"/>
      <c r="H166" s="884"/>
      <c r="I166" s="884"/>
      <c r="J166" s="884"/>
      <c r="K166" s="884"/>
      <c r="L166" s="884"/>
      <c r="M166" s="884"/>
      <c r="N166" s="884"/>
      <c r="O166" s="884"/>
      <c r="P166" s="884"/>
      <c r="Q166" s="884"/>
      <c r="R166" s="884"/>
    </row>
    <row r="167" spans="2:18">
      <c r="B167" s="884"/>
      <c r="C167" s="884"/>
      <c r="D167" s="884"/>
      <c r="E167" s="884"/>
      <c r="F167" s="884"/>
      <c r="G167" s="884"/>
      <c r="H167" s="884"/>
      <c r="I167" s="884"/>
      <c r="J167" s="884"/>
      <c r="K167" s="884"/>
      <c r="L167" s="884"/>
      <c r="M167" s="884"/>
      <c r="N167" s="884"/>
      <c r="O167" s="884"/>
      <c r="P167" s="884"/>
      <c r="Q167" s="884"/>
      <c r="R167" s="884"/>
    </row>
    <row r="168" spans="2:18">
      <c r="B168" s="884"/>
      <c r="C168" s="884"/>
      <c r="D168" s="884"/>
      <c r="E168" s="884"/>
      <c r="F168" s="884"/>
      <c r="G168" s="884"/>
      <c r="H168" s="884"/>
      <c r="I168" s="884"/>
      <c r="J168" s="884"/>
      <c r="K168" s="884"/>
      <c r="L168" s="884"/>
      <c r="M168" s="884"/>
      <c r="N168" s="884"/>
      <c r="O168" s="884"/>
      <c r="P168" s="884"/>
      <c r="Q168" s="884"/>
      <c r="R168" s="884"/>
    </row>
    <row r="169" spans="2:18">
      <c r="B169" s="884"/>
      <c r="C169" s="884"/>
      <c r="D169" s="884"/>
      <c r="E169" s="884"/>
      <c r="F169" s="884"/>
      <c r="G169" s="884"/>
      <c r="H169" s="884"/>
      <c r="I169" s="884"/>
      <c r="J169" s="884"/>
      <c r="K169" s="884"/>
      <c r="L169" s="884"/>
      <c r="M169" s="884"/>
      <c r="N169" s="884"/>
      <c r="O169" s="884"/>
      <c r="P169" s="884"/>
      <c r="Q169" s="884"/>
      <c r="R169" s="884"/>
    </row>
    <row r="170" spans="2:18">
      <c r="B170" s="884"/>
      <c r="C170" s="884"/>
      <c r="D170" s="884"/>
      <c r="E170" s="884"/>
      <c r="F170" s="884"/>
      <c r="G170" s="884"/>
      <c r="H170" s="884"/>
      <c r="I170" s="884"/>
      <c r="J170" s="884"/>
      <c r="K170" s="884"/>
      <c r="L170" s="884"/>
      <c r="M170" s="884"/>
      <c r="N170" s="884"/>
      <c r="O170" s="884"/>
      <c r="P170" s="884"/>
      <c r="Q170" s="884"/>
      <c r="R170" s="884"/>
    </row>
    <row r="171" spans="2:18">
      <c r="B171" s="884"/>
      <c r="C171" s="884"/>
      <c r="D171" s="884"/>
      <c r="E171" s="884"/>
      <c r="F171" s="884"/>
      <c r="G171" s="884"/>
      <c r="H171" s="884"/>
      <c r="I171" s="884"/>
      <c r="J171" s="884"/>
      <c r="K171" s="884"/>
      <c r="L171" s="884"/>
      <c r="M171" s="884"/>
      <c r="N171" s="884"/>
      <c r="O171" s="884"/>
      <c r="P171" s="884"/>
      <c r="Q171" s="884"/>
      <c r="R171" s="884"/>
    </row>
    <row r="172" spans="2:18">
      <c r="B172" s="884"/>
      <c r="C172" s="884"/>
      <c r="D172" s="884"/>
      <c r="E172" s="884"/>
      <c r="F172" s="884"/>
      <c r="G172" s="884"/>
      <c r="H172" s="884"/>
      <c r="I172" s="884"/>
      <c r="J172" s="884"/>
      <c r="K172" s="884"/>
      <c r="L172" s="884"/>
      <c r="M172" s="884"/>
      <c r="N172" s="884"/>
      <c r="O172" s="884"/>
      <c r="P172" s="884"/>
      <c r="Q172" s="884"/>
      <c r="R172" s="884"/>
    </row>
    <row r="173" spans="2:18">
      <c r="B173" s="884"/>
      <c r="C173" s="884"/>
      <c r="D173" s="884"/>
      <c r="E173" s="884"/>
      <c r="F173" s="884"/>
      <c r="G173" s="884"/>
      <c r="H173" s="884"/>
      <c r="I173" s="884"/>
      <c r="J173" s="884"/>
      <c r="K173" s="884"/>
      <c r="L173" s="884"/>
      <c r="M173" s="884"/>
      <c r="N173" s="884"/>
      <c r="O173" s="884"/>
      <c r="P173" s="884"/>
      <c r="Q173" s="884"/>
      <c r="R173" s="884"/>
    </row>
    <row r="174" spans="2:18">
      <c r="B174" s="884"/>
      <c r="C174" s="884"/>
      <c r="D174" s="884"/>
      <c r="E174" s="884"/>
      <c r="F174" s="884"/>
      <c r="G174" s="884"/>
      <c r="H174" s="884"/>
      <c r="I174" s="884"/>
      <c r="J174" s="884"/>
      <c r="K174" s="884"/>
      <c r="L174" s="884"/>
      <c r="M174" s="884"/>
      <c r="N174" s="884"/>
      <c r="O174" s="884"/>
      <c r="P174" s="884"/>
      <c r="Q174" s="884"/>
      <c r="R174" s="884"/>
    </row>
    <row r="175" spans="2:18">
      <c r="B175" s="884"/>
      <c r="C175" s="884"/>
      <c r="D175" s="884"/>
      <c r="E175" s="884"/>
      <c r="F175" s="884"/>
      <c r="G175" s="884"/>
      <c r="H175" s="884"/>
      <c r="I175" s="884"/>
      <c r="J175" s="884"/>
      <c r="K175" s="884"/>
      <c r="L175" s="884"/>
      <c r="M175" s="884"/>
      <c r="N175" s="884"/>
      <c r="O175" s="884"/>
      <c r="P175" s="884"/>
      <c r="Q175" s="884"/>
      <c r="R175" s="884"/>
    </row>
    <row r="176" spans="2:18">
      <c r="B176" s="884"/>
      <c r="C176" s="884"/>
      <c r="D176" s="884"/>
      <c r="E176" s="884"/>
      <c r="F176" s="884"/>
      <c r="G176" s="884"/>
      <c r="H176" s="884"/>
      <c r="I176" s="884"/>
      <c r="J176" s="884"/>
      <c r="K176" s="884"/>
      <c r="L176" s="884"/>
      <c r="M176" s="884"/>
      <c r="N176" s="884"/>
      <c r="O176" s="884"/>
      <c r="P176" s="884"/>
      <c r="Q176" s="884"/>
      <c r="R176" s="884"/>
    </row>
    <row r="177" spans="2:18">
      <c r="B177" s="884"/>
      <c r="C177" s="884"/>
      <c r="D177" s="884"/>
      <c r="E177" s="884"/>
      <c r="F177" s="884"/>
      <c r="G177" s="884"/>
      <c r="H177" s="884"/>
      <c r="I177" s="884"/>
      <c r="J177" s="884"/>
      <c r="K177" s="884"/>
      <c r="L177" s="884"/>
      <c r="M177" s="884"/>
      <c r="N177" s="884"/>
      <c r="O177" s="884"/>
      <c r="P177" s="884"/>
      <c r="Q177" s="884"/>
      <c r="R177" s="884"/>
    </row>
    <row r="178" spans="2:18">
      <c r="B178" s="884"/>
      <c r="C178" s="884"/>
      <c r="D178" s="884"/>
      <c r="E178" s="884"/>
      <c r="F178" s="884"/>
      <c r="G178" s="884"/>
      <c r="H178" s="884"/>
      <c r="I178" s="884"/>
      <c r="J178" s="884"/>
      <c r="K178" s="884"/>
      <c r="L178" s="884"/>
      <c r="M178" s="884"/>
      <c r="N178" s="884"/>
      <c r="O178" s="884"/>
      <c r="P178" s="884"/>
      <c r="Q178" s="884"/>
      <c r="R178" s="884"/>
    </row>
    <row r="179" spans="2:18">
      <c r="B179" s="884"/>
      <c r="C179" s="884"/>
      <c r="D179" s="884"/>
      <c r="E179" s="884"/>
      <c r="F179" s="884"/>
      <c r="G179" s="884"/>
      <c r="H179" s="884"/>
      <c r="I179" s="884"/>
      <c r="J179" s="884"/>
      <c r="K179" s="884"/>
      <c r="L179" s="884"/>
      <c r="M179" s="884"/>
      <c r="N179" s="884"/>
      <c r="O179" s="884"/>
      <c r="P179" s="884"/>
      <c r="Q179" s="884"/>
      <c r="R179" s="884"/>
    </row>
    <row r="180" spans="2:18">
      <c r="B180" s="884"/>
      <c r="C180" s="884"/>
      <c r="D180" s="884"/>
      <c r="E180" s="884"/>
      <c r="F180" s="884"/>
      <c r="G180" s="884"/>
      <c r="H180" s="884"/>
      <c r="I180" s="884"/>
      <c r="J180" s="884"/>
      <c r="K180" s="884"/>
      <c r="L180" s="884"/>
      <c r="M180" s="884"/>
      <c r="N180" s="884"/>
      <c r="O180" s="884"/>
      <c r="P180" s="884"/>
      <c r="Q180" s="884"/>
      <c r="R180" s="884"/>
    </row>
    <row r="181" spans="2:18">
      <c r="B181" s="884"/>
      <c r="C181" s="884"/>
      <c r="D181" s="884"/>
      <c r="E181" s="884"/>
      <c r="F181" s="884"/>
      <c r="G181" s="884"/>
      <c r="H181" s="884"/>
      <c r="I181" s="884"/>
      <c r="J181" s="884"/>
      <c r="K181" s="884"/>
      <c r="L181" s="884"/>
      <c r="M181" s="884"/>
      <c r="N181" s="884"/>
      <c r="O181" s="884"/>
      <c r="P181" s="884"/>
      <c r="Q181" s="884"/>
      <c r="R181" s="884"/>
    </row>
    <row r="182" spans="2:18">
      <c r="B182" s="884"/>
      <c r="C182" s="884"/>
      <c r="D182" s="884"/>
      <c r="E182" s="884"/>
      <c r="F182" s="884"/>
      <c r="G182" s="884"/>
      <c r="H182" s="884"/>
      <c r="I182" s="884"/>
      <c r="J182" s="884"/>
      <c r="K182" s="884"/>
      <c r="L182" s="884"/>
      <c r="M182" s="884"/>
      <c r="N182" s="884"/>
      <c r="O182" s="884"/>
      <c r="P182" s="884"/>
      <c r="Q182" s="884"/>
      <c r="R182" s="884"/>
    </row>
    <row r="183" spans="2:18">
      <c r="B183" s="884"/>
      <c r="C183" s="884"/>
      <c r="D183" s="884"/>
      <c r="E183" s="884"/>
      <c r="F183" s="884"/>
      <c r="G183" s="884"/>
      <c r="H183" s="884"/>
      <c r="I183" s="884"/>
      <c r="J183" s="884"/>
      <c r="K183" s="884"/>
      <c r="L183" s="884"/>
      <c r="M183" s="884"/>
      <c r="N183" s="884"/>
      <c r="O183" s="884"/>
      <c r="P183" s="884"/>
      <c r="Q183" s="884"/>
      <c r="R183" s="884"/>
    </row>
    <row r="184" spans="2:18">
      <c r="B184" s="884"/>
      <c r="C184" s="884"/>
      <c r="D184" s="884"/>
      <c r="E184" s="884"/>
      <c r="F184" s="884"/>
      <c r="G184" s="884"/>
      <c r="H184" s="884"/>
      <c r="I184" s="884"/>
      <c r="J184" s="884"/>
      <c r="K184" s="884"/>
      <c r="L184" s="884"/>
      <c r="M184" s="884"/>
      <c r="N184" s="884"/>
      <c r="O184" s="884"/>
      <c r="P184" s="884"/>
      <c r="Q184" s="884"/>
      <c r="R184" s="884"/>
    </row>
    <row r="185" spans="2:18">
      <c r="B185" s="884"/>
      <c r="C185" s="884"/>
      <c r="D185" s="884"/>
      <c r="E185" s="884"/>
      <c r="F185" s="884"/>
      <c r="G185" s="884"/>
      <c r="H185" s="884"/>
      <c r="I185" s="884"/>
      <c r="J185" s="884"/>
      <c r="K185" s="884"/>
      <c r="L185" s="884"/>
      <c r="M185" s="884"/>
      <c r="N185" s="884"/>
      <c r="O185" s="884"/>
      <c r="P185" s="884"/>
      <c r="Q185" s="884"/>
      <c r="R185" s="884"/>
    </row>
    <row r="186" spans="2:18">
      <c r="B186" s="884"/>
      <c r="C186" s="884"/>
      <c r="D186" s="884"/>
      <c r="E186" s="884"/>
      <c r="F186" s="884"/>
      <c r="G186" s="884"/>
      <c r="H186" s="884"/>
      <c r="I186" s="884"/>
      <c r="J186" s="884"/>
      <c r="K186" s="884"/>
      <c r="L186" s="884"/>
      <c r="M186" s="884"/>
      <c r="N186" s="884"/>
      <c r="O186" s="884"/>
      <c r="P186" s="884"/>
      <c r="Q186" s="884"/>
      <c r="R186" s="884"/>
    </row>
    <row r="187" spans="2:18">
      <c r="B187" s="884"/>
      <c r="C187" s="884"/>
      <c r="D187" s="884"/>
      <c r="E187" s="884"/>
      <c r="F187" s="884"/>
      <c r="G187" s="884"/>
      <c r="H187" s="884"/>
      <c r="I187" s="884"/>
      <c r="J187" s="884"/>
      <c r="K187" s="884"/>
      <c r="L187" s="884"/>
      <c r="M187" s="884"/>
      <c r="N187" s="884"/>
      <c r="O187" s="884"/>
      <c r="P187" s="884"/>
      <c r="Q187" s="884"/>
      <c r="R187" s="884"/>
    </row>
    <row r="188" spans="2:18">
      <c r="B188" s="884"/>
      <c r="C188" s="884"/>
      <c r="D188" s="884"/>
      <c r="E188" s="884"/>
      <c r="F188" s="884"/>
      <c r="G188" s="884"/>
      <c r="H188" s="884"/>
      <c r="I188" s="884"/>
      <c r="J188" s="884"/>
      <c r="K188" s="884"/>
      <c r="L188" s="884"/>
      <c r="M188" s="884"/>
      <c r="N188" s="884"/>
      <c r="O188" s="884"/>
      <c r="P188" s="884"/>
      <c r="Q188" s="884"/>
      <c r="R188" s="884"/>
    </row>
    <row r="189" spans="2:18">
      <c r="B189" s="884"/>
      <c r="C189" s="884"/>
      <c r="D189" s="884"/>
      <c r="E189" s="884"/>
      <c r="F189" s="884"/>
      <c r="G189" s="884"/>
      <c r="H189" s="884"/>
      <c r="I189" s="884"/>
      <c r="J189" s="884"/>
      <c r="K189" s="884"/>
      <c r="L189" s="884"/>
      <c r="M189" s="884"/>
      <c r="N189" s="884"/>
      <c r="O189" s="884"/>
      <c r="P189" s="884"/>
      <c r="Q189" s="884"/>
      <c r="R189" s="884"/>
    </row>
    <row r="190" spans="2:18">
      <c r="B190" s="884"/>
      <c r="C190" s="884"/>
      <c r="D190" s="884"/>
      <c r="E190" s="884"/>
      <c r="F190" s="884"/>
      <c r="G190" s="884"/>
      <c r="H190" s="884"/>
      <c r="I190" s="884"/>
      <c r="J190" s="884"/>
      <c r="K190" s="884"/>
      <c r="L190" s="884"/>
      <c r="M190" s="884"/>
      <c r="N190" s="884"/>
      <c r="O190" s="884"/>
      <c r="P190" s="884"/>
      <c r="Q190" s="884"/>
      <c r="R190" s="884"/>
    </row>
    <row r="191" spans="2:18">
      <c r="B191" s="884"/>
      <c r="C191" s="884"/>
      <c r="D191" s="884"/>
      <c r="E191" s="884"/>
      <c r="F191" s="884"/>
      <c r="G191" s="884"/>
      <c r="H191" s="884"/>
      <c r="I191" s="884"/>
      <c r="J191" s="884"/>
      <c r="K191" s="884"/>
      <c r="L191" s="884"/>
      <c r="M191" s="884"/>
      <c r="N191" s="884"/>
      <c r="O191" s="884"/>
      <c r="P191" s="884"/>
      <c r="Q191" s="884"/>
      <c r="R191" s="884"/>
    </row>
    <row r="192" spans="2:18">
      <c r="B192" s="884"/>
      <c r="C192" s="884"/>
      <c r="D192" s="884"/>
      <c r="E192" s="884"/>
      <c r="F192" s="884"/>
      <c r="G192" s="884"/>
      <c r="H192" s="884"/>
      <c r="I192" s="884"/>
      <c r="J192" s="884"/>
      <c r="K192" s="884"/>
      <c r="L192" s="884"/>
      <c r="M192" s="884"/>
      <c r="N192" s="884"/>
      <c r="O192" s="884"/>
      <c r="P192" s="884"/>
      <c r="Q192" s="884"/>
      <c r="R192" s="884"/>
    </row>
    <row r="193" spans="2:18">
      <c r="B193" s="884"/>
      <c r="C193" s="884"/>
      <c r="D193" s="884"/>
      <c r="E193" s="884"/>
      <c r="F193" s="884"/>
      <c r="G193" s="884"/>
      <c r="H193" s="884"/>
      <c r="I193" s="884"/>
      <c r="J193" s="884"/>
      <c r="K193" s="884"/>
      <c r="L193" s="884"/>
      <c r="M193" s="884"/>
      <c r="N193" s="884"/>
      <c r="O193" s="884"/>
      <c r="P193" s="884"/>
      <c r="Q193" s="884"/>
      <c r="R193" s="884"/>
    </row>
    <row r="194" spans="2:18">
      <c r="B194" s="884"/>
      <c r="C194" s="884"/>
      <c r="D194" s="884"/>
      <c r="E194" s="884"/>
      <c r="F194" s="884"/>
      <c r="G194" s="884"/>
      <c r="H194" s="884"/>
      <c r="I194" s="884"/>
      <c r="J194" s="884"/>
      <c r="K194" s="884"/>
      <c r="L194" s="884"/>
      <c r="M194" s="884"/>
      <c r="N194" s="884"/>
      <c r="O194" s="884"/>
      <c r="P194" s="884"/>
      <c r="Q194" s="884"/>
      <c r="R194" s="884"/>
    </row>
    <row r="195" spans="2:18">
      <c r="B195" s="884"/>
      <c r="C195" s="884"/>
      <c r="D195" s="884"/>
      <c r="E195" s="884"/>
      <c r="F195" s="884"/>
      <c r="G195" s="884"/>
      <c r="H195" s="884"/>
      <c r="I195" s="884"/>
      <c r="J195" s="884"/>
      <c r="K195" s="884"/>
      <c r="L195" s="884"/>
      <c r="M195" s="884"/>
      <c r="N195" s="884"/>
      <c r="O195" s="884"/>
      <c r="P195" s="884"/>
      <c r="Q195" s="884"/>
      <c r="R195" s="884"/>
    </row>
    <row r="196" spans="2:18">
      <c r="B196" s="884"/>
      <c r="C196" s="884"/>
      <c r="D196" s="884"/>
      <c r="E196" s="884"/>
      <c r="F196" s="884"/>
      <c r="G196" s="884"/>
      <c r="H196" s="884"/>
      <c r="I196" s="884"/>
      <c r="J196" s="884"/>
      <c r="K196" s="884"/>
      <c r="L196" s="884"/>
      <c r="M196" s="884"/>
      <c r="N196" s="884"/>
      <c r="O196" s="884"/>
      <c r="P196" s="884"/>
      <c r="Q196" s="884"/>
      <c r="R196" s="884"/>
    </row>
    <row r="197" spans="2:18">
      <c r="B197" s="884"/>
      <c r="C197" s="884"/>
      <c r="D197" s="884"/>
      <c r="E197" s="884"/>
      <c r="F197" s="884"/>
      <c r="G197" s="884"/>
      <c r="H197" s="884"/>
      <c r="I197" s="884"/>
      <c r="J197" s="884"/>
      <c r="K197" s="884"/>
      <c r="L197" s="884"/>
      <c r="M197" s="884"/>
      <c r="N197" s="884"/>
      <c r="O197" s="884"/>
      <c r="P197" s="884"/>
      <c r="Q197" s="884"/>
      <c r="R197" s="884"/>
    </row>
    <row r="198" spans="2:18">
      <c r="B198" s="884"/>
      <c r="C198" s="884"/>
      <c r="D198" s="884"/>
      <c r="E198" s="884"/>
      <c r="F198" s="884"/>
      <c r="G198" s="884"/>
      <c r="H198" s="884"/>
      <c r="I198" s="884"/>
      <c r="J198" s="884"/>
      <c r="K198" s="884"/>
      <c r="L198" s="884"/>
      <c r="M198" s="884"/>
      <c r="N198" s="884"/>
      <c r="O198" s="884"/>
      <c r="P198" s="884"/>
      <c r="Q198" s="884"/>
      <c r="R198" s="884"/>
    </row>
    <row r="199" spans="2:18">
      <c r="B199" s="884"/>
      <c r="C199" s="884"/>
      <c r="D199" s="884"/>
      <c r="E199" s="884"/>
      <c r="F199" s="884"/>
      <c r="G199" s="884"/>
      <c r="H199" s="884"/>
      <c r="I199" s="884"/>
      <c r="J199" s="884"/>
      <c r="K199" s="884"/>
      <c r="L199" s="884"/>
      <c r="M199" s="884"/>
      <c r="N199" s="884"/>
      <c r="O199" s="884"/>
      <c r="P199" s="884"/>
      <c r="Q199" s="884"/>
      <c r="R199" s="884"/>
    </row>
    <row r="200" spans="2:18">
      <c r="B200" s="884"/>
      <c r="C200" s="884"/>
      <c r="D200" s="884"/>
      <c r="E200" s="884"/>
      <c r="F200" s="884"/>
      <c r="G200" s="884"/>
      <c r="H200" s="884"/>
      <c r="I200" s="884"/>
      <c r="J200" s="884"/>
      <c r="K200" s="884"/>
      <c r="L200" s="884"/>
      <c r="M200" s="884"/>
      <c r="N200" s="884"/>
      <c r="O200" s="884"/>
      <c r="P200" s="884"/>
      <c r="Q200" s="884"/>
      <c r="R200" s="884"/>
    </row>
    <row r="201" spans="2:18">
      <c r="B201" s="884"/>
      <c r="C201" s="884"/>
      <c r="D201" s="884"/>
      <c r="E201" s="884"/>
      <c r="F201" s="884"/>
      <c r="G201" s="884"/>
      <c r="H201" s="884"/>
      <c r="I201" s="884"/>
      <c r="J201" s="884"/>
      <c r="K201" s="884"/>
      <c r="L201" s="884"/>
      <c r="M201" s="884"/>
      <c r="N201" s="884"/>
      <c r="O201" s="884"/>
      <c r="P201" s="884"/>
      <c r="Q201" s="884"/>
      <c r="R201" s="884"/>
    </row>
    <row r="202" spans="2:18">
      <c r="B202" s="884"/>
      <c r="C202" s="884"/>
      <c r="D202" s="884"/>
      <c r="E202" s="884"/>
      <c r="F202" s="884"/>
      <c r="G202" s="884"/>
      <c r="H202" s="884"/>
      <c r="I202" s="884"/>
      <c r="J202" s="884"/>
      <c r="K202" s="884"/>
      <c r="L202" s="884"/>
      <c r="M202" s="884"/>
      <c r="N202" s="884"/>
      <c r="O202" s="884"/>
      <c r="P202" s="884"/>
      <c r="Q202" s="884"/>
      <c r="R202" s="884"/>
    </row>
    <row r="203" spans="2:18">
      <c r="B203" s="884"/>
      <c r="C203" s="884"/>
      <c r="D203" s="884"/>
      <c r="E203" s="884"/>
      <c r="F203" s="884"/>
      <c r="G203" s="884"/>
      <c r="H203" s="884"/>
      <c r="I203" s="884"/>
      <c r="J203" s="884"/>
      <c r="K203" s="884"/>
      <c r="L203" s="884"/>
      <c r="M203" s="884"/>
      <c r="N203" s="884"/>
      <c r="O203" s="884"/>
      <c r="P203" s="884"/>
      <c r="Q203" s="884"/>
      <c r="R203" s="884"/>
    </row>
    <row r="204" spans="2:18">
      <c r="B204" s="884"/>
      <c r="C204" s="884"/>
      <c r="D204" s="884"/>
      <c r="E204" s="884"/>
      <c r="F204" s="884"/>
      <c r="G204" s="884"/>
      <c r="H204" s="884"/>
      <c r="I204" s="884"/>
      <c r="J204" s="884"/>
      <c r="K204" s="884"/>
      <c r="L204" s="884"/>
      <c r="M204" s="884"/>
      <c r="N204" s="884"/>
      <c r="O204" s="884"/>
      <c r="P204" s="884"/>
      <c r="Q204" s="884"/>
      <c r="R204" s="884"/>
    </row>
    <row r="205" spans="2:18">
      <c r="B205" s="884"/>
      <c r="C205" s="884"/>
      <c r="D205" s="884"/>
      <c r="E205" s="884"/>
      <c r="F205" s="884"/>
      <c r="G205" s="884"/>
      <c r="H205" s="884"/>
      <c r="I205" s="884"/>
      <c r="J205" s="884"/>
      <c r="K205" s="884"/>
      <c r="L205" s="884"/>
      <c r="M205" s="884"/>
      <c r="N205" s="884"/>
      <c r="O205" s="884"/>
      <c r="P205" s="884"/>
      <c r="Q205" s="884"/>
      <c r="R205" s="884"/>
    </row>
    <row r="206" spans="2:18">
      <c r="B206" s="884"/>
      <c r="C206" s="884"/>
      <c r="D206" s="884"/>
      <c r="E206" s="884"/>
      <c r="F206" s="884"/>
      <c r="G206" s="884"/>
      <c r="H206" s="884"/>
      <c r="I206" s="884"/>
      <c r="J206" s="884"/>
      <c r="K206" s="884"/>
      <c r="L206" s="884"/>
      <c r="M206" s="884"/>
      <c r="N206" s="884"/>
      <c r="O206" s="884"/>
      <c r="P206" s="884"/>
      <c r="Q206" s="884"/>
      <c r="R206" s="884"/>
    </row>
    <row r="207" spans="2:18">
      <c r="B207" s="884"/>
      <c r="C207" s="884"/>
      <c r="D207" s="884"/>
      <c r="E207" s="884"/>
      <c r="F207" s="884"/>
      <c r="G207" s="884"/>
      <c r="H207" s="884"/>
      <c r="I207" s="884"/>
      <c r="J207" s="884"/>
      <c r="K207" s="884"/>
      <c r="L207" s="884"/>
      <c r="M207" s="884"/>
      <c r="N207" s="884"/>
      <c r="O207" s="884"/>
      <c r="P207" s="884"/>
      <c r="Q207" s="884"/>
      <c r="R207" s="884"/>
    </row>
    <row r="208" spans="2:18">
      <c r="B208" s="884"/>
      <c r="C208" s="884"/>
      <c r="D208" s="884"/>
      <c r="E208" s="884"/>
      <c r="F208" s="884"/>
      <c r="G208" s="884"/>
      <c r="H208" s="884"/>
      <c r="I208" s="884"/>
      <c r="J208" s="884"/>
      <c r="K208" s="884"/>
      <c r="L208" s="884"/>
      <c r="M208" s="884"/>
      <c r="N208" s="884"/>
      <c r="O208" s="884"/>
      <c r="P208" s="884"/>
      <c r="Q208" s="884"/>
      <c r="R208" s="884"/>
    </row>
    <row r="209" spans="2:18">
      <c r="B209" s="884"/>
      <c r="C209" s="884"/>
      <c r="D209" s="884"/>
      <c r="E209" s="884"/>
      <c r="F209" s="884"/>
      <c r="G209" s="884"/>
      <c r="H209" s="884"/>
      <c r="I209" s="884"/>
      <c r="J209" s="884"/>
      <c r="K209" s="884"/>
      <c r="L209" s="884"/>
      <c r="M209" s="884"/>
      <c r="N209" s="884"/>
      <c r="O209" s="884"/>
      <c r="P209" s="884"/>
      <c r="Q209" s="884"/>
      <c r="R209" s="884"/>
    </row>
    <row r="210" spans="2:18">
      <c r="B210" s="884"/>
      <c r="C210" s="884"/>
      <c r="D210" s="884"/>
      <c r="E210" s="884"/>
      <c r="F210" s="884"/>
      <c r="G210" s="884"/>
      <c r="H210" s="884"/>
      <c r="I210" s="884"/>
      <c r="J210" s="884"/>
      <c r="K210" s="884"/>
      <c r="L210" s="884"/>
      <c r="M210" s="884"/>
      <c r="N210" s="884"/>
      <c r="O210" s="884"/>
      <c r="P210" s="884"/>
      <c r="Q210" s="884"/>
      <c r="R210" s="884"/>
    </row>
    <row r="211" spans="2:18">
      <c r="B211" s="884"/>
      <c r="C211" s="884"/>
      <c r="D211" s="884"/>
      <c r="E211" s="884"/>
      <c r="F211" s="884"/>
      <c r="G211" s="884"/>
      <c r="H211" s="884"/>
      <c r="I211" s="884"/>
      <c r="J211" s="884"/>
      <c r="K211" s="884"/>
      <c r="L211" s="884"/>
      <c r="M211" s="884"/>
      <c r="N211" s="884"/>
      <c r="O211" s="884"/>
      <c r="P211" s="884"/>
      <c r="Q211" s="884"/>
      <c r="R211" s="884"/>
    </row>
    <row r="212" spans="2:18">
      <c r="B212" s="884"/>
      <c r="C212" s="884"/>
      <c r="D212" s="884"/>
      <c r="E212" s="884"/>
      <c r="F212" s="884"/>
      <c r="G212" s="884"/>
      <c r="H212" s="884"/>
      <c r="I212" s="884"/>
      <c r="J212" s="884"/>
      <c r="K212" s="884"/>
      <c r="L212" s="884"/>
      <c r="M212" s="884"/>
      <c r="N212" s="884"/>
      <c r="O212" s="884"/>
      <c r="P212" s="884"/>
      <c r="Q212" s="884"/>
      <c r="R212" s="884"/>
    </row>
    <row r="213" spans="2:18">
      <c r="B213" s="884"/>
      <c r="C213" s="884"/>
      <c r="D213" s="884"/>
      <c r="E213" s="884"/>
      <c r="F213" s="884"/>
      <c r="G213" s="884"/>
      <c r="H213" s="884"/>
      <c r="I213" s="884"/>
      <c r="J213" s="884"/>
      <c r="K213" s="884"/>
      <c r="L213" s="884"/>
      <c r="M213" s="884"/>
      <c r="N213" s="884"/>
      <c r="O213" s="884"/>
      <c r="P213" s="884"/>
      <c r="Q213" s="884"/>
      <c r="R213" s="884"/>
    </row>
    <row r="214" spans="2:18">
      <c r="B214" s="884"/>
      <c r="C214" s="884"/>
      <c r="D214" s="884"/>
      <c r="E214" s="884"/>
      <c r="F214" s="884"/>
      <c r="G214" s="884"/>
      <c r="H214" s="884"/>
      <c r="I214" s="884"/>
      <c r="J214" s="884"/>
      <c r="K214" s="884"/>
      <c r="L214" s="884"/>
      <c r="M214" s="884"/>
      <c r="N214" s="884"/>
      <c r="O214" s="884"/>
      <c r="P214" s="884"/>
      <c r="Q214" s="884"/>
      <c r="R214" s="884"/>
    </row>
    <row r="215" spans="2:18">
      <c r="B215" s="884"/>
      <c r="C215" s="884"/>
      <c r="D215" s="884"/>
      <c r="E215" s="884"/>
      <c r="F215" s="884"/>
      <c r="G215" s="884"/>
      <c r="H215" s="884"/>
      <c r="I215" s="884"/>
      <c r="J215" s="884"/>
      <c r="K215" s="884"/>
      <c r="L215" s="884"/>
      <c r="M215" s="884"/>
      <c r="N215" s="884"/>
      <c r="O215" s="884"/>
      <c r="P215" s="884"/>
      <c r="Q215" s="884"/>
      <c r="R215" s="884"/>
    </row>
    <row r="216" spans="2:18">
      <c r="B216" s="884"/>
      <c r="C216" s="884"/>
      <c r="D216" s="884"/>
      <c r="E216" s="884"/>
      <c r="F216" s="884"/>
      <c r="G216" s="884"/>
      <c r="H216" s="884"/>
      <c r="I216" s="884"/>
      <c r="J216" s="884"/>
      <c r="K216" s="884"/>
      <c r="L216" s="884"/>
      <c r="M216" s="884"/>
      <c r="N216" s="884"/>
      <c r="O216" s="884"/>
      <c r="P216" s="884"/>
      <c r="Q216" s="884"/>
      <c r="R216" s="884"/>
    </row>
    <row r="217" spans="2:18">
      <c r="B217" s="884"/>
      <c r="C217" s="884"/>
      <c r="D217" s="884"/>
      <c r="E217" s="884"/>
      <c r="F217" s="884"/>
      <c r="G217" s="884"/>
      <c r="H217" s="884"/>
      <c r="I217" s="884"/>
      <c r="J217" s="884"/>
      <c r="K217" s="884"/>
      <c r="L217" s="884"/>
      <c r="M217" s="884"/>
      <c r="N217" s="884"/>
      <c r="O217" s="884"/>
      <c r="P217" s="884"/>
      <c r="Q217" s="884"/>
      <c r="R217" s="884"/>
    </row>
    <row r="218" spans="2:18">
      <c r="B218" s="884"/>
      <c r="C218" s="884"/>
      <c r="D218" s="884"/>
      <c r="E218" s="884"/>
      <c r="F218" s="884"/>
      <c r="G218" s="884"/>
      <c r="H218" s="884"/>
      <c r="I218" s="884"/>
      <c r="J218" s="884"/>
      <c r="K218" s="884"/>
      <c r="L218" s="884"/>
      <c r="M218" s="884"/>
      <c r="N218" s="884"/>
      <c r="O218" s="884"/>
      <c r="P218" s="884"/>
      <c r="Q218" s="884"/>
      <c r="R218" s="884"/>
    </row>
    <row r="219" spans="2:18">
      <c r="B219" s="884"/>
      <c r="C219" s="884"/>
      <c r="D219" s="884"/>
      <c r="E219" s="884"/>
      <c r="F219" s="884"/>
      <c r="G219" s="884"/>
      <c r="H219" s="884"/>
      <c r="I219" s="884"/>
      <c r="J219" s="884"/>
      <c r="K219" s="884"/>
      <c r="L219" s="884"/>
      <c r="M219" s="884"/>
      <c r="N219" s="884"/>
      <c r="O219" s="884"/>
      <c r="P219" s="884"/>
      <c r="Q219" s="884"/>
      <c r="R219" s="884"/>
    </row>
    <row r="220" spans="2:18">
      <c r="B220" s="884"/>
      <c r="C220" s="884"/>
      <c r="D220" s="884"/>
      <c r="E220" s="884"/>
      <c r="F220" s="884"/>
      <c r="G220" s="884"/>
      <c r="H220" s="884"/>
      <c r="I220" s="884"/>
      <c r="J220" s="884"/>
      <c r="K220" s="884"/>
      <c r="L220" s="884"/>
      <c r="M220" s="884"/>
      <c r="N220" s="884"/>
      <c r="O220" s="884"/>
      <c r="P220" s="884"/>
      <c r="Q220" s="884"/>
      <c r="R220" s="884"/>
    </row>
    <row r="221" spans="2:18">
      <c r="B221" s="884"/>
      <c r="C221" s="884"/>
      <c r="D221" s="884"/>
      <c r="E221" s="884"/>
      <c r="F221" s="884"/>
      <c r="G221" s="884"/>
      <c r="H221" s="884"/>
      <c r="I221" s="884"/>
      <c r="J221" s="884"/>
      <c r="K221" s="884"/>
      <c r="L221" s="884"/>
      <c r="M221" s="884"/>
      <c r="N221" s="884"/>
      <c r="O221" s="884"/>
      <c r="P221" s="884"/>
      <c r="Q221" s="884"/>
      <c r="R221" s="884"/>
    </row>
    <row r="222" spans="2:18">
      <c r="B222" s="884"/>
      <c r="C222" s="884"/>
      <c r="D222" s="884"/>
      <c r="E222" s="884"/>
      <c r="F222" s="884"/>
      <c r="G222" s="884"/>
      <c r="H222" s="884"/>
      <c r="I222" s="884"/>
      <c r="J222" s="884"/>
      <c r="K222" s="884"/>
      <c r="L222" s="884"/>
      <c r="M222" s="884"/>
      <c r="N222" s="884"/>
      <c r="O222" s="884"/>
      <c r="P222" s="884"/>
      <c r="Q222" s="884"/>
      <c r="R222" s="884"/>
    </row>
    <row r="223" spans="2:18">
      <c r="B223" s="884"/>
      <c r="C223" s="884"/>
      <c r="D223" s="884"/>
      <c r="E223" s="884"/>
      <c r="F223" s="884"/>
      <c r="G223" s="884"/>
      <c r="H223" s="884"/>
      <c r="I223" s="884"/>
      <c r="J223" s="884"/>
      <c r="K223" s="884"/>
      <c r="L223" s="884"/>
      <c r="M223" s="884"/>
      <c r="N223" s="884"/>
      <c r="O223" s="884"/>
      <c r="P223" s="884"/>
      <c r="Q223" s="884"/>
      <c r="R223" s="884"/>
    </row>
    <row r="224" spans="2:18">
      <c r="B224" s="884"/>
      <c r="C224" s="884"/>
      <c r="D224" s="884"/>
      <c r="E224" s="884"/>
      <c r="F224" s="884"/>
      <c r="G224" s="884"/>
      <c r="H224" s="884"/>
      <c r="I224" s="884"/>
      <c r="J224" s="884"/>
      <c r="K224" s="884"/>
      <c r="L224" s="884"/>
      <c r="M224" s="884"/>
      <c r="N224" s="884"/>
      <c r="O224" s="884"/>
      <c r="P224" s="884"/>
      <c r="Q224" s="884"/>
      <c r="R224" s="884"/>
    </row>
    <row r="225" spans="2:18">
      <c r="B225" s="884"/>
      <c r="C225" s="884"/>
      <c r="D225" s="884"/>
      <c r="E225" s="884"/>
      <c r="F225" s="884"/>
      <c r="G225" s="884"/>
      <c r="H225" s="884"/>
      <c r="I225" s="884"/>
      <c r="J225" s="884"/>
      <c r="K225" s="884"/>
      <c r="L225" s="884"/>
      <c r="M225" s="884"/>
      <c r="N225" s="884"/>
      <c r="O225" s="884"/>
      <c r="P225" s="884"/>
      <c r="Q225" s="884"/>
      <c r="R225" s="884"/>
    </row>
    <row r="226" spans="2:18">
      <c r="B226" s="884"/>
      <c r="C226" s="884"/>
      <c r="D226" s="884"/>
      <c r="E226" s="884"/>
      <c r="F226" s="884"/>
      <c r="G226" s="884"/>
      <c r="H226" s="884"/>
      <c r="I226" s="884"/>
      <c r="J226" s="884"/>
      <c r="K226" s="884"/>
      <c r="L226" s="884"/>
      <c r="M226" s="884"/>
      <c r="N226" s="884"/>
      <c r="O226" s="884"/>
      <c r="P226" s="884"/>
      <c r="Q226" s="884"/>
      <c r="R226" s="884"/>
    </row>
    <row r="227" spans="2:18">
      <c r="B227" s="884"/>
      <c r="C227" s="884"/>
      <c r="D227" s="884"/>
      <c r="E227" s="884"/>
      <c r="F227" s="884"/>
      <c r="G227" s="884"/>
      <c r="H227" s="884"/>
      <c r="I227" s="884"/>
      <c r="J227" s="884"/>
      <c r="K227" s="884"/>
      <c r="L227" s="884"/>
      <c r="M227" s="884"/>
      <c r="N227" s="884"/>
      <c r="O227" s="884"/>
      <c r="P227" s="884"/>
      <c r="Q227" s="884"/>
      <c r="R227" s="884"/>
    </row>
    <row r="228" spans="2:18">
      <c r="B228" s="884"/>
      <c r="C228" s="884"/>
      <c r="D228" s="884"/>
      <c r="E228" s="884"/>
      <c r="F228" s="884"/>
      <c r="G228" s="884"/>
      <c r="H228" s="884"/>
      <c r="I228" s="884"/>
      <c r="J228" s="884"/>
      <c r="K228" s="884"/>
      <c r="L228" s="884"/>
      <c r="M228" s="884"/>
      <c r="N228" s="884"/>
      <c r="O228" s="884"/>
      <c r="P228" s="884"/>
      <c r="Q228" s="884"/>
      <c r="R228" s="884"/>
    </row>
    <row r="229" spans="2:18">
      <c r="B229" s="884"/>
      <c r="C229" s="884"/>
      <c r="D229" s="884"/>
      <c r="E229" s="884"/>
      <c r="F229" s="884"/>
      <c r="G229" s="884"/>
      <c r="H229" s="884"/>
      <c r="I229" s="884"/>
      <c r="J229" s="884"/>
      <c r="K229" s="884"/>
      <c r="L229" s="884"/>
      <c r="M229" s="884"/>
      <c r="N229" s="884"/>
      <c r="O229" s="884"/>
      <c r="P229" s="884"/>
      <c r="Q229" s="884"/>
      <c r="R229" s="884"/>
    </row>
    <row r="230" spans="2:18">
      <c r="B230" s="884"/>
      <c r="C230" s="884"/>
      <c r="D230" s="884"/>
      <c r="E230" s="884"/>
      <c r="F230" s="884"/>
      <c r="G230" s="884"/>
      <c r="H230" s="884"/>
      <c r="I230" s="884"/>
      <c r="J230" s="884"/>
      <c r="K230" s="884"/>
      <c r="L230" s="884"/>
      <c r="M230" s="884"/>
      <c r="N230" s="884"/>
      <c r="O230" s="884"/>
      <c r="P230" s="884"/>
      <c r="Q230" s="884"/>
      <c r="R230" s="884"/>
    </row>
    <row r="231" spans="2:18">
      <c r="B231" s="884"/>
      <c r="C231" s="884"/>
      <c r="D231" s="884"/>
      <c r="E231" s="884"/>
      <c r="F231" s="884"/>
      <c r="G231" s="884"/>
      <c r="H231" s="884"/>
      <c r="I231" s="884"/>
      <c r="J231" s="884"/>
      <c r="K231" s="884"/>
      <c r="L231" s="884"/>
      <c r="M231" s="884"/>
      <c r="N231" s="884"/>
      <c r="O231" s="884"/>
      <c r="P231" s="884"/>
      <c r="Q231" s="884"/>
      <c r="R231" s="884"/>
    </row>
    <row r="232" spans="2:18">
      <c r="B232" s="884"/>
      <c r="C232" s="884"/>
      <c r="D232" s="884"/>
      <c r="E232" s="884"/>
      <c r="F232" s="884"/>
      <c r="G232" s="884"/>
      <c r="H232" s="884"/>
      <c r="I232" s="884"/>
      <c r="J232" s="884"/>
      <c r="K232" s="884"/>
      <c r="L232" s="884"/>
      <c r="M232" s="884"/>
      <c r="N232" s="884"/>
      <c r="O232" s="884"/>
      <c r="P232" s="884"/>
      <c r="Q232" s="884"/>
      <c r="R232" s="884"/>
    </row>
    <row r="233" spans="2:18">
      <c r="B233" s="884"/>
      <c r="C233" s="884"/>
      <c r="D233" s="884"/>
      <c r="E233" s="884"/>
      <c r="F233" s="884"/>
      <c r="G233" s="884"/>
      <c r="H233" s="884"/>
      <c r="I233" s="884"/>
      <c r="J233" s="884"/>
      <c r="K233" s="884"/>
      <c r="L233" s="884"/>
      <c r="M233" s="884"/>
      <c r="N233" s="884"/>
      <c r="O233" s="884"/>
      <c r="P233" s="884"/>
      <c r="Q233" s="884"/>
      <c r="R233" s="884"/>
    </row>
    <row r="234" spans="2:18">
      <c r="B234" s="884"/>
      <c r="C234" s="884"/>
      <c r="D234" s="884"/>
      <c r="E234" s="884"/>
      <c r="F234" s="884"/>
      <c r="G234" s="884"/>
      <c r="H234" s="884"/>
      <c r="I234" s="884"/>
      <c r="J234" s="884"/>
      <c r="K234" s="884"/>
      <c r="L234" s="884"/>
      <c r="M234" s="884"/>
      <c r="N234" s="884"/>
      <c r="O234" s="884"/>
      <c r="P234" s="884"/>
      <c r="Q234" s="884"/>
      <c r="R234" s="884"/>
    </row>
    <row r="235" spans="2:18">
      <c r="B235" s="884"/>
      <c r="C235" s="884"/>
      <c r="D235" s="884"/>
      <c r="E235" s="884"/>
      <c r="F235" s="884"/>
      <c r="G235" s="884"/>
      <c r="H235" s="884"/>
      <c r="I235" s="884"/>
      <c r="J235" s="884"/>
      <c r="K235" s="884"/>
      <c r="L235" s="884"/>
      <c r="M235" s="884"/>
      <c r="N235" s="884"/>
      <c r="O235" s="884"/>
      <c r="P235" s="884"/>
      <c r="Q235" s="884"/>
      <c r="R235" s="884"/>
    </row>
    <row r="236" spans="2:18">
      <c r="B236" s="884"/>
      <c r="C236" s="884"/>
      <c r="D236" s="884"/>
      <c r="E236" s="884"/>
      <c r="F236" s="884"/>
      <c r="G236" s="884"/>
      <c r="H236" s="884"/>
      <c r="I236" s="884"/>
      <c r="J236" s="884"/>
      <c r="K236" s="884"/>
      <c r="L236" s="884"/>
      <c r="M236" s="884"/>
      <c r="N236" s="884"/>
      <c r="O236" s="884"/>
      <c r="P236" s="884"/>
      <c r="Q236" s="884"/>
      <c r="R236" s="884"/>
    </row>
    <row r="237" spans="2:18">
      <c r="B237" s="884"/>
      <c r="C237" s="884"/>
      <c r="D237" s="884"/>
      <c r="E237" s="884"/>
      <c r="F237" s="884"/>
      <c r="G237" s="884"/>
      <c r="H237" s="884"/>
      <c r="I237" s="884"/>
      <c r="J237" s="884"/>
      <c r="K237" s="884"/>
      <c r="L237" s="884"/>
      <c r="M237" s="884"/>
      <c r="N237" s="884"/>
      <c r="O237" s="884"/>
      <c r="P237" s="884"/>
      <c r="Q237" s="884"/>
      <c r="R237" s="884"/>
    </row>
    <row r="238" spans="2:18">
      <c r="B238" s="884"/>
      <c r="C238" s="884"/>
      <c r="D238" s="884"/>
      <c r="E238" s="884"/>
      <c r="F238" s="884"/>
      <c r="G238" s="884"/>
      <c r="H238" s="884"/>
      <c r="I238" s="884"/>
      <c r="J238" s="884"/>
      <c r="K238" s="884"/>
      <c r="L238" s="884"/>
      <c r="M238" s="884"/>
      <c r="N238" s="884"/>
      <c r="O238" s="884"/>
      <c r="P238" s="884"/>
      <c r="Q238" s="884"/>
      <c r="R238" s="884"/>
    </row>
    <row r="239" spans="2:18">
      <c r="B239" s="884"/>
      <c r="C239" s="884"/>
      <c r="D239" s="884"/>
      <c r="E239" s="884"/>
      <c r="F239" s="884"/>
      <c r="G239" s="884"/>
      <c r="H239" s="884"/>
      <c r="I239" s="884"/>
      <c r="J239" s="884"/>
      <c r="K239" s="884"/>
      <c r="L239" s="884"/>
      <c r="M239" s="884"/>
      <c r="N239" s="884"/>
      <c r="O239" s="884"/>
      <c r="P239" s="884"/>
      <c r="Q239" s="884"/>
      <c r="R239" s="884"/>
    </row>
    <row r="240" spans="2:18">
      <c r="B240" s="884"/>
      <c r="C240" s="884"/>
      <c r="D240" s="884"/>
      <c r="E240" s="884"/>
      <c r="F240" s="884"/>
      <c r="G240" s="884"/>
      <c r="H240" s="884"/>
      <c r="I240" s="884"/>
      <c r="J240" s="884"/>
      <c r="K240" s="884"/>
      <c r="L240" s="884"/>
      <c r="M240" s="884"/>
      <c r="N240" s="884"/>
      <c r="O240" s="884"/>
      <c r="P240" s="884"/>
      <c r="Q240" s="884"/>
      <c r="R240" s="884"/>
    </row>
    <row r="241" spans="2:18">
      <c r="B241" s="884"/>
      <c r="C241" s="884"/>
      <c r="D241" s="884"/>
      <c r="E241" s="884"/>
      <c r="F241" s="884"/>
      <c r="G241" s="884"/>
      <c r="H241" s="884"/>
      <c r="I241" s="884"/>
      <c r="J241" s="884"/>
      <c r="K241" s="884"/>
      <c r="L241" s="884"/>
      <c r="M241" s="884"/>
      <c r="N241" s="884"/>
      <c r="O241" s="884"/>
      <c r="P241" s="884"/>
      <c r="Q241" s="884"/>
      <c r="R241" s="884"/>
    </row>
    <row r="242" spans="2:18">
      <c r="B242" s="884"/>
      <c r="C242" s="884"/>
      <c r="D242" s="884"/>
      <c r="E242" s="884"/>
      <c r="F242" s="884"/>
      <c r="G242" s="884"/>
      <c r="H242" s="884"/>
      <c r="I242" s="884"/>
      <c r="J242" s="884"/>
      <c r="K242" s="884"/>
      <c r="L242" s="884"/>
      <c r="M242" s="884"/>
      <c r="N242" s="884"/>
      <c r="O242" s="884"/>
      <c r="P242" s="884"/>
      <c r="Q242" s="884"/>
      <c r="R242" s="884"/>
    </row>
    <row r="243" spans="2:18">
      <c r="B243" s="884"/>
      <c r="C243" s="884"/>
      <c r="D243" s="884"/>
      <c r="E243" s="884"/>
      <c r="F243" s="884"/>
      <c r="G243" s="884"/>
      <c r="H243" s="884"/>
      <c r="I243" s="884"/>
      <c r="J243" s="884"/>
      <c r="K243" s="884"/>
      <c r="L243" s="884"/>
      <c r="M243" s="884"/>
      <c r="N243" s="884"/>
      <c r="O243" s="884"/>
      <c r="P243" s="884"/>
      <c r="Q243" s="884"/>
      <c r="R243" s="884"/>
    </row>
    <row r="244" spans="2:18">
      <c r="B244" s="884"/>
      <c r="C244" s="884"/>
      <c r="D244" s="884"/>
      <c r="E244" s="884"/>
      <c r="F244" s="884"/>
      <c r="G244" s="884"/>
      <c r="H244" s="884"/>
      <c r="I244" s="884"/>
      <c r="J244" s="884"/>
      <c r="K244" s="884"/>
      <c r="L244" s="884"/>
      <c r="M244" s="884"/>
      <c r="N244" s="884"/>
      <c r="O244" s="884"/>
      <c r="P244" s="884"/>
      <c r="Q244" s="884"/>
      <c r="R244" s="884"/>
    </row>
    <row r="245" spans="2:18">
      <c r="B245" s="884"/>
      <c r="C245" s="884"/>
      <c r="D245" s="884"/>
      <c r="E245" s="884"/>
      <c r="F245" s="884"/>
      <c r="G245" s="884"/>
      <c r="H245" s="884"/>
      <c r="I245" s="884"/>
      <c r="J245" s="884"/>
      <c r="K245" s="884"/>
      <c r="L245" s="884"/>
      <c r="M245" s="884"/>
      <c r="N245" s="884"/>
      <c r="O245" s="884"/>
      <c r="P245" s="884"/>
      <c r="Q245" s="884"/>
      <c r="R245" s="884"/>
    </row>
    <row r="246" spans="2:18">
      <c r="B246" s="884"/>
      <c r="C246" s="884"/>
      <c r="D246" s="884"/>
      <c r="E246" s="884"/>
      <c r="F246" s="884"/>
      <c r="G246" s="884"/>
      <c r="H246" s="884"/>
      <c r="I246" s="884"/>
      <c r="J246" s="884"/>
      <c r="K246" s="884"/>
      <c r="L246" s="884"/>
      <c r="M246" s="884"/>
      <c r="N246" s="884"/>
      <c r="O246" s="884"/>
      <c r="P246" s="884"/>
      <c r="Q246" s="884"/>
      <c r="R246" s="884"/>
    </row>
    <row r="247" spans="2:18">
      <c r="B247" s="884"/>
      <c r="C247" s="884"/>
      <c r="D247" s="884"/>
      <c r="E247" s="884"/>
      <c r="F247" s="884"/>
      <c r="G247" s="884"/>
      <c r="H247" s="884"/>
      <c r="I247" s="884"/>
      <c r="J247" s="884"/>
      <c r="K247" s="884"/>
      <c r="L247" s="884"/>
      <c r="M247" s="884"/>
      <c r="N247" s="884"/>
      <c r="O247" s="884"/>
      <c r="P247" s="884"/>
      <c r="Q247" s="884"/>
      <c r="R247" s="884"/>
    </row>
    <row r="248" spans="2:18">
      <c r="B248" s="884"/>
      <c r="C248" s="884"/>
      <c r="D248" s="884"/>
      <c r="E248" s="884"/>
      <c r="F248" s="884"/>
      <c r="G248" s="884"/>
      <c r="H248" s="884"/>
      <c r="I248" s="884"/>
      <c r="J248" s="884"/>
      <c r="K248" s="884"/>
      <c r="L248" s="884"/>
      <c r="M248" s="884"/>
      <c r="N248" s="884"/>
      <c r="O248" s="884"/>
      <c r="P248" s="884"/>
      <c r="Q248" s="884"/>
      <c r="R248" s="884"/>
    </row>
    <row r="249" spans="2:18">
      <c r="B249" s="884"/>
      <c r="C249" s="884"/>
      <c r="D249" s="884"/>
      <c r="E249" s="884"/>
      <c r="F249" s="884"/>
      <c r="G249" s="884"/>
      <c r="H249" s="884"/>
      <c r="I249" s="884"/>
      <c r="J249" s="884"/>
      <c r="K249" s="884"/>
      <c r="L249" s="884"/>
      <c r="M249" s="884"/>
      <c r="N249" s="884"/>
      <c r="O249" s="884"/>
      <c r="P249" s="884"/>
      <c r="Q249" s="884"/>
      <c r="R249" s="884"/>
    </row>
    <row r="250" spans="2:18">
      <c r="B250" s="884"/>
      <c r="C250" s="884"/>
      <c r="D250" s="884"/>
      <c r="E250" s="884"/>
      <c r="F250" s="884"/>
      <c r="G250" s="884"/>
      <c r="H250" s="884"/>
      <c r="I250" s="884"/>
      <c r="J250" s="884"/>
      <c r="K250" s="884"/>
      <c r="L250" s="884"/>
      <c r="M250" s="884"/>
      <c r="N250" s="884"/>
      <c r="O250" s="884"/>
      <c r="P250" s="884"/>
      <c r="Q250" s="884"/>
      <c r="R250" s="884"/>
    </row>
    <row r="251" spans="2:18">
      <c r="B251" s="884"/>
      <c r="C251" s="884"/>
      <c r="D251" s="884"/>
      <c r="E251" s="884"/>
      <c r="F251" s="884"/>
      <c r="G251" s="884"/>
      <c r="H251" s="884"/>
      <c r="I251" s="884"/>
      <c r="J251" s="884"/>
      <c r="K251" s="884"/>
      <c r="L251" s="884"/>
      <c r="M251" s="884"/>
      <c r="N251" s="884"/>
      <c r="O251" s="884"/>
      <c r="P251" s="884"/>
      <c r="Q251" s="884"/>
      <c r="R251" s="884"/>
    </row>
    <row r="252" spans="2:18">
      <c r="B252" s="884"/>
      <c r="C252" s="884"/>
      <c r="D252" s="884"/>
      <c r="E252" s="884"/>
      <c r="F252" s="884"/>
      <c r="G252" s="884"/>
      <c r="H252" s="884"/>
      <c r="I252" s="884"/>
      <c r="J252" s="884"/>
      <c r="K252" s="884"/>
      <c r="L252" s="884"/>
      <c r="M252" s="884"/>
      <c r="N252" s="884"/>
      <c r="O252" s="884"/>
      <c r="P252" s="884"/>
      <c r="Q252" s="884"/>
      <c r="R252" s="884"/>
    </row>
    <row r="253" spans="2:18">
      <c r="B253" s="884"/>
      <c r="C253" s="884"/>
      <c r="D253" s="884"/>
      <c r="E253" s="884"/>
      <c r="F253" s="884"/>
      <c r="G253" s="884"/>
      <c r="H253" s="884"/>
      <c r="I253" s="884"/>
      <c r="J253" s="884"/>
      <c r="K253" s="884"/>
      <c r="L253" s="884"/>
      <c r="M253" s="884"/>
      <c r="N253" s="884"/>
      <c r="O253" s="884"/>
      <c r="P253" s="884"/>
      <c r="Q253" s="884"/>
      <c r="R253" s="884"/>
    </row>
    <row r="254" spans="2:18">
      <c r="B254" s="884"/>
      <c r="C254" s="884"/>
      <c r="D254" s="884"/>
      <c r="E254" s="884"/>
      <c r="F254" s="884"/>
      <c r="G254" s="884"/>
      <c r="H254" s="884"/>
      <c r="I254" s="884"/>
      <c r="J254" s="884"/>
      <c r="K254" s="884"/>
      <c r="L254" s="884"/>
      <c r="M254" s="884"/>
      <c r="N254" s="884"/>
      <c r="O254" s="884"/>
      <c r="P254" s="884"/>
      <c r="Q254" s="884"/>
      <c r="R254" s="884"/>
    </row>
    <row r="255" spans="2:18">
      <c r="B255" s="884"/>
      <c r="C255" s="884"/>
      <c r="D255" s="884"/>
      <c r="E255" s="884"/>
      <c r="F255" s="884"/>
      <c r="G255" s="884"/>
      <c r="H255" s="884"/>
      <c r="I255" s="884"/>
      <c r="J255" s="884"/>
      <c r="K255" s="884"/>
      <c r="L255" s="884"/>
      <c r="M255" s="884"/>
      <c r="N255" s="884"/>
      <c r="O255" s="884"/>
      <c r="P255" s="884"/>
      <c r="Q255" s="884"/>
      <c r="R255" s="884"/>
    </row>
    <row r="256" spans="2:18">
      <c r="B256" s="884"/>
      <c r="C256" s="884"/>
      <c r="D256" s="884"/>
      <c r="E256" s="884"/>
      <c r="F256" s="884"/>
      <c r="G256" s="884"/>
      <c r="H256" s="884"/>
      <c r="I256" s="884"/>
      <c r="J256" s="884"/>
      <c r="K256" s="884"/>
      <c r="L256" s="884"/>
      <c r="M256" s="884"/>
      <c r="N256" s="884"/>
      <c r="O256" s="884"/>
      <c r="P256" s="884"/>
      <c r="Q256" s="884"/>
      <c r="R256" s="884"/>
    </row>
    <row r="257" spans="2:18">
      <c r="B257" s="884"/>
      <c r="C257" s="884"/>
      <c r="D257" s="884"/>
      <c r="E257" s="884"/>
      <c r="F257" s="884"/>
      <c r="G257" s="884"/>
      <c r="H257" s="884"/>
      <c r="I257" s="884"/>
      <c r="J257" s="884"/>
      <c r="K257" s="884"/>
      <c r="L257" s="884"/>
      <c r="M257" s="884"/>
      <c r="N257" s="884"/>
      <c r="O257" s="884"/>
      <c r="P257" s="884"/>
      <c r="Q257" s="884"/>
      <c r="R257" s="884"/>
    </row>
    <row r="258" spans="2:18">
      <c r="B258" s="884"/>
      <c r="C258" s="884"/>
      <c r="D258" s="884"/>
      <c r="E258" s="884"/>
      <c r="F258" s="884"/>
      <c r="G258" s="884"/>
      <c r="H258" s="884"/>
      <c r="I258" s="884"/>
      <c r="J258" s="884"/>
      <c r="K258" s="884"/>
      <c r="L258" s="884"/>
      <c r="M258" s="884"/>
      <c r="N258" s="884"/>
      <c r="O258" s="884"/>
      <c r="P258" s="884"/>
      <c r="Q258" s="884"/>
      <c r="R258" s="884"/>
    </row>
    <row r="259" spans="2:18">
      <c r="B259" s="884"/>
      <c r="C259" s="884"/>
      <c r="D259" s="884"/>
      <c r="E259" s="884"/>
      <c r="F259" s="884"/>
      <c r="G259" s="884"/>
      <c r="H259" s="884"/>
      <c r="I259" s="884"/>
      <c r="J259" s="884"/>
      <c r="K259" s="884"/>
      <c r="L259" s="884"/>
      <c r="M259" s="884"/>
      <c r="N259" s="884"/>
      <c r="O259" s="884"/>
      <c r="P259" s="884"/>
      <c r="Q259" s="884"/>
      <c r="R259" s="884"/>
    </row>
    <row r="260" spans="2:18">
      <c r="B260" s="884"/>
      <c r="C260" s="884"/>
      <c r="D260" s="884"/>
      <c r="E260" s="884"/>
      <c r="F260" s="884"/>
      <c r="G260" s="884"/>
      <c r="H260" s="884"/>
      <c r="I260" s="884"/>
      <c r="J260" s="884"/>
      <c r="K260" s="884"/>
      <c r="L260" s="884"/>
      <c r="M260" s="884"/>
      <c r="N260" s="884"/>
      <c r="O260" s="884"/>
      <c r="P260" s="884"/>
      <c r="Q260" s="884"/>
      <c r="R260" s="884"/>
    </row>
    <row r="261" spans="2:18">
      <c r="B261" s="884"/>
      <c r="C261" s="884"/>
      <c r="D261" s="884"/>
      <c r="E261" s="884"/>
      <c r="F261" s="884"/>
      <c r="G261" s="884"/>
      <c r="H261" s="884"/>
      <c r="I261" s="884"/>
      <c r="J261" s="884"/>
      <c r="K261" s="884"/>
      <c r="L261" s="884"/>
      <c r="M261" s="884"/>
      <c r="N261" s="884"/>
      <c r="O261" s="884"/>
      <c r="P261" s="884"/>
      <c r="Q261" s="884"/>
      <c r="R261" s="884"/>
    </row>
    <row r="262" spans="2:18">
      <c r="B262" s="884"/>
      <c r="C262" s="884"/>
      <c r="D262" s="884"/>
      <c r="E262" s="884"/>
      <c r="F262" s="884"/>
      <c r="G262" s="884"/>
      <c r="H262" s="884"/>
      <c r="I262" s="884"/>
      <c r="J262" s="884"/>
      <c r="K262" s="884"/>
      <c r="L262" s="884"/>
      <c r="M262" s="884"/>
      <c r="N262" s="884"/>
      <c r="O262" s="884"/>
      <c r="P262" s="884"/>
      <c r="Q262" s="884"/>
      <c r="R262" s="884"/>
    </row>
    <row r="263" spans="2:18">
      <c r="B263" s="884"/>
      <c r="C263" s="884"/>
      <c r="D263" s="884"/>
      <c r="E263" s="884"/>
      <c r="F263" s="884"/>
      <c r="G263" s="884"/>
      <c r="H263" s="884"/>
      <c r="I263" s="884"/>
      <c r="J263" s="884"/>
      <c r="K263" s="884"/>
      <c r="L263" s="884"/>
      <c r="M263" s="884"/>
      <c r="N263" s="884"/>
      <c r="O263" s="884"/>
      <c r="P263" s="884"/>
      <c r="Q263" s="884"/>
      <c r="R263" s="884"/>
    </row>
    <row r="264" spans="2:18">
      <c r="B264" s="884"/>
      <c r="C264" s="884"/>
      <c r="D264" s="884"/>
      <c r="E264" s="884"/>
      <c r="F264" s="884"/>
      <c r="G264" s="884"/>
      <c r="H264" s="884"/>
      <c r="I264" s="884"/>
      <c r="J264" s="884"/>
      <c r="K264" s="884"/>
      <c r="L264" s="884"/>
      <c r="M264" s="884"/>
      <c r="N264" s="884"/>
      <c r="O264" s="884"/>
      <c r="P264" s="884"/>
      <c r="Q264" s="884"/>
      <c r="R264" s="884"/>
    </row>
    <row r="265" spans="2:18">
      <c r="B265" s="884"/>
      <c r="C265" s="884"/>
      <c r="D265" s="884"/>
      <c r="E265" s="884"/>
      <c r="F265" s="884"/>
      <c r="G265" s="884"/>
      <c r="H265" s="884"/>
      <c r="I265" s="884"/>
      <c r="J265" s="884"/>
      <c r="K265" s="884"/>
      <c r="L265" s="884"/>
      <c r="M265" s="884"/>
      <c r="N265" s="884"/>
      <c r="O265" s="884"/>
      <c r="P265" s="884"/>
      <c r="Q265" s="884"/>
      <c r="R265" s="884"/>
    </row>
    <row r="266" spans="2:18">
      <c r="B266" s="884"/>
      <c r="C266" s="884"/>
      <c r="D266" s="884"/>
      <c r="E266" s="884"/>
      <c r="F266" s="884"/>
      <c r="G266" s="884"/>
      <c r="H266" s="884"/>
      <c r="I266" s="884"/>
      <c r="J266" s="884"/>
      <c r="K266" s="884"/>
      <c r="L266" s="884"/>
      <c r="M266" s="884"/>
      <c r="N266" s="884"/>
      <c r="O266" s="884"/>
      <c r="P266" s="884"/>
      <c r="Q266" s="884"/>
      <c r="R266" s="884"/>
    </row>
    <row r="267" spans="2:18">
      <c r="B267" s="884"/>
      <c r="C267" s="884"/>
      <c r="D267" s="884"/>
      <c r="E267" s="884"/>
      <c r="F267" s="884"/>
      <c r="G267" s="884"/>
      <c r="H267" s="884"/>
      <c r="I267" s="884"/>
      <c r="J267" s="884"/>
      <c r="K267" s="884"/>
      <c r="L267" s="884"/>
      <c r="M267" s="884"/>
      <c r="N267" s="884"/>
      <c r="O267" s="884"/>
      <c r="P267" s="884"/>
      <c r="Q267" s="884"/>
      <c r="R267" s="884"/>
    </row>
    <row r="268" spans="2:18">
      <c r="B268" s="884"/>
      <c r="C268" s="884"/>
      <c r="D268" s="884"/>
      <c r="E268" s="884"/>
      <c r="F268" s="884"/>
      <c r="G268" s="884"/>
      <c r="H268" s="884"/>
      <c r="I268" s="884"/>
      <c r="J268" s="884"/>
      <c r="K268" s="884"/>
      <c r="L268" s="884"/>
      <c r="M268" s="884"/>
      <c r="N268" s="884"/>
      <c r="O268" s="884"/>
      <c r="P268" s="884"/>
      <c r="Q268" s="884"/>
      <c r="R268" s="884"/>
    </row>
    <row r="269" spans="2:18">
      <c r="B269" s="884"/>
      <c r="C269" s="884"/>
      <c r="D269" s="884"/>
      <c r="E269" s="884"/>
      <c r="F269" s="884"/>
      <c r="G269" s="884"/>
      <c r="H269" s="884"/>
      <c r="I269" s="884"/>
      <c r="J269" s="884"/>
      <c r="K269" s="884"/>
      <c r="L269" s="884"/>
      <c r="M269" s="884"/>
      <c r="N269" s="884"/>
      <c r="O269" s="884"/>
      <c r="P269" s="884"/>
      <c r="Q269" s="884"/>
      <c r="R269" s="884"/>
    </row>
    <row r="270" spans="2:18">
      <c r="B270" s="884"/>
      <c r="C270" s="884"/>
      <c r="D270" s="884"/>
      <c r="E270" s="884"/>
      <c r="F270" s="884"/>
      <c r="G270" s="884"/>
      <c r="H270" s="884"/>
      <c r="I270" s="884"/>
      <c r="J270" s="884"/>
      <c r="K270" s="884"/>
      <c r="L270" s="884"/>
      <c r="M270" s="884"/>
      <c r="N270" s="884"/>
      <c r="O270" s="884"/>
      <c r="P270" s="884"/>
      <c r="Q270" s="884"/>
      <c r="R270" s="884"/>
    </row>
    <row r="271" spans="2:18">
      <c r="B271" s="884"/>
      <c r="C271" s="884"/>
      <c r="D271" s="884"/>
      <c r="E271" s="884"/>
      <c r="F271" s="884"/>
      <c r="G271" s="884"/>
      <c r="H271" s="884"/>
      <c r="I271" s="884"/>
      <c r="J271" s="884"/>
      <c r="K271" s="884"/>
      <c r="L271" s="884"/>
      <c r="M271" s="884"/>
      <c r="N271" s="884"/>
      <c r="O271" s="884"/>
      <c r="P271" s="884"/>
      <c r="Q271" s="884"/>
      <c r="R271" s="884"/>
    </row>
    <row r="272" spans="2:18">
      <c r="B272" s="884"/>
      <c r="C272" s="884"/>
      <c r="D272" s="884"/>
      <c r="E272" s="884"/>
      <c r="F272" s="884"/>
      <c r="G272" s="884"/>
      <c r="H272" s="884"/>
      <c r="I272" s="884"/>
      <c r="J272" s="884"/>
      <c r="K272" s="884"/>
      <c r="L272" s="884"/>
      <c r="M272" s="884"/>
      <c r="N272" s="884"/>
      <c r="O272" s="884"/>
      <c r="P272" s="884"/>
      <c r="Q272" s="884"/>
      <c r="R272" s="884"/>
    </row>
    <row r="273" spans="2:18">
      <c r="B273" s="884"/>
      <c r="C273" s="884"/>
      <c r="D273" s="884"/>
      <c r="E273" s="884"/>
      <c r="F273" s="884"/>
      <c r="G273" s="884"/>
      <c r="H273" s="884"/>
      <c r="I273" s="884"/>
      <c r="J273" s="884"/>
      <c r="K273" s="884"/>
      <c r="L273" s="884"/>
      <c r="M273" s="884"/>
      <c r="N273" s="884"/>
      <c r="O273" s="884"/>
      <c r="P273" s="884"/>
      <c r="Q273" s="884"/>
      <c r="R273" s="884"/>
    </row>
    <row r="274" spans="2:18">
      <c r="B274" s="884"/>
      <c r="C274" s="884"/>
      <c r="D274" s="884"/>
      <c r="E274" s="884"/>
      <c r="F274" s="884"/>
      <c r="G274" s="884"/>
      <c r="H274" s="884"/>
      <c r="I274" s="884"/>
      <c r="J274" s="884"/>
      <c r="K274" s="884"/>
      <c r="L274" s="884"/>
      <c r="M274" s="884"/>
      <c r="N274" s="884"/>
      <c r="O274" s="884"/>
      <c r="P274" s="884"/>
      <c r="Q274" s="884"/>
      <c r="R274" s="884"/>
    </row>
    <row r="275" spans="2:18">
      <c r="B275" s="884"/>
      <c r="C275" s="884"/>
      <c r="D275" s="884"/>
      <c r="E275" s="884"/>
      <c r="F275" s="884"/>
      <c r="G275" s="884"/>
      <c r="H275" s="884"/>
      <c r="I275" s="884"/>
      <c r="J275" s="884"/>
      <c r="K275" s="884"/>
      <c r="L275" s="884"/>
      <c r="M275" s="884"/>
      <c r="N275" s="884"/>
      <c r="O275" s="884"/>
      <c r="P275" s="884"/>
      <c r="Q275" s="884"/>
      <c r="R275" s="884"/>
    </row>
    <row r="276" spans="2:18">
      <c r="B276" s="884"/>
      <c r="C276" s="884"/>
      <c r="D276" s="884"/>
      <c r="E276" s="884"/>
      <c r="F276" s="884"/>
      <c r="G276" s="884"/>
      <c r="H276" s="884"/>
      <c r="I276" s="884"/>
      <c r="J276" s="884"/>
      <c r="K276" s="884"/>
      <c r="L276" s="884"/>
      <c r="M276" s="884"/>
      <c r="N276" s="884"/>
      <c r="O276" s="884"/>
      <c r="P276" s="884"/>
      <c r="Q276" s="884"/>
      <c r="R276" s="884"/>
    </row>
    <row r="277" spans="2:18">
      <c r="B277" s="884"/>
      <c r="C277" s="884"/>
      <c r="D277" s="884"/>
      <c r="E277" s="884"/>
      <c r="F277" s="884"/>
      <c r="G277" s="884"/>
      <c r="H277" s="884"/>
      <c r="I277" s="884"/>
      <c r="J277" s="884"/>
      <c r="K277" s="884"/>
      <c r="L277" s="884"/>
      <c r="M277" s="884"/>
      <c r="N277" s="884"/>
      <c r="O277" s="884"/>
      <c r="P277" s="884"/>
      <c r="Q277" s="884"/>
      <c r="R277" s="884"/>
    </row>
    <row r="278" spans="2:18">
      <c r="B278" s="884"/>
      <c r="C278" s="884"/>
      <c r="D278" s="884"/>
      <c r="E278" s="884"/>
      <c r="F278" s="884"/>
      <c r="G278" s="884"/>
      <c r="H278" s="884"/>
      <c r="I278" s="884"/>
      <c r="J278" s="884"/>
      <c r="K278" s="884"/>
      <c r="L278" s="884"/>
      <c r="M278" s="884"/>
      <c r="N278" s="884"/>
      <c r="O278" s="884"/>
      <c r="P278" s="884"/>
      <c r="Q278" s="884"/>
      <c r="R278" s="884"/>
    </row>
    <row r="279" spans="2:18">
      <c r="B279" s="884"/>
      <c r="C279" s="884"/>
      <c r="D279" s="884"/>
      <c r="E279" s="884"/>
      <c r="F279" s="884"/>
      <c r="G279" s="884"/>
      <c r="H279" s="884"/>
      <c r="I279" s="884"/>
      <c r="J279" s="884"/>
      <c r="K279" s="884"/>
      <c r="L279" s="884"/>
      <c r="M279" s="884"/>
      <c r="N279" s="884"/>
      <c r="O279" s="884"/>
      <c r="P279" s="884"/>
      <c r="Q279" s="884"/>
      <c r="R279" s="884"/>
    </row>
    <row r="280" spans="2:18">
      <c r="B280" s="884"/>
      <c r="C280" s="884"/>
      <c r="D280" s="884"/>
      <c r="E280" s="884"/>
      <c r="F280" s="884"/>
      <c r="G280" s="884"/>
      <c r="H280" s="884"/>
      <c r="I280" s="884"/>
      <c r="J280" s="884"/>
      <c r="K280" s="884"/>
      <c r="L280" s="884"/>
      <c r="M280" s="884"/>
      <c r="N280" s="884"/>
      <c r="O280" s="884"/>
      <c r="P280" s="884"/>
      <c r="Q280" s="884"/>
      <c r="R280" s="884"/>
    </row>
    <row r="281" spans="2:18">
      <c r="B281" s="884"/>
      <c r="C281" s="884"/>
      <c r="D281" s="884"/>
      <c r="E281" s="884"/>
      <c r="F281" s="884"/>
      <c r="G281" s="884"/>
      <c r="H281" s="884"/>
      <c r="I281" s="884"/>
      <c r="J281" s="884"/>
      <c r="K281" s="884"/>
      <c r="L281" s="884"/>
      <c r="M281" s="884"/>
      <c r="N281" s="884"/>
      <c r="O281" s="884"/>
      <c r="P281" s="884"/>
      <c r="Q281" s="884"/>
      <c r="R281" s="884"/>
    </row>
    <row r="282" spans="2:18">
      <c r="B282" s="884"/>
      <c r="C282" s="884"/>
      <c r="D282" s="884"/>
      <c r="E282" s="884"/>
      <c r="F282" s="884"/>
      <c r="G282" s="884"/>
      <c r="H282" s="884"/>
      <c r="I282" s="884"/>
      <c r="J282" s="884"/>
      <c r="K282" s="884"/>
      <c r="L282" s="884"/>
      <c r="M282" s="884"/>
      <c r="N282" s="884"/>
      <c r="O282" s="884"/>
      <c r="P282" s="884"/>
      <c r="Q282" s="884"/>
      <c r="R282" s="884"/>
    </row>
    <row r="283" spans="2:18">
      <c r="B283" s="884"/>
      <c r="C283" s="884"/>
      <c r="D283" s="884"/>
      <c r="E283" s="884"/>
      <c r="F283" s="884"/>
      <c r="G283" s="884"/>
      <c r="H283" s="884"/>
      <c r="I283" s="884"/>
      <c r="J283" s="884"/>
      <c r="K283" s="884"/>
      <c r="L283" s="884"/>
      <c r="M283" s="884"/>
      <c r="N283" s="884"/>
      <c r="O283" s="884"/>
      <c r="P283" s="884"/>
      <c r="Q283" s="884"/>
      <c r="R283" s="884"/>
    </row>
    <row r="284" spans="2:18">
      <c r="B284" s="884"/>
      <c r="C284" s="884"/>
      <c r="D284" s="884"/>
      <c r="E284" s="884"/>
      <c r="F284" s="884"/>
      <c r="G284" s="884"/>
      <c r="H284" s="884"/>
      <c r="I284" s="884"/>
      <c r="J284" s="884"/>
      <c r="K284" s="884"/>
      <c r="L284" s="884"/>
      <c r="M284" s="884"/>
      <c r="N284" s="884"/>
      <c r="O284" s="884"/>
      <c r="P284" s="884"/>
      <c r="Q284" s="884"/>
      <c r="R284" s="884"/>
    </row>
    <row r="285" spans="2:18">
      <c r="B285" s="884"/>
      <c r="C285" s="884"/>
      <c r="D285" s="884"/>
      <c r="E285" s="884"/>
      <c r="F285" s="884"/>
      <c r="G285" s="884"/>
      <c r="H285" s="884"/>
      <c r="I285" s="884"/>
      <c r="J285" s="884"/>
      <c r="K285" s="884"/>
      <c r="L285" s="884"/>
      <c r="M285" s="884"/>
      <c r="N285" s="884"/>
      <c r="O285" s="884"/>
      <c r="P285" s="884"/>
      <c r="Q285" s="884"/>
      <c r="R285" s="884"/>
    </row>
    <row r="286" spans="2:18">
      <c r="B286" s="884"/>
      <c r="C286" s="884"/>
      <c r="D286" s="884"/>
      <c r="E286" s="884"/>
      <c r="F286" s="884"/>
      <c r="G286" s="884"/>
      <c r="H286" s="884"/>
      <c r="I286" s="884"/>
      <c r="J286" s="884"/>
      <c r="K286" s="884"/>
      <c r="L286" s="884"/>
      <c r="M286" s="884"/>
      <c r="N286" s="884"/>
      <c r="O286" s="884"/>
      <c r="P286" s="884"/>
      <c r="Q286" s="884"/>
      <c r="R286" s="884"/>
    </row>
    <row r="287" spans="2:18">
      <c r="B287" s="884"/>
      <c r="C287" s="884"/>
      <c r="D287" s="884"/>
      <c r="E287" s="884"/>
      <c r="F287" s="884"/>
      <c r="G287" s="884"/>
      <c r="H287" s="884"/>
      <c r="I287" s="884"/>
      <c r="J287" s="884"/>
      <c r="K287" s="884"/>
      <c r="L287" s="884"/>
      <c r="M287" s="884"/>
      <c r="N287" s="884"/>
      <c r="O287" s="884"/>
      <c r="P287" s="884"/>
      <c r="Q287" s="884"/>
      <c r="R287" s="884"/>
    </row>
    <row r="288" spans="2:18">
      <c r="B288" s="884"/>
      <c r="C288" s="884"/>
      <c r="D288" s="884"/>
      <c r="E288" s="884"/>
      <c r="F288" s="884"/>
      <c r="G288" s="884"/>
      <c r="H288" s="884"/>
      <c r="I288" s="884"/>
      <c r="J288" s="884"/>
      <c r="K288" s="884"/>
      <c r="L288" s="884"/>
      <c r="M288" s="884"/>
      <c r="N288" s="884"/>
      <c r="O288" s="884"/>
      <c r="P288" s="884"/>
      <c r="Q288" s="884"/>
      <c r="R288" s="884"/>
    </row>
    <row r="289" spans="2:18">
      <c r="B289" s="884"/>
      <c r="C289" s="884"/>
      <c r="D289" s="884"/>
      <c r="E289" s="884"/>
      <c r="F289" s="884"/>
      <c r="G289" s="884"/>
      <c r="H289" s="884"/>
      <c r="I289" s="884"/>
      <c r="J289" s="884"/>
      <c r="K289" s="884"/>
      <c r="L289" s="884"/>
      <c r="M289" s="884"/>
      <c r="N289" s="884"/>
      <c r="O289" s="884"/>
      <c r="P289" s="884"/>
      <c r="Q289" s="884"/>
      <c r="R289" s="884"/>
    </row>
    <row r="290" spans="2:18">
      <c r="B290" s="884"/>
      <c r="C290" s="884"/>
      <c r="D290" s="884"/>
      <c r="E290" s="884"/>
      <c r="F290" s="884"/>
      <c r="G290" s="884"/>
      <c r="H290" s="884"/>
      <c r="I290" s="884"/>
      <c r="J290" s="884"/>
      <c r="K290" s="884"/>
      <c r="L290" s="884"/>
      <c r="M290" s="884"/>
      <c r="N290" s="884"/>
      <c r="O290" s="884"/>
      <c r="P290" s="884"/>
      <c r="Q290" s="884"/>
      <c r="R290" s="884"/>
    </row>
    <row r="291" spans="2:18">
      <c r="B291" s="884"/>
      <c r="C291" s="884"/>
      <c r="D291" s="884"/>
      <c r="E291" s="884"/>
      <c r="F291" s="884"/>
      <c r="G291" s="884"/>
      <c r="H291" s="884"/>
      <c r="I291" s="884"/>
      <c r="J291" s="884"/>
      <c r="K291" s="884"/>
      <c r="L291" s="884"/>
      <c r="M291" s="884"/>
      <c r="N291" s="884"/>
      <c r="O291" s="884"/>
      <c r="P291" s="884"/>
      <c r="Q291" s="884"/>
      <c r="R291" s="884"/>
    </row>
    <row r="292" spans="2:18">
      <c r="B292" s="884"/>
      <c r="C292" s="884"/>
      <c r="D292" s="884"/>
      <c r="E292" s="884"/>
      <c r="F292" s="884"/>
      <c r="G292" s="884"/>
      <c r="H292" s="884"/>
      <c r="I292" s="884"/>
      <c r="J292" s="884"/>
      <c r="K292" s="884"/>
      <c r="L292" s="884"/>
      <c r="M292" s="884"/>
      <c r="N292" s="884"/>
      <c r="O292" s="884"/>
      <c r="P292" s="884"/>
      <c r="Q292" s="884"/>
      <c r="R292" s="884"/>
    </row>
    <row r="293" spans="2:18">
      <c r="B293" s="884"/>
      <c r="C293" s="884"/>
      <c r="D293" s="884"/>
      <c r="E293" s="884"/>
      <c r="F293" s="884"/>
      <c r="G293" s="884"/>
      <c r="H293" s="884"/>
      <c r="I293" s="884"/>
      <c r="J293" s="884"/>
      <c r="K293" s="884"/>
      <c r="L293" s="884"/>
      <c r="M293" s="884"/>
      <c r="N293" s="884"/>
      <c r="O293" s="884"/>
      <c r="P293" s="884"/>
      <c r="Q293" s="884"/>
      <c r="R293" s="884"/>
    </row>
    <row r="294" spans="2:18">
      <c r="B294" s="884"/>
      <c r="C294" s="884"/>
      <c r="D294" s="884"/>
      <c r="E294" s="884"/>
      <c r="F294" s="884"/>
      <c r="G294" s="884"/>
      <c r="H294" s="884"/>
      <c r="I294" s="884"/>
      <c r="J294" s="884"/>
      <c r="K294" s="884"/>
      <c r="L294" s="884"/>
      <c r="M294" s="884"/>
      <c r="N294" s="884"/>
      <c r="O294" s="884"/>
      <c r="P294" s="884"/>
      <c r="Q294" s="884"/>
      <c r="R294" s="884"/>
    </row>
    <row r="295" spans="2:18">
      <c r="B295" s="884"/>
      <c r="C295" s="884"/>
      <c r="D295" s="884"/>
      <c r="E295" s="884"/>
      <c r="F295" s="884"/>
      <c r="G295" s="884"/>
      <c r="H295" s="884"/>
      <c r="I295" s="884"/>
      <c r="J295" s="884"/>
      <c r="K295" s="884"/>
      <c r="L295" s="884"/>
      <c r="M295" s="884"/>
      <c r="N295" s="884"/>
      <c r="O295" s="884"/>
      <c r="P295" s="884"/>
      <c r="Q295" s="884"/>
      <c r="R295" s="884"/>
    </row>
    <row r="296" spans="2:18">
      <c r="B296" s="884"/>
      <c r="C296" s="884"/>
      <c r="D296" s="884"/>
      <c r="E296" s="884"/>
      <c r="F296" s="884"/>
      <c r="G296" s="884"/>
      <c r="H296" s="884"/>
      <c r="I296" s="884"/>
      <c r="J296" s="884"/>
      <c r="K296" s="884"/>
      <c r="L296" s="884"/>
      <c r="M296" s="884"/>
      <c r="N296" s="884"/>
      <c r="O296" s="884"/>
      <c r="P296" s="884"/>
      <c r="Q296" s="884"/>
      <c r="R296" s="884"/>
    </row>
    <row r="297" spans="2:18">
      <c r="B297" s="884"/>
      <c r="C297" s="884"/>
      <c r="D297" s="884"/>
      <c r="E297" s="884"/>
      <c r="F297" s="884"/>
      <c r="G297" s="884"/>
      <c r="H297" s="884"/>
      <c r="I297" s="884"/>
      <c r="J297" s="884"/>
      <c r="K297" s="884"/>
      <c r="L297" s="884"/>
      <c r="M297" s="884"/>
      <c r="N297" s="884"/>
      <c r="O297" s="884"/>
      <c r="P297" s="884"/>
      <c r="Q297" s="884"/>
      <c r="R297" s="884"/>
    </row>
    <row r="298" spans="2:18">
      <c r="B298" s="884"/>
      <c r="C298" s="884"/>
      <c r="D298" s="884"/>
      <c r="E298" s="884"/>
      <c r="F298" s="884"/>
      <c r="G298" s="884"/>
      <c r="H298" s="884"/>
      <c r="I298" s="884"/>
      <c r="J298" s="884"/>
      <c r="K298" s="884"/>
      <c r="L298" s="884"/>
      <c r="M298" s="884"/>
      <c r="N298" s="884"/>
      <c r="O298" s="884"/>
      <c r="P298" s="884"/>
      <c r="Q298" s="884"/>
      <c r="R298" s="884"/>
    </row>
    <row r="299" spans="2:18">
      <c r="B299" s="884"/>
      <c r="C299" s="884"/>
      <c r="D299" s="884"/>
      <c r="E299" s="884"/>
      <c r="F299" s="884"/>
      <c r="G299" s="884"/>
      <c r="H299" s="884"/>
      <c r="I299" s="884"/>
      <c r="J299" s="884"/>
      <c r="K299" s="884"/>
      <c r="L299" s="884"/>
      <c r="M299" s="884"/>
      <c r="N299" s="884"/>
      <c r="O299" s="884"/>
      <c r="P299" s="884"/>
      <c r="Q299" s="884"/>
      <c r="R299" s="884"/>
    </row>
    <row r="300" spans="2:18">
      <c r="B300" s="884"/>
      <c r="C300" s="884"/>
      <c r="D300" s="884"/>
      <c r="E300" s="884"/>
      <c r="F300" s="884"/>
      <c r="G300" s="884"/>
      <c r="H300" s="884"/>
      <c r="I300" s="884"/>
      <c r="J300" s="884"/>
      <c r="K300" s="884"/>
      <c r="L300" s="884"/>
      <c r="M300" s="884"/>
      <c r="N300" s="884"/>
      <c r="O300" s="884"/>
      <c r="P300" s="884"/>
      <c r="Q300" s="884"/>
      <c r="R300" s="884"/>
    </row>
    <row r="301" spans="2:18">
      <c r="B301" s="884"/>
      <c r="C301" s="884"/>
      <c r="D301" s="884"/>
      <c r="E301" s="884"/>
      <c r="F301" s="884"/>
      <c r="G301" s="884"/>
      <c r="H301" s="884"/>
      <c r="I301" s="884"/>
      <c r="J301" s="884"/>
      <c r="K301" s="884"/>
      <c r="L301" s="884"/>
      <c r="M301" s="884"/>
      <c r="N301" s="884"/>
      <c r="O301" s="884"/>
      <c r="P301" s="884"/>
      <c r="Q301" s="884"/>
      <c r="R301" s="884"/>
    </row>
    <row r="302" spans="2:18">
      <c r="B302" s="884"/>
      <c r="C302" s="884"/>
      <c r="D302" s="884"/>
      <c r="E302" s="884"/>
      <c r="F302" s="884"/>
      <c r="G302" s="884"/>
      <c r="H302" s="884"/>
      <c r="I302" s="884"/>
      <c r="J302" s="884"/>
      <c r="K302" s="884"/>
      <c r="L302" s="884"/>
      <c r="M302" s="884"/>
      <c r="N302" s="884"/>
      <c r="O302" s="884"/>
      <c r="P302" s="884"/>
      <c r="Q302" s="884"/>
      <c r="R302" s="884"/>
    </row>
    <row r="303" spans="2:18">
      <c r="B303" s="884"/>
      <c r="C303" s="884"/>
      <c r="D303" s="884"/>
      <c r="E303" s="884"/>
      <c r="F303" s="884"/>
      <c r="G303" s="884"/>
      <c r="H303" s="884"/>
      <c r="I303" s="884"/>
      <c r="J303" s="884"/>
      <c r="K303" s="884"/>
      <c r="L303" s="884"/>
      <c r="M303" s="884"/>
      <c r="N303" s="884"/>
      <c r="O303" s="884"/>
      <c r="P303" s="884"/>
      <c r="Q303" s="884"/>
      <c r="R303" s="884"/>
    </row>
    <row r="304" spans="2:18">
      <c r="B304" s="884"/>
      <c r="C304" s="884"/>
      <c r="D304" s="884"/>
      <c r="E304" s="884"/>
      <c r="F304" s="884"/>
      <c r="G304" s="884"/>
      <c r="H304" s="884"/>
      <c r="I304" s="884"/>
      <c r="J304" s="884"/>
      <c r="K304" s="884"/>
      <c r="L304" s="884"/>
      <c r="M304" s="884"/>
      <c r="N304" s="884"/>
      <c r="O304" s="884"/>
      <c r="P304" s="884"/>
      <c r="Q304" s="884"/>
      <c r="R304" s="884"/>
    </row>
    <row r="305" spans="2:18">
      <c r="B305" s="884"/>
      <c r="C305" s="884"/>
      <c r="D305" s="884"/>
      <c r="E305" s="884"/>
      <c r="F305" s="884"/>
      <c r="G305" s="884"/>
      <c r="H305" s="884"/>
      <c r="I305" s="884"/>
      <c r="J305" s="884"/>
      <c r="K305" s="884"/>
      <c r="L305" s="884"/>
      <c r="M305" s="884"/>
      <c r="N305" s="884"/>
      <c r="O305" s="884"/>
      <c r="P305" s="884"/>
      <c r="Q305" s="884"/>
      <c r="R305" s="884"/>
    </row>
    <row r="306" spans="2:18">
      <c r="B306" s="884"/>
      <c r="C306" s="884"/>
      <c r="D306" s="884"/>
      <c r="E306" s="884"/>
      <c r="F306" s="884"/>
      <c r="G306" s="884"/>
      <c r="H306" s="884"/>
      <c r="I306" s="884"/>
      <c r="J306" s="884"/>
      <c r="K306" s="884"/>
      <c r="L306" s="884"/>
      <c r="M306" s="884"/>
      <c r="N306" s="884"/>
      <c r="O306" s="884"/>
      <c r="P306" s="884"/>
      <c r="Q306" s="884"/>
      <c r="R306" s="884"/>
    </row>
    <row r="307" spans="2:18">
      <c r="B307" s="884"/>
      <c r="C307" s="884"/>
      <c r="D307" s="884"/>
      <c r="E307" s="884"/>
      <c r="F307" s="884"/>
      <c r="G307" s="884"/>
      <c r="H307" s="884"/>
      <c r="I307" s="884"/>
      <c r="J307" s="884"/>
      <c r="K307" s="884"/>
      <c r="L307" s="884"/>
      <c r="M307" s="884"/>
      <c r="N307" s="884"/>
      <c r="O307" s="884"/>
      <c r="P307" s="884"/>
      <c r="Q307" s="884"/>
      <c r="R307" s="884"/>
    </row>
    <row r="308" spans="2:18">
      <c r="B308" s="884"/>
      <c r="C308" s="884"/>
      <c r="D308" s="884"/>
      <c r="E308" s="884"/>
      <c r="F308" s="884"/>
      <c r="G308" s="884"/>
      <c r="H308" s="884"/>
      <c r="I308" s="884"/>
      <c r="J308" s="884"/>
      <c r="K308" s="884"/>
      <c r="L308" s="884"/>
      <c r="M308" s="884"/>
      <c r="N308" s="884"/>
      <c r="O308" s="884"/>
      <c r="P308" s="884"/>
      <c r="Q308" s="884"/>
      <c r="R308" s="884"/>
    </row>
    <row r="309" spans="2:18">
      <c r="B309" s="884"/>
      <c r="C309" s="884"/>
      <c r="D309" s="884"/>
      <c r="E309" s="884"/>
      <c r="F309" s="884"/>
      <c r="G309" s="884"/>
      <c r="H309" s="884"/>
      <c r="I309" s="884"/>
      <c r="J309" s="884"/>
      <c r="K309" s="884"/>
      <c r="L309" s="884"/>
      <c r="M309" s="884"/>
      <c r="N309" s="884"/>
      <c r="O309" s="884"/>
      <c r="P309" s="884"/>
      <c r="Q309" s="884"/>
      <c r="R309" s="884"/>
    </row>
    <row r="310" spans="2:18">
      <c r="B310" s="884"/>
      <c r="C310" s="884"/>
      <c r="D310" s="884"/>
      <c r="E310" s="884"/>
      <c r="F310" s="884"/>
      <c r="G310" s="884"/>
      <c r="H310" s="884"/>
      <c r="I310" s="884"/>
      <c r="J310" s="884"/>
      <c r="K310" s="884"/>
      <c r="L310" s="884"/>
      <c r="M310" s="884"/>
      <c r="N310" s="884"/>
      <c r="O310" s="884"/>
      <c r="P310" s="884"/>
      <c r="Q310" s="884"/>
      <c r="R310" s="884"/>
    </row>
    <row r="311" spans="2:18">
      <c r="B311" s="884"/>
      <c r="C311" s="884"/>
      <c r="D311" s="884"/>
      <c r="E311" s="884"/>
      <c r="F311" s="884"/>
      <c r="G311" s="884"/>
      <c r="H311" s="884"/>
      <c r="I311" s="884"/>
      <c r="J311" s="884"/>
      <c r="K311" s="884"/>
      <c r="L311" s="884"/>
      <c r="M311" s="884"/>
      <c r="N311" s="884"/>
      <c r="O311" s="884"/>
      <c r="P311" s="884"/>
      <c r="Q311" s="884"/>
      <c r="R311" s="884"/>
    </row>
    <row r="312" spans="2:18">
      <c r="B312" s="884"/>
      <c r="C312" s="884"/>
      <c r="D312" s="884"/>
      <c r="E312" s="884"/>
      <c r="F312" s="884"/>
      <c r="G312" s="884"/>
      <c r="H312" s="884"/>
      <c r="I312" s="884"/>
      <c r="J312" s="884"/>
      <c r="K312" s="884"/>
      <c r="L312" s="884"/>
      <c r="M312" s="884"/>
      <c r="N312" s="884"/>
      <c r="O312" s="884"/>
      <c r="P312" s="884"/>
      <c r="Q312" s="884"/>
      <c r="R312" s="884"/>
    </row>
    <row r="313" spans="2:18">
      <c r="B313" s="884"/>
      <c r="C313" s="884"/>
      <c r="D313" s="884"/>
      <c r="E313" s="884"/>
      <c r="F313" s="884"/>
      <c r="G313" s="884"/>
      <c r="H313" s="884"/>
      <c r="I313" s="884"/>
      <c r="J313" s="884"/>
      <c r="K313" s="884"/>
      <c r="L313" s="884"/>
      <c r="M313" s="884"/>
      <c r="N313" s="884"/>
      <c r="O313" s="884"/>
      <c r="P313" s="884"/>
      <c r="Q313" s="884"/>
      <c r="R313" s="884"/>
    </row>
    <row r="314" spans="2:18">
      <c r="B314" s="884"/>
      <c r="C314" s="884"/>
      <c r="D314" s="884"/>
      <c r="E314" s="884"/>
      <c r="F314" s="884"/>
      <c r="G314" s="884"/>
      <c r="H314" s="884"/>
      <c r="I314" s="884"/>
      <c r="J314" s="884"/>
      <c r="K314" s="884"/>
      <c r="L314" s="884"/>
      <c r="M314" s="884"/>
      <c r="N314" s="884"/>
      <c r="O314" s="884"/>
      <c r="P314" s="884"/>
      <c r="Q314" s="884"/>
      <c r="R314" s="884"/>
    </row>
    <row r="315" spans="2:18">
      <c r="B315" s="884"/>
      <c r="C315" s="884"/>
      <c r="D315" s="884"/>
      <c r="E315" s="884"/>
      <c r="F315" s="884"/>
      <c r="G315" s="884"/>
      <c r="H315" s="884"/>
      <c r="I315" s="884"/>
      <c r="J315" s="884"/>
      <c r="K315" s="884"/>
      <c r="L315" s="884"/>
      <c r="M315" s="884"/>
      <c r="N315" s="884"/>
      <c r="O315" s="884"/>
      <c r="P315" s="884"/>
      <c r="Q315" s="884"/>
      <c r="R315" s="884"/>
    </row>
    <row r="316" spans="2:18">
      <c r="B316" s="884"/>
      <c r="C316" s="884"/>
      <c r="D316" s="884"/>
      <c r="E316" s="884"/>
      <c r="F316" s="884"/>
      <c r="G316" s="884"/>
      <c r="H316" s="884"/>
      <c r="I316" s="884"/>
      <c r="J316" s="884"/>
      <c r="K316" s="884"/>
      <c r="L316" s="884"/>
      <c r="M316" s="884"/>
      <c r="N316" s="884"/>
      <c r="O316" s="884"/>
      <c r="P316" s="884"/>
      <c r="Q316" s="884"/>
      <c r="R316" s="884"/>
    </row>
    <row r="317" spans="2:18">
      <c r="B317" s="884"/>
      <c r="C317" s="884"/>
      <c r="D317" s="884"/>
      <c r="E317" s="884"/>
      <c r="F317" s="884"/>
      <c r="G317" s="884"/>
      <c r="H317" s="884"/>
      <c r="I317" s="884"/>
      <c r="J317" s="884"/>
      <c r="K317" s="884"/>
      <c r="L317" s="884"/>
      <c r="M317" s="884"/>
      <c r="N317" s="884"/>
      <c r="O317" s="884"/>
      <c r="P317" s="884"/>
      <c r="Q317" s="884"/>
      <c r="R317" s="884"/>
    </row>
    <row r="318" spans="2:18">
      <c r="B318" s="884"/>
      <c r="C318" s="884"/>
      <c r="D318" s="884"/>
      <c r="E318" s="884"/>
      <c r="F318" s="884"/>
      <c r="G318" s="884"/>
      <c r="H318" s="884"/>
      <c r="I318" s="884"/>
      <c r="J318" s="884"/>
      <c r="K318" s="884"/>
      <c r="L318" s="884"/>
      <c r="M318" s="884"/>
      <c r="N318" s="884"/>
      <c r="O318" s="884"/>
      <c r="P318" s="884"/>
      <c r="Q318" s="884"/>
      <c r="R318" s="884"/>
    </row>
    <row r="319" spans="2:18">
      <c r="B319" s="884"/>
      <c r="C319" s="884"/>
      <c r="D319" s="884"/>
      <c r="E319" s="884"/>
      <c r="F319" s="884"/>
      <c r="G319" s="884"/>
      <c r="H319" s="884"/>
      <c r="I319" s="884"/>
      <c r="J319" s="884"/>
      <c r="K319" s="884"/>
      <c r="L319" s="884"/>
      <c r="M319" s="884"/>
      <c r="N319" s="884"/>
      <c r="O319" s="884"/>
      <c r="P319" s="884"/>
      <c r="Q319" s="884"/>
      <c r="R319" s="884"/>
    </row>
    <row r="320" spans="2:18">
      <c r="B320" s="884"/>
      <c r="C320" s="884"/>
      <c r="D320" s="884"/>
      <c r="E320" s="884"/>
      <c r="F320" s="884"/>
      <c r="G320" s="884"/>
      <c r="H320" s="884"/>
      <c r="I320" s="884"/>
      <c r="J320" s="884"/>
      <c r="K320" s="884"/>
      <c r="L320" s="884"/>
      <c r="M320" s="884"/>
      <c r="N320" s="884"/>
      <c r="O320" s="884"/>
      <c r="P320" s="884"/>
      <c r="Q320" s="884"/>
      <c r="R320" s="884"/>
    </row>
    <row r="321" spans="2:18">
      <c r="B321" s="884"/>
      <c r="C321" s="884"/>
      <c r="D321" s="884"/>
      <c r="E321" s="884"/>
      <c r="F321" s="884"/>
      <c r="G321" s="884"/>
      <c r="H321" s="884"/>
      <c r="I321" s="884"/>
      <c r="J321" s="884"/>
      <c r="K321" s="884"/>
      <c r="L321" s="884"/>
      <c r="M321" s="884"/>
      <c r="N321" s="884"/>
      <c r="O321" s="884"/>
      <c r="P321" s="884"/>
      <c r="Q321" s="884"/>
      <c r="R321" s="884"/>
    </row>
    <row r="322" spans="2:18">
      <c r="B322" s="884"/>
      <c r="C322" s="884"/>
      <c r="D322" s="884"/>
      <c r="E322" s="884"/>
      <c r="F322" s="884"/>
      <c r="G322" s="884"/>
      <c r="H322" s="884"/>
      <c r="I322" s="884"/>
      <c r="J322" s="884"/>
      <c r="K322" s="884"/>
      <c r="L322" s="884"/>
      <c r="M322" s="884"/>
      <c r="N322" s="884"/>
      <c r="O322" s="884"/>
      <c r="P322" s="884"/>
      <c r="Q322" s="884"/>
      <c r="R322" s="884"/>
    </row>
    <row r="323" spans="2:18">
      <c r="B323" s="884"/>
      <c r="C323" s="884"/>
      <c r="D323" s="884"/>
      <c r="E323" s="884"/>
      <c r="F323" s="884"/>
      <c r="G323" s="884"/>
      <c r="H323" s="884"/>
      <c r="I323" s="884"/>
      <c r="J323" s="884"/>
      <c r="K323" s="884"/>
      <c r="L323" s="884"/>
      <c r="M323" s="884"/>
      <c r="N323" s="884"/>
      <c r="O323" s="884"/>
      <c r="P323" s="884"/>
      <c r="Q323" s="884"/>
      <c r="R323" s="884"/>
    </row>
    <row r="324" spans="2:18">
      <c r="B324" s="884"/>
      <c r="C324" s="884"/>
      <c r="D324" s="884"/>
      <c r="E324" s="884"/>
      <c r="F324" s="884"/>
      <c r="G324" s="884"/>
      <c r="H324" s="884"/>
      <c r="I324" s="884"/>
      <c r="J324" s="884"/>
      <c r="K324" s="884"/>
      <c r="L324" s="884"/>
      <c r="M324" s="884"/>
      <c r="N324" s="884"/>
      <c r="O324" s="884"/>
      <c r="P324" s="884"/>
      <c r="Q324" s="884"/>
      <c r="R324" s="884"/>
    </row>
    <row r="325" spans="2:18">
      <c r="B325" s="884"/>
      <c r="C325" s="884"/>
      <c r="D325" s="884"/>
      <c r="E325" s="884"/>
      <c r="F325" s="884"/>
      <c r="G325" s="884"/>
      <c r="H325" s="884"/>
      <c r="I325" s="884"/>
      <c r="J325" s="884"/>
      <c r="K325" s="884"/>
      <c r="L325" s="884"/>
      <c r="M325" s="884"/>
      <c r="N325" s="884"/>
      <c r="O325" s="884"/>
      <c r="P325" s="884"/>
      <c r="Q325" s="884"/>
      <c r="R325" s="884"/>
    </row>
    <row r="326" spans="2:18">
      <c r="B326" s="884"/>
      <c r="C326" s="884"/>
      <c r="D326" s="884"/>
      <c r="E326" s="884"/>
      <c r="F326" s="884"/>
      <c r="G326" s="884"/>
      <c r="H326" s="884"/>
      <c r="I326" s="884"/>
      <c r="J326" s="884"/>
      <c r="K326" s="884"/>
      <c r="L326" s="884"/>
      <c r="M326" s="884"/>
      <c r="N326" s="884"/>
      <c r="O326" s="884"/>
      <c r="P326" s="884"/>
      <c r="Q326" s="884"/>
      <c r="R326" s="884"/>
    </row>
    <row r="327" spans="2:18">
      <c r="B327" s="884"/>
      <c r="C327" s="884"/>
      <c r="D327" s="884"/>
      <c r="E327" s="884"/>
      <c r="F327" s="884"/>
      <c r="G327" s="884"/>
      <c r="H327" s="884"/>
      <c r="I327" s="884"/>
      <c r="J327" s="884"/>
      <c r="K327" s="884"/>
      <c r="L327" s="884"/>
      <c r="M327" s="884"/>
      <c r="N327" s="884"/>
      <c r="O327" s="884"/>
      <c r="P327" s="884"/>
      <c r="Q327" s="884"/>
      <c r="R327" s="884"/>
    </row>
    <row r="328" spans="2:18">
      <c r="B328" s="884"/>
      <c r="C328" s="884"/>
      <c r="D328" s="884"/>
      <c r="E328" s="884"/>
      <c r="F328" s="884"/>
      <c r="G328" s="884"/>
      <c r="H328" s="884"/>
      <c r="I328" s="884"/>
      <c r="J328" s="884"/>
      <c r="K328" s="884"/>
      <c r="L328" s="884"/>
      <c r="M328" s="884"/>
      <c r="N328" s="884"/>
      <c r="O328" s="884"/>
      <c r="P328" s="884"/>
      <c r="Q328" s="884"/>
      <c r="R328" s="884"/>
    </row>
    <row r="329" spans="2:18">
      <c r="B329" s="884"/>
      <c r="C329" s="884"/>
      <c r="D329" s="884"/>
      <c r="E329" s="884"/>
      <c r="F329" s="884"/>
      <c r="G329" s="884"/>
      <c r="H329" s="884"/>
      <c r="I329" s="884"/>
      <c r="J329" s="884"/>
      <c r="K329" s="884"/>
      <c r="L329" s="884"/>
      <c r="M329" s="884"/>
      <c r="N329" s="884"/>
      <c r="O329" s="884"/>
      <c r="P329" s="884"/>
      <c r="Q329" s="884"/>
      <c r="R329" s="884"/>
    </row>
    <row r="330" spans="2:18">
      <c r="B330" s="884"/>
      <c r="C330" s="884"/>
      <c r="D330" s="884"/>
      <c r="E330" s="884"/>
      <c r="F330" s="884"/>
      <c r="G330" s="884"/>
      <c r="H330" s="884"/>
      <c r="I330" s="884"/>
      <c r="J330" s="884"/>
      <c r="K330" s="884"/>
      <c r="L330" s="884"/>
      <c r="M330" s="884"/>
      <c r="N330" s="884"/>
      <c r="O330" s="884"/>
      <c r="P330" s="884"/>
      <c r="Q330" s="884"/>
      <c r="R330" s="884"/>
    </row>
    <row r="331" spans="2:18">
      <c r="B331" s="884"/>
      <c r="C331" s="884"/>
      <c r="D331" s="884"/>
      <c r="E331" s="884"/>
      <c r="F331" s="884"/>
      <c r="G331" s="884"/>
      <c r="H331" s="884"/>
      <c r="I331" s="884"/>
      <c r="J331" s="884"/>
      <c r="K331" s="884"/>
      <c r="L331" s="884"/>
      <c r="M331" s="884"/>
      <c r="N331" s="884"/>
      <c r="O331" s="884"/>
      <c r="P331" s="884"/>
      <c r="Q331" s="884"/>
      <c r="R331" s="884"/>
    </row>
    <row r="332" spans="2:18">
      <c r="B332" s="884"/>
      <c r="C332" s="884"/>
      <c r="D332" s="884"/>
      <c r="E332" s="884"/>
      <c r="F332" s="884"/>
      <c r="G332" s="884"/>
      <c r="H332" s="884"/>
      <c r="I332" s="884"/>
      <c r="J332" s="884"/>
      <c r="K332" s="884"/>
      <c r="L332" s="884"/>
      <c r="M332" s="884"/>
      <c r="N332" s="884"/>
      <c r="O332" s="884"/>
      <c r="P332" s="884"/>
      <c r="Q332" s="884"/>
      <c r="R332" s="884"/>
    </row>
    <row r="333" spans="2:18">
      <c r="B333" s="884"/>
      <c r="C333" s="884"/>
      <c r="D333" s="884"/>
      <c r="E333" s="884"/>
      <c r="F333" s="884"/>
      <c r="G333" s="884"/>
      <c r="H333" s="884"/>
      <c r="I333" s="884"/>
      <c r="J333" s="884"/>
      <c r="K333" s="884"/>
      <c r="L333" s="884"/>
      <c r="M333" s="884"/>
      <c r="N333" s="884"/>
      <c r="O333" s="884"/>
      <c r="P333" s="884"/>
      <c r="Q333" s="884"/>
      <c r="R333" s="884"/>
    </row>
    <row r="334" spans="2:18">
      <c r="B334" s="884"/>
      <c r="C334" s="884"/>
      <c r="D334" s="884"/>
      <c r="E334" s="884"/>
      <c r="F334" s="884"/>
      <c r="G334" s="884"/>
      <c r="H334" s="884"/>
      <c r="I334" s="884"/>
      <c r="J334" s="884"/>
      <c r="K334" s="884"/>
      <c r="L334" s="884"/>
      <c r="M334" s="884"/>
      <c r="N334" s="884"/>
      <c r="O334" s="884"/>
      <c r="P334" s="884"/>
      <c r="Q334" s="884"/>
      <c r="R334" s="884"/>
    </row>
    <row r="335" spans="2:18">
      <c r="B335" s="884"/>
      <c r="C335" s="884"/>
      <c r="D335" s="884"/>
      <c r="E335" s="884"/>
      <c r="F335" s="884"/>
      <c r="G335" s="884"/>
      <c r="H335" s="884"/>
      <c r="I335" s="884"/>
      <c r="J335" s="884"/>
      <c r="K335" s="884"/>
      <c r="L335" s="884"/>
      <c r="M335" s="884"/>
      <c r="N335" s="884"/>
      <c r="O335" s="884"/>
      <c r="P335" s="884"/>
      <c r="Q335" s="884"/>
      <c r="R335" s="884"/>
    </row>
    <row r="336" spans="2:18">
      <c r="B336" s="884"/>
      <c r="C336" s="884"/>
      <c r="D336" s="884"/>
      <c r="E336" s="884"/>
      <c r="F336" s="884"/>
      <c r="G336" s="884"/>
      <c r="H336" s="884"/>
      <c r="I336" s="884"/>
      <c r="J336" s="884"/>
      <c r="K336" s="884"/>
      <c r="L336" s="884"/>
      <c r="M336" s="884"/>
      <c r="N336" s="884"/>
      <c r="O336" s="884"/>
      <c r="P336" s="884"/>
      <c r="Q336" s="884"/>
      <c r="R336" s="884"/>
    </row>
    <row r="337" spans="2:18">
      <c r="B337" s="884"/>
      <c r="C337" s="884"/>
      <c r="D337" s="884"/>
      <c r="E337" s="884"/>
      <c r="F337" s="884"/>
      <c r="G337" s="884"/>
      <c r="H337" s="884"/>
      <c r="I337" s="884"/>
      <c r="J337" s="884"/>
      <c r="K337" s="884"/>
      <c r="L337" s="884"/>
      <c r="M337" s="884"/>
      <c r="N337" s="884"/>
      <c r="O337" s="884"/>
      <c r="P337" s="884"/>
      <c r="Q337" s="884"/>
      <c r="R337" s="884"/>
    </row>
    <row r="338" spans="2:18">
      <c r="B338" s="884"/>
      <c r="C338" s="884"/>
      <c r="D338" s="884"/>
      <c r="E338" s="884"/>
      <c r="F338" s="884"/>
      <c r="G338" s="884"/>
      <c r="H338" s="884"/>
      <c r="I338" s="884"/>
      <c r="J338" s="884"/>
      <c r="K338" s="884"/>
      <c r="L338" s="884"/>
      <c r="M338" s="884"/>
      <c r="N338" s="884"/>
      <c r="O338" s="884"/>
      <c r="P338" s="884"/>
      <c r="Q338" s="884"/>
      <c r="R338" s="884"/>
    </row>
    <row r="339" spans="2:18">
      <c r="B339" s="884"/>
      <c r="C339" s="884"/>
      <c r="D339" s="884"/>
      <c r="E339" s="884"/>
      <c r="F339" s="884"/>
      <c r="G339" s="884"/>
      <c r="H339" s="884"/>
      <c r="I339" s="884"/>
      <c r="J339" s="884"/>
      <c r="K339" s="884"/>
      <c r="L339" s="884"/>
      <c r="M339" s="884"/>
      <c r="N339" s="884"/>
      <c r="O339" s="884"/>
      <c r="P339" s="884"/>
      <c r="Q339" s="884"/>
      <c r="R339" s="884"/>
    </row>
    <row r="340" spans="2:18">
      <c r="B340" s="884"/>
      <c r="C340" s="884"/>
      <c r="D340" s="884"/>
      <c r="E340" s="884"/>
      <c r="F340" s="884"/>
      <c r="G340" s="884"/>
      <c r="H340" s="884"/>
      <c r="I340" s="884"/>
      <c r="J340" s="884"/>
      <c r="K340" s="884"/>
      <c r="L340" s="884"/>
      <c r="M340" s="884"/>
      <c r="N340" s="884"/>
      <c r="O340" s="884"/>
      <c r="P340" s="884"/>
      <c r="Q340" s="884"/>
      <c r="R340" s="884"/>
    </row>
    <row r="341" spans="2:18">
      <c r="B341" s="884"/>
      <c r="C341" s="884"/>
      <c r="D341" s="884"/>
      <c r="E341" s="884"/>
      <c r="F341" s="884"/>
      <c r="G341" s="884"/>
      <c r="H341" s="884"/>
      <c r="I341" s="884"/>
      <c r="J341" s="884"/>
      <c r="K341" s="884"/>
      <c r="L341" s="884"/>
      <c r="M341" s="884"/>
      <c r="N341" s="884"/>
      <c r="O341" s="884"/>
      <c r="P341" s="884"/>
      <c r="Q341" s="884"/>
      <c r="R341" s="884"/>
    </row>
    <row r="342" spans="2:18">
      <c r="B342" s="884"/>
      <c r="C342" s="884"/>
      <c r="D342" s="884"/>
      <c r="E342" s="884"/>
      <c r="F342" s="884"/>
      <c r="G342" s="884"/>
      <c r="H342" s="884"/>
      <c r="I342" s="884"/>
      <c r="J342" s="884"/>
      <c r="K342" s="884"/>
      <c r="L342" s="884"/>
      <c r="M342" s="884"/>
      <c r="N342" s="884"/>
      <c r="O342" s="884"/>
      <c r="P342" s="884"/>
      <c r="Q342" s="884"/>
      <c r="R342" s="884"/>
    </row>
    <row r="343" spans="2:18">
      <c r="B343" s="884"/>
      <c r="C343" s="884"/>
      <c r="D343" s="884"/>
      <c r="E343" s="884"/>
      <c r="F343" s="884"/>
      <c r="G343" s="884"/>
      <c r="H343" s="884"/>
      <c r="I343" s="884"/>
      <c r="J343" s="884"/>
      <c r="K343" s="884"/>
      <c r="L343" s="884"/>
      <c r="M343" s="884"/>
      <c r="N343" s="884"/>
      <c r="O343" s="884"/>
      <c r="P343" s="884"/>
      <c r="Q343" s="884"/>
      <c r="R343" s="884"/>
    </row>
    <row r="344" spans="2:18">
      <c r="B344" s="884"/>
      <c r="C344" s="884"/>
      <c r="D344" s="884"/>
      <c r="E344" s="884"/>
      <c r="F344" s="884"/>
      <c r="G344" s="884"/>
      <c r="H344" s="884"/>
      <c r="I344" s="884"/>
      <c r="J344" s="884"/>
      <c r="K344" s="884"/>
      <c r="L344" s="884"/>
      <c r="M344" s="884"/>
      <c r="N344" s="884"/>
      <c r="O344" s="884"/>
      <c r="P344" s="884"/>
      <c r="Q344" s="884"/>
      <c r="R344" s="884"/>
    </row>
    <row r="345" spans="2:18">
      <c r="B345" s="884"/>
      <c r="C345" s="884"/>
      <c r="D345" s="884"/>
      <c r="E345" s="884"/>
      <c r="F345" s="884"/>
      <c r="G345" s="884"/>
      <c r="H345" s="884"/>
      <c r="I345" s="884"/>
      <c r="J345" s="884"/>
      <c r="K345" s="884"/>
      <c r="L345" s="884"/>
      <c r="M345" s="884"/>
      <c r="N345" s="884"/>
      <c r="O345" s="884"/>
      <c r="P345" s="884"/>
      <c r="Q345" s="884"/>
      <c r="R345" s="884"/>
    </row>
    <row r="346" spans="2:18">
      <c r="B346" s="884"/>
      <c r="C346" s="884"/>
      <c r="D346" s="884"/>
      <c r="E346" s="884"/>
      <c r="F346" s="884"/>
      <c r="G346" s="884"/>
      <c r="H346" s="884"/>
      <c r="I346" s="884"/>
      <c r="J346" s="884"/>
      <c r="K346" s="884"/>
      <c r="L346" s="884"/>
      <c r="M346" s="884"/>
      <c r="N346" s="884"/>
      <c r="O346" s="884"/>
      <c r="P346" s="884"/>
      <c r="Q346" s="884"/>
      <c r="R346" s="884"/>
    </row>
    <row r="347" spans="2:18">
      <c r="B347" s="884"/>
      <c r="C347" s="884"/>
      <c r="D347" s="884"/>
      <c r="E347" s="884"/>
      <c r="F347" s="884"/>
      <c r="G347" s="884"/>
      <c r="H347" s="884"/>
      <c r="I347" s="884"/>
      <c r="J347" s="884"/>
      <c r="K347" s="884"/>
      <c r="L347" s="884"/>
      <c r="M347" s="884"/>
      <c r="N347" s="884"/>
      <c r="O347" s="884"/>
      <c r="P347" s="884"/>
      <c r="Q347" s="884"/>
      <c r="R347" s="884"/>
    </row>
    <row r="348" spans="2:18">
      <c r="B348" s="884"/>
      <c r="C348" s="884"/>
      <c r="D348" s="884"/>
      <c r="E348" s="884"/>
      <c r="F348" s="884"/>
      <c r="G348" s="884"/>
      <c r="H348" s="884"/>
      <c r="I348" s="884"/>
      <c r="J348" s="884"/>
      <c r="K348" s="884"/>
      <c r="L348" s="884"/>
      <c r="M348" s="884"/>
      <c r="N348" s="884"/>
      <c r="O348" s="884"/>
      <c r="P348" s="884"/>
      <c r="Q348" s="884"/>
      <c r="R348" s="884"/>
    </row>
    <row r="349" spans="2:18">
      <c r="B349" s="884"/>
      <c r="C349" s="884"/>
      <c r="D349" s="884"/>
      <c r="E349" s="884"/>
      <c r="F349" s="884"/>
      <c r="G349" s="884"/>
      <c r="H349" s="884"/>
      <c r="I349" s="884"/>
      <c r="J349" s="884"/>
      <c r="K349" s="884"/>
      <c r="L349" s="884"/>
      <c r="M349" s="884"/>
      <c r="N349" s="884"/>
      <c r="O349" s="884"/>
      <c r="P349" s="884"/>
      <c r="Q349" s="884"/>
      <c r="R349" s="884"/>
    </row>
    <row r="350" spans="2:18">
      <c r="B350" s="884"/>
      <c r="C350" s="884"/>
      <c r="D350" s="884"/>
      <c r="E350" s="884"/>
      <c r="F350" s="884"/>
      <c r="G350" s="884"/>
      <c r="H350" s="884"/>
      <c r="I350" s="884"/>
      <c r="J350" s="884"/>
      <c r="K350" s="884"/>
      <c r="L350" s="884"/>
      <c r="M350" s="884"/>
      <c r="N350" s="884"/>
      <c r="O350" s="884"/>
      <c r="P350" s="884"/>
      <c r="Q350" s="884"/>
      <c r="R350" s="884"/>
    </row>
    <row r="351" spans="2:18">
      <c r="B351" s="884"/>
      <c r="C351" s="884"/>
      <c r="D351" s="884"/>
      <c r="E351" s="884"/>
      <c r="F351" s="884"/>
      <c r="G351" s="884"/>
      <c r="H351" s="884"/>
      <c r="I351" s="884"/>
      <c r="J351" s="884"/>
      <c r="K351" s="884"/>
      <c r="L351" s="884"/>
      <c r="M351" s="884"/>
      <c r="N351" s="884"/>
      <c r="O351" s="884"/>
      <c r="P351" s="884"/>
      <c r="Q351" s="884"/>
      <c r="R351" s="884"/>
    </row>
    <row r="352" spans="2:18">
      <c r="B352" s="884"/>
      <c r="C352" s="884"/>
      <c r="D352" s="884"/>
      <c r="E352" s="884"/>
      <c r="F352" s="884"/>
      <c r="G352" s="884"/>
      <c r="H352" s="884"/>
      <c r="I352" s="884"/>
      <c r="J352" s="884"/>
      <c r="K352" s="884"/>
      <c r="L352" s="884"/>
      <c r="M352" s="884"/>
      <c r="N352" s="884"/>
      <c r="O352" s="884"/>
      <c r="P352" s="884"/>
      <c r="Q352" s="884"/>
      <c r="R352" s="884"/>
    </row>
    <row r="353" spans="2:18">
      <c r="B353" s="884"/>
      <c r="C353" s="884"/>
      <c r="D353" s="884"/>
      <c r="E353" s="884"/>
      <c r="F353" s="884"/>
      <c r="G353" s="884"/>
      <c r="H353" s="884"/>
      <c r="I353" s="884"/>
      <c r="J353" s="884"/>
      <c r="K353" s="884"/>
      <c r="L353" s="884"/>
      <c r="M353" s="884"/>
      <c r="N353" s="884"/>
      <c r="O353" s="884"/>
      <c r="P353" s="884"/>
      <c r="Q353" s="884"/>
      <c r="R353" s="884"/>
    </row>
    <row r="354" spans="2:18">
      <c r="B354" s="884"/>
      <c r="C354" s="884"/>
      <c r="D354" s="884"/>
      <c r="E354" s="884"/>
      <c r="F354" s="884"/>
      <c r="G354" s="884"/>
      <c r="H354" s="884"/>
      <c r="I354" s="884"/>
      <c r="J354" s="884"/>
      <c r="K354" s="884"/>
      <c r="L354" s="884"/>
      <c r="M354" s="884"/>
      <c r="N354" s="884"/>
      <c r="O354" s="884"/>
      <c r="P354" s="884"/>
      <c r="Q354" s="884"/>
      <c r="R354" s="884"/>
    </row>
    <row r="355" spans="2:18">
      <c r="B355" s="884"/>
      <c r="C355" s="884"/>
      <c r="D355" s="884"/>
      <c r="E355" s="884"/>
      <c r="F355" s="884"/>
      <c r="G355" s="884"/>
      <c r="H355" s="884"/>
      <c r="I355" s="884"/>
      <c r="J355" s="884"/>
      <c r="K355" s="884"/>
      <c r="L355" s="884"/>
      <c r="M355" s="884"/>
      <c r="N355" s="884"/>
      <c r="O355" s="884"/>
      <c r="P355" s="884"/>
      <c r="Q355" s="884"/>
      <c r="R355" s="884"/>
    </row>
    <row r="356" spans="2:18">
      <c r="B356" s="884"/>
      <c r="C356" s="884"/>
      <c r="D356" s="884"/>
      <c r="E356" s="884"/>
      <c r="F356" s="884"/>
      <c r="G356" s="884"/>
      <c r="H356" s="884"/>
      <c r="I356" s="884"/>
      <c r="J356" s="884"/>
      <c r="K356" s="884"/>
      <c r="L356" s="884"/>
      <c r="M356" s="884"/>
      <c r="N356" s="884"/>
      <c r="O356" s="884"/>
      <c r="P356" s="884"/>
      <c r="Q356" s="884"/>
      <c r="R356" s="884"/>
    </row>
    <row r="357" spans="2:18">
      <c r="B357" s="884"/>
      <c r="C357" s="884"/>
      <c r="D357" s="884"/>
      <c r="E357" s="884"/>
      <c r="F357" s="884"/>
      <c r="G357" s="884"/>
      <c r="H357" s="884"/>
      <c r="I357" s="884"/>
      <c r="J357" s="884"/>
      <c r="K357" s="884"/>
      <c r="L357" s="884"/>
      <c r="M357" s="884"/>
      <c r="N357" s="884"/>
      <c r="O357" s="884"/>
      <c r="P357" s="884"/>
      <c r="Q357" s="884"/>
      <c r="R357" s="884"/>
    </row>
    <row r="358" spans="2:18">
      <c r="B358" s="884"/>
      <c r="C358" s="884"/>
      <c r="D358" s="884"/>
      <c r="E358" s="884"/>
      <c r="F358" s="884"/>
      <c r="G358" s="884"/>
      <c r="H358" s="884"/>
      <c r="I358" s="884"/>
      <c r="J358" s="884"/>
      <c r="K358" s="884"/>
      <c r="L358" s="884"/>
      <c r="M358" s="884"/>
      <c r="N358" s="884"/>
      <c r="O358" s="884"/>
      <c r="P358" s="884"/>
      <c r="Q358" s="884"/>
      <c r="R358" s="884"/>
    </row>
    <row r="359" spans="2:18">
      <c r="B359" s="884"/>
      <c r="C359" s="884"/>
      <c r="D359" s="884"/>
      <c r="E359" s="884"/>
      <c r="F359" s="884"/>
      <c r="G359" s="884"/>
      <c r="H359" s="884"/>
      <c r="I359" s="884"/>
      <c r="J359" s="884"/>
      <c r="K359" s="884"/>
      <c r="L359" s="884"/>
      <c r="M359" s="884"/>
      <c r="N359" s="884"/>
      <c r="O359" s="884"/>
      <c r="P359" s="884"/>
      <c r="Q359" s="884"/>
      <c r="R359" s="884"/>
    </row>
    <row r="360" spans="2:18">
      <c r="B360" s="884"/>
      <c r="C360" s="884"/>
      <c r="D360" s="884"/>
      <c r="E360" s="884"/>
      <c r="F360" s="884"/>
      <c r="G360" s="884"/>
      <c r="H360" s="884"/>
      <c r="I360" s="884"/>
      <c r="J360" s="884"/>
      <c r="K360" s="884"/>
      <c r="L360" s="884"/>
      <c r="M360" s="884"/>
      <c r="N360" s="884"/>
      <c r="O360" s="884"/>
      <c r="P360" s="884"/>
      <c r="Q360" s="884"/>
      <c r="R360" s="884"/>
    </row>
    <row r="361" spans="2:18">
      <c r="B361" s="884"/>
      <c r="C361" s="884"/>
      <c r="D361" s="884"/>
      <c r="E361" s="884"/>
      <c r="F361" s="884"/>
      <c r="G361" s="884"/>
      <c r="H361" s="884"/>
      <c r="I361" s="884"/>
      <c r="J361" s="884"/>
      <c r="K361" s="884"/>
      <c r="L361" s="884"/>
      <c r="M361" s="884"/>
      <c r="N361" s="884"/>
      <c r="O361" s="884"/>
      <c r="P361" s="884"/>
      <c r="Q361" s="884"/>
      <c r="R361" s="884"/>
    </row>
    <row r="362" spans="2:18">
      <c r="B362" s="884"/>
      <c r="C362" s="884"/>
      <c r="D362" s="884"/>
      <c r="E362" s="884"/>
      <c r="F362" s="884"/>
      <c r="G362" s="884"/>
      <c r="H362" s="884"/>
      <c r="I362" s="884"/>
      <c r="J362" s="884"/>
      <c r="K362" s="884"/>
      <c r="L362" s="884"/>
      <c r="M362" s="884"/>
      <c r="N362" s="884"/>
      <c r="O362" s="884"/>
      <c r="P362" s="884"/>
      <c r="Q362" s="884"/>
      <c r="R362" s="884"/>
    </row>
    <row r="363" spans="2:18">
      <c r="B363" s="884"/>
      <c r="C363" s="884"/>
      <c r="D363" s="884"/>
      <c r="E363" s="884"/>
      <c r="F363" s="884"/>
      <c r="G363" s="884"/>
      <c r="H363" s="884"/>
      <c r="I363" s="884"/>
      <c r="J363" s="884"/>
      <c r="K363" s="884"/>
      <c r="L363" s="884"/>
      <c r="M363" s="884"/>
      <c r="N363" s="884"/>
      <c r="O363" s="884"/>
      <c r="P363" s="884"/>
      <c r="Q363" s="884"/>
      <c r="R363" s="884"/>
    </row>
    <row r="364" spans="2:18">
      <c r="B364" s="884"/>
      <c r="C364" s="884"/>
      <c r="D364" s="884"/>
      <c r="E364" s="884"/>
      <c r="F364" s="884"/>
      <c r="G364" s="884"/>
      <c r="H364" s="884"/>
      <c r="I364" s="884"/>
      <c r="J364" s="884"/>
      <c r="K364" s="884"/>
      <c r="L364" s="884"/>
      <c r="M364" s="884"/>
      <c r="N364" s="884"/>
      <c r="O364" s="884"/>
      <c r="P364" s="884"/>
      <c r="Q364" s="884"/>
      <c r="R364" s="884"/>
    </row>
    <row r="365" spans="2:18">
      <c r="B365" s="884"/>
      <c r="C365" s="884"/>
      <c r="D365" s="884"/>
      <c r="E365" s="884"/>
      <c r="F365" s="884"/>
      <c r="G365" s="884"/>
      <c r="H365" s="884"/>
      <c r="I365" s="884"/>
      <c r="J365" s="884"/>
      <c r="K365" s="884"/>
      <c r="L365" s="884"/>
      <c r="M365" s="884"/>
      <c r="N365" s="884"/>
      <c r="O365" s="884"/>
      <c r="P365" s="884"/>
      <c r="Q365" s="884"/>
      <c r="R365" s="884"/>
    </row>
    <row r="366" spans="2:18">
      <c r="B366" s="884"/>
      <c r="C366" s="884"/>
      <c r="D366" s="884"/>
      <c r="E366" s="884"/>
      <c r="F366" s="884"/>
      <c r="G366" s="884"/>
      <c r="H366" s="884"/>
      <c r="I366" s="884"/>
      <c r="J366" s="884"/>
      <c r="K366" s="884"/>
      <c r="L366" s="884"/>
      <c r="M366" s="884"/>
      <c r="N366" s="884"/>
      <c r="O366" s="884"/>
      <c r="P366" s="884"/>
      <c r="Q366" s="884"/>
      <c r="R366" s="884"/>
    </row>
    <row r="367" spans="2:18">
      <c r="B367" s="884"/>
      <c r="C367" s="884"/>
      <c r="D367" s="884"/>
      <c r="E367" s="884"/>
      <c r="F367" s="884"/>
      <c r="G367" s="884"/>
      <c r="H367" s="884"/>
      <c r="I367" s="884"/>
      <c r="J367" s="884"/>
      <c r="K367" s="884"/>
      <c r="L367" s="884"/>
      <c r="M367" s="884"/>
      <c r="N367" s="884"/>
      <c r="O367" s="884"/>
      <c r="P367" s="884"/>
      <c r="Q367" s="884"/>
      <c r="R367" s="884"/>
    </row>
    <row r="368" spans="2:18">
      <c r="B368" s="884"/>
      <c r="C368" s="884"/>
      <c r="D368" s="884"/>
      <c r="E368" s="884"/>
      <c r="F368" s="884"/>
      <c r="G368" s="884"/>
      <c r="H368" s="884"/>
      <c r="I368" s="884"/>
      <c r="J368" s="884"/>
      <c r="K368" s="884"/>
      <c r="L368" s="884"/>
      <c r="M368" s="884"/>
      <c r="N368" s="884"/>
      <c r="O368" s="884"/>
      <c r="P368" s="884"/>
      <c r="Q368" s="884"/>
      <c r="R368" s="884"/>
    </row>
    <row r="369" spans="2:18">
      <c r="B369" s="884"/>
      <c r="C369" s="884"/>
      <c r="D369" s="884"/>
      <c r="E369" s="884"/>
      <c r="F369" s="884"/>
      <c r="G369" s="884"/>
      <c r="H369" s="884"/>
      <c r="I369" s="884"/>
      <c r="J369" s="884"/>
      <c r="K369" s="884"/>
      <c r="L369" s="884"/>
      <c r="M369" s="884"/>
      <c r="N369" s="884"/>
      <c r="O369" s="884"/>
      <c r="P369" s="884"/>
      <c r="Q369" s="884"/>
      <c r="R369" s="884"/>
    </row>
    <row r="370" spans="2:18">
      <c r="B370" s="884"/>
      <c r="C370" s="884"/>
      <c r="D370" s="884"/>
      <c r="E370" s="884"/>
      <c r="F370" s="884"/>
      <c r="G370" s="884"/>
      <c r="H370" s="884"/>
      <c r="I370" s="884"/>
      <c r="J370" s="884"/>
      <c r="K370" s="884"/>
      <c r="L370" s="884"/>
      <c r="M370" s="884"/>
      <c r="N370" s="884"/>
      <c r="O370" s="884"/>
      <c r="P370" s="884"/>
      <c r="Q370" s="884"/>
      <c r="R370" s="884"/>
    </row>
    <row r="371" spans="2:18">
      <c r="B371" s="884"/>
      <c r="C371" s="884"/>
      <c r="D371" s="884"/>
      <c r="E371" s="884"/>
      <c r="F371" s="884"/>
      <c r="G371" s="884"/>
      <c r="H371" s="884"/>
      <c r="I371" s="884"/>
      <c r="J371" s="884"/>
      <c r="K371" s="884"/>
      <c r="L371" s="884"/>
      <c r="M371" s="884"/>
      <c r="N371" s="884"/>
      <c r="O371" s="884"/>
      <c r="P371" s="884"/>
      <c r="Q371" s="884"/>
      <c r="R371" s="884"/>
    </row>
    <row r="372" spans="2:18">
      <c r="B372" s="884"/>
      <c r="C372" s="884"/>
      <c r="D372" s="884"/>
      <c r="E372" s="884"/>
      <c r="F372" s="884"/>
      <c r="G372" s="884"/>
      <c r="H372" s="884"/>
      <c r="I372" s="884"/>
      <c r="J372" s="884"/>
      <c r="K372" s="884"/>
      <c r="L372" s="884"/>
      <c r="M372" s="884"/>
      <c r="N372" s="884"/>
      <c r="O372" s="884"/>
      <c r="P372" s="884"/>
      <c r="Q372" s="884"/>
      <c r="R372" s="884"/>
    </row>
    <row r="373" spans="2:18">
      <c r="B373" s="884"/>
      <c r="C373" s="884"/>
      <c r="D373" s="884"/>
      <c r="E373" s="884"/>
      <c r="F373" s="884"/>
      <c r="G373" s="884"/>
      <c r="H373" s="884"/>
      <c r="I373" s="884"/>
      <c r="J373" s="884"/>
      <c r="K373" s="884"/>
      <c r="L373" s="884"/>
      <c r="M373" s="884"/>
      <c r="N373" s="884"/>
      <c r="O373" s="884"/>
      <c r="P373" s="884"/>
      <c r="Q373" s="884"/>
      <c r="R373" s="884"/>
    </row>
    <row r="374" spans="2:18">
      <c r="B374" s="884"/>
      <c r="C374" s="884"/>
      <c r="D374" s="884"/>
      <c r="E374" s="884"/>
      <c r="F374" s="884"/>
      <c r="G374" s="884"/>
      <c r="H374" s="884"/>
      <c r="I374" s="884"/>
      <c r="J374" s="884"/>
      <c r="K374" s="884"/>
      <c r="L374" s="884"/>
      <c r="M374" s="884"/>
      <c r="N374" s="884"/>
      <c r="O374" s="884"/>
      <c r="P374" s="884"/>
      <c r="Q374" s="884"/>
      <c r="R374" s="884"/>
    </row>
    <row r="375" spans="2:18">
      <c r="B375" s="884"/>
      <c r="C375" s="884"/>
      <c r="D375" s="884"/>
      <c r="E375" s="884"/>
      <c r="F375" s="884"/>
      <c r="G375" s="884"/>
      <c r="H375" s="884"/>
      <c r="I375" s="884"/>
      <c r="J375" s="884"/>
      <c r="K375" s="884"/>
      <c r="L375" s="884"/>
      <c r="M375" s="884"/>
      <c r="N375" s="884"/>
      <c r="O375" s="884"/>
      <c r="P375" s="884"/>
      <c r="Q375" s="884"/>
      <c r="R375" s="884"/>
    </row>
    <row r="376" spans="2:18">
      <c r="B376" s="884"/>
      <c r="C376" s="884"/>
      <c r="D376" s="884"/>
      <c r="E376" s="884"/>
      <c r="F376" s="884"/>
      <c r="G376" s="884"/>
      <c r="H376" s="884"/>
      <c r="I376" s="884"/>
      <c r="J376" s="884"/>
      <c r="K376" s="884"/>
      <c r="L376" s="884"/>
      <c r="M376" s="884"/>
      <c r="N376" s="884"/>
      <c r="O376" s="884"/>
      <c r="P376" s="884"/>
      <c r="Q376" s="884"/>
      <c r="R376" s="884"/>
    </row>
    <row r="377" spans="2:18">
      <c r="B377" s="884"/>
      <c r="C377" s="884"/>
      <c r="D377" s="884"/>
      <c r="E377" s="884"/>
      <c r="F377" s="884"/>
      <c r="G377" s="884"/>
      <c r="H377" s="884"/>
      <c r="I377" s="884"/>
      <c r="J377" s="884"/>
      <c r="K377" s="884"/>
      <c r="L377" s="884"/>
      <c r="M377" s="884"/>
      <c r="N377" s="884"/>
      <c r="O377" s="884"/>
      <c r="P377" s="884"/>
      <c r="Q377" s="884"/>
      <c r="R377" s="884"/>
    </row>
    <row r="378" spans="2:18">
      <c r="B378" s="884"/>
      <c r="C378" s="884"/>
      <c r="D378" s="884"/>
      <c r="E378" s="884"/>
      <c r="F378" s="884"/>
      <c r="G378" s="884"/>
      <c r="H378" s="884"/>
      <c r="I378" s="884"/>
      <c r="J378" s="884"/>
      <c r="K378" s="884"/>
      <c r="L378" s="884"/>
      <c r="M378" s="884"/>
      <c r="N378" s="884"/>
      <c r="O378" s="884"/>
      <c r="P378" s="884"/>
      <c r="Q378" s="884"/>
      <c r="R378" s="884"/>
    </row>
    <row r="379" spans="2:18">
      <c r="B379" s="884"/>
      <c r="C379" s="884"/>
      <c r="D379" s="884"/>
      <c r="E379" s="884"/>
      <c r="F379" s="884"/>
      <c r="G379" s="884"/>
      <c r="H379" s="884"/>
      <c r="I379" s="884"/>
      <c r="J379" s="884"/>
      <c r="K379" s="884"/>
      <c r="L379" s="884"/>
      <c r="M379" s="884"/>
      <c r="N379" s="884"/>
      <c r="O379" s="884"/>
      <c r="P379" s="884"/>
      <c r="Q379" s="884"/>
      <c r="R379" s="884"/>
    </row>
    <row r="380" spans="2:18">
      <c r="B380" s="884"/>
      <c r="C380" s="884"/>
      <c r="D380" s="884"/>
      <c r="E380" s="884"/>
      <c r="F380" s="884"/>
      <c r="G380" s="884"/>
      <c r="H380" s="884"/>
      <c r="I380" s="884"/>
      <c r="J380" s="884"/>
      <c r="K380" s="884"/>
      <c r="L380" s="884"/>
      <c r="M380" s="884"/>
      <c r="N380" s="884"/>
      <c r="O380" s="884"/>
      <c r="P380" s="884"/>
      <c r="Q380" s="884"/>
      <c r="R380" s="884"/>
    </row>
    <row r="381" spans="2:18">
      <c r="B381" s="884"/>
      <c r="C381" s="884"/>
      <c r="D381" s="884"/>
      <c r="E381" s="884"/>
      <c r="F381" s="884"/>
      <c r="G381" s="884"/>
      <c r="H381" s="884"/>
      <c r="I381" s="884"/>
      <c r="J381" s="884"/>
      <c r="K381" s="884"/>
      <c r="L381" s="884"/>
      <c r="M381" s="884"/>
      <c r="N381" s="884"/>
      <c r="O381" s="884"/>
      <c r="P381" s="884"/>
      <c r="Q381" s="884"/>
      <c r="R381" s="884"/>
    </row>
    <row r="382" spans="2:18">
      <c r="B382" s="884"/>
      <c r="C382" s="884"/>
      <c r="D382" s="884"/>
      <c r="E382" s="884"/>
      <c r="F382" s="884"/>
      <c r="G382" s="884"/>
      <c r="H382" s="884"/>
      <c r="I382" s="884"/>
      <c r="J382" s="884"/>
      <c r="K382" s="884"/>
      <c r="L382" s="884"/>
      <c r="M382" s="884"/>
      <c r="N382" s="884"/>
      <c r="O382" s="884"/>
      <c r="P382" s="884"/>
      <c r="Q382" s="884"/>
      <c r="R382" s="884"/>
    </row>
    <row r="383" spans="2:18">
      <c r="B383" s="884"/>
      <c r="C383" s="884"/>
      <c r="D383" s="884"/>
      <c r="E383" s="884"/>
      <c r="F383" s="884"/>
      <c r="G383" s="884"/>
      <c r="H383" s="884"/>
      <c r="I383" s="884"/>
      <c r="J383" s="884"/>
      <c r="K383" s="884"/>
      <c r="L383" s="884"/>
      <c r="M383" s="884"/>
      <c r="N383" s="884"/>
      <c r="O383" s="884"/>
      <c r="P383" s="884"/>
      <c r="Q383" s="884"/>
      <c r="R383" s="884"/>
    </row>
    <row r="384" spans="2:18">
      <c r="B384" s="884"/>
      <c r="C384" s="884"/>
      <c r="D384" s="884"/>
      <c r="E384" s="884"/>
      <c r="F384" s="884"/>
      <c r="G384" s="884"/>
      <c r="H384" s="884"/>
      <c r="I384" s="884"/>
      <c r="J384" s="884"/>
      <c r="K384" s="884"/>
      <c r="L384" s="884"/>
      <c r="M384" s="884"/>
      <c r="N384" s="884"/>
      <c r="O384" s="884"/>
      <c r="P384" s="884"/>
      <c r="Q384" s="884"/>
      <c r="R384" s="884"/>
    </row>
    <row r="385" spans="2:18">
      <c r="B385" s="884"/>
      <c r="C385" s="884"/>
      <c r="D385" s="884"/>
      <c r="E385" s="884"/>
      <c r="F385" s="884"/>
      <c r="G385" s="884"/>
      <c r="H385" s="884"/>
      <c r="I385" s="884"/>
      <c r="J385" s="884"/>
      <c r="K385" s="884"/>
      <c r="L385" s="884"/>
      <c r="M385" s="884"/>
      <c r="N385" s="884"/>
      <c r="O385" s="884"/>
      <c r="P385" s="884"/>
      <c r="Q385" s="884"/>
      <c r="R385" s="884"/>
    </row>
    <row r="386" spans="2:18">
      <c r="B386" s="884"/>
      <c r="C386" s="884"/>
      <c r="D386" s="884"/>
      <c r="E386" s="884"/>
      <c r="F386" s="884"/>
      <c r="G386" s="884"/>
      <c r="H386" s="884"/>
      <c r="I386" s="884"/>
      <c r="J386" s="884"/>
      <c r="K386" s="884"/>
      <c r="L386" s="884"/>
      <c r="M386" s="884"/>
      <c r="N386" s="884"/>
      <c r="O386" s="884"/>
      <c r="P386" s="884"/>
      <c r="Q386" s="884"/>
      <c r="R386" s="884"/>
    </row>
    <row r="387" spans="2:18">
      <c r="B387" s="884"/>
      <c r="C387" s="884"/>
      <c r="D387" s="884"/>
      <c r="E387" s="884"/>
      <c r="F387" s="884"/>
      <c r="G387" s="884"/>
      <c r="H387" s="884"/>
      <c r="I387" s="884"/>
      <c r="J387" s="884"/>
      <c r="K387" s="884"/>
      <c r="L387" s="884"/>
      <c r="M387" s="884"/>
      <c r="N387" s="884"/>
      <c r="O387" s="884"/>
      <c r="P387" s="884"/>
      <c r="Q387" s="884"/>
      <c r="R387" s="884"/>
    </row>
    <row r="388" spans="2:18">
      <c r="B388" s="884"/>
      <c r="C388" s="884"/>
      <c r="D388" s="884"/>
      <c r="E388" s="884"/>
      <c r="F388" s="884"/>
      <c r="G388" s="884"/>
      <c r="H388" s="884"/>
      <c r="I388" s="884"/>
      <c r="J388" s="884"/>
      <c r="K388" s="884"/>
      <c r="L388" s="884"/>
      <c r="M388" s="884"/>
      <c r="N388" s="884"/>
      <c r="O388" s="884"/>
      <c r="P388" s="884"/>
      <c r="Q388" s="884"/>
      <c r="R388" s="884"/>
    </row>
    <row r="389" spans="2:18">
      <c r="B389" s="884"/>
      <c r="C389" s="884"/>
      <c r="D389" s="884"/>
      <c r="E389" s="884"/>
      <c r="F389" s="884"/>
      <c r="G389" s="884"/>
      <c r="H389" s="884"/>
      <c r="I389" s="884"/>
      <c r="J389" s="884"/>
      <c r="K389" s="884"/>
      <c r="L389" s="884"/>
      <c r="M389" s="884"/>
      <c r="N389" s="884"/>
      <c r="O389" s="884"/>
      <c r="P389" s="884"/>
      <c r="Q389" s="884"/>
      <c r="R389" s="884"/>
    </row>
    <row r="390" spans="2:18">
      <c r="B390" s="884"/>
      <c r="C390" s="884"/>
      <c r="D390" s="884"/>
      <c r="E390" s="884"/>
      <c r="F390" s="884"/>
      <c r="G390" s="884"/>
      <c r="H390" s="884"/>
      <c r="I390" s="884"/>
      <c r="J390" s="884"/>
      <c r="K390" s="884"/>
      <c r="L390" s="884"/>
      <c r="M390" s="884"/>
      <c r="N390" s="884"/>
      <c r="O390" s="884"/>
      <c r="P390" s="884"/>
      <c r="Q390" s="884"/>
      <c r="R390" s="884"/>
    </row>
    <row r="391" spans="2:18">
      <c r="B391" s="884"/>
      <c r="C391" s="884"/>
      <c r="D391" s="884"/>
      <c r="E391" s="884"/>
      <c r="F391" s="884"/>
      <c r="G391" s="884"/>
      <c r="H391" s="884"/>
      <c r="I391" s="884"/>
      <c r="J391" s="884"/>
      <c r="K391" s="884"/>
      <c r="L391" s="884"/>
      <c r="M391" s="884"/>
      <c r="N391" s="884"/>
      <c r="O391" s="884"/>
      <c r="P391" s="884"/>
      <c r="Q391" s="884"/>
      <c r="R391" s="884"/>
    </row>
    <row r="392" spans="2:18">
      <c r="B392" s="884"/>
      <c r="C392" s="884"/>
      <c r="D392" s="884"/>
      <c r="E392" s="884"/>
      <c r="F392" s="884"/>
      <c r="G392" s="884"/>
      <c r="H392" s="884"/>
      <c r="I392" s="884"/>
      <c r="J392" s="884"/>
      <c r="K392" s="884"/>
      <c r="L392" s="884"/>
      <c r="M392" s="884"/>
      <c r="N392" s="884"/>
      <c r="O392" s="884"/>
      <c r="P392" s="884"/>
      <c r="Q392" s="884"/>
      <c r="R392" s="884"/>
    </row>
    <row r="393" spans="2:18">
      <c r="B393" s="884"/>
      <c r="C393" s="884"/>
      <c r="D393" s="884"/>
      <c r="E393" s="884"/>
      <c r="F393" s="884"/>
      <c r="G393" s="884"/>
      <c r="H393" s="884"/>
      <c r="I393" s="884"/>
      <c r="J393" s="884"/>
      <c r="K393" s="884"/>
      <c r="L393" s="884"/>
      <c r="M393" s="884"/>
      <c r="N393" s="884"/>
      <c r="O393" s="884"/>
      <c r="P393" s="884"/>
      <c r="Q393" s="884"/>
      <c r="R393" s="884"/>
    </row>
    <row r="394" spans="2:18">
      <c r="B394" s="884"/>
      <c r="C394" s="884"/>
      <c r="D394" s="884"/>
      <c r="E394" s="884"/>
      <c r="F394" s="884"/>
      <c r="G394" s="884"/>
      <c r="H394" s="884"/>
      <c r="I394" s="884"/>
      <c r="J394" s="884"/>
      <c r="K394" s="884"/>
      <c r="L394" s="884"/>
      <c r="M394" s="884"/>
      <c r="N394" s="884"/>
      <c r="O394" s="884"/>
      <c r="P394" s="884"/>
      <c r="Q394" s="884"/>
      <c r="R394" s="884"/>
    </row>
    <row r="395" spans="2:18">
      <c r="B395" s="884"/>
      <c r="C395" s="884"/>
      <c r="D395" s="884"/>
      <c r="E395" s="884"/>
      <c r="F395" s="884"/>
      <c r="G395" s="884"/>
      <c r="H395" s="884"/>
      <c r="I395" s="884"/>
      <c r="J395" s="884"/>
      <c r="K395" s="884"/>
      <c r="L395" s="884"/>
      <c r="M395" s="884"/>
      <c r="N395" s="884"/>
      <c r="O395" s="884"/>
      <c r="P395" s="884"/>
      <c r="Q395" s="884"/>
      <c r="R395" s="884"/>
    </row>
    <row r="396" spans="2:18">
      <c r="B396" s="884"/>
      <c r="C396" s="884"/>
      <c r="D396" s="884"/>
      <c r="E396" s="884"/>
      <c r="F396" s="884"/>
      <c r="G396" s="884"/>
      <c r="H396" s="884"/>
      <c r="I396" s="884"/>
      <c r="J396" s="884"/>
      <c r="K396" s="884"/>
      <c r="L396" s="884"/>
      <c r="M396" s="884"/>
      <c r="N396" s="884"/>
      <c r="O396" s="884"/>
      <c r="P396" s="884"/>
      <c r="Q396" s="884"/>
      <c r="R396" s="884"/>
    </row>
    <row r="397" spans="2:18">
      <c r="B397" s="884"/>
      <c r="C397" s="884"/>
      <c r="D397" s="884"/>
      <c r="E397" s="884"/>
      <c r="F397" s="884"/>
      <c r="G397" s="884"/>
      <c r="H397" s="884"/>
      <c r="I397" s="884"/>
      <c r="J397" s="884"/>
      <c r="K397" s="884"/>
      <c r="L397" s="884"/>
      <c r="M397" s="884"/>
      <c r="N397" s="884"/>
      <c r="O397" s="884"/>
      <c r="P397" s="884"/>
      <c r="Q397" s="884"/>
      <c r="R397" s="884"/>
    </row>
    <row r="398" spans="2:18">
      <c r="B398" s="884"/>
      <c r="C398" s="884"/>
      <c r="D398" s="884"/>
      <c r="E398" s="884"/>
      <c r="F398" s="884"/>
      <c r="G398" s="884"/>
      <c r="H398" s="884"/>
      <c r="I398" s="884"/>
      <c r="J398" s="884"/>
      <c r="K398" s="884"/>
      <c r="L398" s="884"/>
      <c r="M398" s="884"/>
      <c r="N398" s="884"/>
      <c r="O398" s="884"/>
      <c r="P398" s="884"/>
      <c r="Q398" s="884"/>
      <c r="R398" s="884"/>
    </row>
    <row r="399" spans="2:18">
      <c r="B399" s="884"/>
      <c r="C399" s="884"/>
      <c r="D399" s="884"/>
      <c r="E399" s="884"/>
      <c r="F399" s="884"/>
      <c r="G399" s="884"/>
      <c r="H399" s="884"/>
      <c r="I399" s="884"/>
      <c r="J399" s="884"/>
      <c r="K399" s="884"/>
      <c r="L399" s="884"/>
      <c r="M399" s="884"/>
      <c r="N399" s="884"/>
      <c r="O399" s="884"/>
      <c r="P399" s="884"/>
      <c r="Q399" s="884"/>
      <c r="R399" s="884"/>
    </row>
    <row r="400" spans="2:18">
      <c r="B400" s="884"/>
      <c r="C400" s="884"/>
      <c r="D400" s="884"/>
      <c r="E400" s="884"/>
      <c r="F400" s="884"/>
      <c r="G400" s="884"/>
      <c r="H400" s="884"/>
      <c r="I400" s="884"/>
      <c r="J400" s="884"/>
      <c r="K400" s="884"/>
      <c r="L400" s="884"/>
      <c r="M400" s="884"/>
      <c r="N400" s="884"/>
      <c r="O400" s="884"/>
      <c r="P400" s="884"/>
      <c r="Q400" s="884"/>
      <c r="R400" s="884"/>
    </row>
    <row r="401" spans="2:18">
      <c r="B401" s="884"/>
      <c r="C401" s="884"/>
      <c r="D401" s="884"/>
      <c r="E401" s="884"/>
      <c r="F401" s="884"/>
      <c r="G401" s="884"/>
      <c r="H401" s="884"/>
      <c r="I401" s="884"/>
      <c r="J401" s="884"/>
      <c r="K401" s="884"/>
      <c r="L401" s="884"/>
      <c r="M401" s="884"/>
      <c r="N401" s="884"/>
      <c r="O401" s="884"/>
      <c r="P401" s="884"/>
      <c r="Q401" s="884"/>
      <c r="R401" s="884"/>
    </row>
    <row r="402" spans="2:18">
      <c r="B402" s="884"/>
      <c r="C402" s="884"/>
      <c r="D402" s="884"/>
      <c r="E402" s="884"/>
      <c r="F402" s="884"/>
      <c r="G402" s="884"/>
      <c r="H402" s="884"/>
      <c r="I402" s="884"/>
      <c r="J402" s="884"/>
      <c r="K402" s="884"/>
      <c r="L402" s="884"/>
      <c r="M402" s="884"/>
      <c r="N402" s="884"/>
      <c r="O402" s="884"/>
      <c r="P402" s="884"/>
      <c r="Q402" s="884"/>
      <c r="R402" s="884"/>
    </row>
    <row r="403" spans="2:18">
      <c r="B403" s="884"/>
      <c r="C403" s="884"/>
      <c r="D403" s="884"/>
      <c r="E403" s="884"/>
      <c r="F403" s="884"/>
      <c r="G403" s="884"/>
      <c r="H403" s="884"/>
      <c r="I403" s="884"/>
      <c r="J403" s="884"/>
      <c r="K403" s="884"/>
      <c r="L403" s="884"/>
      <c r="M403" s="884"/>
      <c r="N403" s="884"/>
      <c r="O403" s="884"/>
      <c r="P403" s="884"/>
      <c r="Q403" s="884"/>
      <c r="R403" s="884"/>
    </row>
    <row r="404" spans="2:18">
      <c r="B404" s="884"/>
      <c r="C404" s="884"/>
      <c r="D404" s="884"/>
      <c r="E404" s="884"/>
      <c r="F404" s="884"/>
      <c r="G404" s="884"/>
      <c r="H404" s="884"/>
      <c r="I404" s="884"/>
      <c r="J404" s="884"/>
      <c r="K404" s="884"/>
      <c r="L404" s="884"/>
      <c r="M404" s="884"/>
      <c r="N404" s="884"/>
      <c r="O404" s="884"/>
      <c r="P404" s="884"/>
      <c r="Q404" s="884"/>
      <c r="R404" s="884"/>
    </row>
    <row r="405" spans="2:18">
      <c r="B405" s="884"/>
      <c r="C405" s="884"/>
      <c r="D405" s="884"/>
      <c r="E405" s="884"/>
      <c r="F405" s="884"/>
      <c r="G405" s="884"/>
      <c r="H405" s="884"/>
      <c r="I405" s="884"/>
      <c r="J405" s="884"/>
      <c r="K405" s="884"/>
      <c r="L405" s="884"/>
      <c r="M405" s="884"/>
      <c r="N405" s="884"/>
      <c r="O405" s="884"/>
      <c r="P405" s="884"/>
      <c r="Q405" s="884"/>
      <c r="R405" s="884"/>
    </row>
    <row r="406" spans="2:18">
      <c r="B406" s="884"/>
      <c r="C406" s="884"/>
      <c r="D406" s="884"/>
      <c r="E406" s="884"/>
      <c r="F406" s="884"/>
      <c r="G406" s="884"/>
      <c r="H406" s="884"/>
      <c r="I406" s="884"/>
      <c r="J406" s="884"/>
      <c r="K406" s="884"/>
      <c r="L406" s="884"/>
      <c r="M406" s="884"/>
      <c r="N406" s="884"/>
      <c r="O406" s="884"/>
      <c r="P406" s="884"/>
      <c r="Q406" s="884"/>
      <c r="R406" s="884"/>
    </row>
    <row r="407" spans="2:18">
      <c r="B407" s="884"/>
      <c r="C407" s="884"/>
      <c r="D407" s="884"/>
      <c r="E407" s="884"/>
      <c r="F407" s="884"/>
      <c r="G407" s="884"/>
      <c r="H407" s="884"/>
      <c r="I407" s="884"/>
      <c r="J407" s="884"/>
      <c r="K407" s="884"/>
      <c r="L407" s="884"/>
      <c r="M407" s="884"/>
      <c r="N407" s="884"/>
      <c r="O407" s="884"/>
      <c r="P407" s="884"/>
      <c r="Q407" s="884"/>
      <c r="R407" s="884"/>
    </row>
    <row r="408" spans="2:18">
      <c r="B408" s="884"/>
      <c r="C408" s="884"/>
      <c r="D408" s="884"/>
      <c r="E408" s="884"/>
      <c r="F408" s="884"/>
      <c r="G408" s="884"/>
      <c r="H408" s="884"/>
      <c r="I408" s="884"/>
      <c r="J408" s="884"/>
      <c r="K408" s="884"/>
      <c r="L408" s="884"/>
      <c r="M408" s="884"/>
      <c r="N408" s="884"/>
      <c r="O408" s="884"/>
      <c r="P408" s="884"/>
      <c r="Q408" s="884"/>
      <c r="R408" s="884"/>
    </row>
    <row r="409" spans="2:18">
      <c r="B409" s="884"/>
      <c r="C409" s="884"/>
      <c r="D409" s="884"/>
      <c r="E409" s="884"/>
      <c r="F409" s="884"/>
      <c r="G409" s="884"/>
      <c r="H409" s="884"/>
      <c r="I409" s="884"/>
      <c r="J409" s="884"/>
      <c r="K409" s="884"/>
      <c r="L409" s="884"/>
      <c r="M409" s="884"/>
      <c r="N409" s="884"/>
      <c r="O409" s="884"/>
      <c r="P409" s="884"/>
      <c r="Q409" s="884"/>
      <c r="R409" s="884"/>
    </row>
    <row r="410" spans="2:18">
      <c r="B410" s="884"/>
      <c r="C410" s="884"/>
      <c r="D410" s="884"/>
      <c r="E410" s="884"/>
      <c r="F410" s="884"/>
      <c r="G410" s="884"/>
      <c r="H410" s="884"/>
      <c r="I410" s="884"/>
      <c r="J410" s="884"/>
      <c r="K410" s="884"/>
      <c r="L410" s="884"/>
      <c r="M410" s="884"/>
      <c r="N410" s="884"/>
      <c r="O410" s="884"/>
      <c r="P410" s="884"/>
      <c r="Q410" s="884"/>
      <c r="R410" s="884"/>
    </row>
    <row r="411" spans="2:18">
      <c r="B411" s="884"/>
      <c r="C411" s="884"/>
      <c r="D411" s="884"/>
      <c r="E411" s="884"/>
      <c r="F411" s="884"/>
      <c r="G411" s="884"/>
      <c r="H411" s="884"/>
      <c r="I411" s="884"/>
      <c r="J411" s="884"/>
      <c r="K411" s="884"/>
      <c r="L411" s="884"/>
      <c r="M411" s="884"/>
      <c r="N411" s="884"/>
      <c r="O411" s="884"/>
      <c r="P411" s="884"/>
      <c r="Q411" s="884"/>
      <c r="R411" s="884"/>
    </row>
    <row r="412" spans="2:18">
      <c r="B412" s="884"/>
      <c r="C412" s="884"/>
      <c r="D412" s="884"/>
      <c r="E412" s="884"/>
      <c r="F412" s="884"/>
      <c r="G412" s="884"/>
      <c r="H412" s="884"/>
      <c r="I412" s="884"/>
      <c r="J412" s="884"/>
      <c r="K412" s="884"/>
      <c r="L412" s="884"/>
      <c r="M412" s="884"/>
      <c r="N412" s="884"/>
      <c r="O412" s="884"/>
      <c r="P412" s="884"/>
      <c r="Q412" s="884"/>
      <c r="R412" s="884"/>
    </row>
    <row r="413" spans="2:18">
      <c r="B413" s="884"/>
      <c r="C413" s="884"/>
      <c r="D413" s="884"/>
      <c r="E413" s="884"/>
      <c r="F413" s="884"/>
      <c r="G413" s="884"/>
      <c r="H413" s="884"/>
      <c r="I413" s="884"/>
      <c r="J413" s="884"/>
      <c r="K413" s="884"/>
      <c r="L413" s="884"/>
      <c r="M413" s="884"/>
      <c r="N413" s="884"/>
      <c r="O413" s="884"/>
      <c r="P413" s="884"/>
      <c r="Q413" s="884"/>
      <c r="R413" s="884"/>
    </row>
    <row r="414" spans="2:18">
      <c r="B414" s="884"/>
      <c r="C414" s="884"/>
      <c r="D414" s="884"/>
      <c r="E414" s="884"/>
      <c r="F414" s="884"/>
      <c r="G414" s="884"/>
      <c r="H414" s="884"/>
      <c r="I414" s="884"/>
      <c r="J414" s="884"/>
      <c r="K414" s="884"/>
      <c r="L414" s="884"/>
      <c r="M414" s="884"/>
      <c r="N414" s="884"/>
      <c r="O414" s="884"/>
      <c r="P414" s="884"/>
      <c r="Q414" s="884"/>
      <c r="R414" s="884"/>
    </row>
    <row r="415" spans="2:18">
      <c r="B415" s="884"/>
      <c r="C415" s="884"/>
      <c r="D415" s="884"/>
      <c r="E415" s="884"/>
      <c r="F415" s="884"/>
      <c r="G415" s="884"/>
      <c r="H415" s="884"/>
      <c r="I415" s="884"/>
      <c r="J415" s="884"/>
      <c r="K415" s="884"/>
      <c r="L415" s="884"/>
      <c r="M415" s="884"/>
      <c r="N415" s="884"/>
      <c r="O415" s="884"/>
      <c r="P415" s="884"/>
      <c r="Q415" s="884"/>
      <c r="R415" s="884"/>
    </row>
    <row r="416" spans="2:18">
      <c r="B416" s="884"/>
      <c r="C416" s="884"/>
      <c r="D416" s="884"/>
      <c r="E416" s="884"/>
      <c r="F416" s="884"/>
      <c r="G416" s="884"/>
      <c r="H416" s="884"/>
      <c r="I416" s="884"/>
      <c r="J416" s="884"/>
      <c r="K416" s="884"/>
      <c r="L416" s="884"/>
      <c r="M416" s="884"/>
      <c r="N416" s="884"/>
      <c r="O416" s="884"/>
      <c r="P416" s="884"/>
      <c r="Q416" s="884"/>
      <c r="R416" s="884"/>
    </row>
    <row r="417" spans="2:18">
      <c r="B417" s="884"/>
      <c r="C417" s="884"/>
      <c r="D417" s="884"/>
      <c r="E417" s="884"/>
      <c r="F417" s="884"/>
      <c r="G417" s="884"/>
      <c r="H417" s="884"/>
      <c r="I417" s="884"/>
      <c r="J417" s="884"/>
      <c r="K417" s="884"/>
      <c r="L417" s="884"/>
      <c r="M417" s="884"/>
      <c r="N417" s="884"/>
      <c r="O417" s="884"/>
      <c r="P417" s="884"/>
      <c r="Q417" s="884"/>
      <c r="R417" s="884"/>
    </row>
    <row r="418" spans="2:18">
      <c r="B418" s="884"/>
      <c r="C418" s="884"/>
      <c r="D418" s="884"/>
      <c r="E418" s="884"/>
      <c r="F418" s="884"/>
      <c r="G418" s="884"/>
      <c r="H418" s="884"/>
      <c r="I418" s="884"/>
      <c r="J418" s="884"/>
      <c r="K418" s="884"/>
      <c r="L418" s="884"/>
      <c r="M418" s="884"/>
      <c r="N418" s="884"/>
      <c r="O418" s="884"/>
      <c r="P418" s="884"/>
      <c r="Q418" s="884"/>
      <c r="R418" s="884"/>
    </row>
    <row r="419" spans="2:18">
      <c r="B419" s="884"/>
      <c r="C419" s="884"/>
      <c r="D419" s="884"/>
      <c r="E419" s="884"/>
      <c r="F419" s="884"/>
      <c r="G419" s="884"/>
      <c r="H419" s="884"/>
      <c r="I419" s="884"/>
      <c r="J419" s="884"/>
      <c r="K419" s="884"/>
      <c r="L419" s="884"/>
      <c r="M419" s="884"/>
      <c r="N419" s="884"/>
      <c r="O419" s="884"/>
      <c r="P419" s="884"/>
      <c r="Q419" s="884"/>
      <c r="R419" s="884"/>
    </row>
    <row r="420" spans="2:18">
      <c r="B420" s="884"/>
      <c r="C420" s="884"/>
      <c r="D420" s="884"/>
      <c r="E420" s="884"/>
      <c r="F420" s="884"/>
      <c r="G420" s="884"/>
      <c r="H420" s="884"/>
      <c r="I420" s="884"/>
      <c r="J420" s="884"/>
      <c r="K420" s="884"/>
      <c r="L420" s="884"/>
      <c r="M420" s="884"/>
      <c r="N420" s="884"/>
      <c r="O420" s="884"/>
      <c r="P420" s="884"/>
      <c r="Q420" s="884"/>
      <c r="R420" s="884"/>
    </row>
    <row r="421" spans="2:18">
      <c r="B421" s="884"/>
      <c r="C421" s="884"/>
      <c r="D421" s="884"/>
      <c r="E421" s="884"/>
      <c r="F421" s="884"/>
      <c r="G421" s="884"/>
      <c r="H421" s="884"/>
      <c r="I421" s="884"/>
      <c r="J421" s="884"/>
      <c r="K421" s="884"/>
      <c r="L421" s="884"/>
      <c r="M421" s="884"/>
      <c r="N421" s="884"/>
      <c r="O421" s="884"/>
      <c r="P421" s="884"/>
      <c r="Q421" s="884"/>
      <c r="R421" s="884"/>
    </row>
    <row r="422" spans="2:18">
      <c r="B422" s="884"/>
      <c r="C422" s="884"/>
      <c r="D422" s="884"/>
      <c r="E422" s="884"/>
      <c r="F422" s="884"/>
      <c r="G422" s="884"/>
      <c r="H422" s="884"/>
      <c r="I422" s="884"/>
      <c r="J422" s="884"/>
      <c r="K422" s="884"/>
      <c r="L422" s="884"/>
      <c r="M422" s="884"/>
      <c r="N422" s="884"/>
      <c r="O422" s="884"/>
      <c r="P422" s="884"/>
      <c r="Q422" s="884"/>
      <c r="R422" s="884"/>
    </row>
    <row r="423" spans="2:18">
      <c r="B423" s="884"/>
      <c r="C423" s="884"/>
      <c r="D423" s="884"/>
      <c r="E423" s="884"/>
      <c r="F423" s="884"/>
      <c r="G423" s="884"/>
      <c r="H423" s="884"/>
      <c r="I423" s="884"/>
      <c r="J423" s="884"/>
      <c r="K423" s="884"/>
      <c r="L423" s="884"/>
      <c r="M423" s="884"/>
      <c r="N423" s="884"/>
      <c r="O423" s="884"/>
      <c r="P423" s="884"/>
      <c r="Q423" s="884"/>
      <c r="R423" s="884"/>
    </row>
    <row r="424" spans="2:18">
      <c r="B424" s="884"/>
      <c r="C424" s="884"/>
      <c r="D424" s="884"/>
      <c r="E424" s="884"/>
      <c r="F424" s="884"/>
      <c r="G424" s="884"/>
      <c r="H424" s="884"/>
      <c r="I424" s="884"/>
      <c r="J424" s="884"/>
      <c r="K424" s="884"/>
      <c r="L424" s="884"/>
      <c r="M424" s="884"/>
      <c r="N424" s="884"/>
      <c r="O424" s="884"/>
      <c r="P424" s="884"/>
      <c r="Q424" s="884"/>
      <c r="R424" s="884"/>
    </row>
    <row r="425" spans="2:18">
      <c r="B425" s="884"/>
      <c r="C425" s="884"/>
      <c r="D425" s="884"/>
      <c r="E425" s="884"/>
      <c r="F425" s="884"/>
      <c r="G425" s="884"/>
      <c r="H425" s="884"/>
      <c r="I425" s="884"/>
      <c r="J425" s="884"/>
      <c r="K425" s="884"/>
      <c r="L425" s="884"/>
      <c r="M425" s="884"/>
      <c r="N425" s="884"/>
      <c r="O425" s="884"/>
      <c r="P425" s="884"/>
      <c r="Q425" s="884"/>
      <c r="R425" s="884"/>
    </row>
    <row r="426" spans="2:18">
      <c r="B426" s="884"/>
      <c r="C426" s="884"/>
      <c r="D426" s="884"/>
      <c r="E426" s="884"/>
      <c r="F426" s="884"/>
      <c r="G426" s="884"/>
      <c r="H426" s="884"/>
      <c r="I426" s="884"/>
      <c r="J426" s="884"/>
      <c r="K426" s="884"/>
      <c r="L426" s="884"/>
      <c r="M426" s="884"/>
      <c r="N426" s="884"/>
      <c r="O426" s="884"/>
      <c r="P426" s="884"/>
      <c r="Q426" s="884"/>
      <c r="R426" s="884"/>
    </row>
    <row r="427" spans="2:18">
      <c r="B427" s="884"/>
      <c r="C427" s="884"/>
      <c r="D427" s="884"/>
      <c r="E427" s="884"/>
      <c r="F427" s="884"/>
      <c r="G427" s="884"/>
      <c r="H427" s="884"/>
      <c r="I427" s="884"/>
      <c r="J427" s="884"/>
      <c r="K427" s="884"/>
      <c r="L427" s="884"/>
      <c r="M427" s="884"/>
      <c r="N427" s="884"/>
      <c r="O427" s="884"/>
      <c r="P427" s="884"/>
      <c r="Q427" s="884"/>
      <c r="R427" s="884"/>
    </row>
    <row r="428" spans="2:18">
      <c r="B428" s="884"/>
      <c r="C428" s="884"/>
      <c r="D428" s="884"/>
      <c r="E428" s="884"/>
      <c r="F428" s="884"/>
      <c r="G428" s="884"/>
      <c r="H428" s="884"/>
      <c r="I428" s="884"/>
      <c r="J428" s="884"/>
      <c r="K428" s="884"/>
      <c r="L428" s="884"/>
      <c r="M428" s="884"/>
      <c r="N428" s="884"/>
      <c r="O428" s="884"/>
      <c r="P428" s="884"/>
      <c r="Q428" s="884"/>
      <c r="R428" s="884"/>
    </row>
    <row r="429" spans="2:18">
      <c r="B429" s="884"/>
      <c r="C429" s="884"/>
      <c r="D429" s="884"/>
      <c r="E429" s="884"/>
      <c r="F429" s="884"/>
      <c r="G429" s="884"/>
      <c r="H429" s="884"/>
      <c r="I429" s="884"/>
      <c r="J429" s="884"/>
      <c r="K429" s="884"/>
      <c r="L429" s="884"/>
      <c r="M429" s="884"/>
      <c r="N429" s="884"/>
      <c r="O429" s="884"/>
      <c r="P429" s="884"/>
      <c r="Q429" s="884"/>
      <c r="R429" s="884"/>
    </row>
    <row r="430" spans="2:18">
      <c r="B430" s="884"/>
      <c r="C430" s="884"/>
      <c r="D430" s="884"/>
      <c r="E430" s="884"/>
      <c r="F430" s="884"/>
      <c r="G430" s="884"/>
      <c r="H430" s="884"/>
      <c r="I430" s="884"/>
      <c r="J430" s="884"/>
      <c r="K430" s="884"/>
      <c r="L430" s="884"/>
      <c r="M430" s="884"/>
      <c r="N430" s="884"/>
      <c r="O430" s="884"/>
      <c r="P430" s="884"/>
      <c r="Q430" s="884"/>
      <c r="R430" s="884"/>
    </row>
    <row r="431" spans="2:18">
      <c r="B431" s="884"/>
      <c r="C431" s="884"/>
      <c r="D431" s="884"/>
      <c r="E431" s="884"/>
      <c r="F431" s="884"/>
      <c r="G431" s="884"/>
      <c r="H431" s="884"/>
      <c r="I431" s="884"/>
      <c r="J431" s="884"/>
      <c r="K431" s="884"/>
      <c r="L431" s="884"/>
      <c r="M431" s="884"/>
      <c r="N431" s="884"/>
      <c r="O431" s="884"/>
      <c r="P431" s="884"/>
      <c r="Q431" s="884"/>
      <c r="R431" s="884"/>
    </row>
    <row r="432" spans="2:18">
      <c r="B432" s="884"/>
      <c r="C432" s="884"/>
      <c r="D432" s="884"/>
      <c r="E432" s="884"/>
      <c r="F432" s="884"/>
      <c r="G432" s="884"/>
      <c r="H432" s="884"/>
      <c r="I432" s="884"/>
      <c r="J432" s="884"/>
      <c r="K432" s="884"/>
      <c r="L432" s="884"/>
      <c r="M432" s="884"/>
      <c r="N432" s="884"/>
      <c r="O432" s="884"/>
      <c r="P432" s="884"/>
      <c r="Q432" s="884"/>
      <c r="R432" s="884"/>
    </row>
    <row r="433" spans="2:18">
      <c r="B433" s="884"/>
      <c r="C433" s="884"/>
      <c r="D433" s="884"/>
      <c r="E433" s="884"/>
      <c r="F433" s="884"/>
      <c r="G433" s="884"/>
      <c r="H433" s="884"/>
      <c r="I433" s="884"/>
      <c r="J433" s="884"/>
      <c r="K433" s="884"/>
      <c r="L433" s="884"/>
      <c r="M433" s="884"/>
      <c r="N433" s="884"/>
      <c r="O433" s="884"/>
      <c r="P433" s="884"/>
      <c r="Q433" s="884"/>
      <c r="R433" s="884"/>
    </row>
    <row r="434" spans="2:18">
      <c r="B434" s="884"/>
      <c r="C434" s="884"/>
      <c r="D434" s="884"/>
      <c r="E434" s="884"/>
      <c r="F434" s="884"/>
      <c r="G434" s="884"/>
      <c r="H434" s="884"/>
      <c r="I434" s="884"/>
      <c r="J434" s="884"/>
      <c r="K434" s="884"/>
      <c r="L434" s="884"/>
      <c r="M434" s="884"/>
      <c r="N434" s="884"/>
      <c r="O434" s="884"/>
      <c r="P434" s="884"/>
      <c r="Q434" s="884"/>
      <c r="R434" s="884"/>
    </row>
    <row r="435" spans="2:18">
      <c r="B435" s="884"/>
      <c r="C435" s="884"/>
      <c r="D435" s="884"/>
      <c r="E435" s="884"/>
      <c r="F435" s="884"/>
      <c r="G435" s="884"/>
      <c r="H435" s="884"/>
      <c r="I435" s="884"/>
      <c r="J435" s="884"/>
      <c r="K435" s="884"/>
      <c r="L435" s="884"/>
      <c r="M435" s="884"/>
      <c r="N435" s="884"/>
      <c r="O435" s="884"/>
      <c r="P435" s="884"/>
      <c r="Q435" s="884"/>
      <c r="R435" s="884"/>
    </row>
    <row r="436" spans="2:18">
      <c r="B436" s="884"/>
      <c r="C436" s="884"/>
      <c r="D436" s="884"/>
      <c r="E436" s="884"/>
      <c r="F436" s="884"/>
      <c r="G436" s="884"/>
      <c r="H436" s="884"/>
      <c r="I436" s="884"/>
      <c r="J436" s="884"/>
      <c r="K436" s="884"/>
      <c r="L436" s="884"/>
      <c r="M436" s="884"/>
      <c r="N436" s="884"/>
      <c r="O436" s="884"/>
      <c r="P436" s="884"/>
      <c r="Q436" s="884"/>
      <c r="R436" s="884"/>
    </row>
    <row r="437" spans="2:18">
      <c r="B437" s="884"/>
      <c r="C437" s="884"/>
      <c r="D437" s="884"/>
      <c r="E437" s="884"/>
      <c r="F437" s="884"/>
      <c r="G437" s="884"/>
      <c r="H437" s="884"/>
      <c r="I437" s="884"/>
      <c r="J437" s="884"/>
      <c r="K437" s="884"/>
      <c r="L437" s="884"/>
      <c r="M437" s="884"/>
      <c r="N437" s="884"/>
      <c r="O437" s="884"/>
      <c r="P437" s="884"/>
      <c r="Q437" s="884"/>
      <c r="R437" s="884"/>
    </row>
    <row r="438" spans="2:18">
      <c r="B438" s="884"/>
      <c r="C438" s="884"/>
      <c r="D438" s="884"/>
      <c r="E438" s="884"/>
      <c r="F438" s="884"/>
      <c r="G438" s="884"/>
      <c r="H438" s="884"/>
      <c r="I438" s="884"/>
      <c r="J438" s="884"/>
      <c r="K438" s="884"/>
      <c r="L438" s="884"/>
      <c r="M438" s="884"/>
      <c r="N438" s="884"/>
      <c r="O438" s="884"/>
      <c r="P438" s="884"/>
      <c r="Q438" s="884"/>
      <c r="R438" s="884"/>
    </row>
    <row r="439" spans="2:18">
      <c r="B439" s="884"/>
      <c r="C439" s="884"/>
      <c r="D439" s="884"/>
      <c r="E439" s="884"/>
      <c r="F439" s="884"/>
      <c r="G439" s="884"/>
      <c r="H439" s="884"/>
      <c r="I439" s="884"/>
      <c r="J439" s="884"/>
      <c r="K439" s="884"/>
      <c r="L439" s="884"/>
      <c r="M439" s="884"/>
      <c r="N439" s="884"/>
      <c r="O439" s="884"/>
      <c r="P439" s="884"/>
      <c r="Q439" s="884"/>
      <c r="R439" s="884"/>
    </row>
    <row r="440" spans="2:18">
      <c r="B440" s="884"/>
      <c r="C440" s="884"/>
      <c r="D440" s="884"/>
      <c r="E440" s="884"/>
      <c r="F440" s="884"/>
      <c r="G440" s="884"/>
      <c r="H440" s="884"/>
      <c r="I440" s="884"/>
      <c r="J440" s="884"/>
      <c r="K440" s="884"/>
      <c r="L440" s="884"/>
      <c r="M440" s="884"/>
      <c r="N440" s="884"/>
      <c r="O440" s="884"/>
      <c r="P440" s="884"/>
      <c r="Q440" s="884"/>
      <c r="R440" s="884"/>
    </row>
    <row r="441" spans="2:18">
      <c r="B441" s="884"/>
      <c r="C441" s="884"/>
      <c r="D441" s="884"/>
      <c r="E441" s="884"/>
      <c r="F441" s="884"/>
      <c r="G441" s="884"/>
      <c r="H441" s="884"/>
      <c r="I441" s="884"/>
      <c r="J441" s="884"/>
      <c r="K441" s="884"/>
      <c r="L441" s="884"/>
      <c r="M441" s="884"/>
      <c r="N441" s="884"/>
      <c r="O441" s="884"/>
      <c r="P441" s="884"/>
      <c r="Q441" s="884"/>
      <c r="R441" s="884"/>
    </row>
    <row r="442" spans="2:18">
      <c r="B442" s="884"/>
      <c r="C442" s="884"/>
      <c r="D442" s="884"/>
      <c r="E442" s="884"/>
      <c r="F442" s="884"/>
      <c r="G442" s="884"/>
      <c r="H442" s="884"/>
      <c r="I442" s="884"/>
      <c r="J442" s="884"/>
      <c r="K442" s="884"/>
      <c r="L442" s="884"/>
      <c r="M442" s="884"/>
      <c r="N442" s="884"/>
      <c r="O442" s="884"/>
      <c r="P442" s="884"/>
      <c r="Q442" s="884"/>
      <c r="R442" s="884"/>
    </row>
    <row r="443" spans="2:18">
      <c r="B443" s="884"/>
      <c r="C443" s="884"/>
      <c r="D443" s="884"/>
      <c r="E443" s="884"/>
      <c r="F443" s="884"/>
      <c r="G443" s="884"/>
      <c r="H443" s="884"/>
      <c r="I443" s="884"/>
      <c r="J443" s="884"/>
      <c r="K443" s="884"/>
      <c r="L443" s="884"/>
      <c r="M443" s="884"/>
      <c r="N443" s="884"/>
      <c r="O443" s="884"/>
      <c r="P443" s="884"/>
      <c r="Q443" s="884"/>
      <c r="R443" s="884"/>
    </row>
    <row r="444" spans="2:18">
      <c r="B444" s="884"/>
      <c r="C444" s="884"/>
      <c r="D444" s="884"/>
      <c r="E444" s="884"/>
      <c r="F444" s="884"/>
      <c r="G444" s="884"/>
      <c r="H444" s="884"/>
      <c r="I444" s="884"/>
      <c r="J444" s="884"/>
      <c r="K444" s="884"/>
      <c r="L444" s="884"/>
      <c r="M444" s="884"/>
      <c r="N444" s="884"/>
      <c r="O444" s="884"/>
      <c r="P444" s="884"/>
      <c r="Q444" s="884"/>
      <c r="R444" s="884"/>
    </row>
    <row r="445" spans="2:18">
      <c r="B445" s="884"/>
      <c r="C445" s="884"/>
      <c r="D445" s="884"/>
      <c r="E445" s="884"/>
      <c r="F445" s="884"/>
      <c r="G445" s="884"/>
      <c r="H445" s="884"/>
      <c r="I445" s="884"/>
      <c r="J445" s="884"/>
      <c r="K445" s="884"/>
      <c r="L445" s="884"/>
      <c r="M445" s="884"/>
      <c r="N445" s="884"/>
      <c r="O445" s="884"/>
      <c r="P445" s="884"/>
      <c r="Q445" s="884"/>
      <c r="R445" s="884"/>
    </row>
    <row r="446" spans="2:18">
      <c r="B446" s="884"/>
      <c r="C446" s="884"/>
      <c r="D446" s="884"/>
      <c r="E446" s="884"/>
      <c r="F446" s="884"/>
      <c r="G446" s="884"/>
      <c r="H446" s="884"/>
      <c r="I446" s="884"/>
      <c r="J446" s="884"/>
      <c r="K446" s="884"/>
      <c r="L446" s="884"/>
      <c r="M446" s="884"/>
      <c r="N446" s="884"/>
      <c r="O446" s="884"/>
      <c r="P446" s="884"/>
      <c r="Q446" s="884"/>
      <c r="R446" s="884"/>
    </row>
    <row r="447" spans="2:18">
      <c r="B447" s="884"/>
      <c r="C447" s="884"/>
      <c r="D447" s="884"/>
      <c r="E447" s="884"/>
      <c r="F447" s="884"/>
      <c r="G447" s="884"/>
      <c r="H447" s="884"/>
      <c r="I447" s="884"/>
      <c r="J447" s="884"/>
      <c r="K447" s="884"/>
      <c r="L447" s="884"/>
      <c r="M447" s="884"/>
      <c r="N447" s="884"/>
      <c r="O447" s="884"/>
      <c r="P447" s="884"/>
      <c r="Q447" s="884"/>
      <c r="R447" s="884"/>
    </row>
    <row r="448" spans="2:18">
      <c r="B448" s="884"/>
      <c r="C448" s="884"/>
      <c r="D448" s="884"/>
      <c r="E448" s="884"/>
      <c r="F448" s="884"/>
      <c r="G448" s="884"/>
      <c r="H448" s="884"/>
      <c r="I448" s="884"/>
      <c r="J448" s="884"/>
      <c r="K448" s="884"/>
      <c r="L448" s="884"/>
      <c r="M448" s="884"/>
      <c r="N448" s="884"/>
      <c r="O448" s="884"/>
      <c r="P448" s="884"/>
      <c r="Q448" s="884"/>
      <c r="R448" s="884"/>
    </row>
    <row r="449" spans="2:18">
      <c r="B449" s="884"/>
      <c r="C449" s="884"/>
      <c r="D449" s="884"/>
      <c r="E449" s="884"/>
      <c r="F449" s="884"/>
      <c r="G449" s="884"/>
      <c r="H449" s="884"/>
      <c r="I449" s="884"/>
      <c r="J449" s="884"/>
      <c r="K449" s="884"/>
      <c r="L449" s="884"/>
      <c r="M449" s="884"/>
      <c r="N449" s="884"/>
      <c r="O449" s="884"/>
      <c r="P449" s="884"/>
      <c r="Q449" s="884"/>
      <c r="R449" s="884"/>
    </row>
    <row r="450" spans="2:18">
      <c r="B450" s="884"/>
      <c r="C450" s="884"/>
      <c r="D450" s="884"/>
      <c r="E450" s="884"/>
      <c r="F450" s="884"/>
      <c r="G450" s="884"/>
      <c r="H450" s="884"/>
      <c r="I450" s="884"/>
      <c r="J450" s="884"/>
      <c r="K450" s="884"/>
      <c r="L450" s="884"/>
      <c r="M450" s="884"/>
      <c r="N450" s="884"/>
      <c r="O450" s="884"/>
      <c r="P450" s="884"/>
      <c r="Q450" s="884"/>
      <c r="R450" s="884"/>
    </row>
    <row r="451" spans="2:18">
      <c r="B451" s="884"/>
      <c r="C451" s="884"/>
      <c r="D451" s="884"/>
      <c r="E451" s="884"/>
      <c r="F451" s="884"/>
      <c r="G451" s="884"/>
      <c r="H451" s="884"/>
      <c r="I451" s="884"/>
      <c r="J451" s="884"/>
      <c r="K451" s="884"/>
      <c r="L451" s="884"/>
      <c r="M451" s="884"/>
      <c r="N451" s="884"/>
      <c r="O451" s="884"/>
      <c r="P451" s="884"/>
      <c r="Q451" s="884"/>
      <c r="R451" s="884"/>
    </row>
    <row r="452" spans="2:18">
      <c r="B452" s="884"/>
      <c r="C452" s="884"/>
      <c r="D452" s="884"/>
      <c r="E452" s="884"/>
      <c r="F452" s="884"/>
      <c r="G452" s="884"/>
      <c r="H452" s="884"/>
      <c r="I452" s="884"/>
      <c r="J452" s="884"/>
      <c r="K452" s="884"/>
      <c r="L452" s="884"/>
      <c r="M452" s="884"/>
      <c r="N452" s="884"/>
      <c r="O452" s="884"/>
      <c r="P452" s="884"/>
      <c r="Q452" s="884"/>
      <c r="R452" s="884"/>
    </row>
    <row r="453" spans="2:18">
      <c r="B453" s="884"/>
      <c r="C453" s="884"/>
      <c r="D453" s="884"/>
      <c r="E453" s="884"/>
      <c r="F453" s="884"/>
      <c r="G453" s="884"/>
      <c r="H453" s="884"/>
      <c r="I453" s="884"/>
      <c r="J453" s="884"/>
      <c r="K453" s="884"/>
      <c r="L453" s="884"/>
      <c r="M453" s="884"/>
      <c r="N453" s="884"/>
      <c r="O453" s="884"/>
      <c r="P453" s="884"/>
      <c r="Q453" s="884"/>
      <c r="R453" s="884"/>
    </row>
    <row r="454" spans="2:18">
      <c r="B454" s="884"/>
      <c r="C454" s="884"/>
      <c r="D454" s="884"/>
      <c r="E454" s="884"/>
      <c r="F454" s="884"/>
      <c r="G454" s="884"/>
      <c r="H454" s="884"/>
      <c r="I454" s="884"/>
      <c r="J454" s="884"/>
      <c r="K454" s="884"/>
      <c r="L454" s="884"/>
      <c r="M454" s="884"/>
      <c r="N454" s="884"/>
      <c r="O454" s="884"/>
      <c r="P454" s="884"/>
      <c r="Q454" s="884"/>
      <c r="R454" s="884"/>
    </row>
    <row r="455" spans="2:18">
      <c r="B455" s="884"/>
      <c r="C455" s="884"/>
      <c r="D455" s="884"/>
      <c r="E455" s="884"/>
      <c r="F455" s="884"/>
      <c r="G455" s="884"/>
      <c r="H455" s="884"/>
      <c r="I455" s="884"/>
      <c r="J455" s="884"/>
      <c r="K455" s="884"/>
      <c r="L455" s="884"/>
      <c r="M455" s="884"/>
      <c r="N455" s="884"/>
      <c r="O455" s="884"/>
      <c r="P455" s="884"/>
      <c r="Q455" s="884"/>
      <c r="R455" s="884"/>
    </row>
    <row r="456" spans="2:18">
      <c r="B456" s="884"/>
      <c r="C456" s="884"/>
      <c r="D456" s="884"/>
      <c r="E456" s="884"/>
      <c r="F456" s="884"/>
      <c r="G456" s="884"/>
      <c r="H456" s="884"/>
      <c r="I456" s="884"/>
      <c r="J456" s="884"/>
      <c r="K456" s="884"/>
      <c r="L456" s="884"/>
      <c r="M456" s="884"/>
      <c r="N456" s="884"/>
      <c r="O456" s="884"/>
      <c r="P456" s="884"/>
      <c r="Q456" s="884"/>
      <c r="R456" s="884"/>
    </row>
    <row r="457" spans="2:18">
      <c r="B457" s="884"/>
      <c r="C457" s="884"/>
      <c r="D457" s="884"/>
      <c r="E457" s="884"/>
      <c r="F457" s="884"/>
      <c r="G457" s="884"/>
      <c r="H457" s="884"/>
      <c r="I457" s="884"/>
      <c r="J457" s="884"/>
      <c r="K457" s="884"/>
      <c r="L457" s="884"/>
      <c r="M457" s="884"/>
      <c r="N457" s="884"/>
      <c r="O457" s="884"/>
      <c r="P457" s="884"/>
      <c r="Q457" s="884"/>
      <c r="R457" s="884"/>
    </row>
    <row r="458" spans="2:18">
      <c r="B458" s="884"/>
      <c r="C458" s="884"/>
      <c r="D458" s="884"/>
      <c r="E458" s="884"/>
      <c r="F458" s="884"/>
      <c r="G458" s="884"/>
      <c r="H458" s="884"/>
      <c r="I458" s="884"/>
      <c r="J458" s="884"/>
      <c r="K458" s="884"/>
      <c r="L458" s="884"/>
      <c r="M458" s="884"/>
      <c r="N458" s="884"/>
      <c r="O458" s="884"/>
      <c r="P458" s="884"/>
      <c r="Q458" s="884"/>
      <c r="R458" s="884"/>
    </row>
    <row r="459" spans="2:18">
      <c r="B459" s="884"/>
      <c r="C459" s="884"/>
      <c r="D459" s="884"/>
      <c r="E459" s="884"/>
      <c r="F459" s="884"/>
      <c r="G459" s="884"/>
      <c r="H459" s="884"/>
      <c r="I459" s="884"/>
      <c r="J459" s="884"/>
      <c r="K459" s="884"/>
      <c r="L459" s="884"/>
      <c r="M459" s="884"/>
      <c r="N459" s="884"/>
      <c r="O459" s="884"/>
      <c r="P459" s="884"/>
      <c r="Q459" s="884"/>
      <c r="R459" s="884"/>
    </row>
    <row r="460" spans="2:18">
      <c r="B460" s="884"/>
      <c r="C460" s="884"/>
      <c r="D460" s="884"/>
      <c r="E460" s="884"/>
      <c r="F460" s="884"/>
      <c r="G460" s="884"/>
      <c r="H460" s="884"/>
      <c r="I460" s="884"/>
      <c r="J460" s="884"/>
      <c r="K460" s="884"/>
      <c r="L460" s="884"/>
      <c r="M460" s="884"/>
      <c r="N460" s="884"/>
      <c r="O460" s="884"/>
      <c r="P460" s="884"/>
      <c r="Q460" s="884"/>
      <c r="R460" s="884"/>
    </row>
    <row r="461" spans="2:18">
      <c r="B461" s="884"/>
      <c r="C461" s="884"/>
      <c r="D461" s="884"/>
      <c r="E461" s="884"/>
      <c r="F461" s="884"/>
      <c r="G461" s="884"/>
      <c r="H461" s="884"/>
      <c r="I461" s="884"/>
      <c r="J461" s="884"/>
      <c r="K461" s="884"/>
      <c r="L461" s="884"/>
      <c r="M461" s="884"/>
      <c r="N461" s="884"/>
      <c r="O461" s="884"/>
      <c r="P461" s="884"/>
      <c r="Q461" s="884"/>
      <c r="R461" s="884"/>
    </row>
    <row r="462" spans="2:18">
      <c r="B462" s="884"/>
      <c r="C462" s="884"/>
      <c r="D462" s="884"/>
      <c r="E462" s="884"/>
      <c r="F462" s="884"/>
      <c r="G462" s="884"/>
      <c r="H462" s="884"/>
      <c r="I462" s="884"/>
      <c r="J462" s="884"/>
      <c r="K462" s="884"/>
      <c r="L462" s="884"/>
      <c r="M462" s="884"/>
      <c r="N462" s="884"/>
      <c r="O462" s="884"/>
      <c r="P462" s="884"/>
      <c r="Q462" s="884"/>
      <c r="R462" s="884"/>
    </row>
    <row r="463" spans="2:18">
      <c r="B463" s="884"/>
      <c r="C463" s="884"/>
      <c r="D463" s="884"/>
      <c r="E463" s="884"/>
      <c r="F463" s="884"/>
      <c r="G463" s="884"/>
      <c r="H463" s="884"/>
      <c r="I463" s="884"/>
      <c r="J463" s="884"/>
      <c r="K463" s="884"/>
      <c r="L463" s="884"/>
      <c r="M463" s="884"/>
      <c r="N463" s="884"/>
      <c r="O463" s="884"/>
      <c r="P463" s="884"/>
      <c r="Q463" s="884"/>
      <c r="R463" s="884"/>
    </row>
    <row r="464" spans="2:18">
      <c r="B464" s="884"/>
      <c r="C464" s="884"/>
      <c r="D464" s="884"/>
      <c r="E464" s="884"/>
      <c r="F464" s="884"/>
      <c r="G464" s="884"/>
      <c r="H464" s="884"/>
      <c r="I464" s="884"/>
      <c r="J464" s="884"/>
      <c r="K464" s="884"/>
      <c r="L464" s="884"/>
      <c r="M464" s="884"/>
      <c r="N464" s="884"/>
      <c r="O464" s="884"/>
      <c r="P464" s="884"/>
      <c r="Q464" s="884"/>
      <c r="R464" s="884"/>
    </row>
    <row r="465" spans="2:18">
      <c r="B465" s="884"/>
      <c r="C465" s="884"/>
      <c r="D465" s="884"/>
      <c r="E465" s="884"/>
      <c r="F465" s="884"/>
      <c r="G465" s="884"/>
      <c r="H465" s="884"/>
      <c r="I465" s="884"/>
      <c r="J465" s="884"/>
      <c r="K465" s="884"/>
      <c r="L465" s="884"/>
      <c r="M465" s="884"/>
      <c r="N465" s="884"/>
      <c r="O465" s="884"/>
      <c r="P465" s="884"/>
      <c r="Q465" s="884"/>
      <c r="R465" s="884"/>
    </row>
    <row r="466" spans="2:18">
      <c r="B466" s="884"/>
      <c r="C466" s="884"/>
      <c r="D466" s="884"/>
      <c r="E466" s="884"/>
      <c r="F466" s="884"/>
      <c r="G466" s="884"/>
      <c r="H466" s="884"/>
      <c r="I466" s="884"/>
      <c r="J466" s="884"/>
      <c r="K466" s="884"/>
      <c r="L466" s="884"/>
      <c r="M466" s="884"/>
      <c r="N466" s="884"/>
      <c r="O466" s="884"/>
      <c r="P466" s="884"/>
      <c r="Q466" s="884"/>
      <c r="R466" s="884"/>
    </row>
    <row r="467" spans="2:18">
      <c r="B467" s="884"/>
      <c r="C467" s="884"/>
      <c r="D467" s="884"/>
      <c r="E467" s="884"/>
      <c r="F467" s="884"/>
      <c r="G467" s="884"/>
      <c r="H467" s="884"/>
      <c r="I467" s="884"/>
      <c r="J467" s="884"/>
      <c r="K467" s="884"/>
      <c r="L467" s="884"/>
      <c r="M467" s="884"/>
      <c r="N467" s="884"/>
      <c r="O467" s="884"/>
      <c r="P467" s="884"/>
      <c r="Q467" s="884"/>
      <c r="R467" s="884"/>
    </row>
    <row r="468" spans="2:18">
      <c r="B468" s="884"/>
      <c r="C468" s="884"/>
      <c r="D468" s="884"/>
      <c r="E468" s="884"/>
      <c r="F468" s="884"/>
      <c r="G468" s="884"/>
      <c r="H468" s="884"/>
      <c r="I468" s="884"/>
      <c r="J468" s="884"/>
      <c r="K468" s="884"/>
      <c r="L468" s="884"/>
      <c r="M468" s="884"/>
      <c r="N468" s="884"/>
      <c r="O468" s="884"/>
      <c r="P468" s="884"/>
      <c r="Q468" s="884"/>
      <c r="R468" s="884"/>
    </row>
    <row r="469" spans="2:18">
      <c r="B469" s="884"/>
      <c r="C469" s="884"/>
      <c r="D469" s="884"/>
      <c r="E469" s="884"/>
      <c r="F469" s="884"/>
      <c r="G469" s="884"/>
      <c r="H469" s="884"/>
      <c r="I469" s="884"/>
      <c r="J469" s="884"/>
      <c r="K469" s="884"/>
      <c r="L469" s="884"/>
      <c r="M469" s="884"/>
      <c r="N469" s="884"/>
      <c r="O469" s="884"/>
      <c r="P469" s="884"/>
      <c r="Q469" s="884"/>
      <c r="R469" s="884"/>
    </row>
    <row r="470" spans="2:18">
      <c r="B470" s="884"/>
      <c r="C470" s="884"/>
      <c r="D470" s="884"/>
      <c r="E470" s="884"/>
      <c r="F470" s="884"/>
      <c r="G470" s="884"/>
      <c r="H470" s="884"/>
      <c r="I470" s="884"/>
      <c r="J470" s="884"/>
      <c r="K470" s="884"/>
      <c r="L470" s="884"/>
      <c r="M470" s="884"/>
      <c r="N470" s="884"/>
      <c r="O470" s="884"/>
      <c r="P470" s="884"/>
      <c r="Q470" s="884"/>
      <c r="R470" s="884"/>
    </row>
    <row r="471" spans="2:18">
      <c r="B471" s="884"/>
      <c r="C471" s="884"/>
      <c r="D471" s="884"/>
      <c r="E471" s="884"/>
      <c r="F471" s="884"/>
      <c r="G471" s="884"/>
      <c r="H471" s="884"/>
      <c r="I471" s="884"/>
      <c r="J471" s="884"/>
      <c r="K471" s="884"/>
      <c r="L471" s="884"/>
      <c r="M471" s="884"/>
      <c r="N471" s="884"/>
      <c r="O471" s="884"/>
      <c r="P471" s="884"/>
      <c r="Q471" s="884"/>
      <c r="R471" s="884"/>
    </row>
    <row r="472" spans="2:18">
      <c r="B472" s="884"/>
      <c r="C472" s="884"/>
      <c r="D472" s="884"/>
      <c r="E472" s="884"/>
      <c r="F472" s="884"/>
      <c r="G472" s="884"/>
      <c r="H472" s="884"/>
      <c r="I472" s="884"/>
      <c r="J472" s="884"/>
      <c r="K472" s="884"/>
      <c r="L472" s="884"/>
      <c r="M472" s="884"/>
      <c r="N472" s="884"/>
      <c r="O472" s="884"/>
      <c r="P472" s="884"/>
      <c r="Q472" s="884"/>
      <c r="R472" s="884"/>
    </row>
    <row r="473" spans="2:18">
      <c r="B473" s="884"/>
      <c r="C473" s="884"/>
      <c r="D473" s="884"/>
      <c r="E473" s="884"/>
      <c r="F473" s="884"/>
      <c r="G473" s="884"/>
      <c r="H473" s="884"/>
      <c r="I473" s="884"/>
      <c r="J473" s="884"/>
      <c r="K473" s="884"/>
      <c r="L473" s="884"/>
      <c r="M473" s="884"/>
      <c r="N473" s="884"/>
      <c r="O473" s="884"/>
      <c r="P473" s="884"/>
      <c r="Q473" s="884"/>
      <c r="R473" s="884"/>
    </row>
    <row r="474" spans="2:18">
      <c r="B474" s="884"/>
      <c r="C474" s="884"/>
      <c r="D474" s="884"/>
      <c r="E474" s="884"/>
      <c r="F474" s="884"/>
      <c r="G474" s="884"/>
      <c r="H474" s="884"/>
      <c r="I474" s="884"/>
      <c r="J474" s="884"/>
      <c r="K474" s="884"/>
      <c r="L474" s="884"/>
      <c r="M474" s="884"/>
      <c r="N474" s="884"/>
      <c r="O474" s="884"/>
      <c r="P474" s="884"/>
      <c r="Q474" s="884"/>
      <c r="R474" s="884"/>
    </row>
    <row r="475" spans="2:18">
      <c r="B475" s="884"/>
      <c r="C475" s="884"/>
      <c r="D475" s="884"/>
      <c r="E475" s="884"/>
      <c r="F475" s="884"/>
      <c r="G475" s="884"/>
      <c r="H475" s="884"/>
      <c r="I475" s="884"/>
      <c r="J475" s="884"/>
      <c r="K475" s="884"/>
      <c r="L475" s="884"/>
      <c r="M475" s="884"/>
      <c r="N475" s="884"/>
      <c r="O475" s="884"/>
      <c r="P475" s="884"/>
      <c r="Q475" s="884"/>
      <c r="R475" s="884"/>
    </row>
    <row r="476" spans="2:18">
      <c r="B476" s="884"/>
      <c r="C476" s="884"/>
      <c r="D476" s="884"/>
      <c r="E476" s="884"/>
      <c r="F476" s="884"/>
      <c r="G476" s="884"/>
      <c r="H476" s="884"/>
      <c r="I476" s="884"/>
      <c r="J476" s="884"/>
      <c r="K476" s="884"/>
      <c r="L476" s="884"/>
      <c r="M476" s="884"/>
      <c r="N476" s="884"/>
      <c r="O476" s="884"/>
      <c r="P476" s="884"/>
      <c r="Q476" s="884"/>
      <c r="R476" s="884"/>
    </row>
    <row r="477" spans="2:18">
      <c r="B477" s="884"/>
      <c r="C477" s="884"/>
      <c r="D477" s="884"/>
      <c r="E477" s="884"/>
      <c r="F477" s="884"/>
      <c r="G477" s="884"/>
      <c r="H477" s="884"/>
      <c r="I477" s="884"/>
      <c r="J477" s="884"/>
      <c r="K477" s="884"/>
      <c r="L477" s="884"/>
      <c r="M477" s="884"/>
      <c r="N477" s="884"/>
      <c r="O477" s="884"/>
      <c r="P477" s="884"/>
      <c r="Q477" s="884"/>
      <c r="R477" s="884"/>
    </row>
    <row r="478" spans="2:18">
      <c r="B478" s="884"/>
      <c r="C478" s="884"/>
      <c r="D478" s="884"/>
      <c r="E478" s="884"/>
      <c r="F478" s="884"/>
      <c r="G478" s="884"/>
      <c r="H478" s="884"/>
      <c r="I478" s="884"/>
      <c r="J478" s="884"/>
      <c r="K478" s="884"/>
      <c r="L478" s="884"/>
      <c r="M478" s="884"/>
      <c r="N478" s="884"/>
      <c r="O478" s="884"/>
      <c r="P478" s="884"/>
      <c r="Q478" s="884"/>
      <c r="R478" s="884"/>
    </row>
    <row r="479" spans="2:18">
      <c r="B479" s="884"/>
      <c r="C479" s="884"/>
      <c r="D479" s="884"/>
      <c r="E479" s="884"/>
      <c r="F479" s="884"/>
      <c r="G479" s="884"/>
      <c r="H479" s="884"/>
      <c r="I479" s="884"/>
      <c r="J479" s="884"/>
      <c r="K479" s="884"/>
      <c r="L479" s="884"/>
      <c r="M479" s="884"/>
      <c r="N479" s="884"/>
      <c r="O479" s="884"/>
      <c r="P479" s="884"/>
      <c r="Q479" s="884"/>
      <c r="R479" s="884"/>
    </row>
    <row r="480" spans="2:18">
      <c r="B480" s="884"/>
      <c r="C480" s="884"/>
      <c r="D480" s="884"/>
      <c r="E480" s="884"/>
      <c r="F480" s="884"/>
      <c r="G480" s="884"/>
      <c r="H480" s="884"/>
      <c r="I480" s="884"/>
      <c r="J480" s="884"/>
      <c r="K480" s="884"/>
      <c r="L480" s="884"/>
      <c r="M480" s="884"/>
      <c r="N480" s="884"/>
      <c r="O480" s="884"/>
      <c r="P480" s="884"/>
      <c r="Q480" s="884"/>
      <c r="R480" s="884"/>
    </row>
    <row r="481" spans="2:18">
      <c r="B481" s="884"/>
      <c r="C481" s="884"/>
      <c r="D481" s="884"/>
      <c r="E481" s="884"/>
      <c r="F481" s="884"/>
      <c r="G481" s="884"/>
      <c r="H481" s="884"/>
      <c r="I481" s="884"/>
      <c r="J481" s="884"/>
      <c r="K481" s="884"/>
      <c r="L481" s="884"/>
      <c r="M481" s="884"/>
      <c r="N481" s="884"/>
      <c r="O481" s="884"/>
      <c r="P481" s="884"/>
      <c r="Q481" s="884"/>
      <c r="R481" s="884"/>
    </row>
    <row r="482" spans="2:18">
      <c r="B482" s="884"/>
      <c r="C482" s="884"/>
      <c r="D482" s="884"/>
      <c r="E482" s="884"/>
      <c r="F482" s="884"/>
      <c r="G482" s="884"/>
      <c r="H482" s="884"/>
      <c r="I482" s="884"/>
      <c r="J482" s="884"/>
      <c r="K482" s="884"/>
      <c r="L482" s="884"/>
      <c r="M482" s="884"/>
      <c r="N482" s="884"/>
      <c r="O482" s="884"/>
      <c r="P482" s="884"/>
      <c r="Q482" s="884"/>
      <c r="R482" s="884"/>
    </row>
    <row r="483" spans="2:18">
      <c r="B483" s="884"/>
      <c r="C483" s="884"/>
      <c r="D483" s="884"/>
      <c r="E483" s="884"/>
      <c r="F483" s="884"/>
      <c r="G483" s="884"/>
      <c r="H483" s="884"/>
      <c r="I483" s="884"/>
      <c r="J483" s="884"/>
      <c r="K483" s="884"/>
      <c r="L483" s="884"/>
      <c r="M483" s="884"/>
      <c r="N483" s="884"/>
      <c r="O483" s="884"/>
      <c r="P483" s="884"/>
      <c r="Q483" s="884"/>
      <c r="R483" s="884"/>
    </row>
    <row r="484" spans="2:18">
      <c r="B484" s="884"/>
      <c r="C484" s="884"/>
      <c r="D484" s="884"/>
      <c r="E484" s="884"/>
      <c r="F484" s="884"/>
      <c r="G484" s="884"/>
      <c r="H484" s="884"/>
      <c r="I484" s="884"/>
      <c r="J484" s="884"/>
      <c r="K484" s="884"/>
      <c r="L484" s="884"/>
      <c r="M484" s="884"/>
      <c r="N484" s="884"/>
      <c r="O484" s="884"/>
      <c r="P484" s="884"/>
      <c r="Q484" s="884"/>
      <c r="R484" s="884"/>
    </row>
    <row r="485" spans="2:18">
      <c r="B485" s="884"/>
      <c r="C485" s="884"/>
      <c r="D485" s="884"/>
      <c r="E485" s="884"/>
      <c r="F485" s="884"/>
      <c r="G485" s="884"/>
      <c r="H485" s="884"/>
      <c r="I485" s="884"/>
      <c r="J485" s="884"/>
      <c r="K485" s="884"/>
      <c r="L485" s="884"/>
      <c r="M485" s="884"/>
      <c r="N485" s="884"/>
      <c r="O485" s="884"/>
      <c r="P485" s="884"/>
      <c r="Q485" s="884"/>
      <c r="R485" s="884"/>
    </row>
    <row r="486" spans="2:18">
      <c r="B486" s="884"/>
      <c r="C486" s="884"/>
      <c r="D486" s="884"/>
      <c r="E486" s="884"/>
      <c r="F486" s="884"/>
      <c r="G486" s="884"/>
      <c r="H486" s="884"/>
      <c r="I486" s="884"/>
      <c r="J486" s="884"/>
      <c r="K486" s="884"/>
      <c r="L486" s="884"/>
      <c r="M486" s="884"/>
      <c r="N486" s="884"/>
      <c r="O486" s="884"/>
      <c r="P486" s="884"/>
      <c r="Q486" s="884"/>
      <c r="R486" s="884"/>
    </row>
    <row r="487" spans="2:18">
      <c r="B487" s="884"/>
      <c r="C487" s="884"/>
      <c r="D487" s="884"/>
      <c r="E487" s="884"/>
      <c r="F487" s="884"/>
      <c r="G487" s="884"/>
      <c r="H487" s="884"/>
      <c r="I487" s="884"/>
      <c r="J487" s="884"/>
      <c r="K487" s="884"/>
      <c r="L487" s="884"/>
      <c r="M487" s="884"/>
      <c r="N487" s="884"/>
      <c r="O487" s="884"/>
      <c r="P487" s="884"/>
      <c r="Q487" s="884"/>
      <c r="R487" s="884"/>
    </row>
    <row r="488" spans="2:18">
      <c r="B488" s="884"/>
      <c r="C488" s="884"/>
      <c r="D488" s="884"/>
      <c r="E488" s="884"/>
      <c r="F488" s="884"/>
      <c r="G488" s="884"/>
      <c r="H488" s="884"/>
      <c r="I488" s="884"/>
      <c r="J488" s="884"/>
      <c r="K488" s="884"/>
      <c r="L488" s="884"/>
      <c r="M488" s="884"/>
      <c r="N488" s="884"/>
      <c r="O488" s="884"/>
      <c r="P488" s="884"/>
      <c r="Q488" s="884"/>
      <c r="R488" s="884"/>
    </row>
    <row r="489" spans="2:18">
      <c r="B489" s="884"/>
      <c r="C489" s="884"/>
      <c r="D489" s="884"/>
      <c r="E489" s="884"/>
      <c r="F489" s="884"/>
      <c r="G489" s="884"/>
      <c r="H489" s="884"/>
      <c r="I489" s="884"/>
      <c r="J489" s="884"/>
      <c r="K489" s="884"/>
      <c r="L489" s="884"/>
      <c r="M489" s="884"/>
      <c r="N489" s="884"/>
      <c r="O489" s="884"/>
      <c r="P489" s="884"/>
      <c r="Q489" s="884"/>
      <c r="R489" s="884"/>
    </row>
    <row r="490" spans="2:18">
      <c r="B490" s="884"/>
      <c r="C490" s="884"/>
      <c r="D490" s="884"/>
      <c r="E490" s="884"/>
      <c r="F490" s="884"/>
      <c r="G490" s="884"/>
      <c r="H490" s="884"/>
      <c r="I490" s="884"/>
      <c r="J490" s="884"/>
      <c r="K490" s="884"/>
      <c r="L490" s="884"/>
      <c r="M490" s="884"/>
      <c r="N490" s="884"/>
      <c r="O490" s="884"/>
      <c r="P490" s="884"/>
      <c r="Q490" s="884"/>
      <c r="R490" s="884"/>
    </row>
    <row r="491" spans="2:18">
      <c r="B491" s="884"/>
      <c r="C491" s="884"/>
      <c r="D491" s="884"/>
      <c r="E491" s="884"/>
      <c r="F491" s="884"/>
      <c r="G491" s="884"/>
      <c r="H491" s="884"/>
      <c r="I491" s="884"/>
      <c r="J491" s="884"/>
      <c r="K491" s="884"/>
      <c r="L491" s="884"/>
      <c r="M491" s="884"/>
      <c r="N491" s="884"/>
      <c r="O491" s="884"/>
      <c r="P491" s="884"/>
      <c r="Q491" s="884"/>
      <c r="R491" s="884"/>
    </row>
    <row r="492" spans="2:18">
      <c r="B492" s="884"/>
      <c r="C492" s="884"/>
      <c r="D492" s="884"/>
      <c r="E492" s="884"/>
      <c r="F492" s="884"/>
      <c r="G492" s="884"/>
      <c r="H492" s="884"/>
      <c r="I492" s="884"/>
      <c r="J492" s="884"/>
      <c r="K492" s="884"/>
      <c r="L492" s="884"/>
      <c r="M492" s="884"/>
      <c r="N492" s="884"/>
      <c r="O492" s="884"/>
      <c r="P492" s="884"/>
      <c r="Q492" s="884"/>
      <c r="R492" s="884"/>
    </row>
    <row r="493" spans="2:18">
      <c r="B493" s="884"/>
      <c r="C493" s="884"/>
      <c r="D493" s="884"/>
      <c r="E493" s="884"/>
      <c r="F493" s="884"/>
      <c r="G493" s="884"/>
      <c r="H493" s="884"/>
      <c r="I493" s="884"/>
      <c r="J493" s="884"/>
      <c r="K493" s="884"/>
      <c r="L493" s="884"/>
      <c r="M493" s="884"/>
      <c r="N493" s="884"/>
      <c r="O493" s="884"/>
      <c r="P493" s="884"/>
      <c r="Q493" s="884"/>
      <c r="R493" s="884"/>
    </row>
    <row r="494" spans="2:18">
      <c r="B494" s="884"/>
      <c r="C494" s="884"/>
      <c r="D494" s="884"/>
      <c r="E494" s="884"/>
      <c r="F494" s="884"/>
      <c r="G494" s="884"/>
      <c r="H494" s="884"/>
      <c r="I494" s="884"/>
      <c r="J494" s="884"/>
      <c r="K494" s="884"/>
      <c r="L494" s="884"/>
      <c r="M494" s="884"/>
      <c r="N494" s="884"/>
      <c r="O494" s="884"/>
      <c r="P494" s="884"/>
      <c r="Q494" s="884"/>
      <c r="R494" s="884"/>
    </row>
    <row r="495" spans="2:18">
      <c r="B495" s="884"/>
      <c r="C495" s="884"/>
      <c r="D495" s="884"/>
      <c r="E495" s="884"/>
      <c r="F495" s="884"/>
      <c r="G495" s="884"/>
      <c r="H495" s="884"/>
      <c r="I495" s="884"/>
      <c r="J495" s="884"/>
      <c r="K495" s="884"/>
      <c r="L495" s="884"/>
      <c r="M495" s="884"/>
      <c r="N495" s="884"/>
      <c r="O495" s="884"/>
      <c r="P495" s="884"/>
      <c r="Q495" s="884"/>
      <c r="R495" s="884"/>
    </row>
    <row r="496" spans="2:18">
      <c r="B496" s="884"/>
      <c r="C496" s="884"/>
      <c r="D496" s="884"/>
      <c r="E496" s="884"/>
      <c r="F496" s="884"/>
      <c r="G496" s="884"/>
      <c r="H496" s="884"/>
      <c r="I496" s="884"/>
      <c r="J496" s="884"/>
      <c r="K496" s="884"/>
      <c r="L496" s="884"/>
      <c r="M496" s="884"/>
      <c r="N496" s="884"/>
      <c r="O496" s="884"/>
      <c r="P496" s="884"/>
      <c r="Q496" s="884"/>
      <c r="R496" s="884"/>
    </row>
    <row r="497" spans="2:18">
      <c r="B497" s="884"/>
      <c r="C497" s="884"/>
      <c r="D497" s="884"/>
      <c r="E497" s="884"/>
      <c r="F497" s="884"/>
      <c r="G497" s="884"/>
      <c r="H497" s="884"/>
      <c r="I497" s="884"/>
      <c r="J497" s="884"/>
      <c r="K497" s="884"/>
      <c r="L497" s="884"/>
      <c r="M497" s="884"/>
      <c r="N497" s="884"/>
      <c r="O497" s="884"/>
      <c r="P497" s="884"/>
      <c r="Q497" s="884"/>
      <c r="R497" s="884"/>
    </row>
    <row r="498" spans="2:18">
      <c r="B498" s="884"/>
      <c r="C498" s="884"/>
      <c r="D498" s="884"/>
      <c r="E498" s="884"/>
      <c r="F498" s="884"/>
      <c r="G498" s="884"/>
      <c r="H498" s="884"/>
      <c r="I498" s="884"/>
      <c r="J498" s="884"/>
      <c r="K498" s="884"/>
      <c r="L498" s="884"/>
      <c r="M498" s="884"/>
      <c r="N498" s="884"/>
      <c r="O498" s="884"/>
      <c r="P498" s="884"/>
      <c r="Q498" s="884"/>
      <c r="R498" s="884"/>
    </row>
    <row r="499" spans="2:18">
      <c r="B499" s="884"/>
      <c r="C499" s="884"/>
      <c r="D499" s="884"/>
      <c r="E499" s="884"/>
      <c r="F499" s="884"/>
      <c r="G499" s="884"/>
      <c r="H499" s="884"/>
      <c r="I499" s="884"/>
      <c r="J499" s="884"/>
      <c r="K499" s="884"/>
      <c r="L499" s="884"/>
      <c r="M499" s="884"/>
      <c r="N499" s="884"/>
      <c r="O499" s="884"/>
      <c r="P499" s="884"/>
      <c r="Q499" s="884"/>
      <c r="R499" s="884"/>
    </row>
    <row r="500" spans="2:18">
      <c r="B500" s="884"/>
      <c r="C500" s="884"/>
      <c r="D500" s="884"/>
      <c r="E500" s="884"/>
      <c r="F500" s="884"/>
      <c r="G500" s="884"/>
      <c r="H500" s="884"/>
      <c r="I500" s="884"/>
      <c r="J500" s="884"/>
      <c r="K500" s="884"/>
      <c r="L500" s="884"/>
      <c r="M500" s="884"/>
      <c r="N500" s="884"/>
      <c r="O500" s="884"/>
      <c r="P500" s="884"/>
      <c r="Q500" s="884"/>
      <c r="R500" s="884"/>
    </row>
    <row r="501" spans="2:18">
      <c r="B501" s="884"/>
      <c r="C501" s="884"/>
      <c r="D501" s="884"/>
      <c r="E501" s="884"/>
      <c r="F501" s="884"/>
      <c r="G501" s="884"/>
      <c r="H501" s="884"/>
      <c r="I501" s="884"/>
      <c r="J501" s="884"/>
      <c r="K501" s="884"/>
      <c r="L501" s="884"/>
      <c r="M501" s="884"/>
      <c r="N501" s="884"/>
      <c r="O501" s="884"/>
      <c r="P501" s="884"/>
      <c r="Q501" s="884"/>
      <c r="R501" s="884"/>
    </row>
    <row r="502" spans="2:18">
      <c r="B502" s="884"/>
      <c r="C502" s="884"/>
      <c r="D502" s="884"/>
      <c r="E502" s="884"/>
      <c r="F502" s="884"/>
      <c r="G502" s="884"/>
      <c r="H502" s="884"/>
      <c r="I502" s="884"/>
      <c r="J502" s="884"/>
      <c r="K502" s="884"/>
      <c r="L502" s="884"/>
      <c r="M502" s="884"/>
      <c r="N502" s="884"/>
      <c r="O502" s="884"/>
      <c r="P502" s="884"/>
      <c r="Q502" s="884"/>
      <c r="R502" s="884"/>
    </row>
    <row r="503" spans="2:18">
      <c r="B503" s="884"/>
      <c r="C503" s="884"/>
      <c r="D503" s="884"/>
      <c r="E503" s="884"/>
      <c r="F503" s="884"/>
      <c r="G503" s="884"/>
      <c r="H503" s="884"/>
      <c r="I503" s="884"/>
      <c r="J503" s="884"/>
      <c r="K503" s="884"/>
      <c r="L503" s="884"/>
      <c r="M503" s="884"/>
      <c r="N503" s="884"/>
      <c r="O503" s="884"/>
      <c r="P503" s="884"/>
      <c r="Q503" s="884"/>
      <c r="R503" s="884"/>
    </row>
    <row r="504" spans="2:18">
      <c r="B504" s="884"/>
      <c r="C504" s="884"/>
      <c r="D504" s="884"/>
      <c r="E504" s="884"/>
      <c r="F504" s="884"/>
      <c r="G504" s="884"/>
      <c r="H504" s="884"/>
      <c r="I504" s="884"/>
      <c r="J504" s="884"/>
      <c r="K504" s="884"/>
      <c r="L504" s="884"/>
      <c r="M504" s="884"/>
      <c r="N504" s="884"/>
      <c r="O504" s="884"/>
      <c r="P504" s="884"/>
      <c r="Q504" s="884"/>
      <c r="R504" s="884"/>
    </row>
    <row r="505" spans="2:18">
      <c r="B505" s="884"/>
      <c r="C505" s="884"/>
      <c r="D505" s="884"/>
      <c r="E505" s="884"/>
      <c r="F505" s="884"/>
      <c r="G505" s="884"/>
      <c r="H505" s="884"/>
      <c r="I505" s="884"/>
      <c r="J505" s="884"/>
      <c r="K505" s="884"/>
      <c r="L505" s="884"/>
      <c r="M505" s="884"/>
      <c r="N505" s="884"/>
      <c r="O505" s="884"/>
      <c r="P505" s="884"/>
      <c r="Q505" s="884"/>
      <c r="R505" s="884"/>
    </row>
    <row r="506" spans="2:18">
      <c r="B506" s="884"/>
      <c r="C506" s="884"/>
      <c r="D506" s="884"/>
      <c r="E506" s="884"/>
      <c r="F506" s="884"/>
      <c r="G506" s="884"/>
      <c r="H506" s="884"/>
      <c r="I506" s="884"/>
      <c r="J506" s="884"/>
      <c r="K506" s="884"/>
      <c r="L506" s="884"/>
      <c r="M506" s="884"/>
      <c r="N506" s="884"/>
      <c r="O506" s="884"/>
      <c r="P506" s="884"/>
      <c r="Q506" s="884"/>
      <c r="R506" s="884"/>
    </row>
    <row r="507" spans="2:18">
      <c r="B507" s="884"/>
      <c r="C507" s="884"/>
      <c r="D507" s="884"/>
      <c r="E507" s="884"/>
      <c r="F507" s="884"/>
      <c r="G507" s="884"/>
      <c r="H507" s="884"/>
      <c r="I507" s="884"/>
      <c r="J507" s="884"/>
      <c r="K507" s="884"/>
      <c r="L507" s="884"/>
      <c r="M507" s="884"/>
      <c r="N507" s="884"/>
      <c r="O507" s="884"/>
      <c r="P507" s="884"/>
      <c r="Q507" s="884"/>
      <c r="R507" s="884"/>
    </row>
    <row r="508" spans="2:18">
      <c r="B508" s="884"/>
      <c r="C508" s="884"/>
      <c r="D508" s="884"/>
      <c r="E508" s="884"/>
      <c r="F508" s="884"/>
      <c r="G508" s="884"/>
      <c r="H508" s="884"/>
      <c r="I508" s="884"/>
      <c r="J508" s="884"/>
      <c r="K508" s="884"/>
      <c r="L508" s="884"/>
      <c r="M508" s="884"/>
      <c r="N508" s="884"/>
      <c r="O508" s="884"/>
      <c r="P508" s="884"/>
      <c r="Q508" s="884"/>
      <c r="R508" s="884"/>
    </row>
    <row r="509" spans="2:18">
      <c r="B509" s="884"/>
      <c r="C509" s="884"/>
      <c r="D509" s="884"/>
      <c r="E509" s="884"/>
      <c r="F509" s="884"/>
      <c r="G509" s="884"/>
      <c r="H509" s="884"/>
      <c r="I509" s="884"/>
      <c r="J509" s="884"/>
      <c r="K509" s="884"/>
      <c r="L509" s="884"/>
      <c r="M509" s="884"/>
      <c r="N509" s="884"/>
      <c r="O509" s="884"/>
      <c r="P509" s="884"/>
      <c r="Q509" s="884"/>
      <c r="R509" s="884"/>
    </row>
    <row r="510" spans="2:18">
      <c r="B510" s="884"/>
      <c r="C510" s="884"/>
      <c r="D510" s="884"/>
      <c r="E510" s="884"/>
      <c r="F510" s="884"/>
      <c r="G510" s="884"/>
      <c r="H510" s="884"/>
      <c r="I510" s="884"/>
      <c r="J510" s="884"/>
      <c r="K510" s="884"/>
      <c r="L510" s="884"/>
      <c r="M510" s="884"/>
      <c r="N510" s="884"/>
      <c r="O510" s="884"/>
      <c r="P510" s="884"/>
      <c r="Q510" s="884"/>
      <c r="R510" s="884"/>
    </row>
    <row r="511" spans="2:18">
      <c r="B511" s="884"/>
      <c r="C511" s="884"/>
      <c r="D511" s="884"/>
      <c r="E511" s="884"/>
      <c r="F511" s="884"/>
      <c r="G511" s="884"/>
      <c r="H511" s="884"/>
      <c r="I511" s="884"/>
      <c r="J511" s="884"/>
      <c r="K511" s="884"/>
      <c r="L511" s="884"/>
      <c r="M511" s="884"/>
      <c r="N511" s="884"/>
      <c r="O511" s="884"/>
      <c r="P511" s="884"/>
      <c r="Q511" s="884"/>
      <c r="R511" s="884"/>
    </row>
    <row r="512" spans="2:18">
      <c r="B512" s="884"/>
      <c r="C512" s="884"/>
      <c r="D512" s="884"/>
      <c r="E512" s="884"/>
      <c r="F512" s="884"/>
      <c r="G512" s="884"/>
      <c r="H512" s="884"/>
      <c r="I512" s="884"/>
      <c r="J512" s="884"/>
      <c r="K512" s="884"/>
      <c r="L512" s="884"/>
      <c r="M512" s="884"/>
      <c r="N512" s="884"/>
      <c r="O512" s="884"/>
      <c r="P512" s="884"/>
      <c r="Q512" s="884"/>
      <c r="R512" s="884"/>
    </row>
    <row r="513" spans="2:18">
      <c r="B513" s="884"/>
      <c r="C513" s="884"/>
      <c r="D513" s="884"/>
      <c r="E513" s="884"/>
      <c r="F513" s="884"/>
      <c r="G513" s="884"/>
      <c r="H513" s="884"/>
      <c r="I513" s="884"/>
      <c r="J513" s="884"/>
      <c r="K513" s="884"/>
      <c r="L513" s="884"/>
      <c r="M513" s="884"/>
      <c r="N513" s="884"/>
      <c r="O513" s="884"/>
      <c r="P513" s="884"/>
      <c r="Q513" s="884"/>
      <c r="R513" s="884"/>
    </row>
    <row r="514" spans="2:18">
      <c r="B514" s="884"/>
      <c r="C514" s="884"/>
      <c r="D514" s="884"/>
      <c r="E514" s="884"/>
      <c r="F514" s="884"/>
      <c r="G514" s="884"/>
      <c r="H514" s="884"/>
      <c r="I514" s="884"/>
      <c r="J514" s="884"/>
      <c r="K514" s="884"/>
      <c r="L514" s="884"/>
      <c r="M514" s="884"/>
      <c r="N514" s="884"/>
      <c r="O514" s="884"/>
      <c r="P514" s="884"/>
      <c r="Q514" s="884"/>
      <c r="R514" s="884"/>
    </row>
    <row r="515" spans="2:18">
      <c r="B515" s="884"/>
      <c r="C515" s="884"/>
      <c r="D515" s="884"/>
      <c r="E515" s="884"/>
      <c r="F515" s="884"/>
      <c r="G515" s="884"/>
      <c r="H515" s="884"/>
      <c r="I515" s="884"/>
      <c r="J515" s="884"/>
      <c r="K515" s="884"/>
      <c r="L515" s="884"/>
      <c r="M515" s="884"/>
      <c r="N515" s="884"/>
      <c r="O515" s="884"/>
      <c r="P515" s="884"/>
      <c r="Q515" s="884"/>
      <c r="R515" s="884"/>
    </row>
    <row r="516" spans="2:18">
      <c r="B516" s="884"/>
      <c r="C516" s="884"/>
      <c r="D516" s="884"/>
      <c r="E516" s="884"/>
      <c r="F516" s="884"/>
      <c r="G516" s="884"/>
      <c r="H516" s="884"/>
      <c r="I516" s="884"/>
      <c r="J516" s="884"/>
      <c r="K516" s="884"/>
      <c r="L516" s="884"/>
      <c r="M516" s="884"/>
      <c r="N516" s="884"/>
      <c r="O516" s="884"/>
      <c r="P516" s="884"/>
      <c r="Q516" s="884"/>
      <c r="R516" s="884"/>
    </row>
    <row r="517" spans="2:18">
      <c r="B517" s="884"/>
      <c r="C517" s="884"/>
      <c r="D517" s="884"/>
      <c r="E517" s="884"/>
      <c r="F517" s="884"/>
      <c r="G517" s="884"/>
      <c r="H517" s="884"/>
      <c r="I517" s="884"/>
      <c r="J517" s="884"/>
      <c r="K517" s="884"/>
      <c r="L517" s="884"/>
      <c r="M517" s="884"/>
      <c r="N517" s="884"/>
      <c r="O517" s="884"/>
      <c r="P517" s="884"/>
      <c r="Q517" s="884"/>
      <c r="R517" s="884"/>
    </row>
    <row r="518" spans="2:18">
      <c r="B518" s="884"/>
      <c r="C518" s="884"/>
      <c r="D518" s="884"/>
      <c r="E518" s="884"/>
      <c r="F518" s="884"/>
      <c r="G518" s="884"/>
      <c r="H518" s="884"/>
      <c r="I518" s="884"/>
      <c r="J518" s="884"/>
      <c r="K518" s="884"/>
      <c r="L518" s="884"/>
      <c r="M518" s="884"/>
      <c r="N518" s="884"/>
      <c r="O518" s="884"/>
      <c r="P518" s="884"/>
      <c r="Q518" s="884"/>
      <c r="R518" s="884"/>
    </row>
    <row r="519" spans="2:18">
      <c r="B519" s="884"/>
      <c r="C519" s="884"/>
      <c r="D519" s="884"/>
      <c r="E519" s="884"/>
      <c r="F519" s="884"/>
      <c r="G519" s="884"/>
      <c r="H519" s="884"/>
      <c r="I519" s="884"/>
      <c r="J519" s="884"/>
      <c r="K519" s="884"/>
      <c r="L519" s="884"/>
      <c r="M519" s="884"/>
      <c r="N519" s="884"/>
      <c r="O519" s="884"/>
      <c r="P519" s="884"/>
      <c r="Q519" s="884"/>
      <c r="R519" s="884"/>
    </row>
    <row r="520" spans="2:18">
      <c r="B520" s="884"/>
      <c r="C520" s="884"/>
      <c r="D520" s="884"/>
      <c r="E520" s="884"/>
      <c r="F520" s="884"/>
      <c r="G520" s="884"/>
      <c r="H520" s="884"/>
      <c r="I520" s="884"/>
      <c r="J520" s="884"/>
      <c r="K520" s="884"/>
      <c r="L520" s="884"/>
      <c r="M520" s="884"/>
      <c r="N520" s="884"/>
      <c r="O520" s="884"/>
      <c r="P520" s="884"/>
      <c r="Q520" s="884"/>
      <c r="R520" s="884"/>
    </row>
    <row r="521" spans="2:18">
      <c r="B521" s="884"/>
      <c r="C521" s="884"/>
      <c r="D521" s="884"/>
      <c r="E521" s="884"/>
      <c r="F521" s="884"/>
      <c r="G521" s="884"/>
      <c r="H521" s="884"/>
      <c r="I521" s="884"/>
      <c r="J521" s="884"/>
      <c r="K521" s="884"/>
      <c r="L521" s="884"/>
      <c r="M521" s="884"/>
      <c r="N521" s="884"/>
      <c r="O521" s="884"/>
      <c r="P521" s="884"/>
      <c r="Q521" s="884"/>
      <c r="R521" s="884"/>
    </row>
    <row r="522" spans="2:18">
      <c r="B522" s="884"/>
      <c r="C522" s="884"/>
      <c r="D522" s="884"/>
      <c r="E522" s="884"/>
      <c r="F522" s="884"/>
      <c r="G522" s="884"/>
      <c r="H522" s="884"/>
      <c r="I522" s="884"/>
      <c r="J522" s="884"/>
      <c r="K522" s="884"/>
      <c r="L522" s="884"/>
      <c r="M522" s="884"/>
      <c r="N522" s="884"/>
      <c r="O522" s="884"/>
      <c r="P522" s="884"/>
      <c r="Q522" s="884"/>
      <c r="R522" s="884"/>
    </row>
    <row r="523" spans="2:18">
      <c r="B523" s="884"/>
      <c r="C523" s="884"/>
      <c r="D523" s="884"/>
      <c r="E523" s="884"/>
      <c r="F523" s="884"/>
      <c r="G523" s="884"/>
      <c r="H523" s="884"/>
      <c r="I523" s="884"/>
      <c r="J523" s="884"/>
      <c r="K523" s="884"/>
      <c r="L523" s="884"/>
      <c r="M523" s="884"/>
      <c r="N523" s="884"/>
      <c r="O523" s="884"/>
      <c r="P523" s="884"/>
      <c r="Q523" s="884"/>
      <c r="R523" s="884"/>
    </row>
    <row r="524" spans="2:18">
      <c r="B524" s="884"/>
      <c r="C524" s="884"/>
      <c r="D524" s="884"/>
      <c r="E524" s="884"/>
      <c r="F524" s="884"/>
      <c r="G524" s="884"/>
      <c r="H524" s="884"/>
      <c r="I524" s="884"/>
      <c r="J524" s="884"/>
      <c r="K524" s="884"/>
      <c r="L524" s="884"/>
      <c r="M524" s="884"/>
      <c r="N524" s="884"/>
      <c r="O524" s="884"/>
      <c r="P524" s="884"/>
      <c r="Q524" s="884"/>
      <c r="R524" s="884"/>
    </row>
    <row r="525" spans="2:18">
      <c r="B525" s="884"/>
      <c r="C525" s="884"/>
      <c r="D525" s="884"/>
      <c r="E525" s="884"/>
      <c r="F525" s="884"/>
      <c r="G525" s="884"/>
      <c r="H525" s="884"/>
      <c r="I525" s="884"/>
      <c r="J525" s="884"/>
      <c r="K525" s="884"/>
      <c r="L525" s="884"/>
      <c r="M525" s="884"/>
      <c r="N525" s="884"/>
      <c r="O525" s="884"/>
      <c r="P525" s="884"/>
      <c r="Q525" s="884"/>
      <c r="R525" s="884"/>
    </row>
    <row r="526" spans="2:18">
      <c r="B526" s="884"/>
      <c r="C526" s="884"/>
      <c r="D526" s="884"/>
      <c r="E526" s="884"/>
      <c r="F526" s="884"/>
      <c r="G526" s="884"/>
      <c r="H526" s="884"/>
      <c r="I526" s="884"/>
      <c r="J526" s="884"/>
      <c r="K526" s="884"/>
      <c r="L526" s="884"/>
      <c r="M526" s="884"/>
      <c r="N526" s="884"/>
      <c r="O526" s="884"/>
      <c r="P526" s="884"/>
      <c r="Q526" s="884"/>
      <c r="R526" s="884"/>
    </row>
    <row r="527" spans="2:18">
      <c r="B527" s="884"/>
      <c r="C527" s="884"/>
      <c r="D527" s="884"/>
      <c r="E527" s="884"/>
      <c r="F527" s="884"/>
      <c r="G527" s="884"/>
      <c r="H527" s="884"/>
      <c r="I527" s="884"/>
      <c r="J527" s="884"/>
      <c r="K527" s="884"/>
      <c r="L527" s="884"/>
      <c r="M527" s="884"/>
      <c r="N527" s="884"/>
      <c r="O527" s="884"/>
      <c r="P527" s="884"/>
      <c r="Q527" s="884"/>
      <c r="R527" s="884"/>
    </row>
    <row r="528" spans="2:18">
      <c r="B528" s="884"/>
      <c r="C528" s="884"/>
      <c r="D528" s="884"/>
      <c r="E528" s="884"/>
      <c r="F528" s="884"/>
      <c r="G528" s="884"/>
      <c r="H528" s="884"/>
      <c r="I528" s="884"/>
      <c r="J528" s="884"/>
      <c r="K528" s="884"/>
      <c r="L528" s="884"/>
      <c r="M528" s="884"/>
      <c r="N528" s="884"/>
      <c r="O528" s="884"/>
      <c r="P528" s="884"/>
      <c r="Q528" s="884"/>
      <c r="R528" s="884"/>
    </row>
    <row r="529" spans="2:18">
      <c r="B529" s="884"/>
      <c r="C529" s="884"/>
      <c r="D529" s="884"/>
      <c r="E529" s="884"/>
      <c r="F529" s="884"/>
      <c r="G529" s="884"/>
      <c r="H529" s="884"/>
      <c r="I529" s="884"/>
      <c r="J529" s="884"/>
      <c r="K529" s="884"/>
      <c r="L529" s="884"/>
      <c r="M529" s="884"/>
      <c r="N529" s="884"/>
      <c r="O529" s="884"/>
      <c r="P529" s="884"/>
      <c r="Q529" s="884"/>
      <c r="R529" s="884"/>
    </row>
    <row r="530" spans="2:18">
      <c r="B530" s="884"/>
      <c r="C530" s="884"/>
      <c r="D530" s="884"/>
      <c r="E530" s="884"/>
      <c r="F530" s="884"/>
      <c r="G530" s="884"/>
      <c r="H530" s="884"/>
      <c r="I530" s="884"/>
      <c r="J530" s="884"/>
      <c r="K530" s="884"/>
      <c r="L530" s="884"/>
      <c r="M530" s="884"/>
      <c r="N530" s="884"/>
      <c r="O530" s="884"/>
      <c r="P530" s="884"/>
      <c r="Q530" s="884"/>
      <c r="R530" s="884"/>
    </row>
    <row r="531" spans="2:18">
      <c r="B531" s="884"/>
      <c r="C531" s="884"/>
      <c r="D531" s="884"/>
      <c r="E531" s="884"/>
      <c r="F531" s="884"/>
      <c r="G531" s="884"/>
      <c r="H531" s="884"/>
      <c r="I531" s="884"/>
      <c r="J531" s="884"/>
      <c r="K531" s="884"/>
      <c r="L531" s="884"/>
      <c r="M531" s="884"/>
      <c r="N531" s="884"/>
      <c r="O531" s="884"/>
      <c r="P531" s="884"/>
      <c r="Q531" s="884"/>
      <c r="R531" s="884"/>
    </row>
    <row r="532" spans="2:18">
      <c r="B532" s="884"/>
      <c r="C532" s="884"/>
      <c r="D532" s="884"/>
      <c r="E532" s="884"/>
      <c r="F532" s="884"/>
      <c r="G532" s="884"/>
      <c r="H532" s="884"/>
      <c r="I532" s="884"/>
      <c r="J532" s="884"/>
      <c r="K532" s="884"/>
      <c r="L532" s="884"/>
      <c r="M532" s="884"/>
      <c r="N532" s="884"/>
      <c r="O532" s="884"/>
      <c r="P532" s="884"/>
      <c r="Q532" s="884"/>
      <c r="R532" s="884"/>
    </row>
    <row r="533" spans="2:18">
      <c r="B533" s="884"/>
      <c r="C533" s="884"/>
      <c r="D533" s="884"/>
      <c r="E533" s="884"/>
      <c r="F533" s="884"/>
      <c r="G533" s="884"/>
      <c r="H533" s="884"/>
      <c r="I533" s="884"/>
      <c r="J533" s="884"/>
      <c r="K533" s="884"/>
      <c r="L533" s="884"/>
      <c r="M533" s="884"/>
      <c r="N533" s="884"/>
      <c r="O533" s="884"/>
      <c r="P533" s="884"/>
      <c r="Q533" s="884"/>
      <c r="R533" s="884"/>
    </row>
    <row r="534" spans="2:18">
      <c r="B534" s="884"/>
      <c r="C534" s="884"/>
      <c r="D534" s="884"/>
      <c r="E534" s="884"/>
      <c r="F534" s="884"/>
      <c r="G534" s="884"/>
      <c r="H534" s="884"/>
      <c r="I534" s="884"/>
      <c r="J534" s="884"/>
      <c r="K534" s="884"/>
      <c r="L534" s="884"/>
      <c r="M534" s="884"/>
      <c r="N534" s="884"/>
      <c r="O534" s="884"/>
      <c r="P534" s="884"/>
      <c r="Q534" s="884"/>
      <c r="R534" s="884"/>
    </row>
    <row r="535" spans="2:18">
      <c r="B535" s="884"/>
      <c r="C535" s="884"/>
      <c r="D535" s="884"/>
      <c r="E535" s="884"/>
      <c r="F535" s="884"/>
      <c r="G535" s="884"/>
      <c r="H535" s="884"/>
      <c r="I535" s="884"/>
      <c r="J535" s="884"/>
      <c r="K535" s="884"/>
      <c r="L535" s="884"/>
      <c r="M535" s="884"/>
      <c r="N535" s="884"/>
      <c r="O535" s="884"/>
      <c r="P535" s="884"/>
      <c r="Q535" s="884"/>
      <c r="R535" s="884"/>
    </row>
    <row r="536" spans="2:18">
      <c r="B536" s="884"/>
      <c r="C536" s="884"/>
      <c r="D536" s="884"/>
      <c r="E536" s="884"/>
      <c r="F536" s="884"/>
      <c r="G536" s="884"/>
      <c r="H536" s="884"/>
      <c r="I536" s="884"/>
      <c r="J536" s="884"/>
      <c r="K536" s="884"/>
      <c r="L536" s="884"/>
      <c r="M536" s="884"/>
      <c r="N536" s="884"/>
      <c r="O536" s="884"/>
      <c r="P536" s="884"/>
      <c r="Q536" s="884"/>
      <c r="R536" s="884"/>
    </row>
    <row r="537" spans="2:18">
      <c r="B537" s="884"/>
      <c r="C537" s="884"/>
      <c r="D537" s="884"/>
      <c r="E537" s="884"/>
      <c r="F537" s="884"/>
      <c r="G537" s="884"/>
      <c r="H537" s="884"/>
      <c r="I537" s="884"/>
      <c r="J537" s="884"/>
      <c r="K537" s="884"/>
      <c r="L537" s="884"/>
      <c r="M537" s="884"/>
      <c r="N537" s="884"/>
      <c r="O537" s="884"/>
      <c r="P537" s="884"/>
      <c r="Q537" s="884"/>
      <c r="R537" s="884"/>
    </row>
    <row r="538" spans="2:18">
      <c r="B538" s="884"/>
      <c r="C538" s="884"/>
      <c r="D538" s="884"/>
      <c r="E538" s="884"/>
      <c r="F538" s="884"/>
      <c r="G538" s="884"/>
      <c r="H538" s="884"/>
      <c r="I538" s="884"/>
      <c r="J538" s="884"/>
      <c r="K538" s="884"/>
      <c r="L538" s="884"/>
      <c r="M538" s="884"/>
      <c r="N538" s="884"/>
      <c r="O538" s="884"/>
      <c r="P538" s="884"/>
      <c r="Q538" s="884"/>
      <c r="R538" s="884"/>
    </row>
    <row r="539" spans="2:18">
      <c r="B539" s="884"/>
      <c r="C539" s="884"/>
      <c r="D539" s="884"/>
      <c r="E539" s="884"/>
      <c r="F539" s="884"/>
      <c r="G539" s="884"/>
      <c r="H539" s="884"/>
      <c r="I539" s="884"/>
      <c r="J539" s="884"/>
      <c r="K539" s="884"/>
      <c r="L539" s="884"/>
      <c r="M539" s="884"/>
      <c r="N539" s="884"/>
      <c r="O539" s="884"/>
      <c r="P539" s="884"/>
      <c r="Q539" s="884"/>
      <c r="R539" s="884"/>
    </row>
    <row r="540" spans="2:18">
      <c r="B540" s="884"/>
      <c r="C540" s="884"/>
      <c r="D540" s="884"/>
      <c r="E540" s="884"/>
      <c r="F540" s="884"/>
      <c r="G540" s="884"/>
      <c r="H540" s="884"/>
      <c r="I540" s="884"/>
      <c r="J540" s="884"/>
      <c r="K540" s="884"/>
      <c r="L540" s="884"/>
      <c r="M540" s="884"/>
      <c r="N540" s="884"/>
      <c r="O540" s="884"/>
      <c r="P540" s="884"/>
      <c r="Q540" s="884"/>
      <c r="R540" s="884"/>
    </row>
    <row r="541" spans="2:18">
      <c r="B541" s="884"/>
      <c r="C541" s="884"/>
      <c r="D541" s="884"/>
      <c r="E541" s="884"/>
      <c r="F541" s="884"/>
      <c r="G541" s="884"/>
      <c r="H541" s="884"/>
      <c r="I541" s="884"/>
      <c r="J541" s="884"/>
      <c r="K541" s="884"/>
      <c r="L541" s="884"/>
      <c r="M541" s="884"/>
      <c r="N541" s="884"/>
      <c r="O541" s="884"/>
      <c r="P541" s="884"/>
      <c r="Q541" s="884"/>
      <c r="R541" s="884"/>
    </row>
    <row r="542" spans="2:18">
      <c r="B542" s="884"/>
      <c r="C542" s="884"/>
      <c r="D542" s="884"/>
      <c r="E542" s="884"/>
      <c r="F542" s="884"/>
      <c r="G542" s="884"/>
      <c r="H542" s="884"/>
      <c r="I542" s="884"/>
      <c r="J542" s="884"/>
      <c r="K542" s="884"/>
      <c r="L542" s="884"/>
      <c r="M542" s="884"/>
      <c r="N542" s="884"/>
      <c r="O542" s="884"/>
      <c r="P542" s="884"/>
      <c r="Q542" s="884"/>
      <c r="R542" s="884"/>
    </row>
    <row r="543" spans="2:18">
      <c r="B543" s="884"/>
      <c r="C543" s="884"/>
      <c r="D543" s="884"/>
      <c r="E543" s="884"/>
      <c r="F543" s="884"/>
      <c r="G543" s="884"/>
      <c r="H543" s="884"/>
      <c r="I543" s="884"/>
      <c r="J543" s="884"/>
      <c r="K543" s="884"/>
      <c r="L543" s="884"/>
      <c r="M543" s="884"/>
      <c r="N543" s="884"/>
      <c r="O543" s="884"/>
      <c r="P543" s="884"/>
      <c r="Q543" s="884"/>
      <c r="R543" s="884"/>
    </row>
    <row r="544" spans="2:18">
      <c r="B544" s="884"/>
      <c r="C544" s="884"/>
      <c r="D544" s="884"/>
      <c r="E544" s="884"/>
      <c r="F544" s="884"/>
      <c r="G544" s="884"/>
      <c r="H544" s="884"/>
      <c r="I544" s="884"/>
      <c r="J544" s="884"/>
      <c r="K544" s="884"/>
      <c r="L544" s="884"/>
      <c r="M544" s="884"/>
      <c r="N544" s="884"/>
      <c r="O544" s="884"/>
      <c r="P544" s="884"/>
      <c r="Q544" s="884"/>
      <c r="R544" s="884"/>
    </row>
    <row r="545" spans="2:18">
      <c r="B545" s="884"/>
      <c r="C545" s="884"/>
      <c r="D545" s="884"/>
      <c r="E545" s="884"/>
      <c r="F545" s="884"/>
      <c r="G545" s="884"/>
      <c r="H545" s="884"/>
      <c r="I545" s="884"/>
      <c r="J545" s="884"/>
      <c r="K545" s="884"/>
      <c r="L545" s="884"/>
      <c r="M545" s="884"/>
      <c r="N545" s="884"/>
      <c r="O545" s="884"/>
      <c r="P545" s="884"/>
      <c r="Q545" s="884"/>
      <c r="R545" s="884"/>
    </row>
    <row r="546" spans="2:18">
      <c r="B546" s="884"/>
      <c r="C546" s="884"/>
      <c r="D546" s="884"/>
      <c r="E546" s="884"/>
      <c r="F546" s="884"/>
      <c r="G546" s="884"/>
      <c r="H546" s="884"/>
      <c r="I546" s="884"/>
      <c r="J546" s="884"/>
      <c r="K546" s="884"/>
      <c r="L546" s="884"/>
      <c r="M546" s="884"/>
      <c r="N546" s="884"/>
      <c r="O546" s="884"/>
      <c r="P546" s="884"/>
      <c r="Q546" s="884"/>
      <c r="R546" s="884"/>
    </row>
    <row r="547" spans="2:18">
      <c r="B547" s="884"/>
      <c r="C547" s="884"/>
      <c r="D547" s="884"/>
      <c r="E547" s="884"/>
      <c r="F547" s="884"/>
      <c r="G547" s="884"/>
      <c r="H547" s="884"/>
      <c r="I547" s="884"/>
      <c r="J547" s="884"/>
      <c r="K547" s="884"/>
      <c r="L547" s="884"/>
      <c r="M547" s="884"/>
      <c r="N547" s="884"/>
      <c r="O547" s="884"/>
      <c r="P547" s="884"/>
      <c r="Q547" s="884"/>
      <c r="R547" s="884"/>
    </row>
    <row r="548" spans="2:18">
      <c r="B548" s="884"/>
      <c r="C548" s="884"/>
      <c r="D548" s="884"/>
      <c r="E548" s="884"/>
      <c r="F548" s="884"/>
      <c r="G548" s="884"/>
      <c r="H548" s="884"/>
      <c r="I548" s="884"/>
      <c r="J548" s="884"/>
      <c r="K548" s="884"/>
      <c r="L548" s="884"/>
      <c r="M548" s="884"/>
      <c r="N548" s="884"/>
      <c r="O548" s="884"/>
      <c r="P548" s="884"/>
      <c r="Q548" s="884"/>
      <c r="R548" s="884"/>
    </row>
    <row r="549" spans="2:18">
      <c r="B549" s="884"/>
      <c r="C549" s="884"/>
      <c r="D549" s="884"/>
      <c r="E549" s="884"/>
      <c r="F549" s="884"/>
      <c r="G549" s="884"/>
      <c r="H549" s="884"/>
      <c r="I549" s="884"/>
      <c r="J549" s="884"/>
      <c r="K549" s="884"/>
      <c r="L549" s="884"/>
      <c r="M549" s="884"/>
      <c r="N549" s="884"/>
      <c r="O549" s="884"/>
      <c r="P549" s="884"/>
      <c r="Q549" s="884"/>
      <c r="R549" s="884"/>
    </row>
    <row r="550" spans="2:18">
      <c r="B550" s="884"/>
      <c r="C550" s="884"/>
      <c r="D550" s="884"/>
      <c r="E550" s="884"/>
      <c r="F550" s="884"/>
      <c r="G550" s="884"/>
      <c r="H550" s="884"/>
      <c r="I550" s="884"/>
      <c r="J550" s="884"/>
      <c r="K550" s="884"/>
      <c r="L550" s="884"/>
      <c r="M550" s="884"/>
      <c r="N550" s="884"/>
      <c r="O550" s="884"/>
      <c r="P550" s="884"/>
      <c r="Q550" s="884"/>
      <c r="R550" s="884"/>
    </row>
    <row r="551" spans="2:18">
      <c r="B551" s="884"/>
      <c r="C551" s="884"/>
      <c r="D551" s="884"/>
      <c r="E551" s="884"/>
      <c r="F551" s="884"/>
      <c r="G551" s="884"/>
      <c r="H551" s="884"/>
      <c r="I551" s="884"/>
      <c r="J551" s="884"/>
      <c r="K551" s="884"/>
      <c r="L551" s="884"/>
      <c r="M551" s="884"/>
      <c r="N551" s="884"/>
      <c r="O551" s="884"/>
      <c r="P551" s="884"/>
      <c r="Q551" s="884"/>
      <c r="R551" s="884"/>
    </row>
    <row r="552" spans="2:18">
      <c r="B552" s="884"/>
      <c r="C552" s="884"/>
      <c r="D552" s="884"/>
      <c r="E552" s="884"/>
      <c r="F552" s="884"/>
      <c r="G552" s="884"/>
      <c r="H552" s="884"/>
      <c r="I552" s="884"/>
      <c r="J552" s="884"/>
      <c r="K552" s="884"/>
      <c r="L552" s="884"/>
      <c r="M552" s="884"/>
      <c r="N552" s="884"/>
      <c r="O552" s="884"/>
      <c r="P552" s="884"/>
      <c r="Q552" s="884"/>
      <c r="R552" s="884"/>
    </row>
    <row r="553" spans="2:18">
      <c r="B553" s="884"/>
      <c r="C553" s="884"/>
      <c r="D553" s="884"/>
      <c r="E553" s="884"/>
      <c r="F553" s="884"/>
      <c r="G553" s="884"/>
      <c r="H553" s="884"/>
      <c r="I553" s="884"/>
      <c r="J553" s="884"/>
      <c r="K553" s="884"/>
      <c r="L553" s="884"/>
      <c r="M553" s="884"/>
      <c r="N553" s="884"/>
      <c r="O553" s="884"/>
      <c r="P553" s="884"/>
      <c r="Q553" s="884"/>
      <c r="R553" s="884"/>
    </row>
    <row r="554" spans="2:18">
      <c r="B554" s="884"/>
      <c r="C554" s="884"/>
      <c r="D554" s="884"/>
      <c r="E554" s="884"/>
      <c r="F554" s="884"/>
      <c r="G554" s="884"/>
      <c r="H554" s="884"/>
      <c r="I554" s="884"/>
      <c r="J554" s="884"/>
      <c r="K554" s="884"/>
      <c r="L554" s="884"/>
      <c r="M554" s="884"/>
      <c r="N554" s="884"/>
      <c r="O554" s="884"/>
      <c r="P554" s="884"/>
      <c r="Q554" s="884"/>
      <c r="R554" s="884"/>
    </row>
    <row r="555" spans="2:18">
      <c r="B555" s="884"/>
      <c r="C555" s="884"/>
      <c r="D555" s="884"/>
      <c r="E555" s="884"/>
      <c r="F555" s="884"/>
      <c r="G555" s="884"/>
      <c r="H555" s="884"/>
      <c r="I555" s="884"/>
      <c r="J555" s="884"/>
      <c r="K555" s="884"/>
      <c r="L555" s="884"/>
      <c r="M555" s="884"/>
      <c r="N555" s="884"/>
      <c r="O555" s="884"/>
      <c r="P555" s="884"/>
      <c r="Q555" s="884"/>
      <c r="R555" s="884"/>
    </row>
    <row r="556" spans="2:18">
      <c r="B556" s="884"/>
      <c r="C556" s="884"/>
      <c r="D556" s="884"/>
      <c r="E556" s="884"/>
      <c r="F556" s="884"/>
      <c r="G556" s="884"/>
      <c r="H556" s="884"/>
      <c r="I556" s="884"/>
      <c r="J556" s="884"/>
      <c r="K556" s="884"/>
      <c r="L556" s="884"/>
      <c r="M556" s="884"/>
      <c r="N556" s="884"/>
      <c r="O556" s="884"/>
      <c r="P556" s="884"/>
      <c r="Q556" s="884"/>
      <c r="R556" s="884"/>
    </row>
    <row r="557" spans="2:18">
      <c r="B557" s="884"/>
      <c r="C557" s="884"/>
      <c r="D557" s="884"/>
      <c r="E557" s="884"/>
      <c r="F557" s="884"/>
      <c r="G557" s="884"/>
      <c r="H557" s="884"/>
      <c r="I557" s="884"/>
      <c r="J557" s="884"/>
      <c r="K557" s="884"/>
      <c r="L557" s="884"/>
      <c r="M557" s="884"/>
      <c r="N557" s="884"/>
      <c r="O557" s="884"/>
      <c r="P557" s="884"/>
      <c r="Q557" s="884"/>
      <c r="R557" s="884"/>
    </row>
    <row r="558" spans="2:18">
      <c r="B558" s="884"/>
      <c r="C558" s="884"/>
      <c r="D558" s="884"/>
      <c r="E558" s="884"/>
      <c r="F558" s="884"/>
      <c r="G558" s="884"/>
      <c r="H558" s="884"/>
      <c r="I558" s="884"/>
      <c r="J558" s="884"/>
      <c r="K558" s="884"/>
      <c r="L558" s="884"/>
      <c r="M558" s="884"/>
      <c r="N558" s="884"/>
      <c r="O558" s="884"/>
      <c r="P558" s="884"/>
      <c r="Q558" s="884"/>
      <c r="R558" s="884"/>
    </row>
    <row r="559" spans="2:18">
      <c r="B559" s="884"/>
      <c r="C559" s="884"/>
      <c r="D559" s="884"/>
      <c r="E559" s="884"/>
      <c r="F559" s="884"/>
      <c r="G559" s="884"/>
      <c r="H559" s="884"/>
      <c r="I559" s="884"/>
      <c r="J559" s="884"/>
      <c r="K559" s="884"/>
      <c r="L559" s="884"/>
      <c r="M559" s="884"/>
      <c r="N559" s="884"/>
      <c r="O559" s="884"/>
      <c r="P559" s="884"/>
      <c r="Q559" s="884"/>
      <c r="R559" s="884"/>
    </row>
    <row r="560" spans="2:18">
      <c r="B560" s="884"/>
      <c r="C560" s="884"/>
      <c r="D560" s="884"/>
      <c r="E560" s="884"/>
      <c r="F560" s="884"/>
      <c r="G560" s="884"/>
      <c r="H560" s="884"/>
      <c r="I560" s="884"/>
      <c r="J560" s="884"/>
      <c r="K560" s="884"/>
      <c r="L560" s="884"/>
      <c r="M560" s="884"/>
      <c r="N560" s="884"/>
      <c r="O560" s="884"/>
      <c r="P560" s="884"/>
      <c r="Q560" s="884"/>
      <c r="R560" s="884"/>
    </row>
    <row r="561" spans="2:18">
      <c r="B561" s="884"/>
      <c r="C561" s="884"/>
      <c r="D561" s="884"/>
      <c r="E561" s="884"/>
      <c r="F561" s="884"/>
      <c r="G561" s="884"/>
      <c r="H561" s="884"/>
      <c r="I561" s="884"/>
      <c r="J561" s="884"/>
      <c r="K561" s="884"/>
      <c r="L561" s="884"/>
      <c r="M561" s="884"/>
      <c r="N561" s="884"/>
      <c r="O561" s="884"/>
      <c r="P561" s="884"/>
      <c r="Q561" s="884"/>
      <c r="R561" s="884"/>
    </row>
    <row r="562" spans="2:18">
      <c r="B562" s="884"/>
      <c r="C562" s="884"/>
      <c r="D562" s="884"/>
      <c r="E562" s="884"/>
      <c r="F562" s="884"/>
      <c r="G562" s="884"/>
      <c r="H562" s="884"/>
      <c r="I562" s="884"/>
      <c r="J562" s="884"/>
      <c r="K562" s="884"/>
      <c r="L562" s="884"/>
      <c r="M562" s="884"/>
      <c r="N562" s="884"/>
      <c r="O562" s="884"/>
      <c r="P562" s="884"/>
      <c r="Q562" s="884"/>
      <c r="R562" s="884"/>
    </row>
    <row r="563" spans="2:18">
      <c r="B563" s="884"/>
      <c r="C563" s="884"/>
      <c r="D563" s="884"/>
      <c r="E563" s="884"/>
      <c r="F563" s="884"/>
      <c r="G563" s="884"/>
      <c r="H563" s="884"/>
      <c r="I563" s="884"/>
      <c r="J563" s="884"/>
      <c r="K563" s="884"/>
      <c r="L563" s="884"/>
      <c r="M563" s="884"/>
      <c r="N563" s="884"/>
      <c r="O563" s="884"/>
      <c r="P563" s="884"/>
      <c r="Q563" s="884"/>
      <c r="R563" s="884"/>
    </row>
    <row r="564" spans="2:18">
      <c r="B564" s="884"/>
      <c r="C564" s="884"/>
      <c r="D564" s="884"/>
      <c r="E564" s="884"/>
      <c r="F564" s="884"/>
      <c r="G564" s="884"/>
      <c r="H564" s="884"/>
      <c r="I564" s="884"/>
      <c r="J564" s="884"/>
      <c r="K564" s="884"/>
      <c r="L564" s="884"/>
      <c r="M564" s="884"/>
      <c r="N564" s="884"/>
      <c r="O564" s="884"/>
      <c r="P564" s="884"/>
      <c r="Q564" s="884"/>
      <c r="R564" s="884"/>
    </row>
    <row r="565" spans="2:18">
      <c r="B565" s="884"/>
      <c r="C565" s="884"/>
      <c r="D565" s="884"/>
      <c r="E565" s="884"/>
      <c r="F565" s="884"/>
      <c r="G565" s="884"/>
      <c r="H565" s="884"/>
      <c r="I565" s="884"/>
      <c r="J565" s="884"/>
      <c r="K565" s="884"/>
      <c r="L565" s="884"/>
      <c r="M565" s="884"/>
      <c r="N565" s="884"/>
      <c r="O565" s="884"/>
      <c r="P565" s="884"/>
      <c r="Q565" s="884"/>
      <c r="R565" s="884"/>
    </row>
    <row r="566" spans="2:18">
      <c r="B566" s="884"/>
      <c r="C566" s="884"/>
      <c r="D566" s="884"/>
      <c r="E566" s="884"/>
      <c r="F566" s="884"/>
      <c r="G566" s="884"/>
      <c r="H566" s="884"/>
      <c r="I566" s="884"/>
      <c r="J566" s="884"/>
      <c r="K566" s="884"/>
      <c r="L566" s="884"/>
      <c r="M566" s="884"/>
      <c r="N566" s="884"/>
      <c r="O566" s="884"/>
      <c r="P566" s="884"/>
      <c r="Q566" s="884"/>
      <c r="R566" s="884"/>
    </row>
    <row r="567" spans="2:18">
      <c r="B567" s="884"/>
      <c r="C567" s="884"/>
      <c r="D567" s="884"/>
      <c r="E567" s="884"/>
      <c r="F567" s="884"/>
      <c r="G567" s="884"/>
      <c r="H567" s="884"/>
      <c r="I567" s="884"/>
      <c r="J567" s="884"/>
      <c r="K567" s="884"/>
      <c r="L567" s="884"/>
      <c r="M567" s="884"/>
      <c r="N567" s="884"/>
      <c r="O567" s="884"/>
      <c r="P567" s="884"/>
      <c r="Q567" s="884"/>
      <c r="R567" s="884"/>
    </row>
    <row r="568" spans="2:18">
      <c r="B568" s="884"/>
      <c r="C568" s="884"/>
      <c r="D568" s="884"/>
      <c r="E568" s="884"/>
      <c r="F568" s="884"/>
      <c r="G568" s="884"/>
      <c r="H568" s="884"/>
      <c r="I568" s="884"/>
      <c r="J568" s="884"/>
      <c r="K568" s="884"/>
      <c r="L568" s="884"/>
      <c r="M568" s="884"/>
      <c r="N568" s="884"/>
      <c r="O568" s="884"/>
      <c r="P568" s="884"/>
      <c r="Q568" s="884"/>
      <c r="R568" s="884"/>
    </row>
    <row r="569" spans="2:18">
      <c r="B569" s="884"/>
      <c r="C569" s="884"/>
      <c r="D569" s="884"/>
      <c r="E569" s="884"/>
      <c r="F569" s="884"/>
      <c r="G569" s="884"/>
      <c r="H569" s="884"/>
      <c r="I569" s="884"/>
      <c r="J569" s="884"/>
      <c r="K569" s="884"/>
      <c r="L569" s="884"/>
      <c r="M569" s="884"/>
      <c r="N569" s="884"/>
      <c r="O569" s="884"/>
      <c r="P569" s="884"/>
      <c r="Q569" s="884"/>
      <c r="R569" s="884"/>
    </row>
    <row r="570" spans="2:18">
      <c r="B570" s="884"/>
      <c r="C570" s="884"/>
      <c r="D570" s="884"/>
      <c r="E570" s="884"/>
      <c r="F570" s="884"/>
      <c r="G570" s="884"/>
      <c r="H570" s="884"/>
      <c r="I570" s="884"/>
      <c r="J570" s="884"/>
      <c r="K570" s="884"/>
      <c r="L570" s="884"/>
      <c r="M570" s="884"/>
      <c r="N570" s="884"/>
      <c r="O570" s="884"/>
      <c r="P570" s="884"/>
      <c r="Q570" s="884"/>
      <c r="R570" s="884"/>
    </row>
    <row r="571" spans="2:18">
      <c r="B571" s="884"/>
      <c r="C571" s="884"/>
      <c r="D571" s="884"/>
      <c r="E571" s="884"/>
      <c r="F571" s="884"/>
      <c r="G571" s="884"/>
      <c r="H571" s="884"/>
      <c r="I571" s="884"/>
      <c r="J571" s="884"/>
      <c r="K571" s="884"/>
      <c r="L571" s="884"/>
      <c r="M571" s="884"/>
      <c r="N571" s="884"/>
      <c r="O571" s="884"/>
      <c r="P571" s="884"/>
      <c r="Q571" s="884"/>
      <c r="R571" s="884"/>
    </row>
    <row r="572" spans="2:18">
      <c r="B572" s="884"/>
      <c r="C572" s="884"/>
      <c r="D572" s="884"/>
      <c r="E572" s="884"/>
      <c r="F572" s="884"/>
      <c r="G572" s="884"/>
      <c r="H572" s="884"/>
      <c r="I572" s="884"/>
      <c r="J572" s="884"/>
      <c r="K572" s="884"/>
      <c r="L572" s="884"/>
      <c r="M572" s="884"/>
      <c r="N572" s="884"/>
      <c r="O572" s="884"/>
      <c r="P572" s="884"/>
      <c r="Q572" s="884"/>
      <c r="R572" s="884"/>
    </row>
    <row r="573" spans="2:18">
      <c r="B573" s="884"/>
      <c r="C573" s="884"/>
      <c r="D573" s="884"/>
      <c r="E573" s="884"/>
      <c r="F573" s="884"/>
      <c r="G573" s="884"/>
      <c r="H573" s="884"/>
      <c r="I573" s="884"/>
      <c r="J573" s="884"/>
      <c r="K573" s="884"/>
      <c r="L573" s="884"/>
      <c r="M573" s="884"/>
      <c r="N573" s="884"/>
      <c r="O573" s="884"/>
      <c r="P573" s="884"/>
      <c r="Q573" s="884"/>
      <c r="R573" s="884"/>
    </row>
    <row r="574" spans="2:18">
      <c r="B574" s="884"/>
      <c r="C574" s="884"/>
      <c r="D574" s="884"/>
      <c r="E574" s="884"/>
      <c r="F574" s="884"/>
      <c r="G574" s="884"/>
      <c r="H574" s="884"/>
      <c r="I574" s="884"/>
      <c r="J574" s="884"/>
      <c r="K574" s="884"/>
      <c r="L574" s="884"/>
      <c r="M574" s="884"/>
      <c r="N574" s="884"/>
      <c r="O574" s="884"/>
      <c r="P574" s="884"/>
      <c r="Q574" s="884"/>
      <c r="R574" s="884"/>
    </row>
    <row r="575" spans="2:18">
      <c r="B575" s="884"/>
      <c r="C575" s="884"/>
      <c r="D575" s="884"/>
      <c r="E575" s="884"/>
      <c r="F575" s="884"/>
      <c r="G575" s="884"/>
      <c r="H575" s="884"/>
      <c r="I575" s="884"/>
      <c r="J575" s="884"/>
      <c r="K575" s="884"/>
      <c r="L575" s="884"/>
      <c r="M575" s="884"/>
      <c r="N575" s="884"/>
      <c r="O575" s="884"/>
      <c r="P575" s="884"/>
      <c r="Q575" s="884"/>
      <c r="R575" s="884"/>
    </row>
    <row r="576" spans="2:18">
      <c r="B576" s="884"/>
      <c r="C576" s="884"/>
      <c r="D576" s="884"/>
      <c r="E576" s="884"/>
      <c r="F576" s="884"/>
      <c r="G576" s="884"/>
      <c r="H576" s="884"/>
      <c r="I576" s="884"/>
      <c r="J576" s="884"/>
      <c r="K576" s="884"/>
      <c r="L576" s="884"/>
      <c r="M576" s="884"/>
      <c r="N576" s="884"/>
      <c r="O576" s="884"/>
      <c r="P576" s="884"/>
      <c r="Q576" s="884"/>
      <c r="R576" s="884"/>
    </row>
    <row r="577" spans="2:18">
      <c r="B577" s="884"/>
      <c r="C577" s="884"/>
      <c r="D577" s="884"/>
      <c r="E577" s="884"/>
      <c r="F577" s="884"/>
      <c r="G577" s="884"/>
      <c r="H577" s="884"/>
      <c r="I577" s="884"/>
      <c r="J577" s="884"/>
      <c r="K577" s="884"/>
      <c r="L577" s="884"/>
      <c r="M577" s="884"/>
      <c r="N577" s="884"/>
      <c r="O577" s="884"/>
      <c r="P577" s="884"/>
      <c r="Q577" s="884"/>
      <c r="R577" s="884"/>
    </row>
    <row r="578" spans="2:18">
      <c r="B578" s="884"/>
      <c r="C578" s="884"/>
      <c r="D578" s="884"/>
      <c r="E578" s="884"/>
      <c r="F578" s="884"/>
      <c r="G578" s="884"/>
      <c r="H578" s="884"/>
      <c r="I578" s="884"/>
      <c r="J578" s="884"/>
      <c r="K578" s="884"/>
      <c r="L578" s="884"/>
      <c r="M578" s="884"/>
      <c r="N578" s="884"/>
      <c r="O578" s="884"/>
      <c r="P578" s="884"/>
      <c r="Q578" s="884"/>
      <c r="R578" s="884"/>
    </row>
    <row r="579" spans="2:18">
      <c r="B579" s="884"/>
      <c r="C579" s="884"/>
      <c r="D579" s="884"/>
      <c r="E579" s="884"/>
      <c r="F579" s="884"/>
      <c r="G579" s="884"/>
      <c r="H579" s="884"/>
      <c r="I579" s="884"/>
      <c r="J579" s="884"/>
      <c r="K579" s="884"/>
      <c r="L579" s="884"/>
      <c r="M579" s="884"/>
      <c r="N579" s="884"/>
      <c r="O579" s="884"/>
      <c r="P579" s="884"/>
      <c r="Q579" s="884"/>
      <c r="R579" s="884"/>
    </row>
    <row r="580" spans="2:18">
      <c r="B580" s="884"/>
      <c r="C580" s="884"/>
      <c r="D580" s="884"/>
      <c r="E580" s="884"/>
      <c r="F580" s="884"/>
      <c r="G580" s="884"/>
      <c r="H580" s="884"/>
      <c r="I580" s="884"/>
      <c r="J580" s="884"/>
      <c r="K580" s="884"/>
      <c r="L580" s="884"/>
      <c r="M580" s="884"/>
      <c r="N580" s="884"/>
      <c r="O580" s="884"/>
      <c r="P580" s="884"/>
      <c r="Q580" s="884"/>
      <c r="R580" s="884"/>
    </row>
    <row r="581" spans="2:18">
      <c r="B581" s="884"/>
      <c r="C581" s="884"/>
      <c r="D581" s="884"/>
      <c r="E581" s="884"/>
      <c r="F581" s="884"/>
      <c r="G581" s="884"/>
      <c r="H581" s="884"/>
      <c r="I581" s="884"/>
      <c r="J581" s="884"/>
      <c r="K581" s="884"/>
      <c r="L581" s="884"/>
      <c r="M581" s="884"/>
      <c r="N581" s="884"/>
      <c r="O581" s="884"/>
      <c r="P581" s="884"/>
      <c r="Q581" s="884"/>
      <c r="R581" s="884"/>
    </row>
    <row r="582" spans="2:18">
      <c r="B582" s="884"/>
      <c r="C582" s="884"/>
      <c r="D582" s="884"/>
      <c r="E582" s="884"/>
      <c r="F582" s="884"/>
      <c r="G582" s="884"/>
      <c r="H582" s="884"/>
      <c r="I582" s="884"/>
      <c r="J582" s="884"/>
      <c r="K582" s="884"/>
      <c r="L582" s="884"/>
      <c r="M582" s="884"/>
      <c r="N582" s="884"/>
      <c r="O582" s="884"/>
      <c r="P582" s="884"/>
      <c r="Q582" s="884"/>
      <c r="R582" s="884"/>
    </row>
    <row r="583" spans="2:18">
      <c r="B583" s="884"/>
      <c r="C583" s="884"/>
      <c r="D583" s="884"/>
      <c r="E583" s="884"/>
      <c r="F583" s="884"/>
      <c r="G583" s="884"/>
      <c r="H583" s="884"/>
      <c r="I583" s="884"/>
      <c r="J583" s="884"/>
      <c r="K583" s="884"/>
      <c r="L583" s="884"/>
      <c r="M583" s="884"/>
      <c r="N583" s="884"/>
      <c r="O583" s="884"/>
      <c r="P583" s="884"/>
      <c r="Q583" s="884"/>
      <c r="R583" s="884"/>
    </row>
    <row r="584" spans="2:18">
      <c r="B584" s="884"/>
      <c r="C584" s="884"/>
      <c r="D584" s="884"/>
      <c r="E584" s="884"/>
      <c r="F584" s="884"/>
      <c r="G584" s="884"/>
      <c r="H584" s="884"/>
      <c r="I584" s="884"/>
      <c r="J584" s="884"/>
      <c r="K584" s="884"/>
      <c r="L584" s="884"/>
      <c r="M584" s="884"/>
      <c r="N584" s="884"/>
      <c r="O584" s="884"/>
      <c r="P584" s="884"/>
      <c r="Q584" s="884"/>
      <c r="R584" s="884"/>
    </row>
    <row r="585" spans="2:18">
      <c r="B585" s="884"/>
      <c r="C585" s="884"/>
      <c r="D585" s="884"/>
      <c r="E585" s="884"/>
      <c r="F585" s="884"/>
      <c r="G585" s="884"/>
      <c r="H585" s="884"/>
      <c r="I585" s="884"/>
      <c r="J585" s="884"/>
      <c r="K585" s="884"/>
      <c r="L585" s="884"/>
      <c r="M585" s="884"/>
      <c r="N585" s="884"/>
      <c r="O585" s="884"/>
      <c r="P585" s="884"/>
      <c r="Q585" s="884"/>
      <c r="R585" s="884"/>
    </row>
    <row r="586" spans="2:18">
      <c r="B586" s="884"/>
      <c r="C586" s="884"/>
      <c r="D586" s="884"/>
      <c r="E586" s="884"/>
      <c r="F586" s="884"/>
      <c r="G586" s="884"/>
      <c r="H586" s="884"/>
      <c r="I586" s="884"/>
      <c r="J586" s="884"/>
      <c r="K586" s="884"/>
      <c r="L586" s="884"/>
      <c r="M586" s="884"/>
      <c r="N586" s="884"/>
      <c r="O586" s="884"/>
      <c r="P586" s="884"/>
      <c r="Q586" s="884"/>
      <c r="R586" s="884"/>
    </row>
    <row r="587" spans="2:18">
      <c r="B587" s="884"/>
      <c r="C587" s="884"/>
      <c r="D587" s="884"/>
      <c r="E587" s="884"/>
      <c r="F587" s="884"/>
      <c r="G587" s="884"/>
      <c r="H587" s="884"/>
      <c r="I587" s="884"/>
      <c r="J587" s="884"/>
      <c r="K587" s="884"/>
      <c r="L587" s="884"/>
      <c r="M587" s="884"/>
      <c r="N587" s="884"/>
      <c r="O587" s="884"/>
      <c r="P587" s="884"/>
      <c r="Q587" s="884"/>
      <c r="R587" s="884"/>
    </row>
    <row r="588" spans="2:18">
      <c r="B588" s="884"/>
      <c r="C588" s="884"/>
      <c r="D588" s="884"/>
      <c r="E588" s="884"/>
      <c r="F588" s="884"/>
      <c r="G588" s="884"/>
      <c r="H588" s="884"/>
      <c r="I588" s="884"/>
      <c r="J588" s="884"/>
      <c r="K588" s="884"/>
      <c r="L588" s="884"/>
      <c r="M588" s="884"/>
      <c r="N588" s="884"/>
      <c r="O588" s="884"/>
      <c r="P588" s="884"/>
      <c r="Q588" s="884"/>
      <c r="R588" s="884"/>
    </row>
    <row r="589" spans="2:18">
      <c r="B589" s="884"/>
      <c r="C589" s="884"/>
      <c r="D589" s="884"/>
      <c r="E589" s="884"/>
      <c r="F589" s="884"/>
      <c r="G589" s="884"/>
      <c r="H589" s="884"/>
      <c r="I589" s="884"/>
      <c r="J589" s="884"/>
      <c r="K589" s="884"/>
      <c r="L589" s="884"/>
      <c r="M589" s="884"/>
      <c r="N589" s="884"/>
      <c r="O589" s="884"/>
      <c r="P589" s="884"/>
      <c r="Q589" s="884"/>
      <c r="R589" s="884"/>
    </row>
    <row r="590" spans="2:18">
      <c r="B590" s="884"/>
      <c r="C590" s="884"/>
      <c r="D590" s="884"/>
      <c r="E590" s="884"/>
      <c r="F590" s="884"/>
      <c r="G590" s="884"/>
      <c r="H590" s="884"/>
      <c r="I590" s="884"/>
      <c r="J590" s="884"/>
      <c r="K590" s="884"/>
      <c r="L590" s="884"/>
      <c r="M590" s="884"/>
      <c r="N590" s="884"/>
      <c r="O590" s="884"/>
      <c r="P590" s="884"/>
      <c r="Q590" s="884"/>
      <c r="R590" s="884"/>
    </row>
    <row r="591" spans="2:18">
      <c r="B591" s="884"/>
      <c r="C591" s="884"/>
      <c r="D591" s="884"/>
      <c r="E591" s="884"/>
      <c r="F591" s="884"/>
      <c r="G591" s="884"/>
      <c r="H591" s="884"/>
      <c r="I591" s="884"/>
      <c r="J591" s="884"/>
      <c r="K591" s="884"/>
      <c r="L591" s="884"/>
      <c r="M591" s="884"/>
      <c r="N591" s="884"/>
      <c r="O591" s="884"/>
      <c r="P591" s="884"/>
      <c r="Q591" s="884"/>
      <c r="R591" s="884"/>
    </row>
    <row r="592" spans="2:18">
      <c r="B592" s="884"/>
      <c r="C592" s="884"/>
      <c r="D592" s="884"/>
      <c r="E592" s="884"/>
      <c r="F592" s="884"/>
      <c r="G592" s="884"/>
      <c r="H592" s="884"/>
      <c r="I592" s="884"/>
      <c r="J592" s="884"/>
      <c r="K592" s="884"/>
      <c r="L592" s="884"/>
      <c r="M592" s="884"/>
      <c r="N592" s="884"/>
      <c r="O592" s="884"/>
      <c r="P592" s="884"/>
      <c r="Q592" s="884"/>
      <c r="R592" s="884"/>
    </row>
    <row r="593" spans="2:18">
      <c r="B593" s="884"/>
      <c r="C593" s="884"/>
      <c r="D593" s="884"/>
      <c r="E593" s="884"/>
      <c r="F593" s="884"/>
      <c r="G593" s="884"/>
      <c r="H593" s="884"/>
      <c r="I593" s="884"/>
      <c r="J593" s="884"/>
      <c r="K593" s="884"/>
      <c r="L593" s="884"/>
      <c r="M593" s="884"/>
      <c r="N593" s="884"/>
      <c r="O593" s="884"/>
      <c r="P593" s="884"/>
      <c r="Q593" s="884"/>
      <c r="R593" s="884"/>
    </row>
    <row r="594" spans="2:18">
      <c r="B594" s="884"/>
      <c r="C594" s="884"/>
      <c r="D594" s="884"/>
      <c r="E594" s="884"/>
      <c r="F594" s="884"/>
      <c r="G594" s="884"/>
      <c r="H594" s="884"/>
      <c r="I594" s="884"/>
      <c r="J594" s="884"/>
      <c r="K594" s="884"/>
      <c r="L594" s="884"/>
      <c r="M594" s="884"/>
      <c r="N594" s="884"/>
      <c r="O594" s="884"/>
      <c r="P594" s="884"/>
      <c r="Q594" s="884"/>
      <c r="R594" s="884"/>
    </row>
    <row r="595" spans="2:18">
      <c r="B595" s="884"/>
      <c r="C595" s="884"/>
      <c r="D595" s="884"/>
      <c r="E595" s="884"/>
      <c r="F595" s="884"/>
      <c r="G595" s="884"/>
      <c r="H595" s="884"/>
      <c r="I595" s="884"/>
      <c r="J595" s="884"/>
      <c r="K595" s="884"/>
      <c r="L595" s="884"/>
      <c r="M595" s="884"/>
      <c r="N595" s="884"/>
      <c r="O595" s="884"/>
      <c r="P595" s="884"/>
      <c r="Q595" s="884"/>
      <c r="R595" s="884"/>
    </row>
    <row r="596" spans="2:18">
      <c r="B596" s="884"/>
      <c r="C596" s="884"/>
      <c r="D596" s="884"/>
      <c r="E596" s="884"/>
      <c r="F596" s="884"/>
      <c r="G596" s="884"/>
      <c r="H596" s="884"/>
      <c r="I596" s="884"/>
      <c r="J596" s="884"/>
      <c r="K596" s="884"/>
      <c r="L596" s="884"/>
      <c r="M596" s="884"/>
      <c r="N596" s="884"/>
      <c r="O596" s="884"/>
      <c r="P596" s="884"/>
      <c r="Q596" s="884"/>
      <c r="R596" s="884"/>
    </row>
    <row r="597" spans="2:18">
      <c r="B597" s="884"/>
      <c r="C597" s="884"/>
      <c r="D597" s="884"/>
      <c r="E597" s="884"/>
      <c r="F597" s="884"/>
      <c r="G597" s="884"/>
      <c r="H597" s="884"/>
      <c r="I597" s="884"/>
      <c r="J597" s="884"/>
      <c r="K597" s="884"/>
      <c r="L597" s="884"/>
      <c r="M597" s="884"/>
      <c r="N597" s="884"/>
      <c r="O597" s="884"/>
      <c r="P597" s="884"/>
      <c r="Q597" s="884"/>
      <c r="R597" s="884"/>
    </row>
    <row r="598" spans="2:18">
      <c r="B598" s="884"/>
      <c r="C598" s="884"/>
      <c r="D598" s="884"/>
      <c r="E598" s="884"/>
      <c r="F598" s="884"/>
      <c r="G598" s="884"/>
      <c r="H598" s="884"/>
      <c r="I598" s="884"/>
      <c r="J598" s="884"/>
      <c r="K598" s="884"/>
      <c r="L598" s="884"/>
      <c r="M598" s="884"/>
      <c r="N598" s="884"/>
      <c r="O598" s="884"/>
      <c r="P598" s="884"/>
      <c r="Q598" s="884"/>
      <c r="R598" s="884"/>
    </row>
    <row r="599" spans="2:18">
      <c r="B599" s="884"/>
      <c r="C599" s="884"/>
      <c r="D599" s="884"/>
      <c r="E599" s="884"/>
      <c r="F599" s="884"/>
      <c r="G599" s="884"/>
      <c r="H599" s="884"/>
      <c r="I599" s="884"/>
      <c r="J599" s="884"/>
      <c r="K599" s="884"/>
      <c r="L599" s="884"/>
      <c r="M599" s="884"/>
      <c r="N599" s="884"/>
      <c r="O599" s="884"/>
      <c r="P599" s="884"/>
      <c r="Q599" s="884"/>
      <c r="R599" s="884"/>
    </row>
    <row r="600" spans="2:18">
      <c r="B600" s="884"/>
      <c r="C600" s="884"/>
      <c r="D600" s="884"/>
      <c r="E600" s="884"/>
      <c r="F600" s="884"/>
      <c r="G600" s="884"/>
      <c r="H600" s="884"/>
      <c r="I600" s="884"/>
      <c r="J600" s="884"/>
      <c r="K600" s="884"/>
      <c r="L600" s="884"/>
      <c r="M600" s="884"/>
      <c r="N600" s="884"/>
      <c r="O600" s="884"/>
      <c r="P600" s="884"/>
      <c r="Q600" s="884"/>
      <c r="R600" s="884"/>
    </row>
    <row r="601" spans="2:18">
      <c r="B601" s="884"/>
      <c r="C601" s="884"/>
      <c r="D601" s="884"/>
      <c r="E601" s="884"/>
      <c r="F601" s="884"/>
      <c r="G601" s="884"/>
      <c r="H601" s="884"/>
      <c r="I601" s="884"/>
      <c r="J601" s="884"/>
      <c r="K601" s="884"/>
      <c r="L601" s="884"/>
      <c r="M601" s="884"/>
      <c r="N601" s="884"/>
      <c r="O601" s="884"/>
      <c r="P601" s="884"/>
      <c r="Q601" s="884"/>
      <c r="R601" s="884"/>
    </row>
    <row r="602" spans="2:18">
      <c r="B602" s="884"/>
      <c r="C602" s="884"/>
      <c r="D602" s="884"/>
      <c r="E602" s="884"/>
      <c r="F602" s="884"/>
      <c r="G602" s="884"/>
      <c r="H602" s="884"/>
      <c r="I602" s="884"/>
      <c r="J602" s="884"/>
      <c r="K602" s="884"/>
      <c r="L602" s="884"/>
      <c r="M602" s="884"/>
      <c r="N602" s="884"/>
      <c r="O602" s="884"/>
      <c r="P602" s="884"/>
      <c r="Q602" s="884"/>
      <c r="R602" s="884"/>
    </row>
    <row r="603" spans="2:18">
      <c r="B603" s="884"/>
      <c r="C603" s="884"/>
      <c r="D603" s="884"/>
      <c r="E603" s="884"/>
      <c r="F603" s="884"/>
      <c r="G603" s="884"/>
      <c r="H603" s="884"/>
      <c r="I603" s="884"/>
      <c r="J603" s="884"/>
      <c r="K603" s="884"/>
      <c r="L603" s="884"/>
      <c r="M603" s="884"/>
      <c r="N603" s="884"/>
      <c r="O603" s="884"/>
      <c r="P603" s="884"/>
      <c r="Q603" s="884"/>
      <c r="R603" s="884"/>
    </row>
    <row r="604" spans="2:18">
      <c r="B604" s="884"/>
      <c r="C604" s="884"/>
      <c r="D604" s="884"/>
      <c r="E604" s="884"/>
      <c r="F604" s="884"/>
      <c r="G604" s="884"/>
      <c r="H604" s="884"/>
      <c r="I604" s="884"/>
      <c r="J604" s="884"/>
      <c r="K604" s="884"/>
      <c r="L604" s="884"/>
      <c r="M604" s="884"/>
      <c r="N604" s="884"/>
      <c r="O604" s="884"/>
      <c r="P604" s="884"/>
      <c r="Q604" s="884"/>
      <c r="R604" s="884"/>
    </row>
    <row r="605" spans="2:18">
      <c r="B605" s="884"/>
      <c r="C605" s="884"/>
      <c r="D605" s="884"/>
      <c r="E605" s="884"/>
      <c r="F605" s="884"/>
      <c r="G605" s="884"/>
      <c r="H605" s="884"/>
      <c r="I605" s="884"/>
      <c r="J605" s="884"/>
      <c r="K605" s="884"/>
      <c r="L605" s="884"/>
      <c r="M605" s="884"/>
      <c r="N605" s="884"/>
      <c r="O605" s="884"/>
      <c r="P605" s="884"/>
      <c r="Q605" s="884"/>
      <c r="R605" s="884"/>
    </row>
    <row r="606" spans="2:18">
      <c r="B606" s="884"/>
      <c r="C606" s="884"/>
      <c r="D606" s="884"/>
      <c r="E606" s="884"/>
      <c r="F606" s="884"/>
      <c r="G606" s="884"/>
      <c r="H606" s="884"/>
      <c r="I606" s="884"/>
      <c r="J606" s="884"/>
      <c r="K606" s="884"/>
      <c r="L606" s="884"/>
      <c r="M606" s="884"/>
      <c r="N606" s="884"/>
      <c r="O606" s="884"/>
      <c r="P606" s="884"/>
      <c r="Q606" s="884"/>
      <c r="R606" s="884"/>
    </row>
    <row r="607" spans="2:18">
      <c r="B607" s="884"/>
      <c r="C607" s="884"/>
      <c r="D607" s="884"/>
      <c r="E607" s="884"/>
      <c r="F607" s="884"/>
      <c r="G607" s="884"/>
      <c r="H607" s="884"/>
      <c r="I607" s="884"/>
      <c r="J607" s="884"/>
      <c r="K607" s="884"/>
      <c r="L607" s="884"/>
      <c r="M607" s="884"/>
      <c r="N607" s="884"/>
      <c r="O607" s="884"/>
      <c r="P607" s="884"/>
      <c r="Q607" s="884"/>
      <c r="R607" s="884"/>
    </row>
    <row r="608" spans="2:18">
      <c r="B608" s="884"/>
      <c r="C608" s="884"/>
      <c r="D608" s="884"/>
      <c r="E608" s="884"/>
      <c r="F608" s="884"/>
      <c r="G608" s="884"/>
      <c r="H608" s="884"/>
      <c r="I608" s="884"/>
      <c r="J608" s="884"/>
      <c r="K608" s="884"/>
      <c r="L608" s="884"/>
      <c r="M608" s="884"/>
      <c r="N608" s="884"/>
      <c r="O608" s="884"/>
      <c r="P608" s="884"/>
      <c r="Q608" s="884"/>
      <c r="R608" s="884"/>
    </row>
    <row r="609" spans="2:18">
      <c r="B609" s="884"/>
      <c r="C609" s="884"/>
      <c r="D609" s="884"/>
      <c r="E609" s="884"/>
      <c r="F609" s="884"/>
      <c r="G609" s="884"/>
      <c r="H609" s="884"/>
      <c r="I609" s="884"/>
      <c r="J609" s="884"/>
      <c r="K609" s="884"/>
      <c r="L609" s="884"/>
      <c r="M609" s="884"/>
      <c r="N609" s="884"/>
      <c r="O609" s="884"/>
      <c r="P609" s="884"/>
      <c r="Q609" s="884"/>
      <c r="R609" s="884"/>
    </row>
    <row r="610" spans="2:18">
      <c r="B610" s="884"/>
      <c r="C610" s="884"/>
      <c r="D610" s="884"/>
      <c r="E610" s="884"/>
      <c r="F610" s="884"/>
      <c r="G610" s="884"/>
      <c r="H610" s="884"/>
      <c r="I610" s="884"/>
      <c r="J610" s="884"/>
      <c r="K610" s="884"/>
      <c r="L610" s="884"/>
      <c r="M610" s="884"/>
      <c r="N610" s="884"/>
      <c r="O610" s="884"/>
      <c r="P610" s="884"/>
      <c r="Q610" s="884"/>
      <c r="R610" s="884"/>
    </row>
    <row r="611" spans="2:18">
      <c r="B611" s="884"/>
      <c r="C611" s="884"/>
      <c r="D611" s="884"/>
      <c r="E611" s="884"/>
      <c r="F611" s="884"/>
      <c r="G611" s="884"/>
      <c r="H611" s="884"/>
      <c r="I611" s="884"/>
      <c r="J611" s="884"/>
      <c r="K611" s="884"/>
      <c r="L611" s="884"/>
      <c r="M611" s="884"/>
      <c r="N611" s="884"/>
      <c r="O611" s="884"/>
      <c r="P611" s="884"/>
      <c r="Q611" s="884"/>
      <c r="R611" s="884"/>
    </row>
    <row r="612" spans="2:18">
      <c r="B612" s="884"/>
      <c r="C612" s="884"/>
      <c r="D612" s="884"/>
      <c r="E612" s="884"/>
      <c r="F612" s="884"/>
      <c r="G612" s="884"/>
      <c r="H612" s="884"/>
      <c r="I612" s="884"/>
      <c r="J612" s="884"/>
      <c r="K612" s="884"/>
      <c r="L612" s="884"/>
      <c r="M612" s="884"/>
      <c r="N612" s="884"/>
      <c r="O612" s="884"/>
      <c r="P612" s="884"/>
      <c r="Q612" s="884"/>
      <c r="R612" s="884"/>
    </row>
    <row r="613" spans="2:18">
      <c r="B613" s="884"/>
      <c r="C613" s="884"/>
      <c r="D613" s="884"/>
      <c r="E613" s="884"/>
      <c r="F613" s="884"/>
      <c r="G613" s="884"/>
      <c r="H613" s="884"/>
      <c r="I613" s="884"/>
      <c r="J613" s="884"/>
      <c r="K613" s="884"/>
      <c r="L613" s="884"/>
      <c r="M613" s="884"/>
      <c r="N613" s="884"/>
      <c r="O613" s="884"/>
      <c r="P613" s="884"/>
      <c r="Q613" s="884"/>
      <c r="R613" s="884"/>
    </row>
    <row r="614" spans="2:18">
      <c r="B614" s="884"/>
      <c r="C614" s="884"/>
      <c r="D614" s="884"/>
      <c r="E614" s="884"/>
      <c r="F614" s="884"/>
      <c r="G614" s="884"/>
      <c r="H614" s="884"/>
      <c r="I614" s="884"/>
      <c r="J614" s="884"/>
      <c r="K614" s="884"/>
      <c r="L614" s="884"/>
      <c r="M614" s="884"/>
      <c r="N614" s="884"/>
      <c r="O614" s="884"/>
      <c r="P614" s="884"/>
      <c r="Q614" s="884"/>
      <c r="R614" s="884"/>
    </row>
    <row r="615" spans="2:18">
      <c r="B615" s="884"/>
      <c r="C615" s="884"/>
      <c r="D615" s="884"/>
      <c r="E615" s="884"/>
      <c r="F615" s="884"/>
      <c r="G615" s="884"/>
      <c r="H615" s="884"/>
      <c r="I615" s="884"/>
      <c r="J615" s="884"/>
      <c r="K615" s="884"/>
      <c r="L615" s="884"/>
      <c r="M615" s="884"/>
      <c r="N615" s="884"/>
      <c r="O615" s="884"/>
      <c r="P615" s="884"/>
      <c r="Q615" s="884"/>
      <c r="R615" s="884"/>
    </row>
    <row r="616" spans="2:18">
      <c r="B616" s="884"/>
      <c r="C616" s="884"/>
      <c r="D616" s="884"/>
      <c r="E616" s="884"/>
      <c r="F616" s="884"/>
      <c r="G616" s="884"/>
      <c r="H616" s="884"/>
      <c r="I616" s="884"/>
      <c r="J616" s="884"/>
      <c r="K616" s="884"/>
      <c r="L616" s="884"/>
      <c r="M616" s="884"/>
      <c r="N616" s="884"/>
      <c r="O616" s="884"/>
      <c r="P616" s="884"/>
      <c r="Q616" s="884"/>
      <c r="R616" s="884"/>
    </row>
    <row r="617" spans="2:18">
      <c r="B617" s="884"/>
      <c r="C617" s="884"/>
      <c r="D617" s="884"/>
      <c r="E617" s="884"/>
      <c r="F617" s="884"/>
      <c r="G617" s="884"/>
      <c r="H617" s="884"/>
      <c r="I617" s="884"/>
      <c r="J617" s="884"/>
      <c r="K617" s="884"/>
      <c r="L617" s="884"/>
      <c r="M617" s="884"/>
      <c r="N617" s="884"/>
      <c r="O617" s="884"/>
      <c r="P617" s="884"/>
      <c r="Q617" s="884"/>
      <c r="R617" s="884"/>
    </row>
    <row r="618" spans="2:18">
      <c r="B618" s="884"/>
      <c r="C618" s="884"/>
      <c r="D618" s="884"/>
      <c r="E618" s="884"/>
      <c r="F618" s="884"/>
      <c r="G618" s="884"/>
      <c r="H618" s="884"/>
      <c r="I618" s="884"/>
      <c r="J618" s="884"/>
      <c r="K618" s="884"/>
      <c r="L618" s="884"/>
      <c r="M618" s="884"/>
      <c r="N618" s="884"/>
      <c r="O618" s="884"/>
      <c r="P618" s="884"/>
      <c r="Q618" s="884"/>
      <c r="R618" s="884"/>
    </row>
    <row r="619" spans="2:18">
      <c r="B619" s="884"/>
      <c r="C619" s="884"/>
      <c r="D619" s="884"/>
      <c r="E619" s="884"/>
      <c r="F619" s="884"/>
      <c r="G619" s="884"/>
      <c r="H619" s="884"/>
      <c r="I619" s="884"/>
      <c r="J619" s="884"/>
      <c r="K619" s="884"/>
      <c r="L619" s="884"/>
      <c r="M619" s="884"/>
      <c r="N619" s="884"/>
      <c r="O619" s="884"/>
      <c r="P619" s="884"/>
      <c r="Q619" s="884"/>
      <c r="R619" s="884"/>
    </row>
    <row r="620" spans="2:18">
      <c r="B620" s="884"/>
      <c r="C620" s="884"/>
      <c r="D620" s="884"/>
      <c r="E620" s="884"/>
      <c r="F620" s="884"/>
      <c r="G620" s="884"/>
      <c r="H620" s="884"/>
      <c r="I620" s="884"/>
      <c r="J620" s="884"/>
      <c r="K620" s="884"/>
      <c r="L620" s="884"/>
      <c r="M620" s="884"/>
      <c r="N620" s="884"/>
      <c r="O620" s="884"/>
      <c r="P620" s="884"/>
      <c r="Q620" s="884"/>
      <c r="R620" s="884"/>
    </row>
    <row r="621" spans="2:18">
      <c r="B621" s="884"/>
      <c r="C621" s="884"/>
      <c r="D621" s="884"/>
      <c r="E621" s="884"/>
      <c r="F621" s="884"/>
      <c r="G621" s="884"/>
      <c r="H621" s="884"/>
      <c r="I621" s="884"/>
      <c r="J621" s="884"/>
      <c r="K621" s="884"/>
      <c r="L621" s="884"/>
      <c r="M621" s="884"/>
      <c r="N621" s="884"/>
      <c r="O621" s="884"/>
      <c r="P621" s="884"/>
      <c r="Q621" s="884"/>
      <c r="R621" s="884"/>
    </row>
    <row r="622" spans="2:18">
      <c r="B622" s="884"/>
      <c r="C622" s="884"/>
      <c r="D622" s="884"/>
      <c r="E622" s="884"/>
      <c r="F622" s="884"/>
      <c r="G622" s="884"/>
      <c r="H622" s="884"/>
      <c r="I622" s="884"/>
      <c r="J622" s="884"/>
      <c r="K622" s="884"/>
      <c r="L622" s="884"/>
      <c r="M622" s="884"/>
      <c r="N622" s="884"/>
      <c r="O622" s="884"/>
      <c r="P622" s="884"/>
      <c r="Q622" s="884"/>
      <c r="R622" s="884"/>
    </row>
    <row r="623" spans="2:18">
      <c r="B623" s="884"/>
      <c r="C623" s="884"/>
      <c r="D623" s="884"/>
      <c r="E623" s="884"/>
      <c r="F623" s="884"/>
      <c r="G623" s="884"/>
      <c r="H623" s="884"/>
      <c r="I623" s="884"/>
      <c r="J623" s="884"/>
      <c r="K623" s="884"/>
      <c r="L623" s="884"/>
      <c r="M623" s="884"/>
      <c r="N623" s="884"/>
      <c r="O623" s="884"/>
      <c r="P623" s="884"/>
      <c r="Q623" s="884"/>
      <c r="R623" s="884"/>
    </row>
    <row r="624" spans="2:18">
      <c r="B624" s="884"/>
      <c r="C624" s="884"/>
      <c r="D624" s="884"/>
      <c r="E624" s="884"/>
      <c r="F624" s="884"/>
      <c r="G624" s="884"/>
      <c r="H624" s="884"/>
      <c r="I624" s="884"/>
      <c r="J624" s="884"/>
      <c r="K624" s="884"/>
      <c r="L624" s="884"/>
      <c r="M624" s="884"/>
      <c r="N624" s="884"/>
      <c r="O624" s="884"/>
      <c r="P624" s="884"/>
      <c r="Q624" s="884"/>
      <c r="R624" s="884"/>
    </row>
    <row r="625" spans="2:18">
      <c r="B625" s="884"/>
      <c r="C625" s="884"/>
      <c r="D625" s="884"/>
      <c r="E625" s="884"/>
      <c r="F625" s="884"/>
      <c r="G625" s="884"/>
      <c r="H625" s="884"/>
      <c r="I625" s="884"/>
      <c r="J625" s="884"/>
      <c r="K625" s="884"/>
      <c r="L625" s="884"/>
      <c r="M625" s="884"/>
      <c r="N625" s="884"/>
      <c r="O625" s="884"/>
      <c r="P625" s="884"/>
      <c r="Q625" s="884"/>
      <c r="R625" s="884"/>
    </row>
    <row r="626" spans="2:18">
      <c r="B626" s="884"/>
      <c r="C626" s="884"/>
      <c r="D626" s="884"/>
      <c r="E626" s="884"/>
      <c r="F626" s="884"/>
      <c r="G626" s="884"/>
      <c r="H626" s="884"/>
      <c r="I626" s="884"/>
      <c r="J626" s="884"/>
      <c r="K626" s="884"/>
      <c r="L626" s="884"/>
      <c r="M626" s="884"/>
      <c r="N626" s="884"/>
      <c r="O626" s="884"/>
      <c r="P626" s="884"/>
      <c r="Q626" s="884"/>
      <c r="R626" s="884"/>
    </row>
    <row r="627" spans="2:18">
      <c r="B627" s="884"/>
      <c r="C627" s="884"/>
      <c r="D627" s="884"/>
      <c r="E627" s="884"/>
      <c r="F627" s="884"/>
      <c r="G627" s="884"/>
      <c r="H627" s="884"/>
      <c r="I627" s="884"/>
      <c r="J627" s="884"/>
      <c r="K627" s="884"/>
      <c r="L627" s="884"/>
      <c r="M627" s="884"/>
      <c r="N627" s="884"/>
      <c r="O627" s="884"/>
      <c r="P627" s="884"/>
      <c r="Q627" s="884"/>
      <c r="R627" s="884"/>
    </row>
    <row r="628" spans="2:18">
      <c r="B628" s="884"/>
      <c r="C628" s="884"/>
      <c r="D628" s="884"/>
      <c r="E628" s="884"/>
      <c r="F628" s="884"/>
      <c r="G628" s="884"/>
      <c r="H628" s="884"/>
      <c r="I628" s="884"/>
      <c r="J628" s="884"/>
      <c r="K628" s="884"/>
      <c r="L628" s="884"/>
      <c r="M628" s="884"/>
      <c r="N628" s="884"/>
      <c r="O628" s="884"/>
      <c r="P628" s="884"/>
      <c r="Q628" s="884"/>
      <c r="R628" s="884"/>
    </row>
    <row r="629" spans="2:18">
      <c r="B629" s="884"/>
      <c r="C629" s="884"/>
      <c r="D629" s="884"/>
      <c r="E629" s="884"/>
      <c r="F629" s="884"/>
      <c r="G629" s="884"/>
      <c r="H629" s="884"/>
      <c r="I629" s="884"/>
      <c r="J629" s="884"/>
      <c r="K629" s="884"/>
      <c r="L629" s="884"/>
      <c r="M629" s="884"/>
      <c r="N629" s="884"/>
      <c r="O629" s="884"/>
      <c r="P629" s="884"/>
      <c r="Q629" s="884"/>
      <c r="R629" s="884"/>
    </row>
    <row r="630" spans="2:18">
      <c r="B630" s="884"/>
      <c r="C630" s="884"/>
      <c r="D630" s="884"/>
      <c r="E630" s="884"/>
      <c r="F630" s="884"/>
      <c r="G630" s="884"/>
      <c r="H630" s="884"/>
      <c r="I630" s="884"/>
      <c r="J630" s="884"/>
      <c r="K630" s="884"/>
      <c r="L630" s="884"/>
      <c r="M630" s="884"/>
      <c r="N630" s="884"/>
      <c r="O630" s="884"/>
      <c r="P630" s="884"/>
      <c r="Q630" s="884"/>
      <c r="R630" s="884"/>
    </row>
    <row r="631" spans="2:18">
      <c r="B631" s="884"/>
      <c r="C631" s="884"/>
      <c r="D631" s="884"/>
      <c r="E631" s="884"/>
      <c r="F631" s="884"/>
      <c r="G631" s="884"/>
      <c r="H631" s="884"/>
      <c r="I631" s="884"/>
      <c r="J631" s="884"/>
      <c r="K631" s="884"/>
      <c r="L631" s="884"/>
      <c r="M631" s="884"/>
      <c r="N631" s="884"/>
      <c r="O631" s="884"/>
      <c r="P631" s="884"/>
      <c r="Q631" s="884"/>
      <c r="R631" s="884"/>
    </row>
    <row r="632" spans="2:18">
      <c r="B632" s="884"/>
      <c r="C632" s="884"/>
      <c r="D632" s="884"/>
      <c r="E632" s="884"/>
      <c r="F632" s="884"/>
      <c r="G632" s="884"/>
      <c r="H632" s="884"/>
      <c r="I632" s="884"/>
      <c r="J632" s="884"/>
      <c r="K632" s="884"/>
      <c r="L632" s="884"/>
      <c r="M632" s="884"/>
      <c r="N632" s="884"/>
      <c r="O632" s="884"/>
      <c r="P632" s="884"/>
      <c r="Q632" s="884"/>
      <c r="R632" s="884"/>
    </row>
    <row r="633" spans="2:18">
      <c r="B633" s="884"/>
      <c r="C633" s="884"/>
      <c r="D633" s="884"/>
      <c r="E633" s="884"/>
      <c r="F633" s="884"/>
      <c r="G633" s="884"/>
      <c r="H633" s="884"/>
      <c r="I633" s="884"/>
      <c r="J633" s="884"/>
      <c r="K633" s="884"/>
      <c r="L633" s="884"/>
      <c r="M633" s="884"/>
      <c r="N633" s="884"/>
      <c r="O633" s="884"/>
      <c r="P633" s="884"/>
      <c r="Q633" s="884"/>
      <c r="R633" s="884"/>
    </row>
    <row r="634" spans="2:18">
      <c r="B634" s="884"/>
      <c r="C634" s="884"/>
      <c r="D634" s="884"/>
      <c r="E634" s="884"/>
      <c r="F634" s="884"/>
      <c r="G634" s="884"/>
      <c r="H634" s="884"/>
      <c r="I634" s="884"/>
      <c r="J634" s="884"/>
      <c r="K634" s="884"/>
      <c r="L634" s="884"/>
      <c r="M634" s="884"/>
      <c r="N634" s="884"/>
      <c r="O634" s="884"/>
      <c r="P634" s="884"/>
      <c r="Q634" s="884"/>
      <c r="R634" s="884"/>
    </row>
    <row r="635" spans="2:18">
      <c r="B635" s="884"/>
      <c r="C635" s="884"/>
      <c r="D635" s="884"/>
      <c r="E635" s="884"/>
      <c r="F635" s="884"/>
      <c r="G635" s="884"/>
      <c r="H635" s="884"/>
      <c r="I635" s="884"/>
      <c r="J635" s="884"/>
      <c r="K635" s="884"/>
      <c r="L635" s="884"/>
      <c r="M635" s="884"/>
      <c r="N635" s="884"/>
      <c r="O635" s="884"/>
      <c r="P635" s="884"/>
      <c r="Q635" s="884"/>
      <c r="R635" s="884"/>
    </row>
    <row r="636" spans="2:18">
      <c r="B636" s="884"/>
      <c r="C636" s="884"/>
      <c r="D636" s="884"/>
      <c r="E636" s="884"/>
      <c r="F636" s="884"/>
      <c r="G636" s="884"/>
      <c r="H636" s="884"/>
      <c r="I636" s="884"/>
      <c r="J636" s="884"/>
      <c r="K636" s="884"/>
      <c r="L636" s="884"/>
      <c r="M636" s="884"/>
      <c r="N636" s="884"/>
      <c r="O636" s="884"/>
      <c r="P636" s="884"/>
      <c r="Q636" s="884"/>
      <c r="R636" s="884"/>
    </row>
    <row r="637" spans="2:18">
      <c r="B637" s="884"/>
      <c r="C637" s="884"/>
      <c r="D637" s="884"/>
      <c r="E637" s="884"/>
      <c r="F637" s="884"/>
      <c r="G637" s="884"/>
      <c r="H637" s="884"/>
      <c r="I637" s="884"/>
      <c r="J637" s="884"/>
      <c r="K637" s="884"/>
      <c r="L637" s="884"/>
      <c r="M637" s="884"/>
      <c r="N637" s="884"/>
      <c r="O637" s="884"/>
      <c r="P637" s="884"/>
      <c r="Q637" s="884"/>
      <c r="R637" s="884"/>
    </row>
    <row r="638" spans="2:18">
      <c r="B638" s="884"/>
      <c r="C638" s="884"/>
      <c r="D638" s="884"/>
      <c r="E638" s="884"/>
      <c r="F638" s="884"/>
      <c r="G638" s="884"/>
      <c r="H638" s="884"/>
      <c r="I638" s="884"/>
      <c r="J638" s="884"/>
      <c r="K638" s="884"/>
      <c r="L638" s="884"/>
      <c r="M638" s="884"/>
      <c r="N638" s="884"/>
      <c r="O638" s="884"/>
      <c r="P638" s="884"/>
      <c r="Q638" s="884"/>
      <c r="R638" s="884"/>
    </row>
    <row r="639" spans="2:18">
      <c r="B639" s="884"/>
      <c r="C639" s="884"/>
      <c r="D639" s="884"/>
      <c r="E639" s="884"/>
      <c r="F639" s="884"/>
      <c r="G639" s="884"/>
      <c r="H639" s="884"/>
      <c r="I639" s="884"/>
      <c r="J639" s="884"/>
      <c r="K639" s="884"/>
      <c r="L639" s="884"/>
      <c r="M639" s="884"/>
      <c r="N639" s="884"/>
      <c r="O639" s="884"/>
      <c r="P639" s="884"/>
      <c r="Q639" s="884"/>
      <c r="R639" s="884"/>
    </row>
    <row r="640" spans="2:18">
      <c r="B640" s="884"/>
      <c r="C640" s="884"/>
      <c r="D640" s="884"/>
      <c r="E640" s="884"/>
      <c r="F640" s="884"/>
      <c r="G640" s="884"/>
      <c r="H640" s="884"/>
      <c r="I640" s="884"/>
      <c r="J640" s="884"/>
      <c r="K640" s="884"/>
      <c r="L640" s="884"/>
      <c r="M640" s="884"/>
      <c r="N640" s="884"/>
      <c r="O640" s="884"/>
      <c r="P640" s="884"/>
      <c r="Q640" s="884"/>
      <c r="R640" s="884"/>
    </row>
    <row r="641" spans="2:18">
      <c r="B641" s="884"/>
      <c r="C641" s="884"/>
      <c r="D641" s="884"/>
      <c r="E641" s="884"/>
      <c r="F641" s="884"/>
      <c r="G641" s="884"/>
      <c r="H641" s="884"/>
      <c r="I641" s="884"/>
      <c r="J641" s="884"/>
      <c r="K641" s="884"/>
      <c r="L641" s="884"/>
      <c r="M641" s="884"/>
      <c r="N641" s="884"/>
      <c r="O641" s="884"/>
      <c r="P641" s="884"/>
      <c r="Q641" s="884"/>
      <c r="R641" s="884"/>
    </row>
    <row r="642" spans="2:18">
      <c r="B642" s="884"/>
      <c r="C642" s="884"/>
      <c r="D642" s="884"/>
      <c r="E642" s="884"/>
      <c r="F642" s="884"/>
      <c r="G642" s="884"/>
      <c r="H642" s="884"/>
      <c r="I642" s="884"/>
      <c r="J642" s="884"/>
      <c r="K642" s="884"/>
      <c r="L642" s="884"/>
      <c r="M642" s="884"/>
      <c r="N642" s="884"/>
      <c r="O642" s="884"/>
      <c r="P642" s="884"/>
      <c r="Q642" s="884"/>
      <c r="R642" s="884"/>
    </row>
    <row r="643" spans="2:18">
      <c r="B643" s="884"/>
      <c r="C643" s="884"/>
      <c r="D643" s="884"/>
      <c r="E643" s="884"/>
      <c r="F643" s="884"/>
      <c r="G643" s="884"/>
      <c r="H643" s="884"/>
      <c r="I643" s="884"/>
      <c r="J643" s="884"/>
      <c r="K643" s="884"/>
      <c r="L643" s="884"/>
      <c r="M643" s="884"/>
      <c r="N643" s="884"/>
      <c r="O643" s="884"/>
      <c r="P643" s="884"/>
      <c r="Q643" s="884"/>
      <c r="R643" s="884"/>
    </row>
    <row r="644" spans="2:18">
      <c r="B644" s="884"/>
      <c r="C644" s="884"/>
      <c r="D644" s="884"/>
      <c r="E644" s="884"/>
      <c r="F644" s="884"/>
      <c r="G644" s="884"/>
      <c r="H644" s="884"/>
      <c r="I644" s="884"/>
      <c r="J644" s="884"/>
      <c r="K644" s="884"/>
      <c r="L644" s="884"/>
      <c r="M644" s="884"/>
      <c r="N644" s="884"/>
      <c r="O644" s="884"/>
      <c r="P644" s="884"/>
      <c r="Q644" s="884"/>
      <c r="R644" s="884"/>
    </row>
    <row r="645" spans="2:18">
      <c r="B645" s="884"/>
      <c r="C645" s="884"/>
      <c r="D645" s="884"/>
      <c r="E645" s="884"/>
      <c r="F645" s="884"/>
      <c r="G645" s="884"/>
      <c r="H645" s="884"/>
      <c r="I645" s="884"/>
      <c r="J645" s="884"/>
      <c r="K645" s="884"/>
      <c r="L645" s="884"/>
      <c r="M645" s="884"/>
      <c r="N645" s="884"/>
      <c r="O645" s="884"/>
      <c r="P645" s="884"/>
      <c r="Q645" s="884"/>
      <c r="R645" s="884"/>
    </row>
    <row r="646" spans="2:18">
      <c r="B646" s="884"/>
      <c r="C646" s="884"/>
      <c r="D646" s="884"/>
      <c r="E646" s="884"/>
      <c r="F646" s="884"/>
      <c r="G646" s="884"/>
      <c r="H646" s="884"/>
      <c r="I646" s="884"/>
      <c r="J646" s="884"/>
      <c r="K646" s="884"/>
      <c r="L646" s="884"/>
      <c r="M646" s="884"/>
      <c r="N646" s="884"/>
      <c r="O646" s="884"/>
      <c r="P646" s="884"/>
      <c r="Q646" s="884"/>
      <c r="R646" s="884"/>
    </row>
    <row r="647" spans="2:18">
      <c r="B647" s="884"/>
      <c r="C647" s="884"/>
      <c r="D647" s="884"/>
      <c r="E647" s="884"/>
      <c r="F647" s="884"/>
      <c r="G647" s="884"/>
      <c r="H647" s="884"/>
      <c r="I647" s="884"/>
      <c r="J647" s="884"/>
      <c r="K647" s="884"/>
      <c r="L647" s="884"/>
      <c r="M647" s="884"/>
      <c r="N647" s="884"/>
      <c r="O647" s="884"/>
      <c r="P647" s="884"/>
      <c r="Q647" s="884"/>
      <c r="R647" s="884"/>
    </row>
    <row r="648" spans="2:18">
      <c r="B648" s="884"/>
      <c r="C648" s="884"/>
      <c r="D648" s="884"/>
      <c r="E648" s="884"/>
      <c r="F648" s="884"/>
      <c r="G648" s="884"/>
      <c r="H648" s="884"/>
      <c r="I648" s="884"/>
      <c r="J648" s="884"/>
      <c r="K648" s="884"/>
      <c r="L648" s="884"/>
      <c r="M648" s="884"/>
      <c r="N648" s="884"/>
      <c r="O648" s="884"/>
      <c r="P648" s="884"/>
      <c r="Q648" s="884"/>
      <c r="R648" s="884"/>
    </row>
    <row r="649" spans="2:18">
      <c r="B649" s="884"/>
      <c r="C649" s="884"/>
      <c r="D649" s="884"/>
      <c r="E649" s="884"/>
      <c r="F649" s="884"/>
      <c r="G649" s="884"/>
      <c r="H649" s="884"/>
      <c r="I649" s="884"/>
      <c r="J649" s="884"/>
      <c r="K649" s="884"/>
      <c r="L649" s="884"/>
      <c r="M649" s="884"/>
      <c r="N649" s="884"/>
      <c r="O649" s="884"/>
      <c r="P649" s="884"/>
      <c r="Q649" s="884"/>
      <c r="R649" s="884"/>
    </row>
    <row r="650" spans="2:18">
      <c r="B650" s="884"/>
      <c r="C650" s="884"/>
      <c r="D650" s="884"/>
      <c r="E650" s="884"/>
      <c r="F650" s="884"/>
      <c r="G650" s="884"/>
      <c r="H650" s="884"/>
      <c r="I650" s="884"/>
      <c r="J650" s="884"/>
      <c r="K650" s="884"/>
      <c r="L650" s="884"/>
      <c r="M650" s="884"/>
      <c r="N650" s="884"/>
      <c r="O650" s="884"/>
      <c r="P650" s="884"/>
      <c r="Q650" s="884"/>
      <c r="R650" s="884"/>
    </row>
    <row r="651" spans="2:18">
      <c r="B651" s="884"/>
      <c r="C651" s="884"/>
      <c r="D651" s="884"/>
      <c r="E651" s="884"/>
      <c r="F651" s="884"/>
      <c r="G651" s="884"/>
      <c r="H651" s="884"/>
      <c r="I651" s="884"/>
      <c r="J651" s="884"/>
      <c r="K651" s="884"/>
      <c r="L651" s="884"/>
      <c r="M651" s="884"/>
      <c r="N651" s="884"/>
      <c r="O651" s="884"/>
      <c r="P651" s="884"/>
      <c r="Q651" s="884"/>
      <c r="R651" s="884"/>
    </row>
    <row r="652" spans="2:18">
      <c r="B652" s="884"/>
      <c r="C652" s="884"/>
      <c r="D652" s="884"/>
      <c r="E652" s="884"/>
      <c r="F652" s="884"/>
      <c r="G652" s="884"/>
      <c r="H652" s="884"/>
      <c r="I652" s="884"/>
      <c r="J652" s="884"/>
      <c r="K652" s="884"/>
      <c r="L652" s="884"/>
      <c r="M652" s="884"/>
      <c r="N652" s="884"/>
      <c r="O652" s="884"/>
      <c r="P652" s="884"/>
      <c r="Q652" s="884"/>
      <c r="R652" s="884"/>
    </row>
    <row r="653" spans="2:18">
      <c r="B653" s="884"/>
      <c r="C653" s="884"/>
      <c r="D653" s="884"/>
      <c r="E653" s="884"/>
      <c r="F653" s="884"/>
      <c r="G653" s="884"/>
      <c r="H653" s="884"/>
      <c r="I653" s="884"/>
      <c r="J653" s="884"/>
      <c r="K653" s="884"/>
      <c r="L653" s="884"/>
      <c r="M653" s="884"/>
      <c r="N653" s="884"/>
      <c r="O653" s="884"/>
      <c r="P653" s="884"/>
      <c r="Q653" s="884"/>
      <c r="R653" s="884"/>
    </row>
    <row r="654" spans="2:18">
      <c r="B654" s="884"/>
      <c r="C654" s="884"/>
      <c r="D654" s="884"/>
      <c r="E654" s="884"/>
      <c r="F654" s="884"/>
      <c r="G654" s="884"/>
      <c r="H654" s="884"/>
      <c r="I654" s="884"/>
      <c r="J654" s="884"/>
      <c r="K654" s="884"/>
      <c r="L654" s="884"/>
      <c r="M654" s="884"/>
      <c r="N654" s="884"/>
      <c r="O654" s="884"/>
      <c r="P654" s="884"/>
      <c r="Q654" s="884"/>
      <c r="R654" s="884"/>
    </row>
    <row r="655" spans="2:18">
      <c r="B655" s="884"/>
      <c r="C655" s="884"/>
      <c r="D655" s="884"/>
      <c r="E655" s="884"/>
      <c r="F655" s="884"/>
      <c r="G655" s="884"/>
      <c r="H655" s="884"/>
      <c r="I655" s="884"/>
      <c r="J655" s="884"/>
      <c r="K655" s="884"/>
      <c r="L655" s="884"/>
      <c r="M655" s="884"/>
      <c r="N655" s="884"/>
      <c r="O655" s="884"/>
      <c r="P655" s="884"/>
      <c r="Q655" s="884"/>
      <c r="R655" s="884"/>
    </row>
    <row r="656" spans="2:18">
      <c r="B656" s="884"/>
      <c r="C656" s="884"/>
      <c r="D656" s="884"/>
      <c r="E656" s="884"/>
      <c r="F656" s="884"/>
      <c r="G656" s="884"/>
      <c r="H656" s="884"/>
      <c r="I656" s="884"/>
      <c r="J656" s="884"/>
      <c r="K656" s="884"/>
      <c r="L656" s="884"/>
      <c r="M656" s="884"/>
      <c r="N656" s="884"/>
      <c r="O656" s="884"/>
      <c r="P656" s="884"/>
      <c r="Q656" s="884"/>
      <c r="R656" s="884"/>
    </row>
    <row r="657" spans="2:18">
      <c r="B657" s="884"/>
      <c r="C657" s="884"/>
      <c r="D657" s="884"/>
      <c r="E657" s="884"/>
      <c r="F657" s="884"/>
      <c r="G657" s="884"/>
      <c r="H657" s="884"/>
      <c r="I657" s="884"/>
      <c r="J657" s="884"/>
      <c r="K657" s="884"/>
      <c r="L657" s="884"/>
      <c r="M657" s="884"/>
      <c r="N657" s="884"/>
      <c r="O657" s="884"/>
      <c r="P657" s="884"/>
      <c r="Q657" s="884"/>
      <c r="R657" s="884"/>
    </row>
    <row r="658" spans="2:18">
      <c r="B658" s="884"/>
      <c r="C658" s="884"/>
      <c r="D658" s="884"/>
      <c r="E658" s="884"/>
      <c r="F658" s="884"/>
      <c r="G658" s="884"/>
      <c r="H658" s="884"/>
      <c r="I658" s="884"/>
      <c r="J658" s="884"/>
      <c r="K658" s="884"/>
      <c r="L658" s="884"/>
      <c r="M658" s="884"/>
      <c r="N658" s="884"/>
      <c r="O658" s="884"/>
      <c r="P658" s="884"/>
      <c r="Q658" s="884"/>
      <c r="R658" s="884"/>
    </row>
    <row r="659" spans="2:18">
      <c r="B659" s="884"/>
      <c r="C659" s="884"/>
      <c r="D659" s="884"/>
      <c r="E659" s="884"/>
      <c r="F659" s="884"/>
      <c r="G659" s="884"/>
      <c r="H659" s="884"/>
      <c r="I659" s="884"/>
      <c r="J659" s="884"/>
      <c r="K659" s="884"/>
      <c r="L659" s="884"/>
      <c r="M659" s="884"/>
      <c r="N659" s="884"/>
      <c r="O659" s="884"/>
      <c r="P659" s="884"/>
      <c r="Q659" s="884"/>
      <c r="R659" s="884"/>
    </row>
    <row r="660" spans="2:18">
      <c r="B660" s="884"/>
      <c r="C660" s="884"/>
      <c r="D660" s="884"/>
      <c r="E660" s="884"/>
      <c r="F660" s="884"/>
      <c r="G660" s="884"/>
      <c r="H660" s="884"/>
      <c r="I660" s="884"/>
      <c r="J660" s="884"/>
      <c r="K660" s="884"/>
      <c r="L660" s="884"/>
      <c r="M660" s="884"/>
      <c r="N660" s="884"/>
      <c r="O660" s="884"/>
      <c r="P660" s="884"/>
      <c r="Q660" s="884"/>
      <c r="R660" s="884"/>
    </row>
    <row r="661" spans="2:18">
      <c r="B661" s="884"/>
      <c r="C661" s="884"/>
      <c r="D661" s="884"/>
      <c r="E661" s="884"/>
      <c r="F661" s="884"/>
      <c r="G661" s="884"/>
      <c r="H661" s="884"/>
      <c r="I661" s="884"/>
      <c r="J661" s="884"/>
      <c r="K661" s="884"/>
      <c r="L661" s="884"/>
      <c r="M661" s="884"/>
      <c r="N661" s="884"/>
      <c r="O661" s="884"/>
      <c r="P661" s="884"/>
      <c r="Q661" s="884"/>
      <c r="R661" s="884"/>
    </row>
    <row r="662" spans="2:18">
      <c r="B662" s="884"/>
      <c r="C662" s="884"/>
      <c r="D662" s="884"/>
      <c r="E662" s="884"/>
      <c r="F662" s="884"/>
      <c r="G662" s="884"/>
      <c r="H662" s="884"/>
      <c r="I662" s="884"/>
      <c r="J662" s="884"/>
      <c r="K662" s="884"/>
      <c r="L662" s="884"/>
      <c r="M662" s="884"/>
      <c r="N662" s="884"/>
      <c r="O662" s="884"/>
      <c r="P662" s="884"/>
      <c r="Q662" s="884"/>
      <c r="R662" s="884"/>
    </row>
    <row r="663" spans="2:18">
      <c r="B663" s="884"/>
      <c r="C663" s="884"/>
      <c r="D663" s="884"/>
      <c r="E663" s="884"/>
      <c r="F663" s="884"/>
      <c r="G663" s="884"/>
      <c r="H663" s="884"/>
      <c r="I663" s="884"/>
      <c r="J663" s="884"/>
      <c r="K663" s="884"/>
      <c r="L663" s="884"/>
      <c r="M663" s="884"/>
      <c r="N663" s="884"/>
      <c r="O663" s="884"/>
      <c r="P663" s="884"/>
      <c r="Q663" s="884"/>
      <c r="R663" s="884"/>
    </row>
    <row r="664" spans="2:18">
      <c r="B664" s="884"/>
      <c r="C664" s="884"/>
      <c r="D664" s="884"/>
      <c r="E664" s="884"/>
      <c r="F664" s="884"/>
      <c r="G664" s="884"/>
      <c r="H664" s="884"/>
      <c r="I664" s="884"/>
      <c r="J664" s="884"/>
      <c r="K664" s="884"/>
      <c r="L664" s="884"/>
      <c r="M664" s="884"/>
      <c r="N664" s="884"/>
      <c r="O664" s="884"/>
      <c r="P664" s="884"/>
      <c r="Q664" s="884"/>
      <c r="R664" s="884"/>
    </row>
    <row r="665" spans="2:18">
      <c r="B665" s="884"/>
      <c r="C665" s="884"/>
      <c r="D665" s="884"/>
      <c r="E665" s="884"/>
      <c r="F665" s="884"/>
      <c r="G665" s="884"/>
      <c r="H665" s="884"/>
      <c r="I665" s="884"/>
      <c r="J665" s="884"/>
      <c r="K665" s="884"/>
      <c r="L665" s="884"/>
      <c r="M665" s="884"/>
      <c r="N665" s="884"/>
      <c r="O665" s="884"/>
      <c r="P665" s="884"/>
      <c r="Q665" s="884"/>
      <c r="R665" s="884"/>
    </row>
    <row r="666" spans="2:18">
      <c r="B666" s="884"/>
      <c r="C666" s="884"/>
      <c r="D666" s="884"/>
      <c r="E666" s="884"/>
      <c r="F666" s="884"/>
      <c r="G666" s="884"/>
      <c r="H666" s="884"/>
      <c r="I666" s="884"/>
      <c r="J666" s="884"/>
      <c r="K666" s="884"/>
      <c r="L666" s="884"/>
      <c r="M666" s="884"/>
      <c r="N666" s="884"/>
      <c r="O666" s="884"/>
      <c r="P666" s="884"/>
      <c r="Q666" s="884"/>
      <c r="R666" s="884"/>
    </row>
    <row r="667" spans="2:18">
      <c r="B667" s="884"/>
      <c r="C667" s="884"/>
      <c r="D667" s="884"/>
      <c r="E667" s="884"/>
      <c r="F667" s="884"/>
      <c r="G667" s="884"/>
      <c r="H667" s="884"/>
      <c r="I667" s="884"/>
      <c r="J667" s="884"/>
      <c r="K667" s="884"/>
      <c r="L667" s="884"/>
      <c r="M667" s="884"/>
      <c r="N667" s="884"/>
      <c r="O667" s="884"/>
      <c r="P667" s="884"/>
      <c r="Q667" s="884"/>
      <c r="R667" s="884"/>
    </row>
    <row r="668" spans="2:18">
      <c r="B668" s="884"/>
      <c r="C668" s="884"/>
      <c r="D668" s="884"/>
      <c r="E668" s="884"/>
      <c r="F668" s="884"/>
      <c r="G668" s="884"/>
      <c r="H668" s="884"/>
      <c r="I668" s="884"/>
      <c r="J668" s="884"/>
      <c r="K668" s="884"/>
      <c r="L668" s="884"/>
      <c r="M668" s="884"/>
      <c r="N668" s="884"/>
      <c r="O668" s="884"/>
      <c r="P668" s="884"/>
      <c r="Q668" s="884"/>
      <c r="R668" s="884"/>
    </row>
    <row r="669" spans="2:18">
      <c r="B669" s="884"/>
      <c r="C669" s="884"/>
      <c r="D669" s="884"/>
      <c r="E669" s="884"/>
      <c r="F669" s="884"/>
      <c r="G669" s="884"/>
      <c r="H669" s="884"/>
      <c r="I669" s="884"/>
      <c r="J669" s="884"/>
      <c r="K669" s="884"/>
      <c r="L669" s="884"/>
      <c r="M669" s="884"/>
      <c r="N669" s="884"/>
      <c r="O669" s="884"/>
      <c r="P669" s="884"/>
      <c r="Q669" s="884"/>
      <c r="R669" s="884"/>
    </row>
    <row r="670" spans="2:18">
      <c r="B670" s="884"/>
      <c r="C670" s="884"/>
      <c r="D670" s="884"/>
      <c r="E670" s="884"/>
      <c r="F670" s="884"/>
      <c r="G670" s="884"/>
      <c r="H670" s="884"/>
      <c r="I670" s="884"/>
      <c r="J670" s="884"/>
      <c r="K670" s="884"/>
      <c r="L670" s="884"/>
      <c r="M670" s="884"/>
      <c r="N670" s="884"/>
      <c r="O670" s="884"/>
      <c r="P670" s="884"/>
      <c r="Q670" s="884"/>
      <c r="R670" s="884"/>
    </row>
    <row r="671" spans="2:18">
      <c r="B671" s="884"/>
      <c r="C671" s="884"/>
      <c r="D671" s="884"/>
      <c r="E671" s="884"/>
      <c r="F671" s="884"/>
      <c r="G671" s="884"/>
      <c r="H671" s="884"/>
      <c r="I671" s="884"/>
      <c r="J671" s="884"/>
      <c r="K671" s="884"/>
      <c r="L671" s="884"/>
      <c r="M671" s="884"/>
      <c r="N671" s="884"/>
      <c r="O671" s="884"/>
      <c r="P671" s="884"/>
      <c r="Q671" s="884"/>
      <c r="R671" s="884"/>
    </row>
    <row r="672" spans="2:18">
      <c r="B672" s="884"/>
      <c r="C672" s="884"/>
      <c r="D672" s="884"/>
      <c r="E672" s="884"/>
      <c r="F672" s="884"/>
      <c r="G672" s="884"/>
      <c r="H672" s="884"/>
      <c r="I672" s="884"/>
      <c r="J672" s="884"/>
      <c r="K672" s="884"/>
      <c r="L672" s="884"/>
      <c r="M672" s="884"/>
      <c r="N672" s="884"/>
      <c r="O672" s="884"/>
      <c r="P672" s="884"/>
      <c r="Q672" s="884"/>
      <c r="R672" s="884"/>
    </row>
    <row r="673" spans="2:18">
      <c r="B673" s="884"/>
      <c r="C673" s="884"/>
      <c r="D673" s="884"/>
      <c r="E673" s="884"/>
      <c r="F673" s="884"/>
      <c r="G673" s="884"/>
      <c r="H673" s="884"/>
      <c r="I673" s="884"/>
      <c r="J673" s="884"/>
      <c r="K673" s="884"/>
      <c r="L673" s="884"/>
      <c r="M673" s="884"/>
      <c r="N673" s="884"/>
      <c r="O673" s="884"/>
      <c r="P673" s="884"/>
      <c r="Q673" s="884"/>
      <c r="R673" s="884"/>
    </row>
    <row r="674" spans="2:18">
      <c r="B674" s="884"/>
      <c r="C674" s="884"/>
      <c r="D674" s="884"/>
      <c r="E674" s="884"/>
      <c r="F674" s="884"/>
      <c r="G674" s="884"/>
      <c r="H674" s="884"/>
      <c r="I674" s="884"/>
      <c r="J674" s="884"/>
      <c r="K674" s="884"/>
      <c r="L674" s="884"/>
      <c r="M674" s="884"/>
      <c r="N674" s="884"/>
      <c r="O674" s="884"/>
      <c r="P674" s="884"/>
      <c r="Q674" s="884"/>
      <c r="R674" s="884"/>
    </row>
    <row r="675" spans="2:18">
      <c r="B675" s="884"/>
      <c r="C675" s="884"/>
      <c r="D675" s="884"/>
      <c r="E675" s="884"/>
      <c r="F675" s="884"/>
      <c r="G675" s="884"/>
      <c r="H675" s="884"/>
      <c r="I675" s="884"/>
      <c r="J675" s="884"/>
      <c r="K675" s="884"/>
      <c r="L675" s="884"/>
      <c r="M675" s="884"/>
      <c r="N675" s="884"/>
      <c r="O675" s="884"/>
      <c r="P675" s="884"/>
      <c r="Q675" s="884"/>
      <c r="R675" s="884"/>
    </row>
    <row r="676" spans="2:18">
      <c r="B676" s="884"/>
      <c r="C676" s="884"/>
      <c r="D676" s="884"/>
      <c r="E676" s="884"/>
      <c r="F676" s="884"/>
      <c r="G676" s="884"/>
      <c r="H676" s="884"/>
      <c r="I676" s="884"/>
      <c r="J676" s="884"/>
      <c r="K676" s="884"/>
      <c r="L676" s="884"/>
      <c r="M676" s="884"/>
      <c r="N676" s="884"/>
      <c r="O676" s="884"/>
      <c r="P676" s="884"/>
      <c r="Q676" s="884"/>
      <c r="R676" s="884"/>
    </row>
    <row r="677" spans="2:18">
      <c r="B677" s="884"/>
      <c r="C677" s="884"/>
      <c r="D677" s="884"/>
      <c r="E677" s="884"/>
      <c r="F677" s="884"/>
      <c r="G677" s="884"/>
      <c r="H677" s="884"/>
      <c r="I677" s="884"/>
      <c r="J677" s="884"/>
      <c r="K677" s="884"/>
      <c r="L677" s="884"/>
      <c r="M677" s="884"/>
      <c r="N677" s="884"/>
      <c r="O677" s="884"/>
      <c r="P677" s="884"/>
      <c r="Q677" s="884"/>
      <c r="R677" s="884"/>
    </row>
    <row r="678" spans="2:18">
      <c r="B678" s="884"/>
      <c r="C678" s="884"/>
      <c r="D678" s="884"/>
      <c r="E678" s="884"/>
      <c r="F678" s="884"/>
      <c r="G678" s="884"/>
      <c r="H678" s="884"/>
      <c r="I678" s="884"/>
      <c r="J678" s="884"/>
      <c r="K678" s="884"/>
      <c r="L678" s="884"/>
      <c r="M678" s="884"/>
      <c r="N678" s="884"/>
      <c r="O678" s="884"/>
      <c r="P678" s="884"/>
      <c r="Q678" s="884"/>
      <c r="R678" s="884"/>
    </row>
    <row r="679" spans="2:18">
      <c r="B679" s="884"/>
      <c r="C679" s="884"/>
      <c r="D679" s="884"/>
      <c r="E679" s="884"/>
      <c r="F679" s="884"/>
      <c r="G679" s="884"/>
      <c r="H679" s="884"/>
      <c r="I679" s="884"/>
      <c r="J679" s="884"/>
      <c r="K679" s="884"/>
      <c r="L679" s="884"/>
      <c r="M679" s="884"/>
      <c r="N679" s="884"/>
      <c r="O679" s="884"/>
      <c r="P679" s="884"/>
      <c r="Q679" s="884"/>
      <c r="R679" s="884"/>
    </row>
    <row r="680" spans="2:18">
      <c r="B680" s="884"/>
      <c r="C680" s="884"/>
      <c r="D680" s="884"/>
      <c r="E680" s="884"/>
      <c r="F680" s="884"/>
      <c r="G680" s="884"/>
      <c r="H680" s="884"/>
      <c r="I680" s="884"/>
      <c r="J680" s="884"/>
      <c r="K680" s="884"/>
      <c r="L680" s="884"/>
      <c r="M680" s="884"/>
      <c r="N680" s="884"/>
      <c r="O680" s="884"/>
      <c r="P680" s="884"/>
      <c r="Q680" s="884"/>
      <c r="R680" s="884"/>
    </row>
    <row r="681" spans="2:18">
      <c r="B681" s="884"/>
      <c r="C681" s="884"/>
      <c r="D681" s="884"/>
      <c r="E681" s="884"/>
      <c r="F681" s="884"/>
      <c r="G681" s="884"/>
      <c r="H681" s="884"/>
      <c r="I681" s="884"/>
      <c r="J681" s="884"/>
      <c r="K681" s="884"/>
      <c r="L681" s="884"/>
      <c r="M681" s="884"/>
      <c r="N681" s="884"/>
      <c r="O681" s="884"/>
      <c r="P681" s="884"/>
      <c r="Q681" s="884"/>
      <c r="R681" s="884"/>
    </row>
    <row r="682" spans="2:18">
      <c r="B682" s="884"/>
      <c r="C682" s="884"/>
      <c r="D682" s="884"/>
      <c r="E682" s="884"/>
      <c r="F682" s="884"/>
      <c r="G682" s="884"/>
      <c r="H682" s="884"/>
      <c r="I682" s="884"/>
      <c r="J682" s="884"/>
      <c r="K682" s="884"/>
      <c r="L682" s="884"/>
      <c r="M682" s="884"/>
      <c r="N682" s="884"/>
      <c r="O682" s="884"/>
      <c r="P682" s="884"/>
      <c r="Q682" s="884"/>
      <c r="R682" s="884"/>
    </row>
    <row r="683" spans="2:18">
      <c r="B683" s="884"/>
      <c r="C683" s="884"/>
      <c r="D683" s="884"/>
      <c r="E683" s="884"/>
      <c r="F683" s="884"/>
      <c r="G683" s="884"/>
      <c r="H683" s="884"/>
      <c r="I683" s="884"/>
      <c r="J683" s="884"/>
      <c r="K683" s="884"/>
      <c r="L683" s="884"/>
      <c r="M683" s="884"/>
      <c r="N683" s="884"/>
      <c r="O683" s="884"/>
      <c r="P683" s="884"/>
      <c r="Q683" s="884"/>
      <c r="R683" s="884"/>
    </row>
    <row r="684" spans="2:18">
      <c r="B684" s="884"/>
      <c r="C684" s="884"/>
      <c r="D684" s="884"/>
      <c r="E684" s="884"/>
      <c r="F684" s="884"/>
      <c r="G684" s="884"/>
      <c r="H684" s="884"/>
      <c r="I684" s="884"/>
      <c r="J684" s="884"/>
      <c r="K684" s="884"/>
      <c r="L684" s="884"/>
      <c r="M684" s="884"/>
      <c r="N684" s="884"/>
      <c r="O684" s="884"/>
      <c r="P684" s="884"/>
      <c r="Q684" s="884"/>
      <c r="R684" s="884"/>
    </row>
    <row r="685" spans="2:18">
      <c r="B685" s="884"/>
      <c r="C685" s="884"/>
      <c r="D685" s="884"/>
      <c r="E685" s="884"/>
      <c r="F685" s="884"/>
      <c r="G685" s="884"/>
      <c r="H685" s="884"/>
      <c r="I685" s="884"/>
      <c r="J685" s="884"/>
      <c r="K685" s="884"/>
      <c r="L685" s="884"/>
      <c r="M685" s="884"/>
      <c r="N685" s="884"/>
      <c r="O685" s="884"/>
      <c r="P685" s="884"/>
      <c r="Q685" s="884"/>
      <c r="R685" s="884"/>
    </row>
    <row r="686" spans="2:18">
      <c r="B686" s="884"/>
      <c r="C686" s="884"/>
      <c r="D686" s="884"/>
      <c r="E686" s="884"/>
      <c r="F686" s="884"/>
      <c r="G686" s="884"/>
      <c r="H686" s="884"/>
      <c r="I686" s="884"/>
      <c r="J686" s="884"/>
      <c r="K686" s="884"/>
      <c r="L686" s="884"/>
      <c r="M686" s="884"/>
      <c r="N686" s="884"/>
      <c r="O686" s="884"/>
      <c r="P686" s="884"/>
      <c r="Q686" s="884"/>
      <c r="R686" s="884"/>
    </row>
    <row r="687" spans="2:18">
      <c r="B687" s="884"/>
      <c r="C687" s="884"/>
      <c r="D687" s="884"/>
      <c r="E687" s="884"/>
      <c r="F687" s="884"/>
      <c r="G687" s="884"/>
      <c r="H687" s="884"/>
      <c r="I687" s="884"/>
      <c r="J687" s="884"/>
      <c r="K687" s="884"/>
      <c r="L687" s="884"/>
      <c r="M687" s="884"/>
      <c r="N687" s="884"/>
      <c r="O687" s="884"/>
      <c r="P687" s="884"/>
      <c r="Q687" s="884"/>
      <c r="R687" s="884"/>
    </row>
    <row r="688" spans="2:18">
      <c r="B688" s="884"/>
      <c r="C688" s="884"/>
      <c r="D688" s="884"/>
      <c r="E688" s="884"/>
      <c r="F688" s="884"/>
      <c r="G688" s="884"/>
      <c r="H688" s="884"/>
      <c r="I688" s="884"/>
      <c r="J688" s="884"/>
      <c r="K688" s="884"/>
      <c r="L688" s="884"/>
      <c r="M688" s="884"/>
      <c r="N688" s="884"/>
      <c r="O688" s="884"/>
      <c r="P688" s="884"/>
      <c r="Q688" s="884"/>
      <c r="R688" s="884"/>
    </row>
    <row r="689" spans="2:18">
      <c r="B689" s="884"/>
      <c r="C689" s="884"/>
      <c r="D689" s="884"/>
      <c r="E689" s="884"/>
      <c r="F689" s="884"/>
      <c r="G689" s="884"/>
      <c r="H689" s="884"/>
      <c r="I689" s="884"/>
      <c r="J689" s="884"/>
      <c r="K689" s="884"/>
      <c r="L689" s="884"/>
      <c r="M689" s="884"/>
      <c r="N689" s="884"/>
      <c r="O689" s="884"/>
      <c r="P689" s="884"/>
      <c r="Q689" s="884"/>
      <c r="R689" s="884"/>
    </row>
    <row r="690" spans="2:18">
      <c r="B690" s="884"/>
      <c r="C690" s="884"/>
      <c r="D690" s="884"/>
      <c r="E690" s="884"/>
      <c r="F690" s="884"/>
      <c r="G690" s="884"/>
      <c r="H690" s="884"/>
      <c r="I690" s="884"/>
      <c r="J690" s="884"/>
      <c r="K690" s="884"/>
      <c r="L690" s="884"/>
      <c r="M690" s="884"/>
      <c r="N690" s="884"/>
      <c r="O690" s="884"/>
      <c r="P690" s="884"/>
      <c r="Q690" s="884"/>
      <c r="R690" s="884"/>
    </row>
    <row r="691" spans="2:18">
      <c r="B691" s="884"/>
      <c r="C691" s="884"/>
      <c r="D691" s="884"/>
      <c r="E691" s="884"/>
      <c r="F691" s="884"/>
      <c r="G691" s="884"/>
      <c r="H691" s="884"/>
      <c r="I691" s="884"/>
      <c r="J691" s="884"/>
      <c r="K691" s="884"/>
      <c r="L691" s="884"/>
      <c r="M691" s="884"/>
      <c r="N691" s="884"/>
      <c r="O691" s="884"/>
      <c r="P691" s="884"/>
      <c r="Q691" s="884"/>
      <c r="R691" s="884"/>
    </row>
    <row r="692" spans="2:18">
      <c r="B692" s="884"/>
      <c r="C692" s="884"/>
      <c r="D692" s="884"/>
      <c r="E692" s="884"/>
      <c r="F692" s="884"/>
      <c r="G692" s="884"/>
      <c r="H692" s="884"/>
      <c r="I692" s="884"/>
      <c r="J692" s="884"/>
      <c r="K692" s="884"/>
      <c r="L692" s="884"/>
      <c r="M692" s="884"/>
      <c r="N692" s="884"/>
      <c r="O692" s="884"/>
      <c r="P692" s="884"/>
      <c r="Q692" s="884"/>
      <c r="R692" s="884"/>
    </row>
    <row r="693" spans="2:18">
      <c r="B693" s="884"/>
      <c r="C693" s="884"/>
      <c r="D693" s="884"/>
      <c r="E693" s="884"/>
      <c r="F693" s="884"/>
      <c r="G693" s="884"/>
      <c r="H693" s="884"/>
      <c r="I693" s="884"/>
      <c r="J693" s="884"/>
      <c r="K693" s="884"/>
      <c r="L693" s="884"/>
      <c r="M693" s="884"/>
      <c r="N693" s="884"/>
      <c r="O693" s="884"/>
      <c r="P693" s="884"/>
      <c r="Q693" s="884"/>
      <c r="R693" s="884"/>
    </row>
    <row r="694" spans="2:18">
      <c r="B694" s="884"/>
      <c r="C694" s="884"/>
      <c r="D694" s="884"/>
      <c r="E694" s="884"/>
      <c r="F694" s="884"/>
      <c r="G694" s="884"/>
      <c r="H694" s="884"/>
      <c r="I694" s="884"/>
      <c r="J694" s="884"/>
      <c r="K694" s="884"/>
      <c r="L694" s="884"/>
      <c r="M694" s="884"/>
      <c r="N694" s="884"/>
      <c r="O694" s="884"/>
      <c r="P694" s="884"/>
      <c r="Q694" s="884"/>
      <c r="R694" s="884"/>
    </row>
    <row r="695" spans="2:18">
      <c r="B695" s="884"/>
      <c r="C695" s="884"/>
      <c r="D695" s="884"/>
      <c r="E695" s="884"/>
      <c r="F695" s="884"/>
      <c r="G695" s="884"/>
      <c r="H695" s="884"/>
      <c r="I695" s="884"/>
      <c r="J695" s="884"/>
      <c r="K695" s="884"/>
      <c r="L695" s="884"/>
      <c r="M695" s="884"/>
      <c r="N695" s="884"/>
      <c r="O695" s="884"/>
      <c r="P695" s="884"/>
      <c r="Q695" s="884"/>
      <c r="R695" s="884"/>
    </row>
    <row r="696" spans="2:18">
      <c r="B696" s="884"/>
      <c r="C696" s="884"/>
      <c r="D696" s="884"/>
      <c r="E696" s="884"/>
      <c r="F696" s="884"/>
      <c r="G696" s="884"/>
      <c r="H696" s="884"/>
      <c r="I696" s="884"/>
      <c r="J696" s="884"/>
      <c r="K696" s="884"/>
      <c r="L696" s="884"/>
      <c r="M696" s="884"/>
      <c r="N696" s="884"/>
      <c r="O696" s="884"/>
      <c r="P696" s="884"/>
      <c r="Q696" s="884"/>
      <c r="R696" s="884"/>
    </row>
    <row r="697" spans="2:18">
      <c r="B697" s="884"/>
      <c r="C697" s="884"/>
      <c r="D697" s="884"/>
      <c r="E697" s="884"/>
      <c r="F697" s="884"/>
      <c r="G697" s="884"/>
      <c r="H697" s="884"/>
      <c r="I697" s="884"/>
      <c r="J697" s="884"/>
      <c r="K697" s="884"/>
      <c r="L697" s="884"/>
      <c r="M697" s="884"/>
      <c r="N697" s="884"/>
      <c r="O697" s="884"/>
      <c r="P697" s="884"/>
      <c r="Q697" s="884"/>
      <c r="R697" s="884"/>
    </row>
    <row r="698" spans="2:18">
      <c r="B698" s="884"/>
      <c r="C698" s="884"/>
      <c r="D698" s="884"/>
      <c r="E698" s="884"/>
      <c r="F698" s="884"/>
      <c r="G698" s="884"/>
      <c r="H698" s="884"/>
      <c r="I698" s="884"/>
      <c r="J698" s="884"/>
      <c r="K698" s="884"/>
      <c r="L698" s="884"/>
      <c r="M698" s="884"/>
      <c r="N698" s="884"/>
      <c r="O698" s="884"/>
      <c r="P698" s="884"/>
      <c r="Q698" s="884"/>
      <c r="R698" s="884"/>
    </row>
    <row r="699" spans="2:18">
      <c r="B699" s="884"/>
      <c r="C699" s="884"/>
      <c r="D699" s="884"/>
      <c r="E699" s="884"/>
      <c r="F699" s="884"/>
      <c r="G699" s="884"/>
      <c r="H699" s="884"/>
      <c r="I699" s="884"/>
      <c r="J699" s="884"/>
      <c r="K699" s="884"/>
      <c r="L699" s="884"/>
      <c r="M699" s="884"/>
      <c r="N699" s="884"/>
      <c r="O699" s="884"/>
      <c r="P699" s="884"/>
      <c r="Q699" s="884"/>
      <c r="R699" s="884"/>
    </row>
    <row r="700" spans="2:18">
      <c r="B700" s="884"/>
      <c r="C700" s="884"/>
      <c r="D700" s="884"/>
      <c r="E700" s="884"/>
      <c r="F700" s="884"/>
      <c r="G700" s="884"/>
      <c r="H700" s="884"/>
      <c r="I700" s="884"/>
      <c r="J700" s="884"/>
      <c r="K700" s="884"/>
      <c r="L700" s="884"/>
      <c r="M700" s="884"/>
      <c r="N700" s="884"/>
      <c r="O700" s="884"/>
      <c r="P700" s="884"/>
      <c r="Q700" s="884"/>
      <c r="R700" s="884"/>
    </row>
    <row r="701" spans="2:18">
      <c r="B701" s="884"/>
      <c r="C701" s="884"/>
      <c r="D701" s="884"/>
      <c r="E701" s="884"/>
      <c r="F701" s="884"/>
      <c r="G701" s="884"/>
      <c r="H701" s="884"/>
      <c r="I701" s="884"/>
      <c r="J701" s="884"/>
      <c r="K701" s="884"/>
      <c r="L701" s="884"/>
      <c r="M701" s="884"/>
      <c r="N701" s="884"/>
      <c r="O701" s="884"/>
      <c r="P701" s="884"/>
      <c r="Q701" s="884"/>
      <c r="R701" s="884"/>
    </row>
    <row r="702" spans="2:18">
      <c r="B702" s="884"/>
      <c r="C702" s="884"/>
      <c r="D702" s="884"/>
      <c r="E702" s="884"/>
      <c r="F702" s="884"/>
      <c r="G702" s="884"/>
      <c r="H702" s="884"/>
      <c r="I702" s="884"/>
      <c r="J702" s="884"/>
      <c r="K702" s="884"/>
      <c r="L702" s="884"/>
      <c r="M702" s="884"/>
      <c r="N702" s="884"/>
      <c r="O702" s="884"/>
      <c r="P702" s="884"/>
      <c r="Q702" s="884"/>
      <c r="R702" s="884"/>
    </row>
    <row r="703" spans="2:18">
      <c r="B703" s="884"/>
      <c r="C703" s="884"/>
      <c r="D703" s="884"/>
      <c r="E703" s="884"/>
      <c r="F703" s="884"/>
      <c r="G703" s="884"/>
      <c r="H703" s="884"/>
      <c r="I703" s="884"/>
      <c r="J703" s="884"/>
      <c r="K703" s="884"/>
      <c r="L703" s="884"/>
      <c r="M703" s="884"/>
      <c r="N703" s="884"/>
      <c r="O703" s="884"/>
      <c r="P703" s="884"/>
      <c r="Q703" s="884"/>
      <c r="R703" s="884"/>
    </row>
    <row r="704" spans="2:18">
      <c r="B704" s="884"/>
      <c r="C704" s="884"/>
      <c r="D704" s="884"/>
      <c r="E704" s="884"/>
      <c r="F704" s="884"/>
      <c r="G704" s="884"/>
      <c r="H704" s="884"/>
      <c r="I704" s="884"/>
      <c r="J704" s="884"/>
      <c r="K704" s="884"/>
      <c r="L704" s="884"/>
      <c r="M704" s="884"/>
      <c r="N704" s="884"/>
      <c r="O704" s="884"/>
      <c r="P704" s="884"/>
      <c r="Q704" s="884"/>
      <c r="R704" s="884"/>
    </row>
    <row r="705" spans="2:18">
      <c r="B705" s="884"/>
      <c r="C705" s="884"/>
      <c r="D705" s="884"/>
      <c r="E705" s="884"/>
      <c r="F705" s="884"/>
      <c r="G705" s="884"/>
      <c r="H705" s="884"/>
      <c r="I705" s="884"/>
      <c r="J705" s="884"/>
      <c r="K705" s="884"/>
      <c r="L705" s="884"/>
      <c r="M705" s="884"/>
      <c r="N705" s="884"/>
      <c r="O705" s="884"/>
      <c r="P705" s="884"/>
      <c r="Q705" s="884"/>
      <c r="R705" s="884"/>
    </row>
    <row r="706" spans="2:18">
      <c r="B706" s="884"/>
      <c r="C706" s="884"/>
      <c r="D706" s="884"/>
      <c r="E706" s="884"/>
      <c r="F706" s="884"/>
      <c r="G706" s="884"/>
      <c r="H706" s="884"/>
      <c r="I706" s="884"/>
      <c r="J706" s="884"/>
      <c r="K706" s="884"/>
      <c r="L706" s="884"/>
      <c r="M706" s="884"/>
      <c r="N706" s="884"/>
      <c r="O706" s="884"/>
      <c r="P706" s="884"/>
      <c r="Q706" s="884"/>
      <c r="R706" s="884"/>
    </row>
    <row r="707" spans="2:18">
      <c r="B707" s="884"/>
      <c r="C707" s="884"/>
      <c r="D707" s="884"/>
      <c r="E707" s="884"/>
      <c r="F707" s="884"/>
      <c r="G707" s="884"/>
      <c r="H707" s="884"/>
      <c r="I707" s="884"/>
      <c r="J707" s="884"/>
      <c r="K707" s="884"/>
      <c r="L707" s="884"/>
      <c r="M707" s="884"/>
      <c r="N707" s="884"/>
      <c r="O707" s="884"/>
      <c r="P707" s="884"/>
      <c r="Q707" s="884"/>
      <c r="R707" s="884"/>
    </row>
    <row r="708" spans="2:18">
      <c r="B708" s="884"/>
      <c r="C708" s="884"/>
      <c r="D708" s="884"/>
      <c r="E708" s="884"/>
      <c r="F708" s="884"/>
      <c r="G708" s="884"/>
      <c r="H708" s="884"/>
      <c r="I708" s="884"/>
      <c r="J708" s="884"/>
      <c r="K708" s="884"/>
      <c r="L708" s="884"/>
      <c r="M708" s="884"/>
      <c r="N708" s="884"/>
      <c r="O708" s="884"/>
      <c r="P708" s="884"/>
      <c r="Q708" s="884"/>
      <c r="R708" s="884"/>
    </row>
    <row r="709" spans="2:18">
      <c r="B709" s="884"/>
      <c r="C709" s="884"/>
      <c r="D709" s="884"/>
      <c r="E709" s="884"/>
      <c r="F709" s="884"/>
      <c r="G709" s="884"/>
      <c r="H709" s="884"/>
      <c r="I709" s="884"/>
      <c r="J709" s="884"/>
      <c r="K709" s="884"/>
      <c r="L709" s="884"/>
      <c r="M709" s="884"/>
      <c r="N709" s="884"/>
      <c r="O709" s="884"/>
      <c r="P709" s="884"/>
      <c r="Q709" s="884"/>
      <c r="R709" s="884"/>
    </row>
    <row r="710" spans="2:18">
      <c r="B710" s="884"/>
      <c r="C710" s="884"/>
      <c r="D710" s="884"/>
      <c r="E710" s="884"/>
      <c r="F710" s="884"/>
      <c r="G710" s="884"/>
      <c r="H710" s="884"/>
      <c r="I710" s="884"/>
      <c r="J710" s="884"/>
      <c r="K710" s="884"/>
      <c r="L710" s="884"/>
      <c r="M710" s="884"/>
      <c r="N710" s="884"/>
      <c r="O710" s="884"/>
      <c r="P710" s="884"/>
      <c r="Q710" s="884"/>
      <c r="R710" s="884"/>
    </row>
    <row r="711" spans="2:18">
      <c r="B711" s="884"/>
      <c r="C711" s="884"/>
      <c r="D711" s="884"/>
      <c r="E711" s="884"/>
      <c r="F711" s="884"/>
      <c r="G711" s="884"/>
      <c r="H711" s="884"/>
      <c r="I711" s="884"/>
      <c r="J711" s="884"/>
      <c r="K711" s="884"/>
      <c r="L711" s="884"/>
      <c r="M711" s="884"/>
      <c r="N711" s="884"/>
      <c r="O711" s="884"/>
      <c r="P711" s="884"/>
      <c r="Q711" s="884"/>
      <c r="R711" s="884"/>
    </row>
    <row r="712" spans="2:18">
      <c r="B712" s="884"/>
      <c r="C712" s="884"/>
      <c r="D712" s="884"/>
      <c r="E712" s="884"/>
      <c r="F712" s="884"/>
      <c r="G712" s="884"/>
      <c r="H712" s="884"/>
      <c r="I712" s="884"/>
      <c r="J712" s="884"/>
      <c r="K712" s="884"/>
      <c r="L712" s="884"/>
      <c r="M712" s="884"/>
      <c r="N712" s="884"/>
      <c r="O712" s="884"/>
      <c r="P712" s="884"/>
      <c r="Q712" s="884"/>
      <c r="R712" s="884"/>
    </row>
    <row r="713" spans="2:18">
      <c r="B713" s="884"/>
      <c r="C713" s="884"/>
      <c r="D713" s="884"/>
      <c r="E713" s="884"/>
      <c r="F713" s="884"/>
      <c r="G713" s="884"/>
      <c r="H713" s="884"/>
      <c r="I713" s="884"/>
      <c r="J713" s="884"/>
      <c r="K713" s="884"/>
      <c r="L713" s="884"/>
      <c r="M713" s="884"/>
      <c r="N713" s="884"/>
      <c r="O713" s="884"/>
      <c r="P713" s="884"/>
      <c r="Q713" s="884"/>
      <c r="R713" s="884"/>
    </row>
    <row r="714" spans="2:18">
      <c r="B714" s="884"/>
      <c r="C714" s="884"/>
      <c r="D714" s="884"/>
      <c r="E714" s="884"/>
      <c r="F714" s="884"/>
      <c r="G714" s="884"/>
      <c r="H714" s="884"/>
      <c r="I714" s="884"/>
      <c r="J714" s="884"/>
      <c r="K714" s="884"/>
      <c r="L714" s="884"/>
      <c r="M714" s="884"/>
      <c r="N714" s="884"/>
      <c r="O714" s="884"/>
      <c r="P714" s="884"/>
      <c r="Q714" s="884"/>
      <c r="R714" s="884"/>
    </row>
    <row r="715" spans="2:18">
      <c r="B715" s="884"/>
      <c r="C715" s="884"/>
      <c r="D715" s="884"/>
      <c r="E715" s="884"/>
      <c r="F715" s="884"/>
      <c r="G715" s="884"/>
      <c r="H715" s="884"/>
      <c r="I715" s="884"/>
      <c r="J715" s="884"/>
      <c r="K715" s="884"/>
      <c r="L715" s="884"/>
      <c r="M715" s="884"/>
      <c r="N715" s="884"/>
      <c r="O715" s="884"/>
      <c r="P715" s="884"/>
      <c r="Q715" s="884"/>
      <c r="R715" s="884"/>
    </row>
    <row r="716" spans="2:18">
      <c r="B716" s="884"/>
      <c r="C716" s="884"/>
      <c r="D716" s="884"/>
      <c r="E716" s="884"/>
      <c r="F716" s="884"/>
      <c r="G716" s="884"/>
      <c r="H716" s="884"/>
      <c r="I716" s="884"/>
      <c r="J716" s="884"/>
      <c r="K716" s="884"/>
      <c r="L716" s="884"/>
      <c r="M716" s="884"/>
      <c r="N716" s="884"/>
      <c r="O716" s="884"/>
      <c r="P716" s="884"/>
      <c r="Q716" s="884"/>
      <c r="R716" s="884"/>
    </row>
    <row r="717" spans="2:18">
      <c r="B717" s="884"/>
      <c r="C717" s="884"/>
      <c r="D717" s="884"/>
      <c r="E717" s="884"/>
      <c r="F717" s="884"/>
      <c r="G717" s="884"/>
      <c r="H717" s="884"/>
      <c r="I717" s="884"/>
      <c r="J717" s="884"/>
      <c r="K717" s="884"/>
      <c r="L717" s="884"/>
      <c r="M717" s="884"/>
      <c r="N717" s="884"/>
      <c r="O717" s="884"/>
      <c r="P717" s="884"/>
      <c r="Q717" s="884"/>
      <c r="R717" s="884"/>
    </row>
    <row r="718" spans="2:18">
      <c r="B718" s="884"/>
      <c r="C718" s="884"/>
      <c r="D718" s="884"/>
      <c r="E718" s="884"/>
      <c r="F718" s="884"/>
      <c r="G718" s="884"/>
      <c r="H718" s="884"/>
      <c r="I718" s="884"/>
      <c r="J718" s="884"/>
      <c r="K718" s="884"/>
      <c r="L718" s="884"/>
      <c r="M718" s="884"/>
      <c r="N718" s="884"/>
      <c r="O718" s="884"/>
      <c r="P718" s="884"/>
      <c r="Q718" s="884"/>
      <c r="R718" s="884"/>
    </row>
    <row r="719" spans="2:18">
      <c r="B719" s="884"/>
      <c r="C719" s="884"/>
      <c r="D719" s="884"/>
      <c r="E719" s="884"/>
      <c r="F719" s="884"/>
      <c r="G719" s="884"/>
      <c r="H719" s="884"/>
      <c r="I719" s="884"/>
      <c r="J719" s="884"/>
      <c r="K719" s="884"/>
      <c r="L719" s="884"/>
      <c r="M719" s="884"/>
      <c r="N719" s="884"/>
      <c r="O719" s="884"/>
      <c r="P719" s="884"/>
      <c r="Q719" s="884"/>
      <c r="R719" s="884"/>
    </row>
    <row r="720" spans="2:18">
      <c r="B720" s="884"/>
      <c r="C720" s="884"/>
      <c r="D720" s="884"/>
      <c r="E720" s="884"/>
      <c r="F720" s="884"/>
      <c r="G720" s="884"/>
      <c r="H720" s="884"/>
      <c r="I720" s="884"/>
      <c r="J720" s="884"/>
      <c r="K720" s="884"/>
      <c r="L720" s="884"/>
      <c r="M720" s="884"/>
      <c r="N720" s="884"/>
      <c r="O720" s="884"/>
      <c r="P720" s="884"/>
      <c r="Q720" s="884"/>
      <c r="R720" s="884"/>
    </row>
    <row r="721" spans="2:18">
      <c r="B721" s="884"/>
      <c r="C721" s="884"/>
      <c r="D721" s="884"/>
      <c r="E721" s="884"/>
      <c r="F721" s="884"/>
      <c r="G721" s="884"/>
      <c r="H721" s="884"/>
      <c r="I721" s="884"/>
      <c r="J721" s="884"/>
      <c r="K721" s="884"/>
      <c r="L721" s="884"/>
      <c r="M721" s="884"/>
      <c r="N721" s="884"/>
      <c r="O721" s="884"/>
      <c r="P721" s="884"/>
      <c r="Q721" s="884"/>
      <c r="R721" s="884"/>
    </row>
    <row r="722" spans="2:18">
      <c r="B722" s="884"/>
      <c r="C722" s="884"/>
      <c r="D722" s="884"/>
      <c r="E722" s="884"/>
      <c r="F722" s="884"/>
      <c r="G722" s="884"/>
      <c r="H722" s="884"/>
      <c r="I722" s="884"/>
      <c r="J722" s="884"/>
      <c r="K722" s="884"/>
      <c r="L722" s="884"/>
      <c r="M722" s="884"/>
      <c r="N722" s="884"/>
      <c r="O722" s="884"/>
      <c r="P722" s="884"/>
      <c r="Q722" s="884"/>
      <c r="R722" s="884"/>
    </row>
    <row r="723" spans="2:18">
      <c r="B723" s="884"/>
      <c r="C723" s="884"/>
      <c r="D723" s="884"/>
      <c r="E723" s="884"/>
      <c r="F723" s="884"/>
      <c r="G723" s="884"/>
      <c r="H723" s="884"/>
      <c r="I723" s="884"/>
      <c r="J723" s="884"/>
      <c r="K723" s="884"/>
      <c r="L723" s="884"/>
      <c r="M723" s="884"/>
      <c r="N723" s="884"/>
      <c r="O723" s="884"/>
      <c r="P723" s="884"/>
      <c r="Q723" s="884"/>
      <c r="R723" s="884"/>
    </row>
    <row r="724" spans="2:18">
      <c r="B724" s="884"/>
      <c r="C724" s="884"/>
      <c r="D724" s="884"/>
      <c r="E724" s="884"/>
      <c r="F724" s="884"/>
      <c r="G724" s="884"/>
      <c r="H724" s="884"/>
      <c r="I724" s="884"/>
      <c r="J724" s="884"/>
      <c r="K724" s="884"/>
      <c r="L724" s="884"/>
      <c r="M724" s="884"/>
      <c r="N724" s="884"/>
      <c r="O724" s="884"/>
      <c r="P724" s="884"/>
      <c r="Q724" s="884"/>
      <c r="R724" s="884"/>
    </row>
    <row r="725" spans="2:18">
      <c r="B725" s="884"/>
      <c r="C725" s="884"/>
      <c r="D725" s="884"/>
      <c r="E725" s="884"/>
      <c r="F725" s="884"/>
      <c r="G725" s="884"/>
      <c r="H725" s="884"/>
      <c r="I725" s="884"/>
      <c r="J725" s="884"/>
      <c r="K725" s="884"/>
      <c r="L725" s="884"/>
      <c r="M725" s="884"/>
      <c r="N725" s="884"/>
      <c r="O725" s="884"/>
      <c r="P725" s="884"/>
      <c r="Q725" s="884"/>
      <c r="R725" s="884"/>
    </row>
    <row r="726" spans="2:18">
      <c r="B726" s="884"/>
      <c r="C726" s="884"/>
      <c r="D726" s="884"/>
      <c r="E726" s="884"/>
      <c r="F726" s="884"/>
      <c r="G726" s="884"/>
      <c r="H726" s="884"/>
      <c r="I726" s="884"/>
      <c r="J726" s="884"/>
      <c r="K726" s="884"/>
      <c r="L726" s="884"/>
      <c r="M726" s="884"/>
      <c r="N726" s="884"/>
      <c r="O726" s="884"/>
      <c r="P726" s="884"/>
      <c r="Q726" s="884"/>
      <c r="R726" s="884"/>
    </row>
    <row r="727" spans="2:18">
      <c r="B727" s="884"/>
      <c r="C727" s="884"/>
      <c r="D727" s="884"/>
      <c r="E727" s="884"/>
      <c r="F727" s="884"/>
      <c r="G727" s="884"/>
      <c r="H727" s="884"/>
      <c r="I727" s="884"/>
      <c r="J727" s="884"/>
      <c r="K727" s="884"/>
      <c r="L727" s="884"/>
      <c r="M727" s="884"/>
      <c r="N727" s="884"/>
      <c r="O727" s="884"/>
      <c r="P727" s="884"/>
      <c r="Q727" s="884"/>
      <c r="R727" s="884"/>
    </row>
    <row r="728" spans="2:18">
      <c r="B728" s="884"/>
      <c r="C728" s="884"/>
      <c r="D728" s="884"/>
      <c r="E728" s="884"/>
      <c r="F728" s="884"/>
      <c r="G728" s="884"/>
      <c r="H728" s="884"/>
      <c r="I728" s="884"/>
      <c r="J728" s="884"/>
      <c r="K728" s="884"/>
      <c r="L728" s="884"/>
      <c r="M728" s="884"/>
      <c r="N728" s="884"/>
      <c r="O728" s="884"/>
      <c r="P728" s="884"/>
      <c r="Q728" s="884"/>
      <c r="R728" s="884"/>
    </row>
    <row r="729" spans="2:18">
      <c r="B729" s="884"/>
      <c r="C729" s="884"/>
      <c r="D729" s="884"/>
      <c r="E729" s="884"/>
      <c r="F729" s="884"/>
      <c r="G729" s="884"/>
      <c r="H729" s="884"/>
      <c r="I729" s="884"/>
      <c r="J729" s="884"/>
      <c r="K729" s="884"/>
      <c r="L729" s="884"/>
      <c r="M729" s="884"/>
      <c r="N729" s="884"/>
      <c r="O729" s="884"/>
      <c r="P729" s="884"/>
      <c r="Q729" s="884"/>
      <c r="R729" s="884"/>
    </row>
    <row r="730" spans="2:18">
      <c r="B730" s="884"/>
      <c r="C730" s="884"/>
      <c r="D730" s="884"/>
      <c r="E730" s="884"/>
      <c r="F730" s="884"/>
      <c r="G730" s="884"/>
      <c r="H730" s="884"/>
      <c r="I730" s="884"/>
      <c r="J730" s="884"/>
      <c r="K730" s="884"/>
      <c r="L730" s="884"/>
      <c r="M730" s="884"/>
      <c r="N730" s="884"/>
      <c r="O730" s="884"/>
      <c r="P730" s="884"/>
      <c r="Q730" s="884"/>
      <c r="R730" s="884"/>
    </row>
    <row r="731" spans="2:18">
      <c r="B731" s="884"/>
      <c r="C731" s="884"/>
      <c r="D731" s="884"/>
      <c r="E731" s="884"/>
      <c r="F731" s="884"/>
      <c r="G731" s="884"/>
      <c r="H731" s="884"/>
      <c r="I731" s="884"/>
      <c r="J731" s="884"/>
      <c r="K731" s="884"/>
      <c r="L731" s="884"/>
      <c r="M731" s="884"/>
      <c r="N731" s="884"/>
      <c r="O731" s="884"/>
      <c r="P731" s="884"/>
      <c r="Q731" s="884"/>
      <c r="R731" s="884"/>
    </row>
    <row r="732" spans="2:18">
      <c r="B732" s="884"/>
      <c r="C732" s="884"/>
      <c r="D732" s="884"/>
      <c r="E732" s="884"/>
      <c r="F732" s="884"/>
      <c r="G732" s="884"/>
      <c r="H732" s="884"/>
      <c r="I732" s="884"/>
      <c r="J732" s="884"/>
      <c r="K732" s="884"/>
      <c r="L732" s="884"/>
      <c r="M732" s="884"/>
      <c r="N732" s="884"/>
      <c r="O732" s="884"/>
      <c r="P732" s="884"/>
      <c r="Q732" s="884"/>
      <c r="R732" s="884"/>
    </row>
    <row r="733" spans="2:18">
      <c r="B733" s="884"/>
      <c r="C733" s="884"/>
      <c r="D733" s="884"/>
      <c r="E733" s="884"/>
      <c r="F733" s="884"/>
      <c r="G733" s="884"/>
      <c r="H733" s="884"/>
      <c r="I733" s="884"/>
      <c r="J733" s="884"/>
      <c r="K733" s="884"/>
      <c r="L733" s="884"/>
      <c r="M733" s="884"/>
      <c r="N733" s="884"/>
      <c r="O733" s="884"/>
      <c r="P733" s="884"/>
      <c r="Q733" s="884"/>
      <c r="R733" s="884"/>
    </row>
    <row r="734" spans="2:18">
      <c r="B734" s="884"/>
      <c r="C734" s="884"/>
      <c r="D734" s="884"/>
      <c r="E734" s="884"/>
      <c r="F734" s="884"/>
      <c r="G734" s="884"/>
      <c r="H734" s="884"/>
      <c r="I734" s="884"/>
      <c r="J734" s="884"/>
      <c r="K734" s="884"/>
      <c r="L734" s="884"/>
      <c r="M734" s="884"/>
      <c r="N734" s="884"/>
      <c r="O734" s="884"/>
      <c r="P734" s="884"/>
      <c r="Q734" s="884"/>
      <c r="R734" s="884"/>
    </row>
    <row r="735" spans="2:18">
      <c r="B735" s="884"/>
      <c r="C735" s="884"/>
      <c r="D735" s="884"/>
      <c r="E735" s="884"/>
      <c r="F735" s="884"/>
      <c r="G735" s="884"/>
      <c r="H735" s="884"/>
      <c r="I735" s="884"/>
      <c r="J735" s="884"/>
      <c r="K735" s="884"/>
      <c r="L735" s="884"/>
      <c r="M735" s="884"/>
      <c r="N735" s="884"/>
      <c r="O735" s="884"/>
      <c r="P735" s="884"/>
      <c r="Q735" s="884"/>
      <c r="R735" s="884"/>
    </row>
    <row r="736" spans="2:18">
      <c r="B736" s="884"/>
      <c r="C736" s="884"/>
      <c r="D736" s="884"/>
      <c r="E736" s="884"/>
      <c r="F736" s="884"/>
      <c r="G736" s="884"/>
      <c r="H736" s="884"/>
      <c r="I736" s="884"/>
      <c r="J736" s="884"/>
      <c r="K736" s="884"/>
      <c r="L736" s="884"/>
      <c r="M736" s="884"/>
      <c r="N736" s="884"/>
      <c r="O736" s="884"/>
      <c r="P736" s="884"/>
      <c r="Q736" s="884"/>
      <c r="R736" s="884"/>
    </row>
    <row r="737" spans="2:18">
      <c r="B737" s="884"/>
      <c r="C737" s="884"/>
      <c r="D737" s="884"/>
      <c r="E737" s="884"/>
      <c r="F737" s="884"/>
      <c r="G737" s="884"/>
      <c r="H737" s="884"/>
      <c r="I737" s="884"/>
      <c r="J737" s="884"/>
      <c r="K737" s="884"/>
      <c r="L737" s="884"/>
      <c r="M737" s="884"/>
      <c r="N737" s="884"/>
      <c r="O737" s="884"/>
      <c r="P737" s="884"/>
      <c r="Q737" s="884"/>
      <c r="R737" s="884"/>
    </row>
    <row r="738" spans="2:18">
      <c r="B738" s="884"/>
      <c r="C738" s="884"/>
      <c r="D738" s="884"/>
      <c r="E738" s="884"/>
      <c r="F738" s="884"/>
      <c r="G738" s="884"/>
      <c r="H738" s="884"/>
      <c r="I738" s="884"/>
      <c r="J738" s="884"/>
      <c r="K738" s="884"/>
      <c r="L738" s="884"/>
      <c r="M738" s="884"/>
      <c r="N738" s="884"/>
      <c r="O738" s="884"/>
      <c r="P738" s="884"/>
      <c r="Q738" s="884"/>
      <c r="R738" s="884"/>
    </row>
    <row r="739" spans="2:18">
      <c r="B739" s="884"/>
      <c r="C739" s="884"/>
      <c r="D739" s="884"/>
      <c r="E739" s="884"/>
      <c r="F739" s="884"/>
      <c r="G739" s="884"/>
      <c r="H739" s="884"/>
      <c r="I739" s="884"/>
      <c r="J739" s="884"/>
      <c r="K739" s="884"/>
      <c r="L739" s="884"/>
      <c r="M739" s="884"/>
      <c r="N739" s="884"/>
      <c r="O739" s="884"/>
      <c r="P739" s="884"/>
      <c r="Q739" s="884"/>
      <c r="R739" s="884"/>
    </row>
    <row r="740" spans="2:18">
      <c r="B740" s="884"/>
      <c r="C740" s="884"/>
      <c r="D740" s="884"/>
      <c r="E740" s="884"/>
      <c r="F740" s="884"/>
      <c r="G740" s="884"/>
      <c r="H740" s="884"/>
      <c r="I740" s="884"/>
      <c r="J740" s="884"/>
      <c r="K740" s="884"/>
      <c r="L740" s="884"/>
      <c r="M740" s="884"/>
      <c r="N740" s="884"/>
      <c r="O740" s="884"/>
      <c r="P740" s="884"/>
      <c r="Q740" s="884"/>
      <c r="R740" s="884"/>
    </row>
    <row r="741" spans="2:18">
      <c r="B741" s="884"/>
      <c r="C741" s="884"/>
      <c r="D741" s="884"/>
      <c r="E741" s="884"/>
      <c r="F741" s="884"/>
      <c r="G741" s="884"/>
      <c r="H741" s="884"/>
      <c r="I741" s="884"/>
      <c r="J741" s="884"/>
      <c r="K741" s="884"/>
      <c r="L741" s="884"/>
      <c r="M741" s="884"/>
      <c r="N741" s="884"/>
      <c r="O741" s="884"/>
      <c r="P741" s="884"/>
      <c r="Q741" s="884"/>
      <c r="R741" s="884"/>
    </row>
    <row r="742" spans="2:18">
      <c r="B742" s="884"/>
      <c r="C742" s="884"/>
      <c r="D742" s="884"/>
      <c r="E742" s="884"/>
      <c r="F742" s="884"/>
      <c r="G742" s="884"/>
      <c r="H742" s="884"/>
      <c r="I742" s="884"/>
      <c r="J742" s="884"/>
      <c r="K742" s="884"/>
      <c r="L742" s="884"/>
      <c r="M742" s="884"/>
      <c r="N742" s="884"/>
      <c r="O742" s="884"/>
      <c r="P742" s="884"/>
      <c r="Q742" s="884"/>
      <c r="R742" s="884"/>
    </row>
    <row r="743" spans="2:18">
      <c r="B743" s="884"/>
      <c r="C743" s="884"/>
      <c r="D743" s="884"/>
      <c r="E743" s="884"/>
      <c r="F743" s="884"/>
      <c r="G743" s="884"/>
      <c r="H743" s="884"/>
      <c r="I743" s="884"/>
      <c r="J743" s="884"/>
      <c r="K743" s="884"/>
      <c r="L743" s="884"/>
      <c r="M743" s="884"/>
      <c r="N743" s="884"/>
      <c r="O743" s="884"/>
      <c r="P743" s="884"/>
      <c r="Q743" s="884"/>
      <c r="R743" s="884"/>
    </row>
    <row r="744" spans="2:18">
      <c r="B744" s="884"/>
      <c r="C744" s="884"/>
      <c r="D744" s="884"/>
      <c r="E744" s="884"/>
      <c r="F744" s="884"/>
      <c r="G744" s="884"/>
      <c r="H744" s="884"/>
      <c r="I744" s="884"/>
      <c r="J744" s="884"/>
      <c r="K744" s="884"/>
      <c r="L744" s="884"/>
      <c r="M744" s="884"/>
      <c r="N744" s="884"/>
      <c r="O744" s="884"/>
      <c r="P744" s="884"/>
      <c r="Q744" s="884"/>
      <c r="R744" s="884"/>
    </row>
    <row r="745" spans="2:18">
      <c r="B745" s="884"/>
      <c r="C745" s="884"/>
      <c r="D745" s="884"/>
      <c r="E745" s="884"/>
      <c r="F745" s="884"/>
      <c r="G745" s="884"/>
      <c r="H745" s="884"/>
      <c r="I745" s="884"/>
      <c r="J745" s="884"/>
      <c r="K745" s="884"/>
      <c r="L745" s="884"/>
      <c r="M745" s="884"/>
      <c r="N745" s="884"/>
      <c r="O745" s="884"/>
      <c r="P745" s="884"/>
      <c r="Q745" s="884"/>
      <c r="R745" s="884"/>
    </row>
    <row r="746" spans="2:18">
      <c r="B746" s="884"/>
      <c r="C746" s="884"/>
      <c r="D746" s="884"/>
      <c r="E746" s="884"/>
      <c r="F746" s="884"/>
      <c r="G746" s="884"/>
      <c r="H746" s="884"/>
      <c r="I746" s="884"/>
      <c r="J746" s="884"/>
      <c r="K746" s="884"/>
      <c r="L746" s="884"/>
      <c r="M746" s="884"/>
      <c r="N746" s="884"/>
      <c r="O746" s="884"/>
      <c r="P746" s="884"/>
      <c r="Q746" s="884"/>
      <c r="R746" s="884"/>
    </row>
    <row r="747" spans="2:18">
      <c r="B747" s="884"/>
      <c r="C747" s="884"/>
      <c r="D747" s="884"/>
      <c r="E747" s="884"/>
      <c r="F747" s="884"/>
      <c r="G747" s="884"/>
      <c r="H747" s="884"/>
      <c r="I747" s="884"/>
      <c r="J747" s="884"/>
      <c r="K747" s="884"/>
      <c r="L747" s="884"/>
      <c r="M747" s="884"/>
      <c r="N747" s="884"/>
      <c r="O747" s="884"/>
      <c r="P747" s="884"/>
      <c r="Q747" s="884"/>
      <c r="R747" s="884"/>
    </row>
    <row r="748" spans="2:18">
      <c r="B748" s="884"/>
      <c r="C748" s="884"/>
      <c r="D748" s="884"/>
      <c r="E748" s="884"/>
      <c r="F748" s="884"/>
      <c r="G748" s="884"/>
      <c r="H748" s="884"/>
      <c r="I748" s="884"/>
      <c r="J748" s="884"/>
      <c r="K748" s="884"/>
      <c r="L748" s="884"/>
      <c r="M748" s="884"/>
      <c r="N748" s="884"/>
      <c r="O748" s="884"/>
      <c r="P748" s="884"/>
      <c r="Q748" s="884"/>
      <c r="R748" s="884"/>
    </row>
    <row r="749" spans="2:18">
      <c r="B749" s="884"/>
      <c r="C749" s="884"/>
      <c r="D749" s="884"/>
      <c r="E749" s="884"/>
      <c r="F749" s="884"/>
      <c r="G749" s="884"/>
      <c r="H749" s="884"/>
      <c r="I749" s="884"/>
      <c r="J749" s="884"/>
      <c r="K749" s="884"/>
      <c r="L749" s="884"/>
      <c r="M749" s="884"/>
      <c r="N749" s="884"/>
      <c r="O749" s="884"/>
      <c r="P749" s="884"/>
      <c r="Q749" s="884"/>
      <c r="R749" s="884"/>
    </row>
    <row r="750" spans="2:18">
      <c r="B750" s="884"/>
      <c r="C750" s="884"/>
      <c r="D750" s="884"/>
      <c r="E750" s="884"/>
      <c r="F750" s="884"/>
      <c r="G750" s="884"/>
      <c r="H750" s="884"/>
      <c r="I750" s="884"/>
      <c r="J750" s="884"/>
      <c r="K750" s="884"/>
      <c r="L750" s="884"/>
      <c r="M750" s="884"/>
      <c r="N750" s="884"/>
      <c r="O750" s="884"/>
      <c r="P750" s="884"/>
      <c r="Q750" s="884"/>
      <c r="R750" s="884"/>
    </row>
    <row r="751" spans="2:18">
      <c r="B751" s="884"/>
      <c r="C751" s="884"/>
      <c r="D751" s="884"/>
      <c r="E751" s="884"/>
      <c r="F751" s="884"/>
      <c r="G751" s="884"/>
      <c r="H751" s="884"/>
      <c r="I751" s="884"/>
      <c r="J751" s="884"/>
      <c r="K751" s="884"/>
      <c r="L751" s="884"/>
      <c r="M751" s="884"/>
      <c r="N751" s="884"/>
      <c r="O751" s="884"/>
      <c r="P751" s="884"/>
      <c r="Q751" s="884"/>
      <c r="R751" s="884"/>
    </row>
    <row r="752" spans="2:18">
      <c r="B752" s="884"/>
      <c r="C752" s="884"/>
      <c r="D752" s="884"/>
      <c r="E752" s="884"/>
      <c r="F752" s="884"/>
      <c r="G752" s="884"/>
      <c r="H752" s="884"/>
      <c r="I752" s="884"/>
      <c r="J752" s="884"/>
      <c r="K752" s="884"/>
      <c r="L752" s="884"/>
      <c r="M752" s="884"/>
      <c r="N752" s="884"/>
      <c r="O752" s="884"/>
      <c r="P752" s="884"/>
      <c r="Q752" s="884"/>
      <c r="R752" s="884"/>
    </row>
    <row r="753" spans="2:18">
      <c r="B753" s="884"/>
      <c r="C753" s="884"/>
      <c r="D753" s="884"/>
      <c r="E753" s="884"/>
      <c r="F753" s="884"/>
      <c r="G753" s="884"/>
      <c r="H753" s="884"/>
      <c r="I753" s="884"/>
      <c r="J753" s="884"/>
      <c r="K753" s="884"/>
      <c r="L753" s="884"/>
      <c r="M753" s="884"/>
      <c r="N753" s="884"/>
      <c r="O753" s="884"/>
      <c r="P753" s="884"/>
      <c r="Q753" s="884"/>
      <c r="R753" s="884"/>
    </row>
    <row r="754" spans="2:18">
      <c r="B754" s="884"/>
      <c r="C754" s="884"/>
      <c r="D754" s="884"/>
      <c r="E754" s="884"/>
      <c r="F754" s="884"/>
      <c r="G754" s="884"/>
      <c r="H754" s="884"/>
      <c r="I754" s="884"/>
      <c r="J754" s="884"/>
      <c r="K754" s="884"/>
      <c r="L754" s="884"/>
      <c r="M754" s="884"/>
      <c r="N754" s="884"/>
      <c r="O754" s="884"/>
      <c r="P754" s="884"/>
      <c r="Q754" s="884"/>
      <c r="R754" s="884"/>
    </row>
    <row r="755" spans="2:18">
      <c r="B755" s="884"/>
      <c r="C755" s="884"/>
      <c r="D755" s="884"/>
      <c r="E755" s="884"/>
      <c r="F755" s="884"/>
      <c r="G755" s="884"/>
      <c r="H755" s="884"/>
      <c r="I755" s="884"/>
      <c r="J755" s="884"/>
      <c r="K755" s="884"/>
      <c r="L755" s="884"/>
      <c r="M755" s="884"/>
      <c r="N755" s="884"/>
      <c r="O755" s="884"/>
      <c r="P755" s="884"/>
      <c r="Q755" s="884"/>
      <c r="R755" s="884"/>
    </row>
    <row r="756" spans="2:18">
      <c r="B756" s="884"/>
      <c r="C756" s="884"/>
      <c r="D756" s="884"/>
      <c r="E756" s="884"/>
      <c r="F756" s="884"/>
      <c r="G756" s="884"/>
      <c r="H756" s="884"/>
      <c r="I756" s="884"/>
      <c r="J756" s="884"/>
      <c r="K756" s="884"/>
      <c r="L756" s="884"/>
      <c r="M756" s="884"/>
      <c r="N756" s="884"/>
      <c r="O756" s="884"/>
      <c r="P756" s="884"/>
      <c r="Q756" s="884"/>
      <c r="R756" s="884"/>
    </row>
    <row r="757" spans="2:18">
      <c r="B757" s="884"/>
      <c r="C757" s="884"/>
      <c r="D757" s="884"/>
      <c r="E757" s="884"/>
      <c r="F757" s="884"/>
      <c r="G757" s="884"/>
      <c r="H757" s="884"/>
      <c r="I757" s="884"/>
      <c r="J757" s="884"/>
      <c r="K757" s="884"/>
      <c r="L757" s="884"/>
      <c r="M757" s="884"/>
      <c r="N757" s="884"/>
      <c r="O757" s="884"/>
      <c r="P757" s="884"/>
      <c r="Q757" s="884"/>
      <c r="R757" s="884"/>
    </row>
    <row r="758" spans="2:18">
      <c r="B758" s="884"/>
      <c r="C758" s="884"/>
      <c r="D758" s="884"/>
      <c r="E758" s="884"/>
      <c r="F758" s="884"/>
      <c r="G758" s="884"/>
      <c r="H758" s="884"/>
      <c r="I758" s="884"/>
      <c r="J758" s="884"/>
      <c r="K758" s="884"/>
      <c r="L758" s="884"/>
      <c r="M758" s="884"/>
      <c r="N758" s="884"/>
      <c r="O758" s="884"/>
      <c r="P758" s="884"/>
      <c r="Q758" s="884"/>
      <c r="R758" s="884"/>
    </row>
    <row r="759" spans="2:18">
      <c r="B759" s="884"/>
      <c r="C759" s="884"/>
      <c r="D759" s="884"/>
      <c r="E759" s="884"/>
      <c r="F759" s="884"/>
      <c r="G759" s="884"/>
      <c r="H759" s="884"/>
      <c r="I759" s="884"/>
      <c r="J759" s="884"/>
      <c r="K759" s="884"/>
      <c r="L759" s="884"/>
      <c r="M759" s="884"/>
      <c r="N759" s="884"/>
      <c r="O759" s="884"/>
      <c r="P759" s="884"/>
      <c r="Q759" s="884"/>
      <c r="R759" s="884"/>
    </row>
    <row r="760" spans="2:18">
      <c r="B760" s="884"/>
      <c r="C760" s="884"/>
      <c r="D760" s="884"/>
      <c r="E760" s="884"/>
      <c r="F760" s="884"/>
      <c r="G760" s="884"/>
      <c r="H760" s="884"/>
      <c r="I760" s="884"/>
      <c r="J760" s="884"/>
      <c r="K760" s="884"/>
      <c r="L760" s="884"/>
      <c r="M760" s="884"/>
      <c r="N760" s="884"/>
      <c r="O760" s="884"/>
      <c r="P760" s="884"/>
      <c r="Q760" s="884"/>
      <c r="R760" s="884"/>
    </row>
    <row r="761" spans="2:18">
      <c r="B761" s="884"/>
      <c r="C761" s="884"/>
      <c r="D761" s="884"/>
      <c r="E761" s="884"/>
      <c r="F761" s="884"/>
      <c r="G761" s="884"/>
      <c r="H761" s="884"/>
      <c r="I761" s="884"/>
      <c r="J761" s="884"/>
      <c r="K761" s="884"/>
      <c r="L761" s="884"/>
      <c r="M761" s="884"/>
      <c r="N761" s="884"/>
      <c r="O761" s="884"/>
      <c r="P761" s="884"/>
      <c r="Q761" s="884"/>
      <c r="R761" s="884"/>
    </row>
    <row r="762" spans="2:18">
      <c r="B762" s="884"/>
      <c r="C762" s="884"/>
      <c r="D762" s="884"/>
      <c r="E762" s="884"/>
      <c r="F762" s="884"/>
      <c r="G762" s="884"/>
      <c r="H762" s="884"/>
      <c r="I762" s="884"/>
      <c r="J762" s="884"/>
      <c r="K762" s="884"/>
      <c r="L762" s="884"/>
      <c r="M762" s="884"/>
      <c r="N762" s="884"/>
      <c r="O762" s="884"/>
      <c r="P762" s="884"/>
      <c r="Q762" s="884"/>
      <c r="R762" s="884"/>
    </row>
    <row r="763" spans="2:18">
      <c r="B763" s="884"/>
      <c r="C763" s="884"/>
      <c r="D763" s="884"/>
      <c r="E763" s="884"/>
      <c r="F763" s="884"/>
      <c r="G763" s="884"/>
      <c r="H763" s="884"/>
      <c r="I763" s="884"/>
      <c r="J763" s="884"/>
      <c r="K763" s="884"/>
      <c r="L763" s="884"/>
      <c r="M763" s="884"/>
      <c r="N763" s="884"/>
      <c r="O763" s="884"/>
      <c r="P763" s="884"/>
      <c r="Q763" s="884"/>
      <c r="R763" s="884"/>
    </row>
    <row r="764" spans="2:18">
      <c r="B764" s="884"/>
      <c r="C764" s="884"/>
      <c r="D764" s="884"/>
      <c r="E764" s="884"/>
      <c r="F764" s="884"/>
      <c r="G764" s="884"/>
      <c r="H764" s="884"/>
      <c r="I764" s="884"/>
      <c r="J764" s="884"/>
      <c r="K764" s="884"/>
      <c r="L764" s="884"/>
      <c r="M764" s="884"/>
      <c r="N764" s="884"/>
      <c r="O764" s="884"/>
      <c r="P764" s="884"/>
      <c r="Q764" s="884"/>
      <c r="R764" s="884"/>
    </row>
    <row r="765" spans="2:18">
      <c r="B765" s="884"/>
      <c r="C765" s="884"/>
      <c r="D765" s="884"/>
      <c r="E765" s="884"/>
      <c r="F765" s="884"/>
      <c r="G765" s="884"/>
      <c r="H765" s="884"/>
      <c r="I765" s="884"/>
      <c r="J765" s="884"/>
      <c r="K765" s="884"/>
      <c r="L765" s="884"/>
      <c r="M765" s="884"/>
      <c r="N765" s="884"/>
      <c r="O765" s="884"/>
      <c r="P765" s="884"/>
      <c r="Q765" s="884"/>
      <c r="R765" s="884"/>
    </row>
    <row r="766" spans="2:18">
      <c r="B766" s="884"/>
      <c r="C766" s="884"/>
      <c r="D766" s="884"/>
      <c r="E766" s="884"/>
      <c r="F766" s="884"/>
      <c r="G766" s="884"/>
      <c r="H766" s="884"/>
      <c r="I766" s="884"/>
      <c r="J766" s="884"/>
      <c r="K766" s="884"/>
      <c r="L766" s="884"/>
      <c r="M766" s="884"/>
      <c r="N766" s="884"/>
      <c r="O766" s="884"/>
      <c r="P766" s="884"/>
      <c r="Q766" s="884"/>
      <c r="R766" s="884"/>
    </row>
    <row r="767" spans="2:18">
      <c r="B767" s="884"/>
      <c r="C767" s="884"/>
      <c r="D767" s="884"/>
      <c r="E767" s="884"/>
      <c r="F767" s="884"/>
      <c r="G767" s="884"/>
      <c r="H767" s="884"/>
      <c r="I767" s="884"/>
      <c r="J767" s="884"/>
      <c r="K767" s="884"/>
      <c r="L767" s="884"/>
      <c r="M767" s="884"/>
      <c r="N767" s="884"/>
      <c r="O767" s="884"/>
      <c r="P767" s="884"/>
      <c r="Q767" s="884"/>
      <c r="R767" s="884"/>
    </row>
    <row r="768" spans="2:18">
      <c r="B768" s="884"/>
      <c r="C768" s="884"/>
      <c r="D768" s="884"/>
      <c r="E768" s="884"/>
      <c r="F768" s="884"/>
      <c r="G768" s="884"/>
      <c r="H768" s="884"/>
      <c r="I768" s="884"/>
      <c r="J768" s="884"/>
      <c r="K768" s="884"/>
      <c r="L768" s="884"/>
      <c r="M768" s="884"/>
      <c r="N768" s="884"/>
      <c r="O768" s="884"/>
      <c r="P768" s="884"/>
      <c r="Q768" s="884"/>
      <c r="R768" s="884"/>
    </row>
    <row r="769" spans="2:18">
      <c r="B769" s="884"/>
      <c r="C769" s="884"/>
      <c r="D769" s="884"/>
      <c r="E769" s="884"/>
      <c r="F769" s="884"/>
      <c r="G769" s="884"/>
      <c r="H769" s="884"/>
      <c r="I769" s="884"/>
      <c r="J769" s="884"/>
      <c r="K769" s="884"/>
      <c r="L769" s="884"/>
      <c r="M769" s="884"/>
      <c r="N769" s="884"/>
      <c r="O769" s="884"/>
      <c r="P769" s="884"/>
      <c r="Q769" s="884"/>
      <c r="R769" s="884"/>
    </row>
    <row r="770" spans="2:18">
      <c r="B770" s="884"/>
      <c r="C770" s="884"/>
      <c r="D770" s="884"/>
      <c r="E770" s="884"/>
      <c r="F770" s="884"/>
      <c r="G770" s="884"/>
      <c r="H770" s="884"/>
      <c r="I770" s="884"/>
      <c r="J770" s="884"/>
      <c r="K770" s="884"/>
      <c r="L770" s="884"/>
      <c r="M770" s="884"/>
      <c r="N770" s="884"/>
      <c r="O770" s="884"/>
      <c r="P770" s="884"/>
      <c r="Q770" s="884"/>
      <c r="R770" s="884"/>
    </row>
    <row r="771" spans="2:18">
      <c r="B771" s="884"/>
      <c r="C771" s="884"/>
      <c r="D771" s="884"/>
      <c r="E771" s="884"/>
      <c r="F771" s="884"/>
      <c r="G771" s="884"/>
      <c r="H771" s="884"/>
      <c r="I771" s="884"/>
      <c r="J771" s="884"/>
      <c r="K771" s="884"/>
      <c r="L771" s="884"/>
      <c r="M771" s="884"/>
      <c r="N771" s="884"/>
      <c r="O771" s="884"/>
      <c r="P771" s="884"/>
      <c r="Q771" s="884"/>
      <c r="R771" s="884"/>
    </row>
    <row r="772" spans="2:18">
      <c r="B772" s="884"/>
      <c r="C772" s="884"/>
      <c r="D772" s="884"/>
      <c r="E772" s="884"/>
      <c r="F772" s="884"/>
      <c r="G772" s="884"/>
      <c r="H772" s="884"/>
      <c r="I772" s="884"/>
      <c r="J772" s="884"/>
      <c r="K772" s="884"/>
      <c r="L772" s="884"/>
      <c r="M772" s="884"/>
      <c r="N772" s="884"/>
      <c r="O772" s="884"/>
      <c r="P772" s="884"/>
      <c r="Q772" s="884"/>
      <c r="R772" s="884"/>
    </row>
    <row r="773" spans="2:18">
      <c r="B773" s="884"/>
      <c r="C773" s="884"/>
      <c r="D773" s="884"/>
      <c r="E773" s="884"/>
      <c r="F773" s="884"/>
      <c r="G773" s="884"/>
      <c r="H773" s="884"/>
      <c r="I773" s="884"/>
      <c r="J773" s="884"/>
      <c r="K773" s="884"/>
      <c r="L773" s="884"/>
      <c r="M773" s="884"/>
      <c r="N773" s="884"/>
      <c r="O773" s="884"/>
      <c r="P773" s="884"/>
      <c r="Q773" s="884"/>
      <c r="R773" s="884"/>
    </row>
    <row r="774" spans="2:18">
      <c r="B774" s="884"/>
      <c r="C774" s="884"/>
      <c r="D774" s="884"/>
      <c r="E774" s="884"/>
      <c r="F774" s="884"/>
      <c r="G774" s="884"/>
      <c r="H774" s="884"/>
      <c r="I774" s="884"/>
      <c r="J774" s="884"/>
      <c r="K774" s="884"/>
      <c r="L774" s="884"/>
      <c r="M774" s="884"/>
      <c r="N774" s="884"/>
      <c r="O774" s="884"/>
      <c r="P774" s="884"/>
      <c r="Q774" s="884"/>
      <c r="R774" s="884"/>
    </row>
    <row r="775" spans="2:18">
      <c r="B775" s="884"/>
      <c r="C775" s="884"/>
      <c r="D775" s="884"/>
      <c r="E775" s="884"/>
      <c r="F775" s="884"/>
      <c r="G775" s="884"/>
      <c r="H775" s="884"/>
      <c r="I775" s="884"/>
      <c r="J775" s="884"/>
      <c r="K775" s="884"/>
      <c r="L775" s="884"/>
      <c r="M775" s="884"/>
      <c r="N775" s="884"/>
      <c r="O775" s="884"/>
      <c r="P775" s="884"/>
      <c r="Q775" s="884"/>
      <c r="R775" s="884"/>
    </row>
    <row r="776" spans="2:18">
      <c r="B776" s="884"/>
      <c r="C776" s="884"/>
      <c r="D776" s="884"/>
      <c r="E776" s="884"/>
      <c r="F776" s="884"/>
      <c r="G776" s="884"/>
      <c r="H776" s="884"/>
      <c r="I776" s="884"/>
      <c r="J776" s="884"/>
      <c r="K776" s="884"/>
      <c r="L776" s="884"/>
      <c r="M776" s="884"/>
      <c r="N776" s="884"/>
      <c r="O776" s="884"/>
      <c r="P776" s="884"/>
      <c r="Q776" s="884"/>
      <c r="R776" s="884"/>
    </row>
    <row r="777" spans="2:18">
      <c r="B777" s="884"/>
      <c r="C777" s="884"/>
      <c r="D777" s="884"/>
      <c r="E777" s="884"/>
      <c r="F777" s="884"/>
      <c r="G777" s="884"/>
      <c r="H777" s="884"/>
      <c r="I777" s="884"/>
      <c r="J777" s="884"/>
      <c r="K777" s="884"/>
      <c r="L777" s="884"/>
      <c r="M777" s="884"/>
      <c r="N777" s="884"/>
      <c r="O777" s="884"/>
      <c r="P777" s="884"/>
      <c r="Q777" s="884"/>
      <c r="R777" s="884"/>
    </row>
    <row r="778" spans="2:18">
      <c r="B778" s="884"/>
      <c r="C778" s="884"/>
      <c r="D778" s="884"/>
      <c r="E778" s="884"/>
      <c r="F778" s="884"/>
      <c r="G778" s="884"/>
      <c r="H778" s="884"/>
      <c r="I778" s="884"/>
      <c r="J778" s="884"/>
      <c r="K778" s="884"/>
      <c r="L778" s="884"/>
      <c r="M778" s="884"/>
      <c r="N778" s="884"/>
      <c r="O778" s="884"/>
      <c r="P778" s="884"/>
      <c r="Q778" s="884"/>
      <c r="R778" s="884"/>
    </row>
    <row r="779" spans="2:18">
      <c r="B779" s="884"/>
      <c r="C779" s="884"/>
      <c r="D779" s="884"/>
      <c r="E779" s="884"/>
      <c r="F779" s="884"/>
      <c r="G779" s="884"/>
      <c r="H779" s="884"/>
      <c r="I779" s="884"/>
      <c r="J779" s="884"/>
      <c r="K779" s="884"/>
      <c r="L779" s="884"/>
      <c r="M779" s="884"/>
      <c r="N779" s="884"/>
      <c r="O779" s="884"/>
      <c r="P779" s="884"/>
      <c r="Q779" s="884"/>
      <c r="R779" s="884"/>
    </row>
    <row r="780" spans="2:18">
      <c r="B780" s="884"/>
      <c r="C780" s="884"/>
      <c r="D780" s="884"/>
      <c r="E780" s="884"/>
      <c r="F780" s="884"/>
      <c r="G780" s="884"/>
      <c r="H780" s="884"/>
      <c r="I780" s="884"/>
      <c r="J780" s="884"/>
      <c r="K780" s="884"/>
      <c r="L780" s="884"/>
      <c r="M780" s="884"/>
      <c r="N780" s="884"/>
      <c r="O780" s="884"/>
      <c r="P780" s="884"/>
      <c r="Q780" s="884"/>
      <c r="R780" s="884"/>
    </row>
    <row r="781" spans="2:18">
      <c r="B781" s="884"/>
      <c r="C781" s="884"/>
      <c r="D781" s="884"/>
      <c r="E781" s="884"/>
      <c r="F781" s="884"/>
      <c r="G781" s="884"/>
      <c r="H781" s="884"/>
      <c r="I781" s="884"/>
      <c r="J781" s="884"/>
      <c r="K781" s="884"/>
      <c r="L781" s="884"/>
      <c r="M781" s="884"/>
      <c r="N781" s="884"/>
      <c r="O781" s="884"/>
      <c r="P781" s="884"/>
      <c r="Q781" s="884"/>
      <c r="R781" s="884"/>
    </row>
    <row r="782" spans="2:18">
      <c r="B782" s="884"/>
      <c r="C782" s="884"/>
      <c r="D782" s="884"/>
      <c r="E782" s="884"/>
      <c r="F782" s="884"/>
      <c r="G782" s="884"/>
      <c r="H782" s="884"/>
      <c r="I782" s="884"/>
      <c r="J782" s="884"/>
      <c r="K782" s="884"/>
      <c r="L782" s="884"/>
      <c r="M782" s="884"/>
      <c r="N782" s="884"/>
      <c r="O782" s="884"/>
      <c r="P782" s="884"/>
      <c r="Q782" s="884"/>
      <c r="R782" s="884"/>
    </row>
    <row r="783" spans="2:18">
      <c r="B783" s="884"/>
      <c r="C783" s="884"/>
      <c r="D783" s="884"/>
      <c r="E783" s="884"/>
      <c r="F783" s="884"/>
      <c r="G783" s="884"/>
      <c r="H783" s="884"/>
      <c r="I783" s="884"/>
      <c r="J783" s="884"/>
      <c r="K783" s="884"/>
      <c r="L783" s="884"/>
      <c r="M783" s="884"/>
      <c r="N783" s="884"/>
      <c r="O783" s="884"/>
      <c r="P783" s="884"/>
      <c r="Q783" s="884"/>
      <c r="R783" s="884"/>
    </row>
    <row r="784" spans="2:18">
      <c r="B784" s="884"/>
      <c r="C784" s="884"/>
      <c r="D784" s="884"/>
      <c r="E784" s="884"/>
      <c r="F784" s="884"/>
      <c r="G784" s="884"/>
      <c r="H784" s="884"/>
      <c r="I784" s="884"/>
      <c r="J784" s="884"/>
      <c r="K784" s="884"/>
      <c r="L784" s="884"/>
      <c r="M784" s="884"/>
      <c r="N784" s="884"/>
      <c r="O784" s="884"/>
      <c r="P784" s="884"/>
      <c r="Q784" s="884"/>
      <c r="R784" s="884"/>
    </row>
    <row r="785" spans="2:18">
      <c r="B785" s="884"/>
      <c r="C785" s="884"/>
      <c r="D785" s="884"/>
      <c r="E785" s="884"/>
      <c r="F785" s="884"/>
      <c r="G785" s="884"/>
      <c r="H785" s="884"/>
      <c r="I785" s="884"/>
      <c r="J785" s="884"/>
      <c r="K785" s="884"/>
      <c r="L785" s="884"/>
      <c r="M785" s="884"/>
      <c r="N785" s="884"/>
      <c r="O785" s="884"/>
      <c r="P785" s="884"/>
      <c r="Q785" s="884"/>
      <c r="R785" s="884"/>
    </row>
    <row r="786" spans="2:18">
      <c r="B786" s="884"/>
      <c r="C786" s="884"/>
      <c r="D786" s="884"/>
      <c r="E786" s="884"/>
      <c r="F786" s="884"/>
      <c r="G786" s="884"/>
      <c r="H786" s="884"/>
      <c r="I786" s="884"/>
      <c r="J786" s="884"/>
      <c r="K786" s="884"/>
      <c r="L786" s="884"/>
      <c r="M786" s="884"/>
      <c r="N786" s="884"/>
      <c r="O786" s="884"/>
      <c r="P786" s="884"/>
      <c r="Q786" s="884"/>
      <c r="R786" s="884"/>
    </row>
    <row r="787" spans="2:18">
      <c r="B787" s="884"/>
      <c r="C787" s="884"/>
      <c r="D787" s="884"/>
      <c r="E787" s="884"/>
      <c r="F787" s="884"/>
      <c r="G787" s="884"/>
      <c r="H787" s="884"/>
      <c r="I787" s="884"/>
      <c r="J787" s="884"/>
      <c r="K787" s="884"/>
      <c r="L787" s="884"/>
      <c r="M787" s="884"/>
      <c r="N787" s="884"/>
      <c r="O787" s="884"/>
      <c r="P787" s="884"/>
      <c r="Q787" s="884"/>
      <c r="R787" s="884"/>
    </row>
    <row r="788" spans="2:18">
      <c r="B788" s="884"/>
      <c r="C788" s="884"/>
      <c r="D788" s="884"/>
      <c r="E788" s="884"/>
      <c r="F788" s="884"/>
      <c r="G788" s="884"/>
      <c r="H788" s="884"/>
      <c r="I788" s="884"/>
      <c r="J788" s="884"/>
      <c r="K788" s="884"/>
      <c r="L788" s="884"/>
      <c r="M788" s="884"/>
      <c r="N788" s="884"/>
      <c r="O788" s="884"/>
      <c r="P788" s="884"/>
      <c r="Q788" s="884"/>
      <c r="R788" s="884"/>
    </row>
    <row r="789" spans="2:18">
      <c r="B789" s="884"/>
      <c r="C789" s="884"/>
      <c r="D789" s="884"/>
      <c r="E789" s="884"/>
      <c r="F789" s="884"/>
      <c r="G789" s="884"/>
      <c r="H789" s="884"/>
      <c r="I789" s="884"/>
      <c r="J789" s="884"/>
      <c r="K789" s="884"/>
      <c r="L789" s="884"/>
      <c r="M789" s="884"/>
      <c r="N789" s="884"/>
      <c r="O789" s="884"/>
      <c r="P789" s="884"/>
      <c r="Q789" s="884"/>
      <c r="R789" s="884"/>
    </row>
    <row r="790" spans="2:18">
      <c r="B790" s="884"/>
      <c r="C790" s="884"/>
      <c r="D790" s="884"/>
      <c r="E790" s="884"/>
      <c r="F790" s="884"/>
      <c r="G790" s="884"/>
      <c r="H790" s="884"/>
      <c r="I790" s="884"/>
      <c r="J790" s="884"/>
      <c r="K790" s="884"/>
      <c r="L790" s="884"/>
      <c r="M790" s="884"/>
      <c r="N790" s="884"/>
      <c r="O790" s="884"/>
      <c r="P790" s="884"/>
      <c r="Q790" s="884"/>
      <c r="R790" s="884"/>
    </row>
    <row r="791" spans="2:18">
      <c r="B791" s="884"/>
      <c r="C791" s="884"/>
      <c r="D791" s="884"/>
      <c r="E791" s="884"/>
      <c r="F791" s="884"/>
      <c r="G791" s="884"/>
      <c r="H791" s="884"/>
      <c r="I791" s="884"/>
      <c r="J791" s="884"/>
      <c r="K791" s="884"/>
      <c r="L791" s="884"/>
      <c r="M791" s="884"/>
      <c r="N791" s="884"/>
      <c r="O791" s="884"/>
      <c r="P791" s="884"/>
      <c r="Q791" s="884"/>
      <c r="R791" s="884"/>
    </row>
    <row r="792" spans="2:18">
      <c r="B792" s="884"/>
      <c r="C792" s="884"/>
      <c r="D792" s="884"/>
      <c r="E792" s="884"/>
      <c r="F792" s="884"/>
      <c r="G792" s="884"/>
      <c r="H792" s="884"/>
      <c r="I792" s="884"/>
      <c r="J792" s="884"/>
      <c r="K792" s="884"/>
      <c r="L792" s="884"/>
      <c r="M792" s="884"/>
      <c r="N792" s="884"/>
      <c r="O792" s="884"/>
      <c r="P792" s="884"/>
      <c r="Q792" s="884"/>
      <c r="R792" s="884"/>
    </row>
    <row r="793" spans="2:18">
      <c r="B793" s="884"/>
      <c r="C793" s="884"/>
      <c r="D793" s="884"/>
      <c r="E793" s="884"/>
      <c r="F793" s="884"/>
      <c r="G793" s="884"/>
      <c r="H793" s="884"/>
      <c r="I793" s="884"/>
      <c r="J793" s="884"/>
      <c r="K793" s="884"/>
      <c r="L793" s="884"/>
      <c r="M793" s="884"/>
      <c r="N793" s="884"/>
      <c r="O793" s="884"/>
      <c r="P793" s="884"/>
      <c r="Q793" s="884"/>
      <c r="R793" s="884"/>
    </row>
    <row r="794" spans="2:18">
      <c r="B794" s="884"/>
      <c r="C794" s="884"/>
      <c r="D794" s="884"/>
      <c r="E794" s="884"/>
      <c r="F794" s="884"/>
      <c r="G794" s="884"/>
      <c r="H794" s="884"/>
      <c r="I794" s="884"/>
      <c r="J794" s="884"/>
      <c r="K794" s="884"/>
      <c r="L794" s="884"/>
      <c r="M794" s="884"/>
      <c r="N794" s="884"/>
      <c r="O794" s="884"/>
      <c r="P794" s="884"/>
      <c r="Q794" s="884"/>
      <c r="R794" s="884"/>
    </row>
    <row r="795" spans="2:18">
      <c r="B795" s="884"/>
      <c r="C795" s="884"/>
      <c r="D795" s="884"/>
      <c r="E795" s="884"/>
      <c r="F795" s="884"/>
      <c r="G795" s="884"/>
      <c r="H795" s="884"/>
      <c r="I795" s="884"/>
      <c r="J795" s="884"/>
      <c r="K795" s="884"/>
      <c r="L795" s="884"/>
      <c r="M795" s="884"/>
      <c r="N795" s="884"/>
      <c r="O795" s="884"/>
      <c r="P795" s="884"/>
      <c r="Q795" s="884"/>
      <c r="R795" s="884"/>
    </row>
    <row r="796" spans="2:18">
      <c r="B796" s="884"/>
      <c r="C796" s="884"/>
      <c r="D796" s="884"/>
      <c r="E796" s="884"/>
      <c r="F796" s="884"/>
      <c r="G796" s="884"/>
      <c r="H796" s="884"/>
      <c r="I796" s="884"/>
      <c r="J796" s="884"/>
      <c r="K796" s="884"/>
      <c r="L796" s="884"/>
      <c r="M796" s="884"/>
      <c r="N796" s="884"/>
      <c r="O796" s="884"/>
      <c r="P796" s="884"/>
      <c r="Q796" s="884"/>
      <c r="R796" s="884"/>
    </row>
    <row r="797" spans="2:18">
      <c r="B797" s="884"/>
      <c r="C797" s="884"/>
      <c r="D797" s="884"/>
      <c r="E797" s="884"/>
      <c r="F797" s="884"/>
      <c r="G797" s="884"/>
      <c r="H797" s="884"/>
      <c r="I797" s="884"/>
      <c r="J797" s="884"/>
      <c r="K797" s="884"/>
      <c r="L797" s="884"/>
      <c r="M797" s="884"/>
      <c r="N797" s="884"/>
      <c r="O797" s="884"/>
      <c r="P797" s="884"/>
      <c r="Q797" s="884"/>
      <c r="R797" s="884"/>
    </row>
    <row r="798" spans="2:18">
      <c r="B798" s="884"/>
      <c r="C798" s="884"/>
      <c r="D798" s="884"/>
      <c r="E798" s="884"/>
      <c r="F798" s="884"/>
      <c r="G798" s="884"/>
      <c r="H798" s="884"/>
      <c r="I798" s="884"/>
      <c r="J798" s="884"/>
      <c r="K798" s="884"/>
      <c r="L798" s="884"/>
      <c r="M798" s="884"/>
      <c r="N798" s="884"/>
      <c r="O798" s="884"/>
      <c r="P798" s="884"/>
      <c r="Q798" s="884"/>
      <c r="R798" s="884"/>
    </row>
    <row r="799" spans="2:18">
      <c r="B799" s="884"/>
      <c r="C799" s="884"/>
      <c r="D799" s="884"/>
      <c r="E799" s="884"/>
      <c r="F799" s="884"/>
      <c r="G799" s="884"/>
      <c r="H799" s="884"/>
      <c r="I799" s="884"/>
      <c r="J799" s="884"/>
      <c r="K799" s="884"/>
      <c r="L799" s="884"/>
      <c r="M799" s="884"/>
      <c r="N799" s="884"/>
      <c r="O799" s="884"/>
      <c r="P799" s="884"/>
      <c r="Q799" s="884"/>
      <c r="R799" s="884"/>
    </row>
    <row r="800" spans="2:18">
      <c r="B800" s="884"/>
      <c r="C800" s="884"/>
      <c r="D800" s="884"/>
      <c r="E800" s="884"/>
      <c r="F800" s="884"/>
      <c r="G800" s="884"/>
      <c r="H800" s="884"/>
      <c r="I800" s="884"/>
      <c r="J800" s="884"/>
      <c r="K800" s="884"/>
      <c r="L800" s="884"/>
      <c r="M800" s="884"/>
      <c r="N800" s="884"/>
      <c r="O800" s="884"/>
      <c r="P800" s="884"/>
      <c r="Q800" s="884"/>
      <c r="R800" s="884"/>
    </row>
    <row r="801" spans="2:18">
      <c r="B801" s="884"/>
      <c r="C801" s="884"/>
      <c r="D801" s="884"/>
      <c r="E801" s="884"/>
      <c r="F801" s="884"/>
      <c r="G801" s="884"/>
      <c r="H801" s="884"/>
      <c r="I801" s="884"/>
      <c r="J801" s="884"/>
      <c r="K801" s="884"/>
      <c r="L801" s="884"/>
      <c r="M801" s="884"/>
      <c r="N801" s="884"/>
      <c r="O801" s="884"/>
      <c r="P801" s="884"/>
      <c r="Q801" s="884"/>
      <c r="R801" s="884"/>
    </row>
    <row r="802" spans="2:18">
      <c r="B802" s="884"/>
      <c r="C802" s="884"/>
      <c r="D802" s="884"/>
      <c r="E802" s="884"/>
      <c r="F802" s="884"/>
      <c r="G802" s="884"/>
      <c r="H802" s="884"/>
      <c r="I802" s="884"/>
      <c r="J802" s="884"/>
      <c r="K802" s="884"/>
      <c r="L802" s="884"/>
      <c r="M802" s="884"/>
      <c r="N802" s="884"/>
      <c r="O802" s="884"/>
      <c r="P802" s="884"/>
      <c r="Q802" s="884"/>
      <c r="R802" s="884"/>
    </row>
    <row r="803" spans="2:18">
      <c r="B803" s="884"/>
      <c r="C803" s="884"/>
      <c r="D803" s="884"/>
      <c r="E803" s="884"/>
      <c r="F803" s="884"/>
      <c r="G803" s="884"/>
      <c r="H803" s="884"/>
      <c r="I803" s="884"/>
      <c r="J803" s="884"/>
      <c r="K803" s="884"/>
      <c r="L803" s="884"/>
      <c r="M803" s="884"/>
      <c r="N803" s="884"/>
      <c r="O803" s="884"/>
      <c r="P803" s="884"/>
      <c r="Q803" s="884"/>
      <c r="R803" s="884"/>
    </row>
    <row r="804" spans="2:18">
      <c r="B804" s="884"/>
      <c r="C804" s="884"/>
      <c r="D804" s="884"/>
      <c r="E804" s="884"/>
      <c r="F804" s="884"/>
      <c r="G804" s="884"/>
      <c r="H804" s="884"/>
      <c r="I804" s="884"/>
      <c r="J804" s="884"/>
      <c r="K804" s="884"/>
      <c r="L804" s="884"/>
      <c r="M804" s="884"/>
      <c r="N804" s="884"/>
      <c r="O804" s="884"/>
      <c r="P804" s="884"/>
      <c r="Q804" s="884"/>
      <c r="R804" s="884"/>
    </row>
    <row r="805" spans="2:18">
      <c r="B805" s="884"/>
      <c r="C805" s="884"/>
      <c r="D805" s="884"/>
      <c r="E805" s="884"/>
      <c r="F805" s="884"/>
      <c r="G805" s="884"/>
      <c r="H805" s="884"/>
      <c r="I805" s="884"/>
      <c r="J805" s="884"/>
      <c r="K805" s="884"/>
      <c r="L805" s="884"/>
      <c r="M805" s="884"/>
      <c r="N805" s="884"/>
      <c r="O805" s="884"/>
      <c r="P805" s="884"/>
      <c r="Q805" s="884"/>
      <c r="R805" s="884"/>
    </row>
    <row r="806" spans="2:18">
      <c r="B806" s="884"/>
      <c r="C806" s="884"/>
      <c r="D806" s="884"/>
      <c r="E806" s="884"/>
      <c r="F806" s="884"/>
      <c r="G806" s="884"/>
      <c r="H806" s="884"/>
      <c r="I806" s="884"/>
      <c r="J806" s="884"/>
      <c r="K806" s="884"/>
      <c r="L806" s="884"/>
      <c r="M806" s="884"/>
      <c r="N806" s="884"/>
      <c r="O806" s="884"/>
      <c r="P806" s="884"/>
      <c r="Q806" s="884"/>
      <c r="R806" s="884"/>
    </row>
    <row r="807" spans="2:18">
      <c r="B807" s="884"/>
      <c r="C807" s="884"/>
      <c r="D807" s="884"/>
      <c r="E807" s="884"/>
      <c r="F807" s="884"/>
      <c r="G807" s="884"/>
      <c r="H807" s="884"/>
      <c r="I807" s="884"/>
      <c r="J807" s="884"/>
      <c r="K807" s="884"/>
      <c r="L807" s="884"/>
      <c r="M807" s="884"/>
      <c r="N807" s="884"/>
      <c r="O807" s="884"/>
      <c r="P807" s="884"/>
      <c r="Q807" s="884"/>
      <c r="R807" s="884"/>
    </row>
    <row r="808" spans="2:18">
      <c r="B808" s="884"/>
      <c r="C808" s="884"/>
      <c r="D808" s="884"/>
      <c r="E808" s="884"/>
      <c r="F808" s="884"/>
      <c r="G808" s="884"/>
      <c r="H808" s="884"/>
      <c r="I808" s="884"/>
      <c r="J808" s="884"/>
      <c r="K808" s="884"/>
      <c r="L808" s="884"/>
      <c r="M808" s="884"/>
      <c r="N808" s="884"/>
      <c r="O808" s="884"/>
      <c r="P808" s="884"/>
      <c r="Q808" s="884"/>
      <c r="R808" s="884"/>
    </row>
    <row r="809" spans="2:18">
      <c r="B809" s="884"/>
      <c r="C809" s="884"/>
      <c r="D809" s="884"/>
      <c r="E809" s="884"/>
      <c r="F809" s="884"/>
      <c r="G809" s="884"/>
      <c r="H809" s="884"/>
      <c r="I809" s="884"/>
      <c r="J809" s="884"/>
      <c r="K809" s="884"/>
      <c r="L809" s="884"/>
      <c r="M809" s="884"/>
      <c r="N809" s="884"/>
      <c r="O809" s="884"/>
      <c r="P809" s="884"/>
      <c r="Q809" s="884"/>
      <c r="R809" s="884"/>
    </row>
    <row r="810" spans="2:18">
      <c r="B810" s="884"/>
      <c r="C810" s="884"/>
      <c r="D810" s="884"/>
      <c r="E810" s="884"/>
      <c r="F810" s="884"/>
      <c r="G810" s="884"/>
      <c r="H810" s="884"/>
      <c r="I810" s="884"/>
      <c r="J810" s="884"/>
      <c r="K810" s="884"/>
      <c r="L810" s="884"/>
      <c r="M810" s="884"/>
      <c r="N810" s="884"/>
      <c r="O810" s="884"/>
      <c r="P810" s="884"/>
      <c r="Q810" s="884"/>
      <c r="R810" s="884"/>
    </row>
    <row r="811" spans="2:18">
      <c r="B811" s="884"/>
      <c r="C811" s="884"/>
      <c r="D811" s="884"/>
      <c r="E811" s="884"/>
      <c r="F811" s="884"/>
      <c r="G811" s="884"/>
      <c r="H811" s="884"/>
      <c r="I811" s="884"/>
      <c r="J811" s="884"/>
      <c r="K811" s="884"/>
      <c r="L811" s="884"/>
      <c r="M811" s="884"/>
      <c r="N811" s="884"/>
      <c r="O811" s="884"/>
      <c r="P811" s="884"/>
      <c r="Q811" s="884"/>
      <c r="R811" s="884"/>
    </row>
    <row r="812" spans="2:18">
      <c r="B812" s="884"/>
      <c r="C812" s="884"/>
      <c r="D812" s="884"/>
      <c r="E812" s="884"/>
      <c r="F812" s="884"/>
      <c r="G812" s="884"/>
      <c r="H812" s="884"/>
      <c r="I812" s="884"/>
      <c r="J812" s="884"/>
      <c r="K812" s="884"/>
      <c r="L812" s="884"/>
      <c r="M812" s="884"/>
      <c r="N812" s="884"/>
      <c r="O812" s="884"/>
      <c r="P812" s="884"/>
      <c r="Q812" s="884"/>
      <c r="R812" s="884"/>
    </row>
    <row r="813" spans="2:18">
      <c r="B813" s="884"/>
      <c r="C813" s="884"/>
      <c r="D813" s="884"/>
      <c r="E813" s="884"/>
      <c r="F813" s="884"/>
      <c r="G813" s="884"/>
      <c r="H813" s="884"/>
      <c r="I813" s="884"/>
      <c r="J813" s="884"/>
      <c r="K813" s="884"/>
      <c r="L813" s="884"/>
      <c r="M813" s="884"/>
      <c r="N813" s="884"/>
      <c r="O813" s="884"/>
      <c r="P813" s="884"/>
      <c r="Q813" s="884"/>
      <c r="R813" s="884"/>
    </row>
    <row r="814" spans="2:18">
      <c r="B814" s="884"/>
      <c r="C814" s="884"/>
      <c r="D814" s="884"/>
      <c r="E814" s="884"/>
      <c r="F814" s="884"/>
      <c r="G814" s="884"/>
      <c r="H814" s="884"/>
      <c r="I814" s="884"/>
      <c r="J814" s="884"/>
      <c r="K814" s="884"/>
      <c r="L814" s="884"/>
      <c r="M814" s="884"/>
      <c r="N814" s="884"/>
      <c r="O814" s="884"/>
      <c r="P814" s="884"/>
      <c r="Q814" s="884"/>
      <c r="R814" s="884"/>
    </row>
    <row r="815" spans="2:18">
      <c r="B815" s="884"/>
      <c r="C815" s="884"/>
      <c r="D815" s="884"/>
      <c r="E815" s="884"/>
      <c r="F815" s="884"/>
      <c r="G815" s="884"/>
      <c r="H815" s="884"/>
      <c r="I815" s="884"/>
      <c r="J815" s="884"/>
      <c r="K815" s="884"/>
      <c r="L815" s="884"/>
      <c r="M815" s="884"/>
      <c r="N815" s="884"/>
      <c r="O815" s="884"/>
      <c r="P815" s="884"/>
      <c r="Q815" s="884"/>
      <c r="R815" s="884"/>
    </row>
    <row r="816" spans="2:18">
      <c r="B816" s="884"/>
      <c r="C816" s="884"/>
      <c r="D816" s="884"/>
      <c r="E816" s="884"/>
      <c r="F816" s="884"/>
      <c r="G816" s="884"/>
      <c r="H816" s="884"/>
      <c r="I816" s="884"/>
      <c r="J816" s="884"/>
      <c r="K816" s="884"/>
      <c r="L816" s="884"/>
      <c r="M816" s="884"/>
      <c r="N816" s="884"/>
      <c r="O816" s="884"/>
      <c r="P816" s="884"/>
      <c r="Q816" s="884"/>
      <c r="R816" s="884"/>
    </row>
    <row r="817" spans="2:18">
      <c r="B817" s="884"/>
      <c r="C817" s="884"/>
      <c r="D817" s="884"/>
      <c r="E817" s="884"/>
      <c r="F817" s="884"/>
      <c r="G817" s="884"/>
      <c r="H817" s="884"/>
      <c r="I817" s="884"/>
      <c r="J817" s="884"/>
      <c r="K817" s="884"/>
      <c r="L817" s="884"/>
      <c r="M817" s="884"/>
      <c r="N817" s="884"/>
      <c r="O817" s="884"/>
      <c r="P817" s="884"/>
      <c r="Q817" s="884"/>
      <c r="R817" s="884"/>
    </row>
    <row r="818" spans="2:18">
      <c r="B818" s="884"/>
      <c r="C818" s="884"/>
      <c r="D818" s="884"/>
      <c r="E818" s="884"/>
      <c r="F818" s="884"/>
      <c r="G818" s="884"/>
      <c r="H818" s="884"/>
      <c r="I818" s="884"/>
      <c r="J818" s="884"/>
      <c r="K818" s="884"/>
      <c r="L818" s="884"/>
      <c r="M818" s="884"/>
      <c r="N818" s="884"/>
      <c r="O818" s="884"/>
      <c r="P818" s="884"/>
      <c r="Q818" s="884"/>
      <c r="R818" s="884"/>
    </row>
    <row r="819" spans="2:18">
      <c r="B819" s="884"/>
      <c r="C819" s="884"/>
      <c r="D819" s="884"/>
      <c r="E819" s="884"/>
      <c r="F819" s="884"/>
      <c r="G819" s="884"/>
      <c r="H819" s="884"/>
      <c r="I819" s="884"/>
      <c r="J819" s="884"/>
      <c r="K819" s="884"/>
      <c r="L819" s="884"/>
      <c r="M819" s="884"/>
      <c r="N819" s="884"/>
      <c r="O819" s="884"/>
      <c r="P819" s="884"/>
      <c r="Q819" s="884"/>
      <c r="R819" s="884"/>
    </row>
    <row r="820" spans="2:18">
      <c r="B820" s="884"/>
      <c r="C820" s="884"/>
      <c r="D820" s="884"/>
      <c r="E820" s="884"/>
      <c r="F820" s="884"/>
      <c r="G820" s="884"/>
      <c r="H820" s="884"/>
      <c r="I820" s="884"/>
      <c r="J820" s="884"/>
      <c r="K820" s="884"/>
      <c r="L820" s="884"/>
      <c r="M820" s="884"/>
      <c r="N820" s="884"/>
      <c r="O820" s="884"/>
      <c r="P820" s="884"/>
      <c r="Q820" s="884"/>
      <c r="R820" s="884"/>
    </row>
    <row r="821" spans="2:18">
      <c r="B821" s="884"/>
      <c r="C821" s="884"/>
      <c r="D821" s="884"/>
      <c r="E821" s="884"/>
      <c r="F821" s="884"/>
      <c r="G821" s="884"/>
      <c r="H821" s="884"/>
      <c r="I821" s="884"/>
      <c r="J821" s="884"/>
      <c r="K821" s="884"/>
      <c r="L821" s="884"/>
      <c r="M821" s="884"/>
      <c r="N821" s="884"/>
      <c r="O821" s="884"/>
      <c r="P821" s="884"/>
      <c r="Q821" s="884"/>
      <c r="R821" s="884"/>
    </row>
    <row r="822" spans="2:18">
      <c r="B822" s="884"/>
      <c r="C822" s="884"/>
      <c r="D822" s="884"/>
      <c r="E822" s="884"/>
      <c r="F822" s="884"/>
      <c r="G822" s="884"/>
      <c r="H822" s="884"/>
      <c r="I822" s="884"/>
      <c r="J822" s="884"/>
      <c r="K822" s="884"/>
      <c r="L822" s="884"/>
      <c r="M822" s="884"/>
      <c r="N822" s="884"/>
      <c r="O822" s="884"/>
      <c r="P822" s="884"/>
      <c r="Q822" s="884"/>
      <c r="R822" s="884"/>
    </row>
    <row r="823" spans="2:18">
      <c r="B823" s="884"/>
      <c r="C823" s="884"/>
      <c r="D823" s="884"/>
      <c r="E823" s="884"/>
      <c r="F823" s="884"/>
      <c r="G823" s="884"/>
      <c r="H823" s="884"/>
      <c r="I823" s="884"/>
      <c r="J823" s="884"/>
      <c r="K823" s="884"/>
      <c r="L823" s="884"/>
      <c r="M823" s="884"/>
      <c r="N823" s="884"/>
      <c r="O823" s="884"/>
      <c r="P823" s="884"/>
      <c r="Q823" s="884"/>
      <c r="R823" s="884"/>
    </row>
    <row r="824" spans="2:18">
      <c r="B824" s="884"/>
      <c r="C824" s="884"/>
      <c r="D824" s="884"/>
      <c r="E824" s="884"/>
      <c r="F824" s="884"/>
      <c r="G824" s="884"/>
      <c r="H824" s="884"/>
      <c r="I824" s="884"/>
      <c r="J824" s="884"/>
      <c r="K824" s="884"/>
      <c r="L824" s="884"/>
      <c r="M824" s="884"/>
      <c r="N824" s="884"/>
      <c r="O824" s="884"/>
      <c r="P824" s="884"/>
      <c r="Q824" s="884"/>
      <c r="R824" s="884"/>
    </row>
    <row r="825" spans="2:18">
      <c r="B825" s="884"/>
      <c r="C825" s="884"/>
      <c r="D825" s="884"/>
      <c r="E825" s="884"/>
      <c r="F825" s="884"/>
      <c r="G825" s="884"/>
      <c r="H825" s="884"/>
      <c r="I825" s="884"/>
      <c r="J825" s="884"/>
      <c r="K825" s="884"/>
      <c r="L825" s="884"/>
      <c r="M825" s="884"/>
      <c r="N825" s="884"/>
      <c r="O825" s="884"/>
      <c r="P825" s="884"/>
      <c r="Q825" s="884"/>
      <c r="R825" s="884"/>
    </row>
    <row r="826" spans="2:18">
      <c r="B826" s="884"/>
      <c r="C826" s="884"/>
      <c r="D826" s="884"/>
      <c r="E826" s="884"/>
      <c r="F826" s="884"/>
      <c r="G826" s="884"/>
      <c r="H826" s="884"/>
      <c r="I826" s="884"/>
      <c r="J826" s="884"/>
      <c r="K826" s="884"/>
      <c r="L826" s="884"/>
      <c r="M826" s="884"/>
      <c r="N826" s="884"/>
      <c r="O826" s="884"/>
      <c r="P826" s="884"/>
      <c r="Q826" s="884"/>
      <c r="R826" s="884"/>
    </row>
    <row r="827" spans="2:18">
      <c r="B827" s="884"/>
      <c r="C827" s="884"/>
      <c r="D827" s="884"/>
      <c r="E827" s="884"/>
      <c r="F827" s="884"/>
      <c r="G827" s="884"/>
      <c r="H827" s="884"/>
      <c r="I827" s="884"/>
      <c r="J827" s="884"/>
      <c r="K827" s="884"/>
      <c r="L827" s="884"/>
      <c r="M827" s="884"/>
      <c r="N827" s="884"/>
      <c r="O827" s="884"/>
      <c r="P827" s="884"/>
      <c r="Q827" s="884"/>
      <c r="R827" s="884"/>
    </row>
    <row r="828" spans="2:18">
      <c r="B828" s="884"/>
      <c r="C828" s="884"/>
      <c r="D828" s="884"/>
      <c r="E828" s="884"/>
      <c r="F828" s="884"/>
      <c r="G828" s="884"/>
      <c r="H828" s="884"/>
      <c r="I828" s="884"/>
      <c r="J828" s="884"/>
      <c r="K828" s="884"/>
      <c r="L828" s="884"/>
      <c r="M828" s="884"/>
      <c r="N828" s="884"/>
      <c r="O828" s="884"/>
      <c r="P828" s="884"/>
      <c r="Q828" s="884"/>
      <c r="R828" s="884"/>
    </row>
    <row r="829" spans="2:18">
      <c r="B829" s="884"/>
      <c r="C829" s="884"/>
      <c r="D829" s="884"/>
      <c r="E829" s="884"/>
      <c r="F829" s="884"/>
      <c r="G829" s="884"/>
      <c r="H829" s="884"/>
      <c r="I829" s="884"/>
      <c r="J829" s="884"/>
      <c r="K829" s="884"/>
      <c r="L829" s="884"/>
      <c r="M829" s="884"/>
      <c r="N829" s="884"/>
      <c r="O829" s="884"/>
      <c r="P829" s="884"/>
      <c r="Q829" s="884"/>
      <c r="R829" s="884"/>
    </row>
    <row r="830" spans="2:18">
      <c r="B830" s="884"/>
      <c r="C830" s="884"/>
      <c r="D830" s="884"/>
      <c r="E830" s="884"/>
      <c r="F830" s="884"/>
      <c r="G830" s="884"/>
      <c r="H830" s="884"/>
      <c r="I830" s="884"/>
      <c r="J830" s="884"/>
      <c r="K830" s="884"/>
      <c r="L830" s="884"/>
      <c r="M830" s="884"/>
      <c r="N830" s="884"/>
      <c r="O830" s="884"/>
      <c r="P830" s="884"/>
      <c r="Q830" s="884"/>
      <c r="R830" s="884"/>
    </row>
    <row r="831" spans="2:18">
      <c r="B831" s="884"/>
      <c r="C831" s="884"/>
      <c r="D831" s="884"/>
      <c r="E831" s="884"/>
      <c r="F831" s="884"/>
      <c r="G831" s="884"/>
      <c r="H831" s="884"/>
      <c r="I831" s="884"/>
      <c r="J831" s="884"/>
      <c r="K831" s="884"/>
      <c r="L831" s="884"/>
      <c r="M831" s="884"/>
      <c r="N831" s="884"/>
      <c r="O831" s="884"/>
      <c r="P831" s="884"/>
      <c r="Q831" s="884"/>
      <c r="R831" s="884"/>
    </row>
    <row r="832" spans="2:18">
      <c r="B832" s="884"/>
      <c r="C832" s="884"/>
      <c r="D832" s="884"/>
      <c r="E832" s="884"/>
      <c r="F832" s="884"/>
      <c r="G832" s="884"/>
      <c r="H832" s="884"/>
      <c r="I832" s="884"/>
      <c r="J832" s="884"/>
      <c r="K832" s="884"/>
      <c r="L832" s="884"/>
      <c r="M832" s="884"/>
      <c r="N832" s="884"/>
      <c r="O832" s="884"/>
      <c r="P832" s="884"/>
      <c r="Q832" s="884"/>
      <c r="R832" s="884"/>
    </row>
    <row r="833" spans="2:18">
      <c r="B833" s="884"/>
      <c r="C833" s="884"/>
      <c r="D833" s="884"/>
      <c r="E833" s="884"/>
      <c r="F833" s="884"/>
      <c r="G833" s="884"/>
      <c r="H833" s="884"/>
      <c r="I833" s="884"/>
      <c r="J833" s="884"/>
      <c r="K833" s="884"/>
      <c r="L833" s="884"/>
      <c r="M833" s="884"/>
      <c r="N833" s="884"/>
      <c r="O833" s="884"/>
      <c r="P833" s="884"/>
      <c r="Q833" s="884"/>
      <c r="R833" s="884"/>
    </row>
    <row r="834" spans="2:18">
      <c r="B834" s="884"/>
      <c r="C834" s="884"/>
      <c r="D834" s="884"/>
      <c r="E834" s="884"/>
      <c r="F834" s="884"/>
      <c r="G834" s="884"/>
      <c r="H834" s="884"/>
      <c r="I834" s="884"/>
      <c r="J834" s="884"/>
      <c r="K834" s="884"/>
      <c r="L834" s="884"/>
      <c r="M834" s="884"/>
      <c r="N834" s="884"/>
      <c r="O834" s="884"/>
      <c r="P834" s="884"/>
      <c r="Q834" s="884"/>
      <c r="R834" s="884"/>
    </row>
    <row r="835" spans="2:18">
      <c r="B835" s="884"/>
      <c r="C835" s="884"/>
      <c r="D835" s="884"/>
      <c r="E835" s="884"/>
      <c r="F835" s="884"/>
      <c r="G835" s="884"/>
      <c r="H835" s="884"/>
      <c r="I835" s="884"/>
      <c r="J835" s="884"/>
      <c r="K835" s="884"/>
      <c r="L835" s="884"/>
      <c r="M835" s="884"/>
      <c r="N835" s="884"/>
      <c r="O835" s="884"/>
      <c r="P835" s="884"/>
      <c r="Q835" s="884"/>
      <c r="R835" s="884"/>
    </row>
    <row r="836" spans="2:18">
      <c r="B836" s="884"/>
      <c r="C836" s="884"/>
      <c r="D836" s="884"/>
      <c r="E836" s="884"/>
      <c r="F836" s="884"/>
      <c r="G836" s="884"/>
      <c r="H836" s="884"/>
      <c r="I836" s="884"/>
      <c r="J836" s="884"/>
      <c r="K836" s="884"/>
      <c r="L836" s="884"/>
      <c r="M836" s="884"/>
      <c r="N836" s="884"/>
      <c r="O836" s="884"/>
      <c r="P836" s="884"/>
      <c r="Q836" s="884"/>
      <c r="R836" s="884"/>
    </row>
    <row r="837" spans="2:18">
      <c r="B837" s="884"/>
      <c r="C837" s="884"/>
      <c r="D837" s="884"/>
      <c r="E837" s="884"/>
      <c r="F837" s="884"/>
      <c r="G837" s="884"/>
      <c r="H837" s="884"/>
      <c r="I837" s="884"/>
      <c r="J837" s="884"/>
      <c r="K837" s="884"/>
      <c r="L837" s="884"/>
      <c r="M837" s="884"/>
      <c r="N837" s="884"/>
      <c r="O837" s="884"/>
      <c r="P837" s="884"/>
      <c r="Q837" s="884"/>
      <c r="R837" s="884"/>
    </row>
    <row r="838" spans="2:18">
      <c r="B838" s="884"/>
      <c r="C838" s="884"/>
      <c r="D838" s="884"/>
      <c r="E838" s="884"/>
      <c r="F838" s="884"/>
      <c r="G838" s="884"/>
      <c r="H838" s="884"/>
      <c r="I838" s="884"/>
      <c r="J838" s="884"/>
      <c r="K838" s="884"/>
      <c r="L838" s="884"/>
      <c r="M838" s="884"/>
      <c r="N838" s="884"/>
      <c r="O838" s="884"/>
      <c r="P838" s="884"/>
      <c r="Q838" s="884"/>
      <c r="R838" s="884"/>
    </row>
    <row r="839" spans="2:18">
      <c r="B839" s="884"/>
      <c r="C839" s="884"/>
      <c r="D839" s="884"/>
      <c r="E839" s="884"/>
      <c r="F839" s="884"/>
      <c r="G839" s="884"/>
      <c r="H839" s="884"/>
      <c r="I839" s="884"/>
      <c r="J839" s="884"/>
      <c r="K839" s="884"/>
      <c r="L839" s="884"/>
      <c r="M839" s="884"/>
      <c r="N839" s="884"/>
      <c r="O839" s="884"/>
      <c r="P839" s="884"/>
      <c r="Q839" s="884"/>
      <c r="R839" s="884"/>
    </row>
    <row r="840" spans="2:18">
      <c r="B840" s="884"/>
      <c r="C840" s="884"/>
      <c r="D840" s="884"/>
      <c r="E840" s="884"/>
      <c r="F840" s="884"/>
      <c r="G840" s="884"/>
      <c r="H840" s="884"/>
      <c r="I840" s="884"/>
      <c r="J840" s="884"/>
      <c r="K840" s="884"/>
      <c r="L840" s="884"/>
      <c r="M840" s="884"/>
      <c r="N840" s="884"/>
      <c r="O840" s="884"/>
      <c r="P840" s="884"/>
      <c r="Q840" s="884"/>
      <c r="R840" s="884"/>
    </row>
    <row r="841" spans="2:18">
      <c r="B841" s="884"/>
      <c r="C841" s="884"/>
      <c r="D841" s="884"/>
      <c r="E841" s="884"/>
      <c r="F841" s="884"/>
      <c r="G841" s="884"/>
      <c r="H841" s="884"/>
      <c r="I841" s="884"/>
      <c r="J841" s="884"/>
      <c r="K841" s="884"/>
      <c r="L841" s="884"/>
      <c r="M841" s="884"/>
      <c r="N841" s="884"/>
      <c r="O841" s="884"/>
      <c r="P841" s="884"/>
      <c r="Q841" s="884"/>
      <c r="R841" s="884"/>
    </row>
    <row r="842" spans="2:18">
      <c r="B842" s="884"/>
      <c r="C842" s="884"/>
      <c r="D842" s="884"/>
      <c r="E842" s="884"/>
      <c r="F842" s="884"/>
      <c r="G842" s="884"/>
      <c r="H842" s="884"/>
      <c r="I842" s="884"/>
      <c r="J842" s="884"/>
      <c r="K842" s="884"/>
      <c r="L842" s="884"/>
      <c r="M842" s="884"/>
      <c r="N842" s="884"/>
      <c r="O842" s="884"/>
      <c r="P842" s="884"/>
      <c r="Q842" s="884"/>
      <c r="R842" s="884"/>
    </row>
    <row r="843" spans="2:18">
      <c r="B843" s="884"/>
      <c r="C843" s="884"/>
      <c r="D843" s="884"/>
      <c r="E843" s="884"/>
      <c r="F843" s="884"/>
      <c r="G843" s="884"/>
      <c r="H843" s="884"/>
      <c r="I843" s="884"/>
      <c r="J843" s="884"/>
      <c r="K843" s="884"/>
      <c r="L843" s="884"/>
      <c r="M843" s="884"/>
      <c r="N843" s="884"/>
      <c r="O843" s="884"/>
      <c r="P843" s="884"/>
      <c r="Q843" s="884"/>
      <c r="R843" s="884"/>
    </row>
    <row r="844" spans="2:18">
      <c r="B844" s="884"/>
      <c r="C844" s="884"/>
      <c r="D844" s="884"/>
      <c r="E844" s="884"/>
      <c r="F844" s="884"/>
      <c r="G844" s="884"/>
      <c r="H844" s="884"/>
      <c r="I844" s="884"/>
      <c r="J844" s="884"/>
      <c r="K844" s="884"/>
      <c r="L844" s="884"/>
      <c r="M844" s="884"/>
      <c r="N844" s="884"/>
      <c r="O844" s="884"/>
      <c r="P844" s="884"/>
      <c r="Q844" s="884"/>
      <c r="R844" s="884"/>
    </row>
    <row r="845" spans="2:18">
      <c r="B845" s="884"/>
      <c r="C845" s="884"/>
      <c r="D845" s="884"/>
      <c r="E845" s="884"/>
      <c r="F845" s="884"/>
      <c r="G845" s="884"/>
      <c r="H845" s="884"/>
      <c r="I845" s="884"/>
      <c r="J845" s="884"/>
      <c r="K845" s="884"/>
      <c r="L845" s="884"/>
      <c r="M845" s="884"/>
      <c r="N845" s="884"/>
      <c r="O845" s="884"/>
      <c r="P845" s="884"/>
      <c r="Q845" s="884"/>
      <c r="R845" s="884"/>
    </row>
    <row r="846" spans="2:18">
      <c r="B846" s="884"/>
      <c r="C846" s="884"/>
      <c r="D846" s="884"/>
      <c r="E846" s="884"/>
      <c r="F846" s="884"/>
      <c r="G846" s="884"/>
      <c r="H846" s="884"/>
      <c r="I846" s="884"/>
      <c r="J846" s="884"/>
      <c r="K846" s="884"/>
      <c r="L846" s="884"/>
      <c r="M846" s="884"/>
      <c r="N846" s="884"/>
      <c r="O846" s="884"/>
      <c r="P846" s="884"/>
      <c r="Q846" s="884"/>
      <c r="R846" s="884"/>
    </row>
    <row r="847" spans="2:18">
      <c r="B847" s="884"/>
      <c r="C847" s="884"/>
      <c r="D847" s="884"/>
      <c r="E847" s="884"/>
      <c r="F847" s="884"/>
      <c r="G847" s="884"/>
      <c r="H847" s="884"/>
      <c r="I847" s="884"/>
      <c r="J847" s="884"/>
      <c r="K847" s="884"/>
      <c r="L847" s="884"/>
      <c r="M847" s="884"/>
      <c r="N847" s="884"/>
      <c r="O847" s="884"/>
      <c r="P847" s="884"/>
      <c r="Q847" s="884"/>
      <c r="R847" s="884"/>
    </row>
    <row r="848" spans="2:18">
      <c r="B848" s="884"/>
      <c r="C848" s="884"/>
      <c r="D848" s="884"/>
      <c r="E848" s="884"/>
      <c r="F848" s="884"/>
      <c r="G848" s="884"/>
      <c r="H848" s="884"/>
      <c r="I848" s="884"/>
      <c r="J848" s="884"/>
      <c r="K848" s="884"/>
      <c r="L848" s="884"/>
      <c r="M848" s="884"/>
      <c r="N848" s="884"/>
      <c r="O848" s="884"/>
      <c r="P848" s="884"/>
      <c r="Q848" s="884"/>
      <c r="R848" s="884"/>
    </row>
    <row r="849" spans="2:18">
      <c r="B849" s="884"/>
      <c r="C849" s="884"/>
      <c r="D849" s="884"/>
      <c r="E849" s="884"/>
      <c r="F849" s="884"/>
      <c r="G849" s="884"/>
      <c r="H849" s="884"/>
      <c r="I849" s="884"/>
      <c r="J849" s="884"/>
      <c r="K849" s="884"/>
      <c r="L849" s="884"/>
      <c r="M849" s="884"/>
      <c r="N849" s="884"/>
      <c r="O849" s="884"/>
      <c r="P849" s="884"/>
      <c r="Q849" s="884"/>
      <c r="R849" s="884"/>
    </row>
    <row r="850" spans="2:18">
      <c r="B850" s="884"/>
      <c r="C850" s="884"/>
      <c r="D850" s="884"/>
      <c r="E850" s="884"/>
      <c r="F850" s="884"/>
      <c r="G850" s="884"/>
      <c r="H850" s="884"/>
      <c r="I850" s="884"/>
      <c r="J850" s="884"/>
      <c r="K850" s="884"/>
      <c r="L850" s="884"/>
      <c r="M850" s="884"/>
      <c r="N850" s="884"/>
      <c r="O850" s="884"/>
      <c r="P850" s="884"/>
      <c r="Q850" s="884"/>
      <c r="R850" s="884"/>
    </row>
    <row r="851" spans="2:18">
      <c r="B851" s="884"/>
      <c r="C851" s="884"/>
      <c r="D851" s="884"/>
      <c r="E851" s="884"/>
      <c r="F851" s="884"/>
      <c r="G851" s="884"/>
      <c r="H851" s="884"/>
      <c r="I851" s="884"/>
      <c r="J851" s="884"/>
      <c r="K851" s="884"/>
      <c r="L851" s="884"/>
      <c r="M851" s="884"/>
      <c r="N851" s="884"/>
      <c r="O851" s="884"/>
      <c r="P851" s="884"/>
      <c r="Q851" s="884"/>
      <c r="R851" s="884"/>
    </row>
    <row r="852" spans="2:18">
      <c r="B852" s="884"/>
      <c r="C852" s="884"/>
      <c r="D852" s="884"/>
      <c r="E852" s="884"/>
      <c r="F852" s="884"/>
      <c r="G852" s="884"/>
      <c r="H852" s="884"/>
      <c r="I852" s="884"/>
      <c r="J852" s="884"/>
      <c r="K852" s="884"/>
      <c r="L852" s="884"/>
      <c r="M852" s="884"/>
      <c r="N852" s="884"/>
      <c r="O852" s="884"/>
      <c r="P852" s="884"/>
      <c r="Q852" s="884"/>
      <c r="R852" s="884"/>
    </row>
    <row r="853" spans="2:18">
      <c r="B853" s="884"/>
      <c r="C853" s="884"/>
      <c r="D853" s="884"/>
      <c r="E853" s="884"/>
      <c r="F853" s="884"/>
      <c r="G853" s="884"/>
      <c r="H853" s="884"/>
      <c r="I853" s="884"/>
      <c r="J853" s="884"/>
      <c r="K853" s="884"/>
      <c r="L853" s="884"/>
      <c r="M853" s="884"/>
      <c r="N853" s="884"/>
      <c r="O853" s="884"/>
      <c r="P853" s="884"/>
      <c r="Q853" s="884"/>
      <c r="R853" s="884"/>
    </row>
    <row r="854" spans="2:18">
      <c r="B854" s="884"/>
      <c r="C854" s="884"/>
      <c r="D854" s="884"/>
      <c r="E854" s="884"/>
      <c r="F854" s="884"/>
      <c r="G854" s="884"/>
      <c r="H854" s="884"/>
      <c r="I854" s="884"/>
      <c r="J854" s="884"/>
      <c r="K854" s="884"/>
      <c r="L854" s="884"/>
      <c r="M854" s="884"/>
      <c r="N854" s="884"/>
      <c r="O854" s="884"/>
      <c r="P854" s="884"/>
      <c r="Q854" s="884"/>
      <c r="R854" s="884"/>
    </row>
    <row r="855" spans="2:18">
      <c r="B855" s="884"/>
      <c r="C855" s="884"/>
      <c r="D855" s="884"/>
      <c r="E855" s="884"/>
      <c r="F855" s="884"/>
      <c r="G855" s="884"/>
      <c r="H855" s="884"/>
      <c r="I855" s="884"/>
      <c r="J855" s="884"/>
      <c r="K855" s="884"/>
      <c r="L855" s="884"/>
      <c r="M855" s="884"/>
      <c r="N855" s="884"/>
      <c r="O855" s="884"/>
      <c r="P855" s="884"/>
      <c r="Q855" s="884"/>
      <c r="R855" s="884"/>
    </row>
    <row r="856" spans="2:18">
      <c r="B856" s="884"/>
      <c r="C856" s="884"/>
      <c r="D856" s="884"/>
      <c r="E856" s="884"/>
      <c r="F856" s="884"/>
      <c r="G856" s="884"/>
      <c r="H856" s="884"/>
      <c r="I856" s="884"/>
      <c r="J856" s="884"/>
      <c r="K856" s="884"/>
      <c r="L856" s="884"/>
      <c r="M856" s="884"/>
      <c r="N856" s="884"/>
      <c r="O856" s="884"/>
      <c r="P856" s="884"/>
      <c r="Q856" s="884"/>
      <c r="R856" s="884"/>
    </row>
    <row r="857" spans="2:18">
      <c r="B857" s="884"/>
      <c r="C857" s="884"/>
      <c r="D857" s="884"/>
      <c r="E857" s="884"/>
      <c r="F857" s="884"/>
      <c r="G857" s="884"/>
      <c r="H857" s="884"/>
      <c r="I857" s="884"/>
      <c r="J857" s="884"/>
      <c r="K857" s="884"/>
      <c r="L857" s="884"/>
      <c r="M857" s="884"/>
      <c r="N857" s="884"/>
      <c r="O857" s="884"/>
      <c r="P857" s="884"/>
      <c r="Q857" s="884"/>
      <c r="R857" s="884"/>
    </row>
    <row r="858" spans="2:18">
      <c r="B858" s="884"/>
      <c r="C858" s="884"/>
      <c r="D858" s="884"/>
      <c r="E858" s="884"/>
      <c r="F858" s="884"/>
      <c r="G858" s="884"/>
      <c r="H858" s="884"/>
      <c r="I858" s="884"/>
      <c r="J858" s="884"/>
      <c r="K858" s="884"/>
      <c r="L858" s="884"/>
      <c r="M858" s="884"/>
      <c r="N858" s="884"/>
      <c r="O858" s="884"/>
      <c r="P858" s="884"/>
      <c r="Q858" s="884"/>
      <c r="R858" s="884"/>
    </row>
    <row r="859" spans="2:18">
      <c r="B859" s="884"/>
      <c r="C859" s="884"/>
      <c r="D859" s="884"/>
      <c r="E859" s="884"/>
      <c r="F859" s="884"/>
      <c r="G859" s="884"/>
      <c r="H859" s="884"/>
      <c r="I859" s="884"/>
      <c r="J859" s="884"/>
      <c r="K859" s="884"/>
      <c r="L859" s="884"/>
      <c r="M859" s="884"/>
      <c r="N859" s="884"/>
      <c r="O859" s="884"/>
      <c r="P859" s="884"/>
      <c r="Q859" s="884"/>
      <c r="R859" s="884"/>
    </row>
    <row r="860" spans="2:18">
      <c r="B860" s="884"/>
      <c r="C860" s="884"/>
      <c r="D860" s="884"/>
      <c r="E860" s="884"/>
      <c r="F860" s="884"/>
      <c r="G860" s="884"/>
      <c r="H860" s="884"/>
      <c r="I860" s="884"/>
      <c r="J860" s="884"/>
      <c r="K860" s="884"/>
      <c r="L860" s="884"/>
      <c r="M860" s="884"/>
      <c r="N860" s="884"/>
      <c r="O860" s="884"/>
      <c r="P860" s="884"/>
      <c r="Q860" s="884"/>
      <c r="R860" s="884"/>
    </row>
    <row r="861" spans="2:18">
      <c r="B861" s="884"/>
      <c r="C861" s="884"/>
      <c r="D861" s="884"/>
      <c r="E861" s="884"/>
      <c r="F861" s="884"/>
      <c r="G861" s="884"/>
      <c r="H861" s="884"/>
      <c r="I861" s="884"/>
      <c r="J861" s="884"/>
      <c r="K861" s="884"/>
      <c r="L861" s="884"/>
      <c r="M861" s="884"/>
      <c r="N861" s="884"/>
      <c r="O861" s="884"/>
      <c r="P861" s="884"/>
      <c r="Q861" s="884"/>
      <c r="R861" s="884"/>
    </row>
    <row r="862" spans="2:18">
      <c r="B862" s="884"/>
      <c r="C862" s="884"/>
      <c r="D862" s="884"/>
      <c r="E862" s="884"/>
      <c r="F862" s="884"/>
      <c r="G862" s="884"/>
      <c r="H862" s="884"/>
      <c r="I862" s="884"/>
      <c r="J862" s="884"/>
      <c r="K862" s="884"/>
      <c r="L862" s="884"/>
      <c r="M862" s="884"/>
      <c r="N862" s="884"/>
      <c r="O862" s="884"/>
      <c r="P862" s="884"/>
      <c r="Q862" s="884"/>
      <c r="R862" s="884"/>
    </row>
    <row r="863" spans="2:18">
      <c r="B863" s="884"/>
      <c r="C863" s="884"/>
      <c r="D863" s="884"/>
      <c r="E863" s="884"/>
      <c r="F863" s="884"/>
      <c r="G863" s="884"/>
      <c r="H863" s="884"/>
      <c r="I863" s="884"/>
      <c r="J863" s="884"/>
      <c r="K863" s="884"/>
      <c r="L863" s="884"/>
      <c r="M863" s="884"/>
      <c r="N863" s="884"/>
      <c r="O863" s="884"/>
      <c r="P863" s="884"/>
      <c r="Q863" s="884"/>
      <c r="R863" s="884"/>
    </row>
    <row r="864" spans="2:18">
      <c r="B864" s="884"/>
      <c r="C864" s="884"/>
      <c r="D864" s="884"/>
      <c r="E864" s="884"/>
      <c r="F864" s="884"/>
      <c r="G864" s="884"/>
      <c r="H864" s="884"/>
      <c r="I864" s="884"/>
      <c r="J864" s="884"/>
      <c r="K864" s="884"/>
      <c r="L864" s="884"/>
      <c r="M864" s="884"/>
      <c r="N864" s="884"/>
      <c r="O864" s="884"/>
      <c r="P864" s="884"/>
      <c r="Q864" s="884"/>
      <c r="R864" s="884"/>
    </row>
    <row r="865" spans="2:18">
      <c r="B865" s="884"/>
      <c r="C865" s="884"/>
      <c r="D865" s="884"/>
      <c r="E865" s="884"/>
      <c r="F865" s="884"/>
      <c r="G865" s="884"/>
      <c r="H865" s="884"/>
      <c r="I865" s="884"/>
      <c r="J865" s="884"/>
      <c r="K865" s="884"/>
      <c r="L865" s="884"/>
      <c r="M865" s="884"/>
      <c r="N865" s="884"/>
      <c r="O865" s="884"/>
      <c r="P865" s="884"/>
      <c r="Q865" s="884"/>
      <c r="R865" s="884"/>
    </row>
    <row r="866" spans="2:18">
      <c r="B866" s="884"/>
      <c r="C866" s="884"/>
      <c r="D866" s="884"/>
      <c r="E866" s="884"/>
      <c r="F866" s="884"/>
      <c r="G866" s="884"/>
      <c r="H866" s="884"/>
      <c r="I866" s="884"/>
      <c r="J866" s="884"/>
      <c r="K866" s="884"/>
      <c r="L866" s="884"/>
      <c r="M866" s="884"/>
      <c r="N866" s="884"/>
      <c r="O866" s="884"/>
      <c r="P866" s="884"/>
      <c r="Q866" s="884"/>
      <c r="R866" s="884"/>
    </row>
    <row r="867" spans="2:18">
      <c r="B867" s="884"/>
      <c r="C867" s="884"/>
      <c r="D867" s="884"/>
      <c r="E867" s="884"/>
      <c r="F867" s="884"/>
      <c r="G867" s="884"/>
      <c r="H867" s="884"/>
      <c r="I867" s="884"/>
      <c r="J867" s="884"/>
      <c r="K867" s="884"/>
      <c r="L867" s="884"/>
      <c r="M867" s="884"/>
      <c r="N867" s="884"/>
      <c r="O867" s="884"/>
      <c r="P867" s="884"/>
      <c r="Q867" s="884"/>
      <c r="R867" s="884"/>
    </row>
    <row r="868" spans="2:18">
      <c r="B868" s="884"/>
      <c r="C868" s="884"/>
      <c r="D868" s="884"/>
      <c r="E868" s="884"/>
      <c r="F868" s="884"/>
      <c r="G868" s="884"/>
      <c r="H868" s="884"/>
      <c r="I868" s="884"/>
      <c r="J868" s="884"/>
      <c r="K868" s="884"/>
      <c r="L868" s="884"/>
      <c r="M868" s="884"/>
      <c r="N868" s="884"/>
      <c r="O868" s="884"/>
      <c r="P868" s="884"/>
      <c r="Q868" s="884"/>
      <c r="R868" s="884"/>
    </row>
    <row r="869" spans="2:18">
      <c r="B869" s="884"/>
      <c r="C869" s="884"/>
      <c r="D869" s="884"/>
      <c r="E869" s="884"/>
      <c r="F869" s="884"/>
      <c r="G869" s="884"/>
      <c r="H869" s="884"/>
      <c r="I869" s="884"/>
      <c r="J869" s="884"/>
      <c r="K869" s="884"/>
      <c r="L869" s="884"/>
      <c r="M869" s="884"/>
      <c r="N869" s="884"/>
      <c r="O869" s="884"/>
      <c r="P869" s="884"/>
      <c r="Q869" s="884"/>
      <c r="R869" s="884"/>
    </row>
    <row r="870" spans="2:18">
      <c r="B870" s="884"/>
      <c r="C870" s="884"/>
      <c r="D870" s="884"/>
      <c r="E870" s="884"/>
      <c r="F870" s="884"/>
      <c r="G870" s="884"/>
      <c r="H870" s="884"/>
      <c r="I870" s="884"/>
      <c r="J870" s="884"/>
      <c r="K870" s="884"/>
      <c r="L870" s="884"/>
      <c r="M870" s="884"/>
      <c r="N870" s="884"/>
      <c r="O870" s="884"/>
      <c r="P870" s="884"/>
      <c r="Q870" s="884"/>
      <c r="R870" s="884"/>
    </row>
    <row r="871" spans="2:18">
      <c r="B871" s="884"/>
      <c r="C871" s="884"/>
      <c r="D871" s="884"/>
      <c r="E871" s="884"/>
      <c r="F871" s="884"/>
      <c r="G871" s="884"/>
      <c r="H871" s="884"/>
      <c r="I871" s="884"/>
      <c r="J871" s="884"/>
      <c r="K871" s="884"/>
      <c r="L871" s="884"/>
      <c r="M871" s="884"/>
      <c r="N871" s="884"/>
      <c r="O871" s="884"/>
      <c r="P871" s="884"/>
      <c r="Q871" s="884"/>
      <c r="R871" s="884"/>
    </row>
    <row r="872" spans="2:18">
      <c r="B872" s="884"/>
      <c r="C872" s="884"/>
      <c r="D872" s="884"/>
      <c r="E872" s="884"/>
      <c r="F872" s="884"/>
      <c r="G872" s="884"/>
      <c r="H872" s="884"/>
      <c r="I872" s="884"/>
      <c r="J872" s="884"/>
      <c r="K872" s="884"/>
      <c r="L872" s="884"/>
      <c r="M872" s="884"/>
      <c r="N872" s="884"/>
      <c r="O872" s="884"/>
      <c r="P872" s="884"/>
      <c r="Q872" s="884"/>
      <c r="R872" s="884"/>
    </row>
    <row r="873" spans="2:18">
      <c r="B873" s="884"/>
      <c r="C873" s="884"/>
      <c r="D873" s="884"/>
      <c r="E873" s="884"/>
      <c r="F873" s="884"/>
      <c r="G873" s="884"/>
      <c r="H873" s="884"/>
      <c r="I873" s="884"/>
      <c r="J873" s="884"/>
      <c r="K873" s="884"/>
      <c r="L873" s="884"/>
      <c r="M873" s="884"/>
      <c r="N873" s="884"/>
      <c r="O873" s="884"/>
      <c r="P873" s="884"/>
      <c r="Q873" s="884"/>
      <c r="R873" s="884"/>
    </row>
    <row r="874" spans="2:18">
      <c r="B874" s="884"/>
      <c r="C874" s="884"/>
      <c r="D874" s="884"/>
      <c r="E874" s="884"/>
      <c r="F874" s="884"/>
      <c r="G874" s="884"/>
      <c r="H874" s="884"/>
      <c r="I874" s="884"/>
      <c r="J874" s="884"/>
      <c r="K874" s="884"/>
      <c r="L874" s="884"/>
      <c r="M874" s="884"/>
      <c r="N874" s="884"/>
      <c r="O874" s="884"/>
      <c r="P874" s="884"/>
      <c r="Q874" s="884"/>
      <c r="R874" s="884"/>
    </row>
    <row r="875" spans="2:18">
      <c r="B875" s="884"/>
      <c r="C875" s="884"/>
      <c r="D875" s="884"/>
      <c r="E875" s="884"/>
      <c r="F875" s="884"/>
      <c r="G875" s="884"/>
      <c r="H875" s="884"/>
      <c r="I875" s="884"/>
      <c r="J875" s="884"/>
      <c r="K875" s="884"/>
      <c r="L875" s="884"/>
      <c r="M875" s="884"/>
      <c r="N875" s="884"/>
      <c r="O875" s="884"/>
      <c r="P875" s="884"/>
      <c r="Q875" s="884"/>
      <c r="R875" s="884"/>
    </row>
    <row r="876" spans="2:18">
      <c r="B876" s="884"/>
      <c r="C876" s="884"/>
      <c r="D876" s="884"/>
      <c r="E876" s="884"/>
      <c r="F876" s="884"/>
      <c r="G876" s="884"/>
      <c r="H876" s="884"/>
      <c r="I876" s="884"/>
      <c r="J876" s="884"/>
      <c r="K876" s="884"/>
      <c r="L876" s="884"/>
      <c r="M876" s="884"/>
      <c r="N876" s="884"/>
      <c r="O876" s="884"/>
      <c r="P876" s="884"/>
      <c r="Q876" s="884"/>
      <c r="R876" s="884"/>
    </row>
    <row r="877" spans="2:18">
      <c r="B877" s="884"/>
      <c r="C877" s="884"/>
      <c r="D877" s="884"/>
      <c r="E877" s="884"/>
      <c r="F877" s="884"/>
      <c r="G877" s="884"/>
      <c r="H877" s="884"/>
      <c r="I877" s="884"/>
      <c r="J877" s="884"/>
      <c r="K877" s="884"/>
      <c r="L877" s="884"/>
      <c r="M877" s="884"/>
      <c r="N877" s="884"/>
      <c r="O877" s="884"/>
      <c r="P877" s="884"/>
      <c r="Q877" s="884"/>
      <c r="R877" s="884"/>
    </row>
    <row r="878" spans="2:18">
      <c r="B878" s="884"/>
      <c r="C878" s="884"/>
      <c r="D878" s="884"/>
      <c r="E878" s="884"/>
      <c r="F878" s="884"/>
      <c r="G878" s="884"/>
      <c r="H878" s="884"/>
      <c r="I878" s="884"/>
      <c r="J878" s="884"/>
      <c r="K878" s="884"/>
      <c r="L878" s="884"/>
      <c r="M878" s="884"/>
      <c r="N878" s="884"/>
      <c r="O878" s="884"/>
      <c r="P878" s="884"/>
      <c r="Q878" s="884"/>
      <c r="R878" s="884"/>
    </row>
    <row r="879" spans="2:18">
      <c r="B879" s="884"/>
      <c r="C879" s="884"/>
      <c r="D879" s="884"/>
      <c r="E879" s="884"/>
      <c r="F879" s="884"/>
      <c r="G879" s="884"/>
      <c r="H879" s="884"/>
      <c r="I879" s="884"/>
      <c r="J879" s="884"/>
      <c r="K879" s="884"/>
      <c r="L879" s="884"/>
      <c r="M879" s="884"/>
      <c r="N879" s="884"/>
      <c r="O879" s="884"/>
      <c r="P879" s="884"/>
      <c r="Q879" s="884"/>
      <c r="R879" s="884"/>
    </row>
    <row r="880" spans="2:18">
      <c r="B880" s="884"/>
      <c r="C880" s="884"/>
      <c r="D880" s="884"/>
      <c r="E880" s="884"/>
      <c r="F880" s="884"/>
      <c r="G880" s="884"/>
      <c r="H880" s="884"/>
      <c r="I880" s="884"/>
      <c r="J880" s="884"/>
      <c r="K880" s="884"/>
      <c r="L880" s="884"/>
      <c r="M880" s="884"/>
      <c r="N880" s="884"/>
      <c r="O880" s="884"/>
      <c r="P880" s="884"/>
      <c r="Q880" s="884"/>
      <c r="R880" s="884"/>
    </row>
    <row r="881" spans="2:18">
      <c r="B881" s="884"/>
      <c r="C881" s="884"/>
      <c r="D881" s="884"/>
      <c r="E881" s="884"/>
      <c r="F881" s="884"/>
      <c r="G881" s="884"/>
      <c r="H881" s="884"/>
      <c r="I881" s="884"/>
      <c r="J881" s="884"/>
      <c r="K881" s="884"/>
      <c r="L881" s="884"/>
      <c r="M881" s="884"/>
      <c r="N881" s="884"/>
      <c r="O881" s="884"/>
      <c r="P881" s="884"/>
      <c r="Q881" s="884"/>
      <c r="R881" s="884"/>
    </row>
    <row r="882" spans="2:18">
      <c r="B882" s="884"/>
      <c r="C882" s="884"/>
      <c r="D882" s="884"/>
      <c r="E882" s="884"/>
      <c r="F882" s="884"/>
      <c r="G882" s="884"/>
      <c r="H882" s="884"/>
      <c r="I882" s="884"/>
      <c r="J882" s="884"/>
      <c r="K882" s="884"/>
      <c r="L882" s="884"/>
      <c r="M882" s="884"/>
      <c r="N882" s="884"/>
      <c r="O882" s="884"/>
      <c r="P882" s="884"/>
      <c r="Q882" s="884"/>
      <c r="R882" s="884"/>
    </row>
    <row r="883" spans="2:18">
      <c r="B883" s="884"/>
      <c r="C883" s="884"/>
      <c r="D883" s="884"/>
      <c r="E883" s="884"/>
      <c r="F883" s="884"/>
      <c r="G883" s="884"/>
      <c r="H883" s="884"/>
      <c r="I883" s="884"/>
      <c r="J883" s="884"/>
      <c r="K883" s="884"/>
      <c r="L883" s="884"/>
      <c r="M883" s="884"/>
      <c r="N883" s="884"/>
      <c r="O883" s="884"/>
      <c r="P883" s="884"/>
      <c r="Q883" s="884"/>
      <c r="R883" s="884"/>
    </row>
    <row r="884" spans="2:18">
      <c r="B884" s="884"/>
      <c r="C884" s="884"/>
      <c r="D884" s="884"/>
      <c r="E884" s="884"/>
      <c r="F884" s="884"/>
      <c r="G884" s="884"/>
      <c r="H884" s="884"/>
      <c r="I884" s="884"/>
      <c r="J884" s="884"/>
      <c r="K884" s="884"/>
      <c r="L884" s="884"/>
      <c r="M884" s="884"/>
      <c r="N884" s="884"/>
      <c r="O884" s="884"/>
      <c r="P884" s="884"/>
      <c r="Q884" s="884"/>
      <c r="R884" s="884"/>
    </row>
    <row r="885" spans="2:18">
      <c r="B885" s="884"/>
      <c r="C885" s="884"/>
      <c r="D885" s="884"/>
      <c r="E885" s="884"/>
      <c r="F885" s="884"/>
      <c r="G885" s="884"/>
      <c r="H885" s="884"/>
      <c r="I885" s="884"/>
      <c r="J885" s="884"/>
      <c r="K885" s="884"/>
      <c r="L885" s="884"/>
      <c r="M885" s="884"/>
      <c r="N885" s="884"/>
      <c r="O885" s="884"/>
      <c r="P885" s="884"/>
      <c r="Q885" s="884"/>
      <c r="R885" s="884"/>
    </row>
    <row r="886" spans="2:18">
      <c r="B886" s="884"/>
      <c r="C886" s="884"/>
      <c r="D886" s="884"/>
      <c r="E886" s="884"/>
      <c r="F886" s="884"/>
      <c r="G886" s="884"/>
      <c r="H886" s="884"/>
      <c r="I886" s="884"/>
      <c r="J886" s="884"/>
      <c r="K886" s="884"/>
      <c r="L886" s="884"/>
      <c r="M886" s="884"/>
      <c r="N886" s="884"/>
      <c r="O886" s="884"/>
      <c r="P886" s="884"/>
      <c r="Q886" s="884"/>
      <c r="R886" s="884"/>
    </row>
    <row r="887" spans="2:18">
      <c r="B887" s="884"/>
      <c r="C887" s="884"/>
      <c r="D887" s="884"/>
      <c r="E887" s="884"/>
      <c r="F887" s="884"/>
      <c r="G887" s="884"/>
      <c r="H887" s="884"/>
      <c r="I887" s="884"/>
      <c r="J887" s="884"/>
      <c r="K887" s="884"/>
      <c r="L887" s="884"/>
      <c r="M887" s="884"/>
      <c r="N887" s="884"/>
      <c r="O887" s="884"/>
      <c r="P887" s="884"/>
      <c r="Q887" s="884"/>
      <c r="R887" s="884"/>
    </row>
    <row r="888" spans="2:18">
      <c r="B888" s="884"/>
      <c r="C888" s="884"/>
      <c r="D888" s="884"/>
      <c r="E888" s="884"/>
      <c r="F888" s="884"/>
      <c r="G888" s="884"/>
      <c r="H888" s="884"/>
      <c r="I888" s="884"/>
      <c r="J888" s="884"/>
      <c r="K888" s="884"/>
      <c r="L888" s="884"/>
      <c r="M888" s="884"/>
      <c r="N888" s="884"/>
      <c r="O888" s="884"/>
      <c r="P888" s="884"/>
      <c r="Q888" s="884"/>
      <c r="R888" s="884"/>
    </row>
    <row r="889" spans="2:18">
      <c r="B889" s="884"/>
      <c r="C889" s="884"/>
      <c r="D889" s="884"/>
      <c r="E889" s="884"/>
      <c r="F889" s="884"/>
      <c r="G889" s="884"/>
      <c r="H889" s="884"/>
      <c r="I889" s="884"/>
      <c r="J889" s="884"/>
      <c r="K889" s="884"/>
      <c r="L889" s="884"/>
      <c r="M889" s="884"/>
      <c r="N889" s="884"/>
      <c r="O889" s="884"/>
      <c r="P889" s="884"/>
      <c r="Q889" s="884"/>
      <c r="R889" s="884"/>
    </row>
    <row r="890" spans="2:18">
      <c r="B890" s="884"/>
      <c r="C890" s="884"/>
      <c r="D890" s="884"/>
      <c r="E890" s="884"/>
      <c r="F890" s="884"/>
      <c r="G890" s="884"/>
      <c r="H890" s="884"/>
      <c r="I890" s="884"/>
      <c r="J890" s="884"/>
      <c r="K890" s="884"/>
      <c r="L890" s="884"/>
      <c r="M890" s="884"/>
      <c r="N890" s="884"/>
      <c r="O890" s="884"/>
      <c r="P890" s="884"/>
      <c r="Q890" s="884"/>
      <c r="R890" s="884"/>
    </row>
    <row r="891" spans="2:18">
      <c r="B891" s="884"/>
      <c r="C891" s="884"/>
      <c r="D891" s="884"/>
      <c r="E891" s="884"/>
      <c r="F891" s="884"/>
      <c r="G891" s="884"/>
      <c r="H891" s="884"/>
      <c r="I891" s="884"/>
      <c r="J891" s="884"/>
      <c r="K891" s="884"/>
      <c r="L891" s="884"/>
      <c r="M891" s="884"/>
      <c r="N891" s="884"/>
      <c r="O891" s="884"/>
      <c r="P891" s="884"/>
      <c r="Q891" s="884"/>
      <c r="R891" s="884"/>
    </row>
    <row r="892" spans="2:18">
      <c r="B892" s="884"/>
      <c r="C892" s="884"/>
      <c r="D892" s="884"/>
      <c r="E892" s="884"/>
      <c r="F892" s="884"/>
      <c r="G892" s="884"/>
      <c r="H892" s="884"/>
      <c r="I892" s="884"/>
      <c r="J892" s="884"/>
      <c r="K892" s="884"/>
      <c r="L892" s="884"/>
      <c r="M892" s="884"/>
      <c r="N892" s="884"/>
      <c r="O892" s="884"/>
      <c r="P892" s="884"/>
      <c r="Q892" s="884"/>
      <c r="R892" s="884"/>
    </row>
    <row r="893" spans="2:18">
      <c r="B893" s="884"/>
      <c r="C893" s="884"/>
      <c r="D893" s="884"/>
      <c r="E893" s="884"/>
      <c r="F893" s="884"/>
      <c r="G893" s="884"/>
      <c r="H893" s="884"/>
      <c r="I893" s="884"/>
      <c r="J893" s="884"/>
      <c r="K893" s="884"/>
      <c r="L893" s="884"/>
      <c r="M893" s="884"/>
      <c r="N893" s="884"/>
      <c r="O893" s="884"/>
      <c r="P893" s="884"/>
      <c r="Q893" s="884"/>
      <c r="R893" s="884"/>
    </row>
    <row r="894" spans="2:18">
      <c r="B894" s="884"/>
      <c r="C894" s="884"/>
      <c r="D894" s="884"/>
      <c r="E894" s="884"/>
      <c r="F894" s="884"/>
      <c r="G894" s="884"/>
      <c r="H894" s="884"/>
      <c r="I894" s="884"/>
      <c r="J894" s="884"/>
      <c r="K894" s="884"/>
      <c r="L894" s="884"/>
      <c r="M894" s="884"/>
      <c r="N894" s="884"/>
      <c r="O894" s="884"/>
      <c r="P894" s="884"/>
      <c r="Q894" s="884"/>
      <c r="R894" s="884"/>
    </row>
    <row r="895" spans="2:18">
      <c r="B895" s="884"/>
      <c r="C895" s="884"/>
      <c r="D895" s="884"/>
      <c r="E895" s="884"/>
      <c r="F895" s="884"/>
      <c r="G895" s="884"/>
      <c r="H895" s="884"/>
      <c r="I895" s="884"/>
      <c r="J895" s="884"/>
      <c r="K895" s="884"/>
      <c r="L895" s="884"/>
      <c r="M895" s="884"/>
      <c r="N895" s="884"/>
      <c r="O895" s="884"/>
      <c r="P895" s="884"/>
      <c r="Q895" s="884"/>
      <c r="R895" s="884"/>
    </row>
    <row r="896" spans="2:18">
      <c r="B896" s="884"/>
      <c r="C896" s="884"/>
      <c r="D896" s="884"/>
      <c r="E896" s="884"/>
      <c r="F896" s="884"/>
      <c r="G896" s="884"/>
      <c r="H896" s="884"/>
      <c r="I896" s="884"/>
      <c r="J896" s="884"/>
      <c r="K896" s="884"/>
      <c r="L896" s="884"/>
      <c r="M896" s="884"/>
      <c r="N896" s="884"/>
      <c r="O896" s="884"/>
      <c r="P896" s="884"/>
      <c r="Q896" s="884"/>
      <c r="R896" s="884"/>
    </row>
    <row r="897" spans="2:18">
      <c r="B897" s="884"/>
      <c r="C897" s="884"/>
      <c r="D897" s="884"/>
      <c r="E897" s="884"/>
      <c r="F897" s="884"/>
      <c r="G897" s="884"/>
      <c r="H897" s="884"/>
      <c r="I897" s="884"/>
      <c r="J897" s="884"/>
      <c r="K897" s="884"/>
      <c r="L897" s="884"/>
      <c r="M897" s="884"/>
      <c r="N897" s="884"/>
      <c r="O897" s="884"/>
      <c r="P897" s="884"/>
      <c r="Q897" s="884"/>
      <c r="R897" s="884"/>
    </row>
    <row r="898" spans="2:18">
      <c r="B898" s="884"/>
      <c r="C898" s="884"/>
      <c r="D898" s="884"/>
      <c r="E898" s="884"/>
      <c r="F898" s="884"/>
      <c r="G898" s="884"/>
      <c r="H898" s="884"/>
      <c r="I898" s="884"/>
      <c r="J898" s="884"/>
      <c r="K898" s="884"/>
      <c r="L898" s="884"/>
      <c r="M898" s="884"/>
      <c r="N898" s="884"/>
      <c r="O898" s="884"/>
      <c r="P898" s="884"/>
      <c r="Q898" s="884"/>
      <c r="R898" s="884"/>
    </row>
    <row r="899" spans="2:18">
      <c r="B899" s="884"/>
      <c r="C899" s="884"/>
      <c r="D899" s="884"/>
      <c r="E899" s="884"/>
      <c r="F899" s="884"/>
      <c r="G899" s="884"/>
      <c r="H899" s="884"/>
      <c r="I899" s="884"/>
      <c r="J899" s="884"/>
      <c r="K899" s="884"/>
      <c r="L899" s="884"/>
      <c r="M899" s="884"/>
      <c r="N899" s="884"/>
      <c r="O899" s="884"/>
      <c r="P899" s="884"/>
      <c r="Q899" s="884"/>
      <c r="R899" s="884"/>
    </row>
    <row r="900" spans="2:18">
      <c r="B900" s="884"/>
      <c r="C900" s="884"/>
      <c r="D900" s="884"/>
      <c r="E900" s="884"/>
      <c r="F900" s="884"/>
      <c r="G900" s="884"/>
      <c r="H900" s="884"/>
      <c r="I900" s="884"/>
      <c r="J900" s="884"/>
      <c r="K900" s="884"/>
      <c r="L900" s="884"/>
      <c r="M900" s="884"/>
      <c r="N900" s="884"/>
      <c r="O900" s="884"/>
      <c r="P900" s="884"/>
      <c r="Q900" s="884"/>
      <c r="R900" s="884"/>
    </row>
    <row r="901" spans="2:18">
      <c r="B901" s="884"/>
      <c r="C901" s="884"/>
      <c r="D901" s="884"/>
      <c r="E901" s="884"/>
      <c r="F901" s="884"/>
      <c r="G901" s="884"/>
      <c r="H901" s="884"/>
      <c r="I901" s="884"/>
      <c r="J901" s="884"/>
      <c r="K901" s="884"/>
      <c r="L901" s="884"/>
      <c r="M901" s="884"/>
      <c r="N901" s="884"/>
      <c r="O901" s="884"/>
      <c r="P901" s="884"/>
      <c r="Q901" s="884"/>
      <c r="R901" s="884"/>
    </row>
    <row r="902" spans="2:18">
      <c r="B902" s="884"/>
      <c r="C902" s="884"/>
      <c r="D902" s="884"/>
      <c r="E902" s="884"/>
      <c r="F902" s="884"/>
      <c r="G902" s="884"/>
      <c r="H902" s="884"/>
      <c r="I902" s="884"/>
      <c r="J902" s="884"/>
      <c r="K902" s="884"/>
      <c r="L902" s="884"/>
      <c r="M902" s="884"/>
      <c r="N902" s="884"/>
      <c r="O902" s="884"/>
      <c r="P902" s="884"/>
      <c r="Q902" s="884"/>
      <c r="R902" s="884"/>
    </row>
    <row r="903" spans="2:18">
      <c r="B903" s="884"/>
      <c r="C903" s="884"/>
      <c r="D903" s="884"/>
      <c r="E903" s="884"/>
      <c r="F903" s="884"/>
      <c r="G903" s="884"/>
      <c r="H903" s="884"/>
      <c r="I903" s="884"/>
      <c r="J903" s="884"/>
      <c r="K903" s="884"/>
      <c r="L903" s="884"/>
      <c r="M903" s="884"/>
      <c r="N903" s="884"/>
      <c r="O903" s="884"/>
      <c r="P903" s="884"/>
      <c r="Q903" s="884"/>
      <c r="R903" s="884"/>
    </row>
    <row r="904" spans="2:18">
      <c r="B904" s="884"/>
      <c r="C904" s="884"/>
      <c r="D904" s="884"/>
      <c r="E904" s="884"/>
      <c r="F904" s="884"/>
      <c r="G904" s="884"/>
      <c r="H904" s="884"/>
      <c r="I904" s="884"/>
      <c r="J904" s="884"/>
      <c r="K904" s="884"/>
      <c r="L904" s="884"/>
      <c r="M904" s="884"/>
      <c r="N904" s="884"/>
      <c r="O904" s="884"/>
      <c r="P904" s="884"/>
      <c r="Q904" s="884"/>
      <c r="R904" s="884"/>
    </row>
    <row r="905" spans="2:18">
      <c r="B905" s="884"/>
      <c r="C905" s="884"/>
      <c r="D905" s="884"/>
      <c r="E905" s="884"/>
      <c r="F905" s="884"/>
      <c r="G905" s="884"/>
      <c r="H905" s="884"/>
      <c r="I905" s="884"/>
      <c r="J905" s="884"/>
      <c r="K905" s="884"/>
      <c r="L905" s="884"/>
      <c r="M905" s="884"/>
      <c r="N905" s="884"/>
      <c r="O905" s="884"/>
      <c r="P905" s="884"/>
      <c r="Q905" s="884"/>
      <c r="R905" s="884"/>
    </row>
    <row r="906" spans="2:18">
      <c r="B906" s="884"/>
      <c r="C906" s="884"/>
      <c r="D906" s="884"/>
      <c r="E906" s="884"/>
      <c r="F906" s="884"/>
      <c r="G906" s="884"/>
      <c r="H906" s="884"/>
      <c r="I906" s="884"/>
      <c r="J906" s="884"/>
      <c r="K906" s="884"/>
      <c r="L906" s="884"/>
      <c r="M906" s="884"/>
      <c r="N906" s="884"/>
      <c r="O906" s="884"/>
      <c r="P906" s="884"/>
      <c r="Q906" s="884"/>
      <c r="R906" s="884"/>
    </row>
    <row r="907" spans="2:18">
      <c r="B907" s="884"/>
      <c r="C907" s="884"/>
      <c r="D907" s="884"/>
      <c r="E907" s="884"/>
      <c r="F907" s="884"/>
      <c r="G907" s="884"/>
      <c r="H907" s="884"/>
      <c r="I907" s="884"/>
      <c r="J907" s="884"/>
      <c r="K907" s="884"/>
      <c r="L907" s="884"/>
      <c r="M907" s="884"/>
      <c r="N907" s="884"/>
      <c r="O907" s="884"/>
      <c r="P907" s="884"/>
      <c r="Q907" s="884"/>
      <c r="R907" s="884"/>
    </row>
    <row r="908" spans="2:18">
      <c r="B908" s="884"/>
      <c r="C908" s="884"/>
      <c r="D908" s="884"/>
      <c r="E908" s="884"/>
      <c r="F908" s="884"/>
      <c r="G908" s="884"/>
      <c r="H908" s="884"/>
      <c r="I908" s="884"/>
      <c r="J908" s="884"/>
      <c r="K908" s="884"/>
      <c r="L908" s="884"/>
      <c r="M908" s="884"/>
      <c r="N908" s="884"/>
      <c r="O908" s="884"/>
      <c r="P908" s="884"/>
      <c r="Q908" s="884"/>
      <c r="R908" s="884"/>
    </row>
    <row r="909" spans="2:18">
      <c r="B909" s="884"/>
      <c r="C909" s="884"/>
      <c r="D909" s="884"/>
      <c r="E909" s="884"/>
      <c r="F909" s="884"/>
      <c r="G909" s="884"/>
      <c r="H909" s="884"/>
      <c r="I909" s="884"/>
      <c r="J909" s="884"/>
      <c r="K909" s="884"/>
      <c r="L909" s="884"/>
      <c r="M909" s="884"/>
      <c r="N909" s="884"/>
      <c r="O909" s="884"/>
      <c r="P909" s="884"/>
      <c r="Q909" s="884"/>
      <c r="R909" s="884"/>
    </row>
    <row r="910" spans="2:18">
      <c r="B910" s="884"/>
      <c r="C910" s="884"/>
      <c r="D910" s="884"/>
      <c r="E910" s="884"/>
      <c r="F910" s="884"/>
      <c r="G910" s="884"/>
      <c r="H910" s="884"/>
      <c r="I910" s="884"/>
      <c r="J910" s="884"/>
      <c r="K910" s="884"/>
      <c r="L910" s="884"/>
      <c r="M910" s="884"/>
      <c r="N910" s="884"/>
      <c r="O910" s="884"/>
      <c r="P910" s="884"/>
      <c r="Q910" s="884"/>
      <c r="R910" s="884"/>
    </row>
    <row r="911" spans="2:18">
      <c r="B911" s="884"/>
      <c r="C911" s="884"/>
      <c r="D911" s="884"/>
      <c r="E911" s="884"/>
      <c r="F911" s="884"/>
      <c r="G911" s="884"/>
      <c r="H911" s="884"/>
      <c r="I911" s="884"/>
      <c r="J911" s="884"/>
      <c r="K911" s="884"/>
      <c r="L911" s="884"/>
      <c r="M911" s="884"/>
      <c r="N911" s="884"/>
      <c r="O911" s="884"/>
      <c r="P911" s="884"/>
      <c r="Q911" s="884"/>
      <c r="R911" s="884"/>
    </row>
    <row r="912" spans="2:18">
      <c r="B912" s="884"/>
      <c r="C912" s="884"/>
      <c r="D912" s="884"/>
      <c r="E912" s="884"/>
      <c r="F912" s="884"/>
      <c r="G912" s="884"/>
      <c r="H912" s="884"/>
      <c r="I912" s="884"/>
      <c r="J912" s="884"/>
      <c r="K912" s="884"/>
      <c r="L912" s="884"/>
      <c r="M912" s="884"/>
      <c r="N912" s="884"/>
      <c r="O912" s="884"/>
      <c r="P912" s="884"/>
      <c r="Q912" s="884"/>
      <c r="R912" s="884"/>
    </row>
    <row r="913" spans="2:18">
      <c r="B913" s="884"/>
      <c r="C913" s="884"/>
      <c r="D913" s="884"/>
      <c r="E913" s="884"/>
      <c r="F913" s="884"/>
      <c r="G913" s="884"/>
      <c r="H913" s="884"/>
      <c r="I913" s="884"/>
      <c r="J913" s="884"/>
      <c r="K913" s="884"/>
      <c r="L913" s="884"/>
      <c r="M913" s="884"/>
      <c r="N913" s="884"/>
      <c r="O913" s="884"/>
      <c r="P913" s="884"/>
      <c r="Q913" s="884"/>
      <c r="R913" s="884"/>
    </row>
    <row r="914" spans="2:18">
      <c r="B914" s="884"/>
      <c r="C914" s="884"/>
      <c r="D914" s="884"/>
      <c r="E914" s="884"/>
      <c r="F914" s="884"/>
      <c r="G914" s="884"/>
      <c r="H914" s="884"/>
      <c r="I914" s="884"/>
      <c r="J914" s="884"/>
      <c r="K914" s="884"/>
      <c r="L914" s="884"/>
      <c r="M914" s="884"/>
      <c r="N914" s="884"/>
      <c r="O914" s="884"/>
      <c r="P914" s="884"/>
      <c r="Q914" s="884"/>
      <c r="R914" s="884"/>
    </row>
    <row r="915" spans="2:18">
      <c r="B915" s="884"/>
      <c r="C915" s="884"/>
      <c r="D915" s="884"/>
      <c r="E915" s="884"/>
      <c r="F915" s="884"/>
      <c r="G915" s="884"/>
      <c r="H915" s="884"/>
      <c r="I915" s="884"/>
      <c r="J915" s="884"/>
      <c r="K915" s="884"/>
      <c r="L915" s="884"/>
      <c r="M915" s="884"/>
      <c r="N915" s="884"/>
      <c r="O915" s="884"/>
      <c r="P915" s="884"/>
      <c r="Q915" s="884"/>
      <c r="R915" s="884"/>
    </row>
    <row r="916" spans="2:18">
      <c r="B916" s="884"/>
      <c r="C916" s="884"/>
      <c r="D916" s="884"/>
      <c r="E916" s="884"/>
      <c r="F916" s="884"/>
      <c r="G916" s="884"/>
      <c r="H916" s="884"/>
      <c r="I916" s="884"/>
      <c r="J916" s="884"/>
      <c r="K916" s="884"/>
      <c r="L916" s="884"/>
      <c r="M916" s="884"/>
      <c r="N916" s="884"/>
      <c r="O916" s="884"/>
      <c r="P916" s="884"/>
      <c r="Q916" s="884"/>
      <c r="R916" s="884"/>
    </row>
    <row r="917" spans="2:18">
      <c r="B917" s="884"/>
      <c r="C917" s="884"/>
      <c r="D917" s="884"/>
      <c r="E917" s="884"/>
      <c r="F917" s="884"/>
      <c r="G917" s="884"/>
      <c r="H917" s="884"/>
      <c r="I917" s="884"/>
      <c r="J917" s="884"/>
      <c r="K917" s="884"/>
      <c r="L917" s="884"/>
      <c r="M917" s="884"/>
      <c r="N917" s="884"/>
      <c r="O917" s="884"/>
      <c r="P917" s="884"/>
      <c r="Q917" s="884"/>
      <c r="R917" s="884"/>
    </row>
    <row r="918" spans="2:18">
      <c r="B918" s="884"/>
      <c r="C918" s="884"/>
      <c r="D918" s="884"/>
      <c r="E918" s="884"/>
      <c r="F918" s="884"/>
      <c r="G918" s="884"/>
      <c r="H918" s="884"/>
      <c r="I918" s="884"/>
      <c r="J918" s="884"/>
      <c r="K918" s="884"/>
      <c r="L918" s="884"/>
      <c r="M918" s="884"/>
      <c r="N918" s="884"/>
      <c r="O918" s="884"/>
      <c r="P918" s="884"/>
      <c r="Q918" s="884"/>
      <c r="R918" s="884"/>
    </row>
    <row r="919" spans="2:18">
      <c r="B919" s="884"/>
      <c r="C919" s="884"/>
      <c r="D919" s="884"/>
      <c r="E919" s="884"/>
      <c r="F919" s="884"/>
      <c r="G919" s="884"/>
      <c r="H919" s="884"/>
      <c r="I919" s="884"/>
      <c r="J919" s="884"/>
      <c r="K919" s="884"/>
      <c r="L919" s="884"/>
      <c r="M919" s="884"/>
      <c r="N919" s="884"/>
      <c r="O919" s="884"/>
      <c r="P919" s="884"/>
      <c r="Q919" s="884"/>
      <c r="R919" s="884"/>
    </row>
    <row r="920" spans="2:18">
      <c r="B920" s="884"/>
      <c r="C920" s="884"/>
      <c r="D920" s="884"/>
      <c r="E920" s="884"/>
      <c r="F920" s="884"/>
      <c r="G920" s="884"/>
      <c r="H920" s="884"/>
      <c r="I920" s="884"/>
      <c r="J920" s="884"/>
      <c r="K920" s="884"/>
      <c r="L920" s="884"/>
      <c r="M920" s="884"/>
      <c r="N920" s="884"/>
      <c r="O920" s="884"/>
      <c r="P920" s="884"/>
      <c r="Q920" s="884"/>
      <c r="R920" s="884"/>
    </row>
    <row r="921" spans="2:18">
      <c r="B921" s="884"/>
      <c r="C921" s="884"/>
      <c r="D921" s="884"/>
      <c r="E921" s="884"/>
      <c r="F921" s="884"/>
      <c r="G921" s="884"/>
      <c r="H921" s="884"/>
      <c r="I921" s="884"/>
      <c r="J921" s="884"/>
      <c r="K921" s="884"/>
      <c r="L921" s="884"/>
      <c r="M921" s="884"/>
      <c r="N921" s="884"/>
      <c r="O921" s="884"/>
      <c r="P921" s="884"/>
      <c r="Q921" s="884"/>
      <c r="R921" s="884"/>
    </row>
    <row r="922" spans="2:18">
      <c r="B922" s="884"/>
      <c r="C922" s="884"/>
      <c r="D922" s="884"/>
      <c r="E922" s="884"/>
      <c r="F922" s="884"/>
      <c r="G922" s="884"/>
      <c r="H922" s="884"/>
      <c r="I922" s="884"/>
      <c r="J922" s="884"/>
      <c r="K922" s="884"/>
      <c r="L922" s="884"/>
      <c r="M922" s="884"/>
      <c r="N922" s="884"/>
      <c r="O922" s="884"/>
      <c r="P922" s="884"/>
      <c r="Q922" s="884"/>
      <c r="R922" s="884"/>
    </row>
    <row r="923" spans="2:18">
      <c r="B923" s="884"/>
      <c r="C923" s="884"/>
      <c r="D923" s="884"/>
      <c r="E923" s="884"/>
      <c r="F923" s="884"/>
      <c r="G923" s="884"/>
      <c r="H923" s="884"/>
      <c r="I923" s="884"/>
      <c r="J923" s="884"/>
      <c r="K923" s="884"/>
      <c r="L923" s="884"/>
      <c r="M923" s="884"/>
      <c r="N923" s="884"/>
      <c r="O923" s="884"/>
      <c r="P923" s="884"/>
      <c r="Q923" s="884"/>
      <c r="R923" s="884"/>
    </row>
    <row r="924" spans="2:18">
      <c r="B924" s="884"/>
      <c r="C924" s="884"/>
      <c r="D924" s="884"/>
      <c r="E924" s="884"/>
      <c r="F924" s="884"/>
      <c r="G924" s="884"/>
      <c r="H924" s="884"/>
      <c r="I924" s="884"/>
      <c r="J924" s="884"/>
      <c r="K924" s="884"/>
      <c r="L924" s="884"/>
      <c r="M924" s="884"/>
      <c r="N924" s="884"/>
      <c r="O924" s="884"/>
      <c r="P924" s="884"/>
      <c r="Q924" s="884"/>
      <c r="R924" s="884"/>
    </row>
    <row r="925" spans="2:18">
      <c r="B925" s="884"/>
      <c r="C925" s="884"/>
      <c r="D925" s="884"/>
      <c r="E925" s="884"/>
      <c r="F925" s="884"/>
      <c r="G925" s="884"/>
      <c r="H925" s="884"/>
      <c r="I925" s="884"/>
      <c r="J925" s="884"/>
      <c r="K925" s="884"/>
      <c r="L925" s="884"/>
      <c r="M925" s="884"/>
      <c r="N925" s="884"/>
      <c r="O925" s="884"/>
      <c r="P925" s="884"/>
      <c r="Q925" s="884"/>
      <c r="R925" s="884"/>
    </row>
    <row r="926" spans="2:18">
      <c r="B926" s="884"/>
      <c r="C926" s="884"/>
      <c r="D926" s="884"/>
      <c r="E926" s="884"/>
      <c r="F926" s="884"/>
      <c r="G926" s="884"/>
      <c r="H926" s="884"/>
      <c r="I926" s="884"/>
      <c r="J926" s="884"/>
      <c r="K926" s="884"/>
      <c r="L926" s="884"/>
      <c r="M926" s="884"/>
      <c r="N926" s="884"/>
      <c r="O926" s="884"/>
      <c r="P926" s="884"/>
      <c r="Q926" s="884"/>
      <c r="R926" s="884"/>
    </row>
    <row r="927" spans="2:18">
      <c r="B927" s="884"/>
      <c r="C927" s="884"/>
      <c r="D927" s="884"/>
      <c r="E927" s="884"/>
      <c r="F927" s="884"/>
      <c r="G927" s="884"/>
      <c r="H927" s="884"/>
      <c r="I927" s="884"/>
      <c r="J927" s="884"/>
      <c r="K927" s="884"/>
      <c r="L927" s="884"/>
      <c r="M927" s="884"/>
      <c r="N927" s="884"/>
      <c r="O927" s="884"/>
      <c r="P927" s="884"/>
      <c r="Q927" s="884"/>
      <c r="R927" s="884"/>
    </row>
    <row r="928" spans="2:18">
      <c r="B928" s="884"/>
      <c r="C928" s="884"/>
      <c r="D928" s="884"/>
      <c r="E928" s="884"/>
      <c r="F928" s="884"/>
      <c r="G928" s="884"/>
      <c r="H928" s="884"/>
      <c r="I928" s="884"/>
      <c r="J928" s="884"/>
      <c r="K928" s="884"/>
      <c r="L928" s="884"/>
      <c r="M928" s="884"/>
      <c r="N928" s="884"/>
      <c r="O928" s="884"/>
      <c r="P928" s="884"/>
      <c r="Q928" s="884"/>
      <c r="R928" s="884"/>
    </row>
    <row r="929" spans="2:18">
      <c r="B929" s="884"/>
      <c r="C929" s="884"/>
      <c r="D929" s="884"/>
      <c r="E929" s="884"/>
      <c r="F929" s="884"/>
      <c r="G929" s="884"/>
      <c r="H929" s="884"/>
      <c r="I929" s="884"/>
      <c r="J929" s="884"/>
      <c r="K929" s="884"/>
      <c r="L929" s="884"/>
      <c r="M929" s="884"/>
      <c r="N929" s="884"/>
      <c r="O929" s="884"/>
      <c r="P929" s="884"/>
      <c r="Q929" s="884"/>
      <c r="R929" s="884"/>
    </row>
    <row r="930" spans="2:18">
      <c r="B930" s="884"/>
      <c r="C930" s="884"/>
      <c r="D930" s="884"/>
      <c r="E930" s="884"/>
      <c r="F930" s="884"/>
      <c r="G930" s="884"/>
      <c r="H930" s="884"/>
      <c r="I930" s="884"/>
      <c r="J930" s="884"/>
      <c r="K930" s="884"/>
      <c r="L930" s="884"/>
      <c r="M930" s="884"/>
      <c r="N930" s="884"/>
      <c r="O930" s="884"/>
      <c r="P930" s="884"/>
      <c r="Q930" s="884"/>
      <c r="R930" s="884"/>
    </row>
    <row r="931" spans="2:18">
      <c r="B931" s="884"/>
      <c r="C931" s="884"/>
      <c r="D931" s="884"/>
      <c r="E931" s="884"/>
      <c r="F931" s="884"/>
      <c r="G931" s="884"/>
      <c r="H931" s="884"/>
      <c r="I931" s="884"/>
      <c r="J931" s="884"/>
      <c r="K931" s="884"/>
      <c r="L931" s="884"/>
      <c r="M931" s="884"/>
      <c r="N931" s="884"/>
      <c r="O931" s="884"/>
      <c r="P931" s="884"/>
      <c r="Q931" s="884"/>
      <c r="R931" s="884"/>
    </row>
    <row r="932" spans="2:18">
      <c r="B932" s="884"/>
      <c r="C932" s="884"/>
      <c r="D932" s="884"/>
      <c r="E932" s="884"/>
      <c r="F932" s="884"/>
      <c r="G932" s="884"/>
      <c r="H932" s="884"/>
      <c r="I932" s="884"/>
      <c r="J932" s="884"/>
      <c r="K932" s="884"/>
      <c r="L932" s="884"/>
      <c r="M932" s="884"/>
      <c r="N932" s="884"/>
      <c r="O932" s="884"/>
      <c r="P932" s="884"/>
      <c r="Q932" s="884"/>
      <c r="R932" s="884"/>
    </row>
    <row r="933" spans="2:18">
      <c r="O933" s="884"/>
      <c r="P933" s="884"/>
      <c r="Q933" s="884"/>
      <c r="R933" s="884"/>
    </row>
  </sheetData>
  <mergeCells count="17">
    <mergeCell ref="A46:A48"/>
    <mergeCell ref="A26:A28"/>
    <mergeCell ref="A30:A34"/>
    <mergeCell ref="A35:A36"/>
    <mergeCell ref="A37:A42"/>
    <mergeCell ref="A43:A45"/>
    <mergeCell ref="A22:A25"/>
    <mergeCell ref="C1:N1"/>
    <mergeCell ref="C2:N2"/>
    <mergeCell ref="C3:N3"/>
    <mergeCell ref="E5:M5"/>
    <mergeCell ref="E6:H6"/>
    <mergeCell ref="J6:M6"/>
    <mergeCell ref="A15:A18"/>
    <mergeCell ref="A19:A21"/>
    <mergeCell ref="A9:A12"/>
    <mergeCell ref="A13:A14"/>
  </mergeCells>
  <conditionalFormatting sqref="C52:C54">
    <cfRule type="containsText" dxfId="65" priority="1" operator="containsText" text="Buy">
      <formula>NOT(ISERROR(SEARCH(("Buy"),(C52))))</formula>
    </cfRule>
    <cfRule type="containsText" dxfId="64" priority="2" operator="containsText" text="Sell">
      <formula>NOT(ISERROR(SEARCH(("Sell"),(C52))))</formula>
    </cfRule>
  </conditionalFormatting>
  <conditionalFormatting sqref="N9:N57">
    <cfRule type="cellIs" dxfId="63" priority="5" stopIfTrue="1" operator="greaterThanOrEqual">
      <formula>0</formula>
    </cfRule>
    <cfRule type="cellIs" dxfId="62" priority="6" stopIfTrue="1" operator="lessThan">
      <formula>0</formula>
    </cfRule>
  </conditionalFormatting>
  <conditionalFormatting sqref="N52:N55">
    <cfRule type="cellIs" dxfId="61" priority="3" stopIfTrue="1" operator="greaterThan">
      <formula>#REF!</formula>
    </cfRule>
    <cfRule type="cellIs" dxfId="60" priority="4" stopIfTrue="1" operator="lessThanOrEqual">
      <formula>#REF!</formula>
    </cfRule>
    <cfRule type="cellIs" dxfId="59" priority="7" stopIfTrue="1" operator="greaterThan">
      <formula>#REF!</formula>
    </cfRule>
    <cfRule type="cellIs" dxfId="58" priority="8" stopIfTrue="1" operator="lessThanOrEqual">
      <formula>#REF!</formula>
    </cfRule>
  </conditionalFormatting>
  <conditionalFormatting sqref="N56:N57">
    <cfRule type="cellIs" dxfId="57" priority="89" stopIfTrue="1" operator="greaterThan">
      <formula>#REF!</formula>
    </cfRule>
    <cfRule type="cellIs" dxfId="56" priority="90" stopIfTrue="1" operator="lessThanOrEqual">
      <formula>#REF!</formula>
    </cfRule>
  </conditionalFormatting>
  <hyperlinks>
    <hyperlink ref="C66" r:id="rId1" xr:uid="{04EF6717-7361-4957-9F3E-D4657829C1E9}"/>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2:AE1022"/>
  <sheetViews>
    <sheetView zoomScale="98" zoomScaleNormal="98" workbookViewId="0">
      <pane ySplit="3" topLeftCell="A4" activePane="bottomLeft" state="frozen"/>
      <selection pane="bottomLeft" activeCell="K69" sqref="K69"/>
    </sheetView>
  </sheetViews>
  <sheetFormatPr defaultColWidth="14.28515625" defaultRowHeight="12.75"/>
  <cols>
    <col min="1" max="1" width="33.28515625" customWidth="1"/>
    <col min="2" max="2" width="18.5703125" customWidth="1"/>
    <col min="3" max="3" width="6.7109375" bestFit="1" customWidth="1"/>
    <col min="4" max="4" width="6.85546875" customWidth="1"/>
    <col min="5" max="5" width="10.7109375" customWidth="1"/>
    <col min="6" max="6" width="12.7109375" bestFit="1" customWidth="1"/>
    <col min="7" max="7" width="9.28515625" style="799" customWidth="1"/>
    <col min="8" max="8" width="9.85546875" style="799" customWidth="1"/>
    <col min="9" max="9" width="1.85546875" style="799" customWidth="1"/>
    <col min="10" max="10" width="8.42578125" style="1768" customWidth="1"/>
    <col min="11" max="11" width="10.5703125" style="1768" customWidth="1"/>
    <col min="12" max="12" width="11.28515625" customWidth="1"/>
    <col min="13" max="13" width="8.85546875" style="799" customWidth="1"/>
    <col min="14" max="14" width="9.7109375" style="799" customWidth="1"/>
    <col min="15" max="15" width="13.7109375" bestFit="1" customWidth="1"/>
    <col min="16" max="16" width="61.28515625" bestFit="1" customWidth="1"/>
    <col min="17" max="17" width="57.7109375" bestFit="1" customWidth="1"/>
    <col min="18" max="31" width="8.7109375" customWidth="1"/>
  </cols>
  <sheetData>
    <row r="2" spans="1:31" ht="15">
      <c r="B2" s="431"/>
      <c r="C2" s="2067">
        <v>44926</v>
      </c>
      <c r="D2" s="2068"/>
      <c r="E2" s="2068"/>
      <c r="F2" s="2068"/>
      <c r="G2" s="2068"/>
      <c r="H2" s="2069"/>
      <c r="I2" s="1859"/>
      <c r="J2" s="2067">
        <f ca="1">TODAY()</f>
        <v>45274</v>
      </c>
      <c r="K2" s="2068"/>
      <c r="L2" s="2068"/>
      <c r="M2" s="2068"/>
      <c r="N2" s="2069"/>
      <c r="O2" s="431"/>
    </row>
    <row r="3" spans="1:31" ht="15">
      <c r="A3" s="1817" t="s">
        <v>783</v>
      </c>
      <c r="B3" s="1825" t="s">
        <v>784</v>
      </c>
      <c r="C3" s="1818" t="s">
        <v>8</v>
      </c>
      <c r="D3" s="1819" t="s">
        <v>9</v>
      </c>
      <c r="E3" s="1819" t="s">
        <v>10</v>
      </c>
      <c r="F3" s="1820" t="s">
        <v>11</v>
      </c>
      <c r="G3" s="1821" t="s">
        <v>12</v>
      </c>
      <c r="H3" s="1822" t="s">
        <v>785</v>
      </c>
      <c r="I3" s="1858"/>
      <c r="J3" s="1823" t="s">
        <v>9</v>
      </c>
      <c r="K3" s="1823" t="s">
        <v>10</v>
      </c>
      <c r="L3" s="1820" t="s">
        <v>11</v>
      </c>
      <c r="M3" s="1821" t="s">
        <v>12</v>
      </c>
      <c r="N3" s="1821" t="s">
        <v>785</v>
      </c>
      <c r="O3" s="1824" t="s">
        <v>786</v>
      </c>
      <c r="P3" s="150"/>
      <c r="Q3" s="150"/>
      <c r="R3" s="150"/>
      <c r="S3" s="150"/>
      <c r="T3" s="150"/>
      <c r="U3" s="150"/>
      <c r="V3" s="150"/>
      <c r="W3" s="150"/>
      <c r="X3" s="150"/>
      <c r="Y3" s="150"/>
      <c r="Z3" s="150"/>
      <c r="AA3" s="150"/>
      <c r="AB3" s="150"/>
      <c r="AC3" s="150"/>
      <c r="AD3" s="150"/>
      <c r="AE3" s="150"/>
    </row>
    <row r="4" spans="1:31" ht="15">
      <c r="A4" s="1864" t="s">
        <v>772</v>
      </c>
      <c r="B4" s="1816" t="s">
        <v>787</v>
      </c>
      <c r="C4" s="1831"/>
      <c r="D4" s="150"/>
      <c r="E4" s="150"/>
      <c r="F4" s="150"/>
      <c r="G4" s="583"/>
      <c r="H4" s="1826"/>
      <c r="I4" s="528"/>
      <c r="J4" s="1839"/>
      <c r="K4" s="1762"/>
      <c r="L4" s="150"/>
      <c r="M4" s="583"/>
      <c r="N4" s="1845"/>
      <c r="O4" s="1848"/>
      <c r="W4" s="150"/>
      <c r="X4" s="150"/>
      <c r="Y4" s="150"/>
      <c r="Z4" s="150"/>
      <c r="AA4" s="150"/>
      <c r="AB4" s="150"/>
      <c r="AC4" s="150"/>
      <c r="AD4" s="150"/>
      <c r="AE4" s="150"/>
    </row>
    <row r="5" spans="1:31" ht="15">
      <c r="A5" s="1865" t="s">
        <v>674</v>
      </c>
      <c r="B5" s="1816" t="s">
        <v>787</v>
      </c>
      <c r="C5" s="1832" t="s">
        <v>675</v>
      </c>
      <c r="D5" s="150">
        <v>60</v>
      </c>
      <c r="E5" s="1731">
        <v>88.73</v>
      </c>
      <c r="F5" s="585">
        <f>D5*E5</f>
        <v>5323.8</v>
      </c>
      <c r="G5" s="582">
        <f>F5/$F$11</f>
        <v>0.26072903045707657</v>
      </c>
      <c r="H5" s="1827"/>
      <c r="I5" s="528"/>
      <c r="J5" s="1840">
        <v>80</v>
      </c>
      <c r="K5" s="1769">
        <f>'2023 YTD'!J10</f>
        <v>133.19999999999999</v>
      </c>
      <c r="L5" s="151">
        <f>J5*K5</f>
        <v>10656</v>
      </c>
      <c r="M5" s="796">
        <f>L5/$L$11</f>
        <v>0.33959450071067543</v>
      </c>
      <c r="N5" s="1846"/>
      <c r="O5" s="1848"/>
      <c r="P5" s="529"/>
      <c r="Q5" s="528"/>
      <c r="R5" s="528"/>
      <c r="S5" s="150"/>
      <c r="T5" s="150"/>
      <c r="V5" s="150"/>
      <c r="W5" s="150"/>
      <c r="X5" s="150"/>
      <c r="Y5" s="150"/>
      <c r="Z5" s="150"/>
      <c r="AA5" s="150"/>
      <c r="AB5" s="150"/>
      <c r="AC5" s="150"/>
      <c r="AD5" s="150"/>
      <c r="AE5" s="150"/>
    </row>
    <row r="6" spans="1:31" ht="15">
      <c r="A6" s="1865" t="s">
        <v>1287</v>
      </c>
      <c r="B6" s="1816"/>
      <c r="C6" s="1832" t="s">
        <v>1282</v>
      </c>
      <c r="D6" s="150"/>
      <c r="E6" s="1731"/>
      <c r="F6" s="585"/>
      <c r="G6" s="582"/>
      <c r="H6" s="1827"/>
      <c r="I6" s="528"/>
      <c r="J6" s="1840">
        <v>80</v>
      </c>
      <c r="K6" s="1769">
        <f>'2023 YTD'!J14</f>
        <v>44.64</v>
      </c>
      <c r="L6" s="151">
        <f>J6*K6</f>
        <v>3571.2</v>
      </c>
      <c r="M6" s="796">
        <f>L6/L11</f>
        <v>0.11381004888682095</v>
      </c>
      <c r="N6" s="1846"/>
      <c r="O6" s="1848"/>
      <c r="P6" s="529"/>
      <c r="Q6" s="528"/>
      <c r="R6" s="528"/>
      <c r="S6" s="150"/>
      <c r="T6" s="150"/>
      <c r="V6" s="150"/>
      <c r="W6" s="150"/>
      <c r="X6" s="150"/>
      <c r="Y6" s="150"/>
      <c r="Z6" s="150"/>
      <c r="AA6" s="150"/>
      <c r="AB6" s="150"/>
      <c r="AC6" s="150"/>
      <c r="AD6" s="150"/>
      <c r="AE6" s="150"/>
    </row>
    <row r="7" spans="1:31" ht="15">
      <c r="A7" s="1865" t="s">
        <v>727</v>
      </c>
      <c r="B7" s="1816" t="s">
        <v>787</v>
      </c>
      <c r="C7" s="1832" t="s">
        <v>728</v>
      </c>
      <c r="D7" s="150">
        <v>17</v>
      </c>
      <c r="E7" s="1731">
        <v>120.34</v>
      </c>
      <c r="F7" s="585">
        <f>D7*E7</f>
        <v>2045.78</v>
      </c>
      <c r="G7" s="582">
        <f>F7/$F$11</f>
        <v>0.10019050977280854</v>
      </c>
      <c r="H7" s="1827"/>
      <c r="I7" s="528"/>
      <c r="J7" s="1840">
        <f>17+18</f>
        <v>35</v>
      </c>
      <c r="K7" s="1769">
        <f>'2023 YTD'!J29</f>
        <v>333.17</v>
      </c>
      <c r="L7" s="151">
        <f>J7*K7</f>
        <v>11660.95</v>
      </c>
      <c r="M7" s="796">
        <f>L7/$L$11</f>
        <v>0.37162110482940602</v>
      </c>
      <c r="N7" s="1846"/>
      <c r="O7" s="1848"/>
      <c r="P7" s="528"/>
      <c r="Q7" s="528"/>
      <c r="R7" s="528"/>
      <c r="S7" s="150"/>
      <c r="T7" s="150"/>
      <c r="V7" s="150"/>
      <c r="W7" s="150"/>
      <c r="X7" s="150"/>
      <c r="Y7" s="150"/>
      <c r="Z7" s="150"/>
      <c r="AA7" s="150"/>
      <c r="AB7" s="150"/>
      <c r="AC7" s="150"/>
      <c r="AD7" s="150"/>
      <c r="AE7" s="150"/>
    </row>
    <row r="8" spans="1:31" ht="15">
      <c r="A8" s="1866" t="s">
        <v>788</v>
      </c>
      <c r="B8" s="1816"/>
      <c r="C8" s="1832" t="s">
        <v>730</v>
      </c>
      <c r="D8" s="150">
        <v>36</v>
      </c>
      <c r="E8" s="1731">
        <v>81.569999999999993</v>
      </c>
      <c r="F8" s="585">
        <f>D8*E8</f>
        <v>2936.5199999999995</v>
      </c>
      <c r="G8" s="582">
        <f>F8/$F$11</f>
        <v>0.14381381954953498</v>
      </c>
      <c r="H8" s="1827"/>
      <c r="I8" s="528"/>
      <c r="J8" s="1840"/>
      <c r="K8" s="1769"/>
      <c r="L8" s="151"/>
      <c r="M8" s="796"/>
      <c r="N8" s="1846"/>
      <c r="O8" s="1848"/>
      <c r="P8" s="528"/>
      <c r="Q8" s="528"/>
      <c r="R8" s="528"/>
      <c r="S8" s="150"/>
      <c r="T8" s="150"/>
      <c r="V8" s="150"/>
      <c r="W8" s="150"/>
      <c r="X8" s="150"/>
      <c r="Y8" s="150"/>
      <c r="Z8" s="150"/>
      <c r="AA8" s="150"/>
      <c r="AB8" s="150"/>
      <c r="AC8" s="150"/>
      <c r="AD8" s="150"/>
      <c r="AE8" s="150"/>
    </row>
    <row r="9" spans="1:31" ht="15">
      <c r="A9" s="1865" t="s">
        <v>683</v>
      </c>
      <c r="B9" s="1816" t="s">
        <v>787</v>
      </c>
      <c r="C9" s="1832" t="s">
        <v>684</v>
      </c>
      <c r="D9" s="150">
        <v>35</v>
      </c>
      <c r="E9" s="1731">
        <v>140</v>
      </c>
      <c r="F9" s="585">
        <f>D9*E9</f>
        <v>4900</v>
      </c>
      <c r="G9" s="582">
        <f>F9/$F$11</f>
        <v>0.23997374981022487</v>
      </c>
      <c r="H9" s="1827"/>
      <c r="I9" s="528"/>
      <c r="J9" s="1840">
        <v>35</v>
      </c>
      <c r="K9" s="1769">
        <f>'2023 YTD'!J43</f>
        <v>156.87</v>
      </c>
      <c r="L9" s="151">
        <f>J9*K9</f>
        <v>5490.45</v>
      </c>
      <c r="M9" s="796">
        <f>L9/$L$11</f>
        <v>0.17497434557309757</v>
      </c>
      <c r="N9" s="1846"/>
      <c r="O9" s="1848"/>
      <c r="P9" s="605" t="s">
        <v>789</v>
      </c>
      <c r="Q9" s="528"/>
      <c r="R9" s="528"/>
      <c r="S9" s="150"/>
      <c r="T9" s="150"/>
      <c r="V9" s="150"/>
      <c r="W9" s="150"/>
      <c r="X9" s="150"/>
      <c r="Y9" s="150"/>
      <c r="Z9" s="150"/>
      <c r="AA9" s="150"/>
      <c r="AB9" s="150"/>
      <c r="AC9" s="150"/>
      <c r="AD9" s="150"/>
      <c r="AE9" s="150"/>
    </row>
    <row r="10" spans="1:31" ht="15">
      <c r="A10" s="1866" t="s">
        <v>469</v>
      </c>
      <c r="B10" s="1816" t="s">
        <v>787</v>
      </c>
      <c r="C10" s="1832" t="s">
        <v>470</v>
      </c>
      <c r="D10" s="150">
        <v>60</v>
      </c>
      <c r="E10" s="1731">
        <v>86.88</v>
      </c>
      <c r="F10" s="585">
        <f t="shared" ref="F10" si="0">D10*E10</f>
        <v>5212.7999999999993</v>
      </c>
      <c r="G10" s="582">
        <f>F10/$F$11</f>
        <v>0.25529289041035508</v>
      </c>
      <c r="H10" s="1827"/>
      <c r="I10" s="528"/>
      <c r="J10" s="1840"/>
      <c r="K10" s="1769"/>
      <c r="L10" s="151"/>
      <c r="M10" s="796"/>
      <c r="N10" s="1846"/>
      <c r="O10" s="1848"/>
      <c r="P10" s="528" t="s">
        <v>1246</v>
      </c>
      <c r="Q10" s="528"/>
      <c r="R10" s="528"/>
      <c r="S10" s="150"/>
      <c r="T10" s="150"/>
      <c r="V10" s="150"/>
      <c r="W10" s="150"/>
      <c r="X10" s="150"/>
      <c r="Y10" s="150"/>
      <c r="Z10" s="150"/>
      <c r="AA10" s="150"/>
      <c r="AB10" s="150"/>
      <c r="AC10" s="150"/>
      <c r="AD10" s="150"/>
      <c r="AE10" s="150"/>
    </row>
    <row r="11" spans="1:31" ht="15">
      <c r="A11" s="1827" t="s">
        <v>790</v>
      </c>
      <c r="B11" s="150"/>
      <c r="C11" s="1832"/>
      <c r="D11" s="150"/>
      <c r="E11" s="431"/>
      <c r="F11" s="1814">
        <f>SUM(F5:F10)</f>
        <v>20418.899999999998</v>
      </c>
      <c r="G11" s="1772">
        <f>F11/$F$90</f>
        <v>8.8431432476257232E-2</v>
      </c>
      <c r="H11" s="1829">
        <v>7.2999999999999995E-2</v>
      </c>
      <c r="I11" s="1343"/>
      <c r="J11" s="1841"/>
      <c r="K11" s="1763"/>
      <c r="L11" s="1771">
        <f>SUM(L5:L10)</f>
        <v>31378.600000000002</v>
      </c>
      <c r="M11" s="1772">
        <f>L11/$L$90</f>
        <v>9.7985116901803462E-2</v>
      </c>
      <c r="N11" s="1847">
        <v>8.8999999999999996E-2</v>
      </c>
      <c r="O11" s="1849">
        <v>0.1</v>
      </c>
      <c r="Q11" s="528"/>
      <c r="R11" s="528"/>
      <c r="S11" s="150"/>
      <c r="T11" s="150"/>
      <c r="V11" s="150"/>
      <c r="W11" s="150"/>
      <c r="X11" s="150"/>
      <c r="Y11" s="150"/>
      <c r="Z11" s="150"/>
      <c r="AA11" s="150"/>
      <c r="AB11" s="150"/>
      <c r="AC11" s="150"/>
      <c r="AD11" s="150"/>
      <c r="AE11" s="150"/>
    </row>
    <row r="12" spans="1:31" ht="15">
      <c r="A12" s="1867"/>
      <c r="B12" s="150"/>
      <c r="C12" s="1832"/>
      <c r="D12" s="150"/>
      <c r="F12" s="586"/>
      <c r="G12" s="797"/>
      <c r="H12" s="1828"/>
      <c r="I12" s="1833"/>
      <c r="J12" s="1841"/>
      <c r="K12" s="1763"/>
      <c r="L12" s="150"/>
      <c r="M12" s="583"/>
      <c r="N12" s="1830"/>
      <c r="O12" s="1850"/>
      <c r="Q12" s="528"/>
      <c r="R12" s="528"/>
      <c r="S12" s="150"/>
      <c r="T12" s="150"/>
      <c r="V12" s="150"/>
      <c r="W12" s="150"/>
      <c r="X12" s="150"/>
      <c r="Y12" s="150"/>
      <c r="Z12" s="150"/>
      <c r="AA12" s="150"/>
      <c r="AB12" s="150"/>
      <c r="AC12" s="150"/>
      <c r="AD12" s="150"/>
      <c r="AE12" s="150"/>
    </row>
    <row r="13" spans="1:31" ht="15">
      <c r="A13" s="1868" t="s">
        <v>791</v>
      </c>
      <c r="B13" s="1816" t="s">
        <v>792</v>
      </c>
      <c r="C13" s="1832"/>
      <c r="D13" s="150"/>
      <c r="E13" s="431"/>
      <c r="F13" s="150"/>
      <c r="G13" s="583"/>
      <c r="H13" s="1828"/>
      <c r="I13" s="1833"/>
      <c r="J13" s="1841"/>
      <c r="K13" s="1764"/>
      <c r="L13" s="150"/>
      <c r="M13" s="583"/>
      <c r="N13" s="1830"/>
      <c r="O13" s="1848"/>
      <c r="P13" s="528" t="s">
        <v>1247</v>
      </c>
      <c r="Q13" s="528"/>
      <c r="R13" s="528"/>
      <c r="S13" s="150"/>
      <c r="T13" s="150"/>
      <c r="V13" s="150"/>
      <c r="W13" s="150"/>
      <c r="X13" s="150"/>
      <c r="Y13" s="150"/>
      <c r="Z13" s="150"/>
      <c r="AA13" s="150"/>
      <c r="AB13" s="150"/>
      <c r="AC13" s="150"/>
      <c r="AD13" s="150"/>
      <c r="AE13" s="150"/>
    </row>
    <row r="14" spans="1:31" ht="15">
      <c r="A14" s="1865" t="s">
        <v>539</v>
      </c>
      <c r="B14" s="1816" t="s">
        <v>792</v>
      </c>
      <c r="C14" s="1832" t="s">
        <v>540</v>
      </c>
      <c r="D14" s="150">
        <v>100</v>
      </c>
      <c r="E14" s="1731">
        <v>84</v>
      </c>
      <c r="F14" s="585">
        <f>D14*E14</f>
        <v>8400</v>
      </c>
      <c r="G14" s="582">
        <f>F14/$F$18</f>
        <v>0.52543085329970574</v>
      </c>
      <c r="H14" s="1828"/>
      <c r="I14" s="1833"/>
      <c r="J14" s="1840">
        <v>170</v>
      </c>
      <c r="K14" s="1769">
        <f>'2023 YTD'!J11</f>
        <v>147.41999999999999</v>
      </c>
      <c r="L14" s="151">
        <f>J14*K14</f>
        <v>25061.399999999998</v>
      </c>
      <c r="M14" s="583">
        <f>L14/$L$18</f>
        <v>0.86629967939023655</v>
      </c>
      <c r="N14" s="1830"/>
      <c r="O14" s="1848"/>
      <c r="P14" s="605" t="s">
        <v>793</v>
      </c>
      <c r="R14" s="528"/>
      <c r="S14" s="150"/>
      <c r="T14" s="150"/>
      <c r="V14" s="150"/>
      <c r="W14" s="150"/>
      <c r="X14" s="150"/>
      <c r="Y14" s="150"/>
      <c r="Z14" s="150"/>
      <c r="AA14" s="150"/>
      <c r="AB14" s="150"/>
      <c r="AC14" s="150"/>
      <c r="AD14" s="150"/>
      <c r="AE14" s="150"/>
    </row>
    <row r="15" spans="1:31" ht="15">
      <c r="A15" s="1866" t="s">
        <v>651</v>
      </c>
      <c r="B15" s="1907"/>
      <c r="C15" s="1832" t="s">
        <v>652</v>
      </c>
      <c r="D15" s="150">
        <v>6</v>
      </c>
      <c r="E15" s="1908">
        <v>346.4</v>
      </c>
      <c r="F15" s="1909">
        <f>D15*E15</f>
        <v>2078.3999999999996</v>
      </c>
      <c r="G15" s="1910">
        <f>F15/$F$18</f>
        <v>0.13000660541644146</v>
      </c>
      <c r="H15" s="1828"/>
      <c r="I15" s="1833"/>
      <c r="J15" s="1911"/>
      <c r="K15" s="1912"/>
      <c r="L15" s="151"/>
      <c r="M15" s="583"/>
      <c r="N15" s="1830"/>
      <c r="O15" s="1913"/>
      <c r="P15" s="528"/>
      <c r="R15" s="528"/>
      <c r="S15" s="150"/>
      <c r="T15" s="150"/>
      <c r="V15" s="150"/>
      <c r="W15" s="150"/>
      <c r="X15" s="150"/>
      <c r="Y15" s="150"/>
      <c r="Z15" s="150"/>
      <c r="AA15" s="150"/>
      <c r="AB15" s="150"/>
      <c r="AC15" s="150"/>
      <c r="AD15" s="150"/>
      <c r="AE15" s="150"/>
    </row>
    <row r="16" spans="1:31" ht="15">
      <c r="A16" s="1866" t="s">
        <v>794</v>
      </c>
      <c r="B16" s="1816"/>
      <c r="C16" s="1832" t="s">
        <v>680</v>
      </c>
      <c r="D16" s="150">
        <v>62</v>
      </c>
      <c r="E16" s="1731">
        <v>33.64</v>
      </c>
      <c r="F16" s="585">
        <f>D16*E16</f>
        <v>2085.6799999999998</v>
      </c>
      <c r="G16" s="582">
        <f>F16/$F$18</f>
        <v>0.13046197882263455</v>
      </c>
      <c r="H16" s="1828"/>
      <c r="I16" s="1833"/>
      <c r="J16" s="1840"/>
      <c r="K16" s="1769"/>
      <c r="L16" s="151"/>
      <c r="M16" s="583"/>
      <c r="N16" s="1830"/>
      <c r="O16" s="1851"/>
      <c r="P16" s="528"/>
      <c r="Q16" s="528"/>
      <c r="R16" s="528"/>
      <c r="S16" s="150"/>
      <c r="T16" s="150"/>
      <c r="V16" s="150"/>
      <c r="W16" s="150"/>
      <c r="X16" s="150"/>
      <c r="Y16" s="150"/>
      <c r="Z16" s="150"/>
      <c r="AA16" s="150"/>
      <c r="AB16" s="150"/>
      <c r="AC16" s="150"/>
      <c r="AD16" s="150"/>
      <c r="AE16" s="150"/>
    </row>
    <row r="17" spans="1:31" ht="15">
      <c r="A17" s="1865" t="s">
        <v>630</v>
      </c>
      <c r="B17" s="1816" t="s">
        <v>792</v>
      </c>
      <c r="C17" s="1832" t="s">
        <v>124</v>
      </c>
      <c r="D17" s="150">
        <v>43</v>
      </c>
      <c r="E17" s="1731">
        <v>79.599999999999994</v>
      </c>
      <c r="F17" s="585">
        <f>D17*E17</f>
        <v>3422.7999999999997</v>
      </c>
      <c r="G17" s="582">
        <f>F17/$F$18</f>
        <v>0.2141005624612182</v>
      </c>
      <c r="H17" s="1828"/>
      <c r="I17" s="1833"/>
      <c r="J17" s="1840">
        <v>43</v>
      </c>
      <c r="K17" s="1769">
        <f>'2023 YTD'!J45</f>
        <v>89.95</v>
      </c>
      <c r="L17" s="151">
        <f t="shared" ref="L17" si="1">J17*K17</f>
        <v>3867.85</v>
      </c>
      <c r="M17" s="583">
        <f>L17/$L$18</f>
        <v>0.1337003206097635</v>
      </c>
      <c r="N17" s="1830"/>
      <c r="O17" s="1851"/>
      <c r="P17" s="528"/>
      <c r="Q17" s="528"/>
      <c r="R17" s="528"/>
      <c r="S17" s="150"/>
      <c r="T17" s="150"/>
      <c r="V17" s="150"/>
      <c r="W17" s="150"/>
      <c r="X17" s="150"/>
      <c r="Y17" s="150"/>
      <c r="Z17" s="150"/>
      <c r="AA17" s="150"/>
      <c r="AB17" s="150"/>
      <c r="AC17" s="150"/>
      <c r="AD17" s="150"/>
      <c r="AE17" s="150"/>
    </row>
    <row r="18" spans="1:31" ht="15">
      <c r="A18" s="1827" t="s">
        <v>790</v>
      </c>
      <c r="B18" s="150"/>
      <c r="C18" s="1832"/>
      <c r="D18" s="150"/>
      <c r="E18" s="431"/>
      <c r="F18" s="1814">
        <f>SUM(F14:F17)</f>
        <v>15986.88</v>
      </c>
      <c r="G18" s="1772">
        <f>F18/$F$90</f>
        <v>6.9236966693897686E-2</v>
      </c>
      <c r="H18" s="1829">
        <v>9.8000000000000004E-2</v>
      </c>
      <c r="I18" s="1343"/>
      <c r="J18" s="1841"/>
      <c r="K18" s="1763"/>
      <c r="L18" s="1771">
        <f>SUM(L14:L17)</f>
        <v>28929.249999999996</v>
      </c>
      <c r="M18" s="1772">
        <f>L18/$L$90</f>
        <v>9.0336597016166975E-2</v>
      </c>
      <c r="N18" s="1847">
        <v>0.107</v>
      </c>
      <c r="O18" s="1849">
        <v>0.09</v>
      </c>
      <c r="W18" s="150"/>
      <c r="X18" s="150"/>
      <c r="Y18" s="150"/>
      <c r="Z18" s="150"/>
      <c r="AA18" s="150"/>
      <c r="AB18" s="150"/>
      <c r="AC18" s="150"/>
      <c r="AD18" s="150"/>
      <c r="AE18" s="150"/>
    </row>
    <row r="19" spans="1:31" ht="15">
      <c r="A19" s="1827"/>
      <c r="B19" s="150"/>
      <c r="C19" s="1832"/>
      <c r="D19" s="150"/>
      <c r="E19" s="431"/>
      <c r="F19" s="151"/>
      <c r="G19" s="583"/>
      <c r="H19" s="1828"/>
      <c r="I19" s="1833"/>
      <c r="J19" s="1841"/>
      <c r="K19" s="1764"/>
      <c r="L19" s="151"/>
      <c r="M19" s="583"/>
      <c r="N19" s="1830"/>
      <c r="O19" s="1848"/>
      <c r="W19" s="150"/>
      <c r="X19" s="150"/>
      <c r="Y19" s="150"/>
      <c r="Z19" s="150"/>
      <c r="AA19" s="150"/>
      <c r="AB19" s="150"/>
      <c r="AC19" s="150"/>
      <c r="AD19" s="150"/>
      <c r="AE19" s="150"/>
    </row>
    <row r="20" spans="1:31" ht="15">
      <c r="A20" s="1868" t="s">
        <v>795</v>
      </c>
      <c r="B20" s="1816"/>
      <c r="C20" s="1832"/>
      <c r="D20" s="150"/>
      <c r="E20" s="431"/>
      <c r="F20" s="150"/>
      <c r="G20" s="583"/>
      <c r="H20" s="1828"/>
      <c r="I20" s="1833"/>
      <c r="J20" s="1841"/>
      <c r="K20" s="1764"/>
      <c r="L20" s="151"/>
      <c r="M20" s="583"/>
      <c r="N20" s="1830"/>
      <c r="O20" s="1848"/>
      <c r="W20" s="150"/>
      <c r="X20" s="150"/>
      <c r="Y20" s="150"/>
      <c r="Z20" s="150"/>
      <c r="AA20" s="150"/>
      <c r="AB20" s="150"/>
      <c r="AC20" s="150"/>
      <c r="AD20" s="150"/>
      <c r="AE20" s="150"/>
    </row>
    <row r="21" spans="1:31" ht="15">
      <c r="A21" s="1866" t="s">
        <v>632</v>
      </c>
      <c r="B21" s="1816"/>
      <c r="C21" s="1832" t="s">
        <v>633</v>
      </c>
      <c r="D21" s="152">
        <v>20</v>
      </c>
      <c r="E21" s="1731">
        <v>231.57</v>
      </c>
      <c r="F21" s="585">
        <f>D21*E21</f>
        <v>4631.3999999999996</v>
      </c>
      <c r="G21" s="582">
        <f>F21/$F$25</f>
        <v>0.33744262295081967</v>
      </c>
      <c r="H21" s="1828"/>
      <c r="I21" s="1833"/>
      <c r="J21" s="1840">
        <v>20</v>
      </c>
      <c r="K21" s="1769">
        <f>'2023 YTD'!J22</f>
        <v>186.26</v>
      </c>
      <c r="L21" s="1617">
        <f>J21*K21</f>
        <v>3725.2</v>
      </c>
      <c r="M21" s="797">
        <f>L21/$L$25</f>
        <v>0.21025361715577401</v>
      </c>
      <c r="N21" s="1830"/>
      <c r="O21" s="1848"/>
      <c r="P21" s="150"/>
      <c r="Q21" s="150"/>
      <c r="R21" s="150"/>
      <c r="S21" s="150"/>
      <c r="T21" s="150"/>
      <c r="U21" s="150"/>
      <c r="V21" s="150"/>
      <c r="W21" s="150"/>
      <c r="X21" s="150"/>
      <c r="Y21" s="150"/>
      <c r="Z21" s="150"/>
      <c r="AA21" s="150"/>
      <c r="AB21" s="150"/>
      <c r="AC21" s="150"/>
      <c r="AD21" s="150"/>
      <c r="AE21" s="150"/>
    </row>
    <row r="22" spans="1:31" ht="15">
      <c r="A22" s="1866" t="s">
        <v>796</v>
      </c>
      <c r="B22" s="1816"/>
      <c r="C22" s="1832" t="s">
        <v>761</v>
      </c>
      <c r="D22" s="152"/>
      <c r="E22" s="1731"/>
      <c r="F22" s="585"/>
      <c r="G22" s="582"/>
      <c r="H22" s="1828"/>
      <c r="I22" s="1833"/>
      <c r="J22" s="1840">
        <v>25</v>
      </c>
      <c r="K22" s="1769">
        <f>'2023 YTD'!J42</f>
        <v>125.35</v>
      </c>
      <c r="L22" s="151">
        <f>J22*K22</f>
        <v>3133.75</v>
      </c>
      <c r="M22" s="583">
        <f>L22/$L$25</f>
        <v>0.17687165058571536</v>
      </c>
      <c r="N22" s="1830"/>
      <c r="O22" s="1848"/>
      <c r="P22" s="150"/>
      <c r="Q22" s="150"/>
      <c r="R22" s="150"/>
      <c r="S22" s="150"/>
      <c r="T22" s="150"/>
      <c r="U22" s="150"/>
      <c r="V22" s="150"/>
      <c r="W22" s="150"/>
      <c r="X22" s="150"/>
      <c r="Y22" s="150"/>
      <c r="Z22" s="150"/>
      <c r="AA22" s="150"/>
      <c r="AB22" s="150"/>
      <c r="AC22" s="150"/>
      <c r="AD22" s="150"/>
      <c r="AE22" s="150"/>
    </row>
    <row r="23" spans="1:31" ht="15">
      <c r="A23" s="1866" t="s">
        <v>797</v>
      </c>
      <c r="B23" s="1816"/>
      <c r="C23" s="1832" t="s">
        <v>756</v>
      </c>
      <c r="D23" s="152"/>
      <c r="E23" s="1731"/>
      <c r="F23" s="585"/>
      <c r="G23" s="582"/>
      <c r="H23" s="1828"/>
      <c r="I23" s="1833"/>
      <c r="J23" s="1840">
        <v>50</v>
      </c>
      <c r="K23" s="1769">
        <f>'2023 YTD'!J25</f>
        <v>43.57</v>
      </c>
      <c r="L23" s="151">
        <f>J23*K23</f>
        <v>2178.5</v>
      </c>
      <c r="M23" s="583">
        <f>L23/$L$25</f>
        <v>0.12295648689301346</v>
      </c>
      <c r="N23" s="1830"/>
      <c r="O23" s="1848"/>
      <c r="P23" s="150"/>
      <c r="Q23" s="150"/>
      <c r="R23" s="150"/>
      <c r="S23" s="150"/>
      <c r="T23" s="150"/>
      <c r="U23" s="150"/>
      <c r="V23" s="150"/>
      <c r="W23" s="150"/>
      <c r="X23" s="150"/>
      <c r="Y23" s="150"/>
      <c r="Z23" s="150"/>
      <c r="AA23" s="150"/>
      <c r="AB23" s="150"/>
      <c r="AC23" s="150"/>
      <c r="AD23" s="150"/>
      <c r="AE23" s="150"/>
    </row>
    <row r="24" spans="1:31" ht="15">
      <c r="A24" s="1865" t="s">
        <v>658</v>
      </c>
      <c r="B24" s="1816"/>
      <c r="C24" s="1832" t="s">
        <v>257</v>
      </c>
      <c r="D24" s="152">
        <v>60</v>
      </c>
      <c r="E24" s="1731">
        <v>151.56</v>
      </c>
      <c r="F24" s="585">
        <f>D24*E24</f>
        <v>9093.6</v>
      </c>
      <c r="G24" s="582">
        <f>F24/$F$25</f>
        <v>0.66255737704918038</v>
      </c>
      <c r="H24" s="1828"/>
      <c r="I24" s="1833"/>
      <c r="J24" s="1840">
        <v>60</v>
      </c>
      <c r="K24" s="1769">
        <f>'2023 YTD'!J33</f>
        <v>144.66999999999999</v>
      </c>
      <c r="L24" s="151">
        <f>J24*K24</f>
        <v>8680.1999999999989</v>
      </c>
      <c r="M24" s="583">
        <f>L24/$L$25</f>
        <v>0.489918245365497</v>
      </c>
      <c r="N24" s="1830"/>
      <c r="O24" s="1848"/>
      <c r="P24" s="150"/>
      <c r="Q24" s="150"/>
      <c r="R24" s="150"/>
      <c r="S24" s="150"/>
      <c r="T24" s="150"/>
      <c r="U24" s="150"/>
      <c r="V24" s="150"/>
      <c r="W24" s="150"/>
      <c r="X24" s="150"/>
      <c r="Y24" s="150"/>
      <c r="Z24" s="150"/>
      <c r="AA24" s="150"/>
      <c r="AB24" s="150"/>
      <c r="AC24" s="150"/>
      <c r="AD24" s="150"/>
      <c r="AE24" s="150"/>
    </row>
    <row r="25" spans="1:31" ht="15">
      <c r="A25" s="1827" t="s">
        <v>790</v>
      </c>
      <c r="B25" s="150"/>
      <c r="C25" s="1832"/>
      <c r="D25" s="150"/>
      <c r="E25" s="431"/>
      <c r="F25" s="1814">
        <f>SUM(F21:F24)</f>
        <v>13725</v>
      </c>
      <c r="G25" s="1772">
        <f>F25/$F$90</f>
        <v>5.9441077175392931E-2</v>
      </c>
      <c r="H25" s="1829">
        <v>7.1999999999999995E-2</v>
      </c>
      <c r="I25" s="1343"/>
      <c r="J25" s="1841"/>
      <c r="K25" s="1763"/>
      <c r="L25" s="1771">
        <f>SUM(L21:L24)</f>
        <v>17717.650000000001</v>
      </c>
      <c r="M25" s="1772">
        <f>L25/$L$90</f>
        <v>5.5326432870658283E-2</v>
      </c>
      <c r="N25" s="1847">
        <v>6.6000000000000003E-2</v>
      </c>
      <c r="O25" s="1849">
        <v>0.06</v>
      </c>
      <c r="P25" s="150"/>
      <c r="Q25" s="150"/>
      <c r="R25" s="150"/>
      <c r="S25" s="150"/>
      <c r="T25" s="150"/>
      <c r="U25" s="150"/>
      <c r="V25" s="150"/>
      <c r="W25" s="150"/>
      <c r="X25" s="150"/>
      <c r="Y25" s="150"/>
      <c r="Z25" s="150"/>
      <c r="AA25" s="150"/>
      <c r="AB25" s="150"/>
      <c r="AC25" s="150"/>
      <c r="AD25" s="150"/>
      <c r="AE25" s="150"/>
    </row>
    <row r="26" spans="1:31" ht="15">
      <c r="A26" s="1827"/>
      <c r="B26" s="150"/>
      <c r="C26" s="1832"/>
      <c r="D26" s="150"/>
      <c r="E26" s="431"/>
      <c r="F26" s="151"/>
      <c r="G26" s="583"/>
      <c r="H26" s="1828"/>
      <c r="I26" s="1833"/>
      <c r="J26" s="1841"/>
      <c r="K26" s="1764"/>
      <c r="L26" s="151"/>
      <c r="M26" s="583"/>
      <c r="N26" s="1830"/>
      <c r="O26" s="1848"/>
      <c r="P26" s="150"/>
      <c r="Q26" s="150"/>
      <c r="R26" s="150"/>
      <c r="S26" s="150"/>
      <c r="T26" s="150"/>
      <c r="U26" s="150"/>
      <c r="V26" s="150"/>
      <c r="W26" s="150"/>
      <c r="X26" s="150"/>
      <c r="Y26" s="150"/>
      <c r="Z26" s="150"/>
      <c r="AA26" s="150"/>
      <c r="AB26" s="150"/>
      <c r="AC26" s="150"/>
      <c r="AD26" s="150"/>
      <c r="AE26" s="150"/>
    </row>
    <row r="27" spans="1:31" ht="15">
      <c r="A27" s="1868" t="s">
        <v>775</v>
      </c>
      <c r="B27" s="150" t="s">
        <v>798</v>
      </c>
      <c r="C27" s="1832"/>
      <c r="D27" s="150"/>
      <c r="F27" s="150"/>
      <c r="G27" s="583"/>
      <c r="H27" s="1828"/>
      <c r="I27" s="1833"/>
      <c r="J27" s="1841"/>
      <c r="K27" s="1764"/>
      <c r="L27" s="151"/>
      <c r="M27" s="583"/>
      <c r="N27" s="1830"/>
      <c r="O27" s="1848"/>
      <c r="P27" s="150"/>
      <c r="Q27" s="150"/>
      <c r="R27" s="150"/>
      <c r="S27" s="150"/>
      <c r="T27" s="150"/>
      <c r="U27" s="150"/>
      <c r="V27" s="150"/>
      <c r="W27" s="150"/>
      <c r="X27" s="150"/>
      <c r="Y27" s="150"/>
      <c r="Z27" s="150"/>
      <c r="AA27" s="150"/>
      <c r="AB27" s="150"/>
      <c r="AC27" s="150"/>
      <c r="AD27" s="150"/>
      <c r="AE27" s="150"/>
    </row>
    <row r="28" spans="1:31" ht="15">
      <c r="A28" s="1865" t="s">
        <v>623</v>
      </c>
      <c r="B28" s="150" t="s">
        <v>798</v>
      </c>
      <c r="C28" s="1832" t="s">
        <v>624</v>
      </c>
      <c r="D28" s="150">
        <v>20</v>
      </c>
      <c r="E28" s="1731">
        <v>149.96</v>
      </c>
      <c r="F28" s="153">
        <f>D28*E28</f>
        <v>2999.2000000000003</v>
      </c>
      <c r="G28" s="582">
        <f>F28/$F$32</f>
        <v>0.27136015750325493</v>
      </c>
      <c r="H28" s="1828"/>
      <c r="I28" s="1833"/>
      <c r="J28" s="1840">
        <v>20</v>
      </c>
      <c r="K28" s="1769">
        <f>'2023 YTD'!J19</f>
        <v>171.35</v>
      </c>
      <c r="L28" s="151">
        <f>J28*K28</f>
        <v>3427</v>
      </c>
      <c r="M28" s="583">
        <f>L28/$L$32</f>
        <v>0.35779426673056219</v>
      </c>
      <c r="N28" s="1830"/>
      <c r="O28" s="1848"/>
      <c r="P28" s="150"/>
      <c r="Q28" s="150"/>
      <c r="R28" s="150"/>
      <c r="S28" s="150"/>
      <c r="T28" s="150"/>
      <c r="U28" s="150"/>
      <c r="V28" s="150"/>
      <c r="W28" s="150"/>
      <c r="X28" s="150"/>
      <c r="Y28" s="150"/>
      <c r="Z28" s="150"/>
      <c r="AA28" s="150"/>
      <c r="AB28" s="150"/>
      <c r="AC28" s="150"/>
      <c r="AD28" s="150"/>
      <c r="AE28" s="150"/>
    </row>
    <row r="29" spans="1:31" ht="15">
      <c r="A29" s="1866" t="s">
        <v>681</v>
      </c>
      <c r="B29" s="150" t="s">
        <v>798</v>
      </c>
      <c r="C29" s="1832" t="s">
        <v>682</v>
      </c>
      <c r="D29" s="150">
        <v>37</v>
      </c>
      <c r="E29" s="1731">
        <v>116.39</v>
      </c>
      <c r="F29" s="153">
        <f>D29*E29</f>
        <v>4306.43</v>
      </c>
      <c r="G29" s="582">
        <f>F29/$F$32</f>
        <v>0.38963507704612632</v>
      </c>
      <c r="H29" s="1828"/>
      <c r="I29" s="1833"/>
      <c r="J29" s="1840">
        <f>37-7</f>
        <v>30</v>
      </c>
      <c r="K29" s="1769">
        <f>'2023 YTD'!J27</f>
        <v>150.86000000000001</v>
      </c>
      <c r="L29" s="1617">
        <f>J29*K29</f>
        <v>4525.8</v>
      </c>
      <c r="M29" s="797">
        <f>L29/$L$32</f>
        <v>0.47251394583285045</v>
      </c>
      <c r="N29" s="1830"/>
      <c r="O29" s="1848"/>
      <c r="P29" s="150"/>
      <c r="Q29" s="150"/>
      <c r="R29" s="150"/>
      <c r="S29" s="150"/>
      <c r="T29" s="150"/>
      <c r="U29" s="150"/>
      <c r="V29" s="150"/>
      <c r="W29" s="150"/>
      <c r="X29" s="150"/>
      <c r="Y29" s="150"/>
      <c r="Z29" s="150"/>
      <c r="AA29" s="150"/>
      <c r="AB29" s="150"/>
      <c r="AC29" s="150"/>
      <c r="AD29" s="150"/>
      <c r="AE29" s="150"/>
    </row>
    <row r="30" spans="1:31" ht="15">
      <c r="A30" s="1865" t="s">
        <v>799</v>
      </c>
      <c r="B30" s="150" t="s">
        <v>798</v>
      </c>
      <c r="C30" s="1832" t="s">
        <v>759</v>
      </c>
      <c r="D30" s="150"/>
      <c r="E30" s="1731"/>
      <c r="F30" s="153"/>
      <c r="G30" s="582"/>
      <c r="H30" s="1828"/>
      <c r="I30" s="1833"/>
      <c r="J30" s="1840">
        <v>31</v>
      </c>
      <c r="K30" s="1769">
        <f>'2023 YTD'!J39</f>
        <v>52.43</v>
      </c>
      <c r="L30" s="151">
        <f>J30*K30</f>
        <v>1625.33</v>
      </c>
      <c r="M30" s="583">
        <f>L30/$L$32</f>
        <v>0.16969178743658728</v>
      </c>
      <c r="N30" s="1830"/>
      <c r="O30" s="1848"/>
      <c r="P30" s="150"/>
      <c r="Q30" s="150"/>
      <c r="R30" s="150"/>
      <c r="S30" s="150"/>
      <c r="T30" s="150"/>
      <c r="U30" s="150"/>
      <c r="V30" s="150"/>
      <c r="W30" s="150"/>
      <c r="X30" s="150"/>
      <c r="Y30" s="150"/>
      <c r="Z30" s="150"/>
      <c r="AA30" s="150"/>
      <c r="AB30" s="150"/>
      <c r="AC30" s="150"/>
      <c r="AD30" s="150"/>
      <c r="AE30" s="150"/>
    </row>
    <row r="31" spans="1:31" ht="15">
      <c r="A31" s="1865" t="s">
        <v>733</v>
      </c>
      <c r="B31" s="150" t="s">
        <v>798</v>
      </c>
      <c r="C31" s="1832" t="s">
        <v>611</v>
      </c>
      <c r="D31" s="150">
        <v>94</v>
      </c>
      <c r="E31" s="1731">
        <v>39.86</v>
      </c>
      <c r="F31" s="153">
        <f>D31*E31</f>
        <v>3746.84</v>
      </c>
      <c r="G31" s="582">
        <f>F31/$F$32</f>
        <v>0.33900476545061869</v>
      </c>
      <c r="H31" s="1828"/>
      <c r="I31" s="1833"/>
      <c r="J31" s="1840"/>
      <c r="K31" s="1769"/>
      <c r="L31" s="151"/>
      <c r="M31" s="583"/>
      <c r="N31" s="1830"/>
      <c r="O31" s="1848"/>
      <c r="P31" s="150"/>
      <c r="Q31" s="150"/>
      <c r="R31" s="150"/>
      <c r="S31" s="150"/>
      <c r="T31" s="150"/>
      <c r="U31" s="150"/>
      <c r="V31" s="150"/>
      <c r="W31" s="150"/>
      <c r="X31" s="150"/>
      <c r="Y31" s="150"/>
      <c r="Z31" s="150"/>
      <c r="AA31" s="150"/>
      <c r="AB31" s="150"/>
      <c r="AC31" s="150"/>
      <c r="AD31" s="150"/>
      <c r="AE31" s="150"/>
    </row>
    <row r="32" spans="1:31" ht="15">
      <c r="A32" s="1827" t="s">
        <v>790</v>
      </c>
      <c r="B32" s="150"/>
      <c r="C32" s="1832"/>
      <c r="D32" s="150"/>
      <c r="E32" s="431"/>
      <c r="F32" s="1815">
        <f>SUM(F28:F31)</f>
        <v>11052.470000000001</v>
      </c>
      <c r="G32" s="1772">
        <f>F32/$F$90</f>
        <v>4.7866719289523872E-2</v>
      </c>
      <c r="H32" s="1829">
        <v>5.1999999999999998E-2</v>
      </c>
      <c r="I32" s="1343"/>
      <c r="J32" s="1841"/>
      <c r="K32" s="1763"/>
      <c r="L32" s="1771">
        <f>SUM(L28:L31)</f>
        <v>9578.130000000001</v>
      </c>
      <c r="M32" s="1772">
        <f>L32/$L$90</f>
        <v>2.9909370964627827E-2</v>
      </c>
      <c r="N32" s="1847">
        <v>4.7E-2</v>
      </c>
      <c r="O32" s="1849">
        <v>0.03</v>
      </c>
      <c r="P32" s="150"/>
      <c r="Q32" s="150"/>
      <c r="R32" s="150"/>
      <c r="S32" s="150"/>
      <c r="T32" s="150"/>
      <c r="U32" s="150"/>
      <c r="V32" s="150"/>
      <c r="W32" s="150"/>
      <c r="X32" s="150"/>
      <c r="Y32" s="150"/>
      <c r="Z32" s="150"/>
      <c r="AA32" s="150"/>
      <c r="AB32" s="150"/>
      <c r="AC32" s="150"/>
      <c r="AD32" s="150"/>
      <c r="AE32" s="150"/>
    </row>
    <row r="33" spans="1:31" ht="15">
      <c r="A33" s="1827"/>
      <c r="B33" s="150"/>
      <c r="C33" s="1832"/>
      <c r="D33" s="150"/>
      <c r="E33" s="431"/>
      <c r="F33" s="150"/>
      <c r="G33" s="583"/>
      <c r="H33" s="1828"/>
      <c r="I33" s="1833"/>
      <c r="J33" s="1841"/>
      <c r="K33" s="1764"/>
      <c r="L33" s="151"/>
      <c r="M33" s="583"/>
      <c r="N33" s="1830"/>
      <c r="O33" s="1848"/>
      <c r="P33" s="150"/>
      <c r="Q33" s="150"/>
      <c r="R33" s="150"/>
      <c r="S33" s="150"/>
      <c r="T33" s="150"/>
      <c r="U33" s="150"/>
      <c r="V33" s="150"/>
      <c r="W33" s="150"/>
      <c r="X33" s="150"/>
      <c r="Y33" s="150"/>
      <c r="Z33" s="150"/>
      <c r="AA33" s="150"/>
      <c r="AB33" s="150"/>
      <c r="AC33" s="150"/>
      <c r="AD33" s="150"/>
      <c r="AE33" s="150"/>
    </row>
    <row r="34" spans="1:31" ht="15">
      <c r="A34" s="1868" t="s">
        <v>776</v>
      </c>
      <c r="B34" s="1816" t="s">
        <v>800</v>
      </c>
      <c r="C34" s="1832"/>
      <c r="D34" s="150"/>
      <c r="E34" s="431"/>
      <c r="F34" s="150"/>
      <c r="G34" s="583"/>
      <c r="H34" s="1828"/>
      <c r="I34" s="1833"/>
      <c r="J34" s="1841"/>
      <c r="K34" s="1764"/>
      <c r="L34" s="151"/>
      <c r="M34" s="583"/>
      <c r="N34" s="1830"/>
      <c r="O34" s="1848"/>
      <c r="P34" s="150"/>
      <c r="Q34" s="150"/>
      <c r="R34" s="150"/>
      <c r="S34" s="150"/>
      <c r="T34" s="150"/>
      <c r="U34" s="150"/>
      <c r="V34" s="150"/>
      <c r="W34" s="150"/>
      <c r="X34" s="150"/>
      <c r="Y34" s="150"/>
      <c r="Z34" s="150"/>
      <c r="AA34" s="150"/>
      <c r="AB34" s="150"/>
      <c r="AC34" s="150"/>
      <c r="AD34" s="150"/>
      <c r="AE34" s="150"/>
    </row>
    <row r="35" spans="1:31" ht="15">
      <c r="A35" s="1865" t="s">
        <v>22</v>
      </c>
      <c r="B35" s="1816" t="s">
        <v>800</v>
      </c>
      <c r="C35" s="1832" t="s">
        <v>23</v>
      </c>
      <c r="D35" s="150">
        <v>148</v>
      </c>
      <c r="E35" s="1731">
        <v>33.119999999999997</v>
      </c>
      <c r="F35" s="153">
        <f>D35*E35</f>
        <v>4901.7599999999993</v>
      </c>
      <c r="G35" s="582">
        <f>F35/$F$41</f>
        <v>0.19497409963258588</v>
      </c>
      <c r="H35" s="1828"/>
      <c r="I35" s="1833"/>
      <c r="J35" s="1840"/>
      <c r="K35" s="1769"/>
      <c r="L35" s="151"/>
      <c r="M35" s="583"/>
      <c r="N35" s="1830"/>
      <c r="O35" s="1848"/>
      <c r="P35" s="150"/>
      <c r="Q35" s="150"/>
      <c r="R35" s="150"/>
      <c r="S35" s="150"/>
      <c r="T35" s="150"/>
      <c r="U35" s="150"/>
      <c r="V35" s="150"/>
      <c r="W35" s="150"/>
      <c r="X35" s="150"/>
      <c r="Y35" s="150"/>
      <c r="Z35" s="150"/>
      <c r="AA35" s="150"/>
      <c r="AB35" s="150"/>
      <c r="AC35" s="150"/>
      <c r="AD35" s="150"/>
      <c r="AE35" s="150"/>
    </row>
    <row r="36" spans="1:31" ht="15">
      <c r="A36" s="1865" t="s">
        <v>676</v>
      </c>
      <c r="B36" s="1816" t="s">
        <v>800</v>
      </c>
      <c r="C36" s="1832" t="s">
        <v>602</v>
      </c>
      <c r="D36" s="150">
        <v>7</v>
      </c>
      <c r="E36" s="1731">
        <v>708.63</v>
      </c>
      <c r="F36" s="153">
        <f>D36*E36</f>
        <v>4960.41</v>
      </c>
      <c r="G36" s="582">
        <f>F36/$F$41</f>
        <v>0.19730698229992399</v>
      </c>
      <c r="H36" s="1828"/>
      <c r="I36" s="1833"/>
      <c r="J36" s="1840">
        <v>7</v>
      </c>
      <c r="K36" s="1769">
        <f>'2023 YTD'!J16</f>
        <v>807.56</v>
      </c>
      <c r="L36" s="1617">
        <f>J36*K36</f>
        <v>5652.92</v>
      </c>
      <c r="M36" s="797">
        <f>L36/$L$41</f>
        <v>0.22827375874639466</v>
      </c>
      <c r="N36" s="1830"/>
      <c r="O36" s="1848"/>
      <c r="P36" s="150"/>
      <c r="Q36" s="150"/>
      <c r="R36" s="150"/>
      <c r="S36" s="150"/>
      <c r="T36" s="150"/>
      <c r="U36" s="150"/>
      <c r="V36" s="150"/>
      <c r="W36" s="150"/>
      <c r="X36" s="150"/>
      <c r="Y36" s="150"/>
      <c r="Z36" s="150"/>
      <c r="AA36" s="150"/>
      <c r="AB36" s="150"/>
      <c r="AC36" s="150"/>
      <c r="AD36" s="150"/>
      <c r="AE36" s="150"/>
    </row>
    <row r="37" spans="1:31" ht="15">
      <c r="A37" s="1865" t="s">
        <v>801</v>
      </c>
      <c r="B37" s="1816"/>
      <c r="C37" s="1832" t="s">
        <v>452</v>
      </c>
      <c r="D37" s="150">
        <v>50</v>
      </c>
      <c r="E37" s="1731">
        <v>92.96</v>
      </c>
      <c r="F37" s="153">
        <f>D37*E37</f>
        <v>4648</v>
      </c>
      <c r="G37" s="582">
        <f>F37/$F$41</f>
        <v>0.18488045418222418</v>
      </c>
      <c r="H37" s="1828"/>
      <c r="I37" s="1833"/>
      <c r="J37" s="1840"/>
      <c r="K37" s="1769"/>
      <c r="L37" s="151"/>
      <c r="M37" s="583"/>
      <c r="N37" s="1830"/>
      <c r="O37" s="1848"/>
      <c r="P37" s="150"/>
      <c r="Q37" s="150"/>
      <c r="R37" s="150"/>
      <c r="S37" s="150"/>
      <c r="T37" s="150"/>
      <c r="U37" s="150"/>
      <c r="V37" s="150"/>
      <c r="W37" s="150"/>
      <c r="X37" s="150"/>
      <c r="Y37" s="150"/>
      <c r="Z37" s="150"/>
      <c r="AA37" s="150"/>
      <c r="AB37" s="150"/>
      <c r="AC37" s="150"/>
      <c r="AD37" s="150"/>
      <c r="AE37" s="150"/>
    </row>
    <row r="38" spans="1:31" ht="15">
      <c r="A38" s="1866" t="s">
        <v>654</v>
      </c>
      <c r="B38" s="1816" t="s">
        <v>800</v>
      </c>
      <c r="C38" s="1832" t="s">
        <v>655</v>
      </c>
      <c r="D38" s="150">
        <v>200</v>
      </c>
      <c r="E38" s="1731">
        <v>11.6</v>
      </c>
      <c r="F38" s="153">
        <f>D38*E38</f>
        <v>2320</v>
      </c>
      <c r="G38" s="582">
        <f>F38/$F$41</f>
        <v>9.2281121708855454E-2</v>
      </c>
      <c r="H38" s="1828"/>
      <c r="I38" s="1833"/>
      <c r="J38" s="1842">
        <v>200</v>
      </c>
      <c r="K38" s="1769">
        <f>'2023 YTD'!J24</f>
        <v>13.13</v>
      </c>
      <c r="L38" s="151">
        <f t="shared" ref="L38:L40" si="2">J38*K38</f>
        <v>2626</v>
      </c>
      <c r="M38" s="583">
        <f>L38/$L$41</f>
        <v>0.10604199077079322</v>
      </c>
      <c r="N38" s="1830"/>
      <c r="O38" s="1848"/>
      <c r="P38" s="150"/>
      <c r="Q38" s="150"/>
      <c r="R38" s="150"/>
      <c r="S38" s="150"/>
      <c r="T38" s="150"/>
      <c r="U38" s="150"/>
      <c r="V38" s="150"/>
      <c r="W38" s="150"/>
      <c r="X38" s="150"/>
      <c r="Y38" s="150"/>
      <c r="Z38" s="150"/>
      <c r="AA38" s="150"/>
      <c r="AB38" s="150"/>
      <c r="AC38" s="150"/>
      <c r="AD38" s="150"/>
      <c r="AE38" s="150"/>
    </row>
    <row r="39" spans="1:31" ht="15">
      <c r="A39" s="1866" t="s">
        <v>1275</v>
      </c>
      <c r="B39" s="1816"/>
      <c r="C39" s="1832" t="s">
        <v>1283</v>
      </c>
      <c r="D39" s="150"/>
      <c r="E39" s="1731"/>
      <c r="F39" s="153"/>
      <c r="G39" s="582"/>
      <c r="H39" s="1828"/>
      <c r="I39" s="1833"/>
      <c r="J39" s="1842">
        <v>101</v>
      </c>
      <c r="K39" s="1769">
        <f>'2023 YTD'!J41</f>
        <v>45.215000000000003</v>
      </c>
      <c r="L39" s="151">
        <f>J39*K39</f>
        <v>4566.7150000000001</v>
      </c>
      <c r="M39" s="583">
        <f>L39/L41</f>
        <v>0.18441110048851597</v>
      </c>
      <c r="N39" s="1830"/>
      <c r="O39" s="1848"/>
      <c r="P39" s="150"/>
      <c r="Q39" s="150"/>
      <c r="R39" s="150"/>
      <c r="S39" s="150"/>
      <c r="T39" s="150"/>
      <c r="U39" s="150"/>
      <c r="V39" s="150"/>
      <c r="W39" s="150"/>
      <c r="X39" s="150"/>
      <c r="Y39" s="150"/>
      <c r="Z39" s="150"/>
      <c r="AA39" s="150"/>
      <c r="AB39" s="150"/>
      <c r="AC39" s="150"/>
      <c r="AD39" s="150"/>
      <c r="AE39" s="150"/>
    </row>
    <row r="40" spans="1:31" ht="15">
      <c r="A40" s="1865" t="s">
        <v>467</v>
      </c>
      <c r="B40" s="1816" t="s">
        <v>800</v>
      </c>
      <c r="C40" s="1832" t="s">
        <v>468</v>
      </c>
      <c r="D40" s="150">
        <v>40</v>
      </c>
      <c r="E40" s="1731">
        <v>207.76</v>
      </c>
      <c r="F40" s="153">
        <f>D40*E40</f>
        <v>8310.4</v>
      </c>
      <c r="G40" s="582">
        <f>F40/$F$41</f>
        <v>0.33055734217641047</v>
      </c>
      <c r="H40" s="1828"/>
      <c r="I40" s="1833"/>
      <c r="J40" s="1842">
        <f>40+6</f>
        <v>46</v>
      </c>
      <c r="K40" s="1769">
        <f>'2023 YTD'!J48</f>
        <v>259.08999999999997</v>
      </c>
      <c r="L40" s="151">
        <f t="shared" si="2"/>
        <v>11918.14</v>
      </c>
      <c r="M40" s="583">
        <f>L40/$L$41</f>
        <v>0.48127314999429605</v>
      </c>
      <c r="N40" s="1830"/>
      <c r="O40" s="1848"/>
      <c r="P40" s="150"/>
      <c r="Q40" s="150"/>
      <c r="R40" s="150"/>
      <c r="S40" s="150"/>
      <c r="T40" s="150"/>
      <c r="U40" s="150"/>
      <c r="V40" s="150"/>
      <c r="W40" s="150"/>
      <c r="X40" s="150"/>
      <c r="Y40" s="150"/>
      <c r="Z40" s="150"/>
      <c r="AA40" s="150"/>
      <c r="AB40" s="150"/>
      <c r="AC40" s="150"/>
      <c r="AD40" s="150"/>
      <c r="AE40" s="150"/>
    </row>
    <row r="41" spans="1:31" ht="15">
      <c r="A41" s="1827" t="s">
        <v>790</v>
      </c>
      <c r="B41" s="150"/>
      <c r="C41" s="1832"/>
      <c r="D41" s="150"/>
      <c r="E41" s="431"/>
      <c r="F41" s="1815">
        <f>SUM(F35:F40)</f>
        <v>25140.57</v>
      </c>
      <c r="G41" s="1772">
        <f>F41/$F$90</f>
        <v>0.10888033235725815</v>
      </c>
      <c r="H41" s="1829">
        <v>0.11700000000000001</v>
      </c>
      <c r="I41" s="1833"/>
      <c r="J41" s="1841"/>
      <c r="K41" s="1763"/>
      <c r="L41" s="1771">
        <f>SUM(L35:L40)</f>
        <v>24763.775000000001</v>
      </c>
      <c r="M41" s="1772">
        <f>L41/$L$90</f>
        <v>7.7329179386746313E-2</v>
      </c>
      <c r="N41" s="1847">
        <v>0.128</v>
      </c>
      <c r="O41" s="1928">
        <v>7.7499999999999999E-2</v>
      </c>
      <c r="P41" s="150"/>
      <c r="Q41" s="150"/>
      <c r="R41" s="150"/>
      <c r="S41" s="150"/>
      <c r="T41" s="150"/>
      <c r="U41" s="150"/>
      <c r="V41" s="150"/>
      <c r="W41" s="150"/>
      <c r="X41" s="150"/>
      <c r="Y41" s="150"/>
      <c r="Z41" s="150"/>
      <c r="AA41" s="150"/>
      <c r="AB41" s="150"/>
      <c r="AC41" s="150"/>
      <c r="AD41" s="150"/>
      <c r="AE41" s="150"/>
    </row>
    <row r="42" spans="1:31" ht="15">
      <c r="A42" s="1827"/>
      <c r="B42" s="150"/>
      <c r="C42" s="1832"/>
      <c r="D42" s="150"/>
      <c r="E42" s="431"/>
      <c r="F42" s="150"/>
      <c r="G42" s="583"/>
      <c r="H42" s="1828"/>
      <c r="I42" s="1833"/>
      <c r="J42" s="1841"/>
      <c r="K42" s="1764"/>
      <c r="L42" s="151"/>
      <c r="M42" s="583"/>
      <c r="N42" s="1830"/>
      <c r="O42" s="1848"/>
      <c r="P42" s="150"/>
      <c r="Q42" s="150"/>
      <c r="R42" s="150"/>
      <c r="S42" s="150"/>
      <c r="T42" s="150"/>
      <c r="U42" s="150"/>
      <c r="V42" s="150"/>
      <c r="W42" s="150"/>
      <c r="X42" s="150"/>
      <c r="Y42" s="150"/>
      <c r="Z42" s="150"/>
      <c r="AA42" s="150"/>
      <c r="AB42" s="150"/>
      <c r="AC42" s="150"/>
      <c r="AD42" s="150"/>
      <c r="AE42" s="150"/>
    </row>
    <row r="43" spans="1:31" ht="15">
      <c r="A43" s="1868" t="s">
        <v>777</v>
      </c>
      <c r="B43" s="1816" t="s">
        <v>802</v>
      </c>
      <c r="C43" s="1832"/>
      <c r="D43" s="150"/>
      <c r="E43" s="431"/>
      <c r="F43" s="150"/>
      <c r="G43" s="583"/>
      <c r="H43" s="1828"/>
      <c r="I43" s="1833"/>
      <c r="J43" s="1841"/>
      <c r="K43" s="1764"/>
      <c r="L43" s="151"/>
      <c r="M43" s="583"/>
      <c r="N43" s="1830"/>
      <c r="O43" s="1848"/>
      <c r="P43" s="150"/>
      <c r="Q43" s="150"/>
      <c r="R43" s="150"/>
      <c r="S43" s="150"/>
      <c r="T43" s="150"/>
      <c r="U43" s="150"/>
      <c r="V43" s="150"/>
      <c r="W43" s="150"/>
      <c r="X43" s="150"/>
      <c r="Y43" s="150"/>
      <c r="Z43" s="150"/>
      <c r="AA43" s="150"/>
      <c r="AB43" s="150"/>
      <c r="AC43" s="150"/>
      <c r="AD43" s="150"/>
      <c r="AE43" s="150"/>
    </row>
    <row r="44" spans="1:31" ht="15">
      <c r="A44" s="1865" t="s">
        <v>673</v>
      </c>
      <c r="B44" s="1816" t="s">
        <v>802</v>
      </c>
      <c r="C44" s="1832" t="s">
        <v>362</v>
      </c>
      <c r="D44" s="150">
        <v>37</v>
      </c>
      <c r="E44" s="1731">
        <v>161.61000000000001</v>
      </c>
      <c r="F44" s="153">
        <f>D44*E44</f>
        <v>5979.5700000000006</v>
      </c>
      <c r="G44" s="582">
        <f t="shared" ref="G44:G49" si="3">F44/$F$51</f>
        <v>0.13080388266091733</v>
      </c>
      <c r="H44" s="1828"/>
      <c r="I44" s="1833"/>
      <c r="J44" s="1840">
        <v>37</v>
      </c>
      <c r="K44" s="1769">
        <f>'2023 YTD'!J9</f>
        <v>154.94</v>
      </c>
      <c r="L44" s="151">
        <f>J44*K44</f>
        <v>5732.78</v>
      </c>
      <c r="M44" s="583">
        <f>L44/$L$51</f>
        <v>0.10921458403087388</v>
      </c>
      <c r="N44" s="1830"/>
      <c r="O44" s="1848"/>
      <c r="P44" s="150"/>
      <c r="Q44" s="150"/>
      <c r="R44" s="150"/>
      <c r="S44" s="150"/>
      <c r="T44" s="150"/>
      <c r="U44" s="150"/>
      <c r="V44" s="150"/>
      <c r="W44" s="150"/>
      <c r="X44" s="150"/>
      <c r="Y44" s="150"/>
      <c r="Z44" s="150"/>
      <c r="AA44" s="150"/>
      <c r="AB44" s="150"/>
      <c r="AC44" s="150"/>
      <c r="AD44" s="150"/>
      <c r="AE44" s="150"/>
    </row>
    <row r="45" spans="1:31" ht="15">
      <c r="A45" s="1865" t="s">
        <v>720</v>
      </c>
      <c r="B45" s="1816" t="s">
        <v>802</v>
      </c>
      <c r="C45" s="1832" t="s">
        <v>721</v>
      </c>
      <c r="D45" s="150">
        <v>35</v>
      </c>
      <c r="E45" s="1731">
        <v>165.71</v>
      </c>
      <c r="F45" s="153">
        <f>D45*E45</f>
        <v>5799.85</v>
      </c>
      <c r="G45" s="582">
        <f t="shared" si="3"/>
        <v>0.12687248394966885</v>
      </c>
      <c r="H45" s="1828"/>
      <c r="I45" s="1833"/>
      <c r="J45" s="1840">
        <v>35</v>
      </c>
      <c r="K45" s="1769">
        <f>'2023 YTD'!J13</f>
        <v>201.55</v>
      </c>
      <c r="L45" s="1617">
        <f>J45*K45</f>
        <v>7054.25</v>
      </c>
      <c r="M45" s="797">
        <f>L45/$L$51</f>
        <v>0.13438976890789323</v>
      </c>
      <c r="N45" s="1830"/>
      <c r="O45" s="1848"/>
      <c r="P45" s="150"/>
      <c r="Q45" s="150"/>
      <c r="R45" s="150"/>
      <c r="S45" s="150"/>
      <c r="T45" s="150"/>
      <c r="U45" s="150"/>
      <c r="V45" s="150"/>
      <c r="W45" s="150"/>
      <c r="X45" s="150"/>
      <c r="Y45" s="150"/>
      <c r="Z45" s="150"/>
      <c r="AA45" s="150"/>
      <c r="AB45" s="150"/>
      <c r="AC45" s="150"/>
      <c r="AD45" s="150"/>
      <c r="AE45" s="150"/>
    </row>
    <row r="46" spans="1:31" ht="15">
      <c r="A46" s="1865" t="s">
        <v>401</v>
      </c>
      <c r="B46" s="1816"/>
      <c r="C46" s="1832" t="s">
        <v>402</v>
      </c>
      <c r="D46" s="150">
        <v>21</v>
      </c>
      <c r="E46" s="1731">
        <v>262.64</v>
      </c>
      <c r="F46" s="153">
        <f t="shared" ref="F46:F49" si="4">D46*E46</f>
        <v>5515.44</v>
      </c>
      <c r="G46" s="582">
        <f t="shared" si="3"/>
        <v>0.12065097767620911</v>
      </c>
      <c r="H46" s="1828"/>
      <c r="I46" s="1833"/>
      <c r="J46" s="1840"/>
      <c r="K46" s="1769"/>
      <c r="L46" s="151"/>
      <c r="M46" s="583"/>
      <c r="N46" s="1830"/>
      <c r="O46" s="1848"/>
      <c r="P46" s="150"/>
      <c r="Q46" s="150"/>
      <c r="R46" s="150"/>
      <c r="S46" s="150"/>
      <c r="T46" s="150"/>
      <c r="U46" s="150"/>
      <c r="V46" s="150"/>
      <c r="W46" s="150"/>
      <c r="X46" s="150"/>
      <c r="Y46" s="150"/>
      <c r="Z46" s="150"/>
      <c r="AA46" s="150"/>
      <c r="AB46" s="150"/>
      <c r="AC46" s="150"/>
      <c r="AD46" s="150"/>
      <c r="AE46" s="150"/>
    </row>
    <row r="47" spans="1:31" ht="15">
      <c r="A47" s="1866" t="s">
        <v>576</v>
      </c>
      <c r="B47" s="1816"/>
      <c r="C47" s="1832" t="s">
        <v>456</v>
      </c>
      <c r="D47" s="150">
        <v>30</v>
      </c>
      <c r="E47" s="1731">
        <v>93.19</v>
      </c>
      <c r="F47" s="153">
        <f>D47*E47</f>
        <v>2795.7</v>
      </c>
      <c r="G47" s="582">
        <f t="shared" si="3"/>
        <v>6.1156306348972671E-2</v>
      </c>
      <c r="H47" s="1828"/>
      <c r="I47" s="1833"/>
      <c r="J47" s="1840"/>
      <c r="K47" s="1769"/>
      <c r="L47" s="151"/>
      <c r="M47" s="583"/>
      <c r="N47" s="1830"/>
      <c r="O47" s="1848"/>
      <c r="P47" s="150"/>
      <c r="Q47" s="150"/>
      <c r="R47" s="150"/>
      <c r="S47" s="150"/>
      <c r="T47" s="150"/>
      <c r="U47" s="150"/>
      <c r="V47" s="150"/>
      <c r="W47" s="150"/>
      <c r="X47" s="150"/>
      <c r="Y47" s="150"/>
      <c r="Z47" s="150"/>
      <c r="AA47" s="150"/>
      <c r="AB47" s="150"/>
      <c r="AC47" s="150"/>
      <c r="AD47" s="150"/>
      <c r="AE47" s="150"/>
    </row>
    <row r="48" spans="1:31" ht="15">
      <c r="A48" s="1866" t="s">
        <v>547</v>
      </c>
      <c r="B48" s="1816"/>
      <c r="C48" s="1832" t="s">
        <v>548</v>
      </c>
      <c r="D48" s="150">
        <v>25</v>
      </c>
      <c r="E48" s="1731">
        <v>176.65</v>
      </c>
      <c r="F48" s="153">
        <f t="shared" si="4"/>
        <v>4416.25</v>
      </c>
      <c r="G48" s="582">
        <f t="shared" si="3"/>
        <v>9.6606051405247542E-2</v>
      </c>
      <c r="H48" s="1828"/>
      <c r="I48" s="1833"/>
      <c r="J48" s="1840"/>
      <c r="K48" s="1769"/>
      <c r="L48" s="151"/>
      <c r="M48" s="583"/>
      <c r="N48" s="1830"/>
      <c r="O48" s="1848"/>
      <c r="P48" s="150"/>
      <c r="Q48" s="150"/>
      <c r="R48" s="150"/>
      <c r="S48" s="150"/>
      <c r="T48" s="150"/>
      <c r="U48" s="150"/>
      <c r="V48" s="150"/>
      <c r="W48" s="150"/>
      <c r="X48" s="150"/>
      <c r="Y48" s="150"/>
      <c r="Z48" s="150"/>
      <c r="AA48" s="150"/>
      <c r="AB48" s="150"/>
      <c r="AC48" s="150"/>
      <c r="AD48" s="150"/>
      <c r="AE48" s="150"/>
    </row>
    <row r="49" spans="1:31" ht="15">
      <c r="A49" s="1865" t="s">
        <v>661</v>
      </c>
      <c r="B49" s="1816" t="s">
        <v>802</v>
      </c>
      <c r="C49" s="1832" t="s">
        <v>173</v>
      </c>
      <c r="D49" s="150">
        <v>40</v>
      </c>
      <c r="E49" s="1731">
        <v>530.17999999999995</v>
      </c>
      <c r="F49" s="153">
        <f t="shared" si="4"/>
        <v>21207.199999999997</v>
      </c>
      <c r="G49" s="582">
        <f t="shared" si="3"/>
        <v>0.46391029795898453</v>
      </c>
      <c r="H49" s="1828"/>
      <c r="I49" s="1833"/>
      <c r="J49" s="1840">
        <f>40+10</f>
        <v>50</v>
      </c>
      <c r="K49" s="1769">
        <f>'2023 YTD'!J46</f>
        <v>534.51</v>
      </c>
      <c r="L49" s="151">
        <f t="shared" ref="L49:L50" si="5">J49*K49</f>
        <v>26725.5</v>
      </c>
      <c r="M49" s="583">
        <f>L49/$L$51</f>
        <v>0.50914466724994156</v>
      </c>
      <c r="N49" s="1830"/>
      <c r="O49" s="1848"/>
      <c r="P49" s="150"/>
      <c r="Q49" s="150"/>
      <c r="R49" s="150"/>
      <c r="S49" s="150"/>
      <c r="T49" s="150"/>
      <c r="U49" s="150"/>
      <c r="V49" s="150"/>
      <c r="W49" s="150"/>
      <c r="X49" s="150"/>
      <c r="Y49" s="150"/>
      <c r="Z49" s="150"/>
      <c r="AA49" s="150"/>
      <c r="AB49" s="150"/>
      <c r="AC49" s="150"/>
      <c r="AD49" s="150"/>
      <c r="AE49" s="150"/>
    </row>
    <row r="50" spans="1:31" ht="15">
      <c r="A50" s="1866" t="s">
        <v>1252</v>
      </c>
      <c r="B50" s="1816" t="s">
        <v>802</v>
      </c>
      <c r="C50" s="1832" t="s">
        <v>1253</v>
      </c>
      <c r="D50" s="150"/>
      <c r="E50" s="1731"/>
      <c r="F50" s="153"/>
      <c r="G50" s="582"/>
      <c r="H50" s="1828"/>
      <c r="I50" s="1833"/>
      <c r="J50" s="1840">
        <f>40+31</f>
        <v>71</v>
      </c>
      <c r="K50" s="1769">
        <f>'2023 YTD'!J47</f>
        <v>182.79499999999999</v>
      </c>
      <c r="L50" s="151">
        <f t="shared" si="5"/>
        <v>12978.445</v>
      </c>
      <c r="M50" s="583">
        <f>L50/$L$51</f>
        <v>0.24725097981129138</v>
      </c>
      <c r="N50" s="1830"/>
      <c r="O50" s="1848"/>
      <c r="P50" s="150"/>
      <c r="Q50" s="150"/>
      <c r="R50" s="150"/>
      <c r="S50" s="150"/>
      <c r="T50" s="150"/>
      <c r="U50" s="150"/>
      <c r="V50" s="150"/>
      <c r="W50" s="150"/>
      <c r="X50" s="150"/>
      <c r="Y50" s="150"/>
      <c r="Z50" s="150"/>
      <c r="AA50" s="150"/>
      <c r="AB50" s="150"/>
      <c r="AC50" s="150"/>
      <c r="AD50" s="150"/>
      <c r="AE50" s="150"/>
    </row>
    <row r="51" spans="1:31" ht="15">
      <c r="A51" s="1827" t="s">
        <v>790</v>
      </c>
      <c r="B51" s="150"/>
      <c r="C51" s="1832"/>
      <c r="D51" s="150"/>
      <c r="E51" s="431"/>
      <c r="F51" s="1815">
        <f>SUM(F44:F49)</f>
        <v>45714.009999999995</v>
      </c>
      <c r="G51" s="1772">
        <f>F51/$F$90</f>
        <v>0.19798105620449427</v>
      </c>
      <c r="H51" s="1829">
        <v>0.158</v>
      </c>
      <c r="I51" s="1833"/>
      <c r="J51" s="1841"/>
      <c r="K51" s="1763"/>
      <c r="L51" s="1771">
        <f>SUM(L44:L50)</f>
        <v>52490.974999999999</v>
      </c>
      <c r="M51" s="1772">
        <f>L51/$L$90</f>
        <v>0.16391216694386118</v>
      </c>
      <c r="N51" s="1847">
        <v>0.13400000000000001</v>
      </c>
      <c r="O51" s="1928">
        <v>0.16750000000000001</v>
      </c>
      <c r="P51" s="150"/>
      <c r="Q51" s="150"/>
      <c r="R51" s="150"/>
      <c r="S51" s="150"/>
      <c r="T51" s="150"/>
      <c r="U51" s="150"/>
      <c r="V51" s="150"/>
      <c r="W51" s="150"/>
      <c r="X51" s="150"/>
      <c r="Y51" s="150"/>
      <c r="Z51" s="150"/>
      <c r="AA51" s="150"/>
      <c r="AB51" s="150"/>
      <c r="AC51" s="150"/>
      <c r="AD51" s="150"/>
      <c r="AE51" s="150"/>
    </row>
    <row r="52" spans="1:31" ht="15">
      <c r="A52" s="1827"/>
      <c r="B52" s="150"/>
      <c r="C52" s="1832"/>
      <c r="D52" s="150"/>
      <c r="E52" s="431"/>
      <c r="F52" s="150"/>
      <c r="G52" s="583"/>
      <c r="H52" s="1828"/>
      <c r="I52" s="1833"/>
      <c r="J52" s="1841"/>
      <c r="K52" s="1764"/>
      <c r="L52" s="151"/>
      <c r="M52" s="583"/>
      <c r="N52" s="1830"/>
      <c r="O52" s="1848"/>
      <c r="P52" s="150"/>
      <c r="Q52" s="150"/>
      <c r="R52" s="150"/>
      <c r="S52" s="150"/>
      <c r="T52" s="150"/>
      <c r="U52" s="150"/>
      <c r="V52" s="150"/>
      <c r="W52" s="150"/>
      <c r="X52" s="150"/>
      <c r="Y52" s="150"/>
      <c r="Z52" s="150"/>
      <c r="AA52" s="150"/>
      <c r="AB52" s="150"/>
      <c r="AC52" s="150"/>
      <c r="AD52" s="150"/>
      <c r="AE52" s="150"/>
    </row>
    <row r="53" spans="1:31" ht="15">
      <c r="A53" s="1868" t="s">
        <v>778</v>
      </c>
      <c r="B53" s="1816" t="s">
        <v>803</v>
      </c>
      <c r="C53" s="1832"/>
      <c r="D53" s="150"/>
      <c r="E53" s="431"/>
      <c r="F53" s="150"/>
      <c r="G53" s="583"/>
      <c r="H53" s="1828"/>
      <c r="I53" s="1833"/>
      <c r="J53" s="1841"/>
      <c r="K53" s="1764"/>
      <c r="L53" s="151"/>
      <c r="M53" s="583"/>
      <c r="N53" s="1830"/>
      <c r="O53" s="1848"/>
      <c r="P53" s="150"/>
      <c r="Q53" s="150"/>
      <c r="R53" s="150"/>
      <c r="S53" s="150"/>
      <c r="T53" s="150"/>
      <c r="U53" s="150"/>
      <c r="V53" s="150"/>
      <c r="W53" s="150"/>
      <c r="X53" s="150"/>
      <c r="Y53" s="150"/>
      <c r="Z53" s="150"/>
      <c r="AA53" s="150"/>
      <c r="AB53" s="150"/>
      <c r="AC53" s="150"/>
      <c r="AD53" s="150"/>
      <c r="AE53" s="150"/>
    </row>
    <row r="54" spans="1:31" ht="15">
      <c r="A54" s="1865" t="s">
        <v>230</v>
      </c>
      <c r="B54" s="1816"/>
      <c r="C54" s="1832" t="s">
        <v>231</v>
      </c>
      <c r="D54" s="150">
        <v>19</v>
      </c>
      <c r="E54" s="1731">
        <v>119.92</v>
      </c>
      <c r="F54" s="153">
        <f t="shared" ref="F54:F57" si="6">D54*E54</f>
        <v>2278.48</v>
      </c>
      <c r="G54" s="582">
        <f>F54/$F$60</f>
        <v>0.12615099606733207</v>
      </c>
      <c r="H54" s="1828"/>
      <c r="I54" s="1833"/>
      <c r="J54" s="1840"/>
      <c r="K54" s="1769"/>
      <c r="L54" s="151"/>
      <c r="M54" s="583"/>
      <c r="N54" s="1830"/>
      <c r="O54" s="1848"/>
      <c r="P54" s="150"/>
      <c r="Q54" s="150"/>
      <c r="R54" s="150"/>
      <c r="S54" s="150"/>
      <c r="T54" s="150"/>
      <c r="U54" s="150"/>
      <c r="V54" s="150"/>
      <c r="W54" s="150"/>
      <c r="X54" s="150"/>
      <c r="Y54" s="150"/>
      <c r="Z54" s="150"/>
      <c r="AA54" s="150"/>
      <c r="AB54" s="150"/>
      <c r="AC54" s="150"/>
      <c r="AD54" s="150"/>
      <c r="AE54" s="150"/>
    </row>
    <row r="55" spans="1:31" ht="15">
      <c r="A55" s="1866" t="s">
        <v>677</v>
      </c>
      <c r="B55" s="1816" t="s">
        <v>803</v>
      </c>
      <c r="C55" s="1832" t="s">
        <v>678</v>
      </c>
      <c r="D55" s="150">
        <v>35</v>
      </c>
      <c r="E55" s="1731">
        <v>115.08</v>
      </c>
      <c r="F55" s="153">
        <f>D55*E55</f>
        <v>4027.7999999999997</v>
      </c>
      <c r="G55" s="582">
        <f>F55/$F$60</f>
        <v>0.22300436341771709</v>
      </c>
      <c r="H55" s="1828"/>
      <c r="I55" s="1833"/>
      <c r="J55" s="1840">
        <v>66</v>
      </c>
      <c r="K55" s="1769">
        <f>'2023 YTD'!J20</f>
        <v>205.46</v>
      </c>
      <c r="L55" s="151">
        <f>J55*K55</f>
        <v>13560.36</v>
      </c>
      <c r="M55" s="583">
        <f>L55/$L$60</f>
        <v>0.51556952000459277</v>
      </c>
      <c r="N55" s="1830"/>
      <c r="O55" s="1848"/>
      <c r="P55" s="150"/>
      <c r="Q55" s="150"/>
      <c r="R55" s="150"/>
      <c r="S55" s="150"/>
      <c r="T55" s="150"/>
      <c r="U55" s="150"/>
      <c r="V55" s="150"/>
      <c r="W55" s="150"/>
      <c r="X55" s="150"/>
      <c r="Y55" s="150"/>
      <c r="Z55" s="150"/>
      <c r="AA55" s="150"/>
      <c r="AB55" s="150"/>
      <c r="AC55" s="150"/>
      <c r="AD55" s="150"/>
      <c r="AE55" s="150"/>
    </row>
    <row r="56" spans="1:31" ht="15">
      <c r="A56" s="1866" t="s">
        <v>627</v>
      </c>
      <c r="B56" s="1816" t="s">
        <v>803</v>
      </c>
      <c r="C56" s="1832" t="s">
        <v>628</v>
      </c>
      <c r="D56" s="150">
        <v>20</v>
      </c>
      <c r="E56" s="1731">
        <v>214.3</v>
      </c>
      <c r="F56" s="153">
        <f t="shared" si="6"/>
        <v>4286</v>
      </c>
      <c r="G56" s="582">
        <f>F56/$F$60</f>
        <v>0.23729994081343056</v>
      </c>
      <c r="H56" s="1828"/>
      <c r="I56" s="1833"/>
      <c r="J56" s="1840">
        <v>20</v>
      </c>
      <c r="K56" s="1769">
        <f>'2023 YTD'!J23</f>
        <v>203.41</v>
      </c>
      <c r="L56" s="151">
        <f t="shared" ref="L56:L57" si="7">J56*K56</f>
        <v>4068.2</v>
      </c>
      <c r="M56" s="583">
        <f>L56/$L$60</f>
        <v>0.15467435387280901</v>
      </c>
      <c r="N56" s="1830"/>
      <c r="O56" s="1848"/>
      <c r="P56" s="150"/>
      <c r="Q56" s="150"/>
      <c r="R56" s="150"/>
      <c r="S56" s="150"/>
      <c r="T56" s="150"/>
      <c r="U56" s="150"/>
      <c r="V56" s="150"/>
      <c r="W56" s="150"/>
      <c r="X56" s="150"/>
      <c r="Y56" s="150"/>
      <c r="Z56" s="150"/>
      <c r="AA56" s="150"/>
      <c r="AB56" s="150"/>
      <c r="AC56" s="150"/>
      <c r="AD56" s="150"/>
      <c r="AE56" s="150"/>
    </row>
    <row r="57" spans="1:31" ht="15">
      <c r="A57" s="1866" t="s">
        <v>656</v>
      </c>
      <c r="B57" s="1816" t="s">
        <v>803</v>
      </c>
      <c r="C57" s="1832" t="s">
        <v>550</v>
      </c>
      <c r="D57" s="150">
        <v>9</v>
      </c>
      <c r="E57" s="1731">
        <v>486.49</v>
      </c>
      <c r="F57" s="153">
        <f t="shared" si="6"/>
        <v>4378.41</v>
      </c>
      <c r="G57" s="582">
        <f>F57/$F$60</f>
        <v>0.24241634014394131</v>
      </c>
      <c r="H57" s="1828"/>
      <c r="I57" s="1833"/>
      <c r="J57" s="1840">
        <v>9</v>
      </c>
      <c r="K57" s="1769">
        <f>'2023 YTD'!J26</f>
        <v>445.35</v>
      </c>
      <c r="L57" s="151">
        <f t="shared" si="7"/>
        <v>4008.15</v>
      </c>
      <c r="M57" s="583">
        <f>L57/$L$60</f>
        <v>0.1523912323571357</v>
      </c>
      <c r="N57" s="1830"/>
      <c r="O57" s="1848"/>
      <c r="P57" s="150"/>
      <c r="Q57" s="150"/>
      <c r="R57" s="150"/>
      <c r="S57" s="150"/>
      <c r="T57" s="150"/>
      <c r="U57" s="150"/>
      <c r="V57" s="150"/>
      <c r="W57" s="150"/>
      <c r="X57" s="150"/>
      <c r="Y57" s="150"/>
      <c r="Z57" s="150"/>
      <c r="AA57" s="150"/>
      <c r="AB57" s="150"/>
      <c r="AC57" s="150"/>
      <c r="AD57" s="150"/>
      <c r="AE57" s="150"/>
    </row>
    <row r="58" spans="1:31" ht="15">
      <c r="A58" s="1865" t="s">
        <v>804</v>
      </c>
      <c r="B58" s="1816" t="s">
        <v>803</v>
      </c>
      <c r="C58" s="1832" t="s">
        <v>758</v>
      </c>
      <c r="D58" s="150"/>
      <c r="E58" s="1731"/>
      <c r="F58" s="153"/>
      <c r="G58" s="582"/>
      <c r="H58" s="1828"/>
      <c r="I58" s="1833"/>
      <c r="J58" s="1840">
        <v>12</v>
      </c>
      <c r="K58" s="1769">
        <f>'2023 YTD'!J37</f>
        <v>81.87</v>
      </c>
      <c r="L58" s="151">
        <f>J58*K58</f>
        <v>982.44</v>
      </c>
      <c r="M58" s="583">
        <f>L58/$L$60</f>
        <v>3.7352704443931593E-2</v>
      </c>
      <c r="N58" s="1830"/>
      <c r="O58" s="1848"/>
      <c r="P58" s="150"/>
      <c r="Q58" s="150"/>
      <c r="R58" s="150"/>
      <c r="S58" s="150"/>
      <c r="T58" s="150"/>
      <c r="U58" s="150"/>
      <c r="V58" s="150"/>
      <c r="W58" s="150"/>
      <c r="X58" s="150"/>
      <c r="Y58" s="150"/>
      <c r="Z58" s="150"/>
      <c r="AA58" s="150"/>
      <c r="AB58" s="150"/>
      <c r="AC58" s="150"/>
      <c r="AD58" s="150"/>
      <c r="AE58" s="150"/>
    </row>
    <row r="59" spans="1:31" ht="15">
      <c r="A59" s="1865" t="s">
        <v>731</v>
      </c>
      <c r="B59" s="1816" t="s">
        <v>803</v>
      </c>
      <c r="C59" s="1832" t="s">
        <v>732</v>
      </c>
      <c r="D59" s="150">
        <v>12</v>
      </c>
      <c r="E59" s="1731">
        <v>257.57</v>
      </c>
      <c r="F59" s="153">
        <f>D59*E59</f>
        <v>3090.84</v>
      </c>
      <c r="G59" s="582">
        <f>F59/$F$60</f>
        <v>0.17112835955757902</v>
      </c>
      <c r="H59" s="1828"/>
      <c r="I59" s="1833"/>
      <c r="J59" s="1840">
        <v>12</v>
      </c>
      <c r="K59" s="1769">
        <f>'2023 YTD'!J35</f>
        <v>306.88</v>
      </c>
      <c r="L59" s="1617">
        <f>J59*K59</f>
        <v>3682.56</v>
      </c>
      <c r="M59" s="797">
        <f>L59/$L$60</f>
        <v>0.14001218932153078</v>
      </c>
      <c r="N59" s="1830"/>
      <c r="O59" s="1848"/>
      <c r="P59" s="150"/>
      <c r="Q59" s="150"/>
      <c r="R59" s="150"/>
      <c r="S59" s="150"/>
      <c r="T59" s="150"/>
      <c r="U59" s="150"/>
      <c r="V59" s="150"/>
      <c r="W59" s="150"/>
      <c r="X59" s="150"/>
      <c r="Y59" s="150"/>
      <c r="Z59" s="150"/>
      <c r="AA59" s="150"/>
      <c r="AB59" s="150"/>
      <c r="AC59" s="150"/>
      <c r="AD59" s="150"/>
      <c r="AE59" s="150"/>
    </row>
    <row r="60" spans="1:31" ht="15">
      <c r="A60" s="1827" t="s">
        <v>790</v>
      </c>
      <c r="B60" s="150"/>
      <c r="C60" s="1832"/>
      <c r="D60" s="150"/>
      <c r="E60" s="431"/>
      <c r="F60" s="1815">
        <f>SUM(F54:F59)</f>
        <v>18061.53</v>
      </c>
      <c r="G60" s="1772">
        <f>F60/$F$90</f>
        <v>7.8221988971633849E-2</v>
      </c>
      <c r="H60" s="1829">
        <v>8.6999999999999994E-2</v>
      </c>
      <c r="I60" s="1763"/>
      <c r="J60" s="1843"/>
      <c r="K60" s="1763"/>
      <c r="L60" s="1771">
        <f>SUM(L54:L59)</f>
        <v>26301.710000000003</v>
      </c>
      <c r="M60" s="1772">
        <f>L60/$L$90</f>
        <v>8.2131647972418564E-2</v>
      </c>
      <c r="N60" s="1847">
        <v>8.3000000000000004E-2</v>
      </c>
      <c r="O60" s="1849">
        <v>0.08</v>
      </c>
      <c r="P60" s="150"/>
      <c r="Q60" s="150"/>
      <c r="R60" s="150"/>
      <c r="S60" s="150"/>
      <c r="T60" s="150"/>
      <c r="U60" s="150"/>
      <c r="V60" s="150"/>
      <c r="W60" s="150"/>
      <c r="X60" s="150"/>
      <c r="Y60" s="150"/>
      <c r="Z60" s="150"/>
      <c r="AA60" s="150"/>
      <c r="AB60" s="150"/>
      <c r="AC60" s="150"/>
      <c r="AD60" s="150"/>
      <c r="AE60" s="150"/>
    </row>
    <row r="61" spans="1:31" ht="15">
      <c r="A61" s="1827"/>
      <c r="B61" s="150"/>
      <c r="C61" s="1832"/>
      <c r="D61" s="150"/>
      <c r="E61" s="431"/>
      <c r="F61" s="150"/>
      <c r="G61" s="583"/>
      <c r="H61" s="1828"/>
      <c r="I61" s="1833"/>
      <c r="J61" s="1841"/>
      <c r="K61" s="1764"/>
      <c r="L61" s="151"/>
      <c r="M61" s="583"/>
      <c r="N61" s="1830"/>
      <c r="O61" s="1848"/>
      <c r="P61" s="150"/>
      <c r="Q61" s="150"/>
      <c r="R61" s="150"/>
      <c r="S61" s="150"/>
      <c r="T61" s="150"/>
      <c r="U61" s="150"/>
      <c r="V61" s="150"/>
      <c r="W61" s="150"/>
      <c r="X61" s="150"/>
      <c r="Y61" s="150"/>
      <c r="Z61" s="150"/>
      <c r="AA61" s="150"/>
      <c r="AB61" s="150"/>
      <c r="AC61" s="150"/>
      <c r="AD61" s="150"/>
      <c r="AE61" s="150"/>
    </row>
    <row r="62" spans="1:31" ht="15">
      <c r="A62" s="1868" t="s">
        <v>780</v>
      </c>
      <c r="B62" s="1816" t="s">
        <v>805</v>
      </c>
      <c r="C62" s="1832"/>
      <c r="D62" s="150"/>
      <c r="E62" s="431"/>
      <c r="F62" s="150"/>
      <c r="G62" s="583"/>
      <c r="H62" s="1828"/>
      <c r="I62" s="1833"/>
      <c r="J62" s="1841"/>
      <c r="K62" s="1764"/>
      <c r="L62" s="151"/>
      <c r="M62" s="583"/>
      <c r="N62" s="1830"/>
      <c r="O62" s="1848"/>
      <c r="P62" s="150"/>
      <c r="Q62" s="150"/>
      <c r="R62" s="150"/>
      <c r="S62" s="150"/>
      <c r="T62" s="150"/>
      <c r="U62" s="150"/>
      <c r="V62" s="150"/>
      <c r="W62" s="150"/>
      <c r="X62" s="150"/>
      <c r="Y62" s="150"/>
      <c r="Z62" s="150"/>
      <c r="AA62" s="150"/>
      <c r="AB62" s="150"/>
      <c r="AC62" s="150"/>
      <c r="AD62" s="150"/>
      <c r="AE62" s="150"/>
    </row>
    <row r="63" spans="1:31" ht="15">
      <c r="A63" s="1865" t="s">
        <v>395</v>
      </c>
      <c r="B63" s="1816" t="s">
        <v>805</v>
      </c>
      <c r="C63" s="1832" t="s">
        <v>396</v>
      </c>
      <c r="D63" s="150">
        <v>40</v>
      </c>
      <c r="E63" s="1731">
        <v>266.83999999999997</v>
      </c>
      <c r="F63" s="153">
        <f>D63*E63</f>
        <v>10673.599999999999</v>
      </c>
      <c r="G63" s="582">
        <f>F63/$F$70</f>
        <v>0.16826551698262168</v>
      </c>
      <c r="H63" s="1828"/>
      <c r="I63" s="1833"/>
      <c r="J63" s="1840"/>
      <c r="K63" s="1769"/>
      <c r="L63" s="151"/>
      <c r="M63" s="583"/>
      <c r="N63" s="1830"/>
      <c r="O63" s="1848"/>
      <c r="P63" s="150"/>
      <c r="Q63" s="150"/>
      <c r="R63" s="150"/>
      <c r="S63" s="150"/>
      <c r="T63" s="150"/>
      <c r="U63" s="150"/>
      <c r="V63" s="150"/>
      <c r="W63" s="150"/>
      <c r="X63" s="150"/>
      <c r="Y63" s="150"/>
      <c r="Z63" s="150"/>
      <c r="AA63" s="150"/>
      <c r="AB63" s="150"/>
      <c r="AC63" s="150"/>
      <c r="AD63" s="150"/>
      <c r="AE63" s="150"/>
    </row>
    <row r="64" spans="1:31" ht="15">
      <c r="A64" s="1865" t="s">
        <v>206</v>
      </c>
      <c r="B64" s="1816" t="s">
        <v>805</v>
      </c>
      <c r="C64" s="1832" t="s">
        <v>207</v>
      </c>
      <c r="D64" s="150">
        <v>118</v>
      </c>
      <c r="E64" s="1731">
        <v>129.93</v>
      </c>
      <c r="F64" s="153">
        <f>D64*E64</f>
        <v>15331.740000000002</v>
      </c>
      <c r="G64" s="582">
        <f>F64/$F$70</f>
        <v>0.24169944136403282</v>
      </c>
      <c r="H64" s="1828"/>
      <c r="I64" s="1833"/>
      <c r="J64" s="1840">
        <f>118+32</f>
        <v>150</v>
      </c>
      <c r="K64" s="1769">
        <f>'2023 YTD'!J15</f>
        <v>198.11</v>
      </c>
      <c r="L64" s="151">
        <f t="shared" ref="L64:L69" si="8">J64*K64</f>
        <v>29716.500000000004</v>
      </c>
      <c r="M64" s="583">
        <f>L64/$L$70</f>
        <v>0.27437001030024344</v>
      </c>
      <c r="N64" s="1830"/>
      <c r="O64" s="1848"/>
      <c r="P64" s="150"/>
      <c r="Q64" s="150"/>
      <c r="R64" s="150"/>
      <c r="S64" s="150"/>
      <c r="T64" s="150"/>
      <c r="U64" s="150"/>
      <c r="V64" s="150"/>
      <c r="W64" s="150"/>
      <c r="X64" s="150"/>
      <c r="Y64" s="150"/>
      <c r="Z64" s="150"/>
      <c r="AA64" s="150"/>
      <c r="AB64" s="150"/>
      <c r="AC64" s="150"/>
      <c r="AD64" s="150"/>
      <c r="AE64" s="150"/>
    </row>
    <row r="65" spans="1:31" ht="15">
      <c r="A65" s="1865" t="s">
        <v>40</v>
      </c>
      <c r="B65" s="1816" t="s">
        <v>805</v>
      </c>
      <c r="C65" s="1832" t="s">
        <v>41</v>
      </c>
      <c r="D65" s="150">
        <v>75</v>
      </c>
      <c r="E65" s="1731">
        <v>239.82</v>
      </c>
      <c r="F65" s="153">
        <f>D65*E65</f>
        <v>17986.5</v>
      </c>
      <c r="G65" s="582">
        <f>F65/$F$70</f>
        <v>0.28355079084919099</v>
      </c>
      <c r="H65" s="1828"/>
      <c r="I65" s="1833"/>
      <c r="J65" s="1840">
        <f>75+10</f>
        <v>85</v>
      </c>
      <c r="K65" s="1769">
        <f>'2023 YTD'!J30</f>
        <v>365.93</v>
      </c>
      <c r="L65" s="151">
        <f t="shared" si="8"/>
        <v>31104.05</v>
      </c>
      <c r="M65" s="583">
        <f>L65/$L$70</f>
        <v>0.2871811457903618</v>
      </c>
      <c r="N65" s="1830"/>
      <c r="O65" s="1848"/>
      <c r="P65" s="150"/>
      <c r="Q65" s="150"/>
      <c r="R65" s="150"/>
      <c r="S65" s="150"/>
      <c r="T65" s="150"/>
      <c r="U65" s="150"/>
      <c r="V65" s="150"/>
      <c r="W65" s="150"/>
      <c r="X65" s="150"/>
      <c r="Y65" s="150"/>
      <c r="Z65" s="150"/>
      <c r="AA65" s="150"/>
      <c r="AB65" s="150"/>
      <c r="AC65" s="150"/>
      <c r="AD65" s="150"/>
      <c r="AE65" s="150"/>
    </row>
    <row r="66" spans="1:31" ht="15">
      <c r="A66" s="1866" t="s">
        <v>629</v>
      </c>
      <c r="B66" s="1816" t="s">
        <v>805</v>
      </c>
      <c r="C66" s="1832" t="s">
        <v>194</v>
      </c>
      <c r="D66" s="150">
        <v>100</v>
      </c>
      <c r="E66" s="1731">
        <v>146.13999999999999</v>
      </c>
      <c r="F66" s="153">
        <f>D66*E66</f>
        <v>14613.999999999998</v>
      </c>
      <c r="G66" s="582">
        <f>F66/$F$70</f>
        <v>0.23038452491980524</v>
      </c>
      <c r="H66" s="1828"/>
      <c r="I66" s="1833"/>
      <c r="J66" s="1840">
        <v>75</v>
      </c>
      <c r="K66" s="1769">
        <f>'2023 YTD'!J32</f>
        <v>483.5</v>
      </c>
      <c r="L66" s="151">
        <f t="shared" si="8"/>
        <v>36262.5</v>
      </c>
      <c r="M66" s="583">
        <f>L66/$L$70</f>
        <v>0.33480869209067615</v>
      </c>
      <c r="N66" s="1830"/>
      <c r="O66" s="1848"/>
      <c r="P66" s="150"/>
      <c r="Q66" s="150"/>
      <c r="R66" s="150"/>
      <c r="S66" s="150"/>
      <c r="T66" s="150"/>
      <c r="U66" s="150"/>
      <c r="V66" s="150"/>
      <c r="W66" s="150"/>
      <c r="X66" s="150"/>
      <c r="Y66" s="150"/>
      <c r="Z66" s="150"/>
      <c r="AA66" s="150"/>
      <c r="AB66" s="150"/>
      <c r="AC66" s="150"/>
      <c r="AD66" s="150"/>
      <c r="AE66" s="150"/>
    </row>
    <row r="67" spans="1:31" ht="15">
      <c r="A67" s="1866" t="s">
        <v>1266</v>
      </c>
      <c r="B67" s="1816" t="s">
        <v>805</v>
      </c>
      <c r="C67" s="1832" t="s">
        <v>660</v>
      </c>
      <c r="D67" s="150">
        <v>6</v>
      </c>
      <c r="E67" s="1731">
        <v>432.09</v>
      </c>
      <c r="F67" s="153">
        <v>2592.54</v>
      </c>
      <c r="G67" s="582">
        <v>0.12552199154936533</v>
      </c>
      <c r="H67" s="1828"/>
      <c r="I67" s="1833"/>
      <c r="J67" s="1840">
        <v>6</v>
      </c>
      <c r="K67" s="1769">
        <f>'2023 YTD'!J36</f>
        <v>538.83000000000004</v>
      </c>
      <c r="L67" s="151">
        <f>J67*K67</f>
        <v>3232.9800000000005</v>
      </c>
      <c r="M67" s="583">
        <f>L67/L70</f>
        <v>2.9849839513417836E-2</v>
      </c>
      <c r="N67" s="1830"/>
      <c r="O67" s="1848"/>
      <c r="P67" s="150"/>
      <c r="Q67" s="150"/>
      <c r="R67" s="150"/>
      <c r="S67" s="150"/>
      <c r="T67" s="150"/>
      <c r="U67" s="150"/>
      <c r="V67" s="150"/>
      <c r="W67" s="150"/>
      <c r="X67" s="150"/>
      <c r="Y67" s="150"/>
      <c r="Z67" s="150"/>
      <c r="AA67" s="150"/>
      <c r="AB67" s="150"/>
      <c r="AC67" s="150"/>
      <c r="AD67" s="150"/>
      <c r="AE67" s="150"/>
    </row>
    <row r="68" spans="1:31" ht="15">
      <c r="A68" s="1866" t="s">
        <v>1280</v>
      </c>
      <c r="B68" s="1816"/>
      <c r="C68" s="1832" t="s">
        <v>1285</v>
      </c>
      <c r="D68" s="150"/>
      <c r="E68" s="1731"/>
      <c r="F68" s="153"/>
      <c r="G68" s="582"/>
      <c r="H68" s="1828"/>
      <c r="I68" s="1833"/>
      <c r="J68" s="1840">
        <v>19</v>
      </c>
      <c r="K68" s="1769">
        <f>'2023 YTD'!J38</f>
        <v>257.31</v>
      </c>
      <c r="L68" s="151">
        <f>J68*K68</f>
        <v>4888.8900000000003</v>
      </c>
      <c r="M68" s="583">
        <f>L68/L70</f>
        <v>4.5138720901073723E-2</v>
      </c>
      <c r="N68" s="1830"/>
      <c r="O68" s="1848"/>
      <c r="P68" s="150"/>
      <c r="Q68" s="150"/>
      <c r="R68" s="150"/>
      <c r="S68" s="150"/>
      <c r="T68" s="150"/>
      <c r="U68" s="150"/>
      <c r="V68" s="150"/>
      <c r="W68" s="150"/>
      <c r="X68" s="150"/>
      <c r="Y68" s="150"/>
      <c r="Z68" s="150"/>
      <c r="AA68" s="150"/>
      <c r="AB68" s="150"/>
      <c r="AC68" s="150"/>
      <c r="AD68" s="150"/>
      <c r="AE68" s="150"/>
    </row>
    <row r="69" spans="1:31" ht="15">
      <c r="A69" s="1865" t="s">
        <v>806</v>
      </c>
      <c r="B69" s="1816" t="s">
        <v>805</v>
      </c>
      <c r="C69" s="1832" t="s">
        <v>686</v>
      </c>
      <c r="D69" s="150">
        <v>30</v>
      </c>
      <c r="E69" s="1731">
        <v>74.489999999999995</v>
      </c>
      <c r="F69" s="153">
        <f>D69*E69</f>
        <v>2234.6999999999998</v>
      </c>
      <c r="G69" s="582">
        <f>F69/$F$70</f>
        <v>3.5229252623394609E-2</v>
      </c>
      <c r="H69" s="1828"/>
      <c r="I69" s="1833"/>
      <c r="J69" s="1840">
        <v>30</v>
      </c>
      <c r="K69" s="1769">
        <f>'2023 YTD'!J44</f>
        <v>103.44</v>
      </c>
      <c r="L69" s="1617">
        <f t="shared" si="8"/>
        <v>3103.2</v>
      </c>
      <c r="M69" s="797">
        <f>L69/$L$70</f>
        <v>2.8651591404227125E-2</v>
      </c>
      <c r="N69" s="1830"/>
      <c r="O69" s="1848"/>
      <c r="P69" s="150"/>
      <c r="Q69" s="150"/>
      <c r="R69" s="150"/>
      <c r="S69" s="150"/>
      <c r="T69" s="150"/>
      <c r="U69" s="150"/>
      <c r="V69" s="150"/>
      <c r="W69" s="150"/>
      <c r="X69" s="150"/>
      <c r="Y69" s="150"/>
      <c r="Z69" s="150"/>
      <c r="AA69" s="150"/>
      <c r="AB69" s="150"/>
      <c r="AC69" s="150"/>
      <c r="AD69" s="150"/>
      <c r="AE69" s="150"/>
    </row>
    <row r="70" spans="1:31" ht="15">
      <c r="A70" s="1827" t="s">
        <v>790</v>
      </c>
      <c r="B70" s="1816"/>
      <c r="C70" s="1832"/>
      <c r="D70" s="150"/>
      <c r="E70" s="431"/>
      <c r="F70" s="1815">
        <f>SUM(F63:F69)</f>
        <v>63433.079999999994</v>
      </c>
      <c r="G70" s="1772">
        <f>F70/$F$90</f>
        <v>0.27471989826979043</v>
      </c>
      <c r="H70" s="1829">
        <v>0.25700000000000001</v>
      </c>
      <c r="I70" s="1833"/>
      <c r="J70" s="1844"/>
      <c r="K70" s="1765"/>
      <c r="L70" s="1771">
        <f>SUM(L63:L69)</f>
        <v>108308.12</v>
      </c>
      <c r="M70" s="1772">
        <f>L70/$L$90</f>
        <v>0.33821087618996881</v>
      </c>
      <c r="N70" s="1847">
        <v>0.27400000000000002</v>
      </c>
      <c r="O70" s="1849">
        <v>0.34</v>
      </c>
      <c r="P70" s="150"/>
      <c r="Q70" s="150"/>
      <c r="R70" s="150"/>
      <c r="S70" s="150"/>
      <c r="T70" s="150"/>
      <c r="U70" s="150"/>
      <c r="V70" s="150"/>
      <c r="W70" s="150"/>
      <c r="X70" s="150"/>
      <c r="Y70" s="150"/>
      <c r="Z70" s="150"/>
      <c r="AA70" s="150"/>
      <c r="AB70" s="150"/>
      <c r="AC70" s="150"/>
      <c r="AD70" s="150"/>
      <c r="AE70" s="150"/>
    </row>
    <row r="71" spans="1:31" ht="15">
      <c r="A71" s="1827"/>
      <c r="B71" s="150"/>
      <c r="C71" s="1832"/>
      <c r="D71" s="150"/>
      <c r="E71" s="431"/>
      <c r="F71" s="150"/>
      <c r="G71" s="583"/>
      <c r="H71" s="1828"/>
      <c r="I71" s="1833"/>
      <c r="J71" s="1844"/>
      <c r="K71" s="1765"/>
      <c r="L71" s="151"/>
      <c r="M71" s="583"/>
      <c r="N71" s="1830"/>
      <c r="O71" s="1848"/>
      <c r="P71" s="150"/>
      <c r="Q71" s="150"/>
      <c r="R71" s="150"/>
      <c r="S71" s="150"/>
      <c r="T71" s="150"/>
      <c r="U71" s="150"/>
      <c r="V71" s="150"/>
      <c r="W71" s="150"/>
      <c r="X71" s="150"/>
      <c r="Y71" s="150"/>
      <c r="Z71" s="150"/>
      <c r="AA71" s="150"/>
      <c r="AB71" s="150"/>
      <c r="AC71" s="150"/>
      <c r="AD71" s="150"/>
      <c r="AE71" s="150"/>
    </row>
    <row r="72" spans="1:31" ht="15">
      <c r="A72" s="1868" t="s">
        <v>781</v>
      </c>
      <c r="B72" s="150" t="s">
        <v>807</v>
      </c>
      <c r="C72" s="1832"/>
      <c r="D72" s="150"/>
      <c r="E72" s="431"/>
      <c r="F72" s="150"/>
      <c r="G72" s="583"/>
      <c r="H72" s="1828"/>
      <c r="I72" s="1833"/>
      <c r="J72" s="1844"/>
      <c r="K72" s="1765"/>
      <c r="L72" s="151"/>
      <c r="M72" s="583"/>
      <c r="N72" s="1830"/>
      <c r="O72" s="1848"/>
      <c r="P72" s="150"/>
      <c r="Q72" s="150"/>
      <c r="R72" s="150"/>
      <c r="S72" s="150"/>
      <c r="T72" s="150"/>
      <c r="U72" s="150"/>
      <c r="V72" s="150"/>
      <c r="W72" s="150"/>
      <c r="X72" s="150"/>
      <c r="Y72" s="150"/>
      <c r="Z72" s="150"/>
      <c r="AA72" s="150"/>
      <c r="AB72" s="150"/>
      <c r="AC72" s="150"/>
      <c r="AD72" s="150"/>
      <c r="AE72" s="150"/>
    </row>
    <row r="73" spans="1:31" ht="15">
      <c r="A73" s="1865" t="s">
        <v>723</v>
      </c>
      <c r="B73" s="150" t="s">
        <v>807</v>
      </c>
      <c r="C73" s="1832" t="s">
        <v>724</v>
      </c>
      <c r="D73" s="150">
        <v>28</v>
      </c>
      <c r="E73" s="1731">
        <v>68.67</v>
      </c>
      <c r="F73" s="153">
        <f>D73*E73</f>
        <v>1922.76</v>
      </c>
      <c r="G73" s="582">
        <f>F73/$F$77</f>
        <v>0.26371293259874012</v>
      </c>
      <c r="H73" s="1828"/>
      <c r="I73" s="1833"/>
      <c r="J73" s="1844">
        <v>28</v>
      </c>
      <c r="K73" s="1770">
        <f>'2023 YTD'!J17</f>
        <v>119.16</v>
      </c>
      <c r="L73" s="1617">
        <f>J73*K73</f>
        <v>3336.48</v>
      </c>
      <c r="M73" s="797">
        <f>L73/$L$77</f>
        <v>0.42415667130680196</v>
      </c>
      <c r="N73" s="1830"/>
      <c r="O73" s="1848"/>
      <c r="P73" s="150"/>
      <c r="Q73" s="150"/>
      <c r="R73" s="150"/>
      <c r="S73" s="150"/>
      <c r="T73" s="150"/>
      <c r="U73" s="150"/>
      <c r="V73" s="150"/>
      <c r="W73" s="150"/>
      <c r="X73" s="150"/>
      <c r="Y73" s="150"/>
      <c r="Z73" s="150"/>
      <c r="AA73" s="150"/>
      <c r="AB73" s="150"/>
      <c r="AC73" s="150"/>
      <c r="AD73" s="150"/>
      <c r="AE73" s="150"/>
    </row>
    <row r="74" spans="1:31" ht="15">
      <c r="A74" s="1865" t="s">
        <v>653</v>
      </c>
      <c r="B74" s="150" t="s">
        <v>807</v>
      </c>
      <c r="C74" s="1832" t="s">
        <v>546</v>
      </c>
      <c r="D74" s="150">
        <v>22</v>
      </c>
      <c r="E74" s="1731">
        <v>136.47999999999999</v>
      </c>
      <c r="F74" s="153">
        <f>D74*E74</f>
        <v>3002.56</v>
      </c>
      <c r="G74" s="582">
        <f>F74/$F$77</f>
        <v>0.41181109597852728</v>
      </c>
      <c r="H74" s="1828"/>
      <c r="I74" s="1833"/>
      <c r="J74" s="1844"/>
      <c r="K74" s="1770"/>
      <c r="L74" s="151"/>
      <c r="M74" s="583"/>
      <c r="N74" s="1830"/>
      <c r="O74" s="1848"/>
      <c r="P74" s="150"/>
      <c r="Q74" s="150"/>
      <c r="R74" s="150"/>
      <c r="S74" s="150"/>
      <c r="T74" s="150"/>
      <c r="U74" s="150"/>
      <c r="V74" s="150"/>
      <c r="W74" s="150"/>
      <c r="X74" s="150"/>
      <c r="Y74" s="150"/>
      <c r="Z74" s="150"/>
      <c r="AA74" s="150"/>
      <c r="AB74" s="150"/>
      <c r="AC74" s="150"/>
      <c r="AD74" s="150"/>
      <c r="AE74" s="150"/>
    </row>
    <row r="75" spans="1:31" ht="15">
      <c r="A75" s="1869" t="s">
        <v>551</v>
      </c>
      <c r="B75" s="150" t="s">
        <v>807</v>
      </c>
      <c r="C75" s="1832" t="s">
        <v>552</v>
      </c>
      <c r="D75" s="150">
        <v>7</v>
      </c>
      <c r="E75" s="1731">
        <v>337.97</v>
      </c>
      <c r="F75" s="153">
        <f>D75*E75</f>
        <v>2365.79</v>
      </c>
      <c r="G75" s="582">
        <f>F75/$F$77</f>
        <v>0.3244759714227326</v>
      </c>
      <c r="H75" s="1828"/>
      <c r="I75" s="1833"/>
      <c r="J75" s="1844">
        <v>7</v>
      </c>
      <c r="K75" s="1770">
        <f>'2023 YTD'!J28</f>
        <v>493.21</v>
      </c>
      <c r="L75" s="151">
        <f t="shared" ref="L75:L76" si="9">J75*K75</f>
        <v>3452.47</v>
      </c>
      <c r="M75" s="583">
        <f>L75/$L$77</f>
        <v>0.4389021312840462</v>
      </c>
      <c r="N75" s="1830"/>
      <c r="O75" s="1848"/>
      <c r="P75" s="150"/>
      <c r="Q75" s="150"/>
      <c r="R75" s="150"/>
      <c r="S75" s="150"/>
      <c r="T75" s="150"/>
      <c r="U75" s="150"/>
      <c r="V75" s="150"/>
      <c r="W75" s="150"/>
      <c r="X75" s="150"/>
      <c r="Y75" s="150"/>
      <c r="Z75" s="150"/>
      <c r="AA75" s="150"/>
      <c r="AB75" s="150"/>
      <c r="AC75" s="150"/>
      <c r="AD75" s="150"/>
      <c r="AE75" s="150"/>
    </row>
    <row r="76" spans="1:31" ht="15">
      <c r="A76" s="1865" t="s">
        <v>808</v>
      </c>
      <c r="B76" s="150" t="s">
        <v>807</v>
      </c>
      <c r="C76" s="1832" t="s">
        <v>760</v>
      </c>
      <c r="D76" s="150"/>
      <c r="E76" s="1731"/>
      <c r="F76" s="153"/>
      <c r="G76" s="582"/>
      <c r="H76" s="1828"/>
      <c r="I76" s="1833"/>
      <c r="J76" s="1844">
        <v>40</v>
      </c>
      <c r="K76" s="1770">
        <f>'2023 YTD'!J40</f>
        <v>26.93</v>
      </c>
      <c r="L76" s="151">
        <f t="shared" si="9"/>
        <v>1077.2</v>
      </c>
      <c r="M76" s="583">
        <f>L76/$L$77</f>
        <v>0.13694119740915189</v>
      </c>
      <c r="N76" s="1830"/>
      <c r="O76" s="1848"/>
      <c r="P76" s="150"/>
      <c r="Q76" s="150"/>
      <c r="R76" s="150"/>
      <c r="S76" s="150"/>
      <c r="T76" s="150"/>
      <c r="U76" s="150"/>
      <c r="V76" s="150"/>
      <c r="W76" s="150"/>
      <c r="X76" s="150"/>
      <c r="Y76" s="150"/>
      <c r="Z76" s="150"/>
      <c r="AA76" s="150"/>
      <c r="AB76" s="150"/>
      <c r="AC76" s="150"/>
      <c r="AD76" s="150"/>
      <c r="AE76" s="150"/>
    </row>
    <row r="77" spans="1:31" ht="15">
      <c r="A77" s="1827" t="s">
        <v>790</v>
      </c>
      <c r="B77" s="150"/>
      <c r="C77" s="1832"/>
      <c r="D77" s="150"/>
      <c r="E77" s="431"/>
      <c r="F77" s="1815">
        <f>SUM(F73:F76)</f>
        <v>7291.11</v>
      </c>
      <c r="G77" s="1772">
        <f>F77/$F$90</f>
        <v>3.1576789231641464E-2</v>
      </c>
      <c r="H77" s="1829">
        <v>2.7E-2</v>
      </c>
      <c r="I77" s="1833"/>
      <c r="J77" s="1844"/>
      <c r="K77" s="1765"/>
      <c r="L77" s="1771">
        <f>SUM(L73:L76)</f>
        <v>7866.15</v>
      </c>
      <c r="M77" s="1772">
        <f>L77/$L$90</f>
        <v>2.4563416701736888E-2</v>
      </c>
      <c r="N77" s="1847">
        <v>2.4E-2</v>
      </c>
      <c r="O77" s="1849">
        <v>0.02</v>
      </c>
      <c r="P77" s="150"/>
      <c r="Q77" s="150"/>
      <c r="R77" s="150"/>
      <c r="S77" s="150"/>
      <c r="T77" s="150"/>
      <c r="U77" s="150"/>
      <c r="V77" s="150"/>
      <c r="W77" s="150"/>
      <c r="X77" s="150"/>
      <c r="Y77" s="150"/>
      <c r="Z77" s="150"/>
      <c r="AA77" s="150"/>
      <c r="AB77" s="150"/>
      <c r="AC77" s="150"/>
      <c r="AD77" s="150"/>
      <c r="AE77" s="150"/>
    </row>
    <row r="78" spans="1:31" ht="15">
      <c r="A78" s="1827"/>
      <c r="B78" s="150"/>
      <c r="C78" s="1832"/>
      <c r="D78" s="150"/>
      <c r="E78" s="431"/>
      <c r="F78" s="529"/>
      <c r="G78" s="797"/>
      <c r="H78" s="1828"/>
      <c r="I78" s="1833"/>
      <c r="J78" s="1844"/>
      <c r="K78" s="1765"/>
      <c r="L78" s="1617"/>
      <c r="M78" s="797"/>
      <c r="N78" s="1830"/>
      <c r="O78" s="1852"/>
      <c r="P78" s="150"/>
      <c r="Q78" s="150"/>
      <c r="R78" s="150"/>
      <c r="S78" s="150"/>
      <c r="T78" s="150"/>
      <c r="U78" s="150"/>
      <c r="V78" s="150"/>
      <c r="W78" s="150"/>
      <c r="X78" s="150"/>
      <c r="Y78" s="150"/>
      <c r="Z78" s="150"/>
      <c r="AA78" s="150"/>
      <c r="AB78" s="150"/>
      <c r="AC78" s="150"/>
      <c r="AD78" s="150"/>
      <c r="AE78" s="150"/>
    </row>
    <row r="79" spans="1:31" ht="15">
      <c r="A79" s="1868" t="s">
        <v>779</v>
      </c>
      <c r="B79" s="150" t="s">
        <v>809</v>
      </c>
      <c r="C79" s="1832"/>
      <c r="D79" s="150"/>
      <c r="E79" s="431"/>
      <c r="F79" s="150"/>
      <c r="G79" s="583"/>
      <c r="H79" s="1828"/>
      <c r="I79" s="1833"/>
      <c r="J79" s="1841"/>
      <c r="K79" s="1764"/>
      <c r="L79" s="151"/>
      <c r="M79" s="583"/>
      <c r="N79" s="1830"/>
      <c r="O79" s="1848"/>
      <c r="P79" s="150"/>
      <c r="Q79" s="150"/>
      <c r="R79" s="150"/>
      <c r="S79" s="150"/>
      <c r="T79" s="150"/>
      <c r="U79" s="150"/>
      <c r="V79" s="150"/>
      <c r="W79" s="150"/>
      <c r="X79" s="150"/>
      <c r="Y79" s="150"/>
      <c r="Z79" s="150"/>
      <c r="AA79" s="150"/>
      <c r="AB79" s="150"/>
      <c r="AC79" s="150"/>
      <c r="AD79" s="150"/>
      <c r="AE79" s="150"/>
    </row>
    <row r="80" spans="1:31" ht="15">
      <c r="A80" s="1865" t="s">
        <v>398</v>
      </c>
      <c r="B80" s="150" t="s">
        <v>809</v>
      </c>
      <c r="C80" s="1832" t="s">
        <v>399</v>
      </c>
      <c r="D80" s="150">
        <v>20</v>
      </c>
      <c r="E80" s="1731">
        <v>211.86</v>
      </c>
      <c r="F80" s="153">
        <f>D80*E80</f>
        <v>4237.2000000000007</v>
      </c>
      <c r="G80" s="582">
        <f>F80/$F$82</f>
        <v>0.75114607745462669</v>
      </c>
      <c r="H80" s="1828"/>
      <c r="I80" s="1833"/>
      <c r="J80" s="1840">
        <v>20</v>
      </c>
      <c r="K80" s="1769">
        <f>'2023 YTD'!J12</f>
        <v>212.19</v>
      </c>
      <c r="L80" s="151">
        <f>J80*K80</f>
        <v>4243.8</v>
      </c>
      <c r="M80" s="583">
        <f>L80/$L$82</f>
        <v>0.69515563112425927</v>
      </c>
      <c r="N80" s="1830"/>
      <c r="O80" s="1848"/>
      <c r="P80" s="150"/>
      <c r="Q80" s="150"/>
      <c r="R80" s="150"/>
      <c r="S80" s="150"/>
      <c r="T80" s="150"/>
      <c r="U80" s="150"/>
      <c r="V80" s="150"/>
      <c r="W80" s="150"/>
      <c r="X80" s="150"/>
      <c r="Y80" s="150"/>
      <c r="Z80" s="150"/>
      <c r="AA80" s="150"/>
      <c r="AB80" s="150"/>
      <c r="AC80" s="150"/>
      <c r="AD80" s="150"/>
      <c r="AE80" s="150"/>
    </row>
    <row r="81" spans="1:31" ht="15">
      <c r="A81" s="1866" t="s">
        <v>725</v>
      </c>
      <c r="B81" s="150" t="s">
        <v>809</v>
      </c>
      <c r="C81" s="1832" t="s">
        <v>726</v>
      </c>
      <c r="D81" s="150">
        <v>14</v>
      </c>
      <c r="E81" s="1731">
        <v>100.27</v>
      </c>
      <c r="F81" s="153">
        <f>D81*E81</f>
        <v>1403.78</v>
      </c>
      <c r="G81" s="582">
        <f>F81/$F$82</f>
        <v>0.24885392254537331</v>
      </c>
      <c r="H81" s="1828"/>
      <c r="I81" s="1833"/>
      <c r="J81" s="1840">
        <v>14</v>
      </c>
      <c r="K81" s="1769">
        <f>'2023 YTD'!J21</f>
        <v>132.93</v>
      </c>
      <c r="L81" s="1617">
        <f>J81*K81</f>
        <v>1861.02</v>
      </c>
      <c r="M81" s="797">
        <f>L81/$L$82</f>
        <v>0.30484436887574085</v>
      </c>
      <c r="N81" s="1830"/>
      <c r="O81" s="1848"/>
      <c r="P81" s="150"/>
      <c r="Q81" s="150"/>
      <c r="R81" s="150"/>
      <c r="S81" s="150"/>
      <c r="T81" s="150"/>
      <c r="U81" s="150"/>
      <c r="V81" s="150"/>
      <c r="W81" s="150"/>
      <c r="X81" s="150"/>
      <c r="Y81" s="150"/>
      <c r="Z81" s="150"/>
      <c r="AA81" s="150"/>
      <c r="AB81" s="150"/>
      <c r="AC81" s="150"/>
      <c r="AD81" s="150"/>
      <c r="AE81" s="150"/>
    </row>
    <row r="82" spans="1:31" ht="15">
      <c r="A82" s="1827" t="s">
        <v>790</v>
      </c>
      <c r="B82" s="150"/>
      <c r="C82" s="1832"/>
      <c r="D82" s="150"/>
      <c r="E82" s="431"/>
      <c r="F82" s="1815">
        <f>SUM(F80:F81)</f>
        <v>5640.9800000000005</v>
      </c>
      <c r="G82" s="1772">
        <f>F82/$F$90</f>
        <v>2.443030437339512E-2</v>
      </c>
      <c r="H82" s="1829">
        <v>2.7E-2</v>
      </c>
      <c r="I82" s="1833"/>
      <c r="J82" s="1841"/>
      <c r="K82" s="1763"/>
      <c r="L82" s="1771">
        <f>SUM(L80:L81)</f>
        <v>6104.82</v>
      </c>
      <c r="M82" s="1772">
        <f>L82/$L$90</f>
        <v>1.9063358510719653E-2</v>
      </c>
      <c r="N82" s="1847">
        <v>2.4E-2</v>
      </c>
      <c r="O82" s="1849">
        <v>0.02</v>
      </c>
      <c r="P82" s="150"/>
      <c r="Q82" s="150"/>
      <c r="R82" s="150"/>
      <c r="S82" s="150"/>
      <c r="T82" s="150"/>
      <c r="U82" s="150"/>
      <c r="V82" s="150"/>
      <c r="W82" s="150"/>
      <c r="X82" s="150"/>
      <c r="Y82" s="150"/>
      <c r="Z82" s="150"/>
      <c r="AA82" s="150"/>
      <c r="AB82" s="150"/>
      <c r="AC82" s="150"/>
      <c r="AD82" s="150"/>
      <c r="AE82" s="150"/>
    </row>
    <row r="83" spans="1:31" ht="15">
      <c r="A83" s="1827"/>
      <c r="B83" s="150"/>
      <c r="C83" s="1832"/>
      <c r="D83" s="150"/>
      <c r="E83" s="431"/>
      <c r="F83" s="150"/>
      <c r="G83" s="583"/>
      <c r="H83" s="1830"/>
      <c r="I83" s="797"/>
      <c r="J83" s="1844"/>
      <c r="K83" s="1765"/>
      <c r="L83" s="151"/>
      <c r="M83" s="583"/>
      <c r="N83" s="1830"/>
      <c r="O83" s="1848"/>
      <c r="P83" s="150"/>
      <c r="Q83" s="150"/>
      <c r="R83" s="150"/>
      <c r="S83" s="150"/>
      <c r="T83" s="150"/>
      <c r="U83" s="150"/>
      <c r="V83" s="150"/>
      <c r="W83" s="150"/>
      <c r="X83" s="150"/>
      <c r="Y83" s="150"/>
      <c r="Z83" s="150"/>
      <c r="AA83" s="150"/>
      <c r="AB83" s="150"/>
      <c r="AC83" s="150"/>
      <c r="AD83" s="150"/>
      <c r="AE83" s="150"/>
    </row>
    <row r="84" spans="1:31" ht="15">
      <c r="A84" s="1868" t="s">
        <v>810</v>
      </c>
      <c r="B84" s="150" t="s">
        <v>809</v>
      </c>
      <c r="C84" s="1832"/>
      <c r="D84" s="150"/>
      <c r="E84" s="431"/>
      <c r="F84" s="150"/>
      <c r="G84" s="583"/>
      <c r="H84" s="1830"/>
      <c r="I84" s="797"/>
      <c r="J84" s="1844"/>
      <c r="K84" s="1765"/>
      <c r="L84" s="151"/>
      <c r="M84" s="583"/>
      <c r="N84" s="1830"/>
      <c r="O84" s="1848"/>
      <c r="P84" s="150"/>
      <c r="Q84" s="150"/>
      <c r="R84" s="150"/>
      <c r="S84" s="150"/>
      <c r="T84" s="150"/>
      <c r="U84" s="150"/>
      <c r="V84" s="150"/>
      <c r="W84" s="150"/>
      <c r="X84" s="150"/>
      <c r="Y84" s="150"/>
      <c r="Z84" s="150"/>
      <c r="AA84" s="150"/>
      <c r="AB84" s="150"/>
      <c r="AC84" s="150"/>
      <c r="AD84" s="150"/>
      <c r="AE84" s="150"/>
    </row>
    <row r="85" spans="1:31" ht="15">
      <c r="A85" s="1865" t="s">
        <v>648</v>
      </c>
      <c r="B85" s="150" t="s">
        <v>809</v>
      </c>
      <c r="C85" s="1832" t="s">
        <v>649</v>
      </c>
      <c r="D85" s="150">
        <v>30</v>
      </c>
      <c r="E85" s="1731">
        <v>25.34</v>
      </c>
      <c r="F85" s="153">
        <f>D85*E85</f>
        <v>760.2</v>
      </c>
      <c r="G85" s="582">
        <f>F85/$F$88</f>
        <v>0.17135515282661617</v>
      </c>
      <c r="H85" s="1830"/>
      <c r="I85" s="797"/>
      <c r="J85" s="1844">
        <v>30</v>
      </c>
      <c r="K85" s="1770">
        <f>'2023 YTD'!J18</f>
        <v>27.41</v>
      </c>
      <c r="L85" s="153">
        <f>J85*K85</f>
        <v>822.3</v>
      </c>
      <c r="M85" s="583">
        <f>L85/$L$88</f>
        <v>0.12093980953781666</v>
      </c>
      <c r="N85" s="1830"/>
      <c r="O85" s="1848"/>
      <c r="P85" s="150"/>
      <c r="Q85" s="150"/>
      <c r="R85" s="150"/>
      <c r="S85" s="150"/>
      <c r="T85" s="150"/>
      <c r="U85" s="150"/>
      <c r="V85" s="150"/>
      <c r="W85" s="150"/>
      <c r="X85" s="150"/>
      <c r="Y85" s="150"/>
      <c r="Z85" s="150"/>
      <c r="AA85" s="150"/>
      <c r="AB85" s="150"/>
      <c r="AC85" s="150"/>
      <c r="AD85" s="150"/>
      <c r="AE85" s="150"/>
    </row>
    <row r="86" spans="1:31" ht="15">
      <c r="A86" s="1866" t="s">
        <v>1269</v>
      </c>
      <c r="B86" s="150" t="s">
        <v>798</v>
      </c>
      <c r="C86" s="1832"/>
      <c r="D86" s="150"/>
      <c r="E86" s="1953"/>
      <c r="F86" s="153"/>
      <c r="G86" s="1954"/>
      <c r="H86" s="1828"/>
      <c r="I86" s="1833"/>
      <c r="J86" s="1842">
        <v>35</v>
      </c>
      <c r="K86" s="1955">
        <f>'2023 YTD'!J31</f>
        <v>62.77</v>
      </c>
      <c r="L86" s="1617">
        <f>J86*K86</f>
        <v>2196.9500000000003</v>
      </c>
      <c r="M86" s="797">
        <f>L86/$L$32</f>
        <v>0.22937149527099757</v>
      </c>
      <c r="N86" s="1830"/>
      <c r="O86" s="1956"/>
      <c r="P86" s="150"/>
      <c r="Q86" s="150"/>
      <c r="R86" s="150"/>
      <c r="S86" s="150"/>
      <c r="T86" s="150"/>
      <c r="U86" s="150"/>
      <c r="V86" s="150"/>
      <c r="W86" s="150"/>
      <c r="X86" s="150"/>
      <c r="Y86" s="150"/>
      <c r="Z86" s="150"/>
      <c r="AA86" s="150"/>
      <c r="AB86" s="150"/>
      <c r="AC86" s="150"/>
      <c r="AD86" s="150"/>
      <c r="AE86" s="150"/>
    </row>
    <row r="87" spans="1:31" ht="15">
      <c r="A87" s="1865" t="s">
        <v>365</v>
      </c>
      <c r="B87" s="150" t="s">
        <v>809</v>
      </c>
      <c r="C87" s="1832" t="s">
        <v>80</v>
      </c>
      <c r="D87" s="150">
        <v>60</v>
      </c>
      <c r="E87" s="1731">
        <v>61.27</v>
      </c>
      <c r="F87" s="153">
        <f>D87*E87</f>
        <v>3676.2000000000003</v>
      </c>
      <c r="G87" s="582">
        <f>F87/$F$88</f>
        <v>0.82864484717338383</v>
      </c>
      <c r="H87" s="1830"/>
      <c r="I87" s="797"/>
      <c r="J87" s="1844">
        <v>60</v>
      </c>
      <c r="K87" s="1770">
        <f>'2023 YTD'!J34</f>
        <v>63</v>
      </c>
      <c r="L87" s="529">
        <f>J87*K87</f>
        <v>3780</v>
      </c>
      <c r="M87" s="797">
        <f>L87/$L$88</f>
        <v>0.55594367025774905</v>
      </c>
      <c r="N87" s="1830"/>
      <c r="O87" s="1848"/>
      <c r="P87" s="150"/>
      <c r="Q87" s="150"/>
      <c r="R87" s="150"/>
      <c r="S87" s="150"/>
      <c r="T87" s="150"/>
      <c r="U87" s="150"/>
      <c r="V87" s="150"/>
      <c r="W87" s="150"/>
      <c r="X87" s="150"/>
      <c r="Y87" s="150"/>
      <c r="Z87" s="150"/>
      <c r="AA87" s="150"/>
      <c r="AB87" s="150"/>
      <c r="AC87" s="150"/>
      <c r="AD87" s="150"/>
      <c r="AE87" s="150"/>
    </row>
    <row r="88" spans="1:31" ht="15">
      <c r="A88" s="1827" t="s">
        <v>790</v>
      </c>
      <c r="B88" s="150"/>
      <c r="C88" s="1834"/>
      <c r="D88" s="1835"/>
      <c r="E88" s="435"/>
      <c r="F88" s="1836">
        <f>SUM(F85:F87)</f>
        <v>4436.4000000000005</v>
      </c>
      <c r="G88" s="1837">
        <f>F88/$F$90</f>
        <v>1.921343495671499E-2</v>
      </c>
      <c r="H88" s="1838">
        <v>3.2000000000000001E-2</v>
      </c>
      <c r="I88" s="1833"/>
      <c r="J88" s="1853"/>
      <c r="K88" s="1854"/>
      <c r="L88" s="1855">
        <f>SUM(L85:L87)</f>
        <v>6799.25</v>
      </c>
      <c r="M88" s="1837">
        <f>L88/$L$90</f>
        <v>2.1231836541292064E-2</v>
      </c>
      <c r="N88" s="1856">
        <v>2.4E-2</v>
      </c>
      <c r="O88" s="1857">
        <v>1.4999999999999999E-2</v>
      </c>
      <c r="P88" s="150"/>
      <c r="Q88" s="150"/>
      <c r="R88" s="150"/>
      <c r="S88" s="150"/>
      <c r="T88" s="150"/>
      <c r="U88" s="150"/>
      <c r="V88" s="150"/>
      <c r="W88" s="150"/>
      <c r="X88" s="150"/>
      <c r="Y88" s="150"/>
      <c r="Z88" s="150"/>
      <c r="AA88" s="150"/>
      <c r="AB88" s="150"/>
      <c r="AC88" s="150"/>
      <c r="AD88" s="150"/>
      <c r="AE88" s="150"/>
    </row>
    <row r="89" spans="1:31" ht="15">
      <c r="A89" s="150"/>
      <c r="B89" s="150"/>
      <c r="C89" s="150"/>
      <c r="D89" s="150"/>
      <c r="E89" s="431"/>
      <c r="F89" s="150"/>
      <c r="G89" s="583"/>
      <c r="H89" s="528"/>
      <c r="I89" s="528"/>
      <c r="J89" s="1764"/>
      <c r="K89" s="1764"/>
      <c r="L89" s="150"/>
      <c r="M89" s="583"/>
      <c r="N89" s="583"/>
      <c r="O89" s="582"/>
      <c r="P89" s="150"/>
      <c r="Q89" s="150"/>
      <c r="R89" s="150"/>
      <c r="S89" s="150"/>
      <c r="T89" s="150"/>
      <c r="U89" s="150"/>
      <c r="V89" s="150"/>
      <c r="W89" s="150"/>
      <c r="X89" s="150"/>
      <c r="Y89" s="150"/>
      <c r="Z89" s="150"/>
      <c r="AA89" s="150"/>
      <c r="AB89" s="150"/>
      <c r="AC89" s="150"/>
      <c r="AD89" s="150"/>
      <c r="AE89" s="150"/>
    </row>
    <row r="90" spans="1:31" ht="15">
      <c r="A90" s="364" t="s">
        <v>375</v>
      </c>
      <c r="B90" s="150"/>
      <c r="C90" s="150"/>
      <c r="D90" s="150"/>
      <c r="E90" s="431"/>
      <c r="F90" s="529">
        <f>SUM(F88+F11+F77+F70+F82+F60+F51+F41+F32+F25+F18)</f>
        <v>230900.93</v>
      </c>
      <c r="G90" s="797">
        <f>SUM(G88,G77,G70,G82,G60,G51,G41,G32,G25,G18,G11)</f>
        <v>1</v>
      </c>
      <c r="H90" s="1354">
        <f>SUM(H4:H88)</f>
        <v>1</v>
      </c>
      <c r="I90" s="1354"/>
      <c r="J90" s="1763"/>
      <c r="K90" s="1763"/>
      <c r="L90" s="1617">
        <f>SUM(L11,L18,L25,L32,L41,L51,L60,L70,L77,L82,L88)</f>
        <v>320238.43</v>
      </c>
      <c r="M90" s="797">
        <f>SUM(M11,M18,M25,M32,M41,M51,M60,M82,M70,M77,M88)</f>
        <v>1</v>
      </c>
      <c r="N90" s="582">
        <f>SUM(N4:N88)</f>
        <v>1</v>
      </c>
      <c r="O90" s="582">
        <f>SUM(O4:O88)</f>
        <v>1</v>
      </c>
      <c r="P90" s="150"/>
      <c r="Q90" s="150"/>
      <c r="R90" s="150"/>
      <c r="S90" s="150"/>
      <c r="T90" s="150"/>
      <c r="U90" s="150"/>
      <c r="V90" s="150"/>
      <c r="W90" s="150"/>
      <c r="X90" s="150"/>
      <c r="Y90" s="150"/>
      <c r="Z90" s="150"/>
      <c r="AA90" s="150"/>
      <c r="AB90" s="150"/>
      <c r="AC90" s="150"/>
      <c r="AD90" s="150"/>
      <c r="AE90" s="150"/>
    </row>
    <row r="91" spans="1:31" ht="15.75">
      <c r="A91" s="150"/>
      <c r="B91" s="791"/>
      <c r="C91" s="150"/>
      <c r="D91" s="150"/>
      <c r="E91" s="431"/>
      <c r="F91" s="150"/>
      <c r="G91" s="583"/>
      <c r="H91" s="583"/>
      <c r="I91" s="583"/>
      <c r="J91" s="1764"/>
      <c r="K91" s="1764"/>
      <c r="L91" s="150"/>
      <c r="M91" s="583"/>
      <c r="N91" s="583"/>
      <c r="O91" s="582"/>
      <c r="P91" s="150"/>
      <c r="Q91" s="150"/>
      <c r="R91" s="150"/>
      <c r="S91" s="150"/>
      <c r="T91" s="150"/>
      <c r="U91" s="150"/>
      <c r="V91" s="150"/>
      <c r="W91" s="150"/>
      <c r="X91" s="150"/>
      <c r="Y91" s="150"/>
      <c r="Z91" s="150"/>
      <c r="AA91" s="150"/>
      <c r="AB91" s="150"/>
      <c r="AC91" s="150"/>
      <c r="AD91" s="150"/>
      <c r="AE91" s="150"/>
    </row>
    <row r="92" spans="1:31" ht="15">
      <c r="A92" s="364"/>
      <c r="B92" s="150"/>
      <c r="C92" s="150"/>
      <c r="D92" s="150"/>
      <c r="E92" s="431"/>
      <c r="F92" s="150"/>
      <c r="G92" s="583"/>
      <c r="H92" s="583"/>
      <c r="I92" s="583"/>
      <c r="J92" s="1764"/>
      <c r="K92" s="1764"/>
      <c r="L92" s="150"/>
      <c r="M92" s="583"/>
      <c r="N92" s="583"/>
      <c r="O92" s="606"/>
      <c r="P92" s="150"/>
      <c r="Q92" s="150"/>
      <c r="R92" s="150"/>
      <c r="S92" s="150"/>
      <c r="T92" s="150"/>
      <c r="U92" s="150"/>
      <c r="V92" s="150"/>
      <c r="W92" s="150"/>
      <c r="X92" s="150"/>
      <c r="Y92" s="150"/>
      <c r="Z92" s="150"/>
      <c r="AA92" s="150"/>
      <c r="AB92" s="150"/>
      <c r="AC92" s="150"/>
      <c r="AD92" s="150"/>
      <c r="AE92" s="150"/>
    </row>
    <row r="93" spans="1:31" ht="15">
      <c r="A93" s="150"/>
      <c r="B93" s="150"/>
      <c r="C93" s="150"/>
      <c r="D93" s="152"/>
      <c r="E93" s="431"/>
      <c r="F93" s="153"/>
      <c r="G93" s="583"/>
      <c r="H93" s="583"/>
      <c r="I93" s="583"/>
      <c r="J93" s="1764"/>
      <c r="K93" s="1764"/>
      <c r="L93" s="153"/>
      <c r="M93" s="583"/>
      <c r="N93" s="583"/>
      <c r="O93" s="606"/>
      <c r="P93" s="150"/>
      <c r="Q93" s="150"/>
      <c r="R93" s="150"/>
      <c r="S93" s="150"/>
      <c r="T93" s="150"/>
      <c r="U93" s="150"/>
      <c r="V93" s="150"/>
      <c r="W93" s="150"/>
      <c r="X93" s="150"/>
      <c r="Y93" s="150"/>
      <c r="Z93" s="150"/>
      <c r="AA93" s="150"/>
      <c r="AB93" s="150"/>
      <c r="AC93" s="150"/>
      <c r="AD93" s="150"/>
      <c r="AE93" s="150"/>
    </row>
    <row r="94" spans="1:31" ht="15">
      <c r="A94" s="150"/>
      <c r="B94" s="150"/>
      <c r="C94" s="150"/>
      <c r="D94" s="152"/>
      <c r="E94" s="431"/>
      <c r="F94" s="153"/>
      <c r="G94" s="583"/>
      <c r="H94" s="583"/>
      <c r="I94" s="583"/>
      <c r="J94" s="1764"/>
      <c r="K94" s="1764"/>
      <c r="L94" s="153"/>
      <c r="M94" s="583"/>
      <c r="N94" s="583"/>
      <c r="O94" s="606"/>
      <c r="P94" s="150"/>
      <c r="Q94" s="150"/>
      <c r="R94" s="150"/>
      <c r="S94" s="150"/>
      <c r="T94" s="150"/>
      <c r="U94" s="150"/>
      <c r="V94" s="150"/>
      <c r="W94" s="150"/>
      <c r="X94" s="150"/>
      <c r="Y94" s="150"/>
      <c r="Z94" s="150"/>
      <c r="AA94" s="150"/>
      <c r="AB94" s="150"/>
      <c r="AC94" s="150"/>
      <c r="AD94" s="150"/>
      <c r="AE94" s="150"/>
    </row>
    <row r="95" spans="1:31" ht="15">
      <c r="A95" s="150"/>
      <c r="B95" s="150"/>
      <c r="C95" s="150"/>
      <c r="D95" s="152"/>
      <c r="E95" s="431"/>
      <c r="F95" s="153"/>
      <c r="G95" s="583"/>
      <c r="H95" s="583"/>
      <c r="I95" s="583"/>
      <c r="J95" s="1764"/>
      <c r="K95" s="1764"/>
      <c r="L95" s="153"/>
      <c r="M95" s="583"/>
      <c r="N95" s="583"/>
      <c r="O95" s="606"/>
      <c r="P95" s="150"/>
      <c r="Q95" s="150"/>
      <c r="R95" s="150"/>
      <c r="S95" s="150"/>
      <c r="T95" s="150"/>
      <c r="U95" s="150"/>
      <c r="V95" s="150"/>
      <c r="W95" s="150"/>
      <c r="X95" s="150"/>
      <c r="Y95" s="150"/>
      <c r="Z95" s="150"/>
      <c r="AA95" s="150"/>
      <c r="AB95" s="150"/>
      <c r="AC95" s="150"/>
      <c r="AD95" s="150"/>
      <c r="AE95" s="150"/>
    </row>
    <row r="96" spans="1:31" ht="15">
      <c r="A96" s="150"/>
      <c r="B96" s="150"/>
      <c r="C96" s="150"/>
      <c r="D96" s="152"/>
      <c r="E96" s="431"/>
      <c r="F96" s="153"/>
      <c r="G96" s="583"/>
      <c r="H96" s="583"/>
      <c r="I96" s="583"/>
      <c r="J96" s="1764"/>
      <c r="K96" s="1764"/>
      <c r="L96" s="153"/>
      <c r="M96" s="583"/>
      <c r="N96" s="583"/>
      <c r="O96" s="606"/>
      <c r="P96" s="150"/>
      <c r="Q96" s="150"/>
      <c r="R96" s="150"/>
      <c r="S96" s="150"/>
      <c r="T96" s="150"/>
      <c r="U96" s="150"/>
      <c r="V96" s="150"/>
      <c r="W96" s="150"/>
      <c r="X96" s="150"/>
      <c r="Y96" s="150"/>
      <c r="Z96" s="150"/>
      <c r="AA96" s="150"/>
      <c r="AB96" s="150"/>
      <c r="AC96" s="150"/>
      <c r="AD96" s="150"/>
      <c r="AE96" s="150"/>
    </row>
    <row r="97" spans="1:31" ht="15">
      <c r="A97" s="150"/>
      <c r="B97" s="150"/>
      <c r="C97" s="150"/>
      <c r="D97" s="152"/>
      <c r="E97" s="431"/>
      <c r="F97" s="153"/>
      <c r="G97" s="583"/>
      <c r="H97" s="583"/>
      <c r="I97" s="583"/>
      <c r="J97" s="1764"/>
      <c r="K97" s="1764"/>
      <c r="L97" s="153"/>
      <c r="M97" s="583"/>
      <c r="N97" s="583"/>
      <c r="O97" s="606"/>
      <c r="P97" s="150"/>
      <c r="Q97" s="150"/>
      <c r="R97" s="150"/>
      <c r="S97" s="150"/>
      <c r="T97" s="150"/>
      <c r="U97" s="150"/>
      <c r="V97" s="150"/>
      <c r="W97" s="150"/>
      <c r="X97" s="150"/>
      <c r="Y97" s="150"/>
      <c r="Z97" s="150"/>
      <c r="AA97" s="150"/>
      <c r="AB97" s="150"/>
      <c r="AC97" s="150"/>
      <c r="AD97" s="150"/>
      <c r="AE97" s="150"/>
    </row>
    <row r="98" spans="1:31" ht="15">
      <c r="A98" s="364"/>
      <c r="B98" s="150"/>
      <c r="C98" s="150"/>
      <c r="D98" s="150"/>
      <c r="E98" s="431"/>
      <c r="F98" s="529"/>
      <c r="G98" s="797"/>
      <c r="H98" s="797"/>
      <c r="I98" s="797"/>
      <c r="J98" s="1763"/>
      <c r="K98" s="1763"/>
      <c r="L98" s="529"/>
      <c r="M98" s="797"/>
      <c r="N98" s="797"/>
      <c r="O98" s="606"/>
      <c r="P98" s="150"/>
      <c r="Q98" s="150"/>
      <c r="R98" s="150"/>
      <c r="S98" s="150"/>
      <c r="T98" s="150"/>
      <c r="U98" s="150"/>
      <c r="V98" s="150"/>
      <c r="W98" s="150"/>
      <c r="X98" s="150"/>
      <c r="Y98" s="150"/>
      <c r="Z98" s="150"/>
      <c r="AA98" s="150"/>
      <c r="AB98" s="150"/>
      <c r="AC98" s="150"/>
      <c r="AD98" s="150"/>
      <c r="AE98" s="150"/>
    </row>
    <row r="99" spans="1:31" ht="15">
      <c r="A99" s="150"/>
      <c r="B99" s="150"/>
      <c r="C99" s="150"/>
      <c r="D99" s="150"/>
      <c r="E99" s="431"/>
      <c r="F99" s="150"/>
      <c r="G99" s="583"/>
      <c r="H99" s="583"/>
      <c r="I99" s="583"/>
      <c r="J99" s="1764"/>
      <c r="K99" s="1764"/>
      <c r="L99" s="150"/>
      <c r="M99" s="583"/>
      <c r="N99" s="583"/>
      <c r="O99" s="606"/>
      <c r="P99" s="150"/>
      <c r="Q99" s="150"/>
      <c r="R99" s="150"/>
      <c r="S99" s="150"/>
      <c r="T99" s="150"/>
      <c r="U99" s="150"/>
      <c r="V99" s="150"/>
      <c r="W99" s="150"/>
      <c r="X99" s="150"/>
      <c r="Y99" s="150"/>
      <c r="Z99" s="150"/>
      <c r="AA99" s="150"/>
      <c r="AB99" s="150"/>
      <c r="AC99" s="150"/>
      <c r="AD99" s="150"/>
      <c r="AE99" s="150"/>
    </row>
    <row r="100" spans="1:31" ht="15">
      <c r="A100" s="364"/>
      <c r="B100" s="150"/>
      <c r="C100" s="150"/>
      <c r="D100" s="150"/>
      <c r="E100" s="431"/>
      <c r="F100" s="150"/>
      <c r="G100" s="583"/>
      <c r="H100" s="583"/>
      <c r="I100" s="583"/>
      <c r="J100" s="1764"/>
      <c r="K100" s="1764"/>
      <c r="L100" s="150"/>
      <c r="M100" s="583"/>
      <c r="N100" s="583"/>
      <c r="O100" s="606"/>
      <c r="P100" s="150"/>
      <c r="Q100" s="150"/>
      <c r="R100" s="150"/>
      <c r="S100" s="150"/>
      <c r="T100" s="150"/>
      <c r="U100" s="150"/>
      <c r="V100" s="150"/>
      <c r="W100" s="150"/>
      <c r="X100" s="150"/>
      <c r="Y100" s="150"/>
      <c r="Z100" s="150"/>
      <c r="AA100" s="150"/>
      <c r="AB100" s="150"/>
      <c r="AC100" s="150"/>
      <c r="AD100" s="150"/>
      <c r="AE100" s="150"/>
    </row>
    <row r="101" spans="1:31" ht="15">
      <c r="A101" s="150"/>
      <c r="B101" s="150"/>
      <c r="C101" s="150"/>
      <c r="D101" s="152"/>
      <c r="E101" s="431"/>
      <c r="F101" s="153"/>
      <c r="G101" s="583"/>
      <c r="H101" s="583"/>
      <c r="I101" s="583"/>
      <c r="J101" s="1764"/>
      <c r="K101" s="1764"/>
      <c r="L101" s="153"/>
      <c r="M101" s="583"/>
      <c r="N101" s="583"/>
      <c r="O101" s="582"/>
      <c r="P101" s="150"/>
      <c r="Q101" s="150"/>
      <c r="R101" s="150"/>
      <c r="S101" s="150"/>
      <c r="T101" s="150"/>
      <c r="U101" s="150"/>
      <c r="V101" s="150"/>
      <c r="W101" s="150"/>
      <c r="X101" s="150"/>
      <c r="Y101" s="150"/>
      <c r="Z101" s="150"/>
      <c r="AA101" s="150"/>
      <c r="AB101" s="150"/>
      <c r="AC101" s="150"/>
      <c r="AD101" s="150"/>
      <c r="AE101" s="150"/>
    </row>
    <row r="102" spans="1:31" ht="15">
      <c r="A102" s="150"/>
      <c r="B102" s="150"/>
      <c r="C102" s="150"/>
      <c r="D102" s="152"/>
      <c r="E102" s="431"/>
      <c r="F102" s="153"/>
      <c r="G102" s="583"/>
      <c r="H102" s="583"/>
      <c r="I102" s="583"/>
      <c r="J102" s="1764"/>
      <c r="K102" s="1764"/>
      <c r="L102" s="153"/>
      <c r="M102" s="583"/>
      <c r="N102" s="583"/>
      <c r="O102" s="582"/>
      <c r="P102" s="150"/>
      <c r="Q102" s="150"/>
      <c r="R102" s="150"/>
      <c r="S102" s="150"/>
      <c r="T102" s="150"/>
      <c r="U102" s="150"/>
      <c r="V102" s="150"/>
      <c r="W102" s="150"/>
      <c r="X102" s="150"/>
      <c r="Y102" s="150"/>
      <c r="Z102" s="150"/>
      <c r="AA102" s="150"/>
      <c r="AB102" s="150"/>
      <c r="AC102" s="150"/>
      <c r="AD102" s="150"/>
      <c r="AE102" s="150"/>
    </row>
    <row r="103" spans="1:31" ht="15">
      <c r="A103" s="364"/>
      <c r="B103" s="150"/>
      <c r="C103" s="150"/>
      <c r="D103" s="150"/>
      <c r="E103" s="431"/>
      <c r="F103" s="529"/>
      <c r="G103" s="797"/>
      <c r="H103" s="797"/>
      <c r="I103" s="797"/>
      <c r="J103" s="1763"/>
      <c r="K103" s="1763"/>
      <c r="L103" s="529"/>
      <c r="M103" s="797"/>
      <c r="N103" s="797"/>
      <c r="O103" s="582"/>
      <c r="P103" s="150"/>
      <c r="Q103" s="150"/>
      <c r="R103" s="150"/>
      <c r="S103" s="150"/>
      <c r="T103" s="150"/>
      <c r="U103" s="150"/>
      <c r="V103" s="150"/>
      <c r="W103" s="150"/>
      <c r="X103" s="150"/>
      <c r="Y103" s="150"/>
      <c r="Z103" s="150"/>
      <c r="AA103" s="150"/>
      <c r="AB103" s="150"/>
      <c r="AC103" s="150"/>
      <c r="AD103" s="150"/>
      <c r="AE103" s="150"/>
    </row>
    <row r="104" spans="1:31" ht="15">
      <c r="A104" s="150"/>
      <c r="B104" s="150"/>
      <c r="C104" s="150"/>
      <c r="D104" s="150"/>
      <c r="E104" s="431"/>
      <c r="F104" s="150"/>
      <c r="G104" s="583"/>
      <c r="H104" s="583"/>
      <c r="I104" s="583"/>
      <c r="J104" s="1764"/>
      <c r="K104" s="1764"/>
      <c r="L104" s="150"/>
      <c r="M104" s="583"/>
      <c r="N104" s="583"/>
      <c r="O104" s="582"/>
      <c r="P104" s="150"/>
      <c r="Q104" s="150"/>
      <c r="R104" s="150"/>
      <c r="S104" s="150"/>
      <c r="T104" s="150"/>
      <c r="U104" s="150"/>
      <c r="V104" s="150"/>
      <c r="W104" s="150"/>
      <c r="X104" s="150"/>
      <c r="Y104" s="150"/>
      <c r="Z104" s="150"/>
      <c r="AA104" s="150"/>
      <c r="AB104" s="150"/>
      <c r="AC104" s="150"/>
      <c r="AD104" s="150"/>
      <c r="AE104" s="150"/>
    </row>
    <row r="105" spans="1:31" ht="15">
      <c r="A105" s="364"/>
      <c r="B105" s="150"/>
      <c r="C105" s="150"/>
      <c r="D105" s="150"/>
      <c r="E105" s="431"/>
      <c r="F105" s="529"/>
      <c r="G105" s="797"/>
      <c r="H105" s="797"/>
      <c r="I105" s="797"/>
      <c r="J105" s="1763"/>
      <c r="K105" s="1763"/>
      <c r="L105" s="529"/>
      <c r="M105" s="797"/>
      <c r="N105" s="797"/>
      <c r="O105" s="582"/>
      <c r="P105" s="150"/>
      <c r="Q105" s="150"/>
      <c r="R105" s="150"/>
      <c r="S105" s="150"/>
      <c r="T105" s="150"/>
      <c r="U105" s="150"/>
      <c r="V105" s="150"/>
      <c r="W105" s="150"/>
      <c r="X105" s="150"/>
      <c r="Y105" s="150"/>
      <c r="Z105" s="150"/>
      <c r="AA105" s="150"/>
      <c r="AB105" s="150"/>
      <c r="AC105" s="150"/>
      <c r="AD105" s="150"/>
      <c r="AE105" s="150"/>
    </row>
    <row r="106" spans="1:31" ht="15">
      <c r="A106" s="364"/>
      <c r="B106" s="150"/>
      <c r="C106" s="150"/>
      <c r="D106" s="150"/>
      <c r="E106" s="431"/>
      <c r="F106" s="365"/>
      <c r="G106" s="798"/>
      <c r="H106" s="798"/>
      <c r="I106" s="798"/>
      <c r="J106" s="1766"/>
      <c r="K106" s="1766"/>
      <c r="L106" s="365"/>
      <c r="M106" s="798"/>
      <c r="N106" s="798"/>
      <c r="O106" s="582"/>
      <c r="P106" s="150"/>
      <c r="Q106" s="150"/>
      <c r="R106" s="150"/>
      <c r="S106" s="150"/>
      <c r="T106" s="150"/>
      <c r="U106" s="150"/>
      <c r="V106" s="150"/>
      <c r="W106" s="150"/>
      <c r="X106" s="150"/>
      <c r="Y106" s="150"/>
      <c r="Z106" s="150"/>
      <c r="AA106" s="150"/>
      <c r="AB106" s="150"/>
      <c r="AC106" s="150"/>
      <c r="AD106" s="150"/>
      <c r="AE106" s="150"/>
    </row>
    <row r="107" spans="1:31" ht="15">
      <c r="A107" s="364"/>
      <c r="B107" s="150"/>
      <c r="C107" s="150"/>
      <c r="D107" s="150"/>
      <c r="E107" s="431"/>
      <c r="F107" s="365"/>
      <c r="G107" s="798"/>
      <c r="H107" s="798"/>
      <c r="I107" s="798"/>
      <c r="J107" s="1766"/>
      <c r="K107" s="1766"/>
      <c r="L107" s="365"/>
      <c r="M107" s="798"/>
      <c r="N107" s="798"/>
      <c r="O107" s="582"/>
      <c r="P107" s="153"/>
      <c r="Q107" s="150"/>
      <c r="R107" s="150"/>
      <c r="S107" s="150"/>
      <c r="T107" s="150"/>
      <c r="U107" s="150"/>
      <c r="V107" s="150"/>
      <c r="W107" s="150"/>
      <c r="X107" s="150"/>
      <c r="Y107" s="150"/>
      <c r="Z107" s="150"/>
      <c r="AA107" s="150"/>
      <c r="AB107" s="150"/>
      <c r="AC107" s="150"/>
      <c r="AD107" s="150"/>
      <c r="AE107" s="150"/>
    </row>
    <row r="108" spans="1:31" ht="15">
      <c r="A108" s="150"/>
      <c r="B108" s="150"/>
      <c r="C108" s="150"/>
      <c r="D108" s="150"/>
      <c r="E108" s="431"/>
      <c r="F108" s="150"/>
      <c r="G108" s="583"/>
      <c r="H108" s="583"/>
      <c r="I108" s="583"/>
      <c r="J108" s="1764"/>
      <c r="K108" s="1764"/>
      <c r="L108" s="150"/>
      <c r="M108" s="583"/>
      <c r="N108" s="583"/>
      <c r="O108" s="582"/>
      <c r="P108" s="150"/>
      <c r="Q108" s="150"/>
      <c r="R108" s="150"/>
      <c r="S108" s="150"/>
      <c r="T108" s="150"/>
      <c r="U108" s="150"/>
      <c r="V108" s="150"/>
      <c r="W108" s="150"/>
      <c r="X108" s="150"/>
      <c r="Y108" s="150"/>
      <c r="Z108" s="150"/>
      <c r="AA108" s="150"/>
      <c r="AB108" s="150"/>
      <c r="AC108" s="150"/>
      <c r="AD108" s="150"/>
      <c r="AE108" s="150"/>
    </row>
    <row r="109" spans="1:31" ht="15">
      <c r="A109" s="364"/>
      <c r="B109" s="150"/>
      <c r="C109" s="150"/>
      <c r="D109" s="150"/>
      <c r="E109" s="431"/>
      <c r="F109" s="529"/>
      <c r="G109" s="797"/>
      <c r="H109" s="797"/>
      <c r="I109" s="797"/>
      <c r="J109" s="1763"/>
      <c r="K109" s="1763"/>
      <c r="L109" s="529"/>
      <c r="M109" s="797"/>
      <c r="N109" s="797"/>
      <c r="O109" s="582"/>
      <c r="P109" s="150"/>
      <c r="Q109" s="150"/>
      <c r="R109" s="150"/>
      <c r="S109" s="150"/>
      <c r="T109" s="150"/>
      <c r="U109" s="150"/>
      <c r="V109" s="150"/>
      <c r="W109" s="150"/>
      <c r="X109" s="150"/>
      <c r="Y109" s="150"/>
      <c r="Z109" s="150"/>
      <c r="AA109" s="150"/>
      <c r="AB109" s="150"/>
      <c r="AC109" s="150"/>
      <c r="AD109" s="150"/>
      <c r="AE109" s="150"/>
    </row>
    <row r="110" spans="1:31" ht="15">
      <c r="A110" s="150"/>
      <c r="B110" s="150"/>
      <c r="C110" s="150"/>
      <c r="D110" s="150"/>
      <c r="E110" s="431"/>
      <c r="F110" s="150"/>
      <c r="G110" s="583"/>
      <c r="H110" s="583"/>
      <c r="I110" s="583"/>
      <c r="J110" s="1764"/>
      <c r="K110" s="1764"/>
      <c r="L110" s="150"/>
      <c r="M110" s="583"/>
      <c r="N110" s="583"/>
      <c r="O110" s="582"/>
      <c r="P110" s="150"/>
      <c r="Q110" s="150"/>
      <c r="R110" s="150"/>
      <c r="S110" s="150"/>
      <c r="T110" s="150"/>
      <c r="U110" s="150"/>
      <c r="V110" s="150"/>
      <c r="W110" s="150"/>
      <c r="X110" s="150"/>
      <c r="Y110" s="150"/>
      <c r="Z110" s="150"/>
      <c r="AA110" s="150"/>
      <c r="AB110" s="150"/>
      <c r="AC110" s="150"/>
      <c r="AD110" s="150"/>
      <c r="AE110" s="150"/>
    </row>
    <row r="111" spans="1:31" ht="15">
      <c r="A111" s="150"/>
      <c r="B111" s="150"/>
      <c r="C111" s="150"/>
      <c r="D111" s="150"/>
      <c r="E111" s="431"/>
      <c r="F111" s="150"/>
      <c r="G111" s="583"/>
      <c r="H111" s="583"/>
      <c r="I111" s="583"/>
      <c r="J111" s="1764"/>
      <c r="K111" s="1764"/>
      <c r="L111" s="150"/>
      <c r="M111" s="583"/>
      <c r="N111" s="583"/>
      <c r="O111" s="582"/>
      <c r="P111" s="150"/>
      <c r="Q111" s="150"/>
      <c r="R111" s="150"/>
      <c r="S111" s="150"/>
      <c r="T111" s="150"/>
      <c r="U111" s="150"/>
      <c r="V111" s="150"/>
      <c r="W111" s="150"/>
      <c r="X111" s="150"/>
      <c r="Y111" s="150"/>
      <c r="Z111" s="150"/>
      <c r="AA111" s="150"/>
      <c r="AB111" s="150"/>
      <c r="AC111" s="150"/>
      <c r="AD111" s="150"/>
      <c r="AE111" s="150"/>
    </row>
    <row r="112" spans="1:31" ht="15">
      <c r="A112" s="150"/>
      <c r="B112" s="150"/>
      <c r="C112" s="150"/>
      <c r="D112" s="150"/>
      <c r="E112" s="431"/>
      <c r="F112" s="150"/>
      <c r="G112" s="583"/>
      <c r="H112" s="583"/>
      <c r="I112" s="583"/>
      <c r="J112" s="1764"/>
      <c r="K112" s="1764"/>
      <c r="L112" s="150"/>
      <c r="M112" s="583"/>
      <c r="N112" s="583"/>
      <c r="O112" s="582"/>
      <c r="P112" s="153"/>
      <c r="Q112" s="150"/>
      <c r="R112" s="150"/>
      <c r="S112" s="150"/>
      <c r="T112" s="150"/>
      <c r="U112" s="150"/>
      <c r="V112" s="150"/>
      <c r="W112" s="150"/>
      <c r="X112" s="150"/>
      <c r="Y112" s="150"/>
      <c r="Z112" s="150"/>
      <c r="AA112" s="150"/>
      <c r="AB112" s="150"/>
      <c r="AC112" s="150"/>
      <c r="AD112" s="150"/>
      <c r="AE112" s="150"/>
    </row>
    <row r="113" spans="1:31" ht="15">
      <c r="A113" s="150"/>
      <c r="B113" s="150"/>
      <c r="C113" s="150"/>
      <c r="D113" s="150"/>
      <c r="E113" s="431"/>
      <c r="F113" s="150"/>
      <c r="G113" s="583"/>
      <c r="H113" s="583"/>
      <c r="I113" s="583"/>
      <c r="J113" s="1764"/>
      <c r="K113" s="1764"/>
      <c r="L113" s="150"/>
      <c r="M113" s="583"/>
      <c r="N113" s="583"/>
      <c r="O113" s="582"/>
      <c r="P113" s="150"/>
      <c r="Q113" s="150"/>
      <c r="R113" s="150"/>
      <c r="S113" s="150"/>
      <c r="T113" s="150"/>
      <c r="U113" s="150"/>
      <c r="V113" s="150"/>
      <c r="W113" s="150"/>
      <c r="X113" s="150"/>
      <c r="Y113" s="150"/>
      <c r="Z113" s="150"/>
      <c r="AA113" s="150"/>
      <c r="AB113" s="150"/>
      <c r="AC113" s="150"/>
      <c r="AD113" s="150"/>
      <c r="AE113" s="150"/>
    </row>
    <row r="114" spans="1:31" ht="15">
      <c r="A114" s="150"/>
      <c r="B114" s="150"/>
      <c r="C114" s="150"/>
      <c r="D114" s="150"/>
      <c r="E114" s="431"/>
      <c r="F114" s="150"/>
      <c r="G114" s="583"/>
      <c r="H114" s="583"/>
      <c r="I114" s="583"/>
      <c r="J114" s="1764"/>
      <c r="K114" s="1764"/>
      <c r="L114" s="150"/>
      <c r="M114" s="583"/>
      <c r="N114" s="583"/>
      <c r="O114" s="582"/>
      <c r="P114" s="150"/>
      <c r="Q114" s="150"/>
      <c r="R114" s="150"/>
      <c r="S114" s="150"/>
      <c r="T114" s="150"/>
      <c r="U114" s="150"/>
      <c r="V114" s="150"/>
      <c r="W114" s="150"/>
      <c r="X114" s="150"/>
      <c r="Y114" s="150"/>
      <c r="Z114" s="150"/>
      <c r="AA114" s="150"/>
      <c r="AB114" s="150"/>
      <c r="AC114" s="150"/>
      <c r="AD114" s="150"/>
      <c r="AE114" s="150"/>
    </row>
    <row r="115" spans="1:31" ht="15">
      <c r="A115" s="150"/>
      <c r="B115" s="150"/>
      <c r="C115" s="150"/>
      <c r="D115" s="150"/>
      <c r="E115" s="431"/>
      <c r="F115" s="150"/>
      <c r="G115" s="583"/>
      <c r="H115" s="583"/>
      <c r="I115" s="583"/>
      <c r="J115" s="1764"/>
      <c r="K115" s="1764"/>
      <c r="L115" s="150"/>
      <c r="M115" s="583"/>
      <c r="N115" s="583"/>
      <c r="O115" s="582"/>
      <c r="P115" s="150"/>
      <c r="Q115" s="150"/>
      <c r="R115" s="150"/>
      <c r="S115" s="150"/>
      <c r="T115" s="150"/>
      <c r="U115" s="150"/>
      <c r="V115" s="150"/>
      <c r="W115" s="150"/>
      <c r="X115" s="150"/>
      <c r="Y115" s="150"/>
      <c r="Z115" s="150"/>
      <c r="AA115" s="150"/>
      <c r="AB115" s="150"/>
      <c r="AC115" s="150"/>
      <c r="AD115" s="150"/>
      <c r="AE115" s="150"/>
    </row>
    <row r="116" spans="1:31" ht="15">
      <c r="A116" s="150"/>
      <c r="B116" s="150"/>
      <c r="C116" s="150"/>
      <c r="D116" s="150"/>
      <c r="E116" s="431"/>
      <c r="F116" s="150"/>
      <c r="G116" s="583"/>
      <c r="H116" s="583"/>
      <c r="I116" s="583"/>
      <c r="J116" s="1764"/>
      <c r="K116" s="1764"/>
      <c r="L116" s="150"/>
      <c r="M116" s="583"/>
      <c r="N116" s="583"/>
      <c r="O116" s="582"/>
      <c r="P116" s="150"/>
      <c r="Q116" s="150"/>
      <c r="R116" s="150"/>
      <c r="S116" s="150"/>
      <c r="T116" s="150"/>
      <c r="U116" s="150"/>
      <c r="V116" s="150"/>
      <c r="W116" s="150"/>
      <c r="X116" s="150"/>
      <c r="Y116" s="150"/>
      <c r="Z116" s="150"/>
      <c r="AA116" s="150"/>
      <c r="AB116" s="150"/>
      <c r="AC116" s="150"/>
      <c r="AD116" s="150"/>
      <c r="AE116" s="150"/>
    </row>
    <row r="117" spans="1:31" ht="15">
      <c r="A117" s="150"/>
      <c r="B117" s="150"/>
      <c r="C117" s="150"/>
      <c r="D117" s="150"/>
      <c r="E117" s="431"/>
      <c r="F117" s="150"/>
      <c r="G117" s="583"/>
      <c r="H117" s="583"/>
      <c r="I117" s="583"/>
      <c r="J117" s="1764"/>
      <c r="K117" s="1764"/>
      <c r="L117" s="150"/>
      <c r="M117" s="583"/>
      <c r="N117" s="583"/>
      <c r="O117" s="582"/>
      <c r="P117" s="150"/>
      <c r="Q117" s="150"/>
      <c r="R117" s="150"/>
      <c r="S117" s="150"/>
      <c r="T117" s="150"/>
      <c r="U117" s="150"/>
      <c r="V117" s="150"/>
      <c r="W117" s="150"/>
      <c r="X117" s="150"/>
      <c r="Y117" s="150"/>
      <c r="Z117" s="150"/>
      <c r="AA117" s="150"/>
      <c r="AB117" s="150"/>
      <c r="AC117" s="150"/>
      <c r="AD117" s="150"/>
      <c r="AE117" s="150"/>
    </row>
    <row r="118" spans="1:31" ht="15">
      <c r="A118" s="150"/>
      <c r="B118" s="150"/>
      <c r="C118" s="150"/>
      <c r="D118" s="150"/>
      <c r="E118" s="431"/>
      <c r="F118" s="150"/>
      <c r="G118" s="583"/>
      <c r="H118" s="583"/>
      <c r="I118" s="583"/>
      <c r="J118" s="1764"/>
      <c r="K118" s="1764"/>
      <c r="L118" s="150"/>
      <c r="M118" s="583"/>
      <c r="N118" s="583"/>
      <c r="O118" s="582"/>
      <c r="P118" s="150"/>
      <c r="Q118" s="150"/>
      <c r="R118" s="150"/>
      <c r="S118" s="150"/>
      <c r="T118" s="150"/>
      <c r="U118" s="150"/>
      <c r="V118" s="150"/>
      <c r="W118" s="150"/>
      <c r="X118" s="150"/>
      <c r="Y118" s="150"/>
      <c r="Z118" s="150"/>
      <c r="AA118" s="150"/>
      <c r="AB118" s="150"/>
      <c r="AC118" s="150"/>
      <c r="AD118" s="150"/>
      <c r="AE118" s="150"/>
    </row>
    <row r="119" spans="1:31" ht="15">
      <c r="A119" s="150"/>
      <c r="B119" s="150"/>
      <c r="C119" s="150"/>
      <c r="D119" s="150"/>
      <c r="E119" s="431"/>
      <c r="F119" s="150"/>
      <c r="G119" s="583"/>
      <c r="H119" s="583"/>
      <c r="I119" s="583"/>
      <c r="J119" s="1764"/>
      <c r="K119" s="1764"/>
      <c r="L119" s="150"/>
      <c r="M119" s="583"/>
      <c r="N119" s="583"/>
      <c r="O119" s="582"/>
      <c r="P119" s="150"/>
      <c r="Q119" s="150"/>
      <c r="R119" s="150"/>
      <c r="S119" s="150"/>
      <c r="T119" s="150"/>
      <c r="U119" s="150"/>
      <c r="V119" s="150"/>
      <c r="W119" s="150"/>
      <c r="X119" s="150"/>
      <c r="Y119" s="150"/>
      <c r="Z119" s="150"/>
      <c r="AA119" s="150"/>
      <c r="AB119" s="150"/>
      <c r="AC119" s="150"/>
      <c r="AD119" s="150"/>
      <c r="AE119" s="150"/>
    </row>
    <row r="120" spans="1:31" ht="15">
      <c r="A120" s="150"/>
      <c r="B120" s="150"/>
      <c r="C120" s="150"/>
      <c r="D120" s="150"/>
      <c r="E120" s="431"/>
      <c r="F120" s="150"/>
      <c r="G120" s="583"/>
      <c r="H120" s="583"/>
      <c r="I120" s="583"/>
      <c r="J120" s="1764"/>
      <c r="K120" s="1764"/>
      <c r="L120" s="150"/>
      <c r="M120" s="583"/>
      <c r="N120" s="583"/>
      <c r="O120" s="582"/>
      <c r="P120" s="150"/>
      <c r="Q120" s="150"/>
      <c r="R120" s="150"/>
      <c r="S120" s="150"/>
      <c r="T120" s="150"/>
      <c r="U120" s="150"/>
      <c r="V120" s="150"/>
      <c r="W120" s="150"/>
      <c r="X120" s="150"/>
      <c r="Y120" s="150"/>
      <c r="Z120" s="150"/>
      <c r="AA120" s="150"/>
      <c r="AB120" s="150"/>
      <c r="AC120" s="150"/>
      <c r="AD120" s="150"/>
      <c r="AE120" s="150"/>
    </row>
    <row r="121" spans="1:31" ht="15">
      <c r="A121" s="150"/>
      <c r="B121" s="150"/>
      <c r="C121" s="150"/>
      <c r="D121" s="150"/>
      <c r="E121" s="431"/>
      <c r="F121" s="150"/>
      <c r="G121" s="583"/>
      <c r="H121" s="583"/>
      <c r="I121" s="583"/>
      <c r="J121" s="1764"/>
      <c r="K121" s="1764"/>
      <c r="L121" s="150"/>
      <c r="M121" s="583"/>
      <c r="N121" s="583"/>
      <c r="O121" s="582"/>
      <c r="P121" s="150"/>
      <c r="Q121" s="150"/>
      <c r="R121" s="150"/>
      <c r="S121" s="150"/>
      <c r="T121" s="150"/>
      <c r="U121" s="150"/>
      <c r="V121" s="150"/>
      <c r="W121" s="150"/>
      <c r="X121" s="150"/>
      <c r="Y121" s="150"/>
      <c r="Z121" s="150"/>
      <c r="AA121" s="150"/>
      <c r="AB121" s="150"/>
      <c r="AC121" s="150"/>
      <c r="AD121" s="150"/>
      <c r="AE121" s="150"/>
    </row>
    <row r="122" spans="1:31" ht="15">
      <c r="A122" s="150"/>
      <c r="B122" s="150"/>
      <c r="C122" s="150"/>
      <c r="D122" s="150"/>
      <c r="E122" s="431"/>
      <c r="F122" s="150"/>
      <c r="G122" s="583"/>
      <c r="H122" s="583"/>
      <c r="I122" s="583"/>
      <c r="J122" s="1764"/>
      <c r="K122" s="1764"/>
      <c r="L122" s="150"/>
      <c r="M122" s="583"/>
      <c r="N122" s="583"/>
      <c r="O122" s="582"/>
      <c r="P122" s="150"/>
      <c r="Q122" s="150"/>
      <c r="R122" s="150"/>
      <c r="S122" s="150"/>
      <c r="T122" s="150"/>
      <c r="U122" s="150"/>
      <c r="V122" s="150"/>
      <c r="W122" s="150"/>
      <c r="X122" s="150"/>
      <c r="Y122" s="150"/>
      <c r="Z122" s="150"/>
      <c r="AA122" s="150"/>
      <c r="AB122" s="150"/>
      <c r="AC122" s="150"/>
      <c r="AD122" s="150"/>
      <c r="AE122" s="150"/>
    </row>
    <row r="123" spans="1:31" ht="15">
      <c r="A123" s="150"/>
      <c r="B123" s="150"/>
      <c r="C123" s="150"/>
      <c r="D123" s="150"/>
      <c r="E123" s="431"/>
      <c r="F123" s="150"/>
      <c r="G123" s="583"/>
      <c r="H123" s="583"/>
      <c r="I123" s="583"/>
      <c r="J123" s="1764"/>
      <c r="K123" s="1764"/>
      <c r="L123" s="150"/>
      <c r="M123" s="583"/>
      <c r="N123" s="583"/>
      <c r="O123" s="582"/>
      <c r="P123" s="150"/>
      <c r="Q123" s="150"/>
      <c r="R123" s="150"/>
      <c r="S123" s="150"/>
      <c r="T123" s="150"/>
      <c r="U123" s="150"/>
      <c r="V123" s="150"/>
      <c r="W123" s="150"/>
      <c r="X123" s="150"/>
      <c r="Y123" s="150"/>
      <c r="Z123" s="150"/>
      <c r="AA123" s="150"/>
      <c r="AB123" s="150"/>
      <c r="AC123" s="150"/>
      <c r="AD123" s="150"/>
      <c r="AE123" s="150"/>
    </row>
    <row r="124" spans="1:31" ht="15">
      <c r="A124" s="150"/>
      <c r="B124" s="150"/>
      <c r="C124" s="150"/>
      <c r="D124" s="150"/>
      <c r="E124" s="431"/>
      <c r="F124" s="150"/>
      <c r="G124" s="583"/>
      <c r="H124" s="583"/>
      <c r="I124" s="583"/>
      <c r="J124" s="1764"/>
      <c r="K124" s="1764"/>
      <c r="L124" s="150"/>
      <c r="M124" s="583"/>
      <c r="N124" s="583"/>
      <c r="O124" s="582"/>
      <c r="P124" s="150"/>
      <c r="Q124" s="150"/>
      <c r="R124" s="150"/>
      <c r="S124" s="150"/>
      <c r="T124" s="150"/>
      <c r="U124" s="150"/>
      <c r="V124" s="150"/>
      <c r="W124" s="150"/>
      <c r="X124" s="150"/>
      <c r="Y124" s="150"/>
      <c r="Z124" s="150"/>
      <c r="AA124" s="150"/>
      <c r="AB124" s="150"/>
      <c r="AC124" s="150"/>
      <c r="AD124" s="150"/>
      <c r="AE124" s="150"/>
    </row>
    <row r="125" spans="1:31" ht="15">
      <c r="A125" s="150"/>
      <c r="B125" s="150"/>
      <c r="C125" s="150"/>
      <c r="D125" s="150"/>
      <c r="E125" s="431"/>
      <c r="F125" s="150"/>
      <c r="G125" s="583"/>
      <c r="H125" s="583"/>
      <c r="I125" s="583"/>
      <c r="J125" s="1764"/>
      <c r="K125" s="1764"/>
      <c r="L125" s="150"/>
      <c r="M125" s="583"/>
      <c r="N125" s="583"/>
      <c r="O125" s="582"/>
      <c r="P125" s="150"/>
      <c r="Q125" s="150"/>
      <c r="R125" s="150"/>
      <c r="S125" s="150"/>
      <c r="T125" s="150"/>
      <c r="U125" s="150"/>
      <c r="V125" s="150"/>
      <c r="W125" s="150"/>
      <c r="X125" s="150"/>
      <c r="Y125" s="150"/>
      <c r="Z125" s="150"/>
      <c r="AA125" s="150"/>
      <c r="AB125" s="150"/>
      <c r="AC125" s="150"/>
      <c r="AD125" s="150"/>
      <c r="AE125" s="150"/>
    </row>
    <row r="126" spans="1:31" ht="15">
      <c r="A126" s="150"/>
      <c r="B126" s="150"/>
      <c r="C126" s="150"/>
      <c r="D126" s="150"/>
      <c r="E126" s="431"/>
      <c r="F126" s="150"/>
      <c r="G126" s="583"/>
      <c r="H126" s="583"/>
      <c r="I126" s="583"/>
      <c r="J126" s="1764"/>
      <c r="K126" s="1764"/>
      <c r="L126" s="150"/>
      <c r="M126" s="583"/>
      <c r="N126" s="583"/>
      <c r="O126" s="582"/>
      <c r="P126" s="150"/>
      <c r="Q126" s="150"/>
      <c r="R126" s="150"/>
      <c r="S126" s="150"/>
      <c r="T126" s="150"/>
      <c r="U126" s="150"/>
      <c r="V126" s="150"/>
      <c r="W126" s="150"/>
      <c r="X126" s="150"/>
      <c r="Y126" s="150"/>
      <c r="Z126" s="150"/>
      <c r="AA126" s="150"/>
      <c r="AB126" s="150"/>
      <c r="AC126" s="150"/>
      <c r="AD126" s="150"/>
      <c r="AE126" s="150"/>
    </row>
    <row r="127" spans="1:31" ht="15">
      <c r="A127" s="150"/>
      <c r="B127" s="150"/>
      <c r="C127" s="150"/>
      <c r="D127" s="150"/>
      <c r="E127" s="431"/>
      <c r="F127" s="150"/>
      <c r="G127" s="583"/>
      <c r="H127" s="583"/>
      <c r="I127" s="583"/>
      <c r="J127" s="1764"/>
      <c r="K127" s="1764"/>
      <c r="L127" s="150"/>
      <c r="M127" s="583"/>
      <c r="N127" s="583"/>
      <c r="O127" s="582"/>
      <c r="P127" s="150"/>
      <c r="Q127" s="150"/>
      <c r="R127" s="150"/>
      <c r="S127" s="150"/>
      <c r="T127" s="150"/>
      <c r="U127" s="150"/>
      <c r="V127" s="150"/>
      <c r="W127" s="150"/>
      <c r="X127" s="150"/>
      <c r="Y127" s="150"/>
      <c r="Z127" s="150"/>
      <c r="AA127" s="150"/>
      <c r="AB127" s="150"/>
      <c r="AC127" s="150"/>
      <c r="AD127" s="150"/>
      <c r="AE127" s="150"/>
    </row>
    <row r="128" spans="1:31" ht="15">
      <c r="A128" s="150"/>
      <c r="B128" s="150"/>
      <c r="C128" s="150"/>
      <c r="D128" s="150"/>
      <c r="E128" s="431"/>
      <c r="F128" s="150"/>
      <c r="G128" s="583"/>
      <c r="H128" s="583"/>
      <c r="I128" s="583"/>
      <c r="J128" s="1764"/>
      <c r="K128" s="1764"/>
      <c r="L128" s="150"/>
      <c r="M128" s="583"/>
      <c r="N128" s="583"/>
      <c r="O128" s="582"/>
      <c r="P128" s="150"/>
      <c r="Q128" s="150"/>
      <c r="R128" s="150"/>
      <c r="S128" s="150"/>
      <c r="T128" s="150"/>
      <c r="U128" s="150"/>
      <c r="V128" s="150"/>
      <c r="W128" s="150"/>
      <c r="X128" s="150"/>
      <c r="Y128" s="150"/>
      <c r="Z128" s="150"/>
      <c r="AA128" s="150"/>
      <c r="AB128" s="150"/>
      <c r="AC128" s="150"/>
      <c r="AD128" s="150"/>
      <c r="AE128" s="150"/>
    </row>
    <row r="129" spans="1:31" ht="15">
      <c r="A129" s="150"/>
      <c r="B129" s="150"/>
      <c r="C129" s="150"/>
      <c r="D129" s="150"/>
      <c r="E129" s="431"/>
      <c r="F129" s="150"/>
      <c r="G129" s="583"/>
      <c r="H129" s="583"/>
      <c r="I129" s="583"/>
      <c r="J129" s="1764"/>
      <c r="K129" s="1764"/>
      <c r="L129" s="150"/>
      <c r="M129" s="583"/>
      <c r="N129" s="583"/>
      <c r="O129" s="582"/>
      <c r="P129" s="150"/>
      <c r="Q129" s="150"/>
      <c r="R129" s="150"/>
      <c r="S129" s="150"/>
      <c r="T129" s="150"/>
      <c r="U129" s="150"/>
      <c r="V129" s="150"/>
      <c r="W129" s="150"/>
      <c r="X129" s="150"/>
      <c r="Y129" s="150"/>
      <c r="Z129" s="150"/>
      <c r="AA129" s="150"/>
      <c r="AB129" s="150"/>
      <c r="AC129" s="150"/>
      <c r="AD129" s="150"/>
      <c r="AE129" s="150"/>
    </row>
    <row r="130" spans="1:31" ht="15">
      <c r="A130" s="150"/>
      <c r="B130" s="150"/>
      <c r="C130" s="150"/>
      <c r="D130" s="150"/>
      <c r="E130" s="431"/>
      <c r="F130" s="150"/>
      <c r="G130" s="583"/>
      <c r="H130" s="583"/>
      <c r="I130" s="583"/>
      <c r="J130" s="1764"/>
      <c r="K130" s="1764"/>
      <c r="L130" s="150"/>
      <c r="M130" s="583"/>
      <c r="N130" s="583"/>
      <c r="O130" s="582"/>
      <c r="P130" s="150"/>
      <c r="Q130" s="150"/>
      <c r="R130" s="150"/>
      <c r="S130" s="150"/>
      <c r="T130" s="150"/>
      <c r="U130" s="150"/>
      <c r="V130" s="150"/>
      <c r="W130" s="150"/>
      <c r="X130" s="150"/>
      <c r="Y130" s="150"/>
      <c r="Z130" s="150"/>
      <c r="AA130" s="150"/>
      <c r="AB130" s="150"/>
      <c r="AC130" s="150"/>
      <c r="AD130" s="150"/>
      <c r="AE130" s="150"/>
    </row>
    <row r="131" spans="1:31" ht="15">
      <c r="A131" s="150"/>
      <c r="B131" s="150"/>
      <c r="C131" s="150"/>
      <c r="D131" s="150"/>
      <c r="E131" s="431"/>
      <c r="F131" s="150"/>
      <c r="G131" s="583"/>
      <c r="H131" s="583"/>
      <c r="I131" s="583"/>
      <c r="J131" s="1764"/>
      <c r="K131" s="1764"/>
      <c r="L131" s="150"/>
      <c r="M131" s="583"/>
      <c r="N131" s="583"/>
      <c r="O131" s="582"/>
      <c r="P131" s="150"/>
      <c r="Q131" s="150"/>
      <c r="R131" s="150"/>
      <c r="S131" s="150"/>
      <c r="T131" s="150"/>
      <c r="U131" s="150"/>
      <c r="V131" s="150"/>
      <c r="W131" s="150"/>
      <c r="X131" s="150"/>
      <c r="Y131" s="150"/>
      <c r="Z131" s="150"/>
      <c r="AA131" s="150"/>
      <c r="AB131" s="150"/>
      <c r="AC131" s="150"/>
      <c r="AD131" s="150"/>
      <c r="AE131" s="150"/>
    </row>
    <row r="132" spans="1:31" ht="15">
      <c r="A132" s="150"/>
      <c r="B132" s="150"/>
      <c r="C132" s="150"/>
      <c r="D132" s="150"/>
      <c r="E132" s="431"/>
      <c r="F132" s="150"/>
      <c r="G132" s="583"/>
      <c r="H132" s="583"/>
      <c r="I132" s="583"/>
      <c r="J132" s="1764"/>
      <c r="K132" s="1764"/>
      <c r="L132" s="150"/>
      <c r="M132" s="583"/>
      <c r="N132" s="583"/>
      <c r="O132" s="582"/>
      <c r="P132" s="150"/>
      <c r="Q132" s="150"/>
      <c r="R132" s="150"/>
      <c r="S132" s="150"/>
      <c r="T132" s="150"/>
      <c r="U132" s="150"/>
      <c r="V132" s="150"/>
      <c r="W132" s="150"/>
      <c r="X132" s="150"/>
      <c r="Y132" s="150"/>
      <c r="Z132" s="150"/>
      <c r="AA132" s="150"/>
      <c r="AB132" s="150"/>
      <c r="AC132" s="150"/>
      <c r="AD132" s="150"/>
      <c r="AE132" s="150"/>
    </row>
    <row r="133" spans="1:31" ht="15">
      <c r="A133" s="150"/>
      <c r="B133" s="150"/>
      <c r="C133" s="150"/>
      <c r="D133" s="150"/>
      <c r="E133" s="431"/>
      <c r="F133" s="150"/>
      <c r="G133" s="583"/>
      <c r="H133" s="583"/>
      <c r="I133" s="583"/>
      <c r="J133" s="1764"/>
      <c r="K133" s="1764"/>
      <c r="L133" s="150"/>
      <c r="M133" s="583"/>
      <c r="N133" s="583"/>
      <c r="O133" s="582"/>
      <c r="P133" s="150"/>
      <c r="Q133" s="150"/>
      <c r="R133" s="150"/>
      <c r="S133" s="150"/>
      <c r="T133" s="150"/>
      <c r="U133" s="150"/>
      <c r="V133" s="150"/>
      <c r="W133" s="150"/>
      <c r="X133" s="150"/>
      <c r="Y133" s="150"/>
      <c r="Z133" s="150"/>
      <c r="AA133" s="150"/>
      <c r="AB133" s="150"/>
      <c r="AC133" s="150"/>
      <c r="AD133" s="150"/>
      <c r="AE133" s="150"/>
    </row>
    <row r="134" spans="1:31" ht="15">
      <c r="A134" s="150"/>
      <c r="B134" s="150"/>
      <c r="C134" s="150"/>
      <c r="D134" s="150"/>
      <c r="E134" s="431"/>
      <c r="F134" s="150"/>
      <c r="G134" s="583"/>
      <c r="H134" s="583"/>
      <c r="I134" s="583"/>
      <c r="J134" s="1764"/>
      <c r="K134" s="1764"/>
      <c r="L134" s="150"/>
      <c r="M134" s="583"/>
      <c r="N134" s="583"/>
      <c r="O134" s="582"/>
      <c r="P134" s="150"/>
      <c r="Q134" s="150"/>
      <c r="R134" s="150"/>
      <c r="S134" s="150"/>
      <c r="T134" s="150"/>
      <c r="U134" s="150"/>
      <c r="V134" s="150"/>
      <c r="W134" s="150"/>
      <c r="X134" s="150"/>
      <c r="Y134" s="150"/>
      <c r="Z134" s="150"/>
      <c r="AA134" s="150"/>
      <c r="AB134" s="150"/>
      <c r="AC134" s="150"/>
      <c r="AD134" s="150"/>
      <c r="AE134" s="150"/>
    </row>
    <row r="135" spans="1:31" ht="15">
      <c r="A135" s="150"/>
      <c r="B135" s="150"/>
      <c r="C135" s="150"/>
      <c r="D135" s="150"/>
      <c r="E135" s="431"/>
      <c r="F135" s="150"/>
      <c r="G135" s="583"/>
      <c r="H135" s="583"/>
      <c r="I135" s="583"/>
      <c r="J135" s="1764"/>
      <c r="K135" s="1764"/>
      <c r="L135" s="150"/>
      <c r="M135" s="583"/>
      <c r="N135" s="583"/>
      <c r="O135" s="582"/>
      <c r="P135" s="150"/>
      <c r="Q135" s="150"/>
      <c r="R135" s="150"/>
      <c r="S135" s="150"/>
      <c r="T135" s="150"/>
      <c r="U135" s="150"/>
      <c r="V135" s="150"/>
      <c r="W135" s="150"/>
      <c r="X135" s="150"/>
      <c r="Y135" s="150"/>
      <c r="Z135" s="150"/>
      <c r="AA135" s="150"/>
      <c r="AB135" s="150"/>
      <c r="AC135" s="150"/>
      <c r="AD135" s="150"/>
      <c r="AE135" s="150"/>
    </row>
    <row r="136" spans="1:31" ht="15">
      <c r="A136" s="150"/>
      <c r="B136" s="150"/>
      <c r="C136" s="150"/>
      <c r="D136" s="150"/>
      <c r="E136" s="431"/>
      <c r="F136" s="150"/>
      <c r="G136" s="583"/>
      <c r="H136" s="583"/>
      <c r="I136" s="583"/>
      <c r="J136" s="1764"/>
      <c r="K136" s="1764"/>
      <c r="L136" s="150"/>
      <c r="M136" s="583"/>
      <c r="N136" s="583"/>
      <c r="O136" s="582"/>
      <c r="P136" s="150"/>
      <c r="Q136" s="150"/>
      <c r="R136" s="150"/>
      <c r="S136" s="150"/>
      <c r="T136" s="150"/>
      <c r="U136" s="150"/>
      <c r="V136" s="150"/>
      <c r="W136" s="150"/>
      <c r="X136" s="150"/>
      <c r="Y136" s="150"/>
      <c r="Z136" s="150"/>
      <c r="AA136" s="150"/>
      <c r="AB136" s="150"/>
      <c r="AC136" s="150"/>
      <c r="AD136" s="150"/>
      <c r="AE136" s="150"/>
    </row>
    <row r="137" spans="1:31" ht="15">
      <c r="A137" s="150"/>
      <c r="B137" s="150"/>
      <c r="C137" s="150"/>
      <c r="D137" s="150"/>
      <c r="E137" s="431"/>
      <c r="F137" s="150"/>
      <c r="G137" s="583"/>
      <c r="H137" s="583"/>
      <c r="I137" s="583"/>
      <c r="J137" s="1764"/>
      <c r="K137" s="1764"/>
      <c r="L137" s="150"/>
      <c r="M137" s="583"/>
      <c r="N137" s="583"/>
      <c r="O137" s="150"/>
      <c r="P137" s="150"/>
      <c r="Q137" s="150"/>
      <c r="R137" s="150"/>
      <c r="S137" s="150"/>
      <c r="T137" s="150"/>
      <c r="U137" s="150"/>
      <c r="V137" s="150"/>
      <c r="W137" s="150"/>
      <c r="X137" s="150"/>
      <c r="Y137" s="150"/>
      <c r="Z137" s="150"/>
      <c r="AA137" s="150"/>
      <c r="AB137" s="150"/>
      <c r="AC137" s="150"/>
      <c r="AD137" s="150"/>
      <c r="AE137" s="150"/>
    </row>
    <row r="138" spans="1:31" ht="15">
      <c r="A138" s="150"/>
      <c r="B138" s="150"/>
      <c r="C138" s="150"/>
      <c r="D138" s="150"/>
      <c r="E138" s="431"/>
      <c r="F138" s="150"/>
      <c r="G138" s="583"/>
      <c r="H138" s="583"/>
      <c r="I138" s="583"/>
      <c r="J138" s="1764"/>
      <c r="K138" s="1764"/>
      <c r="L138" s="150"/>
      <c r="M138" s="583"/>
      <c r="N138" s="583"/>
      <c r="O138" s="150"/>
      <c r="P138" s="150"/>
      <c r="Q138" s="150"/>
      <c r="R138" s="150"/>
      <c r="S138" s="150"/>
      <c r="T138" s="150"/>
      <c r="U138" s="150"/>
      <c r="V138" s="150"/>
      <c r="W138" s="150"/>
      <c r="X138" s="150"/>
      <c r="Y138" s="150"/>
      <c r="Z138" s="150"/>
      <c r="AA138" s="150"/>
      <c r="AB138" s="150"/>
      <c r="AC138" s="150"/>
      <c r="AD138" s="150"/>
      <c r="AE138" s="150"/>
    </row>
    <row r="139" spans="1:31" ht="15">
      <c r="A139" s="150"/>
      <c r="B139" s="150"/>
      <c r="C139" s="150"/>
      <c r="D139" s="150"/>
      <c r="E139" s="431"/>
      <c r="F139" s="150"/>
      <c r="G139" s="583"/>
      <c r="H139" s="583"/>
      <c r="I139" s="583"/>
      <c r="J139" s="1764"/>
      <c r="K139" s="1764"/>
      <c r="L139" s="150"/>
      <c r="M139" s="583"/>
      <c r="N139" s="583"/>
      <c r="O139" s="150"/>
      <c r="P139" s="150"/>
      <c r="Q139" s="150"/>
      <c r="R139" s="150"/>
      <c r="S139" s="150"/>
      <c r="T139" s="150"/>
      <c r="U139" s="150"/>
      <c r="V139" s="150"/>
      <c r="W139" s="150"/>
      <c r="X139" s="150"/>
      <c r="Y139" s="150"/>
      <c r="Z139" s="150"/>
      <c r="AA139" s="150"/>
      <c r="AB139" s="150"/>
      <c r="AC139" s="150"/>
      <c r="AD139" s="150"/>
      <c r="AE139" s="150"/>
    </row>
    <row r="140" spans="1:31" ht="15">
      <c r="A140" s="150"/>
      <c r="B140" s="150"/>
      <c r="C140" s="150"/>
      <c r="D140" s="150"/>
      <c r="E140" s="431"/>
      <c r="F140" s="150"/>
      <c r="G140" s="583"/>
      <c r="H140" s="583"/>
      <c r="I140" s="583"/>
      <c r="J140" s="1764"/>
      <c r="K140" s="1764"/>
      <c r="L140" s="150"/>
      <c r="M140" s="583"/>
      <c r="N140" s="583"/>
      <c r="O140" s="150"/>
      <c r="P140" s="150"/>
      <c r="Q140" s="150"/>
      <c r="R140" s="150"/>
      <c r="S140" s="150"/>
      <c r="T140" s="150"/>
      <c r="U140" s="150"/>
      <c r="V140" s="150"/>
      <c r="W140" s="150"/>
      <c r="X140" s="150"/>
      <c r="Y140" s="150"/>
      <c r="Z140" s="150"/>
      <c r="AA140" s="150"/>
      <c r="AB140" s="150"/>
      <c r="AC140" s="150"/>
      <c r="AD140" s="150"/>
      <c r="AE140" s="150"/>
    </row>
    <row r="141" spans="1:31" ht="15">
      <c r="A141" s="150"/>
      <c r="B141" s="150"/>
      <c r="C141" s="150"/>
      <c r="D141" s="150"/>
      <c r="E141" s="431"/>
      <c r="F141" s="150"/>
      <c r="G141" s="583"/>
      <c r="H141" s="583"/>
      <c r="I141" s="583"/>
      <c r="J141" s="1764"/>
      <c r="K141" s="1764"/>
      <c r="L141" s="150"/>
      <c r="M141" s="583"/>
      <c r="N141" s="583"/>
      <c r="O141" s="150"/>
      <c r="P141" s="150"/>
      <c r="Q141" s="150"/>
      <c r="R141" s="150"/>
      <c r="S141" s="150"/>
      <c r="T141" s="150"/>
      <c r="U141" s="150"/>
      <c r="V141" s="150"/>
      <c r="W141" s="150"/>
      <c r="X141" s="150"/>
      <c r="Y141" s="150"/>
      <c r="Z141" s="150"/>
      <c r="AA141" s="150"/>
      <c r="AB141" s="150"/>
      <c r="AC141" s="150"/>
      <c r="AD141" s="150"/>
      <c r="AE141" s="150"/>
    </row>
    <row r="142" spans="1:31" ht="15">
      <c r="A142" s="150"/>
      <c r="B142" s="150"/>
      <c r="C142" s="150"/>
      <c r="D142" s="150"/>
      <c r="E142" s="150"/>
      <c r="F142" s="150"/>
      <c r="G142" s="583"/>
      <c r="H142" s="583"/>
      <c r="I142" s="583"/>
      <c r="J142" s="1764"/>
      <c r="K142" s="1764"/>
      <c r="L142" s="150"/>
      <c r="M142" s="583"/>
      <c r="N142" s="583"/>
      <c r="O142" s="150"/>
      <c r="P142" s="150"/>
      <c r="Q142" s="150"/>
      <c r="R142" s="150"/>
      <c r="S142" s="150"/>
      <c r="T142" s="150"/>
      <c r="U142" s="150"/>
      <c r="V142" s="150"/>
      <c r="W142" s="150"/>
      <c r="X142" s="150"/>
      <c r="Y142" s="150"/>
      <c r="Z142" s="150"/>
      <c r="AA142" s="150"/>
      <c r="AB142" s="150"/>
      <c r="AC142" s="150"/>
      <c r="AD142" s="150"/>
      <c r="AE142" s="150"/>
    </row>
    <row r="143" spans="1:31" ht="15">
      <c r="A143" s="150"/>
      <c r="B143" s="150"/>
      <c r="C143" s="150"/>
      <c r="D143" s="150"/>
      <c r="E143" s="150"/>
      <c r="F143" s="150"/>
      <c r="G143" s="583"/>
      <c r="H143" s="583"/>
      <c r="I143" s="583"/>
      <c r="J143" s="1764"/>
      <c r="K143" s="1764"/>
      <c r="L143" s="150"/>
      <c r="M143" s="583"/>
      <c r="N143" s="583"/>
      <c r="O143" s="150"/>
      <c r="P143" s="150"/>
      <c r="Q143" s="150"/>
      <c r="R143" s="150"/>
      <c r="S143" s="150"/>
      <c r="T143" s="150"/>
      <c r="U143" s="150"/>
      <c r="V143" s="150"/>
      <c r="W143" s="150"/>
      <c r="X143" s="150"/>
      <c r="Y143" s="150"/>
      <c r="Z143" s="150"/>
      <c r="AA143" s="150"/>
      <c r="AB143" s="150"/>
      <c r="AC143" s="150"/>
      <c r="AD143" s="150"/>
      <c r="AE143" s="150"/>
    </row>
    <row r="144" spans="1:31" ht="15">
      <c r="A144" s="150"/>
      <c r="B144" s="150"/>
      <c r="C144" s="150"/>
      <c r="D144" s="150"/>
      <c r="E144" s="150"/>
      <c r="F144" s="150"/>
      <c r="G144" s="583"/>
      <c r="H144" s="583"/>
      <c r="I144" s="583"/>
      <c r="J144" s="1764"/>
      <c r="K144" s="1764"/>
      <c r="L144" s="150"/>
      <c r="M144" s="583"/>
      <c r="N144" s="583"/>
      <c r="O144" s="150"/>
      <c r="P144" s="150"/>
      <c r="Q144" s="150"/>
      <c r="R144" s="150"/>
      <c r="S144" s="150"/>
      <c r="T144" s="150"/>
      <c r="U144" s="150"/>
      <c r="V144" s="150"/>
      <c r="W144" s="150"/>
      <c r="X144" s="150"/>
      <c r="Y144" s="150"/>
      <c r="Z144" s="150"/>
      <c r="AA144" s="150"/>
      <c r="AB144" s="150"/>
      <c r="AC144" s="150"/>
      <c r="AD144" s="150"/>
      <c r="AE144" s="150"/>
    </row>
    <row r="145" spans="1:31" ht="15">
      <c r="A145" s="150"/>
      <c r="B145" s="150"/>
      <c r="C145" s="150"/>
      <c r="D145" s="150"/>
      <c r="E145" s="150"/>
      <c r="F145" s="150"/>
      <c r="G145" s="583"/>
      <c r="H145" s="583"/>
      <c r="I145" s="583"/>
      <c r="J145" s="1764"/>
      <c r="K145" s="1764"/>
      <c r="L145" s="150"/>
      <c r="M145" s="583"/>
      <c r="N145" s="583"/>
      <c r="O145" s="150"/>
      <c r="P145" s="150"/>
      <c r="Q145" s="150"/>
      <c r="R145" s="150"/>
      <c r="S145" s="150"/>
      <c r="T145" s="150"/>
      <c r="U145" s="150"/>
      <c r="V145" s="150"/>
      <c r="W145" s="150"/>
      <c r="X145" s="150"/>
      <c r="Y145" s="150"/>
      <c r="Z145" s="150"/>
      <c r="AA145" s="150"/>
      <c r="AB145" s="150"/>
      <c r="AC145" s="150"/>
      <c r="AD145" s="150"/>
      <c r="AE145" s="150"/>
    </row>
    <row r="146" spans="1:31" ht="15">
      <c r="A146" s="150"/>
      <c r="B146" s="150"/>
      <c r="C146" s="150"/>
      <c r="D146" s="150"/>
      <c r="E146" s="150"/>
      <c r="F146" s="150"/>
      <c r="G146" s="583"/>
      <c r="H146" s="583"/>
      <c r="I146" s="583"/>
      <c r="J146" s="1764"/>
      <c r="K146" s="1764"/>
      <c r="L146" s="150"/>
      <c r="M146" s="583"/>
      <c r="N146" s="583"/>
      <c r="O146" s="150"/>
      <c r="P146" s="150"/>
      <c r="Q146" s="150"/>
      <c r="R146" s="150"/>
      <c r="S146" s="150"/>
      <c r="T146" s="150"/>
      <c r="U146" s="150"/>
      <c r="V146" s="150"/>
      <c r="W146" s="150"/>
      <c r="X146" s="150"/>
      <c r="Y146" s="150"/>
      <c r="Z146" s="150"/>
      <c r="AA146" s="150"/>
      <c r="AB146" s="150"/>
      <c r="AC146" s="150"/>
      <c r="AD146" s="150"/>
      <c r="AE146" s="150"/>
    </row>
    <row r="147" spans="1:31" ht="15">
      <c r="A147" s="150"/>
      <c r="B147" s="150"/>
      <c r="C147" s="150"/>
      <c r="D147" s="150"/>
      <c r="E147" s="150"/>
      <c r="F147" s="150"/>
      <c r="G147" s="583"/>
      <c r="H147" s="583"/>
      <c r="I147" s="583"/>
      <c r="J147" s="1764"/>
      <c r="K147" s="1764"/>
      <c r="L147" s="150"/>
      <c r="M147" s="583"/>
      <c r="N147" s="583"/>
      <c r="O147" s="150"/>
      <c r="P147" s="150"/>
      <c r="Q147" s="150"/>
      <c r="R147" s="150"/>
      <c r="S147" s="150"/>
      <c r="T147" s="150"/>
      <c r="U147" s="150"/>
      <c r="V147" s="150"/>
      <c r="W147" s="150"/>
      <c r="X147" s="150"/>
      <c r="Y147" s="150"/>
      <c r="Z147" s="150"/>
      <c r="AA147" s="150"/>
      <c r="AB147" s="150"/>
      <c r="AC147" s="150"/>
      <c r="AD147" s="150"/>
      <c r="AE147" s="150"/>
    </row>
    <row r="148" spans="1:31" ht="15">
      <c r="A148" s="150"/>
      <c r="B148" s="150"/>
      <c r="C148" s="150"/>
      <c r="D148" s="150"/>
      <c r="E148" s="150"/>
      <c r="F148" s="150"/>
      <c r="G148" s="583"/>
      <c r="H148" s="583"/>
      <c r="I148" s="583"/>
      <c r="J148" s="1764"/>
      <c r="K148" s="1764"/>
      <c r="L148" s="150"/>
      <c r="M148" s="583"/>
      <c r="N148" s="583"/>
      <c r="O148" s="150"/>
      <c r="P148" s="150"/>
      <c r="Q148" s="150"/>
      <c r="R148" s="150"/>
      <c r="S148" s="150"/>
      <c r="T148" s="150"/>
      <c r="U148" s="150"/>
      <c r="V148" s="150"/>
      <c r="W148" s="150"/>
      <c r="X148" s="150"/>
      <c r="Y148" s="150"/>
      <c r="Z148" s="150"/>
      <c r="AA148" s="150"/>
      <c r="AB148" s="150"/>
      <c r="AC148" s="150"/>
      <c r="AD148" s="150"/>
      <c r="AE148" s="150"/>
    </row>
    <row r="149" spans="1:31" ht="15">
      <c r="A149" s="150"/>
      <c r="B149" s="150"/>
      <c r="C149" s="150"/>
      <c r="D149" s="150"/>
      <c r="E149" s="150"/>
      <c r="F149" s="150"/>
      <c r="G149" s="583"/>
      <c r="H149" s="583"/>
      <c r="I149" s="583"/>
      <c r="J149" s="1764"/>
      <c r="K149" s="1764"/>
      <c r="L149" s="150"/>
      <c r="M149" s="583"/>
      <c r="N149" s="583"/>
      <c r="O149" s="150"/>
      <c r="P149" s="150"/>
      <c r="Q149" s="150"/>
      <c r="R149" s="150"/>
      <c r="S149" s="150"/>
      <c r="T149" s="150"/>
      <c r="U149" s="150"/>
      <c r="V149" s="150"/>
      <c r="W149" s="150"/>
      <c r="X149" s="150"/>
      <c r="Y149" s="150"/>
      <c r="Z149" s="150"/>
      <c r="AA149" s="150"/>
      <c r="AB149" s="150"/>
      <c r="AC149" s="150"/>
      <c r="AD149" s="150"/>
      <c r="AE149" s="150"/>
    </row>
    <row r="150" spans="1:31" ht="15">
      <c r="A150" s="150"/>
      <c r="B150" s="150"/>
      <c r="C150" s="150"/>
      <c r="D150" s="150"/>
      <c r="E150" s="150"/>
      <c r="F150" s="150"/>
      <c r="G150" s="583"/>
      <c r="H150" s="583"/>
      <c r="I150" s="583"/>
      <c r="J150" s="1764"/>
      <c r="K150" s="1764"/>
      <c r="L150" s="150"/>
      <c r="M150" s="583"/>
      <c r="N150" s="583"/>
      <c r="O150" s="150"/>
      <c r="P150" s="150"/>
      <c r="Q150" s="150"/>
      <c r="R150" s="150"/>
      <c r="S150" s="150"/>
      <c r="T150" s="150"/>
      <c r="U150" s="150"/>
      <c r="V150" s="150"/>
      <c r="W150" s="150"/>
      <c r="X150" s="150"/>
      <c r="Y150" s="150"/>
      <c r="Z150" s="150"/>
      <c r="AA150" s="150"/>
      <c r="AB150" s="150"/>
      <c r="AC150" s="150"/>
      <c r="AD150" s="150"/>
      <c r="AE150" s="150"/>
    </row>
    <row r="151" spans="1:31" ht="15">
      <c r="A151" s="150"/>
      <c r="B151" s="150"/>
      <c r="C151" s="150"/>
      <c r="D151" s="150"/>
      <c r="E151" s="150"/>
      <c r="F151" s="150"/>
      <c r="G151" s="583"/>
      <c r="H151" s="583"/>
      <c r="I151" s="583"/>
      <c r="J151" s="1764"/>
      <c r="K151" s="1764"/>
      <c r="L151" s="150"/>
      <c r="M151" s="583"/>
      <c r="N151" s="583"/>
      <c r="O151" s="150"/>
      <c r="P151" s="150"/>
      <c r="Q151" s="150"/>
      <c r="R151" s="150"/>
      <c r="S151" s="150"/>
      <c r="T151" s="150"/>
      <c r="U151" s="150"/>
      <c r="V151" s="150"/>
      <c r="W151" s="150"/>
      <c r="X151" s="150"/>
      <c r="Y151" s="150"/>
      <c r="Z151" s="150"/>
      <c r="AA151" s="150"/>
      <c r="AB151" s="150"/>
      <c r="AC151" s="150"/>
      <c r="AD151" s="150"/>
      <c r="AE151" s="150"/>
    </row>
    <row r="152" spans="1:31" ht="15">
      <c r="A152" s="150"/>
      <c r="B152" s="150"/>
      <c r="C152" s="150"/>
      <c r="D152" s="150"/>
      <c r="E152" s="150"/>
      <c r="F152" s="150"/>
      <c r="G152" s="583"/>
      <c r="H152" s="583"/>
      <c r="I152" s="583"/>
      <c r="J152" s="1764"/>
      <c r="K152" s="1764"/>
      <c r="L152" s="150"/>
      <c r="M152" s="583"/>
      <c r="N152" s="583"/>
      <c r="O152" s="150"/>
      <c r="P152" s="150"/>
      <c r="Q152" s="150"/>
      <c r="R152" s="150"/>
      <c r="S152" s="150"/>
      <c r="T152" s="150"/>
      <c r="U152" s="150"/>
      <c r="V152" s="150"/>
      <c r="W152" s="150"/>
      <c r="X152" s="150"/>
      <c r="Y152" s="150"/>
      <c r="Z152" s="150"/>
      <c r="AA152" s="150"/>
      <c r="AB152" s="150"/>
      <c r="AC152" s="150"/>
      <c r="AD152" s="150"/>
      <c r="AE152" s="150"/>
    </row>
    <row r="153" spans="1:31" ht="15">
      <c r="A153" s="150"/>
      <c r="B153" s="150"/>
      <c r="C153" s="150"/>
      <c r="D153" s="150"/>
      <c r="E153" s="150"/>
      <c r="F153" s="150"/>
      <c r="G153" s="583"/>
      <c r="H153" s="583"/>
      <c r="I153" s="583"/>
      <c r="J153" s="1764"/>
      <c r="K153" s="1764"/>
      <c r="L153" s="150"/>
      <c r="M153" s="583"/>
      <c r="N153" s="583"/>
      <c r="O153" s="150"/>
      <c r="P153" s="150"/>
      <c r="Q153" s="150"/>
      <c r="R153" s="150"/>
      <c r="S153" s="150"/>
      <c r="T153" s="150"/>
      <c r="U153" s="150"/>
      <c r="V153" s="150"/>
      <c r="W153" s="150"/>
      <c r="X153" s="150"/>
      <c r="Y153" s="150"/>
      <c r="Z153" s="150"/>
      <c r="AA153" s="150"/>
      <c r="AB153" s="150"/>
      <c r="AC153" s="150"/>
      <c r="AD153" s="150"/>
      <c r="AE153" s="150"/>
    </row>
    <row r="154" spans="1:31" ht="15">
      <c r="A154" s="150"/>
      <c r="B154" s="150"/>
      <c r="C154" s="150"/>
      <c r="D154" s="150"/>
      <c r="E154" s="150"/>
      <c r="F154" s="150"/>
      <c r="G154" s="583"/>
      <c r="H154" s="583"/>
      <c r="I154" s="583"/>
      <c r="J154" s="1764"/>
      <c r="K154" s="1764"/>
      <c r="L154" s="150"/>
      <c r="M154" s="583"/>
      <c r="N154" s="583"/>
      <c r="O154" s="150"/>
      <c r="P154" s="150"/>
      <c r="Q154" s="150"/>
      <c r="R154" s="150"/>
      <c r="S154" s="150"/>
      <c r="T154" s="150"/>
      <c r="U154" s="150"/>
      <c r="V154" s="150"/>
      <c r="W154" s="150"/>
      <c r="X154" s="150"/>
      <c r="Y154" s="150"/>
      <c r="Z154" s="150"/>
      <c r="AA154" s="150"/>
      <c r="AB154" s="150"/>
      <c r="AC154" s="150"/>
      <c r="AD154" s="150"/>
      <c r="AE154" s="150"/>
    </row>
    <row r="155" spans="1:31" ht="15">
      <c r="A155" s="150"/>
      <c r="B155" s="150"/>
      <c r="C155" s="150"/>
      <c r="D155" s="150"/>
      <c r="E155" s="150"/>
      <c r="F155" s="150"/>
      <c r="G155" s="583"/>
      <c r="H155" s="583"/>
      <c r="I155" s="583"/>
      <c r="J155" s="1764"/>
      <c r="K155" s="1764"/>
      <c r="L155" s="150"/>
      <c r="M155" s="583"/>
      <c r="N155" s="583"/>
      <c r="O155" s="150"/>
      <c r="P155" s="150"/>
      <c r="Q155" s="150"/>
      <c r="R155" s="150"/>
      <c r="S155" s="150"/>
      <c r="T155" s="150"/>
      <c r="U155" s="150"/>
      <c r="V155" s="150"/>
      <c r="W155" s="150"/>
      <c r="X155" s="150"/>
      <c r="Y155" s="150"/>
      <c r="Z155" s="150"/>
      <c r="AA155" s="150"/>
      <c r="AB155" s="150"/>
      <c r="AC155" s="150"/>
      <c r="AD155" s="150"/>
      <c r="AE155" s="150"/>
    </row>
    <row r="156" spans="1:31" ht="15">
      <c r="A156" s="150"/>
      <c r="B156" s="150"/>
      <c r="C156" s="150"/>
      <c r="D156" s="150"/>
      <c r="E156" s="150"/>
      <c r="F156" s="150"/>
      <c r="G156" s="583"/>
      <c r="H156" s="583"/>
      <c r="I156" s="583"/>
      <c r="J156" s="1764"/>
      <c r="K156" s="1764"/>
      <c r="L156" s="150"/>
      <c r="M156" s="583"/>
      <c r="N156" s="583"/>
      <c r="O156" s="150"/>
      <c r="P156" s="150"/>
      <c r="Q156" s="150"/>
      <c r="R156" s="150"/>
      <c r="S156" s="150"/>
      <c r="T156" s="150"/>
      <c r="U156" s="150"/>
      <c r="V156" s="150"/>
      <c r="W156" s="150"/>
      <c r="X156" s="150"/>
      <c r="Y156" s="150"/>
      <c r="Z156" s="150"/>
      <c r="AA156" s="150"/>
      <c r="AB156" s="150"/>
      <c r="AC156" s="150"/>
      <c r="AD156" s="150"/>
      <c r="AE156" s="150"/>
    </row>
    <row r="157" spans="1:31" ht="15">
      <c r="A157" s="150"/>
      <c r="B157" s="150"/>
      <c r="C157" s="150"/>
      <c r="D157" s="150"/>
      <c r="E157" s="150"/>
      <c r="F157" s="150"/>
      <c r="G157" s="583"/>
      <c r="H157" s="583"/>
      <c r="I157" s="583"/>
      <c r="J157" s="1764"/>
      <c r="K157" s="1764"/>
      <c r="L157" s="150"/>
      <c r="M157" s="583"/>
      <c r="N157" s="583"/>
      <c r="O157" s="150"/>
      <c r="P157" s="150"/>
      <c r="Q157" s="150"/>
      <c r="R157" s="150"/>
      <c r="S157" s="150"/>
      <c r="T157" s="150"/>
      <c r="U157" s="150"/>
      <c r="V157" s="150"/>
      <c r="W157" s="150"/>
      <c r="X157" s="150"/>
      <c r="Y157" s="150"/>
      <c r="Z157" s="150"/>
      <c r="AA157" s="150"/>
      <c r="AB157" s="150"/>
      <c r="AC157" s="150"/>
      <c r="AD157" s="150"/>
      <c r="AE157" s="150"/>
    </row>
    <row r="158" spans="1:31" ht="15">
      <c r="A158" s="150"/>
      <c r="B158" s="150"/>
      <c r="C158" s="150"/>
      <c r="D158" s="150"/>
      <c r="E158" s="150"/>
      <c r="F158" s="150"/>
      <c r="G158" s="583"/>
      <c r="H158" s="583"/>
      <c r="I158" s="583"/>
      <c r="J158" s="1764"/>
      <c r="K158" s="1764"/>
      <c r="L158" s="150"/>
      <c r="M158" s="583"/>
      <c r="N158" s="583"/>
      <c r="O158" s="150"/>
      <c r="P158" s="150"/>
      <c r="Q158" s="150"/>
      <c r="R158" s="150"/>
      <c r="S158" s="150"/>
      <c r="T158" s="150"/>
      <c r="U158" s="150"/>
      <c r="V158" s="150"/>
      <c r="W158" s="150"/>
      <c r="X158" s="150"/>
      <c r="Y158" s="150"/>
      <c r="Z158" s="150"/>
      <c r="AA158" s="150"/>
      <c r="AB158" s="150"/>
      <c r="AC158" s="150"/>
      <c r="AD158" s="150"/>
      <c r="AE158" s="150"/>
    </row>
    <row r="159" spans="1:31" ht="15">
      <c r="A159" s="150"/>
      <c r="B159" s="150"/>
      <c r="C159" s="150"/>
      <c r="D159" s="150"/>
      <c r="E159" s="150"/>
      <c r="F159" s="150"/>
      <c r="G159" s="583"/>
      <c r="H159" s="583"/>
      <c r="I159" s="583"/>
      <c r="J159" s="1764"/>
      <c r="K159" s="1764"/>
      <c r="L159" s="150"/>
      <c r="M159" s="583"/>
      <c r="N159" s="583"/>
      <c r="O159" s="150"/>
      <c r="P159" s="150"/>
      <c r="Q159" s="150"/>
      <c r="R159" s="150"/>
      <c r="S159" s="150"/>
      <c r="T159" s="150"/>
      <c r="U159" s="150"/>
      <c r="V159" s="150"/>
      <c r="W159" s="150"/>
      <c r="X159" s="150"/>
      <c r="Y159" s="150"/>
      <c r="Z159" s="150"/>
      <c r="AA159" s="150"/>
      <c r="AB159" s="150"/>
      <c r="AC159" s="150"/>
      <c r="AD159" s="150"/>
      <c r="AE159" s="150"/>
    </row>
    <row r="160" spans="1:31" ht="15">
      <c r="A160" s="150"/>
      <c r="B160" s="150"/>
      <c r="C160" s="150"/>
      <c r="D160" s="150"/>
      <c r="E160" s="150"/>
      <c r="F160" s="150"/>
      <c r="G160" s="583"/>
      <c r="H160" s="583"/>
      <c r="I160" s="583"/>
      <c r="J160" s="1764"/>
      <c r="K160" s="1764"/>
      <c r="L160" s="150"/>
      <c r="M160" s="583"/>
      <c r="N160" s="583"/>
      <c r="O160" s="150"/>
      <c r="P160" s="150"/>
      <c r="Q160" s="150"/>
      <c r="R160" s="150"/>
      <c r="S160" s="150"/>
      <c r="T160" s="150"/>
      <c r="U160" s="150"/>
      <c r="V160" s="150"/>
      <c r="W160" s="150"/>
      <c r="X160" s="150"/>
      <c r="Y160" s="150"/>
      <c r="Z160" s="150"/>
      <c r="AA160" s="150"/>
      <c r="AB160" s="150"/>
      <c r="AC160" s="150"/>
      <c r="AD160" s="150"/>
      <c r="AE160" s="150"/>
    </row>
    <row r="161" spans="1:31" ht="15">
      <c r="A161" s="150"/>
      <c r="B161" s="150"/>
      <c r="C161" s="150"/>
      <c r="D161" s="150"/>
      <c r="E161" s="150"/>
      <c r="F161" s="150"/>
      <c r="G161" s="583"/>
      <c r="H161" s="583"/>
      <c r="I161" s="583"/>
      <c r="J161" s="1767"/>
      <c r="K161" s="1767"/>
      <c r="L161" s="150"/>
      <c r="M161" s="583"/>
      <c r="N161" s="583"/>
      <c r="O161" s="150"/>
      <c r="P161" s="150"/>
      <c r="Q161" s="150"/>
      <c r="R161" s="150"/>
      <c r="S161" s="150"/>
      <c r="T161" s="150"/>
      <c r="U161" s="150"/>
      <c r="V161" s="150"/>
      <c r="W161" s="150"/>
      <c r="X161" s="150"/>
      <c r="Y161" s="150"/>
      <c r="Z161" s="150"/>
      <c r="AA161" s="150"/>
      <c r="AB161" s="150"/>
      <c r="AC161" s="150"/>
      <c r="AD161" s="150"/>
      <c r="AE161" s="150"/>
    </row>
    <row r="162" spans="1:31" ht="15">
      <c r="A162" s="150"/>
      <c r="B162" s="150"/>
      <c r="C162" s="150"/>
      <c r="D162" s="150"/>
      <c r="E162" s="150"/>
      <c r="F162" s="150"/>
      <c r="G162" s="583"/>
      <c r="H162" s="583"/>
      <c r="I162" s="583"/>
      <c r="J162" s="1767"/>
      <c r="K162" s="1767"/>
      <c r="L162" s="150"/>
      <c r="M162" s="583"/>
      <c r="N162" s="583"/>
      <c r="O162" s="150"/>
      <c r="P162" s="150"/>
      <c r="Q162" s="150"/>
      <c r="R162" s="150"/>
      <c r="S162" s="150"/>
      <c r="T162" s="150"/>
      <c r="U162" s="150"/>
      <c r="V162" s="150"/>
      <c r="W162" s="150"/>
      <c r="X162" s="150"/>
      <c r="Y162" s="150"/>
      <c r="Z162" s="150"/>
      <c r="AA162" s="150"/>
      <c r="AB162" s="150"/>
      <c r="AC162" s="150"/>
      <c r="AD162" s="150"/>
      <c r="AE162" s="150"/>
    </row>
    <row r="163" spans="1:31" ht="15">
      <c r="A163" s="150"/>
      <c r="B163" s="150"/>
      <c r="C163" s="150"/>
      <c r="D163" s="150"/>
      <c r="E163" s="150"/>
      <c r="F163" s="150"/>
      <c r="G163" s="583"/>
      <c r="H163" s="583"/>
      <c r="I163" s="583"/>
      <c r="J163" s="1767"/>
      <c r="K163" s="1767"/>
      <c r="L163" s="150"/>
      <c r="M163" s="583"/>
      <c r="N163" s="583"/>
      <c r="O163" s="150"/>
      <c r="P163" s="150"/>
      <c r="Q163" s="150"/>
      <c r="R163" s="150"/>
      <c r="S163" s="150"/>
      <c r="T163" s="150"/>
      <c r="U163" s="150"/>
      <c r="V163" s="150"/>
      <c r="W163" s="150"/>
      <c r="X163" s="150"/>
      <c r="Y163" s="150"/>
      <c r="Z163" s="150"/>
      <c r="AA163" s="150"/>
      <c r="AB163" s="150"/>
      <c r="AC163" s="150"/>
      <c r="AD163" s="150"/>
      <c r="AE163" s="150"/>
    </row>
    <row r="164" spans="1:31" ht="15">
      <c r="A164" s="150"/>
      <c r="B164" s="150"/>
      <c r="C164" s="150"/>
      <c r="D164" s="150"/>
      <c r="E164" s="150"/>
      <c r="F164" s="150"/>
      <c r="G164" s="583"/>
      <c r="H164" s="583"/>
      <c r="I164" s="583"/>
      <c r="J164" s="1767"/>
      <c r="K164" s="1767"/>
      <c r="L164" s="150"/>
      <c r="M164" s="583"/>
      <c r="N164" s="583"/>
      <c r="O164" s="150"/>
      <c r="P164" s="150"/>
      <c r="Q164" s="150"/>
      <c r="R164" s="150"/>
      <c r="S164" s="150"/>
      <c r="T164" s="150"/>
      <c r="U164" s="150"/>
      <c r="V164" s="150"/>
      <c r="W164" s="150"/>
      <c r="X164" s="150"/>
      <c r="Y164" s="150"/>
      <c r="Z164" s="150"/>
      <c r="AA164" s="150"/>
      <c r="AB164" s="150"/>
      <c r="AC164" s="150"/>
      <c r="AD164" s="150"/>
      <c r="AE164" s="150"/>
    </row>
    <row r="165" spans="1:31" ht="15">
      <c r="A165" s="150"/>
      <c r="B165" s="150"/>
      <c r="C165" s="150"/>
      <c r="D165" s="150"/>
      <c r="E165" s="150"/>
      <c r="F165" s="150"/>
      <c r="G165" s="583"/>
      <c r="H165" s="583"/>
      <c r="I165" s="583"/>
      <c r="J165" s="1767"/>
      <c r="K165" s="1767"/>
      <c r="L165" s="150"/>
      <c r="M165" s="583"/>
      <c r="N165" s="583"/>
      <c r="O165" s="150"/>
      <c r="P165" s="150"/>
      <c r="Q165" s="150"/>
      <c r="R165" s="150"/>
      <c r="S165" s="150"/>
      <c r="T165" s="150"/>
      <c r="U165" s="150"/>
      <c r="V165" s="150"/>
      <c r="W165" s="150"/>
      <c r="X165" s="150"/>
      <c r="Y165" s="150"/>
      <c r="Z165" s="150"/>
      <c r="AA165" s="150"/>
      <c r="AB165" s="150"/>
      <c r="AC165" s="150"/>
      <c r="AD165" s="150"/>
      <c r="AE165" s="150"/>
    </row>
    <row r="166" spans="1:31" ht="15">
      <c r="A166" s="150"/>
      <c r="B166" s="150"/>
      <c r="C166" s="150"/>
      <c r="D166" s="150"/>
      <c r="E166" s="150"/>
      <c r="F166" s="150"/>
      <c r="G166" s="583"/>
      <c r="H166" s="583"/>
      <c r="I166" s="583"/>
      <c r="J166" s="1767"/>
      <c r="K166" s="1767"/>
      <c r="L166" s="150"/>
      <c r="M166" s="583"/>
      <c r="N166" s="583"/>
      <c r="O166" s="150"/>
      <c r="P166" s="150"/>
      <c r="Q166" s="150"/>
      <c r="R166" s="150"/>
      <c r="S166" s="150"/>
      <c r="T166" s="150"/>
      <c r="U166" s="150"/>
      <c r="V166" s="150"/>
      <c r="W166" s="150"/>
      <c r="X166" s="150"/>
      <c r="Y166" s="150"/>
      <c r="Z166" s="150"/>
      <c r="AA166" s="150"/>
      <c r="AB166" s="150"/>
      <c r="AC166" s="150"/>
      <c r="AD166" s="150"/>
      <c r="AE166" s="150"/>
    </row>
    <row r="167" spans="1:31" ht="15">
      <c r="A167" s="150"/>
      <c r="B167" s="150"/>
      <c r="C167" s="150"/>
      <c r="D167" s="150"/>
      <c r="E167" s="150"/>
      <c r="F167" s="150"/>
      <c r="G167" s="583"/>
      <c r="H167" s="583"/>
      <c r="I167" s="583"/>
      <c r="J167" s="1767"/>
      <c r="K167" s="1767"/>
      <c r="L167" s="150"/>
      <c r="M167" s="583"/>
      <c r="N167" s="583"/>
      <c r="O167" s="150"/>
      <c r="P167" s="150"/>
      <c r="Q167" s="150"/>
      <c r="R167" s="150"/>
      <c r="S167" s="150"/>
      <c r="T167" s="150"/>
      <c r="U167" s="150"/>
      <c r="V167" s="150"/>
      <c r="W167" s="150"/>
      <c r="X167" s="150"/>
      <c r="Y167" s="150"/>
      <c r="Z167" s="150"/>
      <c r="AA167" s="150"/>
      <c r="AB167" s="150"/>
      <c r="AC167" s="150"/>
      <c r="AD167" s="150"/>
      <c r="AE167" s="150"/>
    </row>
    <row r="168" spans="1:31" ht="15">
      <c r="A168" s="150"/>
      <c r="B168" s="150"/>
      <c r="C168" s="150"/>
      <c r="D168" s="150"/>
      <c r="E168" s="150"/>
      <c r="F168" s="150"/>
      <c r="G168" s="583"/>
      <c r="H168" s="583"/>
      <c r="I168" s="583"/>
      <c r="J168" s="1767"/>
      <c r="K168" s="1767"/>
      <c r="L168" s="150"/>
      <c r="M168" s="583"/>
      <c r="N168" s="583"/>
      <c r="O168" s="150"/>
      <c r="P168" s="150"/>
      <c r="Q168" s="150"/>
      <c r="R168" s="150"/>
      <c r="S168" s="150"/>
      <c r="T168" s="150"/>
      <c r="U168" s="150"/>
      <c r="V168" s="150"/>
      <c r="W168" s="150"/>
      <c r="X168" s="150"/>
      <c r="Y168" s="150"/>
      <c r="Z168" s="150"/>
      <c r="AA168" s="150"/>
      <c r="AB168" s="150"/>
      <c r="AC168" s="150"/>
      <c r="AD168" s="150"/>
      <c r="AE168" s="150"/>
    </row>
    <row r="169" spans="1:31" ht="15">
      <c r="A169" s="150"/>
      <c r="B169" s="150"/>
      <c r="C169" s="150"/>
      <c r="D169" s="150"/>
      <c r="E169" s="150"/>
      <c r="F169" s="150"/>
      <c r="G169" s="583"/>
      <c r="H169" s="583"/>
      <c r="I169" s="583"/>
      <c r="J169" s="1767"/>
      <c r="K169" s="1767"/>
      <c r="L169" s="150"/>
      <c r="M169" s="583"/>
      <c r="N169" s="583"/>
      <c r="O169" s="150"/>
      <c r="P169" s="150"/>
      <c r="Q169" s="150"/>
      <c r="R169" s="150"/>
      <c r="S169" s="150"/>
      <c r="T169" s="150"/>
      <c r="U169" s="150"/>
      <c r="V169" s="150"/>
      <c r="W169" s="150"/>
      <c r="X169" s="150"/>
      <c r="Y169" s="150"/>
      <c r="Z169" s="150"/>
      <c r="AA169" s="150"/>
      <c r="AB169" s="150"/>
      <c r="AC169" s="150"/>
      <c r="AD169" s="150"/>
      <c r="AE169" s="150"/>
    </row>
    <row r="170" spans="1:31" ht="15">
      <c r="A170" s="150"/>
      <c r="B170" s="150"/>
      <c r="C170" s="150"/>
      <c r="D170" s="150"/>
      <c r="E170" s="150"/>
      <c r="F170" s="150"/>
      <c r="G170" s="583"/>
      <c r="H170" s="583"/>
      <c r="I170" s="583"/>
      <c r="J170" s="1767"/>
      <c r="K170" s="1767"/>
      <c r="L170" s="150"/>
      <c r="M170" s="583"/>
      <c r="N170" s="583"/>
      <c r="O170" s="150"/>
      <c r="P170" s="150"/>
      <c r="Q170" s="150"/>
      <c r="R170" s="150"/>
      <c r="S170" s="150"/>
      <c r="T170" s="150"/>
      <c r="U170" s="150"/>
      <c r="V170" s="150"/>
      <c r="W170" s="150"/>
      <c r="X170" s="150"/>
      <c r="Y170" s="150"/>
      <c r="Z170" s="150"/>
      <c r="AA170" s="150"/>
      <c r="AB170" s="150"/>
      <c r="AC170" s="150"/>
      <c r="AD170" s="150"/>
      <c r="AE170" s="150"/>
    </row>
    <row r="171" spans="1:31" ht="15">
      <c r="A171" s="150"/>
      <c r="B171" s="150"/>
      <c r="C171" s="150"/>
      <c r="D171" s="150"/>
      <c r="E171" s="150"/>
      <c r="F171" s="150"/>
      <c r="G171" s="583"/>
      <c r="H171" s="583"/>
      <c r="I171" s="583"/>
      <c r="J171" s="1767"/>
      <c r="K171" s="1767"/>
      <c r="L171" s="150"/>
      <c r="M171" s="583"/>
      <c r="N171" s="583"/>
      <c r="O171" s="150"/>
      <c r="P171" s="150"/>
      <c r="Q171" s="150"/>
      <c r="R171" s="150"/>
      <c r="S171" s="150"/>
      <c r="T171" s="150"/>
      <c r="U171" s="150"/>
      <c r="V171" s="150"/>
      <c r="W171" s="150"/>
      <c r="X171" s="150"/>
      <c r="Y171" s="150"/>
      <c r="Z171" s="150"/>
      <c r="AA171" s="150"/>
      <c r="AB171" s="150"/>
      <c r="AC171" s="150"/>
      <c r="AD171" s="150"/>
      <c r="AE171" s="150"/>
    </row>
    <row r="172" spans="1:31" ht="15">
      <c r="A172" s="150"/>
      <c r="B172" s="150"/>
      <c r="C172" s="150"/>
      <c r="D172" s="150"/>
      <c r="E172" s="150"/>
      <c r="F172" s="150"/>
      <c r="G172" s="583"/>
      <c r="H172" s="583"/>
      <c r="I172" s="583"/>
      <c r="J172" s="1767"/>
      <c r="K172" s="1767"/>
      <c r="L172" s="150"/>
      <c r="M172" s="583"/>
      <c r="N172" s="583"/>
      <c r="O172" s="150"/>
      <c r="P172" s="150"/>
      <c r="Q172" s="150"/>
      <c r="R172" s="150"/>
      <c r="S172" s="150"/>
      <c r="T172" s="150"/>
      <c r="U172" s="150"/>
      <c r="V172" s="150"/>
      <c r="W172" s="150"/>
      <c r="X172" s="150"/>
      <c r="Y172" s="150"/>
      <c r="Z172" s="150"/>
      <c r="AA172" s="150"/>
      <c r="AB172" s="150"/>
      <c r="AC172" s="150"/>
      <c r="AD172" s="150"/>
      <c r="AE172" s="150"/>
    </row>
    <row r="173" spans="1:31" ht="15">
      <c r="A173" s="150"/>
      <c r="B173" s="150"/>
      <c r="C173" s="150"/>
      <c r="D173" s="150"/>
      <c r="E173" s="150"/>
      <c r="F173" s="150"/>
      <c r="G173" s="583"/>
      <c r="H173" s="583"/>
      <c r="I173" s="583"/>
      <c r="J173" s="1767"/>
      <c r="K173" s="1767"/>
      <c r="L173" s="150"/>
      <c r="M173" s="583"/>
      <c r="N173" s="583"/>
      <c r="O173" s="150"/>
      <c r="P173" s="150"/>
      <c r="Q173" s="150"/>
      <c r="R173" s="150"/>
      <c r="S173" s="150"/>
      <c r="T173" s="150"/>
      <c r="U173" s="150"/>
      <c r="V173" s="150"/>
      <c r="W173" s="150"/>
      <c r="X173" s="150"/>
      <c r="Y173" s="150"/>
      <c r="Z173" s="150"/>
      <c r="AA173" s="150"/>
      <c r="AB173" s="150"/>
      <c r="AC173" s="150"/>
      <c r="AD173" s="150"/>
      <c r="AE173" s="150"/>
    </row>
    <row r="174" spans="1:31" ht="15">
      <c r="A174" s="150"/>
      <c r="B174" s="150"/>
      <c r="C174" s="150"/>
      <c r="D174" s="150"/>
      <c r="E174" s="150"/>
      <c r="F174" s="150"/>
      <c r="G174" s="583"/>
      <c r="H174" s="583"/>
      <c r="I174" s="583"/>
      <c r="J174" s="1767"/>
      <c r="K174" s="1767"/>
      <c r="L174" s="150"/>
      <c r="M174" s="583"/>
      <c r="N174" s="583"/>
      <c r="O174" s="150"/>
      <c r="P174" s="150"/>
      <c r="Q174" s="150"/>
      <c r="R174" s="150"/>
      <c r="S174" s="150"/>
      <c r="T174" s="150"/>
      <c r="U174" s="150"/>
      <c r="V174" s="150"/>
      <c r="W174" s="150"/>
      <c r="X174" s="150"/>
      <c r="Y174" s="150"/>
      <c r="Z174" s="150"/>
      <c r="AA174" s="150"/>
      <c r="AB174" s="150"/>
      <c r="AC174" s="150"/>
      <c r="AD174" s="150"/>
      <c r="AE174" s="150"/>
    </row>
    <row r="175" spans="1:31" ht="15">
      <c r="A175" s="150"/>
      <c r="B175" s="150"/>
      <c r="C175" s="150"/>
      <c r="D175" s="150"/>
      <c r="E175" s="150"/>
      <c r="F175" s="150"/>
      <c r="G175" s="583"/>
      <c r="H175" s="583"/>
      <c r="I175" s="583"/>
      <c r="J175" s="1767"/>
      <c r="K175" s="1767"/>
      <c r="L175" s="150"/>
      <c r="M175" s="583"/>
      <c r="N175" s="583"/>
      <c r="O175" s="150"/>
      <c r="P175" s="150"/>
      <c r="Q175" s="150"/>
      <c r="R175" s="150"/>
      <c r="S175" s="150"/>
      <c r="T175" s="150"/>
      <c r="U175" s="150"/>
      <c r="V175" s="150"/>
      <c r="W175" s="150"/>
      <c r="X175" s="150"/>
      <c r="Y175" s="150"/>
      <c r="Z175" s="150"/>
      <c r="AA175" s="150"/>
      <c r="AB175" s="150"/>
      <c r="AC175" s="150"/>
      <c r="AD175" s="150"/>
      <c r="AE175" s="150"/>
    </row>
    <row r="176" spans="1:31" ht="15">
      <c r="A176" s="150"/>
      <c r="B176" s="150"/>
      <c r="C176" s="150"/>
      <c r="D176" s="150"/>
      <c r="E176" s="150"/>
      <c r="F176" s="150"/>
      <c r="G176" s="583"/>
      <c r="H176" s="583"/>
      <c r="I176" s="583"/>
      <c r="J176" s="1767"/>
      <c r="K176" s="1767"/>
      <c r="L176" s="150"/>
      <c r="M176" s="583"/>
      <c r="N176" s="583"/>
      <c r="O176" s="150"/>
      <c r="P176" s="150"/>
      <c r="Q176" s="150"/>
      <c r="R176" s="150"/>
      <c r="S176" s="150"/>
      <c r="T176" s="150"/>
      <c r="U176" s="150"/>
      <c r="V176" s="150"/>
      <c r="W176" s="150"/>
      <c r="X176" s="150"/>
      <c r="Y176" s="150"/>
      <c r="Z176" s="150"/>
      <c r="AA176" s="150"/>
      <c r="AB176" s="150"/>
      <c r="AC176" s="150"/>
      <c r="AD176" s="150"/>
      <c r="AE176" s="150"/>
    </row>
    <row r="177" spans="1:31" ht="15">
      <c r="A177" s="150"/>
      <c r="B177" s="150"/>
      <c r="C177" s="150"/>
      <c r="D177" s="150"/>
      <c r="E177" s="150"/>
      <c r="F177" s="150"/>
      <c r="G177" s="583"/>
      <c r="H177" s="583"/>
      <c r="I177" s="583"/>
      <c r="J177" s="1767"/>
      <c r="K177" s="1767"/>
      <c r="L177" s="150"/>
      <c r="M177" s="583"/>
      <c r="N177" s="583"/>
      <c r="O177" s="150"/>
      <c r="P177" s="150"/>
      <c r="Q177" s="150"/>
      <c r="R177" s="150"/>
      <c r="S177" s="150"/>
      <c r="T177" s="150"/>
      <c r="U177" s="150"/>
      <c r="V177" s="150"/>
      <c r="W177" s="150"/>
      <c r="X177" s="150"/>
      <c r="Y177" s="150"/>
      <c r="Z177" s="150"/>
      <c r="AA177" s="150"/>
      <c r="AB177" s="150"/>
      <c r="AC177" s="150"/>
      <c r="AD177" s="150"/>
      <c r="AE177" s="150"/>
    </row>
    <row r="178" spans="1:31" ht="15">
      <c r="A178" s="150"/>
      <c r="B178" s="150"/>
      <c r="C178" s="150"/>
      <c r="D178" s="150"/>
      <c r="E178" s="150"/>
      <c r="F178" s="150"/>
      <c r="G178" s="583"/>
      <c r="H178" s="583"/>
      <c r="I178" s="583"/>
      <c r="J178" s="1767"/>
      <c r="K178" s="1767"/>
      <c r="L178" s="150"/>
      <c r="M178" s="583"/>
      <c r="N178" s="583"/>
      <c r="O178" s="150"/>
      <c r="P178" s="150"/>
      <c r="Q178" s="150"/>
      <c r="R178" s="150"/>
      <c r="S178" s="150"/>
      <c r="T178" s="150"/>
      <c r="U178" s="150"/>
      <c r="V178" s="150"/>
      <c r="W178" s="150"/>
      <c r="X178" s="150"/>
      <c r="Y178" s="150"/>
      <c r="Z178" s="150"/>
      <c r="AA178" s="150"/>
      <c r="AB178" s="150"/>
      <c r="AC178" s="150"/>
      <c r="AD178" s="150"/>
      <c r="AE178" s="150"/>
    </row>
    <row r="179" spans="1:31" ht="15">
      <c r="A179" s="150"/>
      <c r="B179" s="150"/>
      <c r="C179" s="150"/>
      <c r="D179" s="150"/>
      <c r="E179" s="150"/>
      <c r="F179" s="150"/>
      <c r="G179" s="583"/>
      <c r="H179" s="583"/>
      <c r="I179" s="583"/>
      <c r="J179" s="1767"/>
      <c r="K179" s="1767"/>
      <c r="L179" s="150"/>
      <c r="M179" s="583"/>
      <c r="N179" s="583"/>
      <c r="O179" s="150"/>
      <c r="P179" s="150"/>
      <c r="Q179" s="150"/>
      <c r="R179" s="150"/>
      <c r="S179" s="150"/>
      <c r="T179" s="150"/>
      <c r="U179" s="150"/>
      <c r="V179" s="150"/>
      <c r="W179" s="150"/>
      <c r="X179" s="150"/>
      <c r="Y179" s="150"/>
      <c r="Z179" s="150"/>
      <c r="AA179" s="150"/>
      <c r="AB179" s="150"/>
      <c r="AC179" s="150"/>
      <c r="AD179" s="150"/>
      <c r="AE179" s="150"/>
    </row>
    <row r="180" spans="1:31" ht="15">
      <c r="A180" s="150"/>
      <c r="B180" s="150"/>
      <c r="C180" s="150"/>
      <c r="D180" s="150"/>
      <c r="E180" s="150"/>
      <c r="F180" s="150"/>
      <c r="G180" s="583"/>
      <c r="H180" s="583"/>
      <c r="I180" s="583"/>
      <c r="J180" s="1767"/>
      <c r="K180" s="1767"/>
      <c r="L180" s="150"/>
      <c r="M180" s="583"/>
      <c r="N180" s="583"/>
      <c r="O180" s="150"/>
      <c r="P180" s="150"/>
      <c r="Q180" s="150"/>
      <c r="R180" s="150"/>
      <c r="S180" s="150"/>
      <c r="T180" s="150"/>
      <c r="U180" s="150"/>
      <c r="V180" s="150"/>
      <c r="W180" s="150"/>
      <c r="X180" s="150"/>
      <c r="Y180" s="150"/>
      <c r="Z180" s="150"/>
      <c r="AA180" s="150"/>
      <c r="AB180" s="150"/>
      <c r="AC180" s="150"/>
      <c r="AD180" s="150"/>
      <c r="AE180" s="150"/>
    </row>
    <row r="181" spans="1:31" ht="15">
      <c r="A181" s="150"/>
      <c r="B181" s="150"/>
      <c r="C181" s="150"/>
      <c r="D181" s="150"/>
      <c r="E181" s="150"/>
      <c r="F181" s="150"/>
      <c r="G181" s="583"/>
      <c r="H181" s="583"/>
      <c r="I181" s="583"/>
      <c r="J181" s="1767"/>
      <c r="K181" s="1767"/>
      <c r="L181" s="150"/>
      <c r="M181" s="583"/>
      <c r="N181" s="583"/>
      <c r="O181" s="150"/>
      <c r="P181" s="150"/>
      <c r="Q181" s="150"/>
      <c r="R181" s="150"/>
      <c r="S181" s="150"/>
      <c r="T181" s="150"/>
      <c r="U181" s="150"/>
      <c r="V181" s="150"/>
      <c r="W181" s="150"/>
      <c r="X181" s="150"/>
      <c r="Y181" s="150"/>
      <c r="Z181" s="150"/>
      <c r="AA181" s="150"/>
      <c r="AB181" s="150"/>
      <c r="AC181" s="150"/>
      <c r="AD181" s="150"/>
      <c r="AE181" s="150"/>
    </row>
    <row r="182" spans="1:31" ht="15">
      <c r="A182" s="150"/>
      <c r="B182" s="150"/>
      <c r="C182" s="150"/>
      <c r="D182" s="150"/>
      <c r="E182" s="150"/>
      <c r="F182" s="150"/>
      <c r="G182" s="583"/>
      <c r="H182" s="583"/>
      <c r="I182" s="583"/>
      <c r="J182" s="1767"/>
      <c r="K182" s="1767"/>
      <c r="L182" s="150"/>
      <c r="M182" s="583"/>
      <c r="N182" s="583"/>
      <c r="O182" s="150"/>
      <c r="P182" s="150"/>
      <c r="Q182" s="150"/>
      <c r="R182" s="150"/>
      <c r="S182" s="150"/>
      <c r="T182" s="150"/>
      <c r="U182" s="150"/>
      <c r="V182" s="150"/>
      <c r="W182" s="150"/>
      <c r="X182" s="150"/>
      <c r="Y182" s="150"/>
      <c r="Z182" s="150"/>
      <c r="AA182" s="150"/>
      <c r="AB182" s="150"/>
      <c r="AC182" s="150"/>
      <c r="AD182" s="150"/>
      <c r="AE182" s="150"/>
    </row>
    <row r="183" spans="1:31" ht="15">
      <c r="A183" s="150"/>
      <c r="B183" s="150"/>
      <c r="C183" s="150"/>
      <c r="D183" s="150"/>
      <c r="E183" s="150"/>
      <c r="F183" s="150"/>
      <c r="G183" s="583"/>
      <c r="H183" s="583"/>
      <c r="I183" s="583"/>
      <c r="J183" s="1767"/>
      <c r="K183" s="1767"/>
      <c r="L183" s="150"/>
      <c r="M183" s="583"/>
      <c r="N183" s="583"/>
      <c r="O183" s="150"/>
      <c r="P183" s="150"/>
      <c r="Q183" s="150"/>
      <c r="R183" s="150"/>
      <c r="S183" s="150"/>
      <c r="T183" s="150"/>
      <c r="U183" s="150"/>
      <c r="V183" s="150"/>
      <c r="W183" s="150"/>
      <c r="X183" s="150"/>
      <c r="Y183" s="150"/>
      <c r="Z183" s="150"/>
      <c r="AA183" s="150"/>
      <c r="AB183" s="150"/>
      <c r="AC183" s="150"/>
      <c r="AD183" s="150"/>
      <c r="AE183" s="150"/>
    </row>
    <row r="184" spans="1:31" ht="15">
      <c r="A184" s="150"/>
      <c r="B184" s="150"/>
      <c r="C184" s="150"/>
      <c r="D184" s="150"/>
      <c r="E184" s="150"/>
      <c r="F184" s="150"/>
      <c r="G184" s="583"/>
      <c r="H184" s="583"/>
      <c r="I184" s="583"/>
      <c r="J184" s="1767"/>
      <c r="K184" s="1767"/>
      <c r="L184" s="150"/>
      <c r="M184" s="583"/>
      <c r="N184" s="583"/>
      <c r="O184" s="150"/>
      <c r="P184" s="150"/>
      <c r="Q184" s="150"/>
      <c r="R184" s="150"/>
      <c r="S184" s="150"/>
      <c r="T184" s="150"/>
      <c r="U184" s="150"/>
      <c r="V184" s="150"/>
      <c r="W184" s="150"/>
      <c r="X184" s="150"/>
      <c r="Y184" s="150"/>
      <c r="Z184" s="150"/>
      <c r="AA184" s="150"/>
      <c r="AB184" s="150"/>
      <c r="AC184" s="150"/>
      <c r="AD184" s="150"/>
      <c r="AE184" s="150"/>
    </row>
    <row r="185" spans="1:31" ht="15">
      <c r="A185" s="150"/>
      <c r="B185" s="150"/>
      <c r="C185" s="150"/>
      <c r="D185" s="150"/>
      <c r="E185" s="150"/>
      <c r="F185" s="150"/>
      <c r="G185" s="583"/>
      <c r="H185" s="583"/>
      <c r="I185" s="583"/>
      <c r="J185" s="1767"/>
      <c r="K185" s="1767"/>
      <c r="L185" s="150"/>
      <c r="M185" s="583"/>
      <c r="N185" s="583"/>
      <c r="O185" s="150"/>
      <c r="P185" s="150"/>
      <c r="Q185" s="150"/>
      <c r="R185" s="150"/>
      <c r="S185" s="150"/>
      <c r="T185" s="150"/>
      <c r="U185" s="150"/>
      <c r="V185" s="150"/>
      <c r="W185" s="150"/>
      <c r="X185" s="150"/>
      <c r="Y185" s="150"/>
      <c r="Z185" s="150"/>
      <c r="AA185" s="150"/>
      <c r="AB185" s="150"/>
      <c r="AC185" s="150"/>
      <c r="AD185" s="150"/>
      <c r="AE185" s="150"/>
    </row>
    <row r="186" spans="1:31" ht="15">
      <c r="A186" s="150"/>
      <c r="B186" s="150"/>
      <c r="C186" s="150"/>
      <c r="D186" s="150"/>
      <c r="E186" s="150"/>
      <c r="F186" s="150"/>
      <c r="G186" s="583"/>
      <c r="H186" s="583"/>
      <c r="I186" s="583"/>
      <c r="J186" s="1767"/>
      <c r="K186" s="1767"/>
      <c r="L186" s="150"/>
      <c r="M186" s="583"/>
      <c r="N186" s="583"/>
      <c r="O186" s="150"/>
      <c r="P186" s="150"/>
      <c r="Q186" s="150"/>
      <c r="R186" s="150"/>
      <c r="S186" s="150"/>
      <c r="T186" s="150"/>
      <c r="U186" s="150"/>
      <c r="V186" s="150"/>
      <c r="W186" s="150"/>
      <c r="X186" s="150"/>
      <c r="Y186" s="150"/>
      <c r="Z186" s="150"/>
      <c r="AA186" s="150"/>
      <c r="AB186" s="150"/>
      <c r="AC186" s="150"/>
      <c r="AD186" s="150"/>
      <c r="AE186" s="150"/>
    </row>
    <row r="187" spans="1:31" ht="15">
      <c r="A187" s="150"/>
      <c r="B187" s="150"/>
      <c r="C187" s="150"/>
      <c r="D187" s="150"/>
      <c r="E187" s="150"/>
      <c r="F187" s="150"/>
      <c r="G187" s="583"/>
      <c r="H187" s="583"/>
      <c r="I187" s="583"/>
      <c r="J187" s="1767"/>
      <c r="K187" s="1767"/>
      <c r="L187" s="150"/>
      <c r="M187" s="583"/>
      <c r="N187" s="583"/>
      <c r="O187" s="150"/>
      <c r="P187" s="150"/>
      <c r="Q187" s="150"/>
      <c r="R187" s="150"/>
      <c r="S187" s="150"/>
      <c r="T187" s="150"/>
      <c r="U187" s="150"/>
      <c r="V187" s="150"/>
      <c r="W187" s="150"/>
      <c r="X187" s="150"/>
      <c r="Y187" s="150"/>
      <c r="Z187" s="150"/>
      <c r="AA187" s="150"/>
      <c r="AB187" s="150"/>
      <c r="AC187" s="150"/>
      <c r="AD187" s="150"/>
      <c r="AE187" s="150"/>
    </row>
    <row r="188" spans="1:31" ht="15">
      <c r="A188" s="150"/>
      <c r="B188" s="150"/>
      <c r="C188" s="150"/>
      <c r="D188" s="150"/>
      <c r="E188" s="150"/>
      <c r="F188" s="150"/>
      <c r="G188" s="583"/>
      <c r="H188" s="583"/>
      <c r="I188" s="583"/>
      <c r="J188" s="1767"/>
      <c r="K188" s="1767"/>
      <c r="L188" s="150"/>
      <c r="M188" s="583"/>
      <c r="N188" s="583"/>
      <c r="O188" s="150"/>
      <c r="P188" s="150"/>
      <c r="Q188" s="150"/>
      <c r="R188" s="150"/>
      <c r="S188" s="150"/>
      <c r="T188" s="150"/>
      <c r="U188" s="150"/>
      <c r="V188" s="150"/>
      <c r="W188" s="150"/>
      <c r="X188" s="150"/>
      <c r="Y188" s="150"/>
      <c r="Z188" s="150"/>
      <c r="AA188" s="150"/>
      <c r="AB188" s="150"/>
      <c r="AC188" s="150"/>
      <c r="AD188" s="150"/>
      <c r="AE188" s="150"/>
    </row>
    <row r="189" spans="1:31" ht="15">
      <c r="A189" s="150"/>
      <c r="B189" s="150"/>
      <c r="C189" s="150"/>
      <c r="D189" s="150"/>
      <c r="E189" s="150"/>
      <c r="F189" s="150"/>
      <c r="G189" s="583"/>
      <c r="H189" s="583"/>
      <c r="I189" s="583"/>
      <c r="J189" s="1767"/>
      <c r="K189" s="1767"/>
      <c r="L189" s="150"/>
      <c r="M189" s="583"/>
      <c r="N189" s="583"/>
      <c r="O189" s="150"/>
      <c r="P189" s="150"/>
      <c r="Q189" s="150"/>
      <c r="R189" s="150"/>
      <c r="S189" s="150"/>
      <c r="T189" s="150"/>
      <c r="U189" s="150"/>
      <c r="V189" s="150"/>
      <c r="W189" s="150"/>
      <c r="X189" s="150"/>
      <c r="Y189" s="150"/>
      <c r="Z189" s="150"/>
      <c r="AA189" s="150"/>
      <c r="AB189" s="150"/>
      <c r="AC189" s="150"/>
      <c r="AD189" s="150"/>
      <c r="AE189" s="150"/>
    </row>
    <row r="190" spans="1:31" ht="15">
      <c r="A190" s="150"/>
      <c r="B190" s="150"/>
      <c r="C190" s="150"/>
      <c r="D190" s="150"/>
      <c r="E190" s="150"/>
      <c r="F190" s="150"/>
      <c r="G190" s="583"/>
      <c r="H190" s="583"/>
      <c r="I190" s="583"/>
      <c r="J190" s="1767"/>
      <c r="K190" s="1767"/>
      <c r="L190" s="150"/>
      <c r="M190" s="583"/>
      <c r="N190" s="583"/>
      <c r="O190" s="150"/>
      <c r="P190" s="150"/>
      <c r="Q190" s="150"/>
      <c r="R190" s="150"/>
      <c r="S190" s="150"/>
      <c r="T190" s="150"/>
      <c r="U190" s="150"/>
      <c r="V190" s="150"/>
      <c r="W190" s="150"/>
      <c r="X190" s="150"/>
      <c r="Y190" s="150"/>
      <c r="Z190" s="150"/>
      <c r="AA190" s="150"/>
      <c r="AB190" s="150"/>
      <c r="AC190" s="150"/>
      <c r="AD190" s="150"/>
      <c r="AE190" s="150"/>
    </row>
    <row r="191" spans="1:31" ht="15">
      <c r="A191" s="150"/>
      <c r="B191" s="150"/>
      <c r="C191" s="150"/>
      <c r="D191" s="150"/>
      <c r="E191" s="150"/>
      <c r="F191" s="150"/>
      <c r="G191" s="583"/>
      <c r="H191" s="583"/>
      <c r="I191" s="583"/>
      <c r="J191" s="1767"/>
      <c r="K191" s="1767"/>
      <c r="L191" s="150"/>
      <c r="M191" s="583"/>
      <c r="N191" s="583"/>
      <c r="O191" s="150"/>
      <c r="P191" s="150"/>
      <c r="Q191" s="150"/>
      <c r="R191" s="150"/>
      <c r="S191" s="150"/>
      <c r="T191" s="150"/>
      <c r="U191" s="150"/>
      <c r="V191" s="150"/>
      <c r="W191" s="150"/>
      <c r="X191" s="150"/>
      <c r="Y191" s="150"/>
      <c r="Z191" s="150"/>
      <c r="AA191" s="150"/>
      <c r="AB191" s="150"/>
      <c r="AC191" s="150"/>
      <c r="AD191" s="150"/>
      <c r="AE191" s="150"/>
    </row>
    <row r="192" spans="1:31" ht="15">
      <c r="A192" s="150"/>
      <c r="B192" s="150"/>
      <c r="C192" s="150"/>
      <c r="D192" s="150"/>
      <c r="E192" s="150"/>
      <c r="F192" s="150"/>
      <c r="G192" s="583"/>
      <c r="H192" s="583"/>
      <c r="I192" s="583"/>
      <c r="J192" s="1767"/>
      <c r="K192" s="1767"/>
      <c r="L192" s="150"/>
      <c r="M192" s="583"/>
      <c r="N192" s="583"/>
      <c r="O192" s="150"/>
      <c r="P192" s="150"/>
      <c r="Q192" s="150"/>
      <c r="R192" s="150"/>
      <c r="S192" s="150"/>
      <c r="T192" s="150"/>
      <c r="U192" s="150"/>
      <c r="V192" s="150"/>
      <c r="W192" s="150"/>
      <c r="X192" s="150"/>
      <c r="Y192" s="150"/>
      <c r="Z192" s="150"/>
      <c r="AA192" s="150"/>
      <c r="AB192" s="150"/>
      <c r="AC192" s="150"/>
      <c r="AD192" s="150"/>
      <c r="AE192" s="150"/>
    </row>
    <row r="193" spans="1:31" ht="15">
      <c r="A193" s="150"/>
      <c r="B193" s="150"/>
      <c r="C193" s="150"/>
      <c r="D193" s="150"/>
      <c r="E193" s="150"/>
      <c r="F193" s="150"/>
      <c r="G193" s="583"/>
      <c r="H193" s="583"/>
      <c r="I193" s="583"/>
      <c r="J193" s="1767"/>
      <c r="K193" s="1767"/>
      <c r="L193" s="150"/>
      <c r="M193" s="583"/>
      <c r="N193" s="583"/>
      <c r="O193" s="150"/>
      <c r="P193" s="150"/>
      <c r="Q193" s="150"/>
      <c r="R193" s="150"/>
      <c r="S193" s="150"/>
      <c r="T193" s="150"/>
      <c r="U193" s="150"/>
      <c r="V193" s="150"/>
      <c r="W193" s="150"/>
      <c r="X193" s="150"/>
      <c r="Y193" s="150"/>
      <c r="Z193" s="150"/>
      <c r="AA193" s="150"/>
      <c r="AB193" s="150"/>
      <c r="AC193" s="150"/>
      <c r="AD193" s="150"/>
      <c r="AE193" s="150"/>
    </row>
    <row r="194" spans="1:31" ht="15">
      <c r="A194" s="150"/>
      <c r="B194" s="150"/>
      <c r="C194" s="150"/>
      <c r="D194" s="150"/>
      <c r="E194" s="150"/>
      <c r="F194" s="150"/>
      <c r="G194" s="583"/>
      <c r="H194" s="583"/>
      <c r="I194" s="583"/>
      <c r="J194" s="1767"/>
      <c r="K194" s="1767"/>
      <c r="L194" s="150"/>
      <c r="M194" s="583"/>
      <c r="N194" s="583"/>
      <c r="O194" s="150"/>
      <c r="P194" s="150"/>
      <c r="Q194" s="150"/>
      <c r="R194" s="150"/>
      <c r="S194" s="150"/>
      <c r="T194" s="150"/>
      <c r="U194" s="150"/>
      <c r="V194" s="150"/>
      <c r="W194" s="150"/>
      <c r="X194" s="150"/>
      <c r="Y194" s="150"/>
      <c r="Z194" s="150"/>
      <c r="AA194" s="150"/>
      <c r="AB194" s="150"/>
      <c r="AC194" s="150"/>
      <c r="AD194" s="150"/>
      <c r="AE194" s="150"/>
    </row>
    <row r="195" spans="1:31" ht="15">
      <c r="A195" s="150"/>
      <c r="B195" s="150"/>
      <c r="C195" s="150"/>
      <c r="D195" s="150"/>
      <c r="E195" s="150"/>
      <c r="F195" s="150"/>
      <c r="G195" s="583"/>
      <c r="H195" s="583"/>
      <c r="I195" s="583"/>
      <c r="J195" s="1767"/>
      <c r="K195" s="1767"/>
      <c r="L195" s="150"/>
      <c r="M195" s="583"/>
      <c r="N195" s="583"/>
      <c r="O195" s="150"/>
      <c r="P195" s="150"/>
      <c r="Q195" s="150"/>
      <c r="R195" s="150"/>
      <c r="S195" s="150"/>
      <c r="T195" s="150"/>
      <c r="U195" s="150"/>
      <c r="V195" s="150"/>
      <c r="W195" s="150"/>
      <c r="X195" s="150"/>
      <c r="Y195" s="150"/>
      <c r="Z195" s="150"/>
      <c r="AA195" s="150"/>
      <c r="AB195" s="150"/>
      <c r="AC195" s="150"/>
      <c r="AD195" s="150"/>
      <c r="AE195" s="150"/>
    </row>
    <row r="196" spans="1:31" ht="15">
      <c r="A196" s="150"/>
      <c r="B196" s="150"/>
      <c r="C196" s="150"/>
      <c r="D196" s="150"/>
      <c r="E196" s="150"/>
      <c r="F196" s="150"/>
      <c r="G196" s="583"/>
      <c r="H196" s="583"/>
      <c r="I196" s="583"/>
      <c r="J196" s="1767"/>
      <c r="K196" s="1767"/>
      <c r="L196" s="150"/>
      <c r="M196" s="583"/>
      <c r="N196" s="583"/>
      <c r="O196" s="150"/>
      <c r="P196" s="150"/>
      <c r="Q196" s="150"/>
      <c r="R196" s="150"/>
      <c r="S196" s="150"/>
      <c r="T196" s="150"/>
      <c r="U196" s="150"/>
      <c r="V196" s="150"/>
      <c r="W196" s="150"/>
      <c r="X196" s="150"/>
      <c r="Y196" s="150"/>
      <c r="Z196" s="150"/>
      <c r="AA196" s="150"/>
      <c r="AB196" s="150"/>
      <c r="AC196" s="150"/>
      <c r="AD196" s="150"/>
      <c r="AE196" s="150"/>
    </row>
    <row r="197" spans="1:31" ht="15">
      <c r="A197" s="150"/>
      <c r="B197" s="150"/>
      <c r="C197" s="150"/>
      <c r="D197" s="150"/>
      <c r="E197" s="150"/>
      <c r="F197" s="150"/>
      <c r="G197" s="583"/>
      <c r="H197" s="583"/>
      <c r="I197" s="583"/>
      <c r="J197" s="1767"/>
      <c r="K197" s="1767"/>
      <c r="L197" s="150"/>
      <c r="M197" s="583"/>
      <c r="N197" s="583"/>
      <c r="O197" s="150"/>
      <c r="P197" s="150"/>
      <c r="Q197" s="150"/>
      <c r="R197" s="150"/>
      <c r="S197" s="150"/>
      <c r="T197" s="150"/>
      <c r="U197" s="150"/>
      <c r="V197" s="150"/>
      <c r="W197" s="150"/>
      <c r="X197" s="150"/>
      <c r="Y197" s="150"/>
      <c r="Z197" s="150"/>
      <c r="AA197" s="150"/>
      <c r="AB197" s="150"/>
      <c r="AC197" s="150"/>
      <c r="AD197" s="150"/>
      <c r="AE197" s="150"/>
    </row>
    <row r="198" spans="1:31" ht="15">
      <c r="A198" s="150"/>
      <c r="B198" s="150"/>
      <c r="C198" s="150"/>
      <c r="D198" s="150"/>
      <c r="E198" s="150"/>
      <c r="F198" s="150"/>
      <c r="G198" s="583"/>
      <c r="H198" s="583"/>
      <c r="I198" s="583"/>
      <c r="J198" s="1767"/>
      <c r="K198" s="1767"/>
      <c r="L198" s="150"/>
      <c r="M198" s="583"/>
      <c r="N198" s="583"/>
      <c r="O198" s="150"/>
      <c r="P198" s="150"/>
      <c r="Q198" s="150"/>
      <c r="R198" s="150"/>
      <c r="S198" s="150"/>
      <c r="T198" s="150"/>
      <c r="U198" s="150"/>
      <c r="V198" s="150"/>
      <c r="W198" s="150"/>
      <c r="X198" s="150"/>
      <c r="Y198" s="150"/>
      <c r="Z198" s="150"/>
      <c r="AA198" s="150"/>
      <c r="AB198" s="150"/>
      <c r="AC198" s="150"/>
      <c r="AD198" s="150"/>
      <c r="AE198" s="150"/>
    </row>
    <row r="199" spans="1:31" ht="15">
      <c r="A199" s="150"/>
      <c r="B199" s="150"/>
      <c r="C199" s="150"/>
      <c r="D199" s="150"/>
      <c r="E199" s="150"/>
      <c r="F199" s="150"/>
      <c r="G199" s="583"/>
      <c r="H199" s="583"/>
      <c r="I199" s="583"/>
      <c r="J199" s="1767"/>
      <c r="K199" s="1767"/>
      <c r="L199" s="150"/>
      <c r="M199" s="583"/>
      <c r="N199" s="583"/>
      <c r="O199" s="150"/>
      <c r="P199" s="150"/>
      <c r="Q199" s="150"/>
      <c r="R199" s="150"/>
      <c r="S199" s="150"/>
      <c r="T199" s="150"/>
      <c r="U199" s="150"/>
      <c r="V199" s="150"/>
      <c r="W199" s="150"/>
      <c r="X199" s="150"/>
      <c r="Y199" s="150"/>
      <c r="Z199" s="150"/>
      <c r="AA199" s="150"/>
      <c r="AB199" s="150"/>
      <c r="AC199" s="150"/>
      <c r="AD199" s="150"/>
      <c r="AE199" s="150"/>
    </row>
    <row r="200" spans="1:31" ht="15">
      <c r="A200" s="150"/>
      <c r="B200" s="150"/>
      <c r="C200" s="150"/>
      <c r="D200" s="150"/>
      <c r="E200" s="150"/>
      <c r="F200" s="150"/>
      <c r="G200" s="583"/>
      <c r="H200" s="583"/>
      <c r="I200" s="583"/>
      <c r="J200" s="1767"/>
      <c r="K200" s="1767"/>
      <c r="L200" s="150"/>
      <c r="M200" s="583"/>
      <c r="N200" s="583"/>
      <c r="O200" s="150"/>
      <c r="P200" s="150"/>
      <c r="Q200" s="150"/>
      <c r="R200" s="150"/>
      <c r="S200" s="150"/>
      <c r="T200" s="150"/>
      <c r="U200" s="150"/>
      <c r="V200" s="150"/>
      <c r="W200" s="150"/>
      <c r="X200" s="150"/>
      <c r="Y200" s="150"/>
      <c r="Z200" s="150"/>
      <c r="AA200" s="150"/>
      <c r="AB200" s="150"/>
      <c r="AC200" s="150"/>
      <c r="AD200" s="150"/>
      <c r="AE200" s="150"/>
    </row>
    <row r="201" spans="1:31" ht="15">
      <c r="A201" s="150"/>
      <c r="B201" s="150"/>
      <c r="C201" s="150"/>
      <c r="D201" s="150"/>
      <c r="E201" s="150"/>
      <c r="F201" s="150"/>
      <c r="G201" s="583"/>
      <c r="H201" s="583"/>
      <c r="I201" s="583"/>
      <c r="J201" s="1767"/>
      <c r="K201" s="1767"/>
      <c r="L201" s="150"/>
      <c r="M201" s="583"/>
      <c r="N201" s="583"/>
      <c r="O201" s="150"/>
      <c r="P201" s="150"/>
      <c r="Q201" s="150"/>
      <c r="R201" s="150"/>
      <c r="S201" s="150"/>
      <c r="T201" s="150"/>
      <c r="U201" s="150"/>
      <c r="V201" s="150"/>
      <c r="W201" s="150"/>
      <c r="X201" s="150"/>
      <c r="Y201" s="150"/>
      <c r="Z201" s="150"/>
      <c r="AA201" s="150"/>
      <c r="AB201" s="150"/>
      <c r="AC201" s="150"/>
      <c r="AD201" s="150"/>
      <c r="AE201" s="150"/>
    </row>
    <row r="202" spans="1:31" ht="15">
      <c r="A202" s="150"/>
      <c r="B202" s="150"/>
      <c r="C202" s="150"/>
      <c r="D202" s="150"/>
      <c r="E202" s="150"/>
      <c r="F202" s="150"/>
      <c r="G202" s="583"/>
      <c r="H202" s="583"/>
      <c r="I202" s="583"/>
      <c r="J202" s="1767"/>
      <c r="K202" s="1767"/>
      <c r="L202" s="150"/>
      <c r="M202" s="583"/>
      <c r="N202" s="583"/>
      <c r="O202" s="150"/>
      <c r="P202" s="150"/>
      <c r="Q202" s="150"/>
      <c r="R202" s="150"/>
      <c r="S202" s="150"/>
      <c r="T202" s="150"/>
      <c r="U202" s="150"/>
      <c r="V202" s="150"/>
      <c r="W202" s="150"/>
      <c r="X202" s="150"/>
      <c r="Y202" s="150"/>
      <c r="Z202" s="150"/>
      <c r="AA202" s="150"/>
      <c r="AB202" s="150"/>
      <c r="AC202" s="150"/>
      <c r="AD202" s="150"/>
      <c r="AE202" s="150"/>
    </row>
    <row r="203" spans="1:31" ht="15">
      <c r="A203" s="150"/>
      <c r="B203" s="150"/>
      <c r="C203" s="150"/>
      <c r="D203" s="150"/>
      <c r="E203" s="150"/>
      <c r="F203" s="150"/>
      <c r="G203" s="583"/>
      <c r="H203" s="583"/>
      <c r="I203" s="583"/>
      <c r="J203" s="1767"/>
      <c r="K203" s="1767"/>
      <c r="L203" s="150"/>
      <c r="M203" s="583"/>
      <c r="N203" s="583"/>
      <c r="O203" s="150"/>
      <c r="P203" s="150"/>
      <c r="Q203" s="150"/>
      <c r="R203" s="150"/>
      <c r="S203" s="150"/>
      <c r="T203" s="150"/>
      <c r="U203" s="150"/>
      <c r="V203" s="150"/>
      <c r="W203" s="150"/>
      <c r="X203" s="150"/>
      <c r="Y203" s="150"/>
      <c r="Z203" s="150"/>
      <c r="AA203" s="150"/>
      <c r="AB203" s="150"/>
      <c r="AC203" s="150"/>
      <c r="AD203" s="150"/>
      <c r="AE203" s="150"/>
    </row>
    <row r="204" spans="1:31" ht="15">
      <c r="A204" s="150"/>
      <c r="B204" s="150"/>
      <c r="C204" s="150"/>
      <c r="D204" s="150"/>
      <c r="E204" s="150"/>
      <c r="F204" s="150"/>
      <c r="G204" s="583"/>
      <c r="H204" s="583"/>
      <c r="I204" s="583"/>
      <c r="J204" s="1767"/>
      <c r="K204" s="1767"/>
      <c r="L204" s="150"/>
      <c r="M204" s="583"/>
      <c r="N204" s="583"/>
      <c r="O204" s="150"/>
      <c r="P204" s="150"/>
      <c r="Q204" s="150"/>
      <c r="R204" s="150"/>
      <c r="S204" s="150"/>
      <c r="T204" s="150"/>
      <c r="U204" s="150"/>
      <c r="V204" s="150"/>
      <c r="W204" s="150"/>
      <c r="X204" s="150"/>
      <c r="Y204" s="150"/>
      <c r="Z204" s="150"/>
      <c r="AA204" s="150"/>
      <c r="AB204" s="150"/>
      <c r="AC204" s="150"/>
      <c r="AD204" s="150"/>
      <c r="AE204" s="150"/>
    </row>
    <row r="205" spans="1:31" ht="15">
      <c r="A205" s="150"/>
      <c r="B205" s="150"/>
      <c r="C205" s="150"/>
      <c r="D205" s="150"/>
      <c r="E205" s="150"/>
      <c r="F205" s="150"/>
      <c r="G205" s="583"/>
      <c r="H205" s="583"/>
      <c r="I205" s="583"/>
      <c r="J205" s="1767"/>
      <c r="K205" s="1767"/>
      <c r="L205" s="150"/>
      <c r="M205" s="583"/>
      <c r="N205" s="583"/>
      <c r="O205" s="150"/>
      <c r="P205" s="150"/>
      <c r="Q205" s="150"/>
      <c r="R205" s="150"/>
      <c r="S205" s="150"/>
      <c r="T205" s="150"/>
      <c r="U205" s="150"/>
      <c r="V205" s="150"/>
      <c r="W205" s="150"/>
      <c r="X205" s="150"/>
      <c r="Y205" s="150"/>
      <c r="Z205" s="150"/>
      <c r="AA205" s="150"/>
      <c r="AB205" s="150"/>
      <c r="AC205" s="150"/>
      <c r="AD205" s="150"/>
      <c r="AE205" s="150"/>
    </row>
    <row r="206" spans="1:31" ht="15">
      <c r="A206" s="150"/>
      <c r="B206" s="150"/>
      <c r="C206" s="150"/>
      <c r="D206" s="150"/>
      <c r="E206" s="150"/>
      <c r="F206" s="150"/>
      <c r="G206" s="583"/>
      <c r="H206" s="583"/>
      <c r="I206" s="583"/>
      <c r="J206" s="1767"/>
      <c r="K206" s="1767"/>
      <c r="L206" s="150"/>
      <c r="M206" s="583"/>
      <c r="N206" s="583"/>
      <c r="O206" s="150"/>
      <c r="P206" s="150"/>
      <c r="Q206" s="150"/>
      <c r="R206" s="150"/>
      <c r="S206" s="150"/>
      <c r="T206" s="150"/>
      <c r="U206" s="150"/>
      <c r="V206" s="150"/>
      <c r="W206" s="150"/>
      <c r="X206" s="150"/>
      <c r="Y206" s="150"/>
      <c r="Z206" s="150"/>
      <c r="AA206" s="150"/>
      <c r="AB206" s="150"/>
      <c r="AC206" s="150"/>
      <c r="AD206" s="150"/>
      <c r="AE206" s="150"/>
    </row>
    <row r="207" spans="1:31" ht="15">
      <c r="A207" s="150"/>
      <c r="B207" s="150"/>
      <c r="C207" s="150"/>
      <c r="D207" s="150"/>
      <c r="E207" s="150"/>
      <c r="F207" s="150"/>
      <c r="G207" s="583"/>
      <c r="H207" s="583"/>
      <c r="I207" s="583"/>
      <c r="J207" s="1767"/>
      <c r="K207" s="1767"/>
      <c r="L207" s="150"/>
      <c r="M207" s="583"/>
      <c r="N207" s="583"/>
      <c r="O207" s="150"/>
      <c r="P207" s="150"/>
      <c r="Q207" s="150"/>
      <c r="R207" s="150"/>
      <c r="S207" s="150"/>
      <c r="T207" s="150"/>
      <c r="U207" s="150"/>
      <c r="V207" s="150"/>
      <c r="W207" s="150"/>
      <c r="X207" s="150"/>
      <c r="Y207" s="150"/>
      <c r="Z207" s="150"/>
      <c r="AA207" s="150"/>
      <c r="AB207" s="150"/>
      <c r="AC207" s="150"/>
      <c r="AD207" s="150"/>
      <c r="AE207" s="150"/>
    </row>
    <row r="208" spans="1:31" ht="15">
      <c r="A208" s="150"/>
      <c r="B208" s="150"/>
      <c r="C208" s="150"/>
      <c r="D208" s="150"/>
      <c r="E208" s="150"/>
      <c r="F208" s="150"/>
      <c r="G208" s="583"/>
      <c r="H208" s="583"/>
      <c r="I208" s="583"/>
      <c r="J208" s="1767"/>
      <c r="K208" s="1767"/>
      <c r="L208" s="150"/>
      <c r="M208" s="583"/>
      <c r="N208" s="583"/>
      <c r="O208" s="150"/>
      <c r="P208" s="150"/>
      <c r="Q208" s="150"/>
      <c r="R208" s="150"/>
      <c r="S208" s="150"/>
      <c r="T208" s="150"/>
      <c r="U208" s="150"/>
      <c r="V208" s="150"/>
      <c r="W208" s="150"/>
      <c r="X208" s="150"/>
      <c r="Y208" s="150"/>
      <c r="Z208" s="150"/>
      <c r="AA208" s="150"/>
      <c r="AB208" s="150"/>
      <c r="AC208" s="150"/>
      <c r="AD208" s="150"/>
      <c r="AE208" s="150"/>
    </row>
    <row r="209" spans="1:31" ht="15">
      <c r="A209" s="150"/>
      <c r="B209" s="150"/>
      <c r="C209" s="150"/>
      <c r="D209" s="150"/>
      <c r="E209" s="150"/>
      <c r="F209" s="150"/>
      <c r="G209" s="583"/>
      <c r="H209" s="583"/>
      <c r="I209" s="583"/>
      <c r="J209" s="1767"/>
      <c r="K209" s="1767"/>
      <c r="L209" s="150"/>
      <c r="M209" s="583"/>
      <c r="N209" s="583"/>
      <c r="O209" s="150"/>
      <c r="P209" s="150"/>
      <c r="Q209" s="150"/>
      <c r="R209" s="150"/>
      <c r="S209" s="150"/>
      <c r="T209" s="150"/>
      <c r="U209" s="150"/>
      <c r="V209" s="150"/>
      <c r="W209" s="150"/>
      <c r="X209" s="150"/>
      <c r="Y209" s="150"/>
      <c r="Z209" s="150"/>
      <c r="AA209" s="150"/>
      <c r="AB209" s="150"/>
      <c r="AC209" s="150"/>
      <c r="AD209" s="150"/>
      <c r="AE209" s="150"/>
    </row>
    <row r="210" spans="1:31" ht="15">
      <c r="A210" s="150"/>
      <c r="B210" s="150"/>
      <c r="C210" s="150"/>
      <c r="D210" s="150"/>
      <c r="E210" s="150"/>
      <c r="F210" s="150"/>
      <c r="G210" s="583"/>
      <c r="H210" s="583"/>
      <c r="I210" s="583"/>
      <c r="J210" s="1767"/>
      <c r="K210" s="1767"/>
      <c r="L210" s="150"/>
      <c r="M210" s="583"/>
      <c r="N210" s="583"/>
      <c r="O210" s="150"/>
      <c r="P210" s="150"/>
      <c r="Q210" s="150"/>
      <c r="R210" s="150"/>
      <c r="S210" s="150"/>
      <c r="T210" s="150"/>
      <c r="U210" s="150"/>
      <c r="V210" s="150"/>
      <c r="W210" s="150"/>
      <c r="X210" s="150"/>
      <c r="Y210" s="150"/>
      <c r="Z210" s="150"/>
      <c r="AA210" s="150"/>
      <c r="AB210" s="150"/>
      <c r="AC210" s="150"/>
      <c r="AD210" s="150"/>
      <c r="AE210" s="150"/>
    </row>
    <row r="211" spans="1:31" ht="15">
      <c r="A211" s="150"/>
      <c r="B211" s="150"/>
      <c r="C211" s="150"/>
      <c r="D211" s="150"/>
      <c r="E211" s="150"/>
      <c r="F211" s="150"/>
      <c r="G211" s="583"/>
      <c r="H211" s="583"/>
      <c r="I211" s="583"/>
      <c r="J211" s="1767"/>
      <c r="K211" s="1767"/>
      <c r="L211" s="150"/>
      <c r="M211" s="583"/>
      <c r="N211" s="583"/>
      <c r="O211" s="150"/>
      <c r="P211" s="150"/>
      <c r="Q211" s="150"/>
      <c r="R211" s="150"/>
      <c r="S211" s="150"/>
      <c r="T211" s="150"/>
      <c r="U211" s="150"/>
      <c r="V211" s="150"/>
      <c r="W211" s="150"/>
      <c r="X211" s="150"/>
      <c r="Y211" s="150"/>
      <c r="Z211" s="150"/>
      <c r="AA211" s="150"/>
      <c r="AB211" s="150"/>
      <c r="AC211" s="150"/>
      <c r="AD211" s="150"/>
      <c r="AE211" s="150"/>
    </row>
    <row r="212" spans="1:31" ht="15">
      <c r="A212" s="150"/>
      <c r="B212" s="150"/>
      <c r="C212" s="150"/>
      <c r="D212" s="150"/>
      <c r="E212" s="150"/>
      <c r="F212" s="150"/>
      <c r="G212" s="583"/>
      <c r="H212" s="583"/>
      <c r="I212" s="583"/>
      <c r="J212" s="1767"/>
      <c r="K212" s="1767"/>
      <c r="L212" s="150"/>
      <c r="M212" s="583"/>
      <c r="N212" s="583"/>
      <c r="O212" s="150"/>
      <c r="P212" s="150"/>
      <c r="Q212" s="150"/>
      <c r="R212" s="150"/>
      <c r="S212" s="150"/>
      <c r="T212" s="150"/>
      <c r="U212" s="150"/>
      <c r="V212" s="150"/>
      <c r="W212" s="150"/>
      <c r="X212" s="150"/>
      <c r="Y212" s="150"/>
      <c r="Z212" s="150"/>
      <c r="AA212" s="150"/>
      <c r="AB212" s="150"/>
      <c r="AC212" s="150"/>
      <c r="AD212" s="150"/>
      <c r="AE212" s="150"/>
    </row>
    <row r="213" spans="1:31" ht="15">
      <c r="A213" s="150"/>
      <c r="B213" s="150"/>
      <c r="C213" s="150"/>
      <c r="D213" s="150"/>
      <c r="E213" s="150"/>
      <c r="F213" s="150"/>
      <c r="G213" s="583"/>
      <c r="H213" s="583"/>
      <c r="I213" s="583"/>
      <c r="J213" s="1767"/>
      <c r="K213" s="1767"/>
      <c r="L213" s="150"/>
      <c r="M213" s="583"/>
      <c r="N213" s="583"/>
      <c r="O213" s="150"/>
      <c r="P213" s="150"/>
      <c r="Q213" s="150"/>
      <c r="R213" s="150"/>
      <c r="S213" s="150"/>
      <c r="T213" s="150"/>
      <c r="U213" s="150"/>
      <c r="V213" s="150"/>
      <c r="W213" s="150"/>
      <c r="X213" s="150"/>
      <c r="Y213" s="150"/>
      <c r="Z213" s="150"/>
      <c r="AA213" s="150"/>
      <c r="AB213" s="150"/>
      <c r="AC213" s="150"/>
      <c r="AD213" s="150"/>
      <c r="AE213" s="150"/>
    </row>
    <row r="214" spans="1:31" ht="15">
      <c r="A214" s="150"/>
      <c r="B214" s="150"/>
      <c r="C214" s="150"/>
      <c r="D214" s="150"/>
      <c r="E214" s="150"/>
      <c r="F214" s="150"/>
      <c r="G214" s="583"/>
      <c r="H214" s="583"/>
      <c r="I214" s="583"/>
      <c r="J214" s="1767"/>
      <c r="K214" s="1767"/>
      <c r="L214" s="150"/>
      <c r="M214" s="583"/>
      <c r="N214" s="583"/>
      <c r="O214" s="150"/>
      <c r="P214" s="150"/>
      <c r="Q214" s="150"/>
      <c r="R214" s="150"/>
      <c r="S214" s="150"/>
      <c r="T214" s="150"/>
      <c r="U214" s="150"/>
      <c r="V214" s="150"/>
      <c r="W214" s="150"/>
      <c r="X214" s="150"/>
      <c r="Y214" s="150"/>
      <c r="Z214" s="150"/>
      <c r="AA214" s="150"/>
      <c r="AB214" s="150"/>
      <c r="AC214" s="150"/>
      <c r="AD214" s="150"/>
      <c r="AE214" s="150"/>
    </row>
    <row r="215" spans="1:31" ht="15">
      <c r="A215" s="150"/>
      <c r="B215" s="150"/>
      <c r="C215" s="150"/>
      <c r="D215" s="150"/>
      <c r="E215" s="150"/>
      <c r="F215" s="150"/>
      <c r="G215" s="583"/>
      <c r="H215" s="583"/>
      <c r="I215" s="583"/>
      <c r="J215" s="1767"/>
      <c r="K215" s="1767"/>
      <c r="L215" s="150"/>
      <c r="M215" s="583"/>
      <c r="N215" s="583"/>
      <c r="O215" s="150"/>
      <c r="P215" s="150"/>
      <c r="Q215" s="150"/>
      <c r="R215" s="150"/>
      <c r="S215" s="150"/>
      <c r="T215" s="150"/>
      <c r="U215" s="150"/>
      <c r="V215" s="150"/>
      <c r="W215" s="150"/>
      <c r="X215" s="150"/>
      <c r="Y215" s="150"/>
      <c r="Z215" s="150"/>
      <c r="AA215" s="150"/>
      <c r="AB215" s="150"/>
      <c r="AC215" s="150"/>
      <c r="AD215" s="150"/>
      <c r="AE215" s="150"/>
    </row>
    <row r="216" spans="1:31" ht="15">
      <c r="A216" s="150"/>
      <c r="B216" s="150"/>
      <c r="C216" s="150"/>
      <c r="D216" s="150"/>
      <c r="E216" s="150"/>
      <c r="F216" s="150"/>
      <c r="G216" s="583"/>
      <c r="H216" s="583"/>
      <c r="I216" s="583"/>
      <c r="J216" s="1767"/>
      <c r="K216" s="1767"/>
      <c r="L216" s="150"/>
      <c r="M216" s="583"/>
      <c r="N216" s="583"/>
      <c r="O216" s="150"/>
      <c r="P216" s="150"/>
      <c r="Q216" s="150"/>
      <c r="R216" s="150"/>
      <c r="S216" s="150"/>
      <c r="T216" s="150"/>
      <c r="U216" s="150"/>
      <c r="V216" s="150"/>
      <c r="W216" s="150"/>
      <c r="X216" s="150"/>
      <c r="Y216" s="150"/>
      <c r="Z216" s="150"/>
      <c r="AA216" s="150"/>
      <c r="AB216" s="150"/>
      <c r="AC216" s="150"/>
      <c r="AD216" s="150"/>
      <c r="AE216" s="150"/>
    </row>
    <row r="217" spans="1:31" ht="15">
      <c r="A217" s="150"/>
      <c r="B217" s="150"/>
      <c r="C217" s="150"/>
      <c r="D217" s="150"/>
      <c r="E217" s="150"/>
      <c r="F217" s="150"/>
      <c r="G217" s="583"/>
      <c r="H217" s="583"/>
      <c r="I217" s="583"/>
      <c r="J217" s="1767"/>
      <c r="K217" s="1767"/>
      <c r="L217" s="150"/>
      <c r="M217" s="583"/>
      <c r="N217" s="583"/>
      <c r="O217" s="150"/>
      <c r="P217" s="150"/>
      <c r="Q217" s="150"/>
      <c r="R217" s="150"/>
      <c r="S217" s="150"/>
      <c r="T217" s="150"/>
      <c r="U217" s="150"/>
      <c r="V217" s="150"/>
      <c r="W217" s="150"/>
      <c r="X217" s="150"/>
      <c r="Y217" s="150"/>
      <c r="Z217" s="150"/>
      <c r="AA217" s="150"/>
      <c r="AB217" s="150"/>
      <c r="AC217" s="150"/>
      <c r="AD217" s="150"/>
      <c r="AE217" s="150"/>
    </row>
    <row r="218" spans="1:31" ht="15">
      <c r="A218" s="150"/>
      <c r="B218" s="150"/>
      <c r="C218" s="150"/>
      <c r="D218" s="150"/>
      <c r="E218" s="150"/>
      <c r="F218" s="150"/>
      <c r="G218" s="583"/>
      <c r="H218" s="583"/>
      <c r="I218" s="583"/>
      <c r="J218" s="1767"/>
      <c r="K218" s="1767"/>
      <c r="L218" s="150"/>
      <c r="M218" s="583"/>
      <c r="N218" s="583"/>
      <c r="O218" s="150"/>
      <c r="P218" s="150"/>
      <c r="Q218" s="150"/>
      <c r="R218" s="150"/>
      <c r="S218" s="150"/>
      <c r="T218" s="150"/>
      <c r="U218" s="150"/>
      <c r="V218" s="150"/>
      <c r="W218" s="150"/>
      <c r="X218" s="150"/>
      <c r="Y218" s="150"/>
      <c r="Z218" s="150"/>
      <c r="AA218" s="150"/>
      <c r="AB218" s="150"/>
      <c r="AC218" s="150"/>
      <c r="AD218" s="150"/>
      <c r="AE218" s="150"/>
    </row>
    <row r="219" spans="1:31" ht="15">
      <c r="A219" s="150"/>
      <c r="B219" s="150"/>
      <c r="C219" s="150"/>
      <c r="D219" s="150"/>
      <c r="E219" s="150"/>
      <c r="F219" s="150"/>
      <c r="G219" s="583"/>
      <c r="H219" s="583"/>
      <c r="I219" s="583"/>
      <c r="J219" s="1767"/>
      <c r="K219" s="1767"/>
      <c r="L219" s="150"/>
      <c r="M219" s="583"/>
      <c r="N219" s="583"/>
      <c r="O219" s="150"/>
      <c r="P219" s="150"/>
      <c r="Q219" s="150"/>
      <c r="R219" s="150"/>
      <c r="S219" s="150"/>
      <c r="T219" s="150"/>
      <c r="U219" s="150"/>
      <c r="V219" s="150"/>
      <c r="W219" s="150"/>
      <c r="X219" s="150"/>
      <c r="Y219" s="150"/>
      <c r="Z219" s="150"/>
      <c r="AA219" s="150"/>
      <c r="AB219" s="150"/>
      <c r="AC219" s="150"/>
      <c r="AD219" s="150"/>
      <c r="AE219" s="150"/>
    </row>
    <row r="220" spans="1:31" ht="15">
      <c r="A220" s="150"/>
      <c r="B220" s="150"/>
      <c r="C220" s="150"/>
      <c r="D220" s="150"/>
      <c r="E220" s="150"/>
      <c r="F220" s="150"/>
      <c r="G220" s="583"/>
      <c r="H220" s="583"/>
      <c r="I220" s="583"/>
      <c r="J220" s="1767"/>
      <c r="K220" s="1767"/>
      <c r="L220" s="150"/>
      <c r="M220" s="583"/>
      <c r="N220" s="583"/>
      <c r="O220" s="150"/>
      <c r="P220" s="150"/>
      <c r="Q220" s="150"/>
      <c r="R220" s="150"/>
      <c r="S220" s="150"/>
      <c r="T220" s="150"/>
      <c r="U220" s="150"/>
      <c r="V220" s="150"/>
      <c r="W220" s="150"/>
      <c r="X220" s="150"/>
      <c r="Y220" s="150"/>
      <c r="Z220" s="150"/>
      <c r="AA220" s="150"/>
      <c r="AB220" s="150"/>
      <c r="AC220" s="150"/>
      <c r="AD220" s="150"/>
      <c r="AE220" s="150"/>
    </row>
    <row r="221" spans="1:31" ht="15">
      <c r="A221" s="150"/>
      <c r="B221" s="150"/>
      <c r="C221" s="150"/>
      <c r="D221" s="150"/>
      <c r="E221" s="150"/>
      <c r="F221" s="150"/>
      <c r="G221" s="583"/>
      <c r="H221" s="583"/>
      <c r="I221" s="583"/>
      <c r="J221" s="1767"/>
      <c r="K221" s="1767"/>
      <c r="L221" s="150"/>
      <c r="M221" s="583"/>
      <c r="N221" s="583"/>
      <c r="O221" s="150"/>
      <c r="P221" s="150"/>
      <c r="Q221" s="150"/>
      <c r="R221" s="150"/>
      <c r="S221" s="150"/>
      <c r="T221" s="150"/>
      <c r="U221" s="150"/>
      <c r="V221" s="150"/>
      <c r="W221" s="150"/>
      <c r="X221" s="150"/>
      <c r="Y221" s="150"/>
      <c r="Z221" s="150"/>
      <c r="AA221" s="150"/>
      <c r="AB221" s="150"/>
      <c r="AC221" s="150"/>
      <c r="AD221" s="150"/>
      <c r="AE221" s="150"/>
    </row>
    <row r="222" spans="1:31" ht="15">
      <c r="A222" s="150"/>
      <c r="B222" s="150"/>
      <c r="C222" s="150"/>
      <c r="D222" s="150"/>
      <c r="E222" s="150"/>
      <c r="F222" s="150"/>
      <c r="G222" s="583"/>
      <c r="H222" s="583"/>
      <c r="I222" s="583"/>
      <c r="J222" s="1767"/>
      <c r="K222" s="1767"/>
      <c r="L222" s="150"/>
      <c r="M222" s="583"/>
      <c r="N222" s="583"/>
      <c r="O222" s="150"/>
      <c r="P222" s="150"/>
      <c r="Q222" s="150"/>
      <c r="R222" s="150"/>
      <c r="S222" s="150"/>
      <c r="T222" s="150"/>
      <c r="U222" s="150"/>
      <c r="V222" s="150"/>
      <c r="W222" s="150"/>
      <c r="X222" s="150"/>
      <c r="Y222" s="150"/>
      <c r="Z222" s="150"/>
      <c r="AA222" s="150"/>
      <c r="AB222" s="150"/>
      <c r="AC222" s="150"/>
      <c r="AD222" s="150"/>
      <c r="AE222" s="150"/>
    </row>
    <row r="223" spans="1:31" ht="15">
      <c r="A223" s="150"/>
      <c r="B223" s="150"/>
      <c r="C223" s="150"/>
      <c r="D223" s="150"/>
      <c r="E223" s="150"/>
      <c r="F223" s="150"/>
      <c r="G223" s="583"/>
      <c r="H223" s="583"/>
      <c r="I223" s="583"/>
      <c r="J223" s="1767"/>
      <c r="K223" s="1767"/>
      <c r="L223" s="150"/>
      <c r="M223" s="583"/>
      <c r="N223" s="583"/>
      <c r="O223" s="150"/>
      <c r="P223" s="150"/>
      <c r="Q223" s="150"/>
      <c r="R223" s="150"/>
      <c r="S223" s="150"/>
      <c r="T223" s="150"/>
      <c r="U223" s="150"/>
      <c r="V223" s="150"/>
      <c r="W223" s="150"/>
      <c r="X223" s="150"/>
      <c r="Y223" s="150"/>
      <c r="Z223" s="150"/>
      <c r="AA223" s="150"/>
      <c r="AB223" s="150"/>
      <c r="AC223" s="150"/>
      <c r="AD223" s="150"/>
      <c r="AE223" s="150"/>
    </row>
    <row r="224" spans="1:31" ht="15">
      <c r="A224" s="150"/>
      <c r="B224" s="150"/>
      <c r="C224" s="150"/>
      <c r="D224" s="150"/>
      <c r="E224" s="150"/>
      <c r="F224" s="150"/>
      <c r="G224" s="583"/>
      <c r="H224" s="583"/>
      <c r="I224" s="583"/>
      <c r="J224" s="1767"/>
      <c r="K224" s="1767"/>
      <c r="L224" s="150"/>
      <c r="M224" s="583"/>
      <c r="N224" s="583"/>
      <c r="O224" s="150"/>
      <c r="P224" s="150"/>
      <c r="Q224" s="150"/>
      <c r="R224" s="150"/>
      <c r="S224" s="150"/>
      <c r="T224" s="150"/>
      <c r="U224" s="150"/>
      <c r="V224" s="150"/>
      <c r="W224" s="150"/>
      <c r="X224" s="150"/>
      <c r="Y224" s="150"/>
      <c r="Z224" s="150"/>
      <c r="AA224" s="150"/>
      <c r="AB224" s="150"/>
      <c r="AC224" s="150"/>
      <c r="AD224" s="150"/>
      <c r="AE224" s="150"/>
    </row>
    <row r="225" spans="1:31" ht="15">
      <c r="A225" s="150"/>
      <c r="B225" s="150"/>
      <c r="C225" s="150"/>
      <c r="D225" s="150"/>
      <c r="E225" s="150"/>
      <c r="F225" s="150"/>
      <c r="G225" s="583"/>
      <c r="H225" s="583"/>
      <c r="I225" s="583"/>
      <c r="J225" s="1767"/>
      <c r="K225" s="1767"/>
      <c r="L225" s="150"/>
      <c r="M225" s="583"/>
      <c r="N225" s="583"/>
      <c r="O225" s="150"/>
      <c r="P225" s="150"/>
      <c r="Q225" s="150"/>
      <c r="R225" s="150"/>
      <c r="S225" s="150"/>
      <c r="T225" s="150"/>
      <c r="U225" s="150"/>
      <c r="V225" s="150"/>
      <c r="W225" s="150"/>
      <c r="X225" s="150"/>
      <c r="Y225" s="150"/>
      <c r="Z225" s="150"/>
      <c r="AA225" s="150"/>
      <c r="AB225" s="150"/>
      <c r="AC225" s="150"/>
      <c r="AD225" s="150"/>
      <c r="AE225" s="150"/>
    </row>
    <row r="226" spans="1:31" ht="15">
      <c r="A226" s="150"/>
      <c r="B226" s="150"/>
      <c r="C226" s="150"/>
      <c r="D226" s="150"/>
      <c r="E226" s="150"/>
      <c r="F226" s="150"/>
      <c r="G226" s="583"/>
      <c r="H226" s="583"/>
      <c r="I226" s="583"/>
      <c r="J226" s="1767"/>
      <c r="K226" s="1767"/>
      <c r="L226" s="150"/>
      <c r="M226" s="583"/>
      <c r="N226" s="583"/>
      <c r="O226" s="150"/>
      <c r="P226" s="150"/>
      <c r="Q226" s="150"/>
      <c r="R226" s="150"/>
      <c r="S226" s="150"/>
      <c r="T226" s="150"/>
      <c r="U226" s="150"/>
      <c r="V226" s="150"/>
      <c r="W226" s="150"/>
      <c r="X226" s="150"/>
      <c r="Y226" s="150"/>
      <c r="Z226" s="150"/>
      <c r="AA226" s="150"/>
      <c r="AB226" s="150"/>
      <c r="AC226" s="150"/>
      <c r="AD226" s="150"/>
      <c r="AE226" s="150"/>
    </row>
    <row r="227" spans="1:31" ht="15">
      <c r="A227" s="150"/>
      <c r="B227" s="150"/>
      <c r="C227" s="150"/>
      <c r="D227" s="150"/>
      <c r="E227" s="150"/>
      <c r="F227" s="150"/>
      <c r="G227" s="583"/>
      <c r="H227" s="583"/>
      <c r="I227" s="583"/>
      <c r="J227" s="1767"/>
      <c r="K227" s="1767"/>
      <c r="L227" s="150"/>
      <c r="M227" s="583"/>
      <c r="N227" s="583"/>
      <c r="O227" s="150"/>
      <c r="P227" s="150"/>
      <c r="Q227" s="150"/>
      <c r="R227" s="150"/>
      <c r="S227" s="150"/>
      <c r="T227" s="150"/>
      <c r="U227" s="150"/>
      <c r="V227" s="150"/>
      <c r="W227" s="150"/>
      <c r="X227" s="150"/>
      <c r="Y227" s="150"/>
      <c r="Z227" s="150"/>
      <c r="AA227" s="150"/>
      <c r="AB227" s="150"/>
      <c r="AC227" s="150"/>
      <c r="AD227" s="150"/>
      <c r="AE227" s="150"/>
    </row>
    <row r="228" spans="1:31" ht="15">
      <c r="A228" s="150"/>
      <c r="B228" s="150"/>
      <c r="C228" s="150"/>
      <c r="D228" s="150"/>
      <c r="E228" s="150"/>
      <c r="F228" s="150"/>
      <c r="G228" s="583"/>
      <c r="H228" s="583"/>
      <c r="I228" s="583"/>
      <c r="J228" s="1767"/>
      <c r="K228" s="1767"/>
      <c r="L228" s="150"/>
      <c r="M228" s="583"/>
      <c r="N228" s="583"/>
      <c r="O228" s="150"/>
      <c r="P228" s="150"/>
      <c r="Q228" s="150"/>
      <c r="R228" s="150"/>
      <c r="S228" s="150"/>
      <c r="T228" s="150"/>
      <c r="U228" s="150"/>
      <c r="V228" s="150"/>
      <c r="W228" s="150"/>
      <c r="X228" s="150"/>
      <c r="Y228" s="150"/>
      <c r="Z228" s="150"/>
      <c r="AA228" s="150"/>
      <c r="AB228" s="150"/>
      <c r="AC228" s="150"/>
      <c r="AD228" s="150"/>
      <c r="AE228" s="150"/>
    </row>
    <row r="229" spans="1:31" ht="15">
      <c r="A229" s="150"/>
      <c r="B229" s="150"/>
      <c r="C229" s="150"/>
      <c r="D229" s="150"/>
      <c r="E229" s="150"/>
      <c r="F229" s="150"/>
      <c r="G229" s="583"/>
      <c r="H229" s="583"/>
      <c r="I229" s="583"/>
      <c r="J229" s="1767"/>
      <c r="K229" s="1767"/>
      <c r="L229" s="150"/>
      <c r="M229" s="583"/>
      <c r="N229" s="583"/>
      <c r="O229" s="150"/>
      <c r="P229" s="150"/>
      <c r="Q229" s="150"/>
      <c r="R229" s="150"/>
      <c r="S229" s="150"/>
      <c r="T229" s="150"/>
      <c r="U229" s="150"/>
      <c r="V229" s="150"/>
      <c r="W229" s="150"/>
      <c r="X229" s="150"/>
      <c r="Y229" s="150"/>
      <c r="Z229" s="150"/>
      <c r="AA229" s="150"/>
      <c r="AB229" s="150"/>
      <c r="AC229" s="150"/>
      <c r="AD229" s="150"/>
      <c r="AE229" s="150"/>
    </row>
    <row r="230" spans="1:31" ht="15">
      <c r="A230" s="150"/>
      <c r="B230" s="150"/>
      <c r="C230" s="150"/>
      <c r="D230" s="150"/>
      <c r="E230" s="150"/>
      <c r="F230" s="150"/>
      <c r="G230" s="583"/>
      <c r="H230" s="583"/>
      <c r="I230" s="583"/>
      <c r="J230" s="1767"/>
      <c r="K230" s="1767"/>
      <c r="L230" s="150"/>
      <c r="M230" s="583"/>
      <c r="N230" s="583"/>
      <c r="O230" s="150"/>
      <c r="P230" s="150"/>
      <c r="Q230" s="150"/>
      <c r="R230" s="150"/>
      <c r="S230" s="150"/>
      <c r="T230" s="150"/>
      <c r="U230" s="150"/>
      <c r="V230" s="150"/>
      <c r="W230" s="150"/>
      <c r="X230" s="150"/>
      <c r="Y230" s="150"/>
      <c r="Z230" s="150"/>
      <c r="AA230" s="150"/>
      <c r="AB230" s="150"/>
      <c r="AC230" s="150"/>
      <c r="AD230" s="150"/>
      <c r="AE230" s="150"/>
    </row>
    <row r="231" spans="1:31" ht="15">
      <c r="A231" s="150"/>
      <c r="B231" s="150"/>
      <c r="C231" s="150"/>
      <c r="D231" s="150"/>
      <c r="E231" s="150"/>
      <c r="F231" s="150"/>
      <c r="G231" s="583"/>
      <c r="H231" s="583"/>
      <c r="I231" s="583"/>
      <c r="J231" s="1767"/>
      <c r="K231" s="1767"/>
      <c r="L231" s="150"/>
      <c r="M231" s="583"/>
      <c r="N231" s="583"/>
      <c r="O231" s="150"/>
      <c r="P231" s="150"/>
      <c r="Q231" s="150"/>
      <c r="R231" s="150"/>
      <c r="S231" s="150"/>
      <c r="T231" s="150"/>
      <c r="U231" s="150"/>
      <c r="V231" s="150"/>
      <c r="W231" s="150"/>
      <c r="X231" s="150"/>
      <c r="Y231" s="150"/>
      <c r="Z231" s="150"/>
      <c r="AA231" s="150"/>
      <c r="AB231" s="150"/>
      <c r="AC231" s="150"/>
      <c r="AD231" s="150"/>
      <c r="AE231" s="150"/>
    </row>
    <row r="232" spans="1:31" ht="15">
      <c r="A232" s="150"/>
      <c r="B232" s="150"/>
      <c r="C232" s="150"/>
      <c r="D232" s="150"/>
      <c r="E232" s="150"/>
      <c r="F232" s="150"/>
      <c r="G232" s="583"/>
      <c r="H232" s="583"/>
      <c r="I232" s="583"/>
      <c r="J232" s="1767"/>
      <c r="K232" s="1767"/>
      <c r="L232" s="150"/>
      <c r="M232" s="583"/>
      <c r="N232" s="583"/>
      <c r="O232" s="150"/>
      <c r="P232" s="150"/>
      <c r="Q232" s="150"/>
      <c r="R232" s="150"/>
      <c r="S232" s="150"/>
      <c r="T232" s="150"/>
      <c r="U232" s="150"/>
      <c r="V232" s="150"/>
      <c r="W232" s="150"/>
      <c r="X232" s="150"/>
      <c r="Y232" s="150"/>
      <c r="Z232" s="150"/>
      <c r="AA232" s="150"/>
      <c r="AB232" s="150"/>
      <c r="AC232" s="150"/>
      <c r="AD232" s="150"/>
      <c r="AE232" s="150"/>
    </row>
    <row r="233" spans="1:31" ht="15">
      <c r="A233" s="150"/>
      <c r="B233" s="150"/>
      <c r="C233" s="150"/>
      <c r="D233" s="150"/>
      <c r="E233" s="150"/>
      <c r="F233" s="150"/>
      <c r="G233" s="583"/>
      <c r="H233" s="583"/>
      <c r="I233" s="583"/>
      <c r="J233" s="1767"/>
      <c r="K233" s="1767"/>
      <c r="L233" s="150"/>
      <c r="M233" s="583"/>
      <c r="N233" s="583"/>
      <c r="O233" s="150"/>
      <c r="P233" s="150"/>
      <c r="Q233" s="150"/>
      <c r="R233" s="150"/>
      <c r="S233" s="150"/>
      <c r="T233" s="150"/>
      <c r="U233" s="150"/>
      <c r="V233" s="150"/>
      <c r="W233" s="150"/>
      <c r="X233" s="150"/>
      <c r="Y233" s="150"/>
      <c r="Z233" s="150"/>
      <c r="AA233" s="150"/>
      <c r="AB233" s="150"/>
      <c r="AC233" s="150"/>
      <c r="AD233" s="150"/>
      <c r="AE233" s="150"/>
    </row>
    <row r="234" spans="1:31" ht="15">
      <c r="A234" s="150"/>
      <c r="B234" s="150"/>
      <c r="C234" s="150"/>
      <c r="D234" s="150"/>
      <c r="E234" s="150"/>
      <c r="F234" s="150"/>
      <c r="G234" s="583"/>
      <c r="H234" s="583"/>
      <c r="I234" s="583"/>
      <c r="J234" s="1767"/>
      <c r="K234" s="1767"/>
      <c r="L234" s="150"/>
      <c r="M234" s="583"/>
      <c r="N234" s="583"/>
      <c r="O234" s="150"/>
      <c r="P234" s="150"/>
      <c r="Q234" s="150"/>
      <c r="R234" s="150"/>
      <c r="S234" s="150"/>
      <c r="T234" s="150"/>
      <c r="U234" s="150"/>
      <c r="V234" s="150"/>
      <c r="W234" s="150"/>
      <c r="X234" s="150"/>
      <c r="Y234" s="150"/>
      <c r="Z234" s="150"/>
      <c r="AA234" s="150"/>
      <c r="AB234" s="150"/>
      <c r="AC234" s="150"/>
      <c r="AD234" s="150"/>
      <c r="AE234" s="150"/>
    </row>
    <row r="235" spans="1:31" ht="15">
      <c r="A235" s="150"/>
      <c r="B235" s="150"/>
      <c r="C235" s="150"/>
      <c r="D235" s="150"/>
      <c r="E235" s="150"/>
      <c r="F235" s="150"/>
      <c r="G235" s="583"/>
      <c r="H235" s="583"/>
      <c r="I235" s="583"/>
      <c r="J235" s="1767"/>
      <c r="K235" s="1767"/>
      <c r="L235" s="150"/>
      <c r="M235" s="583"/>
      <c r="N235" s="583"/>
      <c r="O235" s="150"/>
      <c r="P235" s="150"/>
      <c r="Q235" s="150"/>
      <c r="R235" s="150"/>
      <c r="S235" s="150"/>
      <c r="T235" s="150"/>
      <c r="U235" s="150"/>
      <c r="V235" s="150"/>
      <c r="W235" s="150"/>
      <c r="X235" s="150"/>
      <c r="Y235" s="150"/>
      <c r="Z235" s="150"/>
      <c r="AA235" s="150"/>
      <c r="AB235" s="150"/>
      <c r="AC235" s="150"/>
      <c r="AD235" s="150"/>
      <c r="AE235" s="150"/>
    </row>
    <row r="236" spans="1:31" ht="15">
      <c r="A236" s="150"/>
      <c r="B236" s="150"/>
      <c r="C236" s="150"/>
      <c r="D236" s="150"/>
      <c r="E236" s="150"/>
      <c r="F236" s="150"/>
      <c r="G236" s="583"/>
      <c r="H236" s="583"/>
      <c r="I236" s="583"/>
      <c r="J236" s="1767"/>
      <c r="K236" s="1767"/>
      <c r="L236" s="150"/>
      <c r="M236" s="583"/>
      <c r="N236" s="583"/>
      <c r="O236" s="150"/>
      <c r="P236" s="150"/>
      <c r="Q236" s="150"/>
      <c r="R236" s="150"/>
      <c r="S236" s="150"/>
      <c r="T236" s="150"/>
      <c r="U236" s="150"/>
      <c r="V236" s="150"/>
      <c r="W236" s="150"/>
      <c r="X236" s="150"/>
      <c r="Y236" s="150"/>
      <c r="Z236" s="150"/>
      <c r="AA236" s="150"/>
      <c r="AB236" s="150"/>
      <c r="AC236" s="150"/>
      <c r="AD236" s="150"/>
      <c r="AE236" s="150"/>
    </row>
    <row r="237" spans="1:31" ht="15">
      <c r="A237" s="150"/>
      <c r="B237" s="150"/>
      <c r="C237" s="150"/>
      <c r="D237" s="150"/>
      <c r="E237" s="150"/>
      <c r="F237" s="150"/>
      <c r="G237" s="583"/>
      <c r="H237" s="583"/>
      <c r="I237" s="583"/>
      <c r="J237" s="1767"/>
      <c r="K237" s="1767"/>
      <c r="L237" s="150"/>
      <c r="M237" s="583"/>
      <c r="N237" s="583"/>
      <c r="O237" s="150"/>
      <c r="P237" s="150"/>
      <c r="Q237" s="150"/>
      <c r="R237" s="150"/>
      <c r="S237" s="150"/>
      <c r="T237" s="150"/>
      <c r="U237" s="150"/>
      <c r="V237" s="150"/>
      <c r="W237" s="150"/>
      <c r="X237" s="150"/>
      <c r="Y237" s="150"/>
      <c r="Z237" s="150"/>
      <c r="AA237" s="150"/>
      <c r="AB237" s="150"/>
      <c r="AC237" s="150"/>
      <c r="AD237" s="150"/>
      <c r="AE237" s="150"/>
    </row>
    <row r="238" spans="1:31" ht="15">
      <c r="A238" s="150"/>
      <c r="B238" s="150"/>
      <c r="C238" s="150"/>
      <c r="D238" s="150"/>
      <c r="E238" s="150"/>
      <c r="F238" s="150"/>
      <c r="G238" s="583"/>
      <c r="H238" s="583"/>
      <c r="I238" s="583"/>
      <c r="J238" s="1767"/>
      <c r="K238" s="1767"/>
      <c r="L238" s="150"/>
      <c r="M238" s="583"/>
      <c r="N238" s="583"/>
      <c r="O238" s="150"/>
      <c r="P238" s="150"/>
      <c r="Q238" s="150"/>
      <c r="R238" s="150"/>
      <c r="S238" s="150"/>
      <c r="T238" s="150"/>
      <c r="U238" s="150"/>
      <c r="V238" s="150"/>
      <c r="W238" s="150"/>
      <c r="X238" s="150"/>
      <c r="Y238" s="150"/>
      <c r="Z238" s="150"/>
      <c r="AA238" s="150"/>
      <c r="AB238" s="150"/>
      <c r="AC238" s="150"/>
      <c r="AD238" s="150"/>
      <c r="AE238" s="150"/>
    </row>
    <row r="239" spans="1:31" ht="15">
      <c r="A239" s="150"/>
      <c r="B239" s="150"/>
      <c r="C239" s="150"/>
      <c r="D239" s="150"/>
      <c r="E239" s="150"/>
      <c r="F239" s="150"/>
      <c r="G239" s="583"/>
      <c r="H239" s="583"/>
      <c r="I239" s="583"/>
      <c r="J239" s="1767"/>
      <c r="K239" s="1767"/>
      <c r="L239" s="150"/>
      <c r="M239" s="583"/>
      <c r="N239" s="583"/>
      <c r="O239" s="150"/>
      <c r="P239" s="150"/>
      <c r="Q239" s="150"/>
      <c r="R239" s="150"/>
      <c r="S239" s="150"/>
      <c r="T239" s="150"/>
      <c r="U239" s="150"/>
      <c r="V239" s="150"/>
      <c r="W239" s="150"/>
      <c r="X239" s="150"/>
      <c r="Y239" s="150"/>
      <c r="Z239" s="150"/>
      <c r="AA239" s="150"/>
      <c r="AB239" s="150"/>
      <c r="AC239" s="150"/>
      <c r="AD239" s="150"/>
      <c r="AE239" s="150"/>
    </row>
    <row r="240" spans="1:31" ht="15">
      <c r="A240" s="150"/>
      <c r="B240" s="150"/>
      <c r="C240" s="150"/>
      <c r="D240" s="150"/>
      <c r="E240" s="150"/>
      <c r="F240" s="150"/>
      <c r="G240" s="583"/>
      <c r="H240" s="583"/>
      <c r="I240" s="583"/>
      <c r="J240" s="1767"/>
      <c r="K240" s="1767"/>
      <c r="L240" s="150"/>
      <c r="M240" s="583"/>
      <c r="N240" s="583"/>
      <c r="O240" s="150"/>
      <c r="P240" s="150"/>
      <c r="Q240" s="150"/>
      <c r="R240" s="150"/>
      <c r="S240" s="150"/>
      <c r="T240" s="150"/>
      <c r="U240" s="150"/>
      <c r="V240" s="150"/>
      <c r="W240" s="150"/>
      <c r="X240" s="150"/>
      <c r="Y240" s="150"/>
      <c r="Z240" s="150"/>
      <c r="AA240" s="150"/>
      <c r="AB240" s="150"/>
      <c r="AC240" s="150"/>
      <c r="AD240" s="150"/>
      <c r="AE240" s="150"/>
    </row>
    <row r="241" spans="1:31" ht="15">
      <c r="A241" s="150"/>
      <c r="B241" s="150"/>
      <c r="C241" s="150"/>
      <c r="D241" s="150"/>
      <c r="E241" s="150"/>
      <c r="F241" s="150"/>
      <c r="G241" s="583"/>
      <c r="H241" s="583"/>
      <c r="I241" s="583"/>
      <c r="J241" s="1767"/>
      <c r="K241" s="1767"/>
      <c r="L241" s="150"/>
      <c r="M241" s="583"/>
      <c r="N241" s="583"/>
      <c r="O241" s="150"/>
      <c r="P241" s="150"/>
      <c r="Q241" s="150"/>
      <c r="R241" s="150"/>
      <c r="S241" s="150"/>
      <c r="T241" s="150"/>
      <c r="U241" s="150"/>
      <c r="V241" s="150"/>
      <c r="W241" s="150"/>
      <c r="X241" s="150"/>
      <c r="Y241" s="150"/>
      <c r="Z241" s="150"/>
      <c r="AA241" s="150"/>
      <c r="AB241" s="150"/>
      <c r="AC241" s="150"/>
      <c r="AD241" s="150"/>
      <c r="AE241" s="150"/>
    </row>
    <row r="242" spans="1:31" ht="15">
      <c r="A242" s="150"/>
      <c r="B242" s="150"/>
      <c r="C242" s="150"/>
      <c r="D242" s="150"/>
      <c r="E242" s="150"/>
      <c r="F242" s="150"/>
      <c r="G242" s="583"/>
      <c r="H242" s="583"/>
      <c r="I242" s="583"/>
      <c r="J242" s="1767"/>
      <c r="K242" s="1767"/>
      <c r="L242" s="150"/>
      <c r="M242" s="583"/>
      <c r="N242" s="583"/>
      <c r="O242" s="150"/>
      <c r="P242" s="150"/>
      <c r="Q242" s="150"/>
      <c r="R242" s="150"/>
      <c r="S242" s="150"/>
      <c r="T242" s="150"/>
      <c r="U242" s="150"/>
      <c r="V242" s="150"/>
      <c r="W242" s="150"/>
      <c r="X242" s="150"/>
      <c r="Y242" s="150"/>
      <c r="Z242" s="150"/>
      <c r="AA242" s="150"/>
      <c r="AB242" s="150"/>
      <c r="AC242" s="150"/>
      <c r="AD242" s="150"/>
      <c r="AE242" s="150"/>
    </row>
    <row r="243" spans="1:31" ht="15">
      <c r="A243" s="150"/>
      <c r="B243" s="150"/>
      <c r="C243" s="150"/>
      <c r="D243" s="150"/>
      <c r="E243" s="150"/>
      <c r="F243" s="150"/>
      <c r="G243" s="583"/>
      <c r="H243" s="583"/>
      <c r="I243" s="583"/>
      <c r="J243" s="1767"/>
      <c r="K243" s="1767"/>
      <c r="L243" s="150"/>
      <c r="M243" s="583"/>
      <c r="N243" s="583"/>
      <c r="O243" s="150"/>
      <c r="P243" s="150"/>
      <c r="Q243" s="150"/>
      <c r="R243" s="150"/>
      <c r="S243" s="150"/>
      <c r="T243" s="150"/>
      <c r="U243" s="150"/>
      <c r="V243" s="150"/>
      <c r="W243" s="150"/>
      <c r="X243" s="150"/>
      <c r="Y243" s="150"/>
      <c r="Z243" s="150"/>
      <c r="AA243" s="150"/>
      <c r="AB243" s="150"/>
      <c r="AC243" s="150"/>
      <c r="AD243" s="150"/>
      <c r="AE243" s="150"/>
    </row>
    <row r="244" spans="1:31" ht="15">
      <c r="A244" s="150"/>
      <c r="B244" s="150"/>
      <c r="C244" s="150"/>
      <c r="D244" s="150"/>
      <c r="E244" s="150"/>
      <c r="F244" s="150"/>
      <c r="G244" s="583"/>
      <c r="H244" s="583"/>
      <c r="I244" s="583"/>
      <c r="J244" s="1767"/>
      <c r="K244" s="1767"/>
      <c r="L244" s="150"/>
      <c r="M244" s="583"/>
      <c r="N244" s="583"/>
      <c r="O244" s="150"/>
      <c r="P244" s="150"/>
      <c r="Q244" s="150"/>
      <c r="R244" s="150"/>
      <c r="S244" s="150"/>
      <c r="T244" s="150"/>
      <c r="U244" s="150"/>
      <c r="V244" s="150"/>
      <c r="W244" s="150"/>
      <c r="X244" s="150"/>
      <c r="Y244" s="150"/>
      <c r="Z244" s="150"/>
      <c r="AA244" s="150"/>
      <c r="AB244" s="150"/>
      <c r="AC244" s="150"/>
      <c r="AD244" s="150"/>
      <c r="AE244" s="150"/>
    </row>
    <row r="245" spans="1:31" ht="15">
      <c r="A245" s="150"/>
      <c r="B245" s="150"/>
      <c r="C245" s="150"/>
      <c r="D245" s="150"/>
      <c r="E245" s="150"/>
      <c r="F245" s="150"/>
      <c r="G245" s="583"/>
      <c r="H245" s="583"/>
      <c r="I245" s="583"/>
      <c r="J245" s="1767"/>
      <c r="K245" s="1767"/>
      <c r="L245" s="150"/>
      <c r="M245" s="583"/>
      <c r="N245" s="583"/>
      <c r="O245" s="150"/>
      <c r="P245" s="150"/>
      <c r="Q245" s="150"/>
      <c r="R245" s="150"/>
      <c r="S245" s="150"/>
      <c r="T245" s="150"/>
      <c r="U245" s="150"/>
      <c r="V245" s="150"/>
      <c r="W245" s="150"/>
      <c r="X245" s="150"/>
      <c r="Y245" s="150"/>
      <c r="Z245" s="150"/>
      <c r="AA245" s="150"/>
      <c r="AB245" s="150"/>
      <c r="AC245" s="150"/>
      <c r="AD245" s="150"/>
      <c r="AE245" s="150"/>
    </row>
    <row r="246" spans="1:31" ht="15">
      <c r="A246" s="150"/>
      <c r="B246" s="150"/>
      <c r="C246" s="150"/>
      <c r="D246" s="150"/>
      <c r="E246" s="150"/>
      <c r="F246" s="150"/>
      <c r="G246" s="583"/>
      <c r="H246" s="583"/>
      <c r="I246" s="583"/>
      <c r="J246" s="1767"/>
      <c r="K246" s="1767"/>
      <c r="L246" s="150"/>
      <c r="M246" s="583"/>
      <c r="N246" s="583"/>
      <c r="O246" s="150"/>
      <c r="P246" s="150"/>
      <c r="Q246" s="150"/>
      <c r="R246" s="150"/>
      <c r="S246" s="150"/>
      <c r="T246" s="150"/>
      <c r="U246" s="150"/>
      <c r="V246" s="150"/>
      <c r="W246" s="150"/>
      <c r="X246" s="150"/>
      <c r="Y246" s="150"/>
      <c r="Z246" s="150"/>
      <c r="AA246" s="150"/>
      <c r="AB246" s="150"/>
      <c r="AC246" s="150"/>
      <c r="AD246" s="150"/>
      <c r="AE246" s="150"/>
    </row>
    <row r="247" spans="1:31" ht="15">
      <c r="A247" s="150"/>
      <c r="B247" s="150"/>
      <c r="C247" s="150"/>
      <c r="D247" s="150"/>
      <c r="E247" s="150"/>
      <c r="F247" s="150"/>
      <c r="G247" s="583"/>
      <c r="H247" s="583"/>
      <c r="I247" s="583"/>
      <c r="J247" s="1767"/>
      <c r="K247" s="1767"/>
      <c r="L247" s="150"/>
      <c r="M247" s="583"/>
      <c r="N247" s="583"/>
      <c r="O247" s="150"/>
      <c r="P247" s="150"/>
      <c r="Q247" s="150"/>
      <c r="R247" s="150"/>
      <c r="S247" s="150"/>
      <c r="T247" s="150"/>
      <c r="U247" s="150"/>
      <c r="V247" s="150"/>
      <c r="W247" s="150"/>
      <c r="X247" s="150"/>
      <c r="Y247" s="150"/>
      <c r="Z247" s="150"/>
      <c r="AA247" s="150"/>
      <c r="AB247" s="150"/>
      <c r="AC247" s="150"/>
      <c r="AD247" s="150"/>
      <c r="AE247" s="150"/>
    </row>
    <row r="248" spans="1:31" ht="15">
      <c r="A248" s="150"/>
      <c r="B248" s="150"/>
      <c r="C248" s="150"/>
      <c r="D248" s="150"/>
      <c r="E248" s="150"/>
      <c r="F248" s="150"/>
      <c r="G248" s="583"/>
      <c r="H248" s="583"/>
      <c r="I248" s="583"/>
      <c r="J248" s="1767"/>
      <c r="K248" s="1767"/>
      <c r="L248" s="150"/>
      <c r="M248" s="583"/>
      <c r="N248" s="583"/>
      <c r="O248" s="150"/>
      <c r="P248" s="150"/>
      <c r="Q248" s="150"/>
      <c r="R248" s="150"/>
      <c r="S248" s="150"/>
      <c r="T248" s="150"/>
      <c r="U248" s="150"/>
      <c r="V248" s="150"/>
      <c r="W248" s="150"/>
      <c r="X248" s="150"/>
      <c r="Y248" s="150"/>
      <c r="Z248" s="150"/>
      <c r="AA248" s="150"/>
      <c r="AB248" s="150"/>
      <c r="AC248" s="150"/>
      <c r="AD248" s="150"/>
      <c r="AE248" s="150"/>
    </row>
    <row r="249" spans="1:31" ht="15">
      <c r="A249" s="150"/>
      <c r="B249" s="150"/>
      <c r="C249" s="150"/>
      <c r="D249" s="150"/>
      <c r="E249" s="150"/>
      <c r="F249" s="150"/>
      <c r="G249" s="583"/>
      <c r="H249" s="583"/>
      <c r="I249" s="583"/>
      <c r="J249" s="1767"/>
      <c r="K249" s="1767"/>
      <c r="L249" s="150"/>
      <c r="M249" s="583"/>
      <c r="N249" s="583"/>
      <c r="O249" s="150"/>
      <c r="P249" s="150"/>
      <c r="Q249" s="150"/>
      <c r="R249" s="150"/>
      <c r="S249" s="150"/>
      <c r="T249" s="150"/>
      <c r="U249" s="150"/>
      <c r="V249" s="150"/>
      <c r="W249" s="150"/>
      <c r="X249" s="150"/>
      <c r="Y249" s="150"/>
      <c r="Z249" s="150"/>
      <c r="AA249" s="150"/>
      <c r="AB249" s="150"/>
      <c r="AC249" s="150"/>
      <c r="AD249" s="150"/>
      <c r="AE249" s="150"/>
    </row>
    <row r="250" spans="1:31" ht="15">
      <c r="A250" s="150"/>
      <c r="B250" s="150"/>
      <c r="C250" s="150"/>
      <c r="D250" s="150"/>
      <c r="E250" s="150"/>
      <c r="F250" s="150"/>
      <c r="G250" s="583"/>
      <c r="H250" s="583"/>
      <c r="I250" s="583"/>
      <c r="J250" s="1767"/>
      <c r="K250" s="1767"/>
      <c r="L250" s="150"/>
      <c r="M250" s="583"/>
      <c r="N250" s="583"/>
      <c r="O250" s="150"/>
      <c r="P250" s="150"/>
      <c r="Q250" s="150"/>
      <c r="R250" s="150"/>
      <c r="S250" s="150"/>
      <c r="T250" s="150"/>
      <c r="U250" s="150"/>
      <c r="V250" s="150"/>
      <c r="W250" s="150"/>
      <c r="X250" s="150"/>
      <c r="Y250" s="150"/>
      <c r="Z250" s="150"/>
      <c r="AA250" s="150"/>
      <c r="AB250" s="150"/>
      <c r="AC250" s="150"/>
      <c r="AD250" s="150"/>
      <c r="AE250" s="150"/>
    </row>
    <row r="251" spans="1:31" ht="15">
      <c r="A251" s="150"/>
      <c r="B251" s="150"/>
      <c r="C251" s="150"/>
      <c r="D251" s="150"/>
      <c r="E251" s="150"/>
      <c r="F251" s="150"/>
      <c r="G251" s="583"/>
      <c r="H251" s="583"/>
      <c r="I251" s="583"/>
      <c r="J251" s="1767"/>
      <c r="K251" s="1767"/>
      <c r="L251" s="150"/>
      <c r="M251" s="583"/>
      <c r="N251" s="583"/>
      <c r="O251" s="150"/>
      <c r="P251" s="150"/>
      <c r="Q251" s="150"/>
      <c r="R251" s="150"/>
      <c r="S251" s="150"/>
      <c r="T251" s="150"/>
      <c r="U251" s="150"/>
      <c r="V251" s="150"/>
      <c r="W251" s="150"/>
      <c r="X251" s="150"/>
      <c r="Y251" s="150"/>
      <c r="Z251" s="150"/>
      <c r="AA251" s="150"/>
      <c r="AB251" s="150"/>
      <c r="AC251" s="150"/>
      <c r="AD251" s="150"/>
      <c r="AE251" s="150"/>
    </row>
    <row r="252" spans="1:31" ht="15">
      <c r="A252" s="150"/>
      <c r="B252" s="150"/>
      <c r="C252" s="150"/>
      <c r="D252" s="150"/>
      <c r="E252" s="150"/>
      <c r="F252" s="150"/>
      <c r="G252" s="583"/>
      <c r="H252" s="583"/>
      <c r="I252" s="583"/>
      <c r="J252" s="1767"/>
      <c r="K252" s="1767"/>
      <c r="L252" s="150"/>
      <c r="M252" s="583"/>
      <c r="N252" s="583"/>
      <c r="O252" s="150"/>
      <c r="P252" s="150"/>
      <c r="Q252" s="150"/>
      <c r="R252" s="150"/>
      <c r="S252" s="150"/>
      <c r="T252" s="150"/>
      <c r="U252" s="150"/>
      <c r="V252" s="150"/>
      <c r="W252" s="150"/>
      <c r="X252" s="150"/>
      <c r="Y252" s="150"/>
      <c r="Z252" s="150"/>
      <c r="AA252" s="150"/>
      <c r="AB252" s="150"/>
      <c r="AC252" s="150"/>
      <c r="AD252" s="150"/>
      <c r="AE252" s="150"/>
    </row>
    <row r="253" spans="1:31" ht="15">
      <c r="A253" s="150"/>
      <c r="B253" s="150"/>
      <c r="C253" s="150"/>
      <c r="D253" s="150"/>
      <c r="E253" s="150"/>
      <c r="F253" s="150"/>
      <c r="G253" s="583"/>
      <c r="H253" s="583"/>
      <c r="I253" s="583"/>
      <c r="J253" s="1767"/>
      <c r="K253" s="1767"/>
      <c r="L253" s="150"/>
      <c r="M253" s="583"/>
      <c r="N253" s="583"/>
      <c r="O253" s="150"/>
      <c r="P253" s="150"/>
      <c r="Q253" s="150"/>
      <c r="R253" s="150"/>
      <c r="S253" s="150"/>
      <c r="T253" s="150"/>
      <c r="U253" s="150"/>
      <c r="V253" s="150"/>
      <c r="W253" s="150"/>
      <c r="X253" s="150"/>
      <c r="Y253" s="150"/>
      <c r="Z253" s="150"/>
      <c r="AA253" s="150"/>
      <c r="AB253" s="150"/>
      <c r="AC253" s="150"/>
      <c r="AD253" s="150"/>
      <c r="AE253" s="150"/>
    </row>
    <row r="254" spans="1:31" ht="15">
      <c r="A254" s="150"/>
      <c r="B254" s="150"/>
      <c r="C254" s="150"/>
      <c r="D254" s="150"/>
      <c r="E254" s="150"/>
      <c r="F254" s="150"/>
      <c r="G254" s="583"/>
      <c r="H254" s="583"/>
      <c r="I254" s="583"/>
      <c r="J254" s="1767"/>
      <c r="K254" s="1767"/>
      <c r="L254" s="150"/>
      <c r="M254" s="583"/>
      <c r="N254" s="583"/>
      <c r="O254" s="150"/>
      <c r="P254" s="150"/>
      <c r="Q254" s="150"/>
      <c r="R254" s="150"/>
      <c r="S254" s="150"/>
      <c r="T254" s="150"/>
      <c r="U254" s="150"/>
      <c r="V254" s="150"/>
      <c r="W254" s="150"/>
      <c r="X254" s="150"/>
      <c r="Y254" s="150"/>
      <c r="Z254" s="150"/>
      <c r="AA254" s="150"/>
      <c r="AB254" s="150"/>
      <c r="AC254" s="150"/>
      <c r="AD254" s="150"/>
      <c r="AE254" s="150"/>
    </row>
    <row r="255" spans="1:31" ht="15">
      <c r="A255" s="150"/>
      <c r="B255" s="150"/>
      <c r="C255" s="150"/>
      <c r="D255" s="150"/>
      <c r="E255" s="150"/>
      <c r="F255" s="150"/>
      <c r="G255" s="583"/>
      <c r="H255" s="583"/>
      <c r="I255" s="583"/>
      <c r="J255" s="1767"/>
      <c r="K255" s="1767"/>
      <c r="L255" s="150"/>
      <c r="M255" s="583"/>
      <c r="N255" s="583"/>
      <c r="O255" s="150"/>
      <c r="P255" s="150"/>
      <c r="Q255" s="150"/>
      <c r="R255" s="150"/>
      <c r="S255" s="150"/>
      <c r="T255" s="150"/>
      <c r="U255" s="150"/>
      <c r="V255" s="150"/>
      <c r="W255" s="150"/>
      <c r="X255" s="150"/>
      <c r="Y255" s="150"/>
      <c r="Z255" s="150"/>
      <c r="AA255" s="150"/>
      <c r="AB255" s="150"/>
      <c r="AC255" s="150"/>
      <c r="AD255" s="150"/>
      <c r="AE255" s="150"/>
    </row>
    <row r="256" spans="1:31" ht="15">
      <c r="A256" s="150"/>
      <c r="B256" s="150"/>
      <c r="C256" s="150"/>
      <c r="D256" s="150"/>
      <c r="E256" s="150"/>
      <c r="F256" s="150"/>
      <c r="G256" s="583"/>
      <c r="H256" s="583"/>
      <c r="I256" s="583"/>
      <c r="J256" s="1767"/>
      <c r="K256" s="1767"/>
      <c r="L256" s="150"/>
      <c r="M256" s="583"/>
      <c r="N256" s="583"/>
      <c r="O256" s="150"/>
      <c r="P256" s="150"/>
      <c r="Q256" s="150"/>
      <c r="R256" s="150"/>
      <c r="S256" s="150"/>
      <c r="T256" s="150"/>
      <c r="U256" s="150"/>
      <c r="V256" s="150"/>
      <c r="W256" s="150"/>
      <c r="X256" s="150"/>
      <c r="Y256" s="150"/>
      <c r="Z256" s="150"/>
      <c r="AA256" s="150"/>
      <c r="AB256" s="150"/>
      <c r="AC256" s="150"/>
      <c r="AD256" s="150"/>
      <c r="AE256" s="150"/>
    </row>
    <row r="257" spans="1:31" ht="15">
      <c r="A257" s="150"/>
      <c r="B257" s="150"/>
      <c r="C257" s="150"/>
      <c r="D257" s="150"/>
      <c r="E257" s="150"/>
      <c r="F257" s="150"/>
      <c r="G257" s="583"/>
      <c r="H257" s="583"/>
      <c r="I257" s="583"/>
      <c r="J257" s="1767"/>
      <c r="K257" s="1767"/>
      <c r="L257" s="150"/>
      <c r="M257" s="583"/>
      <c r="N257" s="583"/>
      <c r="O257" s="150"/>
      <c r="P257" s="150"/>
      <c r="Q257" s="150"/>
      <c r="R257" s="150"/>
      <c r="S257" s="150"/>
      <c r="T257" s="150"/>
      <c r="U257" s="150"/>
      <c r="V257" s="150"/>
      <c r="W257" s="150"/>
      <c r="X257" s="150"/>
      <c r="Y257" s="150"/>
      <c r="Z257" s="150"/>
      <c r="AA257" s="150"/>
      <c r="AB257" s="150"/>
      <c r="AC257" s="150"/>
      <c r="AD257" s="150"/>
      <c r="AE257" s="150"/>
    </row>
    <row r="258" spans="1:31" ht="15">
      <c r="A258" s="150"/>
      <c r="B258" s="150"/>
      <c r="C258" s="150"/>
      <c r="D258" s="150"/>
      <c r="E258" s="150"/>
      <c r="F258" s="150"/>
      <c r="G258" s="583"/>
      <c r="H258" s="583"/>
      <c r="I258" s="583"/>
      <c r="J258" s="1767"/>
      <c r="K258" s="1767"/>
      <c r="L258" s="150"/>
      <c r="M258" s="583"/>
      <c r="N258" s="583"/>
      <c r="O258" s="150"/>
      <c r="P258" s="150"/>
      <c r="Q258" s="150"/>
      <c r="R258" s="150"/>
      <c r="S258" s="150"/>
      <c r="T258" s="150"/>
      <c r="U258" s="150"/>
      <c r="V258" s="150"/>
      <c r="W258" s="150"/>
      <c r="X258" s="150"/>
      <c r="Y258" s="150"/>
      <c r="Z258" s="150"/>
      <c r="AA258" s="150"/>
      <c r="AB258" s="150"/>
      <c r="AC258" s="150"/>
      <c r="AD258" s="150"/>
      <c r="AE258" s="150"/>
    </row>
    <row r="259" spans="1:31" ht="15">
      <c r="A259" s="150"/>
      <c r="B259" s="150"/>
      <c r="C259" s="150"/>
      <c r="D259" s="150"/>
      <c r="E259" s="150"/>
      <c r="F259" s="150"/>
      <c r="G259" s="583"/>
      <c r="H259" s="583"/>
      <c r="I259" s="583"/>
      <c r="J259" s="1767"/>
      <c r="K259" s="1767"/>
      <c r="L259" s="150"/>
      <c r="M259" s="583"/>
      <c r="N259" s="583"/>
      <c r="O259" s="150"/>
      <c r="P259" s="150"/>
      <c r="Q259" s="150"/>
      <c r="R259" s="150"/>
      <c r="S259" s="150"/>
      <c r="T259" s="150"/>
      <c r="U259" s="150"/>
      <c r="V259" s="150"/>
      <c r="W259" s="150"/>
      <c r="X259" s="150"/>
      <c r="Y259" s="150"/>
      <c r="Z259" s="150"/>
      <c r="AA259" s="150"/>
      <c r="AB259" s="150"/>
      <c r="AC259" s="150"/>
      <c r="AD259" s="150"/>
      <c r="AE259" s="150"/>
    </row>
    <row r="260" spans="1:31" ht="15">
      <c r="A260" s="150"/>
      <c r="B260" s="150"/>
      <c r="C260" s="150"/>
      <c r="D260" s="150"/>
      <c r="E260" s="150"/>
      <c r="F260" s="150"/>
      <c r="G260" s="583"/>
      <c r="H260" s="583"/>
      <c r="I260" s="583"/>
      <c r="J260" s="1767"/>
      <c r="K260" s="1767"/>
      <c r="L260" s="150"/>
      <c r="M260" s="583"/>
      <c r="N260" s="583"/>
      <c r="O260" s="150"/>
      <c r="P260" s="150"/>
      <c r="Q260" s="150"/>
      <c r="R260" s="150"/>
      <c r="S260" s="150"/>
      <c r="T260" s="150"/>
      <c r="U260" s="150"/>
      <c r="V260" s="150"/>
      <c r="W260" s="150"/>
      <c r="X260" s="150"/>
      <c r="Y260" s="150"/>
      <c r="Z260" s="150"/>
      <c r="AA260" s="150"/>
      <c r="AB260" s="150"/>
      <c r="AC260" s="150"/>
      <c r="AD260" s="150"/>
      <c r="AE260" s="150"/>
    </row>
    <row r="261" spans="1:31" ht="15">
      <c r="A261" s="150"/>
      <c r="B261" s="150"/>
      <c r="C261" s="150"/>
      <c r="D261" s="150"/>
      <c r="E261" s="150"/>
      <c r="F261" s="150"/>
      <c r="G261" s="583"/>
      <c r="H261" s="583"/>
      <c r="I261" s="583"/>
      <c r="J261" s="1767"/>
      <c r="K261" s="1767"/>
      <c r="L261" s="150"/>
      <c r="M261" s="583"/>
      <c r="N261" s="583"/>
      <c r="O261" s="150"/>
      <c r="P261" s="150"/>
      <c r="Q261" s="150"/>
      <c r="R261" s="150"/>
      <c r="S261" s="150"/>
      <c r="T261" s="150"/>
      <c r="U261" s="150"/>
      <c r="V261" s="150"/>
      <c r="W261" s="150"/>
      <c r="X261" s="150"/>
      <c r="Y261" s="150"/>
      <c r="Z261" s="150"/>
      <c r="AA261" s="150"/>
      <c r="AB261" s="150"/>
      <c r="AC261" s="150"/>
      <c r="AD261" s="150"/>
      <c r="AE261" s="150"/>
    </row>
    <row r="262" spans="1:31" ht="15">
      <c r="A262" s="150"/>
      <c r="B262" s="150"/>
      <c r="C262" s="150"/>
      <c r="D262" s="150"/>
      <c r="E262" s="150"/>
      <c r="F262" s="150"/>
      <c r="G262" s="583"/>
      <c r="H262" s="583"/>
      <c r="I262" s="583"/>
      <c r="J262" s="1767"/>
      <c r="K262" s="1767"/>
      <c r="L262" s="150"/>
      <c r="M262" s="583"/>
      <c r="N262" s="583"/>
      <c r="O262" s="150"/>
      <c r="P262" s="150"/>
      <c r="Q262" s="150"/>
      <c r="R262" s="150"/>
      <c r="S262" s="150"/>
      <c r="T262" s="150"/>
      <c r="U262" s="150"/>
      <c r="V262" s="150"/>
      <c r="W262" s="150"/>
      <c r="X262" s="150"/>
      <c r="Y262" s="150"/>
      <c r="Z262" s="150"/>
      <c r="AA262" s="150"/>
      <c r="AB262" s="150"/>
      <c r="AC262" s="150"/>
      <c r="AD262" s="150"/>
      <c r="AE262" s="150"/>
    </row>
    <row r="263" spans="1:31" ht="15">
      <c r="A263" s="150"/>
      <c r="B263" s="150"/>
      <c r="C263" s="150"/>
      <c r="D263" s="150"/>
      <c r="E263" s="150"/>
      <c r="F263" s="150"/>
      <c r="G263" s="583"/>
      <c r="H263" s="583"/>
      <c r="I263" s="583"/>
      <c r="J263" s="1767"/>
      <c r="K263" s="1767"/>
      <c r="L263" s="150"/>
      <c r="M263" s="583"/>
      <c r="N263" s="583"/>
      <c r="O263" s="150"/>
      <c r="P263" s="150"/>
      <c r="Q263" s="150"/>
      <c r="R263" s="150"/>
      <c r="S263" s="150"/>
      <c r="T263" s="150"/>
      <c r="U263" s="150"/>
      <c r="V263" s="150"/>
      <c r="W263" s="150"/>
      <c r="X263" s="150"/>
      <c r="Y263" s="150"/>
      <c r="Z263" s="150"/>
      <c r="AA263" s="150"/>
      <c r="AB263" s="150"/>
      <c r="AC263" s="150"/>
      <c r="AD263" s="150"/>
      <c r="AE263" s="150"/>
    </row>
    <row r="264" spans="1:31" ht="15">
      <c r="A264" s="150"/>
      <c r="B264" s="150"/>
      <c r="C264" s="150"/>
      <c r="D264" s="150"/>
      <c r="E264" s="150"/>
      <c r="F264" s="150"/>
      <c r="G264" s="583"/>
      <c r="H264" s="583"/>
      <c r="I264" s="583"/>
      <c r="J264" s="1767"/>
      <c r="K264" s="1767"/>
      <c r="L264" s="150"/>
      <c r="M264" s="583"/>
      <c r="N264" s="583"/>
      <c r="O264" s="150"/>
      <c r="P264" s="150"/>
      <c r="Q264" s="150"/>
      <c r="R264" s="150"/>
      <c r="S264" s="150"/>
      <c r="T264" s="150"/>
      <c r="U264" s="150"/>
      <c r="V264" s="150"/>
      <c r="W264" s="150"/>
      <c r="X264" s="150"/>
      <c r="Y264" s="150"/>
      <c r="Z264" s="150"/>
      <c r="AA264" s="150"/>
      <c r="AB264" s="150"/>
      <c r="AC264" s="150"/>
      <c r="AD264" s="150"/>
      <c r="AE264" s="150"/>
    </row>
    <row r="265" spans="1:31" ht="15">
      <c r="A265" s="150"/>
      <c r="B265" s="150"/>
      <c r="C265" s="150"/>
      <c r="D265" s="150"/>
      <c r="E265" s="150"/>
      <c r="F265" s="150"/>
      <c r="G265" s="583"/>
      <c r="H265" s="583"/>
      <c r="I265" s="583"/>
      <c r="J265" s="1767"/>
      <c r="K265" s="1767"/>
      <c r="L265" s="150"/>
      <c r="M265" s="583"/>
      <c r="N265" s="583"/>
      <c r="O265" s="150"/>
      <c r="P265" s="150"/>
      <c r="Q265" s="150"/>
      <c r="R265" s="150"/>
      <c r="S265" s="150"/>
      <c r="T265" s="150"/>
      <c r="U265" s="150"/>
      <c r="V265" s="150"/>
      <c r="W265" s="150"/>
      <c r="X265" s="150"/>
      <c r="Y265" s="150"/>
      <c r="Z265" s="150"/>
      <c r="AA265" s="150"/>
      <c r="AB265" s="150"/>
      <c r="AC265" s="150"/>
      <c r="AD265" s="150"/>
      <c r="AE265" s="150"/>
    </row>
    <row r="266" spans="1:31" ht="15">
      <c r="A266" s="150"/>
      <c r="B266" s="150"/>
      <c r="C266" s="150"/>
      <c r="D266" s="150"/>
      <c r="E266" s="150"/>
      <c r="F266" s="150"/>
      <c r="G266" s="583"/>
      <c r="H266" s="583"/>
      <c r="I266" s="583"/>
      <c r="J266" s="1767"/>
      <c r="K266" s="1767"/>
      <c r="L266" s="150"/>
      <c r="M266" s="583"/>
      <c r="N266" s="583"/>
      <c r="O266" s="150"/>
      <c r="P266" s="150"/>
      <c r="Q266" s="150"/>
      <c r="R266" s="150"/>
      <c r="S266" s="150"/>
      <c r="T266" s="150"/>
      <c r="U266" s="150"/>
      <c r="V266" s="150"/>
      <c r="W266" s="150"/>
      <c r="X266" s="150"/>
      <c r="Y266" s="150"/>
      <c r="Z266" s="150"/>
      <c r="AA266" s="150"/>
      <c r="AB266" s="150"/>
      <c r="AC266" s="150"/>
      <c r="AD266" s="150"/>
      <c r="AE266" s="150"/>
    </row>
    <row r="267" spans="1:31" ht="15">
      <c r="A267" s="150"/>
      <c r="B267" s="150"/>
      <c r="C267" s="150"/>
      <c r="D267" s="150"/>
      <c r="E267" s="150"/>
      <c r="F267" s="150"/>
      <c r="G267" s="583"/>
      <c r="H267" s="583"/>
      <c r="I267" s="583"/>
      <c r="J267" s="1767"/>
      <c r="K267" s="1767"/>
      <c r="L267" s="150"/>
      <c r="M267" s="583"/>
      <c r="N267" s="583"/>
      <c r="O267" s="150"/>
      <c r="P267" s="150"/>
      <c r="Q267" s="150"/>
      <c r="R267" s="150"/>
      <c r="S267" s="150"/>
      <c r="T267" s="150"/>
      <c r="U267" s="150"/>
      <c r="V267" s="150"/>
      <c r="W267" s="150"/>
      <c r="X267" s="150"/>
      <c r="Y267" s="150"/>
      <c r="Z267" s="150"/>
      <c r="AA267" s="150"/>
      <c r="AB267" s="150"/>
      <c r="AC267" s="150"/>
      <c r="AD267" s="150"/>
      <c r="AE267" s="150"/>
    </row>
    <row r="268" spans="1:31" ht="15">
      <c r="A268" s="150"/>
      <c r="B268" s="150"/>
      <c r="C268" s="150"/>
      <c r="D268" s="150"/>
      <c r="E268" s="150"/>
      <c r="F268" s="150"/>
      <c r="G268" s="583"/>
      <c r="H268" s="583"/>
      <c r="I268" s="583"/>
      <c r="J268" s="1767"/>
      <c r="K268" s="1767"/>
      <c r="L268" s="150"/>
      <c r="M268" s="583"/>
      <c r="N268" s="583"/>
      <c r="O268" s="150"/>
      <c r="P268" s="150"/>
      <c r="Q268" s="150"/>
      <c r="R268" s="150"/>
      <c r="S268" s="150"/>
      <c r="T268" s="150"/>
      <c r="U268" s="150"/>
      <c r="V268" s="150"/>
      <c r="W268" s="150"/>
      <c r="X268" s="150"/>
      <c r="Y268" s="150"/>
      <c r="Z268" s="150"/>
      <c r="AA268" s="150"/>
      <c r="AB268" s="150"/>
      <c r="AC268" s="150"/>
      <c r="AD268" s="150"/>
      <c r="AE268" s="150"/>
    </row>
    <row r="269" spans="1:31" ht="15">
      <c r="A269" s="150"/>
      <c r="B269" s="150"/>
      <c r="C269" s="150"/>
      <c r="D269" s="150"/>
      <c r="E269" s="150"/>
      <c r="F269" s="150"/>
      <c r="G269" s="583"/>
      <c r="H269" s="583"/>
      <c r="I269" s="583"/>
      <c r="J269" s="1767"/>
      <c r="K269" s="1767"/>
      <c r="L269" s="150"/>
      <c r="M269" s="583"/>
      <c r="N269" s="583"/>
      <c r="O269" s="150"/>
      <c r="P269" s="150"/>
      <c r="Q269" s="150"/>
      <c r="R269" s="150"/>
      <c r="S269" s="150"/>
      <c r="T269" s="150"/>
      <c r="U269" s="150"/>
      <c r="V269" s="150"/>
      <c r="W269" s="150"/>
      <c r="X269" s="150"/>
      <c r="Y269" s="150"/>
      <c r="Z269" s="150"/>
      <c r="AA269" s="150"/>
      <c r="AB269" s="150"/>
      <c r="AC269" s="150"/>
      <c r="AD269" s="150"/>
      <c r="AE269" s="150"/>
    </row>
    <row r="270" spans="1:31" ht="15">
      <c r="A270" s="150"/>
      <c r="B270" s="150"/>
      <c r="C270" s="150"/>
      <c r="D270" s="150"/>
      <c r="E270" s="150"/>
      <c r="F270" s="150"/>
      <c r="G270" s="583"/>
      <c r="H270" s="583"/>
      <c r="I270" s="583"/>
      <c r="J270" s="1767"/>
      <c r="K270" s="1767"/>
      <c r="L270" s="150"/>
      <c r="M270" s="583"/>
      <c r="N270" s="583"/>
      <c r="O270" s="150"/>
      <c r="P270" s="150"/>
      <c r="Q270" s="150"/>
      <c r="R270" s="150"/>
      <c r="S270" s="150"/>
      <c r="T270" s="150"/>
      <c r="U270" s="150"/>
      <c r="V270" s="150"/>
      <c r="W270" s="150"/>
      <c r="X270" s="150"/>
      <c r="Y270" s="150"/>
      <c r="Z270" s="150"/>
      <c r="AA270" s="150"/>
      <c r="AB270" s="150"/>
      <c r="AC270" s="150"/>
      <c r="AD270" s="150"/>
      <c r="AE270" s="150"/>
    </row>
    <row r="271" spans="1:31" ht="15">
      <c r="A271" s="150"/>
      <c r="B271" s="150"/>
      <c r="C271" s="150"/>
      <c r="D271" s="150"/>
      <c r="E271" s="150"/>
      <c r="F271" s="150"/>
      <c r="G271" s="583"/>
      <c r="H271" s="583"/>
      <c r="I271" s="583"/>
      <c r="J271" s="1767"/>
      <c r="K271" s="1767"/>
      <c r="L271" s="150"/>
      <c r="M271" s="583"/>
      <c r="N271" s="583"/>
      <c r="O271" s="150"/>
      <c r="P271" s="150"/>
      <c r="Q271" s="150"/>
      <c r="R271" s="150"/>
      <c r="S271" s="150"/>
      <c r="T271" s="150"/>
      <c r="U271" s="150"/>
      <c r="V271" s="150"/>
      <c r="W271" s="150"/>
      <c r="X271" s="150"/>
      <c r="Y271" s="150"/>
      <c r="Z271" s="150"/>
      <c r="AA271" s="150"/>
      <c r="AB271" s="150"/>
      <c r="AC271" s="150"/>
      <c r="AD271" s="150"/>
      <c r="AE271" s="150"/>
    </row>
    <row r="272" spans="1:31" ht="15">
      <c r="A272" s="150"/>
      <c r="B272" s="150"/>
      <c r="C272" s="150"/>
      <c r="D272" s="150"/>
      <c r="E272" s="150"/>
      <c r="F272" s="150"/>
      <c r="G272" s="583"/>
      <c r="H272" s="583"/>
      <c r="I272" s="583"/>
      <c r="J272" s="1767"/>
      <c r="K272" s="1767"/>
      <c r="L272" s="150"/>
      <c r="M272" s="583"/>
      <c r="N272" s="583"/>
      <c r="O272" s="150"/>
      <c r="P272" s="150"/>
      <c r="Q272" s="150"/>
      <c r="R272" s="150"/>
      <c r="S272" s="150"/>
      <c r="T272" s="150"/>
      <c r="U272" s="150"/>
      <c r="V272" s="150"/>
      <c r="W272" s="150"/>
      <c r="X272" s="150"/>
      <c r="Y272" s="150"/>
      <c r="Z272" s="150"/>
      <c r="AA272" s="150"/>
      <c r="AB272" s="150"/>
      <c r="AC272" s="150"/>
      <c r="AD272" s="150"/>
      <c r="AE272" s="150"/>
    </row>
    <row r="273" spans="1:31" ht="15">
      <c r="A273" s="150"/>
      <c r="B273" s="150"/>
      <c r="C273" s="150"/>
      <c r="D273" s="150"/>
      <c r="E273" s="150"/>
      <c r="F273" s="150"/>
      <c r="G273" s="583"/>
      <c r="H273" s="583"/>
      <c r="I273" s="583"/>
      <c r="J273" s="1767"/>
      <c r="K273" s="1767"/>
      <c r="L273" s="150"/>
      <c r="M273" s="583"/>
      <c r="N273" s="583"/>
      <c r="O273" s="150"/>
      <c r="P273" s="150"/>
      <c r="Q273" s="150"/>
      <c r="R273" s="150"/>
      <c r="S273" s="150"/>
      <c r="T273" s="150"/>
      <c r="U273" s="150"/>
      <c r="V273" s="150"/>
      <c r="W273" s="150"/>
      <c r="X273" s="150"/>
      <c r="Y273" s="150"/>
      <c r="Z273" s="150"/>
      <c r="AA273" s="150"/>
      <c r="AB273" s="150"/>
      <c r="AC273" s="150"/>
      <c r="AD273" s="150"/>
      <c r="AE273" s="150"/>
    </row>
    <row r="274" spans="1:31" ht="15">
      <c r="A274" s="150"/>
      <c r="B274" s="150"/>
      <c r="C274" s="150"/>
      <c r="D274" s="150"/>
      <c r="E274" s="150"/>
      <c r="F274" s="150"/>
      <c r="G274" s="583"/>
      <c r="H274" s="583"/>
      <c r="I274" s="583"/>
      <c r="J274" s="1767"/>
      <c r="K274" s="1767"/>
      <c r="L274" s="150"/>
      <c r="M274" s="583"/>
      <c r="N274" s="583"/>
      <c r="O274" s="150"/>
      <c r="P274" s="150"/>
      <c r="Q274" s="150"/>
      <c r="R274" s="150"/>
      <c r="S274" s="150"/>
      <c r="T274" s="150"/>
      <c r="U274" s="150"/>
      <c r="V274" s="150"/>
      <c r="W274" s="150"/>
      <c r="X274" s="150"/>
      <c r="Y274" s="150"/>
      <c r="Z274" s="150"/>
      <c r="AA274" s="150"/>
      <c r="AB274" s="150"/>
      <c r="AC274" s="150"/>
      <c r="AD274" s="150"/>
      <c r="AE274" s="150"/>
    </row>
    <row r="275" spans="1:31" ht="15">
      <c r="A275" s="150"/>
      <c r="B275" s="150"/>
      <c r="C275" s="150"/>
      <c r="D275" s="150"/>
      <c r="E275" s="150"/>
      <c r="F275" s="150"/>
      <c r="G275" s="583"/>
      <c r="H275" s="583"/>
      <c r="I275" s="583"/>
      <c r="J275" s="1767"/>
      <c r="K275" s="1767"/>
      <c r="L275" s="150"/>
      <c r="M275" s="583"/>
      <c r="N275" s="583"/>
      <c r="O275" s="150"/>
      <c r="P275" s="150"/>
      <c r="Q275" s="150"/>
      <c r="R275" s="150"/>
      <c r="S275" s="150"/>
      <c r="T275" s="150"/>
      <c r="U275" s="150"/>
      <c r="V275" s="150"/>
      <c r="W275" s="150"/>
      <c r="X275" s="150"/>
      <c r="Y275" s="150"/>
      <c r="Z275" s="150"/>
      <c r="AA275" s="150"/>
      <c r="AB275" s="150"/>
      <c r="AC275" s="150"/>
      <c r="AD275" s="150"/>
      <c r="AE275" s="150"/>
    </row>
    <row r="276" spans="1:31" ht="15">
      <c r="A276" s="150"/>
      <c r="B276" s="150"/>
      <c r="C276" s="150"/>
      <c r="D276" s="150"/>
      <c r="E276" s="150"/>
      <c r="F276" s="150"/>
      <c r="G276" s="583"/>
      <c r="H276" s="583"/>
      <c r="I276" s="583"/>
      <c r="J276" s="1767"/>
      <c r="K276" s="1767"/>
      <c r="L276" s="150"/>
      <c r="M276" s="583"/>
      <c r="N276" s="583"/>
      <c r="O276" s="150"/>
      <c r="P276" s="150"/>
      <c r="Q276" s="150"/>
      <c r="R276" s="150"/>
      <c r="S276" s="150"/>
      <c r="T276" s="150"/>
      <c r="U276" s="150"/>
      <c r="V276" s="150"/>
      <c r="W276" s="150"/>
      <c r="X276" s="150"/>
      <c r="Y276" s="150"/>
      <c r="Z276" s="150"/>
      <c r="AA276" s="150"/>
      <c r="AB276" s="150"/>
      <c r="AC276" s="150"/>
      <c r="AD276" s="150"/>
      <c r="AE276" s="150"/>
    </row>
    <row r="277" spans="1:31" ht="15">
      <c r="A277" s="150"/>
      <c r="B277" s="150"/>
      <c r="C277" s="150"/>
      <c r="D277" s="150"/>
      <c r="E277" s="150"/>
      <c r="F277" s="150"/>
      <c r="G277" s="583"/>
      <c r="H277" s="583"/>
      <c r="I277" s="583"/>
      <c r="J277" s="1767"/>
      <c r="K277" s="1767"/>
      <c r="L277" s="150"/>
      <c r="M277" s="583"/>
      <c r="N277" s="583"/>
      <c r="O277" s="150"/>
      <c r="P277" s="150"/>
      <c r="Q277" s="150"/>
      <c r="R277" s="150"/>
      <c r="S277" s="150"/>
      <c r="T277" s="150"/>
      <c r="U277" s="150"/>
      <c r="V277" s="150"/>
      <c r="W277" s="150"/>
      <c r="X277" s="150"/>
      <c r="Y277" s="150"/>
      <c r="Z277" s="150"/>
      <c r="AA277" s="150"/>
      <c r="AB277" s="150"/>
      <c r="AC277" s="150"/>
      <c r="AD277" s="150"/>
      <c r="AE277" s="150"/>
    </row>
    <row r="278" spans="1:31" ht="15">
      <c r="A278" s="150"/>
      <c r="B278" s="150"/>
      <c r="C278" s="150"/>
      <c r="D278" s="150"/>
      <c r="E278" s="150"/>
      <c r="F278" s="150"/>
      <c r="G278" s="583"/>
      <c r="H278" s="583"/>
      <c r="I278" s="583"/>
      <c r="J278" s="1767"/>
      <c r="K278" s="1767"/>
      <c r="L278" s="150"/>
      <c r="M278" s="583"/>
      <c r="N278" s="583"/>
      <c r="O278" s="150"/>
      <c r="P278" s="150"/>
      <c r="Q278" s="150"/>
      <c r="R278" s="150"/>
      <c r="S278" s="150"/>
      <c r="T278" s="150"/>
      <c r="U278" s="150"/>
      <c r="V278" s="150"/>
      <c r="W278" s="150"/>
      <c r="X278" s="150"/>
      <c r="Y278" s="150"/>
      <c r="Z278" s="150"/>
      <c r="AA278" s="150"/>
      <c r="AB278" s="150"/>
      <c r="AC278" s="150"/>
      <c r="AD278" s="150"/>
      <c r="AE278" s="150"/>
    </row>
    <row r="279" spans="1:31" ht="15">
      <c r="A279" s="150"/>
      <c r="B279" s="150"/>
      <c r="C279" s="150"/>
      <c r="D279" s="150"/>
      <c r="E279" s="150"/>
      <c r="F279" s="150"/>
      <c r="G279" s="583"/>
      <c r="H279" s="583"/>
      <c r="I279" s="583"/>
      <c r="J279" s="1767"/>
      <c r="K279" s="1767"/>
      <c r="L279" s="150"/>
      <c r="M279" s="583"/>
      <c r="N279" s="583"/>
      <c r="O279" s="150"/>
      <c r="P279" s="150"/>
      <c r="Q279" s="150"/>
      <c r="R279" s="150"/>
      <c r="S279" s="150"/>
      <c r="T279" s="150"/>
      <c r="U279" s="150"/>
      <c r="V279" s="150"/>
      <c r="W279" s="150"/>
      <c r="X279" s="150"/>
      <c r="Y279" s="150"/>
      <c r="Z279" s="150"/>
      <c r="AA279" s="150"/>
      <c r="AB279" s="150"/>
      <c r="AC279" s="150"/>
      <c r="AD279" s="150"/>
      <c r="AE279" s="150"/>
    </row>
    <row r="280" spans="1:31" ht="15">
      <c r="A280" s="150"/>
      <c r="B280" s="150"/>
      <c r="C280" s="150"/>
      <c r="D280" s="150"/>
      <c r="E280" s="150"/>
      <c r="F280" s="150"/>
      <c r="G280" s="583"/>
      <c r="H280" s="583"/>
      <c r="I280" s="583"/>
      <c r="J280" s="1767"/>
      <c r="K280" s="1767"/>
      <c r="L280" s="150"/>
      <c r="M280" s="583"/>
      <c r="N280" s="583"/>
      <c r="O280" s="150"/>
      <c r="P280" s="150"/>
      <c r="Q280" s="150"/>
      <c r="R280" s="150"/>
      <c r="S280" s="150"/>
      <c r="T280" s="150"/>
      <c r="U280" s="150"/>
      <c r="V280" s="150"/>
      <c r="W280" s="150"/>
      <c r="X280" s="150"/>
      <c r="Y280" s="150"/>
      <c r="Z280" s="150"/>
      <c r="AA280" s="150"/>
      <c r="AB280" s="150"/>
      <c r="AC280" s="150"/>
      <c r="AD280" s="150"/>
      <c r="AE280" s="150"/>
    </row>
    <row r="281" spans="1:31" ht="15">
      <c r="A281" s="150"/>
      <c r="B281" s="150"/>
      <c r="C281" s="150"/>
      <c r="D281" s="150"/>
      <c r="E281" s="150"/>
      <c r="F281" s="150"/>
      <c r="G281" s="583"/>
      <c r="H281" s="583"/>
      <c r="I281" s="583"/>
      <c r="J281" s="1767"/>
      <c r="K281" s="1767"/>
      <c r="L281" s="150"/>
      <c r="M281" s="583"/>
      <c r="N281" s="583"/>
      <c r="O281" s="150"/>
      <c r="P281" s="150"/>
      <c r="Q281" s="150"/>
      <c r="R281" s="150"/>
      <c r="S281" s="150"/>
      <c r="T281" s="150"/>
      <c r="U281" s="150"/>
      <c r="V281" s="150"/>
      <c r="W281" s="150"/>
      <c r="X281" s="150"/>
      <c r="Y281" s="150"/>
      <c r="Z281" s="150"/>
      <c r="AA281" s="150"/>
      <c r="AB281" s="150"/>
      <c r="AC281" s="150"/>
      <c r="AD281" s="150"/>
      <c r="AE281" s="150"/>
    </row>
    <row r="282" spans="1:31" ht="15">
      <c r="A282" s="150"/>
      <c r="B282" s="150"/>
      <c r="C282" s="150"/>
      <c r="D282" s="150"/>
      <c r="E282" s="150"/>
      <c r="F282" s="150"/>
      <c r="G282" s="583"/>
      <c r="H282" s="583"/>
      <c r="I282" s="583"/>
      <c r="J282" s="1767"/>
      <c r="K282" s="1767"/>
      <c r="L282" s="150"/>
      <c r="M282" s="583"/>
      <c r="N282" s="583"/>
      <c r="O282" s="150"/>
      <c r="P282" s="150"/>
      <c r="Q282" s="150"/>
      <c r="R282" s="150"/>
      <c r="S282" s="150"/>
      <c r="T282" s="150"/>
      <c r="U282" s="150"/>
      <c r="V282" s="150"/>
      <c r="W282" s="150"/>
      <c r="X282" s="150"/>
      <c r="Y282" s="150"/>
      <c r="Z282" s="150"/>
      <c r="AA282" s="150"/>
      <c r="AB282" s="150"/>
      <c r="AC282" s="150"/>
      <c r="AD282" s="150"/>
      <c r="AE282" s="150"/>
    </row>
    <row r="283" spans="1:31" ht="15">
      <c r="A283" s="150"/>
      <c r="B283" s="150"/>
      <c r="C283" s="150"/>
      <c r="D283" s="150"/>
      <c r="E283" s="150"/>
      <c r="F283" s="150"/>
      <c r="G283" s="583"/>
      <c r="H283" s="583"/>
      <c r="I283" s="583"/>
      <c r="J283" s="1767"/>
      <c r="K283" s="1767"/>
      <c r="L283" s="150"/>
      <c r="M283" s="583"/>
      <c r="N283" s="583"/>
      <c r="O283" s="150"/>
      <c r="P283" s="150"/>
      <c r="Q283" s="150"/>
      <c r="R283" s="150"/>
      <c r="S283" s="150"/>
      <c r="T283" s="150"/>
      <c r="U283" s="150"/>
      <c r="V283" s="150"/>
      <c r="W283" s="150"/>
      <c r="X283" s="150"/>
      <c r="Y283" s="150"/>
      <c r="Z283" s="150"/>
      <c r="AA283" s="150"/>
      <c r="AB283" s="150"/>
      <c r="AC283" s="150"/>
      <c r="AD283" s="150"/>
      <c r="AE283" s="150"/>
    </row>
    <row r="284" spans="1:31" ht="15">
      <c r="A284" s="150"/>
      <c r="B284" s="150"/>
      <c r="C284" s="150"/>
      <c r="D284" s="150"/>
      <c r="E284" s="150"/>
      <c r="F284" s="150"/>
      <c r="G284" s="583"/>
      <c r="H284" s="583"/>
      <c r="I284" s="583"/>
      <c r="J284" s="1767"/>
      <c r="K284" s="1767"/>
      <c r="L284" s="150"/>
      <c r="M284" s="583"/>
      <c r="N284" s="583"/>
      <c r="O284" s="150"/>
      <c r="P284" s="150"/>
      <c r="Q284" s="150"/>
      <c r="R284" s="150"/>
      <c r="S284" s="150"/>
      <c r="T284" s="150"/>
      <c r="U284" s="150"/>
      <c r="V284" s="150"/>
      <c r="W284" s="150"/>
      <c r="X284" s="150"/>
      <c r="Y284" s="150"/>
      <c r="Z284" s="150"/>
      <c r="AA284" s="150"/>
      <c r="AB284" s="150"/>
      <c r="AC284" s="150"/>
      <c r="AD284" s="150"/>
      <c r="AE284" s="150"/>
    </row>
    <row r="285" spans="1:31" ht="15">
      <c r="A285" s="150"/>
      <c r="B285" s="150"/>
      <c r="C285" s="150"/>
      <c r="D285" s="150"/>
      <c r="E285" s="150"/>
      <c r="F285" s="150"/>
      <c r="G285" s="583"/>
      <c r="H285" s="583"/>
      <c r="I285" s="583"/>
      <c r="J285" s="1767"/>
      <c r="K285" s="1767"/>
      <c r="L285" s="150"/>
      <c r="M285" s="583"/>
      <c r="N285" s="583"/>
      <c r="O285" s="150"/>
      <c r="P285" s="150"/>
      <c r="Q285" s="150"/>
      <c r="R285" s="150"/>
      <c r="S285" s="150"/>
      <c r="T285" s="150"/>
      <c r="U285" s="150"/>
      <c r="V285" s="150"/>
      <c r="W285" s="150"/>
      <c r="X285" s="150"/>
      <c r="Y285" s="150"/>
      <c r="Z285" s="150"/>
      <c r="AA285" s="150"/>
      <c r="AB285" s="150"/>
      <c r="AC285" s="150"/>
      <c r="AD285" s="150"/>
      <c r="AE285" s="150"/>
    </row>
    <row r="286" spans="1:31" ht="15">
      <c r="A286" s="150"/>
      <c r="B286" s="150"/>
      <c r="C286" s="150"/>
      <c r="D286" s="150"/>
      <c r="E286" s="150"/>
      <c r="F286" s="150"/>
      <c r="G286" s="583"/>
      <c r="H286" s="583"/>
      <c r="I286" s="583"/>
      <c r="J286" s="1767"/>
      <c r="K286" s="1767"/>
      <c r="L286" s="150"/>
      <c r="M286" s="583"/>
      <c r="N286" s="583"/>
      <c r="O286" s="150"/>
      <c r="P286" s="150"/>
      <c r="Q286" s="150"/>
      <c r="R286" s="150"/>
      <c r="S286" s="150"/>
      <c r="T286" s="150"/>
      <c r="U286" s="150"/>
      <c r="V286" s="150"/>
      <c r="W286" s="150"/>
      <c r="X286" s="150"/>
      <c r="Y286" s="150"/>
      <c r="Z286" s="150"/>
      <c r="AA286" s="150"/>
      <c r="AB286" s="150"/>
      <c r="AC286" s="150"/>
      <c r="AD286" s="150"/>
      <c r="AE286" s="150"/>
    </row>
    <row r="287" spans="1:31" ht="15">
      <c r="A287" s="150"/>
      <c r="B287" s="150"/>
      <c r="C287" s="150"/>
      <c r="D287" s="150"/>
      <c r="E287" s="150"/>
      <c r="F287" s="150"/>
      <c r="G287" s="583"/>
      <c r="H287" s="583"/>
      <c r="I287" s="583"/>
      <c r="J287" s="1767"/>
      <c r="K287" s="1767"/>
      <c r="L287" s="150"/>
      <c r="M287" s="583"/>
      <c r="N287" s="583"/>
      <c r="O287" s="150"/>
      <c r="P287" s="150"/>
      <c r="Q287" s="150"/>
      <c r="R287" s="150"/>
      <c r="S287" s="150"/>
      <c r="T287" s="150"/>
      <c r="U287" s="150"/>
      <c r="V287" s="150"/>
      <c r="W287" s="150"/>
      <c r="X287" s="150"/>
      <c r="Y287" s="150"/>
      <c r="Z287" s="150"/>
      <c r="AA287" s="150"/>
      <c r="AB287" s="150"/>
      <c r="AC287" s="150"/>
      <c r="AD287" s="150"/>
      <c r="AE287" s="150"/>
    </row>
    <row r="288" spans="1:31" ht="15">
      <c r="A288" s="150"/>
      <c r="B288" s="150"/>
      <c r="C288" s="150"/>
      <c r="D288" s="150"/>
      <c r="E288" s="150"/>
      <c r="F288" s="150"/>
      <c r="G288" s="583"/>
      <c r="H288" s="583"/>
      <c r="I288" s="583"/>
      <c r="J288" s="1767"/>
      <c r="K288" s="1767"/>
      <c r="L288" s="150"/>
      <c r="M288" s="583"/>
      <c r="N288" s="583"/>
      <c r="O288" s="150"/>
      <c r="P288" s="150"/>
      <c r="Q288" s="150"/>
      <c r="R288" s="150"/>
      <c r="S288" s="150"/>
      <c r="T288" s="150"/>
      <c r="U288" s="150"/>
      <c r="V288" s="150"/>
      <c r="W288" s="150"/>
      <c r="X288" s="150"/>
      <c r="Y288" s="150"/>
      <c r="Z288" s="150"/>
      <c r="AA288" s="150"/>
      <c r="AB288" s="150"/>
      <c r="AC288" s="150"/>
      <c r="AD288" s="150"/>
      <c r="AE288" s="150"/>
    </row>
    <row r="289" spans="1:31" ht="15">
      <c r="A289" s="150"/>
      <c r="B289" s="150"/>
      <c r="C289" s="150"/>
      <c r="D289" s="150"/>
      <c r="E289" s="150"/>
      <c r="F289" s="150"/>
      <c r="G289" s="583"/>
      <c r="H289" s="583"/>
      <c r="I289" s="583"/>
      <c r="J289" s="1767"/>
      <c r="K289" s="1767"/>
      <c r="L289" s="150"/>
      <c r="M289" s="583"/>
      <c r="N289" s="583"/>
      <c r="O289" s="150"/>
      <c r="P289" s="150"/>
      <c r="Q289" s="150"/>
      <c r="R289" s="150"/>
      <c r="S289" s="150"/>
      <c r="T289" s="150"/>
      <c r="U289" s="150"/>
      <c r="V289" s="150"/>
      <c r="W289" s="150"/>
      <c r="X289" s="150"/>
      <c r="Y289" s="150"/>
      <c r="Z289" s="150"/>
      <c r="AA289" s="150"/>
      <c r="AB289" s="150"/>
      <c r="AC289" s="150"/>
      <c r="AD289" s="150"/>
      <c r="AE289" s="150"/>
    </row>
    <row r="290" spans="1:31" ht="15">
      <c r="A290" s="150"/>
      <c r="B290" s="150"/>
      <c r="C290" s="150"/>
      <c r="D290" s="150"/>
      <c r="E290" s="150"/>
      <c r="F290" s="150"/>
      <c r="G290" s="583"/>
      <c r="H290" s="583"/>
      <c r="I290" s="583"/>
      <c r="J290" s="1767"/>
      <c r="K290" s="1767"/>
      <c r="L290" s="150"/>
      <c r="M290" s="583"/>
      <c r="N290" s="583"/>
      <c r="O290" s="150"/>
      <c r="P290" s="150"/>
      <c r="Q290" s="150"/>
      <c r="R290" s="150"/>
      <c r="S290" s="150"/>
      <c r="T290" s="150"/>
      <c r="U290" s="150"/>
      <c r="V290" s="150"/>
      <c r="W290" s="150"/>
      <c r="X290" s="150"/>
      <c r="Y290" s="150"/>
      <c r="Z290" s="150"/>
      <c r="AA290" s="150"/>
      <c r="AB290" s="150"/>
      <c r="AC290" s="150"/>
      <c r="AD290" s="150"/>
      <c r="AE290" s="150"/>
    </row>
    <row r="291" spans="1:31" ht="15">
      <c r="A291" s="150"/>
      <c r="B291" s="150"/>
      <c r="C291" s="150"/>
      <c r="D291" s="150"/>
      <c r="E291" s="150"/>
      <c r="F291" s="150"/>
      <c r="G291" s="583"/>
      <c r="H291" s="583"/>
      <c r="I291" s="583"/>
      <c r="J291" s="1767"/>
      <c r="K291" s="1767"/>
      <c r="L291" s="150"/>
      <c r="M291" s="583"/>
      <c r="N291" s="583"/>
      <c r="O291" s="150"/>
      <c r="P291" s="150"/>
      <c r="Q291" s="150"/>
      <c r="R291" s="150"/>
      <c r="S291" s="150"/>
      <c r="T291" s="150"/>
      <c r="U291" s="150"/>
      <c r="V291" s="150"/>
      <c r="W291" s="150"/>
      <c r="X291" s="150"/>
      <c r="Y291" s="150"/>
      <c r="Z291" s="150"/>
      <c r="AA291" s="150"/>
      <c r="AB291" s="150"/>
      <c r="AC291" s="150"/>
      <c r="AD291" s="150"/>
      <c r="AE291" s="150"/>
    </row>
    <row r="292" spans="1:31" ht="15">
      <c r="A292" s="150"/>
      <c r="B292" s="150"/>
      <c r="C292" s="150"/>
      <c r="D292" s="150"/>
      <c r="E292" s="150"/>
      <c r="F292" s="150"/>
      <c r="G292" s="583"/>
      <c r="H292" s="583"/>
      <c r="I292" s="583"/>
      <c r="J292" s="1767"/>
      <c r="K292" s="1767"/>
      <c r="L292" s="150"/>
      <c r="M292" s="583"/>
      <c r="N292" s="583"/>
      <c r="O292" s="150"/>
      <c r="P292" s="150"/>
      <c r="Q292" s="150"/>
      <c r="R292" s="150"/>
      <c r="S292" s="150"/>
      <c r="T292" s="150"/>
      <c r="U292" s="150"/>
      <c r="V292" s="150"/>
      <c r="W292" s="150"/>
      <c r="X292" s="150"/>
      <c r="Y292" s="150"/>
      <c r="Z292" s="150"/>
      <c r="AA292" s="150"/>
      <c r="AB292" s="150"/>
      <c r="AC292" s="150"/>
      <c r="AD292" s="150"/>
      <c r="AE292" s="150"/>
    </row>
    <row r="293" spans="1:31" ht="15">
      <c r="A293" s="150"/>
      <c r="B293" s="150"/>
      <c r="C293" s="150"/>
      <c r="D293" s="150"/>
      <c r="E293" s="150"/>
      <c r="F293" s="150"/>
      <c r="G293" s="583"/>
      <c r="H293" s="583"/>
      <c r="I293" s="583"/>
      <c r="J293" s="1767"/>
      <c r="K293" s="1767"/>
      <c r="L293" s="150"/>
      <c r="M293" s="583"/>
      <c r="N293" s="583"/>
      <c r="O293" s="150"/>
      <c r="P293" s="150"/>
      <c r="Q293" s="150"/>
      <c r="R293" s="150"/>
      <c r="S293" s="150"/>
      <c r="T293" s="150"/>
      <c r="U293" s="150"/>
      <c r="V293" s="150"/>
      <c r="W293" s="150"/>
      <c r="X293" s="150"/>
      <c r="Y293" s="150"/>
      <c r="Z293" s="150"/>
      <c r="AA293" s="150"/>
      <c r="AB293" s="150"/>
      <c r="AC293" s="150"/>
      <c r="AD293" s="150"/>
      <c r="AE293" s="150"/>
    </row>
    <row r="294" spans="1:31" ht="15">
      <c r="A294" s="150"/>
      <c r="B294" s="150"/>
      <c r="C294" s="150"/>
      <c r="D294" s="150"/>
      <c r="E294" s="150"/>
      <c r="F294" s="150"/>
      <c r="G294" s="583"/>
      <c r="H294" s="583"/>
      <c r="I294" s="583"/>
      <c r="J294" s="1767"/>
      <c r="K294" s="1767"/>
      <c r="L294" s="150"/>
      <c r="M294" s="583"/>
      <c r="N294" s="583"/>
      <c r="O294" s="150"/>
      <c r="P294" s="150"/>
      <c r="Q294" s="150"/>
      <c r="R294" s="150"/>
      <c r="S294" s="150"/>
      <c r="T294" s="150"/>
      <c r="U294" s="150"/>
      <c r="V294" s="150"/>
      <c r="W294" s="150"/>
      <c r="X294" s="150"/>
      <c r="Y294" s="150"/>
      <c r="Z294" s="150"/>
      <c r="AA294" s="150"/>
      <c r="AB294" s="150"/>
      <c r="AC294" s="150"/>
      <c r="AD294" s="150"/>
      <c r="AE294" s="150"/>
    </row>
    <row r="295" spans="1:31" ht="15">
      <c r="A295" s="150"/>
      <c r="B295" s="150"/>
      <c r="C295" s="150"/>
      <c r="D295" s="150"/>
      <c r="E295" s="150"/>
      <c r="F295" s="150"/>
      <c r="G295" s="583"/>
      <c r="H295" s="583"/>
      <c r="I295" s="583"/>
      <c r="J295" s="1767"/>
      <c r="K295" s="1767"/>
      <c r="L295" s="150"/>
      <c r="M295" s="583"/>
      <c r="N295" s="583"/>
      <c r="O295" s="150"/>
      <c r="P295" s="150"/>
      <c r="Q295" s="150"/>
      <c r="R295" s="150"/>
      <c r="S295" s="150"/>
      <c r="T295" s="150"/>
      <c r="U295" s="150"/>
      <c r="V295" s="150"/>
      <c r="W295" s="150"/>
      <c r="X295" s="150"/>
      <c r="Y295" s="150"/>
      <c r="Z295" s="150"/>
      <c r="AA295" s="150"/>
      <c r="AB295" s="150"/>
      <c r="AC295" s="150"/>
      <c r="AD295" s="150"/>
      <c r="AE295" s="150"/>
    </row>
    <row r="296" spans="1:31" ht="15">
      <c r="A296" s="150"/>
      <c r="B296" s="150"/>
      <c r="C296" s="150"/>
      <c r="D296" s="150"/>
      <c r="E296" s="150"/>
      <c r="F296" s="150"/>
      <c r="G296" s="583"/>
      <c r="H296" s="583"/>
      <c r="I296" s="583"/>
      <c r="J296" s="1767"/>
      <c r="K296" s="1767"/>
      <c r="L296" s="150"/>
      <c r="M296" s="583"/>
      <c r="N296" s="583"/>
      <c r="O296" s="150"/>
      <c r="P296" s="150"/>
      <c r="Q296" s="150"/>
      <c r="R296" s="150"/>
      <c r="S296" s="150"/>
      <c r="T296" s="150"/>
      <c r="U296" s="150"/>
      <c r="V296" s="150"/>
      <c r="W296" s="150"/>
      <c r="X296" s="150"/>
      <c r="Y296" s="150"/>
      <c r="Z296" s="150"/>
      <c r="AA296" s="150"/>
      <c r="AB296" s="150"/>
      <c r="AC296" s="150"/>
      <c r="AD296" s="150"/>
      <c r="AE296" s="150"/>
    </row>
    <row r="297" spans="1:31" ht="15">
      <c r="A297" s="150"/>
      <c r="B297" s="150"/>
      <c r="C297" s="150"/>
      <c r="D297" s="150"/>
      <c r="E297" s="150"/>
      <c r="F297" s="150"/>
      <c r="G297" s="583"/>
      <c r="H297" s="583"/>
      <c r="I297" s="583"/>
      <c r="J297" s="1767"/>
      <c r="K297" s="1767"/>
      <c r="L297" s="150"/>
      <c r="M297" s="583"/>
      <c r="N297" s="583"/>
      <c r="O297" s="150"/>
      <c r="P297" s="150"/>
      <c r="Q297" s="150"/>
      <c r="R297" s="150"/>
      <c r="S297" s="150"/>
      <c r="T297" s="150"/>
      <c r="U297" s="150"/>
      <c r="V297" s="150"/>
      <c r="W297" s="150"/>
      <c r="X297" s="150"/>
      <c r="Y297" s="150"/>
      <c r="Z297" s="150"/>
      <c r="AA297" s="150"/>
      <c r="AB297" s="150"/>
      <c r="AC297" s="150"/>
      <c r="AD297" s="150"/>
      <c r="AE297" s="150"/>
    </row>
    <row r="298" spans="1:31" ht="15">
      <c r="A298" s="150"/>
      <c r="B298" s="150"/>
      <c r="C298" s="150"/>
      <c r="D298" s="150"/>
      <c r="E298" s="150"/>
      <c r="F298" s="150"/>
      <c r="G298" s="583"/>
      <c r="H298" s="583"/>
      <c r="I298" s="583"/>
      <c r="J298" s="1767"/>
      <c r="K298" s="1767"/>
      <c r="L298" s="150"/>
      <c r="M298" s="583"/>
      <c r="N298" s="583"/>
      <c r="O298" s="150"/>
      <c r="P298" s="150"/>
      <c r="Q298" s="150"/>
      <c r="R298" s="150"/>
      <c r="S298" s="150"/>
      <c r="T298" s="150"/>
      <c r="U298" s="150"/>
      <c r="V298" s="150"/>
      <c r="W298" s="150"/>
      <c r="X298" s="150"/>
      <c r="Y298" s="150"/>
      <c r="Z298" s="150"/>
      <c r="AA298" s="150"/>
      <c r="AB298" s="150"/>
      <c r="AC298" s="150"/>
      <c r="AD298" s="150"/>
      <c r="AE298" s="150"/>
    </row>
    <row r="299" spans="1:31" ht="15">
      <c r="A299" s="150"/>
      <c r="B299" s="150"/>
      <c r="C299" s="150"/>
      <c r="D299" s="150"/>
      <c r="E299" s="150"/>
      <c r="F299" s="150"/>
      <c r="G299" s="583"/>
      <c r="H299" s="583"/>
      <c r="I299" s="583"/>
      <c r="J299" s="1767"/>
      <c r="K299" s="1767"/>
      <c r="L299" s="150"/>
      <c r="M299" s="583"/>
      <c r="N299" s="583"/>
      <c r="O299" s="150"/>
      <c r="P299" s="150"/>
      <c r="Q299" s="150"/>
      <c r="R299" s="150"/>
      <c r="S299" s="150"/>
      <c r="T299" s="150"/>
      <c r="U299" s="150"/>
      <c r="V299" s="150"/>
      <c r="W299" s="150"/>
      <c r="X299" s="150"/>
      <c r="Y299" s="150"/>
      <c r="Z299" s="150"/>
      <c r="AA299" s="150"/>
      <c r="AB299" s="150"/>
      <c r="AC299" s="150"/>
      <c r="AD299" s="150"/>
      <c r="AE299" s="150"/>
    </row>
    <row r="300" spans="1:31" ht="15">
      <c r="A300" s="150"/>
      <c r="B300" s="150"/>
      <c r="C300" s="150"/>
      <c r="D300" s="150"/>
      <c r="E300" s="150"/>
      <c r="F300" s="150"/>
      <c r="G300" s="583"/>
      <c r="H300" s="583"/>
      <c r="I300" s="583"/>
      <c r="J300" s="1767"/>
      <c r="K300" s="1767"/>
      <c r="L300" s="150"/>
      <c r="M300" s="583"/>
      <c r="N300" s="583"/>
      <c r="O300" s="150"/>
      <c r="P300" s="150"/>
      <c r="Q300" s="150"/>
      <c r="R300" s="150"/>
      <c r="S300" s="150"/>
      <c r="T300" s="150"/>
      <c r="U300" s="150"/>
      <c r="V300" s="150"/>
      <c r="W300" s="150"/>
      <c r="X300" s="150"/>
      <c r="Y300" s="150"/>
      <c r="Z300" s="150"/>
      <c r="AA300" s="150"/>
      <c r="AB300" s="150"/>
      <c r="AC300" s="150"/>
      <c r="AD300" s="150"/>
      <c r="AE300" s="150"/>
    </row>
    <row r="301" spans="1:31" ht="15">
      <c r="A301" s="150"/>
      <c r="B301" s="150"/>
      <c r="C301" s="150"/>
      <c r="D301" s="150"/>
      <c r="E301" s="150"/>
      <c r="F301" s="150"/>
      <c r="G301" s="583"/>
      <c r="H301" s="583"/>
      <c r="I301" s="583"/>
      <c r="J301" s="1767"/>
      <c r="K301" s="1767"/>
      <c r="L301" s="150"/>
      <c r="M301" s="583"/>
      <c r="N301" s="583"/>
      <c r="O301" s="150"/>
      <c r="P301" s="150"/>
      <c r="Q301" s="150"/>
      <c r="R301" s="150"/>
      <c r="S301" s="150"/>
      <c r="T301" s="150"/>
      <c r="U301" s="150"/>
      <c r="V301" s="150"/>
      <c r="W301" s="150"/>
      <c r="X301" s="150"/>
      <c r="Y301" s="150"/>
      <c r="Z301" s="150"/>
      <c r="AA301" s="150"/>
      <c r="AB301" s="150"/>
      <c r="AC301" s="150"/>
      <c r="AD301" s="150"/>
      <c r="AE301" s="150"/>
    </row>
    <row r="302" spans="1:31" ht="15">
      <c r="A302" s="150"/>
      <c r="B302" s="150"/>
      <c r="C302" s="150"/>
      <c r="D302" s="150"/>
      <c r="E302" s="150"/>
      <c r="F302" s="150"/>
      <c r="G302" s="583"/>
      <c r="H302" s="583"/>
      <c r="I302" s="583"/>
      <c r="J302" s="1767"/>
      <c r="K302" s="1767"/>
      <c r="L302" s="150"/>
      <c r="M302" s="583"/>
      <c r="N302" s="583"/>
      <c r="O302" s="150"/>
      <c r="P302" s="150"/>
      <c r="Q302" s="150"/>
      <c r="R302" s="150"/>
      <c r="S302" s="150"/>
      <c r="T302" s="150"/>
      <c r="U302" s="150"/>
      <c r="V302" s="150"/>
      <c r="W302" s="150"/>
      <c r="X302" s="150"/>
      <c r="Y302" s="150"/>
      <c r="Z302" s="150"/>
      <c r="AA302" s="150"/>
      <c r="AB302" s="150"/>
      <c r="AC302" s="150"/>
      <c r="AD302" s="150"/>
      <c r="AE302" s="150"/>
    </row>
    <row r="303" spans="1:31" ht="15">
      <c r="A303" s="150"/>
      <c r="B303" s="150"/>
      <c r="C303" s="150"/>
      <c r="D303" s="150"/>
      <c r="E303" s="150"/>
      <c r="F303" s="150"/>
      <c r="G303" s="583"/>
      <c r="H303" s="583"/>
      <c r="I303" s="583"/>
      <c r="J303" s="1767"/>
      <c r="K303" s="1767"/>
      <c r="L303" s="150"/>
      <c r="M303" s="583"/>
      <c r="N303" s="583"/>
      <c r="O303" s="150"/>
      <c r="P303" s="150"/>
      <c r="Q303" s="150"/>
      <c r="R303" s="150"/>
      <c r="S303" s="150"/>
      <c r="T303" s="150"/>
      <c r="U303" s="150"/>
      <c r="V303" s="150"/>
      <c r="W303" s="150"/>
      <c r="X303" s="150"/>
      <c r="Y303" s="150"/>
      <c r="Z303" s="150"/>
      <c r="AA303" s="150"/>
      <c r="AB303" s="150"/>
      <c r="AC303" s="150"/>
      <c r="AD303" s="150"/>
      <c r="AE303" s="150"/>
    </row>
    <row r="304" spans="1:31" ht="15">
      <c r="A304" s="150"/>
      <c r="B304" s="150"/>
      <c r="C304" s="150"/>
      <c r="D304" s="150"/>
      <c r="E304" s="150"/>
      <c r="F304" s="150"/>
      <c r="G304" s="583"/>
      <c r="H304" s="583"/>
      <c r="I304" s="583"/>
      <c r="J304" s="1767"/>
      <c r="K304" s="1767"/>
      <c r="L304" s="150"/>
      <c r="M304" s="583"/>
      <c r="N304" s="583"/>
      <c r="O304" s="150"/>
      <c r="P304" s="150"/>
      <c r="Q304" s="150"/>
      <c r="R304" s="150"/>
      <c r="S304" s="150"/>
      <c r="T304" s="150"/>
      <c r="U304" s="150"/>
      <c r="V304" s="150"/>
      <c r="W304" s="150"/>
      <c r="X304" s="150"/>
      <c r="Y304" s="150"/>
      <c r="Z304" s="150"/>
      <c r="AA304" s="150"/>
      <c r="AB304" s="150"/>
      <c r="AC304" s="150"/>
      <c r="AD304" s="150"/>
      <c r="AE304" s="150"/>
    </row>
    <row r="305" spans="1:31" ht="15">
      <c r="A305" s="150"/>
      <c r="B305" s="150"/>
      <c r="C305" s="150"/>
      <c r="D305" s="150"/>
      <c r="E305" s="150"/>
      <c r="F305" s="150"/>
      <c r="G305" s="583"/>
      <c r="H305" s="583"/>
      <c r="I305" s="583"/>
      <c r="J305" s="1767"/>
      <c r="K305" s="1767"/>
      <c r="L305" s="150"/>
      <c r="M305" s="583"/>
      <c r="N305" s="583"/>
      <c r="O305" s="150"/>
      <c r="P305" s="150"/>
      <c r="Q305" s="150"/>
      <c r="R305" s="150"/>
      <c r="S305" s="150"/>
      <c r="T305" s="150"/>
      <c r="U305" s="150"/>
      <c r="V305" s="150"/>
      <c r="W305" s="150"/>
      <c r="X305" s="150"/>
      <c r="Y305" s="150"/>
      <c r="Z305" s="150"/>
      <c r="AA305" s="150"/>
      <c r="AB305" s="150"/>
      <c r="AC305" s="150"/>
      <c r="AD305" s="150"/>
      <c r="AE305" s="150"/>
    </row>
    <row r="306" spans="1:31" ht="15">
      <c r="A306" s="150"/>
      <c r="B306" s="150"/>
      <c r="C306" s="150"/>
      <c r="D306" s="150"/>
      <c r="E306" s="150"/>
      <c r="F306" s="150"/>
      <c r="G306" s="583"/>
      <c r="H306" s="583"/>
      <c r="I306" s="583"/>
      <c r="J306" s="1767"/>
      <c r="K306" s="1767"/>
      <c r="L306" s="150"/>
      <c r="M306" s="583"/>
      <c r="N306" s="583"/>
      <c r="O306" s="150"/>
      <c r="P306" s="150"/>
      <c r="Q306" s="150"/>
      <c r="R306" s="150"/>
      <c r="S306" s="150"/>
      <c r="T306" s="150"/>
      <c r="U306" s="150"/>
      <c r="V306" s="150"/>
      <c r="W306" s="150"/>
      <c r="X306" s="150"/>
      <c r="Y306" s="150"/>
      <c r="Z306" s="150"/>
      <c r="AA306" s="150"/>
      <c r="AB306" s="150"/>
      <c r="AC306" s="150"/>
      <c r="AD306" s="150"/>
      <c r="AE306" s="150"/>
    </row>
    <row r="307" spans="1:31" ht="15">
      <c r="A307" s="150"/>
      <c r="B307" s="150"/>
      <c r="C307" s="150"/>
      <c r="D307" s="150"/>
      <c r="E307" s="150"/>
      <c r="F307" s="150"/>
      <c r="G307" s="583"/>
      <c r="H307" s="583"/>
      <c r="I307" s="583"/>
      <c r="J307" s="1767"/>
      <c r="K307" s="1767"/>
      <c r="L307" s="150"/>
      <c r="M307" s="583"/>
      <c r="N307" s="583"/>
      <c r="O307" s="150"/>
      <c r="P307" s="150"/>
      <c r="Q307" s="150"/>
      <c r="R307" s="150"/>
      <c r="S307" s="150"/>
      <c r="T307" s="150"/>
      <c r="U307" s="150"/>
      <c r="V307" s="150"/>
      <c r="W307" s="150"/>
      <c r="X307" s="150"/>
      <c r="Y307" s="150"/>
      <c r="Z307" s="150"/>
      <c r="AA307" s="150"/>
      <c r="AB307" s="150"/>
      <c r="AC307" s="150"/>
      <c r="AD307" s="150"/>
      <c r="AE307" s="150"/>
    </row>
    <row r="308" spans="1:31" ht="15">
      <c r="A308" s="150"/>
      <c r="B308" s="150"/>
      <c r="C308" s="150"/>
      <c r="D308" s="150"/>
      <c r="E308" s="150"/>
      <c r="F308" s="150"/>
      <c r="G308" s="583"/>
      <c r="H308" s="583"/>
      <c r="I308" s="583"/>
      <c r="J308" s="1767"/>
      <c r="K308" s="1767"/>
      <c r="L308" s="150"/>
      <c r="M308" s="583"/>
      <c r="N308" s="583"/>
      <c r="O308" s="150"/>
      <c r="P308" s="150"/>
      <c r="Q308" s="150"/>
      <c r="R308" s="150"/>
      <c r="S308" s="150"/>
      <c r="T308" s="150"/>
      <c r="U308" s="150"/>
      <c r="V308" s="150"/>
      <c r="W308" s="150"/>
      <c r="X308" s="150"/>
      <c r="Y308" s="150"/>
      <c r="Z308" s="150"/>
      <c r="AA308" s="150"/>
      <c r="AB308" s="150"/>
      <c r="AC308" s="150"/>
      <c r="AD308" s="150"/>
      <c r="AE308" s="150"/>
    </row>
    <row r="309" spans="1:31" ht="15">
      <c r="A309" s="150"/>
      <c r="B309" s="150"/>
      <c r="C309" s="150"/>
      <c r="D309" s="150"/>
      <c r="E309" s="150"/>
      <c r="F309" s="150"/>
      <c r="G309" s="583"/>
      <c r="H309" s="583"/>
      <c r="I309" s="583"/>
      <c r="J309" s="1767"/>
      <c r="K309" s="1767"/>
      <c r="L309" s="150"/>
      <c r="M309" s="583"/>
      <c r="N309" s="583"/>
      <c r="O309" s="150"/>
      <c r="P309" s="150"/>
      <c r="Q309" s="150"/>
      <c r="R309" s="150"/>
      <c r="S309" s="150"/>
      <c r="T309" s="150"/>
      <c r="U309" s="150"/>
      <c r="V309" s="150"/>
      <c r="W309" s="150"/>
      <c r="X309" s="150"/>
      <c r="Y309" s="150"/>
      <c r="Z309" s="150"/>
      <c r="AA309" s="150"/>
      <c r="AB309" s="150"/>
      <c r="AC309" s="150"/>
      <c r="AD309" s="150"/>
      <c r="AE309" s="150"/>
    </row>
    <row r="310" spans="1:31" ht="15">
      <c r="A310" s="150"/>
      <c r="B310" s="150"/>
      <c r="C310" s="150"/>
      <c r="D310" s="150"/>
      <c r="E310" s="150"/>
      <c r="F310" s="150"/>
      <c r="G310" s="583"/>
      <c r="H310" s="583"/>
      <c r="I310" s="583"/>
      <c r="J310" s="1767"/>
      <c r="K310" s="1767"/>
      <c r="L310" s="150"/>
      <c r="M310" s="583"/>
      <c r="N310" s="583"/>
      <c r="O310" s="150"/>
      <c r="P310" s="150"/>
      <c r="Q310" s="150"/>
      <c r="R310" s="150"/>
      <c r="S310" s="150"/>
      <c r="T310" s="150"/>
      <c r="U310" s="150"/>
      <c r="V310" s="150"/>
      <c r="W310" s="150"/>
      <c r="X310" s="150"/>
      <c r="Y310" s="150"/>
      <c r="Z310" s="150"/>
      <c r="AA310" s="150"/>
      <c r="AB310" s="150"/>
      <c r="AC310" s="150"/>
      <c r="AD310" s="150"/>
      <c r="AE310" s="150"/>
    </row>
    <row r="311" spans="1:31" ht="15">
      <c r="A311" s="150"/>
      <c r="B311" s="150"/>
      <c r="C311" s="150"/>
      <c r="D311" s="150"/>
      <c r="E311" s="150"/>
      <c r="F311" s="150"/>
      <c r="G311" s="583"/>
      <c r="H311" s="583"/>
      <c r="I311" s="583"/>
      <c r="J311" s="1767"/>
      <c r="K311" s="1767"/>
      <c r="L311" s="150"/>
      <c r="M311" s="583"/>
      <c r="N311" s="583"/>
      <c r="O311" s="150"/>
      <c r="P311" s="150"/>
      <c r="Q311" s="150"/>
      <c r="R311" s="150"/>
      <c r="S311" s="150"/>
      <c r="T311" s="150"/>
      <c r="U311" s="150"/>
      <c r="V311" s="150"/>
      <c r="W311" s="150"/>
      <c r="X311" s="150"/>
      <c r="Y311" s="150"/>
      <c r="Z311" s="150"/>
      <c r="AA311" s="150"/>
      <c r="AB311" s="150"/>
      <c r="AC311" s="150"/>
      <c r="AD311" s="150"/>
      <c r="AE311" s="150"/>
    </row>
    <row r="312" spans="1:31" ht="15">
      <c r="A312" s="150"/>
      <c r="B312" s="150"/>
      <c r="C312" s="150"/>
      <c r="D312" s="150"/>
      <c r="E312" s="150"/>
      <c r="F312" s="150"/>
      <c r="G312" s="583"/>
      <c r="H312" s="583"/>
      <c r="I312" s="583"/>
      <c r="J312" s="1767"/>
      <c r="K312" s="1767"/>
      <c r="L312" s="150"/>
      <c r="M312" s="583"/>
      <c r="N312" s="583"/>
      <c r="O312" s="150"/>
      <c r="P312" s="150"/>
      <c r="Q312" s="150"/>
      <c r="R312" s="150"/>
      <c r="S312" s="150"/>
      <c r="T312" s="150"/>
      <c r="U312" s="150"/>
      <c r="V312" s="150"/>
      <c r="W312" s="150"/>
      <c r="X312" s="150"/>
      <c r="Y312" s="150"/>
      <c r="Z312" s="150"/>
      <c r="AA312" s="150"/>
      <c r="AB312" s="150"/>
      <c r="AC312" s="150"/>
      <c r="AD312" s="150"/>
      <c r="AE312" s="150"/>
    </row>
    <row r="313" spans="1:31" ht="15">
      <c r="A313" s="150"/>
      <c r="B313" s="150"/>
      <c r="C313" s="150"/>
      <c r="D313" s="150"/>
      <c r="E313" s="150"/>
      <c r="F313" s="150"/>
      <c r="G313" s="583"/>
      <c r="H313" s="583"/>
      <c r="I313" s="583"/>
      <c r="J313" s="1767"/>
      <c r="K313" s="1767"/>
      <c r="L313" s="150"/>
      <c r="M313" s="583"/>
      <c r="N313" s="583"/>
      <c r="O313" s="150"/>
      <c r="P313" s="150"/>
      <c r="Q313" s="150"/>
      <c r="R313" s="150"/>
      <c r="S313" s="150"/>
      <c r="T313" s="150"/>
      <c r="U313" s="150"/>
      <c r="V313" s="150"/>
      <c r="W313" s="150"/>
      <c r="X313" s="150"/>
      <c r="Y313" s="150"/>
      <c r="Z313" s="150"/>
      <c r="AA313" s="150"/>
      <c r="AB313" s="150"/>
      <c r="AC313" s="150"/>
      <c r="AD313" s="150"/>
      <c r="AE313" s="150"/>
    </row>
    <row r="314" spans="1:31" ht="15">
      <c r="A314" s="150"/>
      <c r="B314" s="150"/>
      <c r="C314" s="150"/>
      <c r="D314" s="150"/>
      <c r="E314" s="150"/>
      <c r="F314" s="150"/>
      <c r="G314" s="583"/>
      <c r="H314" s="583"/>
      <c r="I314" s="583"/>
      <c r="J314" s="1767"/>
      <c r="K314" s="1767"/>
      <c r="L314" s="150"/>
      <c r="M314" s="583"/>
      <c r="N314" s="583"/>
      <c r="O314" s="150"/>
      <c r="P314" s="150"/>
      <c r="Q314" s="150"/>
      <c r="R314" s="150"/>
      <c r="S314" s="150"/>
      <c r="T314" s="150"/>
      <c r="U314" s="150"/>
      <c r="V314" s="150"/>
      <c r="W314" s="150"/>
      <c r="X314" s="150"/>
      <c r="Y314" s="150"/>
      <c r="Z314" s="150"/>
      <c r="AA314" s="150"/>
      <c r="AB314" s="150"/>
      <c r="AC314" s="150"/>
      <c r="AD314" s="150"/>
      <c r="AE314" s="150"/>
    </row>
    <row r="315" spans="1:31" ht="15">
      <c r="A315" s="150"/>
      <c r="B315" s="150"/>
      <c r="C315" s="150"/>
      <c r="D315" s="150"/>
      <c r="E315" s="150"/>
      <c r="F315" s="150"/>
      <c r="G315" s="583"/>
      <c r="H315" s="583"/>
      <c r="I315" s="583"/>
      <c r="J315" s="1767"/>
      <c r="K315" s="1767"/>
      <c r="L315" s="150"/>
      <c r="M315" s="583"/>
      <c r="N315" s="583"/>
      <c r="O315" s="150"/>
      <c r="P315" s="150"/>
      <c r="Q315" s="150"/>
      <c r="R315" s="150"/>
      <c r="S315" s="150"/>
      <c r="T315" s="150"/>
      <c r="U315" s="150"/>
      <c r="V315" s="150"/>
      <c r="W315" s="150"/>
      <c r="X315" s="150"/>
      <c r="Y315" s="150"/>
      <c r="Z315" s="150"/>
      <c r="AA315" s="150"/>
      <c r="AB315" s="150"/>
      <c r="AC315" s="150"/>
      <c r="AD315" s="150"/>
      <c r="AE315" s="150"/>
    </row>
    <row r="316" spans="1:31" ht="15">
      <c r="A316" s="150"/>
      <c r="B316" s="150"/>
      <c r="C316" s="150"/>
      <c r="D316" s="150"/>
      <c r="E316" s="150"/>
      <c r="F316" s="150"/>
      <c r="G316" s="583"/>
      <c r="H316" s="583"/>
      <c r="I316" s="583"/>
      <c r="J316" s="1767"/>
      <c r="K316" s="1767"/>
      <c r="L316" s="150"/>
      <c r="M316" s="583"/>
      <c r="N316" s="583"/>
      <c r="O316" s="150"/>
      <c r="P316" s="150"/>
      <c r="Q316" s="150"/>
      <c r="R316" s="150"/>
      <c r="S316" s="150"/>
      <c r="T316" s="150"/>
      <c r="U316" s="150"/>
      <c r="V316" s="150"/>
      <c r="W316" s="150"/>
      <c r="X316" s="150"/>
      <c r="Y316" s="150"/>
      <c r="Z316" s="150"/>
      <c r="AA316" s="150"/>
      <c r="AB316" s="150"/>
      <c r="AC316" s="150"/>
      <c r="AD316" s="150"/>
      <c r="AE316" s="150"/>
    </row>
    <row r="317" spans="1:31" ht="15">
      <c r="A317" s="150"/>
      <c r="B317" s="150"/>
      <c r="C317" s="150"/>
      <c r="D317" s="150"/>
      <c r="E317" s="150"/>
      <c r="F317" s="150"/>
      <c r="G317" s="583"/>
      <c r="H317" s="583"/>
      <c r="I317" s="583"/>
      <c r="J317" s="1767"/>
      <c r="K317" s="1767"/>
      <c r="L317" s="150"/>
      <c r="M317" s="583"/>
      <c r="N317" s="583"/>
      <c r="O317" s="150"/>
      <c r="P317" s="150"/>
      <c r="Q317" s="150"/>
      <c r="R317" s="150"/>
      <c r="S317" s="150"/>
      <c r="T317" s="150"/>
      <c r="U317" s="150"/>
      <c r="V317" s="150"/>
      <c r="W317" s="150"/>
      <c r="X317" s="150"/>
      <c r="Y317" s="150"/>
      <c r="Z317" s="150"/>
      <c r="AA317" s="150"/>
      <c r="AB317" s="150"/>
      <c r="AC317" s="150"/>
      <c r="AD317" s="150"/>
      <c r="AE317" s="150"/>
    </row>
    <row r="318" spans="1:31" ht="15">
      <c r="A318" s="150"/>
      <c r="B318" s="150"/>
      <c r="C318" s="150"/>
      <c r="D318" s="150"/>
      <c r="E318" s="150"/>
      <c r="F318" s="150"/>
      <c r="G318" s="583"/>
      <c r="H318" s="583"/>
      <c r="I318" s="583"/>
      <c r="J318" s="1767"/>
      <c r="K318" s="1767"/>
      <c r="L318" s="150"/>
      <c r="M318" s="583"/>
      <c r="N318" s="583"/>
      <c r="O318" s="150"/>
      <c r="P318" s="150"/>
      <c r="Q318" s="150"/>
      <c r="R318" s="150"/>
      <c r="S318" s="150"/>
      <c r="T318" s="150"/>
      <c r="U318" s="150"/>
      <c r="V318" s="150"/>
      <c r="W318" s="150"/>
      <c r="X318" s="150"/>
      <c r="Y318" s="150"/>
      <c r="Z318" s="150"/>
      <c r="AA318" s="150"/>
      <c r="AB318" s="150"/>
      <c r="AC318" s="150"/>
      <c r="AD318" s="150"/>
      <c r="AE318" s="150"/>
    </row>
    <row r="319" spans="1:31" ht="15">
      <c r="A319" s="150"/>
      <c r="B319" s="150"/>
      <c r="C319" s="150"/>
      <c r="D319" s="150"/>
      <c r="E319" s="150"/>
      <c r="F319" s="150"/>
      <c r="G319" s="583"/>
      <c r="H319" s="583"/>
      <c r="I319" s="583"/>
      <c r="J319" s="1767"/>
      <c r="K319" s="1767"/>
      <c r="L319" s="150"/>
      <c r="M319" s="583"/>
      <c r="N319" s="583"/>
      <c r="O319" s="150"/>
      <c r="P319" s="150"/>
      <c r="Q319" s="150"/>
      <c r="R319" s="150"/>
      <c r="S319" s="150"/>
      <c r="T319" s="150"/>
      <c r="U319" s="150"/>
      <c r="V319" s="150"/>
      <c r="W319" s="150"/>
      <c r="X319" s="150"/>
      <c r="Y319" s="150"/>
      <c r="Z319" s="150"/>
      <c r="AA319" s="150"/>
      <c r="AB319" s="150"/>
      <c r="AC319" s="150"/>
      <c r="AD319" s="150"/>
      <c r="AE319" s="150"/>
    </row>
    <row r="320" spans="1:31" ht="15">
      <c r="A320" s="150"/>
      <c r="B320" s="150"/>
      <c r="C320" s="150"/>
      <c r="D320" s="150"/>
      <c r="E320" s="150"/>
      <c r="F320" s="150"/>
      <c r="G320" s="583"/>
      <c r="H320" s="583"/>
      <c r="I320" s="583"/>
      <c r="J320" s="1767"/>
      <c r="K320" s="1767"/>
      <c r="L320" s="150"/>
      <c r="M320" s="583"/>
      <c r="N320" s="583"/>
      <c r="O320" s="150"/>
      <c r="P320" s="150"/>
      <c r="Q320" s="150"/>
      <c r="R320" s="150"/>
      <c r="S320" s="150"/>
      <c r="T320" s="150"/>
      <c r="U320" s="150"/>
      <c r="V320" s="150"/>
      <c r="W320" s="150"/>
      <c r="X320" s="150"/>
      <c r="Y320" s="150"/>
      <c r="Z320" s="150"/>
      <c r="AA320" s="150"/>
      <c r="AB320" s="150"/>
      <c r="AC320" s="150"/>
      <c r="AD320" s="150"/>
      <c r="AE320" s="150"/>
    </row>
    <row r="321" spans="1:31" ht="15">
      <c r="A321" s="150"/>
      <c r="B321" s="150"/>
      <c r="C321" s="150"/>
      <c r="D321" s="150"/>
      <c r="E321" s="150"/>
      <c r="F321" s="150"/>
      <c r="G321" s="583"/>
      <c r="H321" s="583"/>
      <c r="I321" s="583"/>
      <c r="J321" s="1767"/>
      <c r="K321" s="1767"/>
      <c r="L321" s="150"/>
      <c r="M321" s="583"/>
      <c r="N321" s="583"/>
      <c r="O321" s="150"/>
      <c r="P321" s="150"/>
      <c r="Q321" s="150"/>
      <c r="R321" s="150"/>
      <c r="S321" s="150"/>
      <c r="T321" s="150"/>
      <c r="U321" s="150"/>
      <c r="V321" s="150"/>
      <c r="W321" s="150"/>
      <c r="X321" s="150"/>
      <c r="Y321" s="150"/>
      <c r="Z321" s="150"/>
      <c r="AA321" s="150"/>
      <c r="AB321" s="150"/>
      <c r="AC321" s="150"/>
      <c r="AD321" s="150"/>
      <c r="AE321" s="150"/>
    </row>
    <row r="322" spans="1:31" ht="15">
      <c r="A322" s="150"/>
      <c r="B322" s="150"/>
      <c r="C322" s="150"/>
      <c r="D322" s="150"/>
      <c r="E322" s="150"/>
      <c r="F322" s="150"/>
      <c r="G322" s="583"/>
      <c r="H322" s="583"/>
      <c r="I322" s="583"/>
      <c r="J322" s="1767"/>
      <c r="K322" s="1767"/>
      <c r="L322" s="150"/>
      <c r="M322" s="583"/>
      <c r="N322" s="583"/>
      <c r="O322" s="150"/>
      <c r="P322" s="150"/>
      <c r="Q322" s="150"/>
      <c r="R322" s="150"/>
      <c r="S322" s="150"/>
      <c r="T322" s="150"/>
      <c r="U322" s="150"/>
      <c r="V322" s="150"/>
      <c r="W322" s="150"/>
      <c r="X322" s="150"/>
      <c r="Y322" s="150"/>
      <c r="Z322" s="150"/>
      <c r="AA322" s="150"/>
      <c r="AB322" s="150"/>
      <c r="AC322" s="150"/>
      <c r="AD322" s="150"/>
      <c r="AE322" s="150"/>
    </row>
    <row r="323" spans="1:31" ht="15">
      <c r="A323" s="150"/>
      <c r="B323" s="150"/>
      <c r="C323" s="150"/>
      <c r="D323" s="150"/>
      <c r="E323" s="150"/>
      <c r="F323" s="150"/>
      <c r="G323" s="583"/>
      <c r="H323" s="583"/>
      <c r="I323" s="583"/>
      <c r="J323" s="1767"/>
      <c r="K323" s="1767"/>
      <c r="L323" s="150"/>
      <c r="M323" s="583"/>
      <c r="N323" s="583"/>
      <c r="O323" s="150"/>
      <c r="P323" s="150"/>
      <c r="Q323" s="150"/>
      <c r="R323" s="150"/>
      <c r="S323" s="150"/>
      <c r="T323" s="150"/>
      <c r="U323" s="150"/>
      <c r="V323" s="150"/>
      <c r="W323" s="150"/>
      <c r="X323" s="150"/>
      <c r="Y323" s="150"/>
      <c r="Z323" s="150"/>
      <c r="AA323" s="150"/>
      <c r="AB323" s="150"/>
      <c r="AC323" s="150"/>
      <c r="AD323" s="150"/>
      <c r="AE323" s="150"/>
    </row>
    <row r="324" spans="1:31" ht="15">
      <c r="A324" s="150"/>
      <c r="B324" s="150"/>
      <c r="C324" s="150"/>
      <c r="D324" s="150"/>
      <c r="E324" s="150"/>
      <c r="F324" s="150"/>
      <c r="G324" s="583"/>
      <c r="H324" s="583"/>
      <c r="I324" s="583"/>
      <c r="J324" s="1767"/>
      <c r="K324" s="1767"/>
      <c r="L324" s="150"/>
      <c r="M324" s="583"/>
      <c r="N324" s="583"/>
      <c r="O324" s="150"/>
      <c r="P324" s="150"/>
      <c r="Q324" s="150"/>
      <c r="R324" s="150"/>
      <c r="S324" s="150"/>
      <c r="T324" s="150"/>
      <c r="U324" s="150"/>
      <c r="V324" s="150"/>
      <c r="W324" s="150"/>
      <c r="X324" s="150"/>
      <c r="Y324" s="150"/>
      <c r="Z324" s="150"/>
      <c r="AA324" s="150"/>
      <c r="AB324" s="150"/>
      <c r="AC324" s="150"/>
      <c r="AD324" s="150"/>
      <c r="AE324" s="150"/>
    </row>
    <row r="325" spans="1:31" ht="15">
      <c r="A325" s="150"/>
      <c r="B325" s="150"/>
      <c r="C325" s="150"/>
      <c r="D325" s="150"/>
      <c r="E325" s="150"/>
      <c r="F325" s="150"/>
      <c r="G325" s="583"/>
      <c r="H325" s="583"/>
      <c r="I325" s="583"/>
      <c r="J325" s="1767"/>
      <c r="K325" s="1767"/>
      <c r="L325" s="150"/>
      <c r="M325" s="583"/>
      <c r="N325" s="583"/>
      <c r="O325" s="150"/>
      <c r="P325" s="150"/>
      <c r="Q325" s="150"/>
      <c r="R325" s="150"/>
      <c r="S325" s="150"/>
      <c r="T325" s="150"/>
      <c r="U325" s="150"/>
      <c r="V325" s="150"/>
      <c r="W325" s="150"/>
      <c r="X325" s="150"/>
      <c r="Y325" s="150"/>
      <c r="Z325" s="150"/>
      <c r="AA325" s="150"/>
      <c r="AB325" s="150"/>
      <c r="AC325" s="150"/>
      <c r="AD325" s="150"/>
      <c r="AE325" s="150"/>
    </row>
    <row r="326" spans="1:31" ht="15">
      <c r="A326" s="150"/>
      <c r="B326" s="150"/>
      <c r="C326" s="150"/>
      <c r="D326" s="150"/>
      <c r="E326" s="150"/>
      <c r="F326" s="150"/>
      <c r="G326" s="583"/>
      <c r="H326" s="583"/>
      <c r="I326" s="583"/>
      <c r="J326" s="1767"/>
      <c r="K326" s="1767"/>
      <c r="L326" s="150"/>
      <c r="M326" s="583"/>
      <c r="N326" s="583"/>
      <c r="O326" s="150"/>
      <c r="P326" s="150"/>
      <c r="Q326" s="150"/>
      <c r="R326" s="150"/>
      <c r="S326" s="150"/>
      <c r="T326" s="150"/>
      <c r="U326" s="150"/>
      <c r="V326" s="150"/>
      <c r="W326" s="150"/>
      <c r="X326" s="150"/>
      <c r="Y326" s="150"/>
      <c r="Z326" s="150"/>
      <c r="AA326" s="150"/>
      <c r="AB326" s="150"/>
      <c r="AC326" s="150"/>
      <c r="AD326" s="150"/>
      <c r="AE326" s="150"/>
    </row>
    <row r="327" spans="1:31" ht="15">
      <c r="A327" s="150"/>
      <c r="B327" s="150"/>
      <c r="C327" s="150"/>
      <c r="D327" s="150"/>
      <c r="E327" s="150"/>
      <c r="F327" s="150"/>
      <c r="G327" s="583"/>
      <c r="H327" s="583"/>
      <c r="I327" s="583"/>
      <c r="J327" s="1767"/>
      <c r="K327" s="1767"/>
      <c r="L327" s="150"/>
      <c r="M327" s="583"/>
      <c r="N327" s="583"/>
      <c r="O327" s="150"/>
      <c r="P327" s="150"/>
      <c r="Q327" s="150"/>
      <c r="R327" s="150"/>
      <c r="S327" s="150"/>
      <c r="T327" s="150"/>
      <c r="U327" s="150"/>
      <c r="V327" s="150"/>
      <c r="W327" s="150"/>
      <c r="X327" s="150"/>
      <c r="Y327" s="150"/>
      <c r="Z327" s="150"/>
      <c r="AA327" s="150"/>
      <c r="AB327" s="150"/>
      <c r="AC327" s="150"/>
      <c r="AD327" s="150"/>
      <c r="AE327" s="150"/>
    </row>
    <row r="328" spans="1:31" ht="15">
      <c r="A328" s="150"/>
      <c r="B328" s="150"/>
      <c r="C328" s="150"/>
      <c r="D328" s="150"/>
      <c r="E328" s="150"/>
      <c r="F328" s="150"/>
      <c r="G328" s="583"/>
      <c r="H328" s="583"/>
      <c r="I328" s="583"/>
      <c r="J328" s="1767"/>
      <c r="K328" s="1767"/>
      <c r="L328" s="150"/>
      <c r="M328" s="583"/>
      <c r="N328" s="583"/>
      <c r="O328" s="150"/>
      <c r="P328" s="150"/>
      <c r="Q328" s="150"/>
      <c r="R328" s="150"/>
      <c r="S328" s="150"/>
      <c r="T328" s="150"/>
      <c r="U328" s="150"/>
      <c r="V328" s="150"/>
      <c r="W328" s="150"/>
      <c r="X328" s="150"/>
      <c r="Y328" s="150"/>
      <c r="Z328" s="150"/>
      <c r="AA328" s="150"/>
      <c r="AB328" s="150"/>
      <c r="AC328" s="150"/>
      <c r="AD328" s="150"/>
      <c r="AE328" s="150"/>
    </row>
    <row r="329" spans="1:31" ht="15">
      <c r="A329" s="150"/>
      <c r="B329" s="150"/>
      <c r="C329" s="150"/>
      <c r="D329" s="150"/>
      <c r="E329" s="150"/>
      <c r="F329" s="150"/>
      <c r="G329" s="583"/>
      <c r="H329" s="583"/>
      <c r="I329" s="583"/>
      <c r="J329" s="1767"/>
      <c r="K329" s="1767"/>
      <c r="L329" s="150"/>
      <c r="M329" s="583"/>
      <c r="N329" s="583"/>
      <c r="O329" s="150"/>
      <c r="P329" s="150"/>
      <c r="Q329" s="150"/>
      <c r="R329" s="150"/>
      <c r="S329" s="150"/>
      <c r="T329" s="150"/>
      <c r="U329" s="150"/>
      <c r="V329" s="150"/>
      <c r="W329" s="150"/>
      <c r="X329" s="150"/>
      <c r="Y329" s="150"/>
      <c r="Z329" s="150"/>
      <c r="AA329" s="150"/>
      <c r="AB329" s="150"/>
      <c r="AC329" s="150"/>
      <c r="AD329" s="150"/>
      <c r="AE329" s="150"/>
    </row>
    <row r="330" spans="1:31" ht="15">
      <c r="A330" s="150"/>
      <c r="B330" s="150"/>
      <c r="C330" s="150"/>
      <c r="D330" s="150"/>
      <c r="E330" s="150"/>
      <c r="F330" s="150"/>
      <c r="G330" s="583"/>
      <c r="H330" s="583"/>
      <c r="I330" s="583"/>
      <c r="J330" s="1767"/>
      <c r="K330" s="1767"/>
      <c r="L330" s="150"/>
      <c r="M330" s="583"/>
      <c r="N330" s="583"/>
      <c r="O330" s="150"/>
      <c r="P330" s="150"/>
      <c r="Q330" s="150"/>
      <c r="R330" s="150"/>
      <c r="S330" s="150"/>
      <c r="T330" s="150"/>
      <c r="U330" s="150"/>
      <c r="V330" s="150"/>
      <c r="W330" s="150"/>
      <c r="X330" s="150"/>
      <c r="Y330" s="150"/>
      <c r="Z330" s="150"/>
      <c r="AA330" s="150"/>
      <c r="AB330" s="150"/>
      <c r="AC330" s="150"/>
      <c r="AD330" s="150"/>
      <c r="AE330" s="150"/>
    </row>
    <row r="331" spans="1:31" ht="15">
      <c r="A331" s="150"/>
      <c r="B331" s="150"/>
      <c r="C331" s="150"/>
      <c r="D331" s="150"/>
      <c r="E331" s="150"/>
      <c r="F331" s="150"/>
      <c r="G331" s="583"/>
      <c r="H331" s="583"/>
      <c r="I331" s="583"/>
      <c r="J331" s="1767"/>
      <c r="K331" s="1767"/>
      <c r="L331" s="150"/>
      <c r="M331" s="583"/>
      <c r="N331" s="583"/>
      <c r="O331" s="150"/>
      <c r="P331" s="150"/>
      <c r="Q331" s="150"/>
      <c r="R331" s="150"/>
      <c r="S331" s="150"/>
      <c r="T331" s="150"/>
      <c r="U331" s="150"/>
      <c r="V331" s="150"/>
      <c r="W331" s="150"/>
      <c r="X331" s="150"/>
      <c r="Y331" s="150"/>
      <c r="Z331" s="150"/>
      <c r="AA331" s="150"/>
      <c r="AB331" s="150"/>
      <c r="AC331" s="150"/>
      <c r="AD331" s="150"/>
      <c r="AE331" s="150"/>
    </row>
    <row r="332" spans="1:31" ht="15">
      <c r="A332" s="150"/>
      <c r="B332" s="150"/>
      <c r="C332" s="150"/>
      <c r="D332" s="150"/>
      <c r="E332" s="150"/>
      <c r="F332" s="150"/>
      <c r="G332" s="583"/>
      <c r="H332" s="583"/>
      <c r="I332" s="583"/>
      <c r="J332" s="1767"/>
      <c r="K332" s="1767"/>
      <c r="L332" s="150"/>
      <c r="M332" s="583"/>
      <c r="N332" s="583"/>
      <c r="O332" s="150"/>
      <c r="P332" s="150"/>
      <c r="Q332" s="150"/>
      <c r="R332" s="150"/>
      <c r="S332" s="150"/>
      <c r="T332" s="150"/>
      <c r="U332" s="150"/>
      <c r="V332" s="150"/>
      <c r="W332" s="150"/>
      <c r="X332" s="150"/>
      <c r="Y332" s="150"/>
      <c r="Z332" s="150"/>
      <c r="AA332" s="150"/>
      <c r="AB332" s="150"/>
      <c r="AC332" s="150"/>
      <c r="AD332" s="150"/>
      <c r="AE332" s="150"/>
    </row>
    <row r="333" spans="1:31" ht="15">
      <c r="A333" s="150"/>
      <c r="B333" s="150"/>
      <c r="C333" s="150"/>
      <c r="D333" s="150"/>
      <c r="E333" s="150"/>
      <c r="F333" s="150"/>
      <c r="G333" s="583"/>
      <c r="H333" s="583"/>
      <c r="I333" s="583"/>
      <c r="J333" s="1767"/>
      <c r="K333" s="1767"/>
      <c r="L333" s="150"/>
      <c r="M333" s="583"/>
      <c r="N333" s="583"/>
      <c r="O333" s="150"/>
      <c r="P333" s="150"/>
      <c r="Q333" s="150"/>
      <c r="R333" s="150"/>
      <c r="S333" s="150"/>
      <c r="T333" s="150"/>
      <c r="U333" s="150"/>
      <c r="V333" s="150"/>
      <c r="W333" s="150"/>
      <c r="X333" s="150"/>
      <c r="Y333" s="150"/>
      <c r="Z333" s="150"/>
      <c r="AA333" s="150"/>
      <c r="AB333" s="150"/>
      <c r="AC333" s="150"/>
      <c r="AD333" s="150"/>
      <c r="AE333" s="150"/>
    </row>
    <row r="334" spans="1:31" ht="15">
      <c r="A334" s="150"/>
      <c r="B334" s="150"/>
      <c r="C334" s="150"/>
      <c r="D334" s="150"/>
      <c r="E334" s="150"/>
      <c r="F334" s="150"/>
      <c r="G334" s="583"/>
      <c r="H334" s="583"/>
      <c r="I334" s="583"/>
      <c r="J334" s="1767"/>
      <c r="K334" s="1767"/>
      <c r="L334" s="150"/>
      <c r="M334" s="583"/>
      <c r="N334" s="583"/>
      <c r="O334" s="150"/>
      <c r="P334" s="150"/>
      <c r="Q334" s="150"/>
      <c r="R334" s="150"/>
      <c r="S334" s="150"/>
      <c r="T334" s="150"/>
      <c r="U334" s="150"/>
      <c r="V334" s="150"/>
      <c r="W334" s="150"/>
      <c r="X334" s="150"/>
      <c r="Y334" s="150"/>
      <c r="Z334" s="150"/>
      <c r="AA334" s="150"/>
      <c r="AB334" s="150"/>
      <c r="AC334" s="150"/>
      <c r="AD334" s="150"/>
      <c r="AE334" s="150"/>
    </row>
    <row r="335" spans="1:31" ht="15">
      <c r="A335" s="150"/>
      <c r="B335" s="150"/>
      <c r="C335" s="150"/>
      <c r="D335" s="150"/>
      <c r="E335" s="150"/>
      <c r="F335" s="150"/>
      <c r="G335" s="583"/>
      <c r="H335" s="583"/>
      <c r="I335" s="583"/>
      <c r="J335" s="1767"/>
      <c r="K335" s="1767"/>
      <c r="L335" s="150"/>
      <c r="M335" s="583"/>
      <c r="N335" s="583"/>
      <c r="O335" s="150"/>
      <c r="P335" s="150"/>
      <c r="Q335" s="150"/>
      <c r="R335" s="150"/>
      <c r="S335" s="150"/>
      <c r="T335" s="150"/>
      <c r="U335" s="150"/>
      <c r="V335" s="150"/>
      <c r="W335" s="150"/>
      <c r="X335" s="150"/>
      <c r="Y335" s="150"/>
      <c r="Z335" s="150"/>
      <c r="AA335" s="150"/>
      <c r="AB335" s="150"/>
      <c r="AC335" s="150"/>
      <c r="AD335" s="150"/>
      <c r="AE335" s="150"/>
    </row>
    <row r="336" spans="1:31" ht="15">
      <c r="A336" s="150"/>
      <c r="B336" s="150"/>
      <c r="C336" s="150"/>
      <c r="D336" s="150"/>
      <c r="E336" s="150"/>
      <c r="F336" s="150"/>
      <c r="G336" s="583"/>
      <c r="H336" s="583"/>
      <c r="I336" s="583"/>
      <c r="J336" s="1767"/>
      <c r="K336" s="1767"/>
      <c r="L336" s="150"/>
      <c r="M336" s="583"/>
      <c r="N336" s="583"/>
      <c r="O336" s="150"/>
      <c r="P336" s="150"/>
      <c r="Q336" s="150"/>
      <c r="R336" s="150"/>
      <c r="S336" s="150"/>
      <c r="T336" s="150"/>
      <c r="U336" s="150"/>
      <c r="V336" s="150"/>
      <c r="W336" s="150"/>
      <c r="X336" s="150"/>
      <c r="Y336" s="150"/>
      <c r="Z336" s="150"/>
      <c r="AA336" s="150"/>
      <c r="AB336" s="150"/>
      <c r="AC336" s="150"/>
      <c r="AD336" s="150"/>
      <c r="AE336" s="150"/>
    </row>
    <row r="337" spans="1:31" ht="15">
      <c r="A337" s="150"/>
      <c r="B337" s="150"/>
      <c r="C337" s="150"/>
      <c r="D337" s="150"/>
      <c r="E337" s="150"/>
      <c r="F337" s="150"/>
      <c r="G337" s="583"/>
      <c r="H337" s="583"/>
      <c r="I337" s="583"/>
      <c r="J337" s="1767"/>
      <c r="K337" s="1767"/>
      <c r="L337" s="150"/>
      <c r="M337" s="583"/>
      <c r="N337" s="583"/>
      <c r="O337" s="150"/>
      <c r="P337" s="150"/>
      <c r="Q337" s="150"/>
      <c r="R337" s="150"/>
      <c r="S337" s="150"/>
      <c r="T337" s="150"/>
      <c r="U337" s="150"/>
      <c r="V337" s="150"/>
      <c r="W337" s="150"/>
      <c r="X337" s="150"/>
      <c r="Y337" s="150"/>
      <c r="Z337" s="150"/>
      <c r="AA337" s="150"/>
      <c r="AB337" s="150"/>
      <c r="AC337" s="150"/>
      <c r="AD337" s="150"/>
      <c r="AE337" s="150"/>
    </row>
    <row r="338" spans="1:31" ht="15">
      <c r="A338" s="150"/>
      <c r="B338" s="150"/>
      <c r="C338" s="150"/>
      <c r="D338" s="150"/>
      <c r="E338" s="150"/>
      <c r="F338" s="150"/>
      <c r="G338" s="583"/>
      <c r="H338" s="583"/>
      <c r="I338" s="583"/>
      <c r="J338" s="1767"/>
      <c r="K338" s="1767"/>
      <c r="L338" s="150"/>
      <c r="M338" s="583"/>
      <c r="N338" s="583"/>
      <c r="O338" s="150"/>
      <c r="P338" s="150"/>
      <c r="Q338" s="150"/>
      <c r="R338" s="150"/>
      <c r="S338" s="150"/>
      <c r="T338" s="150"/>
      <c r="U338" s="150"/>
      <c r="V338" s="150"/>
      <c r="W338" s="150"/>
      <c r="X338" s="150"/>
      <c r="Y338" s="150"/>
      <c r="Z338" s="150"/>
      <c r="AA338" s="150"/>
      <c r="AB338" s="150"/>
      <c r="AC338" s="150"/>
      <c r="AD338" s="150"/>
      <c r="AE338" s="150"/>
    </row>
    <row r="339" spans="1:31" ht="15">
      <c r="A339" s="150"/>
      <c r="B339" s="150"/>
      <c r="C339" s="150"/>
      <c r="D339" s="150"/>
      <c r="E339" s="150"/>
      <c r="F339" s="150"/>
      <c r="G339" s="583"/>
      <c r="H339" s="583"/>
      <c r="I339" s="583"/>
      <c r="J339" s="1767"/>
      <c r="K339" s="1767"/>
      <c r="L339" s="150"/>
      <c r="M339" s="583"/>
      <c r="N339" s="583"/>
      <c r="O339" s="150"/>
      <c r="P339" s="150"/>
      <c r="Q339" s="150"/>
      <c r="R339" s="150"/>
      <c r="S339" s="150"/>
      <c r="T339" s="150"/>
      <c r="U339" s="150"/>
      <c r="V339" s="150"/>
      <c r="W339" s="150"/>
      <c r="X339" s="150"/>
      <c r="Y339" s="150"/>
      <c r="Z339" s="150"/>
      <c r="AA339" s="150"/>
      <c r="AB339" s="150"/>
      <c r="AC339" s="150"/>
      <c r="AD339" s="150"/>
      <c r="AE339" s="150"/>
    </row>
    <row r="340" spans="1:31" ht="15">
      <c r="A340" s="150"/>
      <c r="B340" s="150"/>
      <c r="C340" s="150"/>
      <c r="D340" s="150"/>
      <c r="E340" s="150"/>
      <c r="F340" s="150"/>
      <c r="G340" s="583"/>
      <c r="H340" s="583"/>
      <c r="I340" s="583"/>
      <c r="J340" s="1767"/>
      <c r="K340" s="1767"/>
      <c r="L340" s="150"/>
      <c r="M340" s="583"/>
      <c r="N340" s="583"/>
      <c r="O340" s="150"/>
      <c r="P340" s="150"/>
      <c r="Q340" s="150"/>
      <c r="R340" s="150"/>
      <c r="S340" s="150"/>
      <c r="T340" s="150"/>
      <c r="U340" s="150"/>
      <c r="V340" s="150"/>
      <c r="W340" s="150"/>
      <c r="X340" s="150"/>
      <c r="Y340" s="150"/>
      <c r="Z340" s="150"/>
      <c r="AA340" s="150"/>
      <c r="AB340" s="150"/>
      <c r="AC340" s="150"/>
      <c r="AD340" s="150"/>
      <c r="AE340" s="150"/>
    </row>
    <row r="341" spans="1:31" ht="15">
      <c r="A341" s="150"/>
      <c r="B341" s="150"/>
      <c r="C341" s="150"/>
      <c r="D341" s="150"/>
      <c r="E341" s="150"/>
      <c r="F341" s="150"/>
      <c r="G341" s="583"/>
      <c r="H341" s="583"/>
      <c r="I341" s="583"/>
      <c r="J341" s="1767"/>
      <c r="K341" s="1767"/>
      <c r="L341" s="150"/>
      <c r="M341" s="583"/>
      <c r="N341" s="583"/>
      <c r="O341" s="150"/>
      <c r="P341" s="150"/>
      <c r="Q341" s="150"/>
      <c r="R341" s="150"/>
      <c r="S341" s="150"/>
      <c r="T341" s="150"/>
      <c r="U341" s="150"/>
      <c r="V341" s="150"/>
      <c r="W341" s="150"/>
      <c r="X341" s="150"/>
      <c r="Y341" s="150"/>
      <c r="Z341" s="150"/>
      <c r="AA341" s="150"/>
      <c r="AB341" s="150"/>
      <c r="AC341" s="150"/>
      <c r="AD341" s="150"/>
      <c r="AE341" s="150"/>
    </row>
    <row r="342" spans="1:31" ht="15">
      <c r="A342" s="150"/>
      <c r="B342" s="150"/>
      <c r="C342" s="150"/>
      <c r="D342" s="150"/>
      <c r="E342" s="150"/>
      <c r="F342" s="150"/>
      <c r="G342" s="583"/>
      <c r="H342" s="583"/>
      <c r="I342" s="583"/>
      <c r="J342" s="1767"/>
      <c r="K342" s="1767"/>
      <c r="L342" s="150"/>
      <c r="M342" s="583"/>
      <c r="N342" s="583"/>
      <c r="O342" s="150"/>
      <c r="P342" s="150"/>
      <c r="Q342" s="150"/>
      <c r="R342" s="150"/>
      <c r="S342" s="150"/>
      <c r="T342" s="150"/>
      <c r="U342" s="150"/>
      <c r="V342" s="150"/>
      <c r="W342" s="150"/>
      <c r="X342" s="150"/>
      <c r="Y342" s="150"/>
      <c r="Z342" s="150"/>
      <c r="AA342" s="150"/>
      <c r="AB342" s="150"/>
      <c r="AC342" s="150"/>
      <c r="AD342" s="150"/>
      <c r="AE342" s="150"/>
    </row>
    <row r="343" spans="1:31" ht="15">
      <c r="A343" s="150"/>
      <c r="B343" s="150"/>
      <c r="C343" s="150"/>
      <c r="D343" s="150"/>
      <c r="E343" s="150"/>
      <c r="F343" s="150"/>
      <c r="G343" s="583"/>
      <c r="H343" s="583"/>
      <c r="I343" s="583"/>
      <c r="J343" s="1767"/>
      <c r="K343" s="1767"/>
      <c r="L343" s="150"/>
      <c r="M343" s="583"/>
      <c r="N343" s="583"/>
      <c r="O343" s="150"/>
      <c r="P343" s="150"/>
      <c r="Q343" s="150"/>
      <c r="R343" s="150"/>
      <c r="S343" s="150"/>
      <c r="T343" s="150"/>
      <c r="U343" s="150"/>
      <c r="V343" s="150"/>
      <c r="W343" s="150"/>
      <c r="X343" s="150"/>
      <c r="Y343" s="150"/>
      <c r="Z343" s="150"/>
      <c r="AA343" s="150"/>
      <c r="AB343" s="150"/>
      <c r="AC343" s="150"/>
      <c r="AD343" s="150"/>
      <c r="AE343" s="150"/>
    </row>
    <row r="344" spans="1:31" ht="15">
      <c r="A344" s="150"/>
      <c r="B344" s="150"/>
      <c r="C344" s="150"/>
      <c r="D344" s="150"/>
      <c r="E344" s="150"/>
      <c r="F344" s="150"/>
      <c r="G344" s="583"/>
      <c r="H344" s="583"/>
      <c r="I344" s="583"/>
      <c r="J344" s="1767"/>
      <c r="K344" s="1767"/>
      <c r="L344" s="150"/>
      <c r="M344" s="583"/>
      <c r="N344" s="583"/>
      <c r="O344" s="150"/>
      <c r="P344" s="150"/>
      <c r="Q344" s="150"/>
      <c r="R344" s="150"/>
      <c r="S344" s="150"/>
      <c r="T344" s="150"/>
      <c r="U344" s="150"/>
      <c r="V344" s="150"/>
      <c r="W344" s="150"/>
      <c r="X344" s="150"/>
      <c r="Y344" s="150"/>
      <c r="Z344" s="150"/>
      <c r="AA344" s="150"/>
      <c r="AB344" s="150"/>
      <c r="AC344" s="150"/>
      <c r="AD344" s="150"/>
      <c r="AE344" s="150"/>
    </row>
    <row r="345" spans="1:31" ht="15">
      <c r="A345" s="150"/>
      <c r="B345" s="150"/>
      <c r="C345" s="150"/>
      <c r="D345" s="150"/>
      <c r="E345" s="150"/>
      <c r="F345" s="150"/>
      <c r="G345" s="583"/>
      <c r="H345" s="583"/>
      <c r="I345" s="583"/>
      <c r="J345" s="1767"/>
      <c r="K345" s="1767"/>
      <c r="L345" s="150"/>
      <c r="M345" s="583"/>
      <c r="N345" s="583"/>
      <c r="O345" s="150"/>
      <c r="P345" s="150"/>
      <c r="Q345" s="150"/>
      <c r="R345" s="150"/>
      <c r="S345" s="150"/>
      <c r="T345" s="150"/>
      <c r="U345" s="150"/>
      <c r="V345" s="150"/>
      <c r="W345" s="150"/>
      <c r="X345" s="150"/>
      <c r="Y345" s="150"/>
      <c r="Z345" s="150"/>
      <c r="AA345" s="150"/>
      <c r="AB345" s="150"/>
      <c r="AC345" s="150"/>
      <c r="AD345" s="150"/>
      <c r="AE345" s="150"/>
    </row>
    <row r="346" spans="1:31" ht="15">
      <c r="A346" s="150"/>
      <c r="B346" s="150"/>
      <c r="C346" s="150"/>
      <c r="D346" s="150"/>
      <c r="E346" s="150"/>
      <c r="F346" s="150"/>
      <c r="G346" s="583"/>
      <c r="H346" s="583"/>
      <c r="I346" s="583"/>
      <c r="J346" s="1767"/>
      <c r="K346" s="1767"/>
      <c r="L346" s="150"/>
      <c r="M346" s="583"/>
      <c r="N346" s="583"/>
      <c r="O346" s="150"/>
      <c r="P346" s="150"/>
      <c r="Q346" s="150"/>
      <c r="R346" s="150"/>
      <c r="S346" s="150"/>
      <c r="T346" s="150"/>
      <c r="U346" s="150"/>
      <c r="V346" s="150"/>
      <c r="W346" s="150"/>
      <c r="X346" s="150"/>
      <c r="Y346" s="150"/>
      <c r="Z346" s="150"/>
      <c r="AA346" s="150"/>
      <c r="AB346" s="150"/>
      <c r="AC346" s="150"/>
      <c r="AD346" s="150"/>
      <c r="AE346" s="150"/>
    </row>
    <row r="347" spans="1:31" ht="15">
      <c r="A347" s="150"/>
      <c r="B347" s="150"/>
      <c r="C347" s="150"/>
      <c r="D347" s="150"/>
      <c r="E347" s="150"/>
      <c r="F347" s="150"/>
      <c r="G347" s="583"/>
      <c r="H347" s="583"/>
      <c r="I347" s="583"/>
      <c r="J347" s="1767"/>
      <c r="K347" s="1767"/>
      <c r="L347" s="150"/>
      <c r="M347" s="583"/>
      <c r="N347" s="583"/>
      <c r="O347" s="150"/>
      <c r="P347" s="150"/>
      <c r="Q347" s="150"/>
      <c r="R347" s="150"/>
      <c r="S347" s="150"/>
      <c r="T347" s="150"/>
      <c r="U347" s="150"/>
      <c r="V347" s="150"/>
      <c r="W347" s="150"/>
      <c r="X347" s="150"/>
      <c r="Y347" s="150"/>
      <c r="Z347" s="150"/>
      <c r="AA347" s="150"/>
      <c r="AB347" s="150"/>
      <c r="AC347" s="150"/>
      <c r="AD347" s="150"/>
      <c r="AE347" s="150"/>
    </row>
    <row r="348" spans="1:31" ht="15">
      <c r="A348" s="150"/>
      <c r="B348" s="150"/>
      <c r="C348" s="150"/>
      <c r="D348" s="150"/>
      <c r="E348" s="150"/>
      <c r="F348" s="150"/>
      <c r="G348" s="583"/>
      <c r="H348" s="583"/>
      <c r="I348" s="583"/>
      <c r="J348" s="1767"/>
      <c r="K348" s="1767"/>
      <c r="L348" s="150"/>
      <c r="M348" s="583"/>
      <c r="N348" s="583"/>
      <c r="O348" s="150"/>
      <c r="P348" s="150"/>
      <c r="Q348" s="150"/>
      <c r="R348" s="150"/>
      <c r="S348" s="150"/>
      <c r="T348" s="150"/>
      <c r="U348" s="150"/>
      <c r="V348" s="150"/>
      <c r="W348" s="150"/>
      <c r="X348" s="150"/>
      <c r="Y348" s="150"/>
      <c r="Z348" s="150"/>
      <c r="AA348" s="150"/>
      <c r="AB348" s="150"/>
      <c r="AC348" s="150"/>
      <c r="AD348" s="150"/>
      <c r="AE348" s="150"/>
    </row>
    <row r="349" spans="1:31" ht="15">
      <c r="A349" s="150"/>
      <c r="B349" s="150"/>
      <c r="C349" s="150"/>
      <c r="D349" s="150"/>
      <c r="E349" s="150"/>
      <c r="F349" s="150"/>
      <c r="G349" s="583"/>
      <c r="H349" s="583"/>
      <c r="I349" s="583"/>
      <c r="J349" s="1767"/>
      <c r="K349" s="1767"/>
      <c r="L349" s="150"/>
      <c r="M349" s="583"/>
      <c r="N349" s="583"/>
      <c r="O349" s="150"/>
      <c r="P349" s="150"/>
      <c r="Q349" s="150"/>
      <c r="R349" s="150"/>
      <c r="S349" s="150"/>
      <c r="T349" s="150"/>
      <c r="U349" s="150"/>
      <c r="V349" s="150"/>
      <c r="W349" s="150"/>
      <c r="X349" s="150"/>
      <c r="Y349" s="150"/>
      <c r="Z349" s="150"/>
      <c r="AA349" s="150"/>
      <c r="AB349" s="150"/>
      <c r="AC349" s="150"/>
      <c r="AD349" s="150"/>
      <c r="AE349" s="150"/>
    </row>
    <row r="350" spans="1:31" ht="15">
      <c r="A350" s="150"/>
      <c r="B350" s="150"/>
      <c r="C350" s="150"/>
      <c r="D350" s="150"/>
      <c r="E350" s="150"/>
      <c r="F350" s="150"/>
      <c r="G350" s="583"/>
      <c r="H350" s="583"/>
      <c r="I350" s="583"/>
      <c r="J350" s="1767"/>
      <c r="K350" s="1767"/>
      <c r="L350" s="150"/>
      <c r="M350" s="583"/>
      <c r="N350" s="583"/>
      <c r="O350" s="150"/>
      <c r="P350" s="150"/>
      <c r="Q350" s="150"/>
      <c r="R350" s="150"/>
      <c r="S350" s="150"/>
      <c r="T350" s="150"/>
      <c r="U350" s="150"/>
      <c r="V350" s="150"/>
      <c r="W350" s="150"/>
      <c r="X350" s="150"/>
      <c r="Y350" s="150"/>
      <c r="Z350" s="150"/>
      <c r="AA350" s="150"/>
      <c r="AB350" s="150"/>
      <c r="AC350" s="150"/>
      <c r="AD350" s="150"/>
      <c r="AE350" s="150"/>
    </row>
    <row r="351" spans="1:31" ht="15">
      <c r="A351" s="150"/>
      <c r="B351" s="150"/>
      <c r="C351" s="150"/>
      <c r="D351" s="150"/>
      <c r="E351" s="150"/>
      <c r="F351" s="150"/>
      <c r="G351" s="583"/>
      <c r="H351" s="583"/>
      <c r="I351" s="583"/>
      <c r="J351" s="1767"/>
      <c r="K351" s="1767"/>
      <c r="L351" s="150"/>
      <c r="M351" s="583"/>
      <c r="N351" s="583"/>
      <c r="O351" s="150"/>
      <c r="P351" s="150"/>
      <c r="Q351" s="150"/>
      <c r="R351" s="150"/>
      <c r="S351" s="150"/>
      <c r="T351" s="150"/>
      <c r="U351" s="150"/>
      <c r="V351" s="150"/>
      <c r="W351" s="150"/>
      <c r="X351" s="150"/>
      <c r="Y351" s="150"/>
      <c r="Z351" s="150"/>
      <c r="AA351" s="150"/>
      <c r="AB351" s="150"/>
      <c r="AC351" s="150"/>
      <c r="AD351" s="150"/>
      <c r="AE351" s="150"/>
    </row>
    <row r="352" spans="1:31" ht="15">
      <c r="A352" s="150"/>
      <c r="B352" s="150"/>
      <c r="C352" s="150"/>
      <c r="D352" s="150"/>
      <c r="E352" s="150"/>
      <c r="F352" s="150"/>
      <c r="G352" s="583"/>
      <c r="H352" s="583"/>
      <c r="I352" s="583"/>
      <c r="J352" s="1767"/>
      <c r="K352" s="1767"/>
      <c r="L352" s="150"/>
      <c r="M352" s="583"/>
      <c r="N352" s="583"/>
      <c r="O352" s="150"/>
      <c r="P352" s="150"/>
      <c r="Q352" s="150"/>
      <c r="R352" s="150"/>
      <c r="S352" s="150"/>
      <c r="T352" s="150"/>
      <c r="U352" s="150"/>
      <c r="V352" s="150"/>
      <c r="W352" s="150"/>
      <c r="X352" s="150"/>
      <c r="Y352" s="150"/>
      <c r="Z352" s="150"/>
      <c r="AA352" s="150"/>
      <c r="AB352" s="150"/>
      <c r="AC352" s="150"/>
      <c r="AD352" s="150"/>
      <c r="AE352" s="150"/>
    </row>
    <row r="353" spans="1:31" ht="15">
      <c r="A353" s="150"/>
      <c r="B353" s="150"/>
      <c r="C353" s="150"/>
      <c r="D353" s="150"/>
      <c r="E353" s="150"/>
      <c r="F353" s="150"/>
      <c r="G353" s="583"/>
      <c r="H353" s="583"/>
      <c r="I353" s="583"/>
      <c r="J353" s="1767"/>
      <c r="K353" s="1767"/>
      <c r="L353" s="150"/>
      <c r="M353" s="583"/>
      <c r="N353" s="583"/>
      <c r="O353" s="150"/>
      <c r="P353" s="150"/>
      <c r="Q353" s="150"/>
      <c r="R353" s="150"/>
      <c r="S353" s="150"/>
      <c r="T353" s="150"/>
      <c r="U353" s="150"/>
      <c r="V353" s="150"/>
      <c r="W353" s="150"/>
      <c r="X353" s="150"/>
      <c r="Y353" s="150"/>
      <c r="Z353" s="150"/>
      <c r="AA353" s="150"/>
      <c r="AB353" s="150"/>
      <c r="AC353" s="150"/>
      <c r="AD353" s="150"/>
      <c r="AE353" s="150"/>
    </row>
    <row r="354" spans="1:31" ht="15">
      <c r="A354" s="150"/>
      <c r="B354" s="150"/>
      <c r="C354" s="150"/>
      <c r="D354" s="150"/>
      <c r="E354" s="150"/>
      <c r="F354" s="150"/>
      <c r="G354" s="583"/>
      <c r="H354" s="583"/>
      <c r="I354" s="583"/>
      <c r="J354" s="1767"/>
      <c r="K354" s="1767"/>
      <c r="L354" s="150"/>
      <c r="M354" s="583"/>
      <c r="N354" s="583"/>
      <c r="O354" s="150"/>
      <c r="P354" s="150"/>
      <c r="Q354" s="150"/>
      <c r="R354" s="150"/>
      <c r="S354" s="150"/>
      <c r="T354" s="150"/>
      <c r="U354" s="150"/>
      <c r="V354" s="150"/>
      <c r="W354" s="150"/>
      <c r="X354" s="150"/>
      <c r="Y354" s="150"/>
      <c r="Z354" s="150"/>
      <c r="AA354" s="150"/>
      <c r="AB354" s="150"/>
      <c r="AC354" s="150"/>
      <c r="AD354" s="150"/>
      <c r="AE354" s="150"/>
    </row>
    <row r="355" spans="1:31" ht="15">
      <c r="A355" s="150"/>
      <c r="B355" s="150"/>
      <c r="C355" s="150"/>
      <c r="D355" s="150"/>
      <c r="E355" s="150"/>
      <c r="F355" s="150"/>
      <c r="G355" s="583"/>
      <c r="H355" s="583"/>
      <c r="I355" s="583"/>
      <c r="J355" s="1767"/>
      <c r="K355" s="1767"/>
      <c r="L355" s="150"/>
      <c r="M355" s="583"/>
      <c r="N355" s="583"/>
      <c r="O355" s="150"/>
      <c r="P355" s="150"/>
      <c r="Q355" s="150"/>
      <c r="R355" s="150"/>
      <c r="S355" s="150"/>
      <c r="T355" s="150"/>
      <c r="U355" s="150"/>
      <c r="V355" s="150"/>
      <c r="W355" s="150"/>
      <c r="X355" s="150"/>
      <c r="Y355" s="150"/>
      <c r="Z355" s="150"/>
      <c r="AA355" s="150"/>
      <c r="AB355" s="150"/>
      <c r="AC355" s="150"/>
      <c r="AD355" s="150"/>
      <c r="AE355" s="150"/>
    </row>
    <row r="356" spans="1:31" ht="15">
      <c r="A356" s="150"/>
      <c r="B356" s="150"/>
      <c r="C356" s="150"/>
      <c r="D356" s="150"/>
      <c r="E356" s="150"/>
      <c r="F356" s="150"/>
      <c r="G356" s="583"/>
      <c r="H356" s="583"/>
      <c r="I356" s="583"/>
      <c r="J356" s="1767"/>
      <c r="K356" s="1767"/>
      <c r="L356" s="150"/>
      <c r="M356" s="583"/>
      <c r="N356" s="583"/>
      <c r="O356" s="150"/>
      <c r="P356" s="150"/>
      <c r="Q356" s="150"/>
      <c r="R356" s="150"/>
      <c r="S356" s="150"/>
      <c r="T356" s="150"/>
      <c r="U356" s="150"/>
      <c r="V356" s="150"/>
      <c r="W356" s="150"/>
      <c r="X356" s="150"/>
      <c r="Y356" s="150"/>
      <c r="Z356" s="150"/>
      <c r="AA356" s="150"/>
      <c r="AB356" s="150"/>
      <c r="AC356" s="150"/>
      <c r="AD356" s="150"/>
      <c r="AE356" s="150"/>
    </row>
    <row r="357" spans="1:31" ht="15">
      <c r="A357" s="150"/>
      <c r="B357" s="150"/>
      <c r="C357" s="150"/>
      <c r="D357" s="150"/>
      <c r="E357" s="150"/>
      <c r="F357" s="150"/>
      <c r="G357" s="583"/>
      <c r="H357" s="583"/>
      <c r="I357" s="583"/>
      <c r="J357" s="1767"/>
      <c r="K357" s="1767"/>
      <c r="L357" s="150"/>
      <c r="M357" s="583"/>
      <c r="N357" s="583"/>
      <c r="O357" s="150"/>
      <c r="P357" s="150"/>
      <c r="Q357" s="150"/>
      <c r="R357" s="150"/>
      <c r="S357" s="150"/>
      <c r="T357" s="150"/>
      <c r="U357" s="150"/>
      <c r="V357" s="150"/>
      <c r="W357" s="150"/>
      <c r="X357" s="150"/>
      <c r="Y357" s="150"/>
      <c r="Z357" s="150"/>
      <c r="AA357" s="150"/>
      <c r="AB357" s="150"/>
      <c r="AC357" s="150"/>
      <c r="AD357" s="150"/>
      <c r="AE357" s="150"/>
    </row>
    <row r="358" spans="1:31" ht="15">
      <c r="A358" s="150"/>
      <c r="B358" s="150"/>
      <c r="C358" s="150"/>
      <c r="D358" s="150"/>
      <c r="E358" s="150"/>
      <c r="F358" s="150"/>
      <c r="G358" s="583"/>
      <c r="H358" s="583"/>
      <c r="I358" s="583"/>
      <c r="J358" s="1767"/>
      <c r="K358" s="1767"/>
      <c r="L358" s="150"/>
      <c r="M358" s="583"/>
      <c r="N358" s="583"/>
      <c r="O358" s="150"/>
      <c r="P358" s="150"/>
      <c r="Q358" s="150"/>
      <c r="R358" s="150"/>
      <c r="S358" s="150"/>
      <c r="T358" s="150"/>
      <c r="U358" s="150"/>
      <c r="V358" s="150"/>
      <c r="W358" s="150"/>
      <c r="X358" s="150"/>
      <c r="Y358" s="150"/>
      <c r="Z358" s="150"/>
      <c r="AA358" s="150"/>
      <c r="AB358" s="150"/>
      <c r="AC358" s="150"/>
      <c r="AD358" s="150"/>
      <c r="AE358" s="150"/>
    </row>
    <row r="359" spans="1:31" ht="15">
      <c r="A359" s="150"/>
      <c r="B359" s="150"/>
      <c r="C359" s="150"/>
      <c r="D359" s="150"/>
      <c r="E359" s="150"/>
      <c r="F359" s="150"/>
      <c r="G359" s="583"/>
      <c r="H359" s="583"/>
      <c r="I359" s="583"/>
      <c r="J359" s="1767"/>
      <c r="K359" s="1767"/>
      <c r="L359" s="150"/>
      <c r="M359" s="583"/>
      <c r="N359" s="583"/>
      <c r="O359" s="150"/>
      <c r="P359" s="150"/>
      <c r="Q359" s="150"/>
      <c r="R359" s="150"/>
      <c r="S359" s="150"/>
      <c r="T359" s="150"/>
      <c r="U359" s="150"/>
      <c r="V359" s="150"/>
      <c r="W359" s="150"/>
      <c r="X359" s="150"/>
      <c r="Y359" s="150"/>
      <c r="Z359" s="150"/>
      <c r="AA359" s="150"/>
      <c r="AB359" s="150"/>
      <c r="AC359" s="150"/>
      <c r="AD359" s="150"/>
      <c r="AE359" s="150"/>
    </row>
    <row r="360" spans="1:31" ht="15">
      <c r="A360" s="150"/>
      <c r="B360" s="150"/>
      <c r="C360" s="150"/>
      <c r="D360" s="150"/>
      <c r="E360" s="150"/>
      <c r="F360" s="150"/>
      <c r="G360" s="583"/>
      <c r="H360" s="583"/>
      <c r="I360" s="583"/>
      <c r="J360" s="1767"/>
      <c r="K360" s="1767"/>
      <c r="L360" s="150"/>
      <c r="M360" s="583"/>
      <c r="N360" s="583"/>
      <c r="O360" s="150"/>
      <c r="P360" s="150"/>
      <c r="Q360" s="150"/>
      <c r="R360" s="150"/>
      <c r="S360" s="150"/>
      <c r="T360" s="150"/>
      <c r="U360" s="150"/>
      <c r="V360" s="150"/>
      <c r="W360" s="150"/>
      <c r="X360" s="150"/>
      <c r="Y360" s="150"/>
      <c r="Z360" s="150"/>
      <c r="AA360" s="150"/>
      <c r="AB360" s="150"/>
      <c r="AC360" s="150"/>
      <c r="AD360" s="150"/>
      <c r="AE360" s="150"/>
    </row>
    <row r="361" spans="1:31" ht="15">
      <c r="A361" s="150"/>
      <c r="B361" s="150"/>
      <c r="C361" s="150"/>
      <c r="D361" s="150"/>
      <c r="E361" s="150"/>
      <c r="F361" s="150"/>
      <c r="G361" s="583"/>
      <c r="H361" s="583"/>
      <c r="I361" s="583"/>
      <c r="J361" s="1767"/>
      <c r="K361" s="1767"/>
      <c r="L361" s="150"/>
      <c r="M361" s="583"/>
      <c r="N361" s="583"/>
      <c r="O361" s="150"/>
      <c r="P361" s="150"/>
      <c r="Q361" s="150"/>
      <c r="R361" s="150"/>
      <c r="S361" s="150"/>
      <c r="T361" s="150"/>
      <c r="U361" s="150"/>
      <c r="V361" s="150"/>
      <c r="W361" s="150"/>
      <c r="X361" s="150"/>
      <c r="Y361" s="150"/>
      <c r="Z361" s="150"/>
      <c r="AA361" s="150"/>
      <c r="AB361" s="150"/>
      <c r="AC361" s="150"/>
      <c r="AD361" s="150"/>
      <c r="AE361" s="150"/>
    </row>
    <row r="362" spans="1:31" ht="15">
      <c r="A362" s="150"/>
      <c r="B362" s="150"/>
      <c r="C362" s="150"/>
      <c r="D362" s="150"/>
      <c r="E362" s="150"/>
      <c r="F362" s="150"/>
      <c r="G362" s="583"/>
      <c r="H362" s="583"/>
      <c r="I362" s="583"/>
      <c r="J362" s="1767"/>
      <c r="K362" s="1767"/>
      <c r="L362" s="150"/>
      <c r="M362" s="583"/>
      <c r="N362" s="583"/>
      <c r="O362" s="150"/>
      <c r="P362" s="150"/>
      <c r="Q362" s="150"/>
      <c r="R362" s="150"/>
      <c r="S362" s="150"/>
      <c r="T362" s="150"/>
      <c r="U362" s="150"/>
      <c r="V362" s="150"/>
      <c r="W362" s="150"/>
      <c r="X362" s="150"/>
      <c r="Y362" s="150"/>
      <c r="Z362" s="150"/>
      <c r="AA362" s="150"/>
      <c r="AB362" s="150"/>
      <c r="AC362" s="150"/>
      <c r="AD362" s="150"/>
      <c r="AE362" s="150"/>
    </row>
    <row r="363" spans="1:31" ht="15">
      <c r="A363" s="150"/>
      <c r="B363" s="150"/>
      <c r="C363" s="150"/>
      <c r="D363" s="150"/>
      <c r="E363" s="150"/>
      <c r="F363" s="150"/>
      <c r="G363" s="583"/>
      <c r="H363" s="583"/>
      <c r="I363" s="583"/>
      <c r="J363" s="1767"/>
      <c r="K363" s="1767"/>
      <c r="L363" s="150"/>
      <c r="M363" s="583"/>
      <c r="N363" s="583"/>
      <c r="O363" s="150"/>
      <c r="P363" s="150"/>
      <c r="Q363" s="150"/>
      <c r="R363" s="150"/>
      <c r="S363" s="150"/>
      <c r="T363" s="150"/>
      <c r="U363" s="150"/>
      <c r="V363" s="150"/>
      <c r="W363" s="150"/>
      <c r="X363" s="150"/>
      <c r="Y363" s="150"/>
      <c r="Z363" s="150"/>
      <c r="AA363" s="150"/>
      <c r="AB363" s="150"/>
      <c r="AC363" s="150"/>
      <c r="AD363" s="150"/>
      <c r="AE363" s="150"/>
    </row>
    <row r="364" spans="1:31" ht="15">
      <c r="A364" s="150"/>
      <c r="B364" s="150"/>
      <c r="C364" s="150"/>
      <c r="D364" s="150"/>
      <c r="E364" s="150"/>
      <c r="F364" s="150"/>
      <c r="G364" s="583"/>
      <c r="H364" s="583"/>
      <c r="I364" s="583"/>
      <c r="J364" s="1767"/>
      <c r="K364" s="1767"/>
      <c r="L364" s="150"/>
      <c r="M364" s="583"/>
      <c r="N364" s="583"/>
      <c r="O364" s="150"/>
      <c r="P364" s="150"/>
      <c r="Q364" s="150"/>
      <c r="R364" s="150"/>
      <c r="S364" s="150"/>
      <c r="T364" s="150"/>
      <c r="U364" s="150"/>
      <c r="V364" s="150"/>
      <c r="W364" s="150"/>
      <c r="X364" s="150"/>
      <c r="Y364" s="150"/>
      <c r="Z364" s="150"/>
      <c r="AA364" s="150"/>
      <c r="AB364" s="150"/>
      <c r="AC364" s="150"/>
      <c r="AD364" s="150"/>
      <c r="AE364" s="150"/>
    </row>
    <row r="365" spans="1:31" ht="15">
      <c r="A365" s="150"/>
      <c r="B365" s="150"/>
      <c r="C365" s="150"/>
      <c r="D365" s="150"/>
      <c r="E365" s="150"/>
      <c r="F365" s="150"/>
      <c r="G365" s="583"/>
      <c r="H365" s="583"/>
      <c r="I365" s="583"/>
      <c r="J365" s="1767"/>
      <c r="K365" s="1767"/>
      <c r="L365" s="150"/>
      <c r="M365" s="583"/>
      <c r="N365" s="583"/>
      <c r="O365" s="150"/>
      <c r="P365" s="150"/>
      <c r="Q365" s="150"/>
      <c r="R365" s="150"/>
      <c r="S365" s="150"/>
      <c r="T365" s="150"/>
      <c r="U365" s="150"/>
      <c r="V365" s="150"/>
      <c r="W365" s="150"/>
      <c r="X365" s="150"/>
      <c r="Y365" s="150"/>
      <c r="Z365" s="150"/>
      <c r="AA365" s="150"/>
      <c r="AB365" s="150"/>
      <c r="AC365" s="150"/>
      <c r="AD365" s="150"/>
      <c r="AE365" s="150"/>
    </row>
    <row r="366" spans="1:31" ht="15">
      <c r="A366" s="150"/>
      <c r="B366" s="150"/>
      <c r="C366" s="150"/>
      <c r="D366" s="150"/>
      <c r="E366" s="150"/>
      <c r="F366" s="150"/>
      <c r="G366" s="583"/>
      <c r="H366" s="583"/>
      <c r="I366" s="583"/>
      <c r="J366" s="1767"/>
      <c r="K366" s="1767"/>
      <c r="L366" s="150"/>
      <c r="M366" s="583"/>
      <c r="N366" s="583"/>
      <c r="O366" s="150"/>
      <c r="P366" s="150"/>
      <c r="Q366" s="150"/>
      <c r="R366" s="150"/>
      <c r="S366" s="150"/>
      <c r="T366" s="150"/>
      <c r="U366" s="150"/>
      <c r="V366" s="150"/>
      <c r="W366" s="150"/>
      <c r="X366" s="150"/>
      <c r="Y366" s="150"/>
      <c r="Z366" s="150"/>
      <c r="AA366" s="150"/>
      <c r="AB366" s="150"/>
      <c r="AC366" s="150"/>
      <c r="AD366" s="150"/>
      <c r="AE366" s="150"/>
    </row>
    <row r="367" spans="1:31" ht="15">
      <c r="A367" s="150"/>
      <c r="B367" s="150"/>
      <c r="C367" s="150"/>
      <c r="D367" s="150"/>
      <c r="E367" s="150"/>
      <c r="F367" s="150"/>
      <c r="G367" s="583"/>
      <c r="H367" s="583"/>
      <c r="I367" s="583"/>
      <c r="J367" s="1767"/>
      <c r="K367" s="1767"/>
      <c r="L367" s="150"/>
      <c r="M367" s="583"/>
      <c r="N367" s="583"/>
      <c r="O367" s="150"/>
      <c r="P367" s="150"/>
      <c r="Q367" s="150"/>
      <c r="R367" s="150"/>
      <c r="S367" s="150"/>
      <c r="T367" s="150"/>
      <c r="U367" s="150"/>
      <c r="V367" s="150"/>
      <c r="W367" s="150"/>
      <c r="X367" s="150"/>
      <c r="Y367" s="150"/>
      <c r="Z367" s="150"/>
      <c r="AA367" s="150"/>
      <c r="AB367" s="150"/>
      <c r="AC367" s="150"/>
      <c r="AD367" s="150"/>
      <c r="AE367" s="150"/>
    </row>
    <row r="368" spans="1:31" ht="15">
      <c r="A368" s="150"/>
      <c r="B368" s="150"/>
      <c r="C368" s="150"/>
      <c r="D368" s="150"/>
      <c r="E368" s="150"/>
      <c r="F368" s="150"/>
      <c r="G368" s="583"/>
      <c r="H368" s="583"/>
      <c r="I368" s="583"/>
      <c r="J368" s="1767"/>
      <c r="K368" s="1767"/>
      <c r="L368" s="150"/>
      <c r="M368" s="583"/>
      <c r="N368" s="583"/>
      <c r="O368" s="150"/>
      <c r="P368" s="150"/>
      <c r="Q368" s="150"/>
      <c r="R368" s="150"/>
      <c r="S368" s="150"/>
      <c r="T368" s="150"/>
      <c r="U368" s="150"/>
      <c r="V368" s="150"/>
      <c r="W368" s="150"/>
      <c r="X368" s="150"/>
      <c r="Y368" s="150"/>
      <c r="Z368" s="150"/>
      <c r="AA368" s="150"/>
      <c r="AB368" s="150"/>
      <c r="AC368" s="150"/>
      <c r="AD368" s="150"/>
      <c r="AE368" s="150"/>
    </row>
    <row r="369" spans="1:31" ht="15">
      <c r="A369" s="150"/>
      <c r="B369" s="150"/>
      <c r="C369" s="150"/>
      <c r="D369" s="150"/>
      <c r="E369" s="150"/>
      <c r="F369" s="150"/>
      <c r="G369" s="583"/>
      <c r="H369" s="583"/>
      <c r="I369" s="583"/>
      <c r="J369" s="1767"/>
      <c r="K369" s="1767"/>
      <c r="L369" s="150"/>
      <c r="M369" s="583"/>
      <c r="N369" s="583"/>
      <c r="O369" s="150"/>
      <c r="P369" s="150"/>
      <c r="Q369" s="150"/>
      <c r="R369" s="150"/>
      <c r="S369" s="150"/>
      <c r="T369" s="150"/>
      <c r="U369" s="150"/>
      <c r="V369" s="150"/>
      <c r="W369" s="150"/>
      <c r="X369" s="150"/>
      <c r="Y369" s="150"/>
      <c r="Z369" s="150"/>
      <c r="AA369" s="150"/>
      <c r="AB369" s="150"/>
      <c r="AC369" s="150"/>
      <c r="AD369" s="150"/>
      <c r="AE369" s="150"/>
    </row>
    <row r="370" spans="1:31" ht="15">
      <c r="A370" s="150"/>
      <c r="B370" s="150"/>
      <c r="C370" s="150"/>
      <c r="D370" s="150"/>
      <c r="E370" s="150"/>
      <c r="F370" s="150"/>
      <c r="G370" s="583"/>
      <c r="H370" s="583"/>
      <c r="I370" s="583"/>
      <c r="J370" s="1767"/>
      <c r="K370" s="1767"/>
      <c r="L370" s="150"/>
      <c r="M370" s="583"/>
      <c r="N370" s="583"/>
      <c r="O370" s="150"/>
      <c r="P370" s="150"/>
      <c r="Q370" s="150"/>
      <c r="R370" s="150"/>
      <c r="S370" s="150"/>
      <c r="T370" s="150"/>
      <c r="U370" s="150"/>
      <c r="V370" s="150"/>
      <c r="W370" s="150"/>
      <c r="X370" s="150"/>
      <c r="Y370" s="150"/>
      <c r="Z370" s="150"/>
      <c r="AA370" s="150"/>
      <c r="AB370" s="150"/>
      <c r="AC370" s="150"/>
      <c r="AD370" s="150"/>
      <c r="AE370" s="150"/>
    </row>
    <row r="371" spans="1:31" ht="15">
      <c r="A371" s="150"/>
      <c r="B371" s="150"/>
      <c r="C371" s="150"/>
      <c r="D371" s="150"/>
      <c r="E371" s="150"/>
      <c r="F371" s="150"/>
      <c r="G371" s="583"/>
      <c r="H371" s="583"/>
      <c r="I371" s="583"/>
      <c r="J371" s="1767"/>
      <c r="K371" s="1767"/>
      <c r="L371" s="150"/>
      <c r="M371" s="583"/>
      <c r="N371" s="583"/>
      <c r="O371" s="150"/>
      <c r="P371" s="150"/>
      <c r="Q371" s="150"/>
      <c r="R371" s="150"/>
      <c r="S371" s="150"/>
      <c r="T371" s="150"/>
      <c r="U371" s="150"/>
      <c r="V371" s="150"/>
      <c r="W371" s="150"/>
      <c r="X371" s="150"/>
      <c r="Y371" s="150"/>
      <c r="Z371" s="150"/>
      <c r="AA371" s="150"/>
      <c r="AB371" s="150"/>
      <c r="AC371" s="150"/>
      <c r="AD371" s="150"/>
      <c r="AE371" s="150"/>
    </row>
    <row r="372" spans="1:31" ht="15">
      <c r="A372" s="150"/>
      <c r="B372" s="150"/>
      <c r="C372" s="150"/>
      <c r="D372" s="150"/>
      <c r="E372" s="150"/>
      <c r="F372" s="150"/>
      <c r="G372" s="583"/>
      <c r="H372" s="583"/>
      <c r="I372" s="583"/>
      <c r="J372" s="1767"/>
      <c r="K372" s="1767"/>
      <c r="L372" s="150"/>
      <c r="M372" s="583"/>
      <c r="N372" s="583"/>
      <c r="O372" s="150"/>
      <c r="P372" s="150"/>
      <c r="Q372" s="150"/>
      <c r="R372" s="150"/>
      <c r="S372" s="150"/>
      <c r="T372" s="150"/>
      <c r="U372" s="150"/>
      <c r="V372" s="150"/>
      <c r="W372" s="150"/>
      <c r="X372" s="150"/>
      <c r="Y372" s="150"/>
      <c r="Z372" s="150"/>
      <c r="AA372" s="150"/>
      <c r="AB372" s="150"/>
      <c r="AC372" s="150"/>
      <c r="AD372" s="150"/>
      <c r="AE372" s="150"/>
    </row>
    <row r="373" spans="1:31" ht="15">
      <c r="A373" s="150"/>
      <c r="B373" s="150"/>
      <c r="C373" s="150"/>
      <c r="D373" s="150"/>
      <c r="E373" s="150"/>
      <c r="F373" s="150"/>
      <c r="G373" s="583"/>
      <c r="H373" s="583"/>
      <c r="I373" s="583"/>
      <c r="J373" s="1767"/>
      <c r="K373" s="1767"/>
      <c r="L373" s="150"/>
      <c r="M373" s="583"/>
      <c r="N373" s="583"/>
      <c r="O373" s="150"/>
      <c r="P373" s="150"/>
      <c r="Q373" s="150"/>
      <c r="R373" s="150"/>
      <c r="S373" s="150"/>
      <c r="T373" s="150"/>
      <c r="U373" s="150"/>
      <c r="V373" s="150"/>
      <c r="W373" s="150"/>
      <c r="X373" s="150"/>
      <c r="Y373" s="150"/>
      <c r="Z373" s="150"/>
      <c r="AA373" s="150"/>
      <c r="AB373" s="150"/>
      <c r="AC373" s="150"/>
      <c r="AD373" s="150"/>
      <c r="AE373" s="150"/>
    </row>
    <row r="374" spans="1:31" ht="15">
      <c r="A374" s="150"/>
      <c r="B374" s="150"/>
      <c r="C374" s="150"/>
      <c r="D374" s="150"/>
      <c r="E374" s="150"/>
      <c r="F374" s="150"/>
      <c r="G374" s="583"/>
      <c r="H374" s="583"/>
      <c r="I374" s="583"/>
      <c r="J374" s="1767"/>
      <c r="K374" s="1767"/>
      <c r="L374" s="150"/>
      <c r="M374" s="583"/>
      <c r="N374" s="583"/>
      <c r="O374" s="150"/>
      <c r="P374" s="150"/>
      <c r="Q374" s="150"/>
      <c r="R374" s="150"/>
      <c r="S374" s="150"/>
      <c r="T374" s="150"/>
      <c r="U374" s="150"/>
      <c r="V374" s="150"/>
      <c r="W374" s="150"/>
      <c r="X374" s="150"/>
      <c r="Y374" s="150"/>
      <c r="Z374" s="150"/>
      <c r="AA374" s="150"/>
      <c r="AB374" s="150"/>
      <c r="AC374" s="150"/>
      <c r="AD374" s="150"/>
      <c r="AE374" s="150"/>
    </row>
    <row r="375" spans="1:31" ht="15">
      <c r="A375" s="150"/>
      <c r="B375" s="150"/>
      <c r="C375" s="150"/>
      <c r="D375" s="150"/>
      <c r="E375" s="150"/>
      <c r="F375" s="150"/>
      <c r="G375" s="583"/>
      <c r="H375" s="583"/>
      <c r="I375" s="583"/>
      <c r="J375" s="1767"/>
      <c r="K375" s="1767"/>
      <c r="L375" s="150"/>
      <c r="M375" s="583"/>
      <c r="N375" s="583"/>
      <c r="O375" s="150"/>
      <c r="P375" s="150"/>
      <c r="Q375" s="150"/>
      <c r="R375" s="150"/>
      <c r="S375" s="150"/>
      <c r="T375" s="150"/>
      <c r="U375" s="150"/>
      <c r="V375" s="150"/>
      <c r="W375" s="150"/>
      <c r="X375" s="150"/>
      <c r="Y375" s="150"/>
      <c r="Z375" s="150"/>
      <c r="AA375" s="150"/>
      <c r="AB375" s="150"/>
      <c r="AC375" s="150"/>
      <c r="AD375" s="150"/>
      <c r="AE375" s="150"/>
    </row>
    <row r="376" spans="1:31" ht="15">
      <c r="A376" s="150"/>
      <c r="B376" s="150"/>
      <c r="C376" s="150"/>
      <c r="D376" s="150"/>
      <c r="E376" s="150"/>
      <c r="F376" s="150"/>
      <c r="G376" s="583"/>
      <c r="H376" s="583"/>
      <c r="I376" s="583"/>
      <c r="J376" s="1767"/>
      <c r="K376" s="1767"/>
      <c r="L376" s="150"/>
      <c r="M376" s="583"/>
      <c r="N376" s="583"/>
      <c r="O376" s="150"/>
      <c r="P376" s="150"/>
      <c r="Q376" s="150"/>
      <c r="R376" s="150"/>
      <c r="S376" s="150"/>
      <c r="T376" s="150"/>
      <c r="U376" s="150"/>
      <c r="V376" s="150"/>
      <c r="W376" s="150"/>
      <c r="X376" s="150"/>
      <c r="Y376" s="150"/>
      <c r="Z376" s="150"/>
      <c r="AA376" s="150"/>
      <c r="AB376" s="150"/>
      <c r="AC376" s="150"/>
      <c r="AD376" s="150"/>
      <c r="AE376" s="150"/>
    </row>
    <row r="377" spans="1:31" ht="15">
      <c r="A377" s="150"/>
      <c r="B377" s="150"/>
      <c r="C377" s="150"/>
      <c r="D377" s="150"/>
      <c r="E377" s="150"/>
      <c r="F377" s="150"/>
      <c r="G377" s="583"/>
      <c r="H377" s="583"/>
      <c r="I377" s="583"/>
      <c r="J377" s="1767"/>
      <c r="K377" s="1767"/>
      <c r="L377" s="150"/>
      <c r="M377" s="583"/>
      <c r="N377" s="583"/>
      <c r="O377" s="150"/>
      <c r="P377" s="150"/>
      <c r="Q377" s="150"/>
      <c r="R377" s="150"/>
      <c r="S377" s="150"/>
      <c r="T377" s="150"/>
      <c r="U377" s="150"/>
      <c r="V377" s="150"/>
      <c r="W377" s="150"/>
      <c r="X377" s="150"/>
      <c r="Y377" s="150"/>
      <c r="Z377" s="150"/>
      <c r="AA377" s="150"/>
      <c r="AB377" s="150"/>
      <c r="AC377" s="150"/>
      <c r="AD377" s="150"/>
      <c r="AE377" s="150"/>
    </row>
    <row r="378" spans="1:31" ht="15">
      <c r="A378" s="150"/>
      <c r="B378" s="150"/>
      <c r="C378" s="150"/>
      <c r="D378" s="150"/>
      <c r="E378" s="150"/>
      <c r="F378" s="150"/>
      <c r="G378" s="583"/>
      <c r="H378" s="583"/>
      <c r="I378" s="583"/>
      <c r="J378" s="1767"/>
      <c r="K378" s="1767"/>
      <c r="L378" s="150"/>
      <c r="M378" s="583"/>
      <c r="N378" s="583"/>
      <c r="O378" s="150"/>
      <c r="P378" s="150"/>
      <c r="Q378" s="150"/>
      <c r="R378" s="150"/>
      <c r="S378" s="150"/>
      <c r="T378" s="150"/>
      <c r="U378" s="150"/>
      <c r="V378" s="150"/>
      <c r="W378" s="150"/>
      <c r="X378" s="150"/>
      <c r="Y378" s="150"/>
      <c r="Z378" s="150"/>
      <c r="AA378" s="150"/>
      <c r="AB378" s="150"/>
      <c r="AC378" s="150"/>
      <c r="AD378" s="150"/>
      <c r="AE378" s="150"/>
    </row>
    <row r="379" spans="1:31" ht="15">
      <c r="A379" s="150"/>
      <c r="B379" s="150"/>
      <c r="C379" s="150"/>
      <c r="D379" s="150"/>
      <c r="E379" s="150"/>
      <c r="F379" s="150"/>
      <c r="G379" s="583"/>
      <c r="H379" s="583"/>
      <c r="I379" s="583"/>
      <c r="J379" s="1767"/>
      <c r="K379" s="1767"/>
      <c r="L379" s="150"/>
      <c r="M379" s="583"/>
      <c r="N379" s="583"/>
      <c r="O379" s="150"/>
      <c r="P379" s="150"/>
      <c r="Q379" s="150"/>
      <c r="R379" s="150"/>
      <c r="S379" s="150"/>
      <c r="T379" s="150"/>
      <c r="U379" s="150"/>
      <c r="V379" s="150"/>
      <c r="W379" s="150"/>
      <c r="X379" s="150"/>
      <c r="Y379" s="150"/>
      <c r="Z379" s="150"/>
      <c r="AA379" s="150"/>
      <c r="AB379" s="150"/>
      <c r="AC379" s="150"/>
      <c r="AD379" s="150"/>
      <c r="AE379" s="150"/>
    </row>
    <row r="380" spans="1:31" ht="15">
      <c r="A380" s="150"/>
      <c r="B380" s="150"/>
      <c r="C380" s="150"/>
      <c r="D380" s="150"/>
      <c r="E380" s="150"/>
      <c r="F380" s="150"/>
      <c r="G380" s="583"/>
      <c r="H380" s="583"/>
      <c r="I380" s="583"/>
      <c r="J380" s="1767"/>
      <c r="K380" s="1767"/>
      <c r="L380" s="150"/>
      <c r="M380" s="583"/>
      <c r="N380" s="583"/>
      <c r="O380" s="150"/>
      <c r="P380" s="150"/>
      <c r="Q380" s="150"/>
      <c r="R380" s="150"/>
      <c r="S380" s="150"/>
      <c r="T380" s="150"/>
      <c r="U380" s="150"/>
      <c r="V380" s="150"/>
      <c r="W380" s="150"/>
      <c r="X380" s="150"/>
      <c r="Y380" s="150"/>
      <c r="Z380" s="150"/>
      <c r="AA380" s="150"/>
      <c r="AB380" s="150"/>
      <c r="AC380" s="150"/>
      <c r="AD380" s="150"/>
      <c r="AE380" s="150"/>
    </row>
    <row r="381" spans="1:31" ht="15">
      <c r="A381" s="150"/>
      <c r="B381" s="150"/>
      <c r="C381" s="150"/>
      <c r="D381" s="150"/>
      <c r="E381" s="150"/>
      <c r="F381" s="150"/>
      <c r="G381" s="583"/>
      <c r="H381" s="583"/>
      <c r="I381" s="583"/>
      <c r="J381" s="1767"/>
      <c r="K381" s="1767"/>
      <c r="L381" s="150"/>
      <c r="M381" s="583"/>
      <c r="N381" s="583"/>
      <c r="O381" s="150"/>
      <c r="P381" s="150"/>
      <c r="Q381" s="150"/>
      <c r="R381" s="150"/>
      <c r="S381" s="150"/>
      <c r="T381" s="150"/>
      <c r="U381" s="150"/>
      <c r="V381" s="150"/>
      <c r="W381" s="150"/>
      <c r="X381" s="150"/>
      <c r="Y381" s="150"/>
      <c r="Z381" s="150"/>
      <c r="AA381" s="150"/>
      <c r="AB381" s="150"/>
      <c r="AC381" s="150"/>
      <c r="AD381" s="150"/>
      <c r="AE381" s="150"/>
    </row>
    <row r="382" spans="1:31" ht="15">
      <c r="A382" s="150"/>
      <c r="B382" s="150"/>
      <c r="C382" s="150"/>
      <c r="D382" s="150"/>
      <c r="E382" s="150"/>
      <c r="F382" s="150"/>
      <c r="G382" s="583"/>
      <c r="H382" s="583"/>
      <c r="I382" s="583"/>
      <c r="J382" s="1767"/>
      <c r="K382" s="1767"/>
      <c r="L382" s="150"/>
      <c r="M382" s="583"/>
      <c r="N382" s="583"/>
      <c r="O382" s="150"/>
      <c r="P382" s="150"/>
      <c r="Q382" s="150"/>
      <c r="R382" s="150"/>
      <c r="S382" s="150"/>
      <c r="T382" s="150"/>
      <c r="U382" s="150"/>
      <c r="V382" s="150"/>
      <c r="W382" s="150"/>
      <c r="X382" s="150"/>
      <c r="Y382" s="150"/>
      <c r="Z382" s="150"/>
      <c r="AA382" s="150"/>
      <c r="AB382" s="150"/>
      <c r="AC382" s="150"/>
      <c r="AD382" s="150"/>
      <c r="AE382" s="150"/>
    </row>
    <row r="383" spans="1:31" ht="15">
      <c r="A383" s="150"/>
      <c r="B383" s="150"/>
      <c r="C383" s="150"/>
      <c r="D383" s="150"/>
      <c r="E383" s="150"/>
      <c r="F383" s="150"/>
      <c r="G383" s="583"/>
      <c r="H383" s="583"/>
      <c r="I383" s="583"/>
      <c r="J383" s="1767"/>
      <c r="K383" s="1767"/>
      <c r="L383" s="150"/>
      <c r="M383" s="583"/>
      <c r="N383" s="583"/>
      <c r="O383" s="150"/>
      <c r="P383" s="150"/>
      <c r="Q383" s="150"/>
      <c r="R383" s="150"/>
      <c r="S383" s="150"/>
      <c r="T383" s="150"/>
      <c r="U383" s="150"/>
      <c r="V383" s="150"/>
      <c r="W383" s="150"/>
      <c r="X383" s="150"/>
      <c r="Y383" s="150"/>
      <c r="Z383" s="150"/>
      <c r="AA383" s="150"/>
      <c r="AB383" s="150"/>
      <c r="AC383" s="150"/>
      <c r="AD383" s="150"/>
      <c r="AE383" s="150"/>
    </row>
    <row r="384" spans="1:31" ht="15">
      <c r="A384" s="150"/>
      <c r="B384" s="150"/>
      <c r="C384" s="150"/>
      <c r="D384" s="150"/>
      <c r="E384" s="150"/>
      <c r="F384" s="150"/>
      <c r="G384" s="583"/>
      <c r="H384" s="583"/>
      <c r="I384" s="583"/>
      <c r="J384" s="1767"/>
      <c r="K384" s="1767"/>
      <c r="L384" s="150"/>
      <c r="M384" s="583"/>
      <c r="N384" s="583"/>
      <c r="O384" s="150"/>
      <c r="P384" s="150"/>
      <c r="Q384" s="150"/>
      <c r="R384" s="150"/>
      <c r="S384" s="150"/>
      <c r="T384" s="150"/>
      <c r="U384" s="150"/>
      <c r="V384" s="150"/>
      <c r="W384" s="150"/>
      <c r="X384" s="150"/>
      <c r="Y384" s="150"/>
      <c r="Z384" s="150"/>
      <c r="AA384" s="150"/>
      <c r="AB384" s="150"/>
      <c r="AC384" s="150"/>
      <c r="AD384" s="150"/>
      <c r="AE384" s="150"/>
    </row>
    <row r="385" spans="1:31" ht="15">
      <c r="A385" s="150"/>
      <c r="B385" s="150"/>
      <c r="C385" s="150"/>
      <c r="D385" s="150"/>
      <c r="E385" s="150"/>
      <c r="F385" s="150"/>
      <c r="G385" s="583"/>
      <c r="H385" s="583"/>
      <c r="I385" s="583"/>
      <c r="J385" s="1767"/>
      <c r="K385" s="1767"/>
      <c r="L385" s="150"/>
      <c r="M385" s="583"/>
      <c r="N385" s="583"/>
      <c r="O385" s="150"/>
      <c r="P385" s="150"/>
      <c r="Q385" s="150"/>
      <c r="R385" s="150"/>
      <c r="S385" s="150"/>
      <c r="T385" s="150"/>
      <c r="U385" s="150"/>
      <c r="V385" s="150"/>
      <c r="W385" s="150"/>
      <c r="X385" s="150"/>
      <c r="Y385" s="150"/>
      <c r="Z385" s="150"/>
      <c r="AA385" s="150"/>
      <c r="AB385" s="150"/>
      <c r="AC385" s="150"/>
      <c r="AD385" s="150"/>
      <c r="AE385" s="150"/>
    </row>
    <row r="386" spans="1:31" ht="15">
      <c r="A386" s="150"/>
      <c r="B386" s="150"/>
      <c r="C386" s="150"/>
      <c r="D386" s="150"/>
      <c r="E386" s="150"/>
      <c r="F386" s="150"/>
      <c r="G386" s="583"/>
      <c r="H386" s="583"/>
      <c r="I386" s="583"/>
      <c r="J386" s="1767"/>
      <c r="K386" s="1767"/>
      <c r="L386" s="150"/>
      <c r="M386" s="583"/>
      <c r="N386" s="583"/>
      <c r="O386" s="150"/>
      <c r="P386" s="150"/>
      <c r="Q386" s="150"/>
      <c r="R386" s="150"/>
      <c r="S386" s="150"/>
      <c r="T386" s="150"/>
      <c r="U386" s="150"/>
      <c r="V386" s="150"/>
      <c r="W386" s="150"/>
      <c r="X386" s="150"/>
      <c r="Y386" s="150"/>
      <c r="Z386" s="150"/>
      <c r="AA386" s="150"/>
      <c r="AB386" s="150"/>
      <c r="AC386" s="150"/>
      <c r="AD386" s="150"/>
      <c r="AE386" s="150"/>
    </row>
    <row r="387" spans="1:31" ht="15">
      <c r="A387" s="150"/>
      <c r="B387" s="150"/>
      <c r="C387" s="150"/>
      <c r="D387" s="150"/>
      <c r="E387" s="150"/>
      <c r="F387" s="150"/>
      <c r="G387" s="583"/>
      <c r="H387" s="583"/>
      <c r="I387" s="583"/>
      <c r="J387" s="1767"/>
      <c r="K387" s="1767"/>
      <c r="L387" s="150"/>
      <c r="M387" s="583"/>
      <c r="N387" s="583"/>
      <c r="O387" s="150"/>
      <c r="P387" s="150"/>
      <c r="Q387" s="150"/>
      <c r="R387" s="150"/>
      <c r="S387" s="150"/>
      <c r="T387" s="150"/>
      <c r="U387" s="150"/>
      <c r="V387" s="150"/>
      <c r="W387" s="150"/>
      <c r="X387" s="150"/>
      <c r="Y387" s="150"/>
      <c r="Z387" s="150"/>
      <c r="AA387" s="150"/>
      <c r="AB387" s="150"/>
      <c r="AC387" s="150"/>
      <c r="AD387" s="150"/>
      <c r="AE387" s="150"/>
    </row>
    <row r="388" spans="1:31" ht="15">
      <c r="A388" s="150"/>
      <c r="B388" s="150"/>
      <c r="C388" s="150"/>
      <c r="D388" s="150"/>
      <c r="E388" s="150"/>
      <c r="F388" s="150"/>
      <c r="G388" s="583"/>
      <c r="H388" s="583"/>
      <c r="I388" s="583"/>
      <c r="J388" s="1767"/>
      <c r="K388" s="1767"/>
      <c r="L388" s="150"/>
      <c r="M388" s="583"/>
      <c r="N388" s="583"/>
      <c r="O388" s="150"/>
      <c r="P388" s="150"/>
      <c r="Q388" s="150"/>
      <c r="R388" s="150"/>
      <c r="S388" s="150"/>
      <c r="T388" s="150"/>
      <c r="U388" s="150"/>
      <c r="V388" s="150"/>
      <c r="W388" s="150"/>
      <c r="X388" s="150"/>
      <c r="Y388" s="150"/>
      <c r="Z388" s="150"/>
      <c r="AA388" s="150"/>
      <c r="AB388" s="150"/>
      <c r="AC388" s="150"/>
      <c r="AD388" s="150"/>
      <c r="AE388" s="150"/>
    </row>
    <row r="389" spans="1:31" ht="15">
      <c r="A389" s="150"/>
      <c r="B389" s="150"/>
      <c r="C389" s="150"/>
      <c r="D389" s="150"/>
      <c r="E389" s="150"/>
      <c r="F389" s="150"/>
      <c r="G389" s="583"/>
      <c r="H389" s="583"/>
      <c r="I389" s="583"/>
      <c r="J389" s="1767"/>
      <c r="K389" s="1767"/>
      <c r="L389" s="150"/>
      <c r="M389" s="583"/>
      <c r="N389" s="583"/>
      <c r="O389" s="150"/>
      <c r="P389" s="150"/>
      <c r="Q389" s="150"/>
      <c r="R389" s="150"/>
      <c r="S389" s="150"/>
      <c r="T389" s="150"/>
      <c r="U389" s="150"/>
      <c r="V389" s="150"/>
      <c r="W389" s="150"/>
      <c r="X389" s="150"/>
      <c r="Y389" s="150"/>
      <c r="Z389" s="150"/>
      <c r="AA389" s="150"/>
      <c r="AB389" s="150"/>
      <c r="AC389" s="150"/>
      <c r="AD389" s="150"/>
      <c r="AE389" s="150"/>
    </row>
    <row r="390" spans="1:31" ht="15">
      <c r="A390" s="150"/>
      <c r="B390" s="150"/>
      <c r="C390" s="150"/>
      <c r="D390" s="150"/>
      <c r="E390" s="150"/>
      <c r="F390" s="150"/>
      <c r="G390" s="583"/>
      <c r="H390" s="583"/>
      <c r="I390" s="583"/>
      <c r="J390" s="1767"/>
      <c r="K390" s="1767"/>
      <c r="L390" s="150"/>
      <c r="M390" s="583"/>
      <c r="N390" s="583"/>
      <c r="O390" s="150"/>
      <c r="P390" s="150"/>
      <c r="Q390" s="150"/>
      <c r="R390" s="150"/>
      <c r="S390" s="150"/>
      <c r="T390" s="150"/>
      <c r="U390" s="150"/>
      <c r="V390" s="150"/>
      <c r="W390" s="150"/>
      <c r="X390" s="150"/>
      <c r="Y390" s="150"/>
      <c r="Z390" s="150"/>
      <c r="AA390" s="150"/>
      <c r="AB390" s="150"/>
      <c r="AC390" s="150"/>
      <c r="AD390" s="150"/>
      <c r="AE390" s="150"/>
    </row>
    <row r="391" spans="1:31" ht="15">
      <c r="A391" s="150"/>
      <c r="B391" s="150"/>
      <c r="C391" s="150"/>
      <c r="D391" s="150"/>
      <c r="E391" s="150"/>
      <c r="F391" s="150"/>
      <c r="G391" s="583"/>
      <c r="H391" s="583"/>
      <c r="I391" s="583"/>
      <c r="J391" s="1767"/>
      <c r="K391" s="1767"/>
      <c r="L391" s="150"/>
      <c r="M391" s="583"/>
      <c r="N391" s="583"/>
      <c r="O391" s="150"/>
      <c r="P391" s="150"/>
      <c r="Q391" s="150"/>
      <c r="R391" s="150"/>
      <c r="S391" s="150"/>
      <c r="T391" s="150"/>
      <c r="U391" s="150"/>
      <c r="V391" s="150"/>
      <c r="W391" s="150"/>
      <c r="X391" s="150"/>
      <c r="Y391" s="150"/>
      <c r="Z391" s="150"/>
      <c r="AA391" s="150"/>
      <c r="AB391" s="150"/>
      <c r="AC391" s="150"/>
      <c r="AD391" s="150"/>
      <c r="AE391" s="150"/>
    </row>
    <row r="392" spans="1:31" ht="15">
      <c r="A392" s="150"/>
      <c r="B392" s="150"/>
      <c r="C392" s="150"/>
      <c r="D392" s="150"/>
      <c r="E392" s="150"/>
      <c r="F392" s="150"/>
      <c r="G392" s="583"/>
      <c r="H392" s="583"/>
      <c r="I392" s="583"/>
      <c r="J392" s="1767"/>
      <c r="K392" s="1767"/>
      <c r="L392" s="150"/>
      <c r="M392" s="583"/>
      <c r="N392" s="583"/>
      <c r="O392" s="150"/>
      <c r="P392" s="150"/>
      <c r="Q392" s="150"/>
      <c r="R392" s="150"/>
      <c r="S392" s="150"/>
      <c r="T392" s="150"/>
      <c r="U392" s="150"/>
      <c r="V392" s="150"/>
      <c r="W392" s="150"/>
      <c r="X392" s="150"/>
      <c r="Y392" s="150"/>
      <c r="Z392" s="150"/>
      <c r="AA392" s="150"/>
      <c r="AB392" s="150"/>
      <c r="AC392" s="150"/>
      <c r="AD392" s="150"/>
      <c r="AE392" s="150"/>
    </row>
    <row r="393" spans="1:31" ht="15">
      <c r="A393" s="150"/>
      <c r="B393" s="150"/>
      <c r="C393" s="150"/>
      <c r="D393" s="150"/>
      <c r="E393" s="150"/>
      <c r="F393" s="150"/>
      <c r="G393" s="583"/>
      <c r="H393" s="583"/>
      <c r="I393" s="583"/>
      <c r="J393" s="1767"/>
      <c r="K393" s="1767"/>
      <c r="L393" s="150"/>
      <c r="M393" s="583"/>
      <c r="N393" s="583"/>
      <c r="O393" s="150"/>
      <c r="P393" s="150"/>
      <c r="Q393" s="150"/>
      <c r="R393" s="150"/>
      <c r="S393" s="150"/>
      <c r="T393" s="150"/>
      <c r="U393" s="150"/>
      <c r="V393" s="150"/>
      <c r="W393" s="150"/>
      <c r="X393" s="150"/>
      <c r="Y393" s="150"/>
      <c r="Z393" s="150"/>
      <c r="AA393" s="150"/>
      <c r="AB393" s="150"/>
      <c r="AC393" s="150"/>
      <c r="AD393" s="150"/>
      <c r="AE393" s="150"/>
    </row>
    <row r="394" spans="1:31" ht="15">
      <c r="A394" s="150"/>
      <c r="B394" s="150"/>
      <c r="C394" s="150"/>
      <c r="D394" s="150"/>
      <c r="E394" s="150"/>
      <c r="F394" s="150"/>
      <c r="G394" s="583"/>
      <c r="H394" s="583"/>
      <c r="I394" s="583"/>
      <c r="J394" s="1767"/>
      <c r="K394" s="1767"/>
      <c r="L394" s="150"/>
      <c r="M394" s="583"/>
      <c r="N394" s="583"/>
      <c r="O394" s="150"/>
      <c r="P394" s="150"/>
      <c r="Q394" s="150"/>
      <c r="R394" s="150"/>
      <c r="S394" s="150"/>
      <c r="T394" s="150"/>
      <c r="U394" s="150"/>
      <c r="V394" s="150"/>
      <c r="W394" s="150"/>
      <c r="X394" s="150"/>
      <c r="Y394" s="150"/>
      <c r="Z394" s="150"/>
      <c r="AA394" s="150"/>
      <c r="AB394" s="150"/>
      <c r="AC394" s="150"/>
      <c r="AD394" s="150"/>
      <c r="AE394" s="150"/>
    </row>
    <row r="395" spans="1:31" ht="15">
      <c r="A395" s="150"/>
      <c r="B395" s="150"/>
      <c r="C395" s="150"/>
      <c r="D395" s="150"/>
      <c r="E395" s="150"/>
      <c r="F395" s="150"/>
      <c r="G395" s="583"/>
      <c r="H395" s="583"/>
      <c r="I395" s="583"/>
      <c r="J395" s="1767"/>
      <c r="K395" s="1767"/>
      <c r="L395" s="150"/>
      <c r="M395" s="583"/>
      <c r="N395" s="583"/>
      <c r="O395" s="150"/>
      <c r="P395" s="150"/>
      <c r="Q395" s="150"/>
      <c r="R395" s="150"/>
      <c r="S395" s="150"/>
      <c r="T395" s="150"/>
      <c r="U395" s="150"/>
      <c r="V395" s="150"/>
      <c r="W395" s="150"/>
      <c r="X395" s="150"/>
      <c r="Y395" s="150"/>
      <c r="Z395" s="150"/>
      <c r="AA395" s="150"/>
      <c r="AB395" s="150"/>
      <c r="AC395" s="150"/>
      <c r="AD395" s="150"/>
      <c r="AE395" s="150"/>
    </row>
    <row r="396" spans="1:31" ht="15">
      <c r="A396" s="150"/>
      <c r="B396" s="150"/>
      <c r="C396" s="150"/>
      <c r="D396" s="150"/>
      <c r="E396" s="150"/>
      <c r="F396" s="150"/>
      <c r="G396" s="583"/>
      <c r="H396" s="583"/>
      <c r="I396" s="583"/>
      <c r="J396" s="1767"/>
      <c r="K396" s="1767"/>
      <c r="L396" s="150"/>
      <c r="M396" s="583"/>
      <c r="N396" s="583"/>
      <c r="O396" s="150"/>
      <c r="P396" s="150"/>
      <c r="Q396" s="150"/>
      <c r="R396" s="150"/>
      <c r="S396" s="150"/>
      <c r="T396" s="150"/>
      <c r="U396" s="150"/>
      <c r="V396" s="150"/>
      <c r="W396" s="150"/>
      <c r="X396" s="150"/>
      <c r="Y396" s="150"/>
      <c r="Z396" s="150"/>
      <c r="AA396" s="150"/>
      <c r="AB396" s="150"/>
      <c r="AC396" s="150"/>
      <c r="AD396" s="150"/>
      <c r="AE396" s="150"/>
    </row>
    <row r="397" spans="1:31" ht="15">
      <c r="A397" s="150"/>
      <c r="B397" s="150"/>
      <c r="C397" s="150"/>
      <c r="D397" s="150"/>
      <c r="E397" s="150"/>
      <c r="F397" s="150"/>
      <c r="G397" s="583"/>
      <c r="H397" s="583"/>
      <c r="I397" s="583"/>
      <c r="J397" s="1767"/>
      <c r="K397" s="1767"/>
      <c r="L397" s="150"/>
      <c r="M397" s="583"/>
      <c r="N397" s="583"/>
      <c r="O397" s="150"/>
      <c r="P397" s="150"/>
      <c r="Q397" s="150"/>
      <c r="R397" s="150"/>
      <c r="S397" s="150"/>
      <c r="T397" s="150"/>
      <c r="U397" s="150"/>
      <c r="V397" s="150"/>
      <c r="W397" s="150"/>
      <c r="X397" s="150"/>
      <c r="Y397" s="150"/>
      <c r="Z397" s="150"/>
      <c r="AA397" s="150"/>
      <c r="AB397" s="150"/>
      <c r="AC397" s="150"/>
      <c r="AD397" s="150"/>
      <c r="AE397" s="150"/>
    </row>
    <row r="398" spans="1:31" ht="15">
      <c r="A398" s="150"/>
      <c r="B398" s="150"/>
      <c r="C398" s="150"/>
      <c r="D398" s="150"/>
      <c r="E398" s="150"/>
      <c r="F398" s="150"/>
      <c r="G398" s="583"/>
      <c r="H398" s="583"/>
      <c r="I398" s="583"/>
      <c r="J398" s="1767"/>
      <c r="K398" s="1767"/>
      <c r="L398" s="150"/>
      <c r="M398" s="583"/>
      <c r="N398" s="583"/>
      <c r="O398" s="150"/>
      <c r="P398" s="150"/>
      <c r="Q398" s="150"/>
      <c r="R398" s="150"/>
      <c r="S398" s="150"/>
      <c r="T398" s="150"/>
      <c r="U398" s="150"/>
      <c r="V398" s="150"/>
      <c r="W398" s="150"/>
      <c r="X398" s="150"/>
      <c r="Y398" s="150"/>
      <c r="Z398" s="150"/>
      <c r="AA398" s="150"/>
      <c r="AB398" s="150"/>
      <c r="AC398" s="150"/>
      <c r="AD398" s="150"/>
      <c r="AE398" s="150"/>
    </row>
    <row r="399" spans="1:31" ht="15">
      <c r="A399" s="150"/>
      <c r="B399" s="150"/>
      <c r="C399" s="150"/>
      <c r="D399" s="150"/>
      <c r="E399" s="150"/>
      <c r="F399" s="150"/>
      <c r="G399" s="583"/>
      <c r="H399" s="583"/>
      <c r="I399" s="583"/>
      <c r="J399" s="1767"/>
      <c r="K399" s="1767"/>
      <c r="L399" s="150"/>
      <c r="M399" s="583"/>
      <c r="N399" s="583"/>
      <c r="O399" s="150"/>
      <c r="P399" s="150"/>
      <c r="Q399" s="150"/>
      <c r="R399" s="150"/>
      <c r="S399" s="150"/>
      <c r="T399" s="150"/>
      <c r="U399" s="150"/>
      <c r="V399" s="150"/>
      <c r="W399" s="150"/>
      <c r="X399" s="150"/>
      <c r="Y399" s="150"/>
      <c r="Z399" s="150"/>
      <c r="AA399" s="150"/>
      <c r="AB399" s="150"/>
      <c r="AC399" s="150"/>
      <c r="AD399" s="150"/>
      <c r="AE399" s="150"/>
    </row>
    <row r="400" spans="1:31" ht="15">
      <c r="A400" s="150"/>
      <c r="B400" s="150"/>
      <c r="C400" s="150"/>
      <c r="D400" s="150"/>
      <c r="E400" s="150"/>
      <c r="F400" s="150"/>
      <c r="G400" s="583"/>
      <c r="H400" s="583"/>
      <c r="I400" s="583"/>
      <c r="J400" s="1767"/>
      <c r="K400" s="1767"/>
      <c r="L400" s="150"/>
      <c r="M400" s="583"/>
      <c r="N400" s="583"/>
      <c r="O400" s="150"/>
      <c r="P400" s="150"/>
      <c r="Q400" s="150"/>
      <c r="R400" s="150"/>
      <c r="S400" s="150"/>
      <c r="T400" s="150"/>
      <c r="U400" s="150"/>
      <c r="V400" s="150"/>
      <c r="W400" s="150"/>
      <c r="X400" s="150"/>
      <c r="Y400" s="150"/>
      <c r="Z400" s="150"/>
      <c r="AA400" s="150"/>
      <c r="AB400" s="150"/>
      <c r="AC400" s="150"/>
      <c r="AD400" s="150"/>
      <c r="AE400" s="150"/>
    </row>
    <row r="401" spans="1:31" ht="15">
      <c r="A401" s="150"/>
      <c r="B401" s="150"/>
      <c r="C401" s="150"/>
      <c r="D401" s="150"/>
      <c r="E401" s="150"/>
      <c r="F401" s="150"/>
      <c r="G401" s="583"/>
      <c r="H401" s="583"/>
      <c r="I401" s="583"/>
      <c r="J401" s="1767"/>
      <c r="K401" s="1767"/>
      <c r="L401" s="150"/>
      <c r="M401" s="583"/>
      <c r="N401" s="583"/>
      <c r="O401" s="150"/>
      <c r="P401" s="150"/>
      <c r="Q401" s="150"/>
      <c r="R401" s="150"/>
      <c r="S401" s="150"/>
      <c r="T401" s="150"/>
      <c r="U401" s="150"/>
      <c r="V401" s="150"/>
      <c r="W401" s="150"/>
      <c r="X401" s="150"/>
      <c r="Y401" s="150"/>
      <c r="Z401" s="150"/>
      <c r="AA401" s="150"/>
      <c r="AB401" s="150"/>
      <c r="AC401" s="150"/>
      <c r="AD401" s="150"/>
      <c r="AE401" s="150"/>
    </row>
    <row r="402" spans="1:31" ht="15">
      <c r="A402" s="150"/>
      <c r="B402" s="150"/>
      <c r="C402" s="150"/>
      <c r="D402" s="150"/>
      <c r="E402" s="150"/>
      <c r="F402" s="150"/>
      <c r="G402" s="583"/>
      <c r="H402" s="583"/>
      <c r="I402" s="583"/>
      <c r="J402" s="1767"/>
      <c r="K402" s="1767"/>
      <c r="L402" s="150"/>
      <c r="M402" s="583"/>
      <c r="N402" s="583"/>
      <c r="O402" s="150"/>
      <c r="P402" s="150"/>
      <c r="Q402" s="150"/>
      <c r="R402" s="150"/>
      <c r="S402" s="150"/>
      <c r="T402" s="150"/>
      <c r="U402" s="150"/>
      <c r="V402" s="150"/>
      <c r="W402" s="150"/>
      <c r="X402" s="150"/>
      <c r="Y402" s="150"/>
      <c r="Z402" s="150"/>
      <c r="AA402" s="150"/>
      <c r="AB402" s="150"/>
      <c r="AC402" s="150"/>
      <c r="AD402" s="150"/>
      <c r="AE402" s="150"/>
    </row>
    <row r="403" spans="1:31" ht="15">
      <c r="A403" s="150"/>
      <c r="B403" s="150"/>
      <c r="C403" s="150"/>
      <c r="D403" s="150"/>
      <c r="E403" s="150"/>
      <c r="F403" s="150"/>
      <c r="G403" s="583"/>
      <c r="H403" s="583"/>
      <c r="I403" s="583"/>
      <c r="J403" s="1767"/>
      <c r="K403" s="1767"/>
      <c r="L403" s="150"/>
      <c r="M403" s="583"/>
      <c r="N403" s="583"/>
      <c r="O403" s="150"/>
      <c r="P403" s="150"/>
      <c r="Q403" s="150"/>
      <c r="R403" s="150"/>
      <c r="S403" s="150"/>
      <c r="T403" s="150"/>
      <c r="U403" s="150"/>
      <c r="V403" s="150"/>
      <c r="W403" s="150"/>
      <c r="X403" s="150"/>
      <c r="Y403" s="150"/>
      <c r="Z403" s="150"/>
      <c r="AA403" s="150"/>
      <c r="AB403" s="150"/>
      <c r="AC403" s="150"/>
      <c r="AD403" s="150"/>
      <c r="AE403" s="150"/>
    </row>
    <row r="404" spans="1:31" ht="15">
      <c r="A404" s="150"/>
      <c r="B404" s="150"/>
      <c r="C404" s="150"/>
      <c r="D404" s="150"/>
      <c r="E404" s="150"/>
      <c r="F404" s="150"/>
      <c r="G404" s="583"/>
      <c r="H404" s="583"/>
      <c r="I404" s="583"/>
      <c r="J404" s="1767"/>
      <c r="K404" s="1767"/>
      <c r="L404" s="150"/>
      <c r="M404" s="583"/>
      <c r="N404" s="583"/>
      <c r="O404" s="150"/>
      <c r="P404" s="150"/>
      <c r="Q404" s="150"/>
      <c r="R404" s="150"/>
      <c r="S404" s="150"/>
      <c r="T404" s="150"/>
      <c r="U404" s="150"/>
      <c r="V404" s="150"/>
      <c r="W404" s="150"/>
      <c r="X404" s="150"/>
      <c r="Y404" s="150"/>
      <c r="Z404" s="150"/>
      <c r="AA404" s="150"/>
      <c r="AB404" s="150"/>
      <c r="AC404" s="150"/>
      <c r="AD404" s="150"/>
      <c r="AE404" s="150"/>
    </row>
    <row r="405" spans="1:31" ht="15">
      <c r="A405" s="150"/>
      <c r="B405" s="150"/>
      <c r="C405" s="150"/>
      <c r="D405" s="150"/>
      <c r="E405" s="150"/>
      <c r="F405" s="150"/>
      <c r="G405" s="583"/>
      <c r="H405" s="583"/>
      <c r="I405" s="583"/>
      <c r="J405" s="1767"/>
      <c r="K405" s="1767"/>
      <c r="L405" s="150"/>
      <c r="M405" s="583"/>
      <c r="N405" s="583"/>
      <c r="O405" s="150"/>
      <c r="P405" s="150"/>
      <c r="Q405" s="150"/>
      <c r="R405" s="150"/>
      <c r="S405" s="150"/>
      <c r="T405" s="150"/>
      <c r="U405" s="150"/>
      <c r="V405" s="150"/>
      <c r="W405" s="150"/>
      <c r="X405" s="150"/>
      <c r="Y405" s="150"/>
      <c r="Z405" s="150"/>
      <c r="AA405" s="150"/>
      <c r="AB405" s="150"/>
      <c r="AC405" s="150"/>
      <c r="AD405" s="150"/>
      <c r="AE405" s="150"/>
    </row>
    <row r="406" spans="1:31" ht="15">
      <c r="A406" s="150"/>
      <c r="B406" s="150"/>
      <c r="C406" s="150"/>
      <c r="D406" s="150"/>
      <c r="E406" s="150"/>
      <c r="F406" s="150"/>
      <c r="G406" s="583"/>
      <c r="H406" s="583"/>
      <c r="I406" s="583"/>
      <c r="J406" s="1767"/>
      <c r="K406" s="1767"/>
      <c r="L406" s="150"/>
      <c r="M406" s="583"/>
      <c r="N406" s="583"/>
      <c r="O406" s="150"/>
      <c r="P406" s="150"/>
      <c r="Q406" s="150"/>
      <c r="R406" s="150"/>
      <c r="S406" s="150"/>
      <c r="T406" s="150"/>
      <c r="U406" s="150"/>
      <c r="V406" s="150"/>
      <c r="W406" s="150"/>
      <c r="X406" s="150"/>
      <c r="Y406" s="150"/>
      <c r="Z406" s="150"/>
      <c r="AA406" s="150"/>
      <c r="AB406" s="150"/>
      <c r="AC406" s="150"/>
      <c r="AD406" s="150"/>
      <c r="AE406" s="150"/>
    </row>
    <row r="407" spans="1:31" ht="15">
      <c r="A407" s="150"/>
      <c r="B407" s="150"/>
      <c r="C407" s="150"/>
      <c r="D407" s="150"/>
      <c r="E407" s="150"/>
      <c r="F407" s="150"/>
      <c r="G407" s="583"/>
      <c r="H407" s="583"/>
      <c r="I407" s="583"/>
      <c r="J407" s="1767"/>
      <c r="K407" s="1767"/>
      <c r="L407" s="150"/>
      <c r="M407" s="583"/>
      <c r="N407" s="583"/>
      <c r="O407" s="150"/>
      <c r="P407" s="150"/>
      <c r="Q407" s="150"/>
      <c r="R407" s="150"/>
      <c r="S407" s="150"/>
      <c r="T407" s="150"/>
      <c r="U407" s="150"/>
      <c r="V407" s="150"/>
      <c r="W407" s="150"/>
      <c r="X407" s="150"/>
      <c r="Y407" s="150"/>
      <c r="Z407" s="150"/>
      <c r="AA407" s="150"/>
      <c r="AB407" s="150"/>
      <c r="AC407" s="150"/>
      <c r="AD407" s="150"/>
      <c r="AE407" s="150"/>
    </row>
    <row r="408" spans="1:31" ht="15">
      <c r="A408" s="150"/>
      <c r="B408" s="150"/>
      <c r="C408" s="150"/>
      <c r="D408" s="150"/>
      <c r="E408" s="150"/>
      <c r="F408" s="150"/>
      <c r="G408" s="583"/>
      <c r="H408" s="583"/>
      <c r="I408" s="583"/>
      <c r="J408" s="1767"/>
      <c r="K408" s="1767"/>
      <c r="L408" s="150"/>
      <c r="M408" s="583"/>
      <c r="N408" s="583"/>
      <c r="O408" s="150"/>
      <c r="P408" s="150"/>
      <c r="Q408" s="150"/>
      <c r="R408" s="150"/>
      <c r="S408" s="150"/>
      <c r="T408" s="150"/>
      <c r="U408" s="150"/>
      <c r="V408" s="150"/>
      <c r="W408" s="150"/>
      <c r="X408" s="150"/>
      <c r="Y408" s="150"/>
      <c r="Z408" s="150"/>
      <c r="AA408" s="150"/>
      <c r="AB408" s="150"/>
      <c r="AC408" s="150"/>
      <c r="AD408" s="150"/>
      <c r="AE408" s="150"/>
    </row>
    <row r="409" spans="1:31" ht="15">
      <c r="A409" s="150"/>
      <c r="B409" s="150"/>
      <c r="C409" s="150"/>
      <c r="D409" s="150"/>
      <c r="E409" s="150"/>
      <c r="F409" s="150"/>
      <c r="G409" s="583"/>
      <c r="H409" s="583"/>
      <c r="I409" s="583"/>
      <c r="J409" s="1767"/>
      <c r="K409" s="1767"/>
      <c r="L409" s="150"/>
      <c r="M409" s="583"/>
      <c r="N409" s="583"/>
      <c r="O409" s="150"/>
      <c r="P409" s="150"/>
      <c r="Q409" s="150"/>
      <c r="R409" s="150"/>
      <c r="S409" s="150"/>
      <c r="T409" s="150"/>
      <c r="U409" s="150"/>
      <c r="V409" s="150"/>
      <c r="W409" s="150"/>
      <c r="X409" s="150"/>
      <c r="Y409" s="150"/>
      <c r="Z409" s="150"/>
      <c r="AA409" s="150"/>
      <c r="AB409" s="150"/>
      <c r="AC409" s="150"/>
      <c r="AD409" s="150"/>
      <c r="AE409" s="150"/>
    </row>
    <row r="410" spans="1:31" ht="15">
      <c r="A410" s="150"/>
      <c r="B410" s="150"/>
      <c r="C410" s="150"/>
      <c r="D410" s="150"/>
      <c r="E410" s="150"/>
      <c r="F410" s="150"/>
      <c r="G410" s="583"/>
      <c r="H410" s="583"/>
      <c r="I410" s="583"/>
      <c r="J410" s="1767"/>
      <c r="K410" s="1767"/>
      <c r="L410" s="150"/>
      <c r="M410" s="583"/>
      <c r="N410" s="583"/>
      <c r="O410" s="150"/>
      <c r="P410" s="150"/>
      <c r="Q410" s="150"/>
      <c r="R410" s="150"/>
      <c r="S410" s="150"/>
      <c r="T410" s="150"/>
      <c r="U410" s="150"/>
      <c r="V410" s="150"/>
      <c r="W410" s="150"/>
      <c r="X410" s="150"/>
      <c r="Y410" s="150"/>
      <c r="Z410" s="150"/>
      <c r="AA410" s="150"/>
      <c r="AB410" s="150"/>
      <c r="AC410" s="150"/>
      <c r="AD410" s="150"/>
      <c r="AE410" s="150"/>
    </row>
    <row r="411" spans="1:31" ht="15">
      <c r="A411" s="150"/>
      <c r="B411" s="150"/>
      <c r="C411" s="150"/>
      <c r="D411" s="150"/>
      <c r="E411" s="150"/>
      <c r="F411" s="150"/>
      <c r="G411" s="583"/>
      <c r="H411" s="583"/>
      <c r="I411" s="583"/>
      <c r="J411" s="1767"/>
      <c r="K411" s="1767"/>
      <c r="L411" s="150"/>
      <c r="M411" s="583"/>
      <c r="N411" s="583"/>
      <c r="O411" s="150"/>
      <c r="P411" s="150"/>
      <c r="Q411" s="150"/>
      <c r="R411" s="150"/>
      <c r="S411" s="150"/>
      <c r="T411" s="150"/>
      <c r="U411" s="150"/>
      <c r="V411" s="150"/>
      <c r="W411" s="150"/>
      <c r="X411" s="150"/>
      <c r="Y411" s="150"/>
      <c r="Z411" s="150"/>
      <c r="AA411" s="150"/>
      <c r="AB411" s="150"/>
      <c r="AC411" s="150"/>
      <c r="AD411" s="150"/>
      <c r="AE411" s="150"/>
    </row>
    <row r="412" spans="1:31" ht="15">
      <c r="A412" s="150"/>
      <c r="B412" s="150"/>
      <c r="C412" s="150"/>
      <c r="D412" s="150"/>
      <c r="E412" s="150"/>
      <c r="F412" s="150"/>
      <c r="G412" s="583"/>
      <c r="H412" s="583"/>
      <c r="I412" s="583"/>
      <c r="J412" s="1767"/>
      <c r="K412" s="1767"/>
      <c r="L412" s="150"/>
      <c r="M412" s="583"/>
      <c r="N412" s="583"/>
      <c r="O412" s="150"/>
      <c r="P412" s="150"/>
      <c r="Q412" s="150"/>
      <c r="R412" s="150"/>
      <c r="S412" s="150"/>
      <c r="T412" s="150"/>
      <c r="U412" s="150"/>
      <c r="V412" s="150"/>
      <c r="W412" s="150"/>
      <c r="X412" s="150"/>
      <c r="Y412" s="150"/>
      <c r="Z412" s="150"/>
      <c r="AA412" s="150"/>
      <c r="AB412" s="150"/>
      <c r="AC412" s="150"/>
      <c r="AD412" s="150"/>
      <c r="AE412" s="150"/>
    </row>
    <row r="413" spans="1:31" ht="15">
      <c r="A413" s="150"/>
      <c r="B413" s="150"/>
      <c r="C413" s="150"/>
      <c r="D413" s="150"/>
      <c r="E413" s="150"/>
      <c r="F413" s="150"/>
      <c r="G413" s="583"/>
      <c r="H413" s="583"/>
      <c r="I413" s="583"/>
      <c r="J413" s="1767"/>
      <c r="K413" s="1767"/>
      <c r="L413" s="150"/>
      <c r="M413" s="583"/>
      <c r="N413" s="583"/>
      <c r="O413" s="150"/>
      <c r="P413" s="150"/>
      <c r="Q413" s="150"/>
      <c r="R413" s="150"/>
      <c r="S413" s="150"/>
      <c r="T413" s="150"/>
      <c r="U413" s="150"/>
      <c r="V413" s="150"/>
      <c r="W413" s="150"/>
      <c r="X413" s="150"/>
      <c r="Y413" s="150"/>
      <c r="Z413" s="150"/>
      <c r="AA413" s="150"/>
      <c r="AB413" s="150"/>
      <c r="AC413" s="150"/>
      <c r="AD413" s="150"/>
      <c r="AE413" s="150"/>
    </row>
    <row r="414" spans="1:31" ht="15">
      <c r="A414" s="150"/>
      <c r="B414" s="150"/>
      <c r="C414" s="150"/>
      <c r="D414" s="150"/>
      <c r="E414" s="150"/>
      <c r="F414" s="150"/>
      <c r="G414" s="583"/>
      <c r="H414" s="583"/>
      <c r="I414" s="583"/>
      <c r="J414" s="1767"/>
      <c r="K414" s="1767"/>
      <c r="L414" s="150"/>
      <c r="M414" s="583"/>
      <c r="N414" s="583"/>
      <c r="O414" s="150"/>
      <c r="P414" s="150"/>
      <c r="Q414" s="150"/>
      <c r="R414" s="150"/>
      <c r="S414" s="150"/>
      <c r="T414" s="150"/>
      <c r="U414" s="150"/>
      <c r="V414" s="150"/>
      <c r="W414" s="150"/>
      <c r="X414" s="150"/>
      <c r="Y414" s="150"/>
      <c r="Z414" s="150"/>
      <c r="AA414" s="150"/>
      <c r="AB414" s="150"/>
      <c r="AC414" s="150"/>
      <c r="AD414" s="150"/>
      <c r="AE414" s="150"/>
    </row>
    <row r="415" spans="1:31" ht="15">
      <c r="A415" s="150"/>
      <c r="B415" s="150"/>
      <c r="C415" s="150"/>
      <c r="D415" s="150"/>
      <c r="E415" s="150"/>
      <c r="F415" s="150"/>
      <c r="G415" s="583"/>
      <c r="H415" s="583"/>
      <c r="I415" s="583"/>
      <c r="J415" s="1767"/>
      <c r="K415" s="1767"/>
      <c r="L415" s="150"/>
      <c r="M415" s="583"/>
      <c r="N415" s="583"/>
      <c r="O415" s="150"/>
      <c r="P415" s="150"/>
      <c r="Q415" s="150"/>
      <c r="R415" s="150"/>
      <c r="S415" s="150"/>
      <c r="T415" s="150"/>
      <c r="U415" s="150"/>
      <c r="V415" s="150"/>
      <c r="W415" s="150"/>
      <c r="X415" s="150"/>
      <c r="Y415" s="150"/>
      <c r="Z415" s="150"/>
      <c r="AA415" s="150"/>
      <c r="AB415" s="150"/>
      <c r="AC415" s="150"/>
      <c r="AD415" s="150"/>
      <c r="AE415" s="150"/>
    </row>
    <row r="416" spans="1:31" ht="15">
      <c r="A416" s="150"/>
      <c r="B416" s="150"/>
      <c r="C416" s="150"/>
      <c r="D416" s="150"/>
      <c r="E416" s="150"/>
      <c r="F416" s="150"/>
      <c r="G416" s="583"/>
      <c r="H416" s="583"/>
      <c r="I416" s="583"/>
      <c r="J416" s="1767"/>
      <c r="K416" s="1767"/>
      <c r="L416" s="150"/>
      <c r="M416" s="583"/>
      <c r="N416" s="583"/>
      <c r="O416" s="150"/>
      <c r="P416" s="150"/>
      <c r="Q416" s="150"/>
      <c r="R416" s="150"/>
      <c r="S416" s="150"/>
      <c r="T416" s="150"/>
      <c r="U416" s="150"/>
      <c r="V416" s="150"/>
      <c r="W416" s="150"/>
      <c r="X416" s="150"/>
      <c r="Y416" s="150"/>
      <c r="Z416" s="150"/>
      <c r="AA416" s="150"/>
      <c r="AB416" s="150"/>
      <c r="AC416" s="150"/>
      <c r="AD416" s="150"/>
      <c r="AE416" s="150"/>
    </row>
    <row r="417" spans="1:31" ht="15">
      <c r="A417" s="150"/>
      <c r="B417" s="150"/>
      <c r="C417" s="150"/>
      <c r="D417" s="150"/>
      <c r="E417" s="150"/>
      <c r="F417" s="150"/>
      <c r="G417" s="583"/>
      <c r="H417" s="583"/>
      <c r="I417" s="583"/>
      <c r="J417" s="1767"/>
      <c r="K417" s="1767"/>
      <c r="L417" s="150"/>
      <c r="M417" s="583"/>
      <c r="N417" s="583"/>
      <c r="O417" s="150"/>
      <c r="P417" s="150"/>
      <c r="Q417" s="150"/>
      <c r="R417" s="150"/>
      <c r="S417" s="150"/>
      <c r="T417" s="150"/>
      <c r="U417" s="150"/>
      <c r="V417" s="150"/>
      <c r="W417" s="150"/>
      <c r="X417" s="150"/>
      <c r="Y417" s="150"/>
      <c r="Z417" s="150"/>
      <c r="AA417" s="150"/>
      <c r="AB417" s="150"/>
      <c r="AC417" s="150"/>
      <c r="AD417" s="150"/>
      <c r="AE417" s="150"/>
    </row>
    <row r="418" spans="1:31" ht="15">
      <c r="A418" s="150"/>
      <c r="B418" s="150"/>
      <c r="C418" s="150"/>
      <c r="D418" s="150"/>
      <c r="E418" s="150"/>
      <c r="F418" s="150"/>
      <c r="G418" s="583"/>
      <c r="H418" s="583"/>
      <c r="I418" s="583"/>
      <c r="J418" s="1767"/>
      <c r="K418" s="1767"/>
      <c r="L418" s="150"/>
      <c r="M418" s="583"/>
      <c r="N418" s="583"/>
      <c r="O418" s="150"/>
      <c r="P418" s="150"/>
      <c r="Q418" s="150"/>
      <c r="R418" s="150"/>
      <c r="S418" s="150"/>
      <c r="T418" s="150"/>
      <c r="U418" s="150"/>
      <c r="V418" s="150"/>
      <c r="W418" s="150"/>
      <c r="X418" s="150"/>
      <c r="Y418" s="150"/>
      <c r="Z418" s="150"/>
      <c r="AA418" s="150"/>
      <c r="AB418" s="150"/>
      <c r="AC418" s="150"/>
      <c r="AD418" s="150"/>
      <c r="AE418" s="150"/>
    </row>
    <row r="419" spans="1:31" ht="15">
      <c r="A419" s="150"/>
      <c r="B419" s="150"/>
      <c r="C419" s="150"/>
      <c r="D419" s="150"/>
      <c r="E419" s="150"/>
      <c r="F419" s="150"/>
      <c r="G419" s="583"/>
      <c r="H419" s="583"/>
      <c r="I419" s="583"/>
      <c r="J419" s="1767"/>
      <c r="K419" s="1767"/>
      <c r="L419" s="150"/>
      <c r="M419" s="583"/>
      <c r="N419" s="583"/>
      <c r="O419" s="150"/>
      <c r="P419" s="150"/>
      <c r="Q419" s="150"/>
      <c r="R419" s="150"/>
      <c r="S419" s="150"/>
      <c r="T419" s="150"/>
      <c r="U419" s="150"/>
      <c r="V419" s="150"/>
      <c r="W419" s="150"/>
      <c r="X419" s="150"/>
      <c r="Y419" s="150"/>
      <c r="Z419" s="150"/>
      <c r="AA419" s="150"/>
      <c r="AB419" s="150"/>
      <c r="AC419" s="150"/>
      <c r="AD419" s="150"/>
      <c r="AE419" s="150"/>
    </row>
    <row r="420" spans="1:31" ht="15">
      <c r="A420" s="150"/>
      <c r="B420" s="150"/>
      <c r="C420" s="150"/>
      <c r="D420" s="150"/>
      <c r="E420" s="150"/>
      <c r="F420" s="150"/>
      <c r="G420" s="583"/>
      <c r="H420" s="583"/>
      <c r="I420" s="583"/>
      <c r="J420" s="1767"/>
      <c r="K420" s="1767"/>
      <c r="L420" s="150"/>
      <c r="M420" s="583"/>
      <c r="N420" s="583"/>
      <c r="O420" s="150"/>
      <c r="P420" s="150"/>
      <c r="Q420" s="150"/>
      <c r="R420" s="150"/>
      <c r="S420" s="150"/>
      <c r="T420" s="150"/>
      <c r="U420" s="150"/>
      <c r="V420" s="150"/>
      <c r="W420" s="150"/>
      <c r="X420" s="150"/>
      <c r="Y420" s="150"/>
      <c r="Z420" s="150"/>
      <c r="AA420" s="150"/>
      <c r="AB420" s="150"/>
      <c r="AC420" s="150"/>
      <c r="AD420" s="150"/>
      <c r="AE420" s="150"/>
    </row>
    <row r="421" spans="1:31" ht="15">
      <c r="A421" s="150"/>
      <c r="B421" s="150"/>
      <c r="C421" s="150"/>
      <c r="D421" s="150"/>
      <c r="E421" s="150"/>
      <c r="F421" s="150"/>
      <c r="G421" s="583"/>
      <c r="H421" s="583"/>
      <c r="I421" s="583"/>
      <c r="J421" s="1767"/>
      <c r="K421" s="1767"/>
      <c r="L421" s="150"/>
      <c r="M421" s="583"/>
      <c r="N421" s="583"/>
      <c r="O421" s="150"/>
      <c r="P421" s="150"/>
      <c r="Q421" s="150"/>
      <c r="R421" s="150"/>
      <c r="S421" s="150"/>
      <c r="T421" s="150"/>
      <c r="U421" s="150"/>
      <c r="V421" s="150"/>
      <c r="W421" s="150"/>
      <c r="X421" s="150"/>
      <c r="Y421" s="150"/>
      <c r="Z421" s="150"/>
      <c r="AA421" s="150"/>
      <c r="AB421" s="150"/>
      <c r="AC421" s="150"/>
      <c r="AD421" s="150"/>
      <c r="AE421" s="150"/>
    </row>
    <row r="422" spans="1:31" ht="15">
      <c r="A422" s="150"/>
      <c r="B422" s="150"/>
      <c r="C422" s="150"/>
      <c r="D422" s="150"/>
      <c r="E422" s="150"/>
      <c r="F422" s="150"/>
      <c r="G422" s="583"/>
      <c r="H422" s="583"/>
      <c r="I422" s="583"/>
      <c r="J422" s="1767"/>
      <c r="K422" s="1767"/>
      <c r="L422" s="150"/>
      <c r="M422" s="583"/>
      <c r="N422" s="583"/>
      <c r="O422" s="150"/>
      <c r="P422" s="150"/>
      <c r="Q422" s="150"/>
      <c r="R422" s="150"/>
      <c r="S422" s="150"/>
      <c r="T422" s="150"/>
      <c r="U422" s="150"/>
      <c r="V422" s="150"/>
      <c r="W422" s="150"/>
      <c r="X422" s="150"/>
      <c r="Y422" s="150"/>
      <c r="Z422" s="150"/>
      <c r="AA422" s="150"/>
      <c r="AB422" s="150"/>
      <c r="AC422" s="150"/>
      <c r="AD422" s="150"/>
      <c r="AE422" s="150"/>
    </row>
    <row r="423" spans="1:31" ht="15">
      <c r="A423" s="150"/>
      <c r="B423" s="150"/>
      <c r="C423" s="150"/>
      <c r="D423" s="150"/>
      <c r="E423" s="150"/>
      <c r="F423" s="150"/>
      <c r="G423" s="583"/>
      <c r="H423" s="583"/>
      <c r="I423" s="583"/>
      <c r="J423" s="1767"/>
      <c r="K423" s="1767"/>
      <c r="L423" s="150"/>
      <c r="M423" s="583"/>
      <c r="N423" s="583"/>
      <c r="O423" s="150"/>
      <c r="P423" s="150"/>
      <c r="Q423" s="150"/>
      <c r="R423" s="150"/>
      <c r="S423" s="150"/>
      <c r="T423" s="150"/>
      <c r="U423" s="150"/>
      <c r="V423" s="150"/>
      <c r="W423" s="150"/>
      <c r="X423" s="150"/>
      <c r="Y423" s="150"/>
      <c r="Z423" s="150"/>
      <c r="AA423" s="150"/>
      <c r="AB423" s="150"/>
      <c r="AC423" s="150"/>
      <c r="AD423" s="150"/>
      <c r="AE423" s="150"/>
    </row>
    <row r="424" spans="1:31" ht="15">
      <c r="A424" s="150"/>
      <c r="B424" s="150"/>
      <c r="C424" s="150"/>
      <c r="D424" s="150"/>
      <c r="E424" s="150"/>
      <c r="F424" s="150"/>
      <c r="G424" s="583"/>
      <c r="H424" s="583"/>
      <c r="I424" s="583"/>
      <c r="J424" s="1767"/>
      <c r="K424" s="1767"/>
      <c r="L424" s="150"/>
      <c r="M424" s="583"/>
      <c r="N424" s="583"/>
      <c r="O424" s="150"/>
      <c r="P424" s="150"/>
      <c r="Q424" s="150"/>
      <c r="R424" s="150"/>
      <c r="S424" s="150"/>
      <c r="T424" s="150"/>
      <c r="U424" s="150"/>
      <c r="V424" s="150"/>
      <c r="W424" s="150"/>
      <c r="X424" s="150"/>
      <c r="Y424" s="150"/>
      <c r="Z424" s="150"/>
      <c r="AA424" s="150"/>
      <c r="AB424" s="150"/>
      <c r="AC424" s="150"/>
      <c r="AD424" s="150"/>
      <c r="AE424" s="150"/>
    </row>
    <row r="425" spans="1:31" ht="15">
      <c r="A425" s="150"/>
      <c r="B425" s="150"/>
      <c r="C425" s="150"/>
      <c r="D425" s="150"/>
      <c r="E425" s="150"/>
      <c r="F425" s="150"/>
      <c r="G425" s="583"/>
      <c r="H425" s="583"/>
      <c r="I425" s="583"/>
      <c r="J425" s="1767"/>
      <c r="K425" s="1767"/>
      <c r="L425" s="150"/>
      <c r="M425" s="583"/>
      <c r="N425" s="583"/>
      <c r="O425" s="150"/>
      <c r="P425" s="150"/>
      <c r="Q425" s="150"/>
      <c r="R425" s="150"/>
      <c r="S425" s="150"/>
      <c r="T425" s="150"/>
      <c r="U425" s="150"/>
      <c r="V425" s="150"/>
      <c r="W425" s="150"/>
      <c r="X425" s="150"/>
      <c r="Y425" s="150"/>
      <c r="Z425" s="150"/>
      <c r="AA425" s="150"/>
      <c r="AB425" s="150"/>
      <c r="AC425" s="150"/>
      <c r="AD425" s="150"/>
      <c r="AE425" s="150"/>
    </row>
    <row r="426" spans="1:31" ht="15">
      <c r="A426" s="150"/>
      <c r="B426" s="150"/>
      <c r="C426" s="150"/>
      <c r="D426" s="150"/>
      <c r="E426" s="150"/>
      <c r="F426" s="150"/>
      <c r="G426" s="583"/>
      <c r="H426" s="583"/>
      <c r="I426" s="583"/>
      <c r="J426" s="1767"/>
      <c r="K426" s="1767"/>
      <c r="L426" s="150"/>
      <c r="M426" s="583"/>
      <c r="N426" s="583"/>
      <c r="O426" s="150"/>
      <c r="P426" s="150"/>
      <c r="Q426" s="150"/>
      <c r="R426" s="150"/>
      <c r="S426" s="150"/>
      <c r="T426" s="150"/>
      <c r="U426" s="150"/>
      <c r="V426" s="150"/>
      <c r="W426" s="150"/>
      <c r="X426" s="150"/>
      <c r="Y426" s="150"/>
      <c r="Z426" s="150"/>
      <c r="AA426" s="150"/>
      <c r="AB426" s="150"/>
      <c r="AC426" s="150"/>
      <c r="AD426" s="150"/>
      <c r="AE426" s="150"/>
    </row>
    <row r="427" spans="1:31" ht="15">
      <c r="A427" s="150"/>
      <c r="B427" s="150"/>
      <c r="C427" s="150"/>
      <c r="D427" s="150"/>
      <c r="E427" s="150"/>
      <c r="F427" s="150"/>
      <c r="G427" s="583"/>
      <c r="H427" s="583"/>
      <c r="I427" s="583"/>
      <c r="J427" s="1767"/>
      <c r="K427" s="1767"/>
      <c r="L427" s="150"/>
      <c r="M427" s="583"/>
      <c r="N427" s="583"/>
      <c r="O427" s="150"/>
      <c r="P427" s="150"/>
      <c r="Q427" s="150"/>
      <c r="R427" s="150"/>
      <c r="S427" s="150"/>
      <c r="T427" s="150"/>
      <c r="U427" s="150"/>
      <c r="V427" s="150"/>
      <c r="W427" s="150"/>
      <c r="X427" s="150"/>
      <c r="Y427" s="150"/>
      <c r="Z427" s="150"/>
      <c r="AA427" s="150"/>
      <c r="AB427" s="150"/>
      <c r="AC427" s="150"/>
      <c r="AD427" s="150"/>
      <c r="AE427" s="150"/>
    </row>
    <row r="428" spans="1:31" ht="15">
      <c r="A428" s="150"/>
      <c r="B428" s="150"/>
      <c r="C428" s="150"/>
      <c r="D428" s="150"/>
      <c r="E428" s="150"/>
      <c r="F428" s="150"/>
      <c r="G428" s="583"/>
      <c r="H428" s="583"/>
      <c r="I428" s="583"/>
      <c r="J428" s="1767"/>
      <c r="K428" s="1767"/>
      <c r="L428" s="150"/>
      <c r="M428" s="583"/>
      <c r="N428" s="583"/>
      <c r="O428" s="150"/>
      <c r="P428" s="150"/>
      <c r="Q428" s="150"/>
      <c r="R428" s="150"/>
      <c r="S428" s="150"/>
      <c r="T428" s="150"/>
      <c r="U428" s="150"/>
      <c r="V428" s="150"/>
      <c r="W428" s="150"/>
      <c r="X428" s="150"/>
      <c r="Y428" s="150"/>
      <c r="Z428" s="150"/>
      <c r="AA428" s="150"/>
      <c r="AB428" s="150"/>
      <c r="AC428" s="150"/>
      <c r="AD428" s="150"/>
      <c r="AE428" s="150"/>
    </row>
    <row r="429" spans="1:31" ht="15">
      <c r="A429" s="150"/>
      <c r="B429" s="150"/>
      <c r="C429" s="150"/>
      <c r="D429" s="150"/>
      <c r="E429" s="150"/>
      <c r="F429" s="150"/>
      <c r="G429" s="583"/>
      <c r="H429" s="583"/>
      <c r="I429" s="583"/>
      <c r="J429" s="1767"/>
      <c r="K429" s="1767"/>
      <c r="L429" s="150"/>
      <c r="M429" s="583"/>
      <c r="N429" s="583"/>
      <c r="O429" s="150"/>
      <c r="P429" s="150"/>
      <c r="Q429" s="150"/>
      <c r="R429" s="150"/>
      <c r="S429" s="150"/>
      <c r="T429" s="150"/>
      <c r="U429" s="150"/>
      <c r="V429" s="150"/>
      <c r="W429" s="150"/>
      <c r="X429" s="150"/>
      <c r="Y429" s="150"/>
      <c r="Z429" s="150"/>
      <c r="AA429" s="150"/>
      <c r="AB429" s="150"/>
      <c r="AC429" s="150"/>
      <c r="AD429" s="150"/>
      <c r="AE429" s="150"/>
    </row>
    <row r="430" spans="1:31" ht="15">
      <c r="A430" s="150"/>
      <c r="B430" s="150"/>
      <c r="C430" s="150"/>
      <c r="D430" s="150"/>
      <c r="E430" s="150"/>
      <c r="F430" s="150"/>
      <c r="G430" s="583"/>
      <c r="H430" s="583"/>
      <c r="I430" s="583"/>
      <c r="J430" s="1767"/>
      <c r="K430" s="1767"/>
      <c r="L430" s="150"/>
      <c r="M430" s="583"/>
      <c r="N430" s="583"/>
      <c r="O430" s="150"/>
      <c r="P430" s="150"/>
      <c r="Q430" s="150"/>
      <c r="R430" s="150"/>
      <c r="S430" s="150"/>
      <c r="T430" s="150"/>
      <c r="U430" s="150"/>
      <c r="V430" s="150"/>
      <c r="W430" s="150"/>
      <c r="X430" s="150"/>
      <c r="Y430" s="150"/>
      <c r="Z430" s="150"/>
      <c r="AA430" s="150"/>
      <c r="AB430" s="150"/>
      <c r="AC430" s="150"/>
      <c r="AD430" s="150"/>
      <c r="AE430" s="150"/>
    </row>
    <row r="431" spans="1:31" ht="15">
      <c r="A431" s="150"/>
      <c r="B431" s="150"/>
      <c r="C431" s="150"/>
      <c r="D431" s="150"/>
      <c r="E431" s="150"/>
      <c r="F431" s="150"/>
      <c r="G431" s="583"/>
      <c r="H431" s="583"/>
      <c r="I431" s="583"/>
      <c r="J431" s="1767"/>
      <c r="K431" s="1767"/>
      <c r="L431" s="150"/>
      <c r="M431" s="583"/>
      <c r="N431" s="583"/>
      <c r="O431" s="150"/>
      <c r="P431" s="150"/>
      <c r="Q431" s="150"/>
      <c r="R431" s="150"/>
      <c r="S431" s="150"/>
      <c r="T431" s="150"/>
      <c r="U431" s="150"/>
      <c r="V431" s="150"/>
      <c r="W431" s="150"/>
      <c r="X431" s="150"/>
      <c r="Y431" s="150"/>
      <c r="Z431" s="150"/>
      <c r="AA431" s="150"/>
      <c r="AB431" s="150"/>
      <c r="AC431" s="150"/>
      <c r="AD431" s="150"/>
      <c r="AE431" s="150"/>
    </row>
    <row r="432" spans="1:31" ht="15">
      <c r="A432" s="150"/>
      <c r="B432" s="150"/>
      <c r="C432" s="150"/>
      <c r="D432" s="150"/>
      <c r="E432" s="150"/>
      <c r="F432" s="150"/>
      <c r="G432" s="583"/>
      <c r="H432" s="583"/>
      <c r="I432" s="583"/>
      <c r="J432" s="1767"/>
      <c r="K432" s="1767"/>
      <c r="L432" s="150"/>
      <c r="M432" s="583"/>
      <c r="N432" s="583"/>
      <c r="O432" s="150"/>
      <c r="P432" s="150"/>
      <c r="Q432" s="150"/>
      <c r="R432" s="150"/>
      <c r="S432" s="150"/>
      <c r="T432" s="150"/>
      <c r="U432" s="150"/>
      <c r="V432" s="150"/>
      <c r="W432" s="150"/>
      <c r="X432" s="150"/>
      <c r="Y432" s="150"/>
      <c r="Z432" s="150"/>
      <c r="AA432" s="150"/>
      <c r="AB432" s="150"/>
      <c r="AC432" s="150"/>
      <c r="AD432" s="150"/>
      <c r="AE432" s="150"/>
    </row>
    <row r="433" spans="1:31" ht="15">
      <c r="A433" s="150"/>
      <c r="B433" s="150"/>
      <c r="C433" s="150"/>
      <c r="D433" s="150"/>
      <c r="E433" s="150"/>
      <c r="F433" s="150"/>
      <c r="G433" s="583"/>
      <c r="H433" s="583"/>
      <c r="I433" s="583"/>
      <c r="J433" s="1767"/>
      <c r="K433" s="1767"/>
      <c r="L433" s="150"/>
      <c r="M433" s="583"/>
      <c r="N433" s="583"/>
      <c r="O433" s="150"/>
      <c r="P433" s="150"/>
      <c r="Q433" s="150"/>
      <c r="R433" s="150"/>
      <c r="S433" s="150"/>
      <c r="T433" s="150"/>
      <c r="U433" s="150"/>
      <c r="V433" s="150"/>
      <c r="W433" s="150"/>
      <c r="X433" s="150"/>
      <c r="Y433" s="150"/>
      <c r="Z433" s="150"/>
      <c r="AA433" s="150"/>
      <c r="AB433" s="150"/>
      <c r="AC433" s="150"/>
      <c r="AD433" s="150"/>
      <c r="AE433" s="150"/>
    </row>
    <row r="434" spans="1:31" ht="15">
      <c r="A434" s="150"/>
      <c r="B434" s="150"/>
      <c r="C434" s="150"/>
      <c r="D434" s="150"/>
      <c r="E434" s="150"/>
      <c r="F434" s="150"/>
      <c r="G434" s="583"/>
      <c r="H434" s="583"/>
      <c r="I434" s="583"/>
      <c r="J434" s="1767"/>
      <c r="K434" s="1767"/>
      <c r="L434" s="150"/>
      <c r="M434" s="583"/>
      <c r="N434" s="583"/>
      <c r="O434" s="150"/>
      <c r="P434" s="150"/>
      <c r="Q434" s="150"/>
      <c r="R434" s="150"/>
      <c r="S434" s="150"/>
      <c r="T434" s="150"/>
      <c r="U434" s="150"/>
      <c r="V434" s="150"/>
      <c r="W434" s="150"/>
      <c r="X434" s="150"/>
      <c r="Y434" s="150"/>
      <c r="Z434" s="150"/>
      <c r="AA434" s="150"/>
      <c r="AB434" s="150"/>
      <c r="AC434" s="150"/>
      <c r="AD434" s="150"/>
      <c r="AE434" s="150"/>
    </row>
    <row r="435" spans="1:31" ht="15">
      <c r="A435" s="150"/>
      <c r="B435" s="150"/>
      <c r="C435" s="150"/>
      <c r="D435" s="150"/>
      <c r="E435" s="150"/>
      <c r="F435" s="150"/>
      <c r="G435" s="583"/>
      <c r="H435" s="583"/>
      <c r="I435" s="583"/>
      <c r="J435" s="1767"/>
      <c r="K435" s="1767"/>
      <c r="L435" s="150"/>
      <c r="M435" s="583"/>
      <c r="N435" s="583"/>
      <c r="O435" s="150"/>
      <c r="P435" s="150"/>
      <c r="Q435" s="150"/>
      <c r="R435" s="150"/>
      <c r="S435" s="150"/>
      <c r="T435" s="150"/>
      <c r="U435" s="150"/>
      <c r="V435" s="150"/>
      <c r="W435" s="150"/>
      <c r="X435" s="150"/>
      <c r="Y435" s="150"/>
      <c r="Z435" s="150"/>
      <c r="AA435" s="150"/>
      <c r="AB435" s="150"/>
      <c r="AC435" s="150"/>
      <c r="AD435" s="150"/>
      <c r="AE435" s="150"/>
    </row>
    <row r="436" spans="1:31" ht="15">
      <c r="A436" s="150"/>
      <c r="B436" s="150"/>
      <c r="C436" s="150"/>
      <c r="D436" s="150"/>
      <c r="E436" s="150"/>
      <c r="F436" s="150"/>
      <c r="G436" s="583"/>
      <c r="H436" s="583"/>
      <c r="I436" s="583"/>
      <c r="J436" s="1767"/>
      <c r="K436" s="1767"/>
      <c r="L436" s="150"/>
      <c r="M436" s="583"/>
      <c r="N436" s="583"/>
      <c r="O436" s="150"/>
      <c r="P436" s="150"/>
      <c r="Q436" s="150"/>
      <c r="R436" s="150"/>
      <c r="S436" s="150"/>
      <c r="T436" s="150"/>
      <c r="U436" s="150"/>
      <c r="V436" s="150"/>
      <c r="W436" s="150"/>
      <c r="X436" s="150"/>
      <c r="Y436" s="150"/>
      <c r="Z436" s="150"/>
      <c r="AA436" s="150"/>
      <c r="AB436" s="150"/>
      <c r="AC436" s="150"/>
      <c r="AD436" s="150"/>
      <c r="AE436" s="150"/>
    </row>
    <row r="437" spans="1:31" ht="15">
      <c r="A437" s="150"/>
      <c r="B437" s="150"/>
      <c r="C437" s="150"/>
      <c r="D437" s="150"/>
      <c r="E437" s="150"/>
      <c r="F437" s="150"/>
      <c r="G437" s="583"/>
      <c r="H437" s="583"/>
      <c r="I437" s="583"/>
      <c r="J437" s="1767"/>
      <c r="K437" s="1767"/>
      <c r="L437" s="150"/>
      <c r="M437" s="583"/>
      <c r="N437" s="583"/>
      <c r="O437" s="150"/>
      <c r="P437" s="150"/>
      <c r="Q437" s="150"/>
      <c r="R437" s="150"/>
      <c r="S437" s="150"/>
      <c r="T437" s="150"/>
      <c r="U437" s="150"/>
      <c r="V437" s="150"/>
      <c r="W437" s="150"/>
      <c r="X437" s="150"/>
      <c r="Y437" s="150"/>
      <c r="Z437" s="150"/>
      <c r="AA437" s="150"/>
      <c r="AB437" s="150"/>
      <c r="AC437" s="150"/>
      <c r="AD437" s="150"/>
      <c r="AE437" s="150"/>
    </row>
    <row r="438" spans="1:31" ht="15">
      <c r="A438" s="150"/>
      <c r="B438" s="150"/>
      <c r="C438" s="150"/>
      <c r="D438" s="150"/>
      <c r="E438" s="150"/>
      <c r="F438" s="150"/>
      <c r="G438" s="583"/>
      <c r="H438" s="583"/>
      <c r="I438" s="583"/>
      <c r="J438" s="1767"/>
      <c r="K438" s="1767"/>
      <c r="L438" s="150"/>
      <c r="M438" s="583"/>
      <c r="N438" s="583"/>
      <c r="O438" s="150"/>
      <c r="P438" s="150"/>
      <c r="Q438" s="150"/>
      <c r="R438" s="150"/>
      <c r="S438" s="150"/>
      <c r="T438" s="150"/>
      <c r="U438" s="150"/>
      <c r="V438" s="150"/>
      <c r="W438" s="150"/>
      <c r="X438" s="150"/>
      <c r="Y438" s="150"/>
      <c r="Z438" s="150"/>
      <c r="AA438" s="150"/>
      <c r="AB438" s="150"/>
      <c r="AC438" s="150"/>
      <c r="AD438" s="150"/>
      <c r="AE438" s="150"/>
    </row>
    <row r="439" spans="1:31" ht="15">
      <c r="A439" s="150"/>
      <c r="B439" s="150"/>
      <c r="C439" s="150"/>
      <c r="D439" s="150"/>
      <c r="E439" s="150"/>
      <c r="F439" s="150"/>
      <c r="G439" s="583"/>
      <c r="H439" s="583"/>
      <c r="I439" s="583"/>
      <c r="J439" s="1767"/>
      <c r="K439" s="1767"/>
      <c r="L439" s="150"/>
      <c r="M439" s="583"/>
      <c r="N439" s="583"/>
      <c r="O439" s="150"/>
      <c r="P439" s="150"/>
      <c r="Q439" s="150"/>
      <c r="R439" s="150"/>
      <c r="S439" s="150"/>
      <c r="T439" s="150"/>
      <c r="U439" s="150"/>
      <c r="V439" s="150"/>
      <c r="W439" s="150"/>
      <c r="X439" s="150"/>
      <c r="Y439" s="150"/>
      <c r="Z439" s="150"/>
      <c r="AA439" s="150"/>
      <c r="AB439" s="150"/>
      <c r="AC439" s="150"/>
      <c r="AD439" s="150"/>
      <c r="AE439" s="150"/>
    </row>
    <row r="440" spans="1:31" ht="15">
      <c r="A440" s="150"/>
      <c r="B440" s="150"/>
      <c r="C440" s="150"/>
      <c r="D440" s="150"/>
      <c r="E440" s="150"/>
      <c r="F440" s="150"/>
      <c r="G440" s="583"/>
      <c r="H440" s="583"/>
      <c r="I440" s="583"/>
      <c r="J440" s="1767"/>
      <c r="K440" s="1767"/>
      <c r="L440" s="150"/>
      <c r="M440" s="583"/>
      <c r="N440" s="583"/>
      <c r="O440" s="150"/>
      <c r="P440" s="150"/>
      <c r="Q440" s="150"/>
      <c r="R440" s="150"/>
      <c r="S440" s="150"/>
      <c r="T440" s="150"/>
      <c r="U440" s="150"/>
      <c r="V440" s="150"/>
      <c r="W440" s="150"/>
      <c r="X440" s="150"/>
      <c r="Y440" s="150"/>
      <c r="Z440" s="150"/>
      <c r="AA440" s="150"/>
      <c r="AB440" s="150"/>
      <c r="AC440" s="150"/>
      <c r="AD440" s="150"/>
      <c r="AE440" s="150"/>
    </row>
    <row r="441" spans="1:31" ht="15">
      <c r="A441" s="150"/>
      <c r="B441" s="150"/>
      <c r="C441" s="150"/>
      <c r="D441" s="150"/>
      <c r="E441" s="150"/>
      <c r="F441" s="150"/>
      <c r="G441" s="583"/>
      <c r="H441" s="583"/>
      <c r="I441" s="583"/>
      <c r="J441" s="1767"/>
      <c r="K441" s="1767"/>
      <c r="L441" s="150"/>
      <c r="M441" s="583"/>
      <c r="N441" s="583"/>
      <c r="O441" s="150"/>
      <c r="P441" s="150"/>
      <c r="Q441" s="150"/>
      <c r="R441" s="150"/>
      <c r="S441" s="150"/>
      <c r="T441" s="150"/>
      <c r="U441" s="150"/>
      <c r="V441" s="150"/>
      <c r="W441" s="150"/>
      <c r="X441" s="150"/>
      <c r="Y441" s="150"/>
      <c r="Z441" s="150"/>
      <c r="AA441" s="150"/>
      <c r="AB441" s="150"/>
      <c r="AC441" s="150"/>
      <c r="AD441" s="150"/>
      <c r="AE441" s="150"/>
    </row>
    <row r="442" spans="1:31" ht="15">
      <c r="A442" s="150"/>
      <c r="B442" s="150"/>
      <c r="C442" s="150"/>
      <c r="D442" s="150"/>
      <c r="E442" s="150"/>
      <c r="F442" s="150"/>
      <c r="G442" s="583"/>
      <c r="H442" s="583"/>
      <c r="I442" s="583"/>
      <c r="J442" s="1767"/>
      <c r="K442" s="1767"/>
      <c r="L442" s="150"/>
      <c r="M442" s="583"/>
      <c r="N442" s="583"/>
      <c r="O442" s="150"/>
      <c r="P442" s="150"/>
      <c r="Q442" s="150"/>
      <c r="R442" s="150"/>
      <c r="S442" s="150"/>
      <c r="T442" s="150"/>
      <c r="U442" s="150"/>
      <c r="V442" s="150"/>
      <c r="W442" s="150"/>
      <c r="X442" s="150"/>
      <c r="Y442" s="150"/>
      <c r="Z442" s="150"/>
      <c r="AA442" s="150"/>
      <c r="AB442" s="150"/>
      <c r="AC442" s="150"/>
      <c r="AD442" s="150"/>
      <c r="AE442" s="150"/>
    </row>
    <row r="443" spans="1:31" ht="15">
      <c r="A443" s="150"/>
      <c r="B443" s="150"/>
      <c r="C443" s="150"/>
      <c r="D443" s="150"/>
      <c r="E443" s="150"/>
      <c r="F443" s="150"/>
      <c r="G443" s="583"/>
      <c r="H443" s="583"/>
      <c r="I443" s="583"/>
      <c r="J443" s="1767"/>
      <c r="K443" s="1767"/>
      <c r="L443" s="150"/>
      <c r="M443" s="583"/>
      <c r="N443" s="583"/>
      <c r="O443" s="150"/>
      <c r="P443" s="150"/>
      <c r="Q443" s="150"/>
      <c r="R443" s="150"/>
      <c r="S443" s="150"/>
      <c r="T443" s="150"/>
      <c r="U443" s="150"/>
      <c r="V443" s="150"/>
      <c r="W443" s="150"/>
      <c r="X443" s="150"/>
      <c r="Y443" s="150"/>
      <c r="Z443" s="150"/>
      <c r="AA443" s="150"/>
      <c r="AB443" s="150"/>
      <c r="AC443" s="150"/>
      <c r="AD443" s="150"/>
      <c r="AE443" s="150"/>
    </row>
    <row r="444" spans="1:31" ht="15">
      <c r="A444" s="150"/>
      <c r="B444" s="150"/>
      <c r="C444" s="150"/>
      <c r="D444" s="150"/>
      <c r="E444" s="150"/>
      <c r="F444" s="150"/>
      <c r="G444" s="583"/>
      <c r="H444" s="583"/>
      <c r="I444" s="583"/>
      <c r="J444" s="1767"/>
      <c r="K444" s="1767"/>
      <c r="L444" s="150"/>
      <c r="M444" s="583"/>
      <c r="N444" s="583"/>
      <c r="O444" s="150"/>
      <c r="P444" s="150"/>
      <c r="Q444" s="150"/>
      <c r="R444" s="150"/>
      <c r="S444" s="150"/>
      <c r="T444" s="150"/>
      <c r="U444" s="150"/>
      <c r="V444" s="150"/>
      <c r="W444" s="150"/>
      <c r="X444" s="150"/>
      <c r="Y444" s="150"/>
      <c r="Z444" s="150"/>
      <c r="AA444" s="150"/>
      <c r="AB444" s="150"/>
      <c r="AC444" s="150"/>
      <c r="AD444" s="150"/>
      <c r="AE444" s="150"/>
    </row>
    <row r="445" spans="1:31" ht="15">
      <c r="A445" s="150"/>
      <c r="B445" s="150"/>
      <c r="C445" s="150"/>
      <c r="D445" s="150"/>
      <c r="E445" s="150"/>
      <c r="F445" s="150"/>
      <c r="G445" s="583"/>
      <c r="H445" s="583"/>
      <c r="I445" s="583"/>
      <c r="J445" s="1767"/>
      <c r="K445" s="1767"/>
      <c r="L445" s="150"/>
      <c r="M445" s="583"/>
      <c r="N445" s="583"/>
      <c r="O445" s="150"/>
      <c r="P445" s="150"/>
      <c r="Q445" s="150"/>
      <c r="R445" s="150"/>
      <c r="S445" s="150"/>
      <c r="T445" s="150"/>
      <c r="U445" s="150"/>
      <c r="V445" s="150"/>
      <c r="W445" s="150"/>
      <c r="X445" s="150"/>
      <c r="Y445" s="150"/>
      <c r="Z445" s="150"/>
      <c r="AA445" s="150"/>
      <c r="AB445" s="150"/>
      <c r="AC445" s="150"/>
      <c r="AD445" s="150"/>
      <c r="AE445" s="150"/>
    </row>
    <row r="446" spans="1:31" ht="15">
      <c r="A446" s="150"/>
      <c r="B446" s="150"/>
      <c r="C446" s="150"/>
      <c r="D446" s="150"/>
      <c r="E446" s="150"/>
      <c r="F446" s="150"/>
      <c r="G446" s="583"/>
      <c r="H446" s="583"/>
      <c r="I446" s="583"/>
      <c r="J446" s="1767"/>
      <c r="K446" s="1767"/>
      <c r="L446" s="150"/>
      <c r="M446" s="583"/>
      <c r="N446" s="583"/>
      <c r="O446" s="150"/>
      <c r="P446" s="150"/>
      <c r="Q446" s="150"/>
      <c r="R446" s="150"/>
      <c r="S446" s="150"/>
      <c r="T446" s="150"/>
      <c r="U446" s="150"/>
      <c r="V446" s="150"/>
      <c r="W446" s="150"/>
      <c r="X446" s="150"/>
      <c r="Y446" s="150"/>
      <c r="Z446" s="150"/>
      <c r="AA446" s="150"/>
      <c r="AB446" s="150"/>
      <c r="AC446" s="150"/>
      <c r="AD446" s="150"/>
      <c r="AE446" s="150"/>
    </row>
    <row r="447" spans="1:31" ht="15">
      <c r="A447" s="150"/>
      <c r="B447" s="150"/>
      <c r="C447" s="150"/>
      <c r="D447" s="150"/>
      <c r="E447" s="150"/>
      <c r="F447" s="150"/>
      <c r="G447" s="583"/>
      <c r="H447" s="583"/>
      <c r="I447" s="583"/>
      <c r="J447" s="1767"/>
      <c r="K447" s="1767"/>
      <c r="L447" s="150"/>
      <c r="M447" s="583"/>
      <c r="N447" s="583"/>
      <c r="O447" s="150"/>
      <c r="P447" s="150"/>
      <c r="Q447" s="150"/>
      <c r="R447" s="150"/>
      <c r="S447" s="150"/>
      <c r="T447" s="150"/>
      <c r="U447" s="150"/>
      <c r="V447" s="150"/>
      <c r="W447" s="150"/>
      <c r="X447" s="150"/>
      <c r="Y447" s="150"/>
      <c r="Z447" s="150"/>
      <c r="AA447" s="150"/>
      <c r="AB447" s="150"/>
      <c r="AC447" s="150"/>
      <c r="AD447" s="150"/>
      <c r="AE447" s="150"/>
    </row>
    <row r="448" spans="1:31" ht="15">
      <c r="A448" s="150"/>
      <c r="B448" s="150"/>
      <c r="C448" s="150"/>
      <c r="D448" s="150"/>
      <c r="E448" s="150"/>
      <c r="F448" s="150"/>
      <c r="G448" s="583"/>
      <c r="H448" s="583"/>
      <c r="I448" s="583"/>
      <c r="J448" s="1767"/>
      <c r="K448" s="1767"/>
      <c r="L448" s="150"/>
      <c r="M448" s="583"/>
      <c r="N448" s="583"/>
      <c r="O448" s="150"/>
      <c r="P448" s="150"/>
      <c r="Q448" s="150"/>
      <c r="R448" s="150"/>
      <c r="S448" s="150"/>
      <c r="T448" s="150"/>
      <c r="U448" s="150"/>
      <c r="V448" s="150"/>
      <c r="W448" s="150"/>
      <c r="X448" s="150"/>
      <c r="Y448" s="150"/>
      <c r="Z448" s="150"/>
      <c r="AA448" s="150"/>
      <c r="AB448" s="150"/>
      <c r="AC448" s="150"/>
      <c r="AD448" s="150"/>
      <c r="AE448" s="150"/>
    </row>
    <row r="449" spans="1:31" ht="15">
      <c r="A449" s="150"/>
      <c r="B449" s="150"/>
      <c r="C449" s="150"/>
      <c r="D449" s="150"/>
      <c r="E449" s="150"/>
      <c r="F449" s="150"/>
      <c r="G449" s="583"/>
      <c r="H449" s="583"/>
      <c r="I449" s="583"/>
      <c r="J449" s="1767"/>
      <c r="K449" s="1767"/>
      <c r="L449" s="150"/>
      <c r="M449" s="583"/>
      <c r="N449" s="583"/>
      <c r="O449" s="150"/>
      <c r="P449" s="150"/>
      <c r="Q449" s="150"/>
      <c r="R449" s="150"/>
      <c r="S449" s="150"/>
      <c r="T449" s="150"/>
      <c r="U449" s="150"/>
      <c r="V449" s="150"/>
      <c r="W449" s="150"/>
      <c r="X449" s="150"/>
      <c r="Y449" s="150"/>
      <c r="Z449" s="150"/>
      <c r="AA449" s="150"/>
      <c r="AB449" s="150"/>
      <c r="AC449" s="150"/>
      <c r="AD449" s="150"/>
      <c r="AE449" s="150"/>
    </row>
    <row r="450" spans="1:31" ht="15">
      <c r="A450" s="150"/>
      <c r="B450" s="150"/>
      <c r="C450" s="150"/>
      <c r="D450" s="150"/>
      <c r="E450" s="150"/>
      <c r="F450" s="150"/>
      <c r="G450" s="583"/>
      <c r="H450" s="583"/>
      <c r="I450" s="583"/>
      <c r="J450" s="1767"/>
      <c r="K450" s="1767"/>
      <c r="L450" s="150"/>
      <c r="M450" s="583"/>
      <c r="N450" s="583"/>
      <c r="O450" s="150"/>
      <c r="P450" s="150"/>
      <c r="Q450" s="150"/>
      <c r="R450" s="150"/>
      <c r="S450" s="150"/>
      <c r="T450" s="150"/>
      <c r="U450" s="150"/>
      <c r="V450" s="150"/>
      <c r="W450" s="150"/>
      <c r="X450" s="150"/>
      <c r="Y450" s="150"/>
      <c r="Z450" s="150"/>
      <c r="AA450" s="150"/>
      <c r="AB450" s="150"/>
      <c r="AC450" s="150"/>
      <c r="AD450" s="150"/>
      <c r="AE450" s="150"/>
    </row>
    <row r="451" spans="1:31" ht="15">
      <c r="A451" s="150"/>
      <c r="B451" s="150"/>
      <c r="C451" s="150"/>
      <c r="D451" s="150"/>
      <c r="E451" s="150"/>
      <c r="F451" s="150"/>
      <c r="G451" s="583"/>
      <c r="H451" s="583"/>
      <c r="I451" s="583"/>
      <c r="J451" s="1767"/>
      <c r="K451" s="1767"/>
      <c r="L451" s="150"/>
      <c r="M451" s="583"/>
      <c r="N451" s="583"/>
      <c r="O451" s="150"/>
      <c r="P451" s="150"/>
      <c r="Q451" s="150"/>
      <c r="R451" s="150"/>
      <c r="S451" s="150"/>
      <c r="T451" s="150"/>
      <c r="U451" s="150"/>
      <c r="V451" s="150"/>
      <c r="W451" s="150"/>
      <c r="X451" s="150"/>
      <c r="Y451" s="150"/>
      <c r="Z451" s="150"/>
      <c r="AA451" s="150"/>
      <c r="AB451" s="150"/>
      <c r="AC451" s="150"/>
      <c r="AD451" s="150"/>
      <c r="AE451" s="150"/>
    </row>
    <row r="452" spans="1:31" ht="15">
      <c r="A452" s="150"/>
      <c r="B452" s="150"/>
      <c r="C452" s="150"/>
      <c r="D452" s="150"/>
      <c r="E452" s="150"/>
      <c r="F452" s="150"/>
      <c r="G452" s="583"/>
      <c r="H452" s="583"/>
      <c r="I452" s="583"/>
      <c r="J452" s="1767"/>
      <c r="K452" s="1767"/>
      <c r="L452" s="150"/>
      <c r="M452" s="583"/>
      <c r="N452" s="583"/>
      <c r="O452" s="150"/>
      <c r="P452" s="150"/>
      <c r="Q452" s="150"/>
      <c r="R452" s="150"/>
      <c r="S452" s="150"/>
      <c r="T452" s="150"/>
      <c r="U452" s="150"/>
      <c r="V452" s="150"/>
      <c r="W452" s="150"/>
      <c r="X452" s="150"/>
      <c r="Y452" s="150"/>
      <c r="Z452" s="150"/>
      <c r="AA452" s="150"/>
      <c r="AB452" s="150"/>
      <c r="AC452" s="150"/>
      <c r="AD452" s="150"/>
      <c r="AE452" s="150"/>
    </row>
    <row r="453" spans="1:31" ht="15">
      <c r="A453" s="150"/>
      <c r="B453" s="150"/>
      <c r="C453" s="150"/>
      <c r="D453" s="150"/>
      <c r="E453" s="150"/>
      <c r="F453" s="150"/>
      <c r="G453" s="583"/>
      <c r="H453" s="583"/>
      <c r="I453" s="583"/>
      <c r="J453" s="1767"/>
      <c r="K453" s="1767"/>
      <c r="L453" s="150"/>
      <c r="M453" s="583"/>
      <c r="N453" s="583"/>
      <c r="O453" s="150"/>
      <c r="P453" s="150"/>
      <c r="Q453" s="150"/>
      <c r="R453" s="150"/>
      <c r="S453" s="150"/>
      <c r="T453" s="150"/>
      <c r="U453" s="150"/>
      <c r="V453" s="150"/>
      <c r="W453" s="150"/>
      <c r="X453" s="150"/>
      <c r="Y453" s="150"/>
      <c r="Z453" s="150"/>
      <c r="AA453" s="150"/>
      <c r="AB453" s="150"/>
      <c r="AC453" s="150"/>
      <c r="AD453" s="150"/>
      <c r="AE453" s="150"/>
    </row>
    <row r="454" spans="1:31" ht="15">
      <c r="A454" s="150"/>
      <c r="B454" s="150"/>
      <c r="C454" s="150"/>
      <c r="D454" s="150"/>
      <c r="E454" s="150"/>
      <c r="F454" s="150"/>
      <c r="G454" s="583"/>
      <c r="H454" s="583"/>
      <c r="I454" s="583"/>
      <c r="J454" s="1767"/>
      <c r="K454" s="1767"/>
      <c r="L454" s="150"/>
      <c r="M454" s="583"/>
      <c r="N454" s="583"/>
      <c r="O454" s="150"/>
      <c r="P454" s="150"/>
      <c r="Q454" s="150"/>
      <c r="R454" s="150"/>
      <c r="S454" s="150"/>
      <c r="T454" s="150"/>
      <c r="U454" s="150"/>
      <c r="V454" s="150"/>
      <c r="W454" s="150"/>
      <c r="X454" s="150"/>
      <c r="Y454" s="150"/>
      <c r="Z454" s="150"/>
      <c r="AA454" s="150"/>
      <c r="AB454" s="150"/>
      <c r="AC454" s="150"/>
      <c r="AD454" s="150"/>
      <c r="AE454" s="150"/>
    </row>
    <row r="455" spans="1:31" ht="15">
      <c r="A455" s="150"/>
      <c r="B455" s="150"/>
      <c r="C455" s="150"/>
      <c r="D455" s="150"/>
      <c r="E455" s="150"/>
      <c r="F455" s="150"/>
      <c r="G455" s="583"/>
      <c r="H455" s="583"/>
      <c r="I455" s="583"/>
      <c r="J455" s="1767"/>
      <c r="K455" s="1767"/>
      <c r="L455" s="150"/>
      <c r="M455" s="583"/>
      <c r="N455" s="583"/>
      <c r="O455" s="150"/>
      <c r="P455" s="150"/>
      <c r="Q455" s="150"/>
      <c r="R455" s="150"/>
      <c r="S455" s="150"/>
      <c r="T455" s="150"/>
      <c r="U455" s="150"/>
      <c r="V455" s="150"/>
      <c r="W455" s="150"/>
      <c r="X455" s="150"/>
      <c r="Y455" s="150"/>
      <c r="Z455" s="150"/>
      <c r="AA455" s="150"/>
      <c r="AB455" s="150"/>
      <c r="AC455" s="150"/>
      <c r="AD455" s="150"/>
      <c r="AE455" s="150"/>
    </row>
    <row r="456" spans="1:31" ht="15">
      <c r="A456" s="150"/>
      <c r="B456" s="150"/>
      <c r="C456" s="150"/>
      <c r="D456" s="150"/>
      <c r="E456" s="150"/>
      <c r="F456" s="150"/>
      <c r="G456" s="583"/>
      <c r="H456" s="583"/>
      <c r="I456" s="583"/>
      <c r="J456" s="1767"/>
      <c r="K456" s="1767"/>
      <c r="L456" s="150"/>
      <c r="M456" s="583"/>
      <c r="N456" s="583"/>
      <c r="O456" s="150"/>
      <c r="P456" s="150"/>
      <c r="Q456" s="150"/>
      <c r="R456" s="150"/>
      <c r="S456" s="150"/>
      <c r="T456" s="150"/>
      <c r="U456" s="150"/>
      <c r="V456" s="150"/>
      <c r="W456" s="150"/>
      <c r="X456" s="150"/>
      <c r="Y456" s="150"/>
      <c r="Z456" s="150"/>
      <c r="AA456" s="150"/>
      <c r="AB456" s="150"/>
      <c r="AC456" s="150"/>
      <c r="AD456" s="150"/>
      <c r="AE456" s="150"/>
    </row>
    <row r="457" spans="1:31" ht="15">
      <c r="A457" s="150"/>
      <c r="B457" s="150"/>
      <c r="C457" s="150"/>
      <c r="D457" s="150"/>
      <c r="E457" s="150"/>
      <c r="F457" s="150"/>
      <c r="G457" s="583"/>
      <c r="H457" s="583"/>
      <c r="I457" s="583"/>
      <c r="J457" s="1767"/>
      <c r="K457" s="1767"/>
      <c r="L457" s="150"/>
      <c r="M457" s="583"/>
      <c r="N457" s="583"/>
      <c r="O457" s="150"/>
      <c r="P457" s="150"/>
      <c r="Q457" s="150"/>
      <c r="R457" s="150"/>
      <c r="S457" s="150"/>
      <c r="T457" s="150"/>
      <c r="U457" s="150"/>
      <c r="V457" s="150"/>
      <c r="W457" s="150"/>
      <c r="X457" s="150"/>
      <c r="Y457" s="150"/>
      <c r="Z457" s="150"/>
      <c r="AA457" s="150"/>
      <c r="AB457" s="150"/>
      <c r="AC457" s="150"/>
      <c r="AD457" s="150"/>
      <c r="AE457" s="150"/>
    </row>
    <row r="458" spans="1:31" ht="15">
      <c r="A458" s="150"/>
      <c r="B458" s="150"/>
      <c r="C458" s="150"/>
      <c r="D458" s="150"/>
      <c r="E458" s="150"/>
      <c r="F458" s="150"/>
      <c r="G458" s="583"/>
      <c r="H458" s="583"/>
      <c r="I458" s="583"/>
      <c r="J458" s="1767"/>
      <c r="K458" s="1767"/>
      <c r="L458" s="150"/>
      <c r="M458" s="583"/>
      <c r="N458" s="583"/>
      <c r="O458" s="150"/>
      <c r="P458" s="150"/>
      <c r="Q458" s="150"/>
      <c r="R458" s="150"/>
      <c r="S458" s="150"/>
      <c r="T458" s="150"/>
      <c r="U458" s="150"/>
      <c r="V458" s="150"/>
      <c r="W458" s="150"/>
      <c r="X458" s="150"/>
      <c r="Y458" s="150"/>
      <c r="Z458" s="150"/>
      <c r="AA458" s="150"/>
      <c r="AB458" s="150"/>
      <c r="AC458" s="150"/>
      <c r="AD458" s="150"/>
      <c r="AE458" s="150"/>
    </row>
    <row r="459" spans="1:31" ht="15">
      <c r="A459" s="150"/>
      <c r="B459" s="150"/>
      <c r="C459" s="150"/>
      <c r="D459" s="150"/>
      <c r="E459" s="150"/>
      <c r="F459" s="150"/>
      <c r="G459" s="583"/>
      <c r="H459" s="583"/>
      <c r="I459" s="583"/>
      <c r="J459" s="1767"/>
      <c r="K459" s="1767"/>
      <c r="L459" s="150"/>
      <c r="M459" s="583"/>
      <c r="N459" s="583"/>
      <c r="O459" s="150"/>
      <c r="P459" s="150"/>
      <c r="Q459" s="150"/>
      <c r="R459" s="150"/>
      <c r="S459" s="150"/>
      <c r="T459" s="150"/>
      <c r="U459" s="150"/>
      <c r="V459" s="150"/>
      <c r="W459" s="150"/>
      <c r="X459" s="150"/>
      <c r="Y459" s="150"/>
      <c r="Z459" s="150"/>
      <c r="AA459" s="150"/>
      <c r="AB459" s="150"/>
      <c r="AC459" s="150"/>
      <c r="AD459" s="150"/>
      <c r="AE459" s="150"/>
    </row>
    <row r="460" spans="1:31" ht="15">
      <c r="A460" s="150"/>
      <c r="B460" s="150"/>
      <c r="C460" s="150"/>
      <c r="D460" s="150"/>
      <c r="E460" s="150"/>
      <c r="F460" s="150"/>
      <c r="G460" s="583"/>
      <c r="H460" s="583"/>
      <c r="I460" s="583"/>
      <c r="J460" s="1767"/>
      <c r="K460" s="1767"/>
      <c r="L460" s="150"/>
      <c r="M460" s="583"/>
      <c r="N460" s="583"/>
      <c r="O460" s="150"/>
      <c r="P460" s="150"/>
      <c r="Q460" s="150"/>
      <c r="R460" s="150"/>
      <c r="S460" s="150"/>
      <c r="T460" s="150"/>
      <c r="U460" s="150"/>
      <c r="V460" s="150"/>
      <c r="W460" s="150"/>
      <c r="X460" s="150"/>
      <c r="Y460" s="150"/>
      <c r="Z460" s="150"/>
      <c r="AA460" s="150"/>
      <c r="AB460" s="150"/>
      <c r="AC460" s="150"/>
      <c r="AD460" s="150"/>
      <c r="AE460" s="150"/>
    </row>
    <row r="461" spans="1:31" ht="15">
      <c r="A461" s="150"/>
      <c r="B461" s="150"/>
      <c r="C461" s="150"/>
      <c r="D461" s="150"/>
      <c r="E461" s="150"/>
      <c r="F461" s="150"/>
      <c r="G461" s="583"/>
      <c r="H461" s="583"/>
      <c r="I461" s="583"/>
      <c r="J461" s="1767"/>
      <c r="K461" s="1767"/>
      <c r="L461" s="150"/>
      <c r="M461" s="583"/>
      <c r="N461" s="583"/>
      <c r="O461" s="150"/>
      <c r="P461" s="150"/>
      <c r="Q461" s="150"/>
      <c r="R461" s="150"/>
      <c r="S461" s="150"/>
      <c r="T461" s="150"/>
      <c r="U461" s="150"/>
      <c r="V461" s="150"/>
      <c r="W461" s="150"/>
      <c r="X461" s="150"/>
      <c r="Y461" s="150"/>
      <c r="Z461" s="150"/>
      <c r="AA461" s="150"/>
      <c r="AB461" s="150"/>
      <c r="AC461" s="150"/>
      <c r="AD461" s="150"/>
      <c r="AE461" s="150"/>
    </row>
    <row r="462" spans="1:31" ht="15">
      <c r="A462" s="150"/>
      <c r="B462" s="150"/>
      <c r="C462" s="150"/>
      <c r="D462" s="150"/>
      <c r="E462" s="150"/>
      <c r="F462" s="150"/>
      <c r="G462" s="583"/>
      <c r="H462" s="583"/>
      <c r="I462" s="583"/>
      <c r="J462" s="1767"/>
      <c r="K462" s="1767"/>
      <c r="L462" s="150"/>
      <c r="M462" s="583"/>
      <c r="N462" s="583"/>
      <c r="O462" s="150"/>
      <c r="P462" s="150"/>
      <c r="Q462" s="150"/>
      <c r="R462" s="150"/>
      <c r="S462" s="150"/>
      <c r="T462" s="150"/>
      <c r="U462" s="150"/>
      <c r="V462" s="150"/>
      <c r="W462" s="150"/>
      <c r="X462" s="150"/>
      <c r="Y462" s="150"/>
      <c r="Z462" s="150"/>
      <c r="AA462" s="150"/>
      <c r="AB462" s="150"/>
      <c r="AC462" s="150"/>
      <c r="AD462" s="150"/>
      <c r="AE462" s="150"/>
    </row>
    <row r="463" spans="1:31" ht="15">
      <c r="A463" s="150"/>
      <c r="B463" s="150"/>
      <c r="C463" s="150"/>
      <c r="D463" s="150"/>
      <c r="E463" s="150"/>
      <c r="F463" s="150"/>
      <c r="G463" s="583"/>
      <c r="H463" s="583"/>
      <c r="I463" s="583"/>
      <c r="J463" s="1767"/>
      <c r="K463" s="1767"/>
      <c r="L463" s="150"/>
      <c r="M463" s="583"/>
      <c r="N463" s="583"/>
      <c r="O463" s="150"/>
      <c r="P463" s="150"/>
      <c r="Q463" s="150"/>
      <c r="R463" s="150"/>
      <c r="S463" s="150"/>
      <c r="T463" s="150"/>
      <c r="U463" s="150"/>
      <c r="V463" s="150"/>
      <c r="W463" s="150"/>
      <c r="X463" s="150"/>
      <c r="Y463" s="150"/>
      <c r="Z463" s="150"/>
      <c r="AA463" s="150"/>
      <c r="AB463" s="150"/>
      <c r="AC463" s="150"/>
      <c r="AD463" s="150"/>
      <c r="AE463" s="150"/>
    </row>
    <row r="464" spans="1:31" ht="15">
      <c r="A464" s="150"/>
      <c r="B464" s="150"/>
      <c r="C464" s="150"/>
      <c r="D464" s="150"/>
      <c r="E464" s="150"/>
      <c r="F464" s="150"/>
      <c r="G464" s="583"/>
      <c r="H464" s="583"/>
      <c r="I464" s="583"/>
      <c r="J464" s="1767"/>
      <c r="K464" s="1767"/>
      <c r="L464" s="150"/>
      <c r="M464" s="583"/>
      <c r="N464" s="583"/>
      <c r="O464" s="150"/>
      <c r="P464" s="150"/>
      <c r="Q464" s="150"/>
      <c r="R464" s="150"/>
      <c r="S464" s="150"/>
      <c r="T464" s="150"/>
      <c r="U464" s="150"/>
      <c r="V464" s="150"/>
      <c r="W464" s="150"/>
      <c r="X464" s="150"/>
      <c r="Y464" s="150"/>
      <c r="Z464" s="150"/>
      <c r="AA464" s="150"/>
      <c r="AB464" s="150"/>
      <c r="AC464" s="150"/>
      <c r="AD464" s="150"/>
      <c r="AE464" s="150"/>
    </row>
    <row r="465" spans="1:31" ht="15">
      <c r="A465" s="150"/>
      <c r="B465" s="150"/>
      <c r="C465" s="150"/>
      <c r="D465" s="150"/>
      <c r="E465" s="150"/>
      <c r="F465" s="150"/>
      <c r="G465" s="583"/>
      <c r="H465" s="583"/>
      <c r="I465" s="583"/>
      <c r="J465" s="1767"/>
      <c r="K465" s="1767"/>
      <c r="L465" s="150"/>
      <c r="M465" s="583"/>
      <c r="N465" s="583"/>
      <c r="O465" s="150"/>
      <c r="P465" s="150"/>
      <c r="Q465" s="150"/>
      <c r="R465" s="150"/>
      <c r="S465" s="150"/>
      <c r="T465" s="150"/>
      <c r="U465" s="150"/>
      <c r="V465" s="150"/>
      <c r="W465" s="150"/>
      <c r="X465" s="150"/>
      <c r="Y465" s="150"/>
      <c r="Z465" s="150"/>
      <c r="AA465" s="150"/>
      <c r="AB465" s="150"/>
      <c r="AC465" s="150"/>
      <c r="AD465" s="150"/>
      <c r="AE465" s="150"/>
    </row>
    <row r="466" spans="1:31" ht="15">
      <c r="A466" s="150"/>
      <c r="B466" s="150"/>
      <c r="C466" s="150"/>
      <c r="D466" s="150"/>
      <c r="E466" s="150"/>
      <c r="F466" s="150"/>
      <c r="G466" s="583"/>
      <c r="H466" s="583"/>
      <c r="I466" s="583"/>
      <c r="J466" s="1767"/>
      <c r="K466" s="1767"/>
      <c r="L466" s="150"/>
      <c r="M466" s="583"/>
      <c r="N466" s="583"/>
      <c r="O466" s="150"/>
      <c r="P466" s="150"/>
      <c r="Q466" s="150"/>
      <c r="R466" s="150"/>
      <c r="S466" s="150"/>
      <c r="T466" s="150"/>
      <c r="U466" s="150"/>
      <c r="V466" s="150"/>
      <c r="W466" s="150"/>
      <c r="X466" s="150"/>
      <c r="Y466" s="150"/>
      <c r="Z466" s="150"/>
      <c r="AA466" s="150"/>
      <c r="AB466" s="150"/>
      <c r="AC466" s="150"/>
      <c r="AD466" s="150"/>
      <c r="AE466" s="150"/>
    </row>
    <row r="467" spans="1:31" ht="15">
      <c r="A467" s="150"/>
      <c r="B467" s="150"/>
      <c r="C467" s="150"/>
      <c r="D467" s="150"/>
      <c r="E467" s="150"/>
      <c r="F467" s="150"/>
      <c r="G467" s="583"/>
      <c r="H467" s="583"/>
      <c r="I467" s="583"/>
      <c r="J467" s="1767"/>
      <c r="K467" s="1767"/>
      <c r="L467" s="150"/>
      <c r="M467" s="583"/>
      <c r="N467" s="583"/>
      <c r="O467" s="150"/>
      <c r="P467" s="150"/>
      <c r="Q467" s="150"/>
      <c r="R467" s="150"/>
      <c r="S467" s="150"/>
      <c r="T467" s="150"/>
      <c r="U467" s="150"/>
      <c r="V467" s="150"/>
      <c r="W467" s="150"/>
      <c r="X467" s="150"/>
      <c r="Y467" s="150"/>
      <c r="Z467" s="150"/>
      <c r="AA467" s="150"/>
      <c r="AB467" s="150"/>
      <c r="AC467" s="150"/>
      <c r="AD467" s="150"/>
      <c r="AE467" s="150"/>
    </row>
    <row r="468" spans="1:31" ht="15">
      <c r="A468" s="150"/>
      <c r="B468" s="150"/>
      <c r="C468" s="150"/>
      <c r="D468" s="150"/>
      <c r="E468" s="150"/>
      <c r="F468" s="150"/>
      <c r="G468" s="583"/>
      <c r="H468" s="583"/>
      <c r="I468" s="583"/>
      <c r="J468" s="1767"/>
      <c r="K468" s="1767"/>
      <c r="L468" s="150"/>
      <c r="M468" s="583"/>
      <c r="N468" s="583"/>
      <c r="O468" s="150"/>
      <c r="P468" s="150"/>
      <c r="Q468" s="150"/>
      <c r="R468" s="150"/>
      <c r="S468" s="150"/>
      <c r="T468" s="150"/>
      <c r="U468" s="150"/>
      <c r="V468" s="150"/>
      <c r="W468" s="150"/>
      <c r="X468" s="150"/>
      <c r="Y468" s="150"/>
      <c r="Z468" s="150"/>
      <c r="AA468" s="150"/>
      <c r="AB468" s="150"/>
      <c r="AC468" s="150"/>
      <c r="AD468" s="150"/>
      <c r="AE468" s="150"/>
    </row>
    <row r="469" spans="1:31" ht="15">
      <c r="A469" s="150"/>
      <c r="B469" s="150"/>
      <c r="C469" s="150"/>
      <c r="D469" s="150"/>
      <c r="E469" s="150"/>
      <c r="F469" s="150"/>
      <c r="G469" s="583"/>
      <c r="H469" s="583"/>
      <c r="I469" s="583"/>
      <c r="J469" s="1767"/>
      <c r="K469" s="1767"/>
      <c r="L469" s="150"/>
      <c r="M469" s="583"/>
      <c r="N469" s="583"/>
      <c r="O469" s="150"/>
      <c r="P469" s="150"/>
      <c r="Q469" s="150"/>
      <c r="R469" s="150"/>
      <c r="S469" s="150"/>
      <c r="T469" s="150"/>
      <c r="U469" s="150"/>
      <c r="V469" s="150"/>
      <c r="W469" s="150"/>
      <c r="X469" s="150"/>
      <c r="Y469" s="150"/>
      <c r="Z469" s="150"/>
      <c r="AA469" s="150"/>
      <c r="AB469" s="150"/>
      <c r="AC469" s="150"/>
      <c r="AD469" s="150"/>
      <c r="AE469" s="150"/>
    </row>
    <row r="470" spans="1:31" ht="15">
      <c r="A470" s="150"/>
      <c r="B470" s="150"/>
      <c r="C470" s="150"/>
      <c r="D470" s="150"/>
      <c r="E470" s="150"/>
      <c r="F470" s="150"/>
      <c r="G470" s="583"/>
      <c r="H470" s="583"/>
      <c r="I470" s="583"/>
      <c r="J470" s="1767"/>
      <c r="K470" s="1767"/>
      <c r="L470" s="150"/>
      <c r="M470" s="583"/>
      <c r="N470" s="583"/>
      <c r="O470" s="150"/>
      <c r="P470" s="150"/>
      <c r="Q470" s="150"/>
      <c r="R470" s="150"/>
      <c r="S470" s="150"/>
      <c r="T470" s="150"/>
      <c r="U470" s="150"/>
      <c r="V470" s="150"/>
      <c r="W470" s="150"/>
      <c r="X470" s="150"/>
      <c r="Y470" s="150"/>
      <c r="Z470" s="150"/>
      <c r="AA470" s="150"/>
      <c r="AB470" s="150"/>
      <c r="AC470" s="150"/>
      <c r="AD470" s="150"/>
      <c r="AE470" s="150"/>
    </row>
    <row r="471" spans="1:31" ht="15">
      <c r="A471" s="150"/>
      <c r="B471" s="150"/>
      <c r="C471" s="150"/>
      <c r="D471" s="150"/>
      <c r="E471" s="150"/>
      <c r="F471" s="150"/>
      <c r="G471" s="583"/>
      <c r="H471" s="583"/>
      <c r="I471" s="583"/>
      <c r="J471" s="1767"/>
      <c r="K471" s="1767"/>
      <c r="L471" s="150"/>
      <c r="M471" s="583"/>
      <c r="N471" s="583"/>
      <c r="O471" s="150"/>
      <c r="P471" s="150"/>
      <c r="Q471" s="150"/>
      <c r="R471" s="150"/>
      <c r="S471" s="150"/>
      <c r="T471" s="150"/>
      <c r="U471" s="150"/>
      <c r="V471" s="150"/>
      <c r="W471" s="150"/>
      <c r="X471" s="150"/>
      <c r="Y471" s="150"/>
      <c r="Z471" s="150"/>
      <c r="AA471" s="150"/>
      <c r="AB471" s="150"/>
      <c r="AC471" s="150"/>
      <c r="AD471" s="150"/>
      <c r="AE471" s="150"/>
    </row>
    <row r="472" spans="1:31" ht="15">
      <c r="A472" s="150"/>
      <c r="B472" s="150"/>
      <c r="C472" s="150"/>
      <c r="D472" s="150"/>
      <c r="E472" s="150"/>
      <c r="F472" s="150"/>
      <c r="G472" s="583"/>
      <c r="H472" s="583"/>
      <c r="I472" s="583"/>
      <c r="J472" s="1767"/>
      <c r="K472" s="1767"/>
      <c r="L472" s="150"/>
      <c r="M472" s="583"/>
      <c r="N472" s="583"/>
      <c r="O472" s="150"/>
      <c r="P472" s="150"/>
      <c r="Q472" s="150"/>
      <c r="R472" s="150"/>
      <c r="S472" s="150"/>
      <c r="T472" s="150"/>
      <c r="U472" s="150"/>
      <c r="V472" s="150"/>
      <c r="W472" s="150"/>
      <c r="X472" s="150"/>
      <c r="Y472" s="150"/>
      <c r="Z472" s="150"/>
      <c r="AA472" s="150"/>
      <c r="AB472" s="150"/>
      <c r="AC472" s="150"/>
      <c r="AD472" s="150"/>
      <c r="AE472" s="150"/>
    </row>
    <row r="473" spans="1:31" ht="15">
      <c r="A473" s="150"/>
      <c r="B473" s="150"/>
      <c r="C473" s="150"/>
      <c r="D473" s="150"/>
      <c r="E473" s="150"/>
      <c r="F473" s="150"/>
      <c r="G473" s="583"/>
      <c r="H473" s="583"/>
      <c r="I473" s="583"/>
      <c r="J473" s="1767"/>
      <c r="K473" s="1767"/>
      <c r="L473" s="150"/>
      <c r="M473" s="583"/>
      <c r="N473" s="583"/>
      <c r="O473" s="150"/>
      <c r="P473" s="150"/>
      <c r="Q473" s="150"/>
      <c r="R473" s="150"/>
      <c r="S473" s="150"/>
      <c r="T473" s="150"/>
      <c r="U473" s="150"/>
      <c r="V473" s="150"/>
      <c r="W473" s="150"/>
      <c r="X473" s="150"/>
      <c r="Y473" s="150"/>
      <c r="Z473" s="150"/>
      <c r="AA473" s="150"/>
      <c r="AB473" s="150"/>
      <c r="AC473" s="150"/>
      <c r="AD473" s="150"/>
      <c r="AE473" s="150"/>
    </row>
    <row r="474" spans="1:31" ht="15">
      <c r="A474" s="150"/>
      <c r="B474" s="150"/>
      <c r="C474" s="150"/>
      <c r="D474" s="150"/>
      <c r="E474" s="150"/>
      <c r="F474" s="150"/>
      <c r="G474" s="583"/>
      <c r="H474" s="583"/>
      <c r="I474" s="583"/>
      <c r="J474" s="1767"/>
      <c r="K474" s="1767"/>
      <c r="L474" s="150"/>
      <c r="M474" s="583"/>
      <c r="N474" s="583"/>
      <c r="O474" s="150"/>
      <c r="P474" s="150"/>
      <c r="Q474" s="150"/>
      <c r="R474" s="150"/>
      <c r="S474" s="150"/>
      <c r="T474" s="150"/>
      <c r="U474" s="150"/>
      <c r="V474" s="150"/>
      <c r="W474" s="150"/>
      <c r="X474" s="150"/>
      <c r="Y474" s="150"/>
      <c r="Z474" s="150"/>
      <c r="AA474" s="150"/>
      <c r="AB474" s="150"/>
      <c r="AC474" s="150"/>
      <c r="AD474" s="150"/>
      <c r="AE474" s="150"/>
    </row>
    <row r="475" spans="1:31" ht="15">
      <c r="A475" s="150"/>
      <c r="B475" s="150"/>
      <c r="C475" s="150"/>
      <c r="D475" s="150"/>
      <c r="E475" s="150"/>
      <c r="F475" s="150"/>
      <c r="G475" s="583"/>
      <c r="H475" s="583"/>
      <c r="I475" s="583"/>
      <c r="J475" s="1767"/>
      <c r="K475" s="1767"/>
      <c r="L475" s="150"/>
      <c r="M475" s="583"/>
      <c r="N475" s="583"/>
      <c r="O475" s="150"/>
      <c r="P475" s="150"/>
      <c r="Q475" s="150"/>
      <c r="R475" s="150"/>
      <c r="S475" s="150"/>
      <c r="T475" s="150"/>
      <c r="U475" s="150"/>
      <c r="V475" s="150"/>
      <c r="W475" s="150"/>
      <c r="X475" s="150"/>
      <c r="Y475" s="150"/>
      <c r="Z475" s="150"/>
      <c r="AA475" s="150"/>
      <c r="AB475" s="150"/>
      <c r="AC475" s="150"/>
      <c r="AD475" s="150"/>
      <c r="AE475" s="150"/>
    </row>
    <row r="476" spans="1:31" ht="15">
      <c r="A476" s="150"/>
      <c r="B476" s="150"/>
      <c r="C476" s="150"/>
      <c r="D476" s="150"/>
      <c r="E476" s="150"/>
      <c r="F476" s="150"/>
      <c r="G476" s="583"/>
      <c r="H476" s="583"/>
      <c r="I476" s="583"/>
      <c r="J476" s="1767"/>
      <c r="K476" s="1767"/>
      <c r="L476" s="150"/>
      <c r="M476" s="583"/>
      <c r="N476" s="583"/>
      <c r="O476" s="150"/>
      <c r="P476" s="150"/>
      <c r="Q476" s="150"/>
      <c r="R476" s="150"/>
      <c r="S476" s="150"/>
      <c r="T476" s="150"/>
      <c r="U476" s="150"/>
      <c r="V476" s="150"/>
      <c r="W476" s="150"/>
      <c r="X476" s="150"/>
      <c r="Y476" s="150"/>
      <c r="Z476" s="150"/>
      <c r="AA476" s="150"/>
      <c r="AB476" s="150"/>
      <c r="AC476" s="150"/>
      <c r="AD476" s="150"/>
      <c r="AE476" s="150"/>
    </row>
    <row r="477" spans="1:31" ht="15">
      <c r="A477" s="150"/>
      <c r="B477" s="150"/>
      <c r="C477" s="150"/>
      <c r="D477" s="150"/>
      <c r="E477" s="150"/>
      <c r="F477" s="150"/>
      <c r="G477" s="583"/>
      <c r="H477" s="583"/>
      <c r="I477" s="583"/>
      <c r="J477" s="1767"/>
      <c r="K477" s="1767"/>
      <c r="L477" s="150"/>
      <c r="M477" s="583"/>
      <c r="N477" s="583"/>
      <c r="O477" s="150"/>
      <c r="P477" s="150"/>
      <c r="Q477" s="150"/>
      <c r="R477" s="150"/>
      <c r="S477" s="150"/>
      <c r="T477" s="150"/>
      <c r="U477" s="150"/>
      <c r="V477" s="150"/>
      <c r="W477" s="150"/>
      <c r="X477" s="150"/>
      <c r="Y477" s="150"/>
      <c r="Z477" s="150"/>
      <c r="AA477" s="150"/>
      <c r="AB477" s="150"/>
      <c r="AC477" s="150"/>
      <c r="AD477" s="150"/>
      <c r="AE477" s="150"/>
    </row>
    <row r="478" spans="1:31" ht="15">
      <c r="A478" s="150"/>
      <c r="B478" s="150"/>
      <c r="C478" s="150"/>
      <c r="D478" s="150"/>
      <c r="E478" s="150"/>
      <c r="F478" s="150"/>
      <c r="G478" s="583"/>
      <c r="H478" s="583"/>
      <c r="I478" s="583"/>
      <c r="J478" s="1767"/>
      <c r="K478" s="1767"/>
      <c r="L478" s="150"/>
      <c r="M478" s="583"/>
      <c r="N478" s="583"/>
      <c r="O478" s="150"/>
      <c r="P478" s="150"/>
      <c r="Q478" s="150"/>
      <c r="R478" s="150"/>
      <c r="S478" s="150"/>
      <c r="T478" s="150"/>
      <c r="U478" s="150"/>
      <c r="V478" s="150"/>
      <c r="W478" s="150"/>
      <c r="X478" s="150"/>
      <c r="Y478" s="150"/>
      <c r="Z478" s="150"/>
      <c r="AA478" s="150"/>
      <c r="AB478" s="150"/>
      <c r="AC478" s="150"/>
      <c r="AD478" s="150"/>
      <c r="AE478" s="150"/>
    </row>
    <row r="479" spans="1:31" ht="15">
      <c r="A479" s="150"/>
      <c r="B479" s="150"/>
      <c r="C479" s="150"/>
      <c r="D479" s="150"/>
      <c r="E479" s="150"/>
      <c r="F479" s="150"/>
      <c r="G479" s="583"/>
      <c r="H479" s="583"/>
      <c r="I479" s="583"/>
      <c r="J479" s="1767"/>
      <c r="K479" s="1767"/>
      <c r="L479" s="150"/>
      <c r="M479" s="583"/>
      <c r="N479" s="583"/>
      <c r="O479" s="150"/>
      <c r="P479" s="150"/>
      <c r="Q479" s="150"/>
      <c r="R479" s="150"/>
      <c r="S479" s="150"/>
      <c r="T479" s="150"/>
      <c r="U479" s="150"/>
      <c r="V479" s="150"/>
      <c r="W479" s="150"/>
      <c r="X479" s="150"/>
      <c r="Y479" s="150"/>
      <c r="Z479" s="150"/>
      <c r="AA479" s="150"/>
      <c r="AB479" s="150"/>
      <c r="AC479" s="150"/>
      <c r="AD479" s="150"/>
      <c r="AE479" s="150"/>
    </row>
    <row r="480" spans="1:31" ht="15">
      <c r="A480" s="150"/>
      <c r="B480" s="150"/>
      <c r="C480" s="150"/>
      <c r="D480" s="150"/>
      <c r="E480" s="150"/>
      <c r="F480" s="150"/>
      <c r="G480" s="583"/>
      <c r="H480" s="583"/>
      <c r="I480" s="583"/>
      <c r="J480" s="1767"/>
      <c r="K480" s="1767"/>
      <c r="L480" s="150"/>
      <c r="M480" s="583"/>
      <c r="N480" s="583"/>
      <c r="O480" s="150"/>
      <c r="P480" s="150"/>
      <c r="Q480" s="150"/>
      <c r="R480" s="150"/>
      <c r="S480" s="150"/>
      <c r="T480" s="150"/>
      <c r="U480" s="150"/>
      <c r="V480" s="150"/>
      <c r="W480" s="150"/>
      <c r="X480" s="150"/>
      <c r="Y480" s="150"/>
      <c r="Z480" s="150"/>
      <c r="AA480" s="150"/>
      <c r="AB480" s="150"/>
      <c r="AC480" s="150"/>
      <c r="AD480" s="150"/>
      <c r="AE480" s="150"/>
    </row>
    <row r="481" spans="1:31" ht="15">
      <c r="A481" s="150"/>
      <c r="B481" s="150"/>
      <c r="C481" s="150"/>
      <c r="D481" s="150"/>
      <c r="E481" s="150"/>
      <c r="F481" s="150"/>
      <c r="G481" s="583"/>
      <c r="H481" s="583"/>
      <c r="I481" s="583"/>
      <c r="J481" s="1767"/>
      <c r="K481" s="1767"/>
      <c r="L481" s="150"/>
      <c r="M481" s="583"/>
      <c r="N481" s="583"/>
      <c r="O481" s="150"/>
      <c r="P481" s="150"/>
      <c r="Q481" s="150"/>
      <c r="R481" s="150"/>
      <c r="S481" s="150"/>
      <c r="T481" s="150"/>
      <c r="U481" s="150"/>
      <c r="V481" s="150"/>
      <c r="W481" s="150"/>
      <c r="X481" s="150"/>
      <c r="Y481" s="150"/>
      <c r="Z481" s="150"/>
      <c r="AA481" s="150"/>
      <c r="AB481" s="150"/>
      <c r="AC481" s="150"/>
      <c r="AD481" s="150"/>
      <c r="AE481" s="150"/>
    </row>
    <row r="482" spans="1:31" ht="15">
      <c r="A482" s="150"/>
      <c r="B482" s="150"/>
      <c r="C482" s="150"/>
      <c r="D482" s="150"/>
      <c r="E482" s="150"/>
      <c r="F482" s="150"/>
      <c r="G482" s="583"/>
      <c r="H482" s="583"/>
      <c r="I482" s="583"/>
      <c r="J482" s="1767"/>
      <c r="K482" s="1767"/>
      <c r="L482" s="150"/>
      <c r="M482" s="583"/>
      <c r="N482" s="583"/>
      <c r="O482" s="150"/>
      <c r="P482" s="150"/>
      <c r="Q482" s="150"/>
      <c r="R482" s="150"/>
      <c r="S482" s="150"/>
      <c r="T482" s="150"/>
      <c r="U482" s="150"/>
      <c r="V482" s="150"/>
      <c r="W482" s="150"/>
      <c r="X482" s="150"/>
      <c r="Y482" s="150"/>
      <c r="Z482" s="150"/>
      <c r="AA482" s="150"/>
      <c r="AB482" s="150"/>
      <c r="AC482" s="150"/>
      <c r="AD482" s="150"/>
      <c r="AE482" s="150"/>
    </row>
    <row r="483" spans="1:31" ht="15">
      <c r="A483" s="150"/>
      <c r="B483" s="150"/>
      <c r="C483" s="150"/>
      <c r="D483" s="150"/>
      <c r="E483" s="150"/>
      <c r="F483" s="150"/>
      <c r="G483" s="583"/>
      <c r="H483" s="583"/>
      <c r="I483" s="583"/>
      <c r="J483" s="1767"/>
      <c r="K483" s="1767"/>
      <c r="L483" s="150"/>
      <c r="M483" s="583"/>
      <c r="N483" s="583"/>
      <c r="O483" s="150"/>
      <c r="P483" s="150"/>
      <c r="Q483" s="150"/>
      <c r="R483" s="150"/>
      <c r="S483" s="150"/>
      <c r="T483" s="150"/>
      <c r="U483" s="150"/>
      <c r="V483" s="150"/>
      <c r="W483" s="150"/>
      <c r="X483" s="150"/>
      <c r="Y483" s="150"/>
      <c r="Z483" s="150"/>
      <c r="AA483" s="150"/>
      <c r="AB483" s="150"/>
      <c r="AC483" s="150"/>
      <c r="AD483" s="150"/>
      <c r="AE483" s="150"/>
    </row>
    <row r="484" spans="1:31" ht="15">
      <c r="A484" s="150"/>
      <c r="B484" s="150"/>
      <c r="C484" s="150"/>
      <c r="D484" s="150"/>
      <c r="E484" s="150"/>
      <c r="F484" s="150"/>
      <c r="G484" s="583"/>
      <c r="H484" s="583"/>
      <c r="I484" s="583"/>
      <c r="J484" s="1767"/>
      <c r="K484" s="1767"/>
      <c r="L484" s="150"/>
      <c r="M484" s="583"/>
      <c r="N484" s="583"/>
      <c r="O484" s="150"/>
      <c r="P484" s="150"/>
      <c r="Q484" s="150"/>
      <c r="R484" s="150"/>
      <c r="S484" s="150"/>
      <c r="T484" s="150"/>
      <c r="U484" s="150"/>
      <c r="V484" s="150"/>
      <c r="W484" s="150"/>
      <c r="X484" s="150"/>
      <c r="Y484" s="150"/>
      <c r="Z484" s="150"/>
      <c r="AA484" s="150"/>
      <c r="AB484" s="150"/>
      <c r="AC484" s="150"/>
      <c r="AD484" s="150"/>
      <c r="AE484" s="150"/>
    </row>
    <row r="485" spans="1:31" ht="15">
      <c r="A485" s="150"/>
      <c r="B485" s="150"/>
      <c r="C485" s="150"/>
      <c r="D485" s="150"/>
      <c r="E485" s="150"/>
      <c r="F485" s="150"/>
      <c r="G485" s="583"/>
      <c r="H485" s="583"/>
      <c r="I485" s="583"/>
      <c r="J485" s="1767"/>
      <c r="K485" s="1767"/>
      <c r="L485" s="150"/>
      <c r="M485" s="583"/>
      <c r="N485" s="583"/>
      <c r="O485" s="150"/>
      <c r="P485" s="150"/>
      <c r="Q485" s="150"/>
      <c r="R485" s="150"/>
      <c r="S485" s="150"/>
      <c r="T485" s="150"/>
      <c r="U485" s="150"/>
      <c r="V485" s="150"/>
      <c r="W485" s="150"/>
      <c r="X485" s="150"/>
      <c r="Y485" s="150"/>
      <c r="Z485" s="150"/>
      <c r="AA485" s="150"/>
      <c r="AB485" s="150"/>
      <c r="AC485" s="150"/>
      <c r="AD485" s="150"/>
      <c r="AE485" s="150"/>
    </row>
    <row r="486" spans="1:31" ht="15">
      <c r="A486" s="150"/>
      <c r="B486" s="150"/>
      <c r="C486" s="150"/>
      <c r="D486" s="150"/>
      <c r="E486" s="150"/>
      <c r="F486" s="150"/>
      <c r="G486" s="583"/>
      <c r="H486" s="583"/>
      <c r="I486" s="583"/>
      <c r="J486" s="1767"/>
      <c r="K486" s="1767"/>
      <c r="L486" s="150"/>
      <c r="M486" s="583"/>
      <c r="N486" s="583"/>
      <c r="O486" s="150"/>
      <c r="P486" s="150"/>
      <c r="Q486" s="150"/>
      <c r="R486" s="150"/>
      <c r="S486" s="150"/>
      <c r="T486" s="150"/>
      <c r="U486" s="150"/>
      <c r="V486" s="150"/>
      <c r="W486" s="150"/>
      <c r="X486" s="150"/>
      <c r="Y486" s="150"/>
      <c r="Z486" s="150"/>
      <c r="AA486" s="150"/>
      <c r="AB486" s="150"/>
      <c r="AC486" s="150"/>
      <c r="AD486" s="150"/>
      <c r="AE486" s="150"/>
    </row>
    <row r="487" spans="1:31" ht="15">
      <c r="A487" s="150"/>
      <c r="B487" s="150"/>
      <c r="C487" s="150"/>
      <c r="D487" s="150"/>
      <c r="E487" s="150"/>
      <c r="F487" s="150"/>
      <c r="G487" s="583"/>
      <c r="H487" s="583"/>
      <c r="I487" s="583"/>
      <c r="J487" s="1767"/>
      <c r="K487" s="1767"/>
      <c r="L487" s="150"/>
      <c r="M487" s="583"/>
      <c r="N487" s="583"/>
      <c r="O487" s="150"/>
      <c r="P487" s="150"/>
      <c r="Q487" s="150"/>
      <c r="R487" s="150"/>
      <c r="S487" s="150"/>
      <c r="T487" s="150"/>
      <c r="U487" s="150"/>
      <c r="V487" s="150"/>
      <c r="W487" s="150"/>
      <c r="X487" s="150"/>
      <c r="Y487" s="150"/>
      <c r="Z487" s="150"/>
      <c r="AA487" s="150"/>
      <c r="AB487" s="150"/>
      <c r="AC487" s="150"/>
      <c r="AD487" s="150"/>
      <c r="AE487" s="150"/>
    </row>
    <row r="488" spans="1:31" ht="15">
      <c r="A488" s="150"/>
      <c r="B488" s="150"/>
      <c r="C488" s="150"/>
      <c r="D488" s="150"/>
      <c r="E488" s="150"/>
      <c r="F488" s="150"/>
      <c r="G488" s="583"/>
      <c r="H488" s="583"/>
      <c r="I488" s="583"/>
      <c r="J488" s="1767"/>
      <c r="K488" s="1767"/>
      <c r="L488" s="150"/>
      <c r="M488" s="583"/>
      <c r="N488" s="583"/>
      <c r="O488" s="150"/>
      <c r="P488" s="150"/>
      <c r="Q488" s="150"/>
      <c r="R488" s="150"/>
      <c r="S488" s="150"/>
      <c r="T488" s="150"/>
      <c r="U488" s="150"/>
      <c r="V488" s="150"/>
      <c r="W488" s="150"/>
      <c r="X488" s="150"/>
      <c r="Y488" s="150"/>
      <c r="Z488" s="150"/>
      <c r="AA488" s="150"/>
      <c r="AB488" s="150"/>
      <c r="AC488" s="150"/>
      <c r="AD488" s="150"/>
      <c r="AE488" s="150"/>
    </row>
    <row r="489" spans="1:31" ht="15">
      <c r="A489" s="150"/>
      <c r="B489" s="150"/>
      <c r="C489" s="150"/>
      <c r="D489" s="150"/>
      <c r="E489" s="150"/>
      <c r="F489" s="150"/>
      <c r="G489" s="583"/>
      <c r="H489" s="583"/>
      <c r="I489" s="583"/>
      <c r="J489" s="1767"/>
      <c r="K489" s="1767"/>
      <c r="L489" s="150"/>
      <c r="M489" s="583"/>
      <c r="N489" s="583"/>
      <c r="O489" s="150"/>
      <c r="P489" s="150"/>
      <c r="Q489" s="150"/>
      <c r="R489" s="150"/>
      <c r="S489" s="150"/>
      <c r="T489" s="150"/>
      <c r="U489" s="150"/>
      <c r="V489" s="150"/>
      <c r="W489" s="150"/>
      <c r="X489" s="150"/>
      <c r="Y489" s="150"/>
      <c r="Z489" s="150"/>
      <c r="AA489" s="150"/>
      <c r="AB489" s="150"/>
      <c r="AC489" s="150"/>
      <c r="AD489" s="150"/>
      <c r="AE489" s="150"/>
    </row>
    <row r="490" spans="1:31" ht="15">
      <c r="A490" s="150"/>
      <c r="B490" s="150"/>
      <c r="C490" s="150"/>
      <c r="D490" s="150"/>
      <c r="E490" s="150"/>
      <c r="F490" s="150"/>
      <c r="G490" s="583"/>
      <c r="H490" s="583"/>
      <c r="I490" s="583"/>
      <c r="J490" s="1767"/>
      <c r="K490" s="1767"/>
      <c r="L490" s="150"/>
      <c r="M490" s="583"/>
      <c r="N490" s="583"/>
      <c r="O490" s="150"/>
      <c r="P490" s="150"/>
      <c r="Q490" s="150"/>
      <c r="R490" s="150"/>
      <c r="S490" s="150"/>
      <c r="T490" s="150"/>
      <c r="U490" s="150"/>
      <c r="V490" s="150"/>
      <c r="W490" s="150"/>
      <c r="X490" s="150"/>
      <c r="Y490" s="150"/>
      <c r="Z490" s="150"/>
      <c r="AA490" s="150"/>
      <c r="AB490" s="150"/>
      <c r="AC490" s="150"/>
      <c r="AD490" s="150"/>
      <c r="AE490" s="150"/>
    </row>
    <row r="491" spans="1:31" ht="15">
      <c r="A491" s="150"/>
      <c r="B491" s="150"/>
      <c r="C491" s="150"/>
      <c r="D491" s="150"/>
      <c r="E491" s="150"/>
      <c r="F491" s="150"/>
      <c r="G491" s="583"/>
      <c r="H491" s="583"/>
      <c r="I491" s="583"/>
      <c r="J491" s="1767"/>
      <c r="K491" s="1767"/>
      <c r="L491" s="150"/>
      <c r="M491" s="583"/>
      <c r="N491" s="583"/>
      <c r="O491" s="150"/>
      <c r="P491" s="150"/>
      <c r="Q491" s="150"/>
      <c r="R491" s="150"/>
      <c r="S491" s="150"/>
      <c r="T491" s="150"/>
      <c r="U491" s="150"/>
      <c r="V491" s="150"/>
      <c r="W491" s="150"/>
      <c r="X491" s="150"/>
      <c r="Y491" s="150"/>
      <c r="Z491" s="150"/>
      <c r="AA491" s="150"/>
      <c r="AB491" s="150"/>
      <c r="AC491" s="150"/>
      <c r="AD491" s="150"/>
      <c r="AE491" s="150"/>
    </row>
    <row r="492" spans="1:31" ht="15">
      <c r="A492" s="150"/>
      <c r="B492" s="150"/>
      <c r="C492" s="150"/>
      <c r="D492" s="150"/>
      <c r="E492" s="150"/>
      <c r="F492" s="150"/>
      <c r="G492" s="583"/>
      <c r="H492" s="583"/>
      <c r="I492" s="583"/>
      <c r="J492" s="1767"/>
      <c r="K492" s="1767"/>
      <c r="L492" s="150"/>
      <c r="M492" s="583"/>
      <c r="N492" s="583"/>
      <c r="O492" s="150"/>
      <c r="P492" s="150"/>
      <c r="Q492" s="150"/>
      <c r="R492" s="150"/>
      <c r="S492" s="150"/>
      <c r="T492" s="150"/>
      <c r="U492" s="150"/>
      <c r="V492" s="150"/>
      <c r="W492" s="150"/>
      <c r="X492" s="150"/>
      <c r="Y492" s="150"/>
      <c r="Z492" s="150"/>
      <c r="AA492" s="150"/>
      <c r="AB492" s="150"/>
      <c r="AC492" s="150"/>
      <c r="AD492" s="150"/>
      <c r="AE492" s="150"/>
    </row>
    <row r="493" spans="1:31" ht="15">
      <c r="A493" s="150"/>
      <c r="B493" s="150"/>
      <c r="C493" s="150"/>
      <c r="D493" s="150"/>
      <c r="E493" s="150"/>
      <c r="F493" s="150"/>
      <c r="G493" s="583"/>
      <c r="H493" s="583"/>
      <c r="I493" s="583"/>
      <c r="J493" s="1767"/>
      <c r="K493" s="1767"/>
      <c r="L493" s="150"/>
      <c r="M493" s="583"/>
      <c r="N493" s="583"/>
      <c r="O493" s="150"/>
      <c r="P493" s="150"/>
      <c r="Q493" s="150"/>
      <c r="R493" s="150"/>
      <c r="S493" s="150"/>
      <c r="T493" s="150"/>
      <c r="U493" s="150"/>
      <c r="V493" s="150"/>
      <c r="W493" s="150"/>
      <c r="X493" s="150"/>
      <c r="Y493" s="150"/>
      <c r="Z493" s="150"/>
      <c r="AA493" s="150"/>
      <c r="AB493" s="150"/>
      <c r="AC493" s="150"/>
      <c r="AD493" s="150"/>
      <c r="AE493" s="150"/>
    </row>
    <row r="494" spans="1:31" ht="15">
      <c r="A494" s="150"/>
      <c r="B494" s="150"/>
      <c r="C494" s="150"/>
      <c r="D494" s="150"/>
      <c r="E494" s="150"/>
      <c r="F494" s="150"/>
      <c r="G494" s="583"/>
      <c r="H494" s="583"/>
      <c r="I494" s="583"/>
      <c r="J494" s="1767"/>
      <c r="K494" s="1767"/>
      <c r="L494" s="150"/>
      <c r="M494" s="583"/>
      <c r="N494" s="583"/>
      <c r="O494" s="150"/>
      <c r="P494" s="150"/>
      <c r="Q494" s="150"/>
      <c r="R494" s="150"/>
      <c r="S494" s="150"/>
      <c r="T494" s="150"/>
      <c r="U494" s="150"/>
      <c r="V494" s="150"/>
      <c r="W494" s="150"/>
      <c r="X494" s="150"/>
      <c r="Y494" s="150"/>
      <c r="Z494" s="150"/>
      <c r="AA494" s="150"/>
      <c r="AB494" s="150"/>
      <c r="AC494" s="150"/>
      <c r="AD494" s="150"/>
      <c r="AE494" s="150"/>
    </row>
    <row r="495" spans="1:31" ht="15">
      <c r="A495" s="150"/>
      <c r="B495" s="150"/>
      <c r="C495" s="150"/>
      <c r="D495" s="150"/>
      <c r="E495" s="150"/>
      <c r="F495" s="150"/>
      <c r="G495" s="583"/>
      <c r="H495" s="583"/>
      <c r="I495" s="583"/>
      <c r="J495" s="1767"/>
      <c r="K495" s="1767"/>
      <c r="L495" s="150"/>
      <c r="M495" s="583"/>
      <c r="N495" s="583"/>
      <c r="O495" s="150"/>
      <c r="P495" s="150"/>
      <c r="Q495" s="150"/>
      <c r="R495" s="150"/>
      <c r="S495" s="150"/>
      <c r="T495" s="150"/>
      <c r="U495" s="150"/>
      <c r="V495" s="150"/>
      <c r="W495" s="150"/>
      <c r="X495" s="150"/>
      <c r="Y495" s="150"/>
      <c r="Z495" s="150"/>
      <c r="AA495" s="150"/>
      <c r="AB495" s="150"/>
      <c r="AC495" s="150"/>
      <c r="AD495" s="150"/>
      <c r="AE495" s="150"/>
    </row>
    <row r="496" spans="1:31" ht="15">
      <c r="A496" s="150"/>
      <c r="B496" s="150"/>
      <c r="C496" s="150"/>
      <c r="D496" s="150"/>
      <c r="E496" s="150"/>
      <c r="F496" s="150"/>
      <c r="G496" s="583"/>
      <c r="H496" s="583"/>
      <c r="I496" s="583"/>
      <c r="J496" s="1767"/>
      <c r="K496" s="1767"/>
      <c r="L496" s="150"/>
      <c r="M496" s="583"/>
      <c r="N496" s="583"/>
      <c r="O496" s="150"/>
      <c r="P496" s="150"/>
      <c r="Q496" s="150"/>
      <c r="R496" s="150"/>
      <c r="S496" s="150"/>
      <c r="T496" s="150"/>
      <c r="U496" s="150"/>
      <c r="V496" s="150"/>
      <c r="W496" s="150"/>
      <c r="X496" s="150"/>
      <c r="Y496" s="150"/>
      <c r="Z496" s="150"/>
      <c r="AA496" s="150"/>
      <c r="AB496" s="150"/>
      <c r="AC496" s="150"/>
      <c r="AD496" s="150"/>
      <c r="AE496" s="150"/>
    </row>
    <row r="497" spans="1:31" ht="15">
      <c r="A497" s="150"/>
      <c r="B497" s="150"/>
      <c r="C497" s="150"/>
      <c r="D497" s="150"/>
      <c r="E497" s="150"/>
      <c r="F497" s="150"/>
      <c r="G497" s="583"/>
      <c r="H497" s="583"/>
      <c r="I497" s="583"/>
      <c r="J497" s="1767"/>
      <c r="K497" s="1767"/>
      <c r="L497" s="150"/>
      <c r="M497" s="583"/>
      <c r="N497" s="583"/>
      <c r="O497" s="150"/>
      <c r="P497" s="150"/>
      <c r="Q497" s="150"/>
      <c r="R497" s="150"/>
      <c r="S497" s="150"/>
      <c r="T497" s="150"/>
      <c r="U497" s="150"/>
      <c r="V497" s="150"/>
      <c r="W497" s="150"/>
      <c r="X497" s="150"/>
      <c r="Y497" s="150"/>
      <c r="Z497" s="150"/>
      <c r="AA497" s="150"/>
      <c r="AB497" s="150"/>
      <c r="AC497" s="150"/>
      <c r="AD497" s="150"/>
      <c r="AE497" s="150"/>
    </row>
    <row r="498" spans="1:31" ht="15">
      <c r="A498" s="150"/>
      <c r="B498" s="150"/>
      <c r="C498" s="150"/>
      <c r="D498" s="150"/>
      <c r="E498" s="150"/>
      <c r="F498" s="150"/>
      <c r="G498" s="583"/>
      <c r="H498" s="583"/>
      <c r="I498" s="583"/>
      <c r="J498" s="1767"/>
      <c r="K498" s="1767"/>
      <c r="L498" s="150"/>
      <c r="M498" s="583"/>
      <c r="N498" s="583"/>
      <c r="O498" s="150"/>
      <c r="P498" s="150"/>
      <c r="Q498" s="150"/>
      <c r="R498" s="150"/>
      <c r="S498" s="150"/>
      <c r="T498" s="150"/>
      <c r="U498" s="150"/>
      <c r="V498" s="150"/>
      <c r="W498" s="150"/>
      <c r="X498" s="150"/>
      <c r="Y498" s="150"/>
      <c r="Z498" s="150"/>
      <c r="AA498" s="150"/>
      <c r="AB498" s="150"/>
      <c r="AC498" s="150"/>
      <c r="AD498" s="150"/>
      <c r="AE498" s="150"/>
    </row>
    <row r="499" spans="1:31" ht="15">
      <c r="A499" s="150"/>
      <c r="B499" s="150"/>
      <c r="C499" s="150"/>
      <c r="D499" s="150"/>
      <c r="E499" s="150"/>
      <c r="F499" s="150"/>
      <c r="G499" s="583"/>
      <c r="H499" s="583"/>
      <c r="I499" s="583"/>
      <c r="J499" s="1767"/>
      <c r="K499" s="1767"/>
      <c r="L499" s="150"/>
      <c r="M499" s="583"/>
      <c r="N499" s="583"/>
      <c r="O499" s="150"/>
      <c r="P499" s="150"/>
      <c r="Q499" s="150"/>
      <c r="R499" s="150"/>
      <c r="S499" s="150"/>
      <c r="T499" s="150"/>
      <c r="U499" s="150"/>
      <c r="V499" s="150"/>
      <c r="W499" s="150"/>
      <c r="X499" s="150"/>
      <c r="Y499" s="150"/>
      <c r="Z499" s="150"/>
      <c r="AA499" s="150"/>
      <c r="AB499" s="150"/>
      <c r="AC499" s="150"/>
      <c r="AD499" s="150"/>
      <c r="AE499" s="150"/>
    </row>
    <row r="500" spans="1:31" ht="15">
      <c r="A500" s="150"/>
      <c r="B500" s="150"/>
      <c r="C500" s="150"/>
      <c r="D500" s="150"/>
      <c r="E500" s="150"/>
      <c r="F500" s="150"/>
      <c r="G500" s="583"/>
      <c r="H500" s="583"/>
      <c r="I500" s="583"/>
      <c r="J500" s="1767"/>
      <c r="K500" s="1767"/>
      <c r="L500" s="150"/>
      <c r="M500" s="583"/>
      <c r="N500" s="583"/>
      <c r="O500" s="150"/>
      <c r="P500" s="150"/>
      <c r="Q500" s="150"/>
      <c r="R500" s="150"/>
      <c r="S500" s="150"/>
      <c r="T500" s="150"/>
      <c r="U500" s="150"/>
      <c r="V500" s="150"/>
      <c r="W500" s="150"/>
      <c r="X500" s="150"/>
      <c r="Y500" s="150"/>
      <c r="Z500" s="150"/>
      <c r="AA500" s="150"/>
      <c r="AB500" s="150"/>
      <c r="AC500" s="150"/>
      <c r="AD500" s="150"/>
      <c r="AE500" s="150"/>
    </row>
    <row r="501" spans="1:31" ht="15">
      <c r="A501" s="150"/>
      <c r="B501" s="150"/>
      <c r="C501" s="150"/>
      <c r="D501" s="150"/>
      <c r="E501" s="150"/>
      <c r="F501" s="150"/>
      <c r="G501" s="583"/>
      <c r="H501" s="583"/>
      <c r="I501" s="583"/>
      <c r="J501" s="1767"/>
      <c r="K501" s="1767"/>
      <c r="L501" s="150"/>
      <c r="M501" s="583"/>
      <c r="N501" s="583"/>
      <c r="O501" s="150"/>
      <c r="P501" s="150"/>
      <c r="Q501" s="150"/>
      <c r="R501" s="150"/>
      <c r="S501" s="150"/>
      <c r="T501" s="150"/>
      <c r="U501" s="150"/>
      <c r="V501" s="150"/>
      <c r="W501" s="150"/>
      <c r="X501" s="150"/>
      <c r="Y501" s="150"/>
      <c r="Z501" s="150"/>
      <c r="AA501" s="150"/>
      <c r="AB501" s="150"/>
      <c r="AC501" s="150"/>
      <c r="AD501" s="150"/>
      <c r="AE501" s="150"/>
    </row>
    <row r="502" spans="1:31" ht="15">
      <c r="A502" s="150"/>
      <c r="B502" s="150"/>
      <c r="C502" s="150"/>
      <c r="D502" s="150"/>
      <c r="E502" s="150"/>
      <c r="F502" s="150"/>
      <c r="G502" s="583"/>
      <c r="H502" s="583"/>
      <c r="I502" s="583"/>
      <c r="J502" s="1767"/>
      <c r="K502" s="1767"/>
      <c r="L502" s="150"/>
      <c r="M502" s="583"/>
      <c r="N502" s="583"/>
      <c r="O502" s="150"/>
      <c r="P502" s="150"/>
      <c r="Q502" s="150"/>
      <c r="R502" s="150"/>
      <c r="S502" s="150"/>
      <c r="T502" s="150"/>
      <c r="U502" s="150"/>
      <c r="V502" s="150"/>
      <c r="W502" s="150"/>
      <c r="X502" s="150"/>
      <c r="Y502" s="150"/>
      <c r="Z502" s="150"/>
      <c r="AA502" s="150"/>
      <c r="AB502" s="150"/>
      <c r="AC502" s="150"/>
      <c r="AD502" s="150"/>
      <c r="AE502" s="150"/>
    </row>
    <row r="503" spans="1:31" ht="15">
      <c r="A503" s="150"/>
      <c r="B503" s="150"/>
      <c r="C503" s="150"/>
      <c r="D503" s="150"/>
      <c r="E503" s="150"/>
      <c r="F503" s="150"/>
      <c r="G503" s="583"/>
      <c r="H503" s="583"/>
      <c r="I503" s="583"/>
      <c r="J503" s="1767"/>
      <c r="K503" s="1767"/>
      <c r="L503" s="150"/>
      <c r="M503" s="583"/>
      <c r="N503" s="583"/>
      <c r="O503" s="150"/>
      <c r="P503" s="150"/>
      <c r="Q503" s="150"/>
      <c r="R503" s="150"/>
      <c r="S503" s="150"/>
      <c r="T503" s="150"/>
      <c r="U503" s="150"/>
      <c r="V503" s="150"/>
      <c r="W503" s="150"/>
      <c r="X503" s="150"/>
      <c r="Y503" s="150"/>
      <c r="Z503" s="150"/>
      <c r="AA503" s="150"/>
      <c r="AB503" s="150"/>
      <c r="AC503" s="150"/>
      <c r="AD503" s="150"/>
      <c r="AE503" s="150"/>
    </row>
    <row r="504" spans="1:31" ht="15">
      <c r="A504" s="150"/>
      <c r="B504" s="150"/>
      <c r="C504" s="150"/>
      <c r="D504" s="150"/>
      <c r="E504" s="150"/>
      <c r="F504" s="150"/>
      <c r="G504" s="583"/>
      <c r="H504" s="583"/>
      <c r="I504" s="583"/>
      <c r="J504" s="1767"/>
      <c r="K504" s="1767"/>
      <c r="L504" s="150"/>
      <c r="M504" s="583"/>
      <c r="N504" s="583"/>
      <c r="O504" s="150"/>
      <c r="P504" s="150"/>
      <c r="Q504" s="150"/>
      <c r="R504" s="150"/>
      <c r="S504" s="150"/>
      <c r="T504" s="150"/>
      <c r="U504" s="150"/>
      <c r="V504" s="150"/>
      <c r="W504" s="150"/>
      <c r="X504" s="150"/>
      <c r="Y504" s="150"/>
      <c r="Z504" s="150"/>
      <c r="AA504" s="150"/>
      <c r="AB504" s="150"/>
      <c r="AC504" s="150"/>
      <c r="AD504" s="150"/>
      <c r="AE504" s="150"/>
    </row>
    <row r="505" spans="1:31" ht="15">
      <c r="A505" s="150"/>
      <c r="B505" s="150"/>
      <c r="C505" s="150"/>
      <c r="D505" s="150"/>
      <c r="E505" s="150"/>
      <c r="F505" s="150"/>
      <c r="G505" s="583"/>
      <c r="H505" s="583"/>
      <c r="I505" s="583"/>
      <c r="J505" s="1767"/>
      <c r="K505" s="1767"/>
      <c r="L505" s="150"/>
      <c r="M505" s="583"/>
      <c r="N505" s="583"/>
      <c r="O505" s="150"/>
      <c r="P505" s="150"/>
      <c r="Q505" s="150"/>
      <c r="R505" s="150"/>
      <c r="S505" s="150"/>
      <c r="T505" s="150"/>
      <c r="U505" s="150"/>
      <c r="V505" s="150"/>
      <c r="W505" s="150"/>
      <c r="X505" s="150"/>
      <c r="Y505" s="150"/>
      <c r="Z505" s="150"/>
      <c r="AA505" s="150"/>
      <c r="AB505" s="150"/>
      <c r="AC505" s="150"/>
      <c r="AD505" s="150"/>
      <c r="AE505" s="150"/>
    </row>
    <row r="506" spans="1:31" ht="15">
      <c r="A506" s="150"/>
      <c r="B506" s="150"/>
      <c r="C506" s="150"/>
      <c r="D506" s="150"/>
      <c r="E506" s="150"/>
      <c r="F506" s="150"/>
      <c r="G506" s="583"/>
      <c r="H506" s="583"/>
      <c r="I506" s="583"/>
      <c r="J506" s="1767"/>
      <c r="K506" s="1767"/>
      <c r="L506" s="150"/>
      <c r="M506" s="583"/>
      <c r="N506" s="583"/>
      <c r="O506" s="150"/>
      <c r="P506" s="150"/>
      <c r="Q506" s="150"/>
      <c r="R506" s="150"/>
      <c r="S506" s="150"/>
      <c r="T506" s="150"/>
      <c r="U506" s="150"/>
      <c r="V506" s="150"/>
      <c r="W506" s="150"/>
      <c r="X506" s="150"/>
      <c r="Y506" s="150"/>
      <c r="Z506" s="150"/>
      <c r="AA506" s="150"/>
      <c r="AB506" s="150"/>
      <c r="AC506" s="150"/>
      <c r="AD506" s="150"/>
      <c r="AE506" s="150"/>
    </row>
    <row r="507" spans="1:31" ht="15">
      <c r="A507" s="150"/>
      <c r="B507" s="150"/>
      <c r="C507" s="150"/>
      <c r="D507" s="150"/>
      <c r="E507" s="150"/>
      <c r="F507" s="150"/>
      <c r="G507" s="583"/>
      <c r="H507" s="583"/>
      <c r="I507" s="583"/>
      <c r="J507" s="1767"/>
      <c r="K507" s="1767"/>
      <c r="L507" s="150"/>
      <c r="M507" s="583"/>
      <c r="N507" s="583"/>
      <c r="O507" s="150"/>
      <c r="P507" s="150"/>
      <c r="Q507" s="150"/>
      <c r="R507" s="150"/>
      <c r="S507" s="150"/>
      <c r="T507" s="150"/>
      <c r="U507" s="150"/>
      <c r="V507" s="150"/>
      <c r="W507" s="150"/>
      <c r="X507" s="150"/>
      <c r="Y507" s="150"/>
      <c r="Z507" s="150"/>
      <c r="AA507" s="150"/>
      <c r="AB507" s="150"/>
      <c r="AC507" s="150"/>
      <c r="AD507" s="150"/>
      <c r="AE507" s="150"/>
    </row>
    <row r="508" spans="1:31" ht="15">
      <c r="A508" s="150"/>
      <c r="B508" s="150"/>
      <c r="C508" s="150"/>
      <c r="D508" s="150"/>
      <c r="E508" s="150"/>
      <c r="F508" s="150"/>
      <c r="G508" s="583"/>
      <c r="H508" s="583"/>
      <c r="I508" s="583"/>
      <c r="J508" s="1767"/>
      <c r="K508" s="1767"/>
      <c r="L508" s="150"/>
      <c r="M508" s="583"/>
      <c r="N508" s="583"/>
      <c r="O508" s="150"/>
      <c r="P508" s="150"/>
      <c r="Q508" s="150"/>
      <c r="R508" s="150"/>
      <c r="S508" s="150"/>
      <c r="T508" s="150"/>
      <c r="U508" s="150"/>
      <c r="V508" s="150"/>
      <c r="W508" s="150"/>
      <c r="X508" s="150"/>
      <c r="Y508" s="150"/>
      <c r="Z508" s="150"/>
      <c r="AA508" s="150"/>
      <c r="AB508" s="150"/>
      <c r="AC508" s="150"/>
      <c r="AD508" s="150"/>
      <c r="AE508" s="150"/>
    </row>
    <row r="509" spans="1:31" ht="15">
      <c r="A509" s="150"/>
      <c r="B509" s="150"/>
      <c r="C509" s="150"/>
      <c r="D509" s="150"/>
      <c r="E509" s="150"/>
      <c r="F509" s="150"/>
      <c r="G509" s="583"/>
      <c r="H509" s="583"/>
      <c r="I509" s="583"/>
      <c r="J509" s="1767"/>
      <c r="K509" s="1767"/>
      <c r="L509" s="150"/>
      <c r="M509" s="583"/>
      <c r="N509" s="583"/>
      <c r="O509" s="150"/>
      <c r="P509" s="150"/>
      <c r="Q509" s="150"/>
      <c r="R509" s="150"/>
      <c r="S509" s="150"/>
      <c r="T509" s="150"/>
      <c r="U509" s="150"/>
      <c r="V509" s="150"/>
      <c r="W509" s="150"/>
      <c r="X509" s="150"/>
      <c r="Y509" s="150"/>
      <c r="Z509" s="150"/>
      <c r="AA509" s="150"/>
      <c r="AB509" s="150"/>
      <c r="AC509" s="150"/>
      <c r="AD509" s="150"/>
      <c r="AE509" s="150"/>
    </row>
    <row r="510" spans="1:31" ht="15">
      <c r="A510" s="150"/>
      <c r="B510" s="150"/>
      <c r="C510" s="150"/>
      <c r="D510" s="150"/>
      <c r="E510" s="150"/>
      <c r="F510" s="150"/>
      <c r="G510" s="583"/>
      <c r="H510" s="583"/>
      <c r="I510" s="583"/>
      <c r="J510" s="1767"/>
      <c r="K510" s="1767"/>
      <c r="L510" s="150"/>
      <c r="M510" s="583"/>
      <c r="N510" s="583"/>
      <c r="O510" s="150"/>
      <c r="P510" s="150"/>
      <c r="Q510" s="150"/>
      <c r="R510" s="150"/>
      <c r="S510" s="150"/>
      <c r="T510" s="150"/>
      <c r="U510" s="150"/>
      <c r="V510" s="150"/>
      <c r="W510" s="150"/>
      <c r="X510" s="150"/>
      <c r="Y510" s="150"/>
      <c r="Z510" s="150"/>
      <c r="AA510" s="150"/>
      <c r="AB510" s="150"/>
      <c r="AC510" s="150"/>
      <c r="AD510" s="150"/>
      <c r="AE510" s="150"/>
    </row>
    <row r="511" spans="1:31" ht="15">
      <c r="A511" s="150"/>
      <c r="B511" s="150"/>
      <c r="C511" s="150"/>
      <c r="D511" s="150"/>
      <c r="E511" s="150"/>
      <c r="F511" s="150"/>
      <c r="G511" s="583"/>
      <c r="H511" s="583"/>
      <c r="I511" s="583"/>
      <c r="J511" s="1767"/>
      <c r="K511" s="1767"/>
      <c r="L511" s="150"/>
      <c r="M511" s="583"/>
      <c r="N511" s="583"/>
      <c r="O511" s="150"/>
      <c r="P511" s="150"/>
      <c r="Q511" s="150"/>
      <c r="R511" s="150"/>
      <c r="S511" s="150"/>
      <c r="T511" s="150"/>
      <c r="U511" s="150"/>
      <c r="V511" s="150"/>
      <c r="W511" s="150"/>
      <c r="X511" s="150"/>
      <c r="Y511" s="150"/>
      <c r="Z511" s="150"/>
      <c r="AA511" s="150"/>
      <c r="AB511" s="150"/>
      <c r="AC511" s="150"/>
      <c r="AD511" s="150"/>
      <c r="AE511" s="150"/>
    </row>
    <row r="512" spans="1:31" ht="15">
      <c r="A512" s="150"/>
      <c r="B512" s="150"/>
      <c r="C512" s="150"/>
      <c r="D512" s="150"/>
      <c r="E512" s="150"/>
      <c r="F512" s="150"/>
      <c r="G512" s="583"/>
      <c r="H512" s="583"/>
      <c r="I512" s="583"/>
      <c r="J512" s="1767"/>
      <c r="K512" s="1767"/>
      <c r="L512" s="150"/>
      <c r="M512" s="583"/>
      <c r="N512" s="583"/>
      <c r="O512" s="150"/>
      <c r="P512" s="150"/>
      <c r="Q512" s="150"/>
      <c r="R512" s="150"/>
      <c r="S512" s="150"/>
      <c r="T512" s="150"/>
      <c r="U512" s="150"/>
      <c r="V512" s="150"/>
      <c r="W512" s="150"/>
      <c r="X512" s="150"/>
      <c r="Y512" s="150"/>
      <c r="Z512" s="150"/>
      <c r="AA512" s="150"/>
      <c r="AB512" s="150"/>
      <c r="AC512" s="150"/>
      <c r="AD512" s="150"/>
      <c r="AE512" s="150"/>
    </row>
    <row r="513" spans="1:31" ht="15">
      <c r="A513" s="150"/>
      <c r="B513" s="150"/>
      <c r="C513" s="150"/>
      <c r="D513" s="150"/>
      <c r="E513" s="150"/>
      <c r="F513" s="150"/>
      <c r="G513" s="583"/>
      <c r="H513" s="583"/>
      <c r="I513" s="583"/>
      <c r="J513" s="1767"/>
      <c r="K513" s="1767"/>
      <c r="L513" s="150"/>
      <c r="M513" s="583"/>
      <c r="N513" s="583"/>
      <c r="O513" s="150"/>
      <c r="P513" s="150"/>
      <c r="Q513" s="150"/>
      <c r="R513" s="150"/>
      <c r="S513" s="150"/>
      <c r="T513" s="150"/>
      <c r="U513" s="150"/>
      <c r="V513" s="150"/>
      <c r="W513" s="150"/>
      <c r="X513" s="150"/>
      <c r="Y513" s="150"/>
      <c r="Z513" s="150"/>
      <c r="AA513" s="150"/>
      <c r="AB513" s="150"/>
      <c r="AC513" s="150"/>
      <c r="AD513" s="150"/>
      <c r="AE513" s="150"/>
    </row>
    <row r="514" spans="1:31" ht="15">
      <c r="A514" s="150"/>
      <c r="B514" s="150"/>
      <c r="C514" s="150"/>
      <c r="D514" s="150"/>
      <c r="E514" s="150"/>
      <c r="F514" s="150"/>
      <c r="G514" s="583"/>
      <c r="H514" s="583"/>
      <c r="I514" s="583"/>
      <c r="J514" s="1767"/>
      <c r="K514" s="1767"/>
      <c r="L514" s="150"/>
      <c r="M514" s="583"/>
      <c r="N514" s="583"/>
      <c r="O514" s="150"/>
      <c r="P514" s="150"/>
      <c r="Q514" s="150"/>
      <c r="R514" s="150"/>
      <c r="S514" s="150"/>
      <c r="T514" s="150"/>
      <c r="U514" s="150"/>
      <c r="V514" s="150"/>
      <c r="W514" s="150"/>
      <c r="X514" s="150"/>
      <c r="Y514" s="150"/>
      <c r="Z514" s="150"/>
      <c r="AA514" s="150"/>
      <c r="AB514" s="150"/>
      <c r="AC514" s="150"/>
      <c r="AD514" s="150"/>
      <c r="AE514" s="150"/>
    </row>
    <row r="515" spans="1:31" ht="15">
      <c r="A515" s="150"/>
      <c r="B515" s="150"/>
      <c r="C515" s="150"/>
      <c r="D515" s="150"/>
      <c r="E515" s="150"/>
      <c r="F515" s="150"/>
      <c r="G515" s="583"/>
      <c r="H515" s="583"/>
      <c r="I515" s="583"/>
      <c r="J515" s="1767"/>
      <c r="K515" s="1767"/>
      <c r="L515" s="150"/>
      <c r="M515" s="583"/>
      <c r="N515" s="583"/>
      <c r="O515" s="150"/>
      <c r="P515" s="150"/>
      <c r="Q515" s="150"/>
      <c r="R515" s="150"/>
      <c r="S515" s="150"/>
      <c r="T515" s="150"/>
      <c r="U515" s="150"/>
      <c r="V515" s="150"/>
      <c r="W515" s="150"/>
      <c r="X515" s="150"/>
      <c r="Y515" s="150"/>
      <c r="Z515" s="150"/>
      <c r="AA515" s="150"/>
      <c r="AB515" s="150"/>
      <c r="AC515" s="150"/>
      <c r="AD515" s="150"/>
      <c r="AE515" s="150"/>
    </row>
    <row r="516" spans="1:31" ht="15">
      <c r="A516" s="150"/>
      <c r="B516" s="150"/>
      <c r="C516" s="150"/>
      <c r="D516" s="150"/>
      <c r="E516" s="150"/>
      <c r="F516" s="150"/>
      <c r="G516" s="583"/>
      <c r="H516" s="583"/>
      <c r="I516" s="583"/>
      <c r="J516" s="1767"/>
      <c r="K516" s="1767"/>
      <c r="L516" s="150"/>
      <c r="M516" s="583"/>
      <c r="N516" s="583"/>
      <c r="O516" s="150"/>
      <c r="P516" s="150"/>
      <c r="Q516" s="150"/>
      <c r="R516" s="150"/>
      <c r="S516" s="150"/>
      <c r="T516" s="150"/>
      <c r="U516" s="150"/>
      <c r="V516" s="150"/>
      <c r="W516" s="150"/>
      <c r="X516" s="150"/>
      <c r="Y516" s="150"/>
      <c r="Z516" s="150"/>
      <c r="AA516" s="150"/>
      <c r="AB516" s="150"/>
      <c r="AC516" s="150"/>
      <c r="AD516" s="150"/>
      <c r="AE516" s="150"/>
    </row>
    <row r="517" spans="1:31" ht="15">
      <c r="A517" s="150"/>
      <c r="B517" s="150"/>
      <c r="C517" s="150"/>
      <c r="D517" s="150"/>
      <c r="E517" s="150"/>
      <c r="F517" s="150"/>
      <c r="G517" s="583"/>
      <c r="H517" s="583"/>
      <c r="I517" s="583"/>
      <c r="J517" s="1767"/>
      <c r="K517" s="1767"/>
      <c r="L517" s="150"/>
      <c r="M517" s="583"/>
      <c r="N517" s="583"/>
      <c r="O517" s="150"/>
      <c r="P517" s="150"/>
      <c r="Q517" s="150"/>
      <c r="R517" s="150"/>
      <c r="S517" s="150"/>
      <c r="T517" s="150"/>
      <c r="U517" s="150"/>
      <c r="V517" s="150"/>
      <c r="W517" s="150"/>
      <c r="X517" s="150"/>
      <c r="Y517" s="150"/>
      <c r="Z517" s="150"/>
      <c r="AA517" s="150"/>
      <c r="AB517" s="150"/>
      <c r="AC517" s="150"/>
      <c r="AD517" s="150"/>
      <c r="AE517" s="150"/>
    </row>
    <row r="518" spans="1:31" ht="15">
      <c r="A518" s="150"/>
      <c r="B518" s="150"/>
      <c r="C518" s="150"/>
      <c r="D518" s="150"/>
      <c r="E518" s="150"/>
      <c r="F518" s="150"/>
      <c r="G518" s="583"/>
      <c r="H518" s="583"/>
      <c r="I518" s="583"/>
      <c r="J518" s="1767"/>
      <c r="K518" s="1767"/>
      <c r="L518" s="150"/>
      <c r="M518" s="583"/>
      <c r="N518" s="583"/>
      <c r="O518" s="150"/>
      <c r="P518" s="150"/>
      <c r="Q518" s="150"/>
      <c r="R518" s="150"/>
      <c r="S518" s="150"/>
      <c r="T518" s="150"/>
      <c r="U518" s="150"/>
      <c r="V518" s="150"/>
      <c r="W518" s="150"/>
      <c r="X518" s="150"/>
      <c r="Y518" s="150"/>
      <c r="Z518" s="150"/>
      <c r="AA518" s="150"/>
      <c r="AB518" s="150"/>
      <c r="AC518" s="150"/>
      <c r="AD518" s="150"/>
      <c r="AE518" s="150"/>
    </row>
    <row r="519" spans="1:31" ht="15">
      <c r="A519" s="150"/>
      <c r="B519" s="150"/>
      <c r="C519" s="150"/>
      <c r="D519" s="150"/>
      <c r="E519" s="150"/>
      <c r="F519" s="150"/>
      <c r="G519" s="583"/>
      <c r="H519" s="583"/>
      <c r="I519" s="583"/>
      <c r="J519" s="1767"/>
      <c r="K519" s="1767"/>
      <c r="L519" s="150"/>
      <c r="M519" s="583"/>
      <c r="N519" s="583"/>
      <c r="O519" s="150"/>
      <c r="P519" s="150"/>
      <c r="Q519" s="150"/>
      <c r="R519" s="150"/>
      <c r="S519" s="150"/>
      <c r="T519" s="150"/>
      <c r="U519" s="150"/>
      <c r="V519" s="150"/>
      <c r="W519" s="150"/>
      <c r="X519" s="150"/>
      <c r="Y519" s="150"/>
      <c r="Z519" s="150"/>
      <c r="AA519" s="150"/>
      <c r="AB519" s="150"/>
      <c r="AC519" s="150"/>
      <c r="AD519" s="150"/>
      <c r="AE519" s="150"/>
    </row>
    <row r="520" spans="1:31" ht="15">
      <c r="A520" s="150"/>
      <c r="B520" s="150"/>
      <c r="C520" s="150"/>
      <c r="D520" s="150"/>
      <c r="E520" s="150"/>
      <c r="F520" s="150"/>
      <c r="G520" s="583"/>
      <c r="H520" s="583"/>
      <c r="I520" s="583"/>
      <c r="J520" s="1767"/>
      <c r="K520" s="1767"/>
      <c r="L520" s="150"/>
      <c r="M520" s="583"/>
      <c r="N520" s="583"/>
      <c r="O520" s="150"/>
      <c r="P520" s="150"/>
      <c r="Q520" s="150"/>
      <c r="R520" s="150"/>
      <c r="S520" s="150"/>
      <c r="T520" s="150"/>
      <c r="U520" s="150"/>
      <c r="V520" s="150"/>
      <c r="W520" s="150"/>
      <c r="X520" s="150"/>
      <c r="Y520" s="150"/>
      <c r="Z520" s="150"/>
      <c r="AA520" s="150"/>
      <c r="AB520" s="150"/>
      <c r="AC520" s="150"/>
      <c r="AD520" s="150"/>
      <c r="AE520" s="150"/>
    </row>
    <row r="521" spans="1:31" ht="15">
      <c r="A521" s="150"/>
      <c r="B521" s="150"/>
      <c r="C521" s="150"/>
      <c r="D521" s="150"/>
      <c r="E521" s="150"/>
      <c r="F521" s="150"/>
      <c r="G521" s="583"/>
      <c r="H521" s="583"/>
      <c r="I521" s="583"/>
      <c r="J521" s="1767"/>
      <c r="K521" s="1767"/>
      <c r="L521" s="150"/>
      <c r="M521" s="583"/>
      <c r="N521" s="583"/>
      <c r="O521" s="150"/>
      <c r="P521" s="150"/>
      <c r="Q521" s="150"/>
      <c r="R521" s="150"/>
      <c r="S521" s="150"/>
      <c r="T521" s="150"/>
      <c r="U521" s="150"/>
      <c r="V521" s="150"/>
      <c r="W521" s="150"/>
      <c r="X521" s="150"/>
      <c r="Y521" s="150"/>
      <c r="Z521" s="150"/>
      <c r="AA521" s="150"/>
      <c r="AB521" s="150"/>
      <c r="AC521" s="150"/>
      <c r="AD521" s="150"/>
      <c r="AE521" s="150"/>
    </row>
    <row r="522" spans="1:31" ht="15">
      <c r="A522" s="150"/>
      <c r="B522" s="150"/>
      <c r="C522" s="150"/>
      <c r="D522" s="150"/>
      <c r="E522" s="150"/>
      <c r="F522" s="150"/>
      <c r="G522" s="583"/>
      <c r="H522" s="583"/>
      <c r="I522" s="583"/>
      <c r="J522" s="1767"/>
      <c r="K522" s="1767"/>
      <c r="L522" s="150"/>
      <c r="M522" s="583"/>
      <c r="N522" s="583"/>
      <c r="O522" s="150"/>
      <c r="P522" s="150"/>
      <c r="Q522" s="150"/>
      <c r="R522" s="150"/>
      <c r="S522" s="150"/>
      <c r="T522" s="150"/>
      <c r="U522" s="150"/>
      <c r="V522" s="150"/>
      <c r="W522" s="150"/>
      <c r="X522" s="150"/>
      <c r="Y522" s="150"/>
      <c r="Z522" s="150"/>
      <c r="AA522" s="150"/>
      <c r="AB522" s="150"/>
      <c r="AC522" s="150"/>
      <c r="AD522" s="150"/>
      <c r="AE522" s="150"/>
    </row>
    <row r="523" spans="1:31" ht="15">
      <c r="A523" s="150"/>
      <c r="B523" s="150"/>
      <c r="C523" s="150"/>
      <c r="D523" s="150"/>
      <c r="E523" s="150"/>
      <c r="F523" s="150"/>
      <c r="G523" s="583"/>
      <c r="H523" s="583"/>
      <c r="I523" s="583"/>
      <c r="J523" s="1767"/>
      <c r="K523" s="1767"/>
      <c r="L523" s="150"/>
      <c r="M523" s="583"/>
      <c r="N523" s="583"/>
      <c r="O523" s="150"/>
      <c r="P523" s="150"/>
      <c r="Q523" s="150"/>
      <c r="R523" s="150"/>
      <c r="S523" s="150"/>
      <c r="T523" s="150"/>
      <c r="U523" s="150"/>
      <c r="V523" s="150"/>
      <c r="W523" s="150"/>
      <c r="X523" s="150"/>
      <c r="Y523" s="150"/>
      <c r="Z523" s="150"/>
      <c r="AA523" s="150"/>
      <c r="AB523" s="150"/>
      <c r="AC523" s="150"/>
      <c r="AD523" s="150"/>
      <c r="AE523" s="150"/>
    </row>
    <row r="524" spans="1:31" ht="15">
      <c r="A524" s="150"/>
      <c r="B524" s="150"/>
      <c r="C524" s="150"/>
      <c r="D524" s="150"/>
      <c r="E524" s="150"/>
      <c r="F524" s="150"/>
      <c r="G524" s="583"/>
      <c r="H524" s="583"/>
      <c r="I524" s="583"/>
      <c r="J524" s="1767"/>
      <c r="K524" s="1767"/>
      <c r="L524" s="150"/>
      <c r="M524" s="583"/>
      <c r="N524" s="583"/>
      <c r="O524" s="150"/>
      <c r="P524" s="150"/>
      <c r="Q524" s="150"/>
      <c r="R524" s="150"/>
      <c r="S524" s="150"/>
      <c r="T524" s="150"/>
      <c r="U524" s="150"/>
      <c r="V524" s="150"/>
      <c r="W524" s="150"/>
      <c r="X524" s="150"/>
      <c r="Y524" s="150"/>
      <c r="Z524" s="150"/>
      <c r="AA524" s="150"/>
      <c r="AB524" s="150"/>
      <c r="AC524" s="150"/>
      <c r="AD524" s="150"/>
      <c r="AE524" s="150"/>
    </row>
    <row r="525" spans="1:31" ht="15">
      <c r="A525" s="150"/>
      <c r="B525" s="150"/>
      <c r="C525" s="150"/>
      <c r="D525" s="150"/>
      <c r="E525" s="150"/>
      <c r="F525" s="150"/>
      <c r="G525" s="583"/>
      <c r="H525" s="583"/>
      <c r="I525" s="583"/>
      <c r="J525" s="1767"/>
      <c r="K525" s="1767"/>
      <c r="L525" s="150"/>
      <c r="M525" s="583"/>
      <c r="N525" s="583"/>
      <c r="O525" s="150"/>
      <c r="P525" s="150"/>
      <c r="Q525" s="150"/>
      <c r="R525" s="150"/>
      <c r="S525" s="150"/>
      <c r="T525" s="150"/>
      <c r="U525" s="150"/>
      <c r="V525" s="150"/>
      <c r="W525" s="150"/>
      <c r="X525" s="150"/>
      <c r="Y525" s="150"/>
      <c r="Z525" s="150"/>
      <c r="AA525" s="150"/>
      <c r="AB525" s="150"/>
      <c r="AC525" s="150"/>
      <c r="AD525" s="150"/>
      <c r="AE525" s="150"/>
    </row>
    <row r="526" spans="1:31" ht="15">
      <c r="A526" s="150"/>
      <c r="B526" s="150"/>
      <c r="C526" s="150"/>
      <c r="D526" s="150"/>
      <c r="E526" s="150"/>
      <c r="F526" s="150"/>
      <c r="G526" s="583"/>
      <c r="H526" s="583"/>
      <c r="I526" s="583"/>
      <c r="J526" s="1767"/>
      <c r="K526" s="1767"/>
      <c r="L526" s="150"/>
      <c r="M526" s="583"/>
      <c r="N526" s="583"/>
      <c r="O526" s="150"/>
      <c r="P526" s="150"/>
      <c r="Q526" s="150"/>
      <c r="R526" s="150"/>
      <c r="S526" s="150"/>
      <c r="T526" s="150"/>
      <c r="U526" s="150"/>
      <c r="V526" s="150"/>
      <c r="W526" s="150"/>
      <c r="X526" s="150"/>
      <c r="Y526" s="150"/>
      <c r="Z526" s="150"/>
      <c r="AA526" s="150"/>
      <c r="AB526" s="150"/>
      <c r="AC526" s="150"/>
      <c r="AD526" s="150"/>
      <c r="AE526" s="150"/>
    </row>
    <row r="527" spans="1:31" ht="15">
      <c r="A527" s="150"/>
      <c r="B527" s="150"/>
      <c r="C527" s="150"/>
      <c r="D527" s="150"/>
      <c r="E527" s="150"/>
      <c r="F527" s="150"/>
      <c r="G527" s="583"/>
      <c r="H527" s="583"/>
      <c r="I527" s="583"/>
      <c r="J527" s="1767"/>
      <c r="K527" s="1767"/>
      <c r="L527" s="150"/>
      <c r="M527" s="583"/>
      <c r="N527" s="583"/>
      <c r="O527" s="150"/>
      <c r="P527" s="150"/>
      <c r="Q527" s="150"/>
      <c r="R527" s="150"/>
      <c r="S527" s="150"/>
      <c r="T527" s="150"/>
      <c r="U527" s="150"/>
      <c r="V527" s="150"/>
      <c r="W527" s="150"/>
      <c r="X527" s="150"/>
      <c r="Y527" s="150"/>
      <c r="Z527" s="150"/>
      <c r="AA527" s="150"/>
      <c r="AB527" s="150"/>
      <c r="AC527" s="150"/>
      <c r="AD527" s="150"/>
      <c r="AE527" s="150"/>
    </row>
    <row r="528" spans="1:31" ht="15">
      <c r="A528" s="150"/>
      <c r="B528" s="150"/>
      <c r="C528" s="150"/>
      <c r="D528" s="150"/>
      <c r="E528" s="150"/>
      <c r="F528" s="150"/>
      <c r="G528" s="583"/>
      <c r="H528" s="583"/>
      <c r="I528" s="583"/>
      <c r="J528" s="1767"/>
      <c r="K528" s="1767"/>
      <c r="L528" s="150"/>
      <c r="M528" s="583"/>
      <c r="N528" s="583"/>
      <c r="O528" s="150"/>
      <c r="P528" s="150"/>
      <c r="Q528" s="150"/>
      <c r="R528" s="150"/>
      <c r="S528" s="150"/>
      <c r="T528" s="150"/>
      <c r="U528" s="150"/>
      <c r="V528" s="150"/>
      <c r="W528" s="150"/>
      <c r="X528" s="150"/>
      <c r="Y528" s="150"/>
      <c r="Z528" s="150"/>
      <c r="AA528" s="150"/>
      <c r="AB528" s="150"/>
      <c r="AC528" s="150"/>
      <c r="AD528" s="150"/>
      <c r="AE528" s="150"/>
    </row>
    <row r="529" spans="1:31" ht="15">
      <c r="A529" s="150"/>
      <c r="B529" s="150"/>
      <c r="C529" s="150"/>
      <c r="D529" s="150"/>
      <c r="E529" s="150"/>
      <c r="F529" s="150"/>
      <c r="G529" s="583"/>
      <c r="H529" s="583"/>
      <c r="I529" s="583"/>
      <c r="J529" s="1767"/>
      <c r="K529" s="1767"/>
      <c r="L529" s="150"/>
      <c r="M529" s="583"/>
      <c r="N529" s="583"/>
      <c r="O529" s="150"/>
      <c r="P529" s="150"/>
      <c r="Q529" s="150"/>
      <c r="R529" s="150"/>
      <c r="S529" s="150"/>
      <c r="T529" s="150"/>
      <c r="U529" s="150"/>
      <c r="V529" s="150"/>
      <c r="W529" s="150"/>
      <c r="X529" s="150"/>
      <c r="Y529" s="150"/>
      <c r="Z529" s="150"/>
      <c r="AA529" s="150"/>
      <c r="AB529" s="150"/>
      <c r="AC529" s="150"/>
      <c r="AD529" s="150"/>
      <c r="AE529" s="150"/>
    </row>
    <row r="530" spans="1:31" ht="15">
      <c r="A530" s="150"/>
      <c r="B530" s="150"/>
      <c r="C530" s="150"/>
      <c r="D530" s="150"/>
      <c r="E530" s="150"/>
      <c r="F530" s="150"/>
      <c r="G530" s="583"/>
      <c r="H530" s="583"/>
      <c r="I530" s="583"/>
      <c r="J530" s="1767"/>
      <c r="K530" s="1767"/>
      <c r="L530" s="150"/>
      <c r="M530" s="583"/>
      <c r="N530" s="583"/>
      <c r="O530" s="150"/>
      <c r="P530" s="150"/>
      <c r="Q530" s="150"/>
      <c r="R530" s="150"/>
      <c r="S530" s="150"/>
      <c r="T530" s="150"/>
      <c r="U530" s="150"/>
      <c r="V530" s="150"/>
      <c r="W530" s="150"/>
      <c r="X530" s="150"/>
      <c r="Y530" s="150"/>
      <c r="Z530" s="150"/>
      <c r="AA530" s="150"/>
      <c r="AB530" s="150"/>
      <c r="AC530" s="150"/>
      <c r="AD530" s="150"/>
      <c r="AE530" s="150"/>
    </row>
    <row r="531" spans="1:31" ht="15">
      <c r="A531" s="150"/>
      <c r="B531" s="150"/>
      <c r="C531" s="150"/>
      <c r="D531" s="150"/>
      <c r="E531" s="150"/>
      <c r="F531" s="150"/>
      <c r="G531" s="583"/>
      <c r="H531" s="583"/>
      <c r="I531" s="583"/>
      <c r="J531" s="1767"/>
      <c r="K531" s="1767"/>
      <c r="L531" s="150"/>
      <c r="M531" s="583"/>
      <c r="N531" s="583"/>
      <c r="O531" s="150"/>
      <c r="P531" s="150"/>
      <c r="Q531" s="150"/>
      <c r="R531" s="150"/>
      <c r="S531" s="150"/>
      <c r="T531" s="150"/>
      <c r="U531" s="150"/>
      <c r="V531" s="150"/>
      <c r="W531" s="150"/>
      <c r="X531" s="150"/>
      <c r="Y531" s="150"/>
      <c r="Z531" s="150"/>
      <c r="AA531" s="150"/>
      <c r="AB531" s="150"/>
      <c r="AC531" s="150"/>
      <c r="AD531" s="150"/>
      <c r="AE531" s="150"/>
    </row>
    <row r="532" spans="1:31" ht="15">
      <c r="A532" s="150"/>
      <c r="B532" s="150"/>
      <c r="C532" s="150"/>
      <c r="D532" s="150"/>
      <c r="E532" s="150"/>
      <c r="F532" s="150"/>
      <c r="G532" s="583"/>
      <c r="H532" s="583"/>
      <c r="I532" s="583"/>
      <c r="J532" s="1767"/>
      <c r="K532" s="1767"/>
      <c r="L532" s="150"/>
      <c r="M532" s="583"/>
      <c r="N532" s="583"/>
      <c r="O532" s="150"/>
      <c r="P532" s="150"/>
      <c r="Q532" s="150"/>
      <c r="R532" s="150"/>
      <c r="S532" s="150"/>
      <c r="T532" s="150"/>
      <c r="U532" s="150"/>
      <c r="V532" s="150"/>
      <c r="W532" s="150"/>
      <c r="X532" s="150"/>
      <c r="Y532" s="150"/>
      <c r="Z532" s="150"/>
      <c r="AA532" s="150"/>
      <c r="AB532" s="150"/>
      <c r="AC532" s="150"/>
      <c r="AD532" s="150"/>
      <c r="AE532" s="150"/>
    </row>
    <row r="533" spans="1:31" ht="15">
      <c r="A533" s="150"/>
      <c r="B533" s="150"/>
      <c r="C533" s="150"/>
      <c r="D533" s="150"/>
      <c r="E533" s="150"/>
      <c r="F533" s="150"/>
      <c r="G533" s="583"/>
      <c r="H533" s="583"/>
      <c r="I533" s="583"/>
      <c r="J533" s="1767"/>
      <c r="K533" s="1767"/>
      <c r="L533" s="150"/>
      <c r="M533" s="583"/>
      <c r="N533" s="583"/>
      <c r="O533" s="150"/>
      <c r="P533" s="150"/>
      <c r="Q533" s="150"/>
      <c r="R533" s="150"/>
      <c r="S533" s="150"/>
      <c r="T533" s="150"/>
      <c r="U533" s="150"/>
      <c r="V533" s="150"/>
      <c r="W533" s="150"/>
      <c r="X533" s="150"/>
      <c r="Y533" s="150"/>
      <c r="Z533" s="150"/>
      <c r="AA533" s="150"/>
      <c r="AB533" s="150"/>
      <c r="AC533" s="150"/>
      <c r="AD533" s="150"/>
      <c r="AE533" s="150"/>
    </row>
    <row r="534" spans="1:31" ht="15">
      <c r="A534" s="150"/>
      <c r="B534" s="150"/>
      <c r="C534" s="150"/>
      <c r="D534" s="150"/>
      <c r="E534" s="150"/>
      <c r="F534" s="150"/>
      <c r="G534" s="583"/>
      <c r="H534" s="583"/>
      <c r="I534" s="583"/>
      <c r="J534" s="1767"/>
      <c r="K534" s="1767"/>
      <c r="L534" s="150"/>
      <c r="M534" s="583"/>
      <c r="N534" s="583"/>
      <c r="O534" s="150"/>
      <c r="P534" s="150"/>
      <c r="Q534" s="150"/>
      <c r="R534" s="150"/>
      <c r="S534" s="150"/>
      <c r="T534" s="150"/>
      <c r="U534" s="150"/>
      <c r="V534" s="150"/>
      <c r="W534" s="150"/>
      <c r="X534" s="150"/>
      <c r="Y534" s="150"/>
      <c r="Z534" s="150"/>
      <c r="AA534" s="150"/>
      <c r="AB534" s="150"/>
      <c r="AC534" s="150"/>
      <c r="AD534" s="150"/>
      <c r="AE534" s="150"/>
    </row>
    <row r="535" spans="1:31" ht="15">
      <c r="A535" s="150"/>
      <c r="B535" s="150"/>
      <c r="C535" s="150"/>
      <c r="D535" s="150"/>
      <c r="E535" s="150"/>
      <c r="F535" s="150"/>
      <c r="G535" s="583"/>
      <c r="H535" s="583"/>
      <c r="I535" s="583"/>
      <c r="J535" s="1767"/>
      <c r="K535" s="1767"/>
      <c r="L535" s="150"/>
      <c r="M535" s="583"/>
      <c r="N535" s="583"/>
      <c r="O535" s="150"/>
      <c r="P535" s="150"/>
      <c r="Q535" s="150"/>
      <c r="R535" s="150"/>
      <c r="S535" s="150"/>
      <c r="T535" s="150"/>
      <c r="U535" s="150"/>
      <c r="V535" s="150"/>
      <c r="W535" s="150"/>
      <c r="X535" s="150"/>
      <c r="Y535" s="150"/>
      <c r="Z535" s="150"/>
      <c r="AA535" s="150"/>
      <c r="AB535" s="150"/>
      <c r="AC535" s="150"/>
      <c r="AD535" s="150"/>
      <c r="AE535" s="150"/>
    </row>
    <row r="536" spans="1:31" ht="15">
      <c r="A536" s="150"/>
      <c r="B536" s="150"/>
      <c r="C536" s="150"/>
      <c r="D536" s="150"/>
      <c r="E536" s="150"/>
      <c r="F536" s="150"/>
      <c r="G536" s="583"/>
      <c r="H536" s="583"/>
      <c r="I536" s="583"/>
      <c r="J536" s="1767"/>
      <c r="K536" s="1767"/>
      <c r="L536" s="150"/>
      <c r="M536" s="583"/>
      <c r="N536" s="583"/>
      <c r="O536" s="150"/>
      <c r="P536" s="150"/>
      <c r="Q536" s="150"/>
      <c r="R536" s="150"/>
      <c r="S536" s="150"/>
      <c r="T536" s="150"/>
      <c r="U536" s="150"/>
      <c r="V536" s="150"/>
      <c r="W536" s="150"/>
      <c r="X536" s="150"/>
      <c r="Y536" s="150"/>
      <c r="Z536" s="150"/>
      <c r="AA536" s="150"/>
      <c r="AB536" s="150"/>
      <c r="AC536" s="150"/>
      <c r="AD536" s="150"/>
      <c r="AE536" s="150"/>
    </row>
    <row r="537" spans="1:31" ht="15">
      <c r="A537" s="150"/>
      <c r="B537" s="150"/>
      <c r="C537" s="150"/>
      <c r="D537" s="150"/>
      <c r="E537" s="150"/>
      <c r="F537" s="150"/>
      <c r="G537" s="583"/>
      <c r="H537" s="583"/>
      <c r="I537" s="583"/>
      <c r="J537" s="1767"/>
      <c r="K537" s="1767"/>
      <c r="L537" s="150"/>
      <c r="M537" s="583"/>
      <c r="N537" s="583"/>
      <c r="O537" s="150"/>
      <c r="P537" s="150"/>
      <c r="Q537" s="150"/>
      <c r="R537" s="150"/>
      <c r="S537" s="150"/>
      <c r="T537" s="150"/>
      <c r="U537" s="150"/>
      <c r="V537" s="150"/>
      <c r="W537" s="150"/>
      <c r="X537" s="150"/>
      <c r="Y537" s="150"/>
      <c r="Z537" s="150"/>
      <c r="AA537" s="150"/>
      <c r="AB537" s="150"/>
      <c r="AC537" s="150"/>
      <c r="AD537" s="150"/>
      <c r="AE537" s="150"/>
    </row>
    <row r="538" spans="1:31" ht="15">
      <c r="A538" s="150"/>
      <c r="B538" s="150"/>
      <c r="C538" s="150"/>
      <c r="D538" s="150"/>
      <c r="E538" s="150"/>
      <c r="F538" s="150"/>
      <c r="G538" s="583"/>
      <c r="H538" s="583"/>
      <c r="I538" s="583"/>
      <c r="J538" s="1767"/>
      <c r="K538" s="1767"/>
      <c r="L538" s="150"/>
      <c r="M538" s="583"/>
      <c r="N538" s="583"/>
      <c r="O538" s="150"/>
      <c r="P538" s="150"/>
      <c r="Q538" s="150"/>
      <c r="R538" s="150"/>
      <c r="S538" s="150"/>
      <c r="T538" s="150"/>
      <c r="U538" s="150"/>
      <c r="V538" s="150"/>
      <c r="W538" s="150"/>
      <c r="X538" s="150"/>
      <c r="Y538" s="150"/>
      <c r="Z538" s="150"/>
      <c r="AA538" s="150"/>
      <c r="AB538" s="150"/>
      <c r="AC538" s="150"/>
      <c r="AD538" s="150"/>
      <c r="AE538" s="150"/>
    </row>
    <row r="539" spans="1:31" ht="15">
      <c r="A539" s="150"/>
      <c r="B539" s="150"/>
      <c r="C539" s="150"/>
      <c r="D539" s="150"/>
      <c r="E539" s="150"/>
      <c r="F539" s="150"/>
      <c r="G539" s="583"/>
      <c r="H539" s="583"/>
      <c r="I539" s="583"/>
      <c r="J539" s="1767"/>
      <c r="K539" s="1767"/>
      <c r="L539" s="150"/>
      <c r="M539" s="583"/>
      <c r="N539" s="583"/>
      <c r="O539" s="150"/>
      <c r="P539" s="150"/>
      <c r="Q539" s="150"/>
      <c r="R539" s="150"/>
      <c r="S539" s="150"/>
      <c r="T539" s="150"/>
      <c r="U539" s="150"/>
      <c r="V539" s="150"/>
      <c r="W539" s="150"/>
      <c r="X539" s="150"/>
      <c r="Y539" s="150"/>
      <c r="Z539" s="150"/>
      <c r="AA539" s="150"/>
      <c r="AB539" s="150"/>
      <c r="AC539" s="150"/>
      <c r="AD539" s="150"/>
      <c r="AE539" s="150"/>
    </row>
    <row r="540" spans="1:31" ht="15">
      <c r="A540" s="150"/>
      <c r="B540" s="150"/>
      <c r="C540" s="150"/>
      <c r="D540" s="150"/>
      <c r="E540" s="150"/>
      <c r="F540" s="150"/>
      <c r="G540" s="583"/>
      <c r="H540" s="583"/>
      <c r="I540" s="583"/>
      <c r="J540" s="1767"/>
      <c r="K540" s="1767"/>
      <c r="L540" s="150"/>
      <c r="M540" s="583"/>
      <c r="N540" s="583"/>
      <c r="O540" s="150"/>
      <c r="P540" s="150"/>
      <c r="Q540" s="150"/>
      <c r="R540" s="150"/>
      <c r="S540" s="150"/>
      <c r="T540" s="150"/>
      <c r="U540" s="150"/>
      <c r="V540" s="150"/>
      <c r="W540" s="150"/>
      <c r="X540" s="150"/>
      <c r="Y540" s="150"/>
      <c r="Z540" s="150"/>
      <c r="AA540" s="150"/>
      <c r="AB540" s="150"/>
      <c r="AC540" s="150"/>
      <c r="AD540" s="150"/>
      <c r="AE540" s="150"/>
    </row>
    <row r="541" spans="1:31" ht="15">
      <c r="A541" s="150"/>
      <c r="B541" s="150"/>
      <c r="C541" s="150"/>
      <c r="D541" s="150"/>
      <c r="E541" s="150"/>
      <c r="F541" s="150"/>
      <c r="G541" s="583"/>
      <c r="H541" s="583"/>
      <c r="I541" s="583"/>
      <c r="J541" s="1767"/>
      <c r="K541" s="1767"/>
      <c r="L541" s="150"/>
      <c r="M541" s="583"/>
      <c r="N541" s="583"/>
      <c r="O541" s="150"/>
      <c r="P541" s="150"/>
      <c r="Q541" s="150"/>
      <c r="R541" s="150"/>
      <c r="S541" s="150"/>
      <c r="T541" s="150"/>
      <c r="U541" s="150"/>
      <c r="V541" s="150"/>
      <c r="W541" s="150"/>
      <c r="X541" s="150"/>
      <c r="Y541" s="150"/>
      <c r="Z541" s="150"/>
      <c r="AA541" s="150"/>
      <c r="AB541" s="150"/>
      <c r="AC541" s="150"/>
      <c r="AD541" s="150"/>
      <c r="AE541" s="150"/>
    </row>
    <row r="542" spans="1:31" ht="15">
      <c r="A542" s="150"/>
      <c r="B542" s="150"/>
      <c r="C542" s="150"/>
      <c r="D542" s="150"/>
      <c r="E542" s="150"/>
      <c r="F542" s="150"/>
      <c r="G542" s="583"/>
      <c r="H542" s="583"/>
      <c r="I542" s="583"/>
      <c r="J542" s="1767"/>
      <c r="K542" s="1767"/>
      <c r="L542" s="150"/>
      <c r="M542" s="583"/>
      <c r="N542" s="583"/>
      <c r="O542" s="150"/>
      <c r="P542" s="150"/>
      <c r="Q542" s="150"/>
      <c r="R542" s="150"/>
      <c r="S542" s="150"/>
      <c r="T542" s="150"/>
      <c r="U542" s="150"/>
      <c r="V542" s="150"/>
      <c r="W542" s="150"/>
      <c r="X542" s="150"/>
      <c r="Y542" s="150"/>
      <c r="Z542" s="150"/>
      <c r="AA542" s="150"/>
      <c r="AB542" s="150"/>
      <c r="AC542" s="150"/>
      <c r="AD542" s="150"/>
      <c r="AE542" s="150"/>
    </row>
    <row r="543" spans="1:31" ht="15">
      <c r="A543" s="150"/>
      <c r="B543" s="150"/>
      <c r="C543" s="150"/>
      <c r="D543" s="150"/>
      <c r="E543" s="150"/>
      <c r="F543" s="150"/>
      <c r="G543" s="583"/>
      <c r="H543" s="583"/>
      <c r="I543" s="583"/>
      <c r="J543" s="1767"/>
      <c r="K543" s="1767"/>
      <c r="L543" s="150"/>
      <c r="M543" s="583"/>
      <c r="N543" s="583"/>
      <c r="O543" s="150"/>
      <c r="P543" s="150"/>
      <c r="Q543" s="150"/>
      <c r="R543" s="150"/>
      <c r="S543" s="150"/>
      <c r="T543" s="150"/>
      <c r="U543" s="150"/>
      <c r="V543" s="150"/>
      <c r="W543" s="150"/>
      <c r="X543" s="150"/>
      <c r="Y543" s="150"/>
      <c r="Z543" s="150"/>
      <c r="AA543" s="150"/>
      <c r="AB543" s="150"/>
      <c r="AC543" s="150"/>
      <c r="AD543" s="150"/>
      <c r="AE543" s="150"/>
    </row>
    <row r="544" spans="1:31" ht="15">
      <c r="A544" s="150"/>
      <c r="B544" s="150"/>
      <c r="C544" s="150"/>
      <c r="D544" s="150"/>
      <c r="E544" s="150"/>
      <c r="F544" s="150"/>
      <c r="G544" s="583"/>
      <c r="H544" s="583"/>
      <c r="I544" s="583"/>
      <c r="J544" s="1767"/>
      <c r="K544" s="1767"/>
      <c r="L544" s="150"/>
      <c r="M544" s="583"/>
      <c r="N544" s="583"/>
      <c r="O544" s="150"/>
      <c r="P544" s="150"/>
      <c r="Q544" s="150"/>
      <c r="R544" s="150"/>
      <c r="S544" s="150"/>
      <c r="T544" s="150"/>
      <c r="U544" s="150"/>
      <c r="V544" s="150"/>
      <c r="W544" s="150"/>
      <c r="X544" s="150"/>
      <c r="Y544" s="150"/>
      <c r="Z544" s="150"/>
      <c r="AA544" s="150"/>
      <c r="AB544" s="150"/>
      <c r="AC544" s="150"/>
      <c r="AD544" s="150"/>
      <c r="AE544" s="150"/>
    </row>
    <row r="545" spans="1:31" ht="15">
      <c r="A545" s="150"/>
      <c r="B545" s="150"/>
      <c r="C545" s="150"/>
      <c r="D545" s="150"/>
      <c r="E545" s="150"/>
      <c r="F545" s="150"/>
      <c r="G545" s="583"/>
      <c r="H545" s="583"/>
      <c r="I545" s="583"/>
      <c r="J545" s="1767"/>
      <c r="K545" s="1767"/>
      <c r="L545" s="150"/>
      <c r="M545" s="583"/>
      <c r="N545" s="583"/>
      <c r="O545" s="150"/>
      <c r="P545" s="150"/>
      <c r="Q545" s="150"/>
      <c r="R545" s="150"/>
      <c r="S545" s="150"/>
      <c r="T545" s="150"/>
      <c r="U545" s="150"/>
      <c r="V545" s="150"/>
      <c r="W545" s="150"/>
      <c r="X545" s="150"/>
      <c r="Y545" s="150"/>
      <c r="Z545" s="150"/>
      <c r="AA545" s="150"/>
      <c r="AB545" s="150"/>
      <c r="AC545" s="150"/>
      <c r="AD545" s="150"/>
      <c r="AE545" s="150"/>
    </row>
    <row r="546" spans="1:31" ht="15">
      <c r="A546" s="150"/>
      <c r="B546" s="150"/>
      <c r="C546" s="150"/>
      <c r="D546" s="150"/>
      <c r="E546" s="150"/>
      <c r="F546" s="150"/>
      <c r="G546" s="583"/>
      <c r="H546" s="583"/>
      <c r="I546" s="583"/>
      <c r="J546" s="1767"/>
      <c r="K546" s="1767"/>
      <c r="L546" s="150"/>
      <c r="M546" s="583"/>
      <c r="N546" s="583"/>
      <c r="O546" s="150"/>
      <c r="P546" s="150"/>
      <c r="Q546" s="150"/>
      <c r="R546" s="150"/>
      <c r="S546" s="150"/>
      <c r="T546" s="150"/>
      <c r="U546" s="150"/>
      <c r="V546" s="150"/>
      <c r="W546" s="150"/>
      <c r="X546" s="150"/>
      <c r="Y546" s="150"/>
      <c r="Z546" s="150"/>
      <c r="AA546" s="150"/>
      <c r="AB546" s="150"/>
      <c r="AC546" s="150"/>
      <c r="AD546" s="150"/>
      <c r="AE546" s="150"/>
    </row>
    <row r="547" spans="1:31" ht="15">
      <c r="A547" s="150"/>
      <c r="B547" s="150"/>
      <c r="C547" s="150"/>
      <c r="D547" s="150"/>
      <c r="E547" s="150"/>
      <c r="F547" s="150"/>
      <c r="G547" s="583"/>
      <c r="H547" s="583"/>
      <c r="I547" s="583"/>
      <c r="J547" s="1767"/>
      <c r="K547" s="1767"/>
      <c r="L547" s="150"/>
      <c r="M547" s="583"/>
      <c r="N547" s="583"/>
      <c r="O547" s="150"/>
      <c r="P547" s="150"/>
      <c r="Q547" s="150"/>
      <c r="R547" s="150"/>
      <c r="S547" s="150"/>
      <c r="T547" s="150"/>
      <c r="U547" s="150"/>
      <c r="V547" s="150"/>
      <c r="W547" s="150"/>
      <c r="X547" s="150"/>
      <c r="Y547" s="150"/>
      <c r="Z547" s="150"/>
      <c r="AA547" s="150"/>
      <c r="AB547" s="150"/>
      <c r="AC547" s="150"/>
      <c r="AD547" s="150"/>
      <c r="AE547" s="150"/>
    </row>
    <row r="548" spans="1:31" ht="15">
      <c r="A548" s="150"/>
      <c r="B548" s="150"/>
      <c r="C548" s="150"/>
      <c r="D548" s="150"/>
      <c r="E548" s="150"/>
      <c r="F548" s="150"/>
      <c r="G548" s="583"/>
      <c r="H548" s="583"/>
      <c r="I548" s="583"/>
      <c r="J548" s="1767"/>
      <c r="K548" s="1767"/>
      <c r="L548" s="150"/>
      <c r="M548" s="583"/>
      <c r="N548" s="583"/>
      <c r="O548" s="150"/>
      <c r="P548" s="150"/>
      <c r="Q548" s="150"/>
      <c r="R548" s="150"/>
      <c r="S548" s="150"/>
      <c r="T548" s="150"/>
      <c r="U548" s="150"/>
      <c r="V548" s="150"/>
      <c r="W548" s="150"/>
      <c r="X548" s="150"/>
      <c r="Y548" s="150"/>
      <c r="Z548" s="150"/>
      <c r="AA548" s="150"/>
      <c r="AB548" s="150"/>
      <c r="AC548" s="150"/>
      <c r="AD548" s="150"/>
      <c r="AE548" s="150"/>
    </row>
    <row r="549" spans="1:31" ht="15">
      <c r="A549" s="150"/>
      <c r="B549" s="150"/>
      <c r="C549" s="150"/>
      <c r="D549" s="150"/>
      <c r="E549" s="150"/>
      <c r="F549" s="150"/>
      <c r="G549" s="583"/>
      <c r="H549" s="583"/>
      <c r="I549" s="583"/>
      <c r="J549" s="1767"/>
      <c r="K549" s="1767"/>
      <c r="L549" s="150"/>
      <c r="M549" s="583"/>
      <c r="N549" s="583"/>
      <c r="O549" s="150"/>
      <c r="P549" s="150"/>
      <c r="Q549" s="150"/>
      <c r="R549" s="150"/>
      <c r="S549" s="150"/>
      <c r="T549" s="150"/>
      <c r="U549" s="150"/>
      <c r="V549" s="150"/>
      <c r="W549" s="150"/>
      <c r="X549" s="150"/>
      <c r="Y549" s="150"/>
      <c r="Z549" s="150"/>
      <c r="AA549" s="150"/>
      <c r="AB549" s="150"/>
      <c r="AC549" s="150"/>
      <c r="AD549" s="150"/>
      <c r="AE549" s="150"/>
    </row>
    <row r="550" spans="1:31" ht="15">
      <c r="A550" s="150"/>
      <c r="B550" s="150"/>
      <c r="C550" s="150"/>
      <c r="D550" s="150"/>
      <c r="E550" s="150"/>
      <c r="F550" s="150"/>
      <c r="G550" s="583"/>
      <c r="H550" s="583"/>
      <c r="I550" s="583"/>
      <c r="J550" s="1767"/>
      <c r="K550" s="1767"/>
      <c r="L550" s="150"/>
      <c r="M550" s="583"/>
      <c r="N550" s="583"/>
      <c r="O550" s="150"/>
      <c r="P550" s="150"/>
      <c r="Q550" s="150"/>
      <c r="R550" s="150"/>
      <c r="S550" s="150"/>
      <c r="T550" s="150"/>
      <c r="U550" s="150"/>
      <c r="V550" s="150"/>
      <c r="W550" s="150"/>
      <c r="X550" s="150"/>
      <c r="Y550" s="150"/>
      <c r="Z550" s="150"/>
      <c r="AA550" s="150"/>
      <c r="AB550" s="150"/>
      <c r="AC550" s="150"/>
      <c r="AD550" s="150"/>
      <c r="AE550" s="150"/>
    </row>
    <row r="551" spans="1:31" ht="15">
      <c r="A551" s="150"/>
      <c r="B551" s="150"/>
      <c r="C551" s="150"/>
      <c r="D551" s="150"/>
      <c r="E551" s="150"/>
      <c r="F551" s="150"/>
      <c r="G551" s="583"/>
      <c r="H551" s="583"/>
      <c r="I551" s="583"/>
      <c r="J551" s="1767"/>
      <c r="K551" s="1767"/>
      <c r="L551" s="150"/>
      <c r="M551" s="583"/>
      <c r="N551" s="583"/>
      <c r="O551" s="150"/>
      <c r="P551" s="150"/>
      <c r="Q551" s="150"/>
      <c r="R551" s="150"/>
      <c r="S551" s="150"/>
      <c r="T551" s="150"/>
      <c r="U551" s="150"/>
      <c r="V551" s="150"/>
      <c r="W551" s="150"/>
      <c r="X551" s="150"/>
      <c r="Y551" s="150"/>
      <c r="Z551" s="150"/>
      <c r="AA551" s="150"/>
      <c r="AB551" s="150"/>
      <c r="AC551" s="150"/>
      <c r="AD551" s="150"/>
      <c r="AE551" s="150"/>
    </row>
    <row r="552" spans="1:31" ht="15">
      <c r="A552" s="150"/>
      <c r="B552" s="150"/>
      <c r="C552" s="150"/>
      <c r="D552" s="150"/>
      <c r="E552" s="150"/>
      <c r="F552" s="150"/>
      <c r="G552" s="583"/>
      <c r="H552" s="583"/>
      <c r="I552" s="583"/>
      <c r="J552" s="1767"/>
      <c r="K552" s="1767"/>
      <c r="L552" s="150"/>
      <c r="M552" s="583"/>
      <c r="N552" s="583"/>
      <c r="O552" s="150"/>
      <c r="P552" s="150"/>
      <c r="Q552" s="150"/>
      <c r="R552" s="150"/>
      <c r="S552" s="150"/>
      <c r="T552" s="150"/>
      <c r="U552" s="150"/>
      <c r="V552" s="150"/>
      <c r="W552" s="150"/>
      <c r="X552" s="150"/>
      <c r="Y552" s="150"/>
      <c r="Z552" s="150"/>
      <c r="AA552" s="150"/>
      <c r="AB552" s="150"/>
      <c r="AC552" s="150"/>
      <c r="AD552" s="150"/>
      <c r="AE552" s="150"/>
    </row>
    <row r="553" spans="1:31" ht="15">
      <c r="A553" s="150"/>
      <c r="B553" s="150"/>
      <c r="C553" s="150"/>
      <c r="D553" s="150"/>
      <c r="E553" s="150"/>
      <c r="F553" s="150"/>
      <c r="G553" s="583"/>
      <c r="H553" s="583"/>
      <c r="I553" s="583"/>
      <c r="J553" s="1767"/>
      <c r="K553" s="1767"/>
      <c r="L553" s="150"/>
      <c r="M553" s="583"/>
      <c r="N553" s="583"/>
      <c r="O553" s="150"/>
      <c r="P553" s="150"/>
      <c r="Q553" s="150"/>
      <c r="R553" s="150"/>
      <c r="S553" s="150"/>
      <c r="T553" s="150"/>
      <c r="U553" s="150"/>
      <c r="V553" s="150"/>
      <c r="W553" s="150"/>
      <c r="X553" s="150"/>
      <c r="Y553" s="150"/>
      <c r="Z553" s="150"/>
      <c r="AA553" s="150"/>
      <c r="AB553" s="150"/>
      <c r="AC553" s="150"/>
      <c r="AD553" s="150"/>
      <c r="AE553" s="150"/>
    </row>
    <row r="554" spans="1:31" ht="15">
      <c r="A554" s="150"/>
      <c r="B554" s="150"/>
      <c r="C554" s="150"/>
      <c r="D554" s="150"/>
      <c r="E554" s="150"/>
      <c r="F554" s="150"/>
      <c r="G554" s="583"/>
      <c r="H554" s="583"/>
      <c r="I554" s="583"/>
      <c r="J554" s="1767"/>
      <c r="K554" s="1767"/>
      <c r="L554" s="150"/>
      <c r="M554" s="583"/>
      <c r="N554" s="583"/>
      <c r="O554" s="150"/>
      <c r="P554" s="150"/>
      <c r="Q554" s="150"/>
      <c r="R554" s="150"/>
      <c r="S554" s="150"/>
      <c r="T554" s="150"/>
      <c r="U554" s="150"/>
      <c r="V554" s="150"/>
      <c r="W554" s="150"/>
      <c r="X554" s="150"/>
      <c r="Y554" s="150"/>
      <c r="Z554" s="150"/>
      <c r="AA554" s="150"/>
      <c r="AB554" s="150"/>
      <c r="AC554" s="150"/>
      <c r="AD554" s="150"/>
      <c r="AE554" s="150"/>
    </row>
    <row r="555" spans="1:31" ht="15">
      <c r="A555" s="150"/>
      <c r="B555" s="150"/>
      <c r="C555" s="150"/>
      <c r="D555" s="150"/>
      <c r="E555" s="150"/>
      <c r="F555" s="150"/>
      <c r="G555" s="583"/>
      <c r="H555" s="583"/>
      <c r="I555" s="583"/>
      <c r="J555" s="1767"/>
      <c r="K555" s="1767"/>
      <c r="L555" s="150"/>
      <c r="M555" s="583"/>
      <c r="N555" s="583"/>
      <c r="O555" s="150"/>
      <c r="P555" s="150"/>
      <c r="Q555" s="150"/>
      <c r="R555" s="150"/>
      <c r="S555" s="150"/>
      <c r="T555" s="150"/>
      <c r="U555" s="150"/>
      <c r="V555" s="150"/>
      <c r="W555" s="150"/>
      <c r="X555" s="150"/>
      <c r="Y555" s="150"/>
      <c r="Z555" s="150"/>
      <c r="AA555" s="150"/>
      <c r="AB555" s="150"/>
      <c r="AC555" s="150"/>
      <c r="AD555" s="150"/>
      <c r="AE555" s="150"/>
    </row>
    <row r="556" spans="1:31" ht="15">
      <c r="A556" s="150"/>
      <c r="B556" s="150"/>
      <c r="C556" s="150"/>
      <c r="D556" s="150"/>
      <c r="E556" s="150"/>
      <c r="F556" s="150"/>
      <c r="G556" s="583"/>
      <c r="H556" s="583"/>
      <c r="I556" s="583"/>
      <c r="J556" s="1767"/>
      <c r="K556" s="1767"/>
      <c r="L556" s="150"/>
      <c r="M556" s="583"/>
      <c r="N556" s="583"/>
      <c r="O556" s="150"/>
      <c r="P556" s="150"/>
      <c r="Q556" s="150"/>
      <c r="R556" s="150"/>
      <c r="S556" s="150"/>
      <c r="T556" s="150"/>
      <c r="U556" s="150"/>
      <c r="V556" s="150"/>
      <c r="W556" s="150"/>
      <c r="X556" s="150"/>
      <c r="Y556" s="150"/>
      <c r="Z556" s="150"/>
      <c r="AA556" s="150"/>
      <c r="AB556" s="150"/>
      <c r="AC556" s="150"/>
      <c r="AD556" s="150"/>
      <c r="AE556" s="150"/>
    </row>
    <row r="557" spans="1:31" ht="15">
      <c r="A557" s="150"/>
      <c r="B557" s="150"/>
      <c r="C557" s="150"/>
      <c r="D557" s="150"/>
      <c r="E557" s="150"/>
      <c r="F557" s="150"/>
      <c r="G557" s="583"/>
      <c r="H557" s="583"/>
      <c r="I557" s="583"/>
      <c r="J557" s="1767"/>
      <c r="K557" s="1767"/>
      <c r="L557" s="150"/>
      <c r="M557" s="583"/>
      <c r="N557" s="583"/>
      <c r="O557" s="150"/>
      <c r="P557" s="150"/>
      <c r="Q557" s="150"/>
      <c r="R557" s="150"/>
      <c r="S557" s="150"/>
      <c r="T557" s="150"/>
      <c r="U557" s="150"/>
      <c r="V557" s="150"/>
      <c r="W557" s="150"/>
      <c r="X557" s="150"/>
      <c r="Y557" s="150"/>
      <c r="Z557" s="150"/>
      <c r="AA557" s="150"/>
      <c r="AB557" s="150"/>
      <c r="AC557" s="150"/>
      <c r="AD557" s="150"/>
      <c r="AE557" s="150"/>
    </row>
    <row r="558" spans="1:31" ht="15">
      <c r="A558" s="150"/>
      <c r="B558" s="150"/>
      <c r="C558" s="150"/>
      <c r="D558" s="150"/>
      <c r="E558" s="150"/>
      <c r="F558" s="150"/>
      <c r="G558" s="583"/>
      <c r="H558" s="583"/>
      <c r="I558" s="583"/>
      <c r="J558" s="1767"/>
      <c r="K558" s="1767"/>
      <c r="L558" s="150"/>
      <c r="M558" s="583"/>
      <c r="N558" s="583"/>
      <c r="O558" s="150"/>
      <c r="P558" s="150"/>
      <c r="Q558" s="150"/>
      <c r="R558" s="150"/>
      <c r="S558" s="150"/>
      <c r="T558" s="150"/>
      <c r="U558" s="150"/>
      <c r="V558" s="150"/>
      <c r="W558" s="150"/>
      <c r="X558" s="150"/>
      <c r="Y558" s="150"/>
      <c r="Z558" s="150"/>
      <c r="AA558" s="150"/>
      <c r="AB558" s="150"/>
      <c r="AC558" s="150"/>
      <c r="AD558" s="150"/>
      <c r="AE558" s="150"/>
    </row>
    <row r="559" spans="1:31" ht="15">
      <c r="A559" s="150"/>
      <c r="B559" s="150"/>
      <c r="C559" s="150"/>
      <c r="D559" s="150"/>
      <c r="E559" s="150"/>
      <c r="F559" s="150"/>
      <c r="G559" s="583"/>
      <c r="H559" s="583"/>
      <c r="I559" s="583"/>
      <c r="J559" s="1767"/>
      <c r="K559" s="1767"/>
      <c r="L559" s="150"/>
      <c r="M559" s="583"/>
      <c r="N559" s="583"/>
      <c r="O559" s="150"/>
      <c r="P559" s="150"/>
      <c r="Q559" s="150"/>
      <c r="R559" s="150"/>
      <c r="S559" s="150"/>
      <c r="T559" s="150"/>
      <c r="U559" s="150"/>
      <c r="V559" s="150"/>
      <c r="W559" s="150"/>
      <c r="X559" s="150"/>
      <c r="Y559" s="150"/>
      <c r="Z559" s="150"/>
      <c r="AA559" s="150"/>
      <c r="AB559" s="150"/>
      <c r="AC559" s="150"/>
      <c r="AD559" s="150"/>
      <c r="AE559" s="150"/>
    </row>
    <row r="560" spans="1:31" ht="15">
      <c r="A560" s="150"/>
      <c r="B560" s="150"/>
      <c r="C560" s="150"/>
      <c r="D560" s="150"/>
      <c r="E560" s="150"/>
      <c r="F560" s="150"/>
      <c r="G560" s="583"/>
      <c r="H560" s="583"/>
      <c r="I560" s="583"/>
      <c r="J560" s="1767"/>
      <c r="K560" s="1767"/>
      <c r="L560" s="150"/>
      <c r="M560" s="583"/>
      <c r="N560" s="583"/>
      <c r="O560" s="150"/>
      <c r="P560" s="150"/>
      <c r="Q560" s="150"/>
      <c r="R560" s="150"/>
      <c r="S560" s="150"/>
      <c r="T560" s="150"/>
      <c r="U560" s="150"/>
      <c r="V560" s="150"/>
      <c r="W560" s="150"/>
      <c r="X560" s="150"/>
      <c r="Y560" s="150"/>
      <c r="Z560" s="150"/>
      <c r="AA560" s="150"/>
      <c r="AB560" s="150"/>
      <c r="AC560" s="150"/>
      <c r="AD560" s="150"/>
      <c r="AE560" s="150"/>
    </row>
    <row r="561" spans="1:31" ht="15">
      <c r="A561" s="150"/>
      <c r="B561" s="150"/>
      <c r="C561" s="150"/>
      <c r="D561" s="150"/>
      <c r="E561" s="150"/>
      <c r="F561" s="150"/>
      <c r="G561" s="583"/>
      <c r="H561" s="583"/>
      <c r="I561" s="583"/>
      <c r="J561" s="1767"/>
      <c r="K561" s="1767"/>
      <c r="L561" s="150"/>
      <c r="M561" s="583"/>
      <c r="N561" s="583"/>
      <c r="O561" s="150"/>
      <c r="P561" s="150"/>
      <c r="Q561" s="150"/>
      <c r="R561" s="150"/>
      <c r="S561" s="150"/>
      <c r="T561" s="150"/>
      <c r="U561" s="150"/>
      <c r="V561" s="150"/>
      <c r="W561" s="150"/>
      <c r="X561" s="150"/>
      <c r="Y561" s="150"/>
      <c r="Z561" s="150"/>
      <c r="AA561" s="150"/>
      <c r="AB561" s="150"/>
      <c r="AC561" s="150"/>
      <c r="AD561" s="150"/>
      <c r="AE561" s="150"/>
    </row>
    <row r="562" spans="1:31" ht="15">
      <c r="A562" s="150"/>
      <c r="B562" s="150"/>
      <c r="C562" s="150"/>
      <c r="D562" s="150"/>
      <c r="E562" s="150"/>
      <c r="F562" s="150"/>
      <c r="G562" s="583"/>
      <c r="H562" s="583"/>
      <c r="I562" s="583"/>
      <c r="J562" s="1767"/>
      <c r="K562" s="1767"/>
      <c r="L562" s="150"/>
      <c r="M562" s="583"/>
      <c r="N562" s="583"/>
      <c r="O562" s="150"/>
      <c r="P562" s="150"/>
      <c r="Q562" s="150"/>
      <c r="R562" s="150"/>
      <c r="S562" s="150"/>
      <c r="T562" s="150"/>
      <c r="U562" s="150"/>
      <c r="V562" s="150"/>
      <c r="W562" s="150"/>
      <c r="X562" s="150"/>
      <c r="Y562" s="150"/>
      <c r="Z562" s="150"/>
      <c r="AA562" s="150"/>
      <c r="AB562" s="150"/>
      <c r="AC562" s="150"/>
      <c r="AD562" s="150"/>
      <c r="AE562" s="150"/>
    </row>
    <row r="563" spans="1:31" ht="15">
      <c r="A563" s="150"/>
      <c r="B563" s="150"/>
      <c r="C563" s="150"/>
      <c r="D563" s="150"/>
      <c r="E563" s="150"/>
      <c r="F563" s="150"/>
      <c r="G563" s="583"/>
      <c r="H563" s="583"/>
      <c r="I563" s="583"/>
      <c r="J563" s="1767"/>
      <c r="K563" s="1767"/>
      <c r="L563" s="150"/>
      <c r="M563" s="583"/>
      <c r="N563" s="583"/>
      <c r="O563" s="150"/>
      <c r="P563" s="150"/>
      <c r="Q563" s="150"/>
      <c r="R563" s="150"/>
      <c r="S563" s="150"/>
      <c r="T563" s="150"/>
      <c r="U563" s="150"/>
      <c r="V563" s="150"/>
      <c r="W563" s="150"/>
      <c r="X563" s="150"/>
      <c r="Y563" s="150"/>
      <c r="Z563" s="150"/>
      <c r="AA563" s="150"/>
      <c r="AB563" s="150"/>
      <c r="AC563" s="150"/>
      <c r="AD563" s="150"/>
      <c r="AE563" s="150"/>
    </row>
    <row r="564" spans="1:31" ht="15">
      <c r="A564" s="150"/>
      <c r="B564" s="150"/>
      <c r="C564" s="150"/>
      <c r="D564" s="150"/>
      <c r="E564" s="150"/>
      <c r="F564" s="150"/>
      <c r="G564" s="583"/>
      <c r="H564" s="583"/>
      <c r="I564" s="583"/>
      <c r="J564" s="1767"/>
      <c r="K564" s="1767"/>
      <c r="L564" s="150"/>
      <c r="M564" s="583"/>
      <c r="N564" s="583"/>
      <c r="O564" s="150"/>
      <c r="P564" s="150"/>
      <c r="Q564" s="150"/>
      <c r="R564" s="150"/>
      <c r="S564" s="150"/>
      <c r="T564" s="150"/>
      <c r="U564" s="150"/>
      <c r="V564" s="150"/>
      <c r="W564" s="150"/>
      <c r="X564" s="150"/>
      <c r="Y564" s="150"/>
      <c r="Z564" s="150"/>
      <c r="AA564" s="150"/>
      <c r="AB564" s="150"/>
      <c r="AC564" s="150"/>
      <c r="AD564" s="150"/>
      <c r="AE564" s="150"/>
    </row>
    <row r="565" spans="1:31" ht="15">
      <c r="A565" s="150"/>
      <c r="B565" s="150"/>
      <c r="C565" s="150"/>
      <c r="D565" s="150"/>
      <c r="E565" s="150"/>
      <c r="F565" s="150"/>
      <c r="G565" s="583"/>
      <c r="H565" s="583"/>
      <c r="I565" s="583"/>
      <c r="J565" s="1767"/>
      <c r="K565" s="1767"/>
      <c r="L565" s="150"/>
      <c r="M565" s="583"/>
      <c r="N565" s="583"/>
      <c r="O565" s="150"/>
      <c r="P565" s="150"/>
      <c r="Q565" s="150"/>
      <c r="R565" s="150"/>
      <c r="S565" s="150"/>
      <c r="T565" s="150"/>
      <c r="U565" s="150"/>
      <c r="V565" s="150"/>
      <c r="W565" s="150"/>
      <c r="X565" s="150"/>
      <c r="Y565" s="150"/>
      <c r="Z565" s="150"/>
      <c r="AA565" s="150"/>
      <c r="AB565" s="150"/>
      <c r="AC565" s="150"/>
      <c r="AD565" s="150"/>
      <c r="AE565" s="150"/>
    </row>
    <row r="566" spans="1:31" ht="15">
      <c r="A566" s="150"/>
      <c r="B566" s="150"/>
      <c r="C566" s="150"/>
      <c r="D566" s="150"/>
      <c r="E566" s="150"/>
      <c r="F566" s="150"/>
      <c r="G566" s="583"/>
      <c r="H566" s="583"/>
      <c r="I566" s="583"/>
      <c r="J566" s="1767"/>
      <c r="K566" s="1767"/>
      <c r="L566" s="150"/>
      <c r="M566" s="583"/>
      <c r="N566" s="583"/>
      <c r="O566" s="150"/>
      <c r="P566" s="150"/>
      <c r="Q566" s="150"/>
      <c r="R566" s="150"/>
      <c r="S566" s="150"/>
      <c r="T566" s="150"/>
      <c r="U566" s="150"/>
      <c r="V566" s="150"/>
      <c r="W566" s="150"/>
      <c r="X566" s="150"/>
      <c r="Y566" s="150"/>
      <c r="Z566" s="150"/>
      <c r="AA566" s="150"/>
      <c r="AB566" s="150"/>
      <c r="AC566" s="150"/>
      <c r="AD566" s="150"/>
      <c r="AE566" s="150"/>
    </row>
    <row r="567" spans="1:31" ht="15">
      <c r="A567" s="150"/>
      <c r="B567" s="150"/>
      <c r="C567" s="150"/>
      <c r="D567" s="150"/>
      <c r="E567" s="150"/>
      <c r="F567" s="150"/>
      <c r="G567" s="583"/>
      <c r="H567" s="583"/>
      <c r="I567" s="583"/>
      <c r="J567" s="1767"/>
      <c r="K567" s="1767"/>
      <c r="L567" s="150"/>
      <c r="M567" s="583"/>
      <c r="N567" s="583"/>
      <c r="O567" s="150"/>
      <c r="P567" s="150"/>
      <c r="Q567" s="150"/>
      <c r="R567" s="150"/>
      <c r="S567" s="150"/>
      <c r="T567" s="150"/>
      <c r="U567" s="150"/>
      <c r="V567" s="150"/>
      <c r="W567" s="150"/>
      <c r="X567" s="150"/>
      <c r="Y567" s="150"/>
      <c r="Z567" s="150"/>
      <c r="AA567" s="150"/>
      <c r="AB567" s="150"/>
      <c r="AC567" s="150"/>
      <c r="AD567" s="150"/>
      <c r="AE567" s="150"/>
    </row>
    <row r="568" spans="1:31" ht="15">
      <c r="A568" s="150"/>
      <c r="B568" s="150"/>
      <c r="C568" s="150"/>
      <c r="D568" s="150"/>
      <c r="E568" s="150"/>
      <c r="F568" s="150"/>
      <c r="G568" s="583"/>
      <c r="H568" s="583"/>
      <c r="I568" s="583"/>
      <c r="J568" s="1767"/>
      <c r="K568" s="1767"/>
      <c r="L568" s="150"/>
      <c r="M568" s="583"/>
      <c r="N568" s="583"/>
      <c r="O568" s="150"/>
      <c r="P568" s="150"/>
      <c r="Q568" s="150"/>
      <c r="R568" s="150"/>
      <c r="S568" s="150"/>
      <c r="T568" s="150"/>
      <c r="U568" s="150"/>
      <c r="V568" s="150"/>
      <c r="W568" s="150"/>
      <c r="X568" s="150"/>
      <c r="Y568" s="150"/>
      <c r="Z568" s="150"/>
      <c r="AA568" s="150"/>
      <c r="AB568" s="150"/>
      <c r="AC568" s="150"/>
      <c r="AD568" s="150"/>
      <c r="AE568" s="150"/>
    </row>
    <row r="569" spans="1:31" ht="15">
      <c r="A569" s="150"/>
      <c r="B569" s="150"/>
      <c r="C569" s="150"/>
      <c r="D569" s="150"/>
      <c r="E569" s="150"/>
      <c r="F569" s="150"/>
      <c r="G569" s="583"/>
      <c r="H569" s="583"/>
      <c r="I569" s="583"/>
      <c r="J569" s="1767"/>
      <c r="K569" s="1767"/>
      <c r="L569" s="150"/>
      <c r="M569" s="583"/>
      <c r="N569" s="583"/>
      <c r="O569" s="150"/>
      <c r="P569" s="150"/>
      <c r="Q569" s="150"/>
      <c r="R569" s="150"/>
      <c r="S569" s="150"/>
      <c r="T569" s="150"/>
      <c r="U569" s="150"/>
      <c r="V569" s="150"/>
      <c r="W569" s="150"/>
      <c r="X569" s="150"/>
      <c r="Y569" s="150"/>
      <c r="Z569" s="150"/>
      <c r="AA569" s="150"/>
      <c r="AB569" s="150"/>
      <c r="AC569" s="150"/>
      <c r="AD569" s="150"/>
      <c r="AE569" s="150"/>
    </row>
    <row r="570" spans="1:31" ht="15">
      <c r="A570" s="150"/>
      <c r="B570" s="150"/>
      <c r="C570" s="150"/>
      <c r="D570" s="150"/>
      <c r="E570" s="150"/>
      <c r="F570" s="150"/>
      <c r="G570" s="583"/>
      <c r="H570" s="583"/>
      <c r="I570" s="583"/>
      <c r="J570" s="1767"/>
      <c r="K570" s="1767"/>
      <c r="L570" s="150"/>
      <c r="M570" s="583"/>
      <c r="N570" s="583"/>
      <c r="O570" s="150"/>
      <c r="P570" s="150"/>
      <c r="Q570" s="150"/>
      <c r="R570" s="150"/>
      <c r="S570" s="150"/>
      <c r="T570" s="150"/>
      <c r="U570" s="150"/>
      <c r="V570" s="150"/>
      <c r="W570" s="150"/>
      <c r="X570" s="150"/>
      <c r="Y570" s="150"/>
      <c r="Z570" s="150"/>
      <c r="AA570" s="150"/>
      <c r="AB570" s="150"/>
      <c r="AC570" s="150"/>
      <c r="AD570" s="150"/>
      <c r="AE570" s="150"/>
    </row>
    <row r="571" spans="1:31" ht="15">
      <c r="A571" s="150"/>
      <c r="B571" s="150"/>
      <c r="C571" s="150"/>
      <c r="D571" s="150"/>
      <c r="E571" s="150"/>
      <c r="F571" s="150"/>
      <c r="G571" s="583"/>
      <c r="H571" s="583"/>
      <c r="I571" s="583"/>
      <c r="J571" s="1767"/>
      <c r="K571" s="1767"/>
      <c r="L571" s="150"/>
      <c r="M571" s="583"/>
      <c r="N571" s="583"/>
      <c r="O571" s="150"/>
      <c r="P571" s="150"/>
      <c r="Q571" s="150"/>
      <c r="R571" s="150"/>
      <c r="S571" s="150"/>
      <c r="T571" s="150"/>
      <c r="U571" s="150"/>
      <c r="V571" s="150"/>
      <c r="W571" s="150"/>
      <c r="X571" s="150"/>
      <c r="Y571" s="150"/>
      <c r="Z571" s="150"/>
      <c r="AA571" s="150"/>
      <c r="AB571" s="150"/>
      <c r="AC571" s="150"/>
      <c r="AD571" s="150"/>
      <c r="AE571" s="150"/>
    </row>
    <row r="572" spans="1:31" ht="15">
      <c r="A572" s="150"/>
      <c r="B572" s="150"/>
      <c r="C572" s="150"/>
      <c r="D572" s="150"/>
      <c r="E572" s="150"/>
      <c r="F572" s="150"/>
      <c r="G572" s="583"/>
      <c r="H572" s="583"/>
      <c r="I572" s="583"/>
      <c r="J572" s="1767"/>
      <c r="K572" s="1767"/>
      <c r="L572" s="150"/>
      <c r="M572" s="583"/>
      <c r="N572" s="583"/>
      <c r="O572" s="150"/>
      <c r="P572" s="150"/>
      <c r="Q572" s="150"/>
      <c r="R572" s="150"/>
      <c r="S572" s="150"/>
      <c r="T572" s="150"/>
      <c r="U572" s="150"/>
      <c r="V572" s="150"/>
      <c r="W572" s="150"/>
      <c r="X572" s="150"/>
      <c r="Y572" s="150"/>
      <c r="Z572" s="150"/>
      <c r="AA572" s="150"/>
      <c r="AB572" s="150"/>
      <c r="AC572" s="150"/>
      <c r="AD572" s="150"/>
      <c r="AE572" s="150"/>
    </row>
    <row r="573" spans="1:31" ht="15">
      <c r="A573" s="150"/>
      <c r="B573" s="150"/>
      <c r="C573" s="150"/>
      <c r="D573" s="150"/>
      <c r="E573" s="150"/>
      <c r="F573" s="150"/>
      <c r="G573" s="583"/>
      <c r="H573" s="583"/>
      <c r="I573" s="583"/>
      <c r="J573" s="1767"/>
      <c r="K573" s="1767"/>
      <c r="L573" s="150"/>
      <c r="M573" s="583"/>
      <c r="N573" s="583"/>
      <c r="O573" s="150"/>
      <c r="P573" s="150"/>
      <c r="Q573" s="150"/>
      <c r="R573" s="150"/>
      <c r="S573" s="150"/>
      <c r="T573" s="150"/>
      <c r="U573" s="150"/>
      <c r="V573" s="150"/>
      <c r="W573" s="150"/>
      <c r="X573" s="150"/>
      <c r="Y573" s="150"/>
      <c r="Z573" s="150"/>
      <c r="AA573" s="150"/>
      <c r="AB573" s="150"/>
      <c r="AC573" s="150"/>
      <c r="AD573" s="150"/>
      <c r="AE573" s="150"/>
    </row>
    <row r="574" spans="1:31" ht="15">
      <c r="A574" s="150"/>
      <c r="B574" s="150"/>
      <c r="C574" s="150"/>
      <c r="D574" s="150"/>
      <c r="E574" s="150"/>
      <c r="F574" s="150"/>
      <c r="G574" s="583"/>
      <c r="H574" s="583"/>
      <c r="I574" s="583"/>
      <c r="J574" s="1767"/>
      <c r="K574" s="1767"/>
      <c r="L574" s="150"/>
      <c r="M574" s="583"/>
      <c r="N574" s="583"/>
      <c r="O574" s="150"/>
      <c r="P574" s="150"/>
      <c r="Q574" s="150"/>
      <c r="R574" s="150"/>
      <c r="S574" s="150"/>
      <c r="T574" s="150"/>
      <c r="U574" s="150"/>
      <c r="V574" s="150"/>
      <c r="W574" s="150"/>
      <c r="X574" s="150"/>
      <c r="Y574" s="150"/>
      <c r="Z574" s="150"/>
      <c r="AA574" s="150"/>
      <c r="AB574" s="150"/>
      <c r="AC574" s="150"/>
      <c r="AD574" s="150"/>
      <c r="AE574" s="150"/>
    </row>
    <row r="575" spans="1:31" ht="15">
      <c r="A575" s="150"/>
      <c r="B575" s="150"/>
      <c r="C575" s="150"/>
      <c r="D575" s="150"/>
      <c r="E575" s="150"/>
      <c r="F575" s="150"/>
      <c r="G575" s="583"/>
      <c r="H575" s="583"/>
      <c r="I575" s="583"/>
      <c r="J575" s="1767"/>
      <c r="K575" s="1767"/>
      <c r="L575" s="150"/>
      <c r="M575" s="583"/>
      <c r="N575" s="583"/>
      <c r="O575" s="150"/>
      <c r="P575" s="150"/>
      <c r="Q575" s="150"/>
      <c r="R575" s="150"/>
      <c r="S575" s="150"/>
      <c r="T575" s="150"/>
      <c r="U575" s="150"/>
      <c r="V575" s="150"/>
      <c r="W575" s="150"/>
      <c r="X575" s="150"/>
      <c r="Y575" s="150"/>
      <c r="Z575" s="150"/>
      <c r="AA575" s="150"/>
      <c r="AB575" s="150"/>
      <c r="AC575" s="150"/>
      <c r="AD575" s="150"/>
      <c r="AE575" s="150"/>
    </row>
    <row r="576" spans="1:31" ht="15">
      <c r="A576" s="150"/>
      <c r="B576" s="150"/>
      <c r="C576" s="150"/>
      <c r="D576" s="150"/>
      <c r="E576" s="150"/>
      <c r="F576" s="150"/>
      <c r="G576" s="583"/>
      <c r="H576" s="583"/>
      <c r="I576" s="583"/>
      <c r="J576" s="1767"/>
      <c r="K576" s="1767"/>
      <c r="L576" s="150"/>
      <c r="M576" s="583"/>
      <c r="N576" s="583"/>
      <c r="O576" s="150"/>
      <c r="P576" s="150"/>
      <c r="Q576" s="150"/>
      <c r="R576" s="150"/>
      <c r="S576" s="150"/>
      <c r="T576" s="150"/>
      <c r="U576" s="150"/>
      <c r="V576" s="150"/>
      <c r="W576" s="150"/>
      <c r="X576" s="150"/>
      <c r="Y576" s="150"/>
      <c r="Z576" s="150"/>
      <c r="AA576" s="150"/>
      <c r="AB576" s="150"/>
      <c r="AC576" s="150"/>
      <c r="AD576" s="150"/>
      <c r="AE576" s="150"/>
    </row>
    <row r="577" spans="1:31" ht="15">
      <c r="A577" s="150"/>
      <c r="B577" s="150"/>
      <c r="C577" s="150"/>
      <c r="D577" s="150"/>
      <c r="E577" s="150"/>
      <c r="F577" s="150"/>
      <c r="G577" s="583"/>
      <c r="H577" s="583"/>
      <c r="I577" s="583"/>
      <c r="J577" s="1767"/>
      <c r="K577" s="1767"/>
      <c r="L577" s="150"/>
      <c r="M577" s="583"/>
      <c r="N577" s="583"/>
      <c r="O577" s="150"/>
      <c r="P577" s="150"/>
      <c r="Q577" s="150"/>
      <c r="R577" s="150"/>
      <c r="S577" s="150"/>
      <c r="T577" s="150"/>
      <c r="U577" s="150"/>
      <c r="V577" s="150"/>
      <c r="W577" s="150"/>
      <c r="X577" s="150"/>
      <c r="Y577" s="150"/>
      <c r="Z577" s="150"/>
      <c r="AA577" s="150"/>
      <c r="AB577" s="150"/>
      <c r="AC577" s="150"/>
      <c r="AD577" s="150"/>
      <c r="AE577" s="150"/>
    </row>
    <row r="578" spans="1:31" ht="15">
      <c r="A578" s="150"/>
      <c r="B578" s="150"/>
      <c r="C578" s="150"/>
      <c r="D578" s="150"/>
      <c r="E578" s="150"/>
      <c r="F578" s="150"/>
      <c r="G578" s="583"/>
      <c r="H578" s="583"/>
      <c r="I578" s="583"/>
      <c r="J578" s="1767"/>
      <c r="K578" s="1767"/>
      <c r="L578" s="150"/>
      <c r="M578" s="583"/>
      <c r="N578" s="583"/>
      <c r="O578" s="150"/>
      <c r="P578" s="150"/>
      <c r="Q578" s="150"/>
      <c r="R578" s="150"/>
      <c r="S578" s="150"/>
      <c r="T578" s="150"/>
      <c r="U578" s="150"/>
      <c r="V578" s="150"/>
      <c r="W578" s="150"/>
      <c r="X578" s="150"/>
      <c r="Y578" s="150"/>
      <c r="Z578" s="150"/>
      <c r="AA578" s="150"/>
      <c r="AB578" s="150"/>
      <c r="AC578" s="150"/>
      <c r="AD578" s="150"/>
      <c r="AE578" s="150"/>
    </row>
    <row r="579" spans="1:31" ht="15">
      <c r="A579" s="150"/>
      <c r="B579" s="150"/>
      <c r="C579" s="150"/>
      <c r="D579" s="150"/>
      <c r="E579" s="150"/>
      <c r="F579" s="150"/>
      <c r="G579" s="583"/>
      <c r="H579" s="583"/>
      <c r="I579" s="583"/>
      <c r="J579" s="1767"/>
      <c r="K579" s="1767"/>
      <c r="L579" s="150"/>
      <c r="M579" s="583"/>
      <c r="N579" s="583"/>
      <c r="O579" s="150"/>
      <c r="P579" s="150"/>
      <c r="Q579" s="150"/>
      <c r="R579" s="150"/>
      <c r="S579" s="150"/>
      <c r="T579" s="150"/>
      <c r="U579" s="150"/>
      <c r="V579" s="150"/>
      <c r="W579" s="150"/>
      <c r="X579" s="150"/>
      <c r="Y579" s="150"/>
      <c r="Z579" s="150"/>
      <c r="AA579" s="150"/>
      <c r="AB579" s="150"/>
      <c r="AC579" s="150"/>
      <c r="AD579" s="150"/>
      <c r="AE579" s="150"/>
    </row>
    <row r="580" spans="1:31" ht="15">
      <c r="A580" s="150"/>
      <c r="B580" s="150"/>
      <c r="C580" s="150"/>
      <c r="D580" s="150"/>
      <c r="E580" s="150"/>
      <c r="F580" s="150"/>
      <c r="G580" s="583"/>
      <c r="H580" s="583"/>
      <c r="I580" s="583"/>
      <c r="J580" s="1767"/>
      <c r="K580" s="1767"/>
      <c r="L580" s="150"/>
      <c r="M580" s="583"/>
      <c r="N580" s="583"/>
      <c r="O580" s="150"/>
      <c r="P580" s="150"/>
      <c r="Q580" s="150"/>
      <c r="R580" s="150"/>
      <c r="S580" s="150"/>
      <c r="T580" s="150"/>
      <c r="U580" s="150"/>
      <c r="V580" s="150"/>
      <c r="W580" s="150"/>
      <c r="X580" s="150"/>
      <c r="Y580" s="150"/>
      <c r="Z580" s="150"/>
      <c r="AA580" s="150"/>
      <c r="AB580" s="150"/>
      <c r="AC580" s="150"/>
      <c r="AD580" s="150"/>
      <c r="AE580" s="150"/>
    </row>
    <row r="581" spans="1:31" ht="15">
      <c r="A581" s="150"/>
      <c r="B581" s="150"/>
      <c r="C581" s="150"/>
      <c r="D581" s="150"/>
      <c r="E581" s="150"/>
      <c r="F581" s="150"/>
      <c r="G581" s="583"/>
      <c r="H581" s="583"/>
      <c r="I581" s="583"/>
      <c r="J581" s="1767"/>
      <c r="K581" s="1767"/>
      <c r="L581" s="150"/>
      <c r="M581" s="583"/>
      <c r="N581" s="583"/>
      <c r="O581" s="150"/>
      <c r="P581" s="150"/>
      <c r="Q581" s="150"/>
      <c r="R581" s="150"/>
      <c r="S581" s="150"/>
      <c r="T581" s="150"/>
      <c r="U581" s="150"/>
      <c r="V581" s="150"/>
      <c r="W581" s="150"/>
      <c r="X581" s="150"/>
      <c r="Y581" s="150"/>
      <c r="Z581" s="150"/>
      <c r="AA581" s="150"/>
      <c r="AB581" s="150"/>
      <c r="AC581" s="150"/>
      <c r="AD581" s="150"/>
      <c r="AE581" s="150"/>
    </row>
    <row r="582" spans="1:31" ht="15">
      <c r="A582" s="150"/>
      <c r="B582" s="150"/>
      <c r="C582" s="150"/>
      <c r="D582" s="150"/>
      <c r="E582" s="150"/>
      <c r="F582" s="150"/>
      <c r="G582" s="583"/>
      <c r="H582" s="583"/>
      <c r="I582" s="583"/>
      <c r="J582" s="1767"/>
      <c r="K582" s="1767"/>
      <c r="L582" s="150"/>
      <c r="M582" s="583"/>
      <c r="N582" s="583"/>
      <c r="O582" s="150"/>
      <c r="P582" s="150"/>
      <c r="Q582" s="150"/>
      <c r="R582" s="150"/>
      <c r="S582" s="150"/>
      <c r="T582" s="150"/>
      <c r="U582" s="150"/>
      <c r="V582" s="150"/>
      <c r="W582" s="150"/>
      <c r="X582" s="150"/>
      <c r="Y582" s="150"/>
      <c r="Z582" s="150"/>
      <c r="AA582" s="150"/>
      <c r="AB582" s="150"/>
      <c r="AC582" s="150"/>
      <c r="AD582" s="150"/>
      <c r="AE582" s="150"/>
    </row>
    <row r="583" spans="1:31" ht="15">
      <c r="A583" s="150"/>
      <c r="B583" s="150"/>
      <c r="C583" s="150"/>
      <c r="D583" s="150"/>
      <c r="E583" s="150"/>
      <c r="F583" s="150"/>
      <c r="G583" s="583"/>
      <c r="H583" s="583"/>
      <c r="I583" s="583"/>
      <c r="J583" s="1767"/>
      <c r="K583" s="1767"/>
      <c r="L583" s="150"/>
      <c r="M583" s="583"/>
      <c r="N583" s="583"/>
      <c r="O583" s="150"/>
      <c r="P583" s="150"/>
      <c r="Q583" s="150"/>
      <c r="R583" s="150"/>
      <c r="S583" s="150"/>
      <c r="T583" s="150"/>
      <c r="U583" s="150"/>
      <c r="V583" s="150"/>
      <c r="W583" s="150"/>
      <c r="X583" s="150"/>
      <c r="Y583" s="150"/>
      <c r="Z583" s="150"/>
      <c r="AA583" s="150"/>
      <c r="AB583" s="150"/>
      <c r="AC583" s="150"/>
      <c r="AD583" s="150"/>
      <c r="AE583" s="150"/>
    </row>
    <row r="584" spans="1:31" ht="15">
      <c r="A584" s="150"/>
      <c r="B584" s="150"/>
      <c r="C584" s="150"/>
      <c r="D584" s="150"/>
      <c r="E584" s="150"/>
      <c r="F584" s="150"/>
      <c r="G584" s="583"/>
      <c r="H584" s="583"/>
      <c r="I584" s="583"/>
      <c r="J584" s="1767"/>
      <c r="K584" s="1767"/>
      <c r="L584" s="150"/>
      <c r="M584" s="583"/>
      <c r="N584" s="583"/>
      <c r="O584" s="150"/>
      <c r="P584" s="150"/>
      <c r="Q584" s="150"/>
      <c r="R584" s="150"/>
      <c r="S584" s="150"/>
      <c r="T584" s="150"/>
      <c r="U584" s="150"/>
      <c r="V584" s="150"/>
      <c r="W584" s="150"/>
      <c r="X584" s="150"/>
      <c r="Y584" s="150"/>
      <c r="Z584" s="150"/>
      <c r="AA584" s="150"/>
      <c r="AB584" s="150"/>
      <c r="AC584" s="150"/>
      <c r="AD584" s="150"/>
      <c r="AE584" s="150"/>
    </row>
    <row r="585" spans="1:31" ht="15">
      <c r="A585" s="150"/>
      <c r="B585" s="150"/>
      <c r="C585" s="150"/>
      <c r="D585" s="150"/>
      <c r="E585" s="150"/>
      <c r="F585" s="150"/>
      <c r="G585" s="583"/>
      <c r="H585" s="583"/>
      <c r="I585" s="583"/>
      <c r="J585" s="1767"/>
      <c r="K585" s="1767"/>
      <c r="L585" s="150"/>
      <c r="M585" s="583"/>
      <c r="N585" s="583"/>
      <c r="O585" s="150"/>
      <c r="P585" s="150"/>
      <c r="Q585" s="150"/>
      <c r="R585" s="150"/>
      <c r="S585" s="150"/>
      <c r="T585" s="150"/>
      <c r="U585" s="150"/>
      <c r="V585" s="150"/>
      <c r="W585" s="150"/>
      <c r="X585" s="150"/>
      <c r="Y585" s="150"/>
      <c r="Z585" s="150"/>
      <c r="AA585" s="150"/>
      <c r="AB585" s="150"/>
      <c r="AC585" s="150"/>
      <c r="AD585" s="150"/>
      <c r="AE585" s="150"/>
    </row>
    <row r="586" spans="1:31" ht="15">
      <c r="A586" s="150"/>
      <c r="B586" s="150"/>
      <c r="C586" s="150"/>
      <c r="D586" s="150"/>
      <c r="E586" s="150"/>
      <c r="F586" s="150"/>
      <c r="G586" s="583"/>
      <c r="H586" s="583"/>
      <c r="I586" s="583"/>
      <c r="J586" s="1767"/>
      <c r="K586" s="1767"/>
      <c r="L586" s="150"/>
      <c r="M586" s="583"/>
      <c r="N586" s="583"/>
      <c r="O586" s="150"/>
      <c r="P586" s="150"/>
      <c r="Q586" s="150"/>
      <c r="R586" s="150"/>
      <c r="S586" s="150"/>
      <c r="T586" s="150"/>
      <c r="U586" s="150"/>
      <c r="V586" s="150"/>
      <c r="W586" s="150"/>
      <c r="X586" s="150"/>
      <c r="Y586" s="150"/>
      <c r="Z586" s="150"/>
      <c r="AA586" s="150"/>
      <c r="AB586" s="150"/>
      <c r="AC586" s="150"/>
      <c r="AD586" s="150"/>
      <c r="AE586" s="150"/>
    </row>
    <row r="587" spans="1:31" ht="15">
      <c r="A587" s="150"/>
      <c r="B587" s="150"/>
      <c r="C587" s="150"/>
      <c r="D587" s="150"/>
      <c r="E587" s="150"/>
      <c r="F587" s="150"/>
      <c r="G587" s="583"/>
      <c r="H587" s="583"/>
      <c r="I587" s="583"/>
      <c r="J587" s="1767"/>
      <c r="K587" s="1767"/>
      <c r="L587" s="150"/>
      <c r="M587" s="583"/>
      <c r="N587" s="583"/>
      <c r="O587" s="150"/>
      <c r="P587" s="150"/>
      <c r="Q587" s="150"/>
      <c r="R587" s="150"/>
      <c r="S587" s="150"/>
      <c r="T587" s="150"/>
      <c r="U587" s="150"/>
      <c r="V587" s="150"/>
      <c r="W587" s="150"/>
      <c r="X587" s="150"/>
      <c r="Y587" s="150"/>
      <c r="Z587" s="150"/>
      <c r="AA587" s="150"/>
      <c r="AB587" s="150"/>
      <c r="AC587" s="150"/>
      <c r="AD587" s="150"/>
      <c r="AE587" s="150"/>
    </row>
    <row r="588" spans="1:31" ht="15">
      <c r="A588" s="150"/>
      <c r="B588" s="150"/>
      <c r="C588" s="150"/>
      <c r="D588" s="150"/>
      <c r="E588" s="150"/>
      <c r="F588" s="150"/>
      <c r="G588" s="583"/>
      <c r="H588" s="583"/>
      <c r="I588" s="583"/>
      <c r="J588" s="1767"/>
      <c r="K588" s="1767"/>
      <c r="L588" s="150"/>
      <c r="M588" s="583"/>
      <c r="N588" s="583"/>
      <c r="O588" s="150"/>
      <c r="P588" s="150"/>
      <c r="Q588" s="150"/>
      <c r="R588" s="150"/>
      <c r="S588" s="150"/>
      <c r="T588" s="150"/>
      <c r="U588" s="150"/>
      <c r="V588" s="150"/>
      <c r="W588" s="150"/>
      <c r="X588" s="150"/>
      <c r="Y588" s="150"/>
      <c r="Z588" s="150"/>
      <c r="AA588" s="150"/>
      <c r="AB588" s="150"/>
      <c r="AC588" s="150"/>
      <c r="AD588" s="150"/>
      <c r="AE588" s="150"/>
    </row>
    <row r="589" spans="1:31" ht="15">
      <c r="A589" s="150"/>
      <c r="B589" s="150"/>
      <c r="C589" s="150"/>
      <c r="D589" s="150"/>
      <c r="E589" s="150"/>
      <c r="F589" s="150"/>
      <c r="G589" s="583"/>
      <c r="H589" s="583"/>
      <c r="I589" s="583"/>
      <c r="J589" s="1767"/>
      <c r="K589" s="1767"/>
      <c r="L589" s="150"/>
      <c r="M589" s="583"/>
      <c r="N589" s="583"/>
      <c r="O589" s="150"/>
      <c r="P589" s="150"/>
      <c r="Q589" s="150"/>
      <c r="R589" s="150"/>
      <c r="S589" s="150"/>
      <c r="T589" s="150"/>
      <c r="U589" s="150"/>
      <c r="V589" s="150"/>
      <c r="W589" s="150"/>
      <c r="X589" s="150"/>
      <c r="Y589" s="150"/>
      <c r="Z589" s="150"/>
      <c r="AA589" s="150"/>
      <c r="AB589" s="150"/>
      <c r="AC589" s="150"/>
      <c r="AD589" s="150"/>
      <c r="AE589" s="150"/>
    </row>
    <row r="590" spans="1:31" ht="15">
      <c r="A590" s="150"/>
      <c r="B590" s="150"/>
      <c r="C590" s="150"/>
      <c r="D590" s="150"/>
      <c r="E590" s="150"/>
      <c r="F590" s="150"/>
      <c r="G590" s="583"/>
      <c r="H590" s="583"/>
      <c r="I590" s="583"/>
      <c r="J590" s="1767"/>
      <c r="K590" s="1767"/>
      <c r="L590" s="150"/>
      <c r="M590" s="583"/>
      <c r="N590" s="583"/>
      <c r="O590" s="150"/>
      <c r="P590" s="150"/>
      <c r="Q590" s="150"/>
      <c r="R590" s="150"/>
      <c r="S590" s="150"/>
      <c r="T590" s="150"/>
      <c r="U590" s="150"/>
      <c r="V590" s="150"/>
      <c r="W590" s="150"/>
      <c r="X590" s="150"/>
      <c r="Y590" s="150"/>
      <c r="Z590" s="150"/>
      <c r="AA590" s="150"/>
      <c r="AB590" s="150"/>
      <c r="AC590" s="150"/>
      <c r="AD590" s="150"/>
      <c r="AE590" s="150"/>
    </row>
    <row r="591" spans="1:31" ht="15">
      <c r="A591" s="150"/>
      <c r="B591" s="150"/>
      <c r="C591" s="150"/>
      <c r="D591" s="150"/>
      <c r="E591" s="150"/>
      <c r="F591" s="150"/>
      <c r="G591" s="583"/>
      <c r="H591" s="583"/>
      <c r="I591" s="583"/>
      <c r="J591" s="1767"/>
      <c r="K591" s="1767"/>
      <c r="L591" s="150"/>
      <c r="M591" s="583"/>
      <c r="N591" s="583"/>
      <c r="O591" s="150"/>
      <c r="P591" s="150"/>
      <c r="Q591" s="150"/>
      <c r="R591" s="150"/>
      <c r="S591" s="150"/>
      <c r="T591" s="150"/>
      <c r="U591" s="150"/>
      <c r="V591" s="150"/>
      <c r="W591" s="150"/>
      <c r="X591" s="150"/>
      <c r="Y591" s="150"/>
      <c r="Z591" s="150"/>
      <c r="AA591" s="150"/>
      <c r="AB591" s="150"/>
      <c r="AC591" s="150"/>
      <c r="AD591" s="150"/>
      <c r="AE591" s="150"/>
    </row>
    <row r="592" spans="1:31" ht="15">
      <c r="A592" s="150"/>
      <c r="B592" s="150"/>
      <c r="C592" s="150"/>
      <c r="D592" s="150"/>
      <c r="E592" s="150"/>
      <c r="F592" s="150"/>
      <c r="G592" s="583"/>
      <c r="H592" s="583"/>
      <c r="I592" s="583"/>
      <c r="J592" s="1767"/>
      <c r="K592" s="1767"/>
      <c r="L592" s="150"/>
      <c r="M592" s="583"/>
      <c r="N592" s="583"/>
      <c r="O592" s="150"/>
      <c r="P592" s="150"/>
      <c r="Q592" s="150"/>
      <c r="R592" s="150"/>
      <c r="S592" s="150"/>
      <c r="T592" s="150"/>
      <c r="U592" s="150"/>
      <c r="V592" s="150"/>
      <c r="W592" s="150"/>
      <c r="X592" s="150"/>
      <c r="Y592" s="150"/>
      <c r="Z592" s="150"/>
      <c r="AA592" s="150"/>
      <c r="AB592" s="150"/>
      <c r="AC592" s="150"/>
      <c r="AD592" s="150"/>
      <c r="AE592" s="150"/>
    </row>
    <row r="593" spans="1:31" ht="15">
      <c r="A593" s="150"/>
      <c r="B593" s="150"/>
      <c r="C593" s="150"/>
      <c r="D593" s="150"/>
      <c r="E593" s="150"/>
      <c r="F593" s="150"/>
      <c r="G593" s="583"/>
      <c r="H593" s="583"/>
      <c r="I593" s="583"/>
      <c r="J593" s="1767"/>
      <c r="K593" s="1767"/>
      <c r="L593" s="150"/>
      <c r="M593" s="583"/>
      <c r="N593" s="583"/>
      <c r="O593" s="150"/>
      <c r="P593" s="150"/>
      <c r="Q593" s="150"/>
      <c r="R593" s="150"/>
      <c r="S593" s="150"/>
      <c r="T593" s="150"/>
      <c r="U593" s="150"/>
      <c r="V593" s="150"/>
      <c r="W593" s="150"/>
      <c r="X593" s="150"/>
      <c r="Y593" s="150"/>
      <c r="Z593" s="150"/>
      <c r="AA593" s="150"/>
      <c r="AB593" s="150"/>
      <c r="AC593" s="150"/>
      <c r="AD593" s="150"/>
      <c r="AE593" s="150"/>
    </row>
    <row r="594" spans="1:31" ht="15">
      <c r="A594" s="150"/>
      <c r="B594" s="150"/>
      <c r="C594" s="150"/>
      <c r="D594" s="150"/>
      <c r="E594" s="150"/>
      <c r="F594" s="150"/>
      <c r="G594" s="583"/>
      <c r="H594" s="583"/>
      <c r="I594" s="583"/>
      <c r="J594" s="1767"/>
      <c r="K594" s="1767"/>
      <c r="L594" s="150"/>
      <c r="M594" s="583"/>
      <c r="N594" s="583"/>
      <c r="O594" s="150"/>
      <c r="P594" s="150"/>
      <c r="Q594" s="150"/>
      <c r="R594" s="150"/>
      <c r="S594" s="150"/>
      <c r="T594" s="150"/>
      <c r="U594" s="150"/>
      <c r="V594" s="150"/>
      <c r="W594" s="150"/>
      <c r="X594" s="150"/>
      <c r="Y594" s="150"/>
      <c r="Z594" s="150"/>
      <c r="AA594" s="150"/>
      <c r="AB594" s="150"/>
      <c r="AC594" s="150"/>
      <c r="AD594" s="150"/>
      <c r="AE594" s="150"/>
    </row>
    <row r="595" spans="1:31" ht="15">
      <c r="A595" s="150"/>
      <c r="B595" s="150"/>
      <c r="C595" s="150"/>
      <c r="D595" s="150"/>
      <c r="E595" s="150"/>
      <c r="F595" s="150"/>
      <c r="G595" s="583"/>
      <c r="H595" s="583"/>
      <c r="I595" s="583"/>
      <c r="J595" s="1767"/>
      <c r="K595" s="1767"/>
      <c r="L595" s="150"/>
      <c r="M595" s="583"/>
      <c r="N595" s="583"/>
      <c r="O595" s="150"/>
      <c r="P595" s="150"/>
      <c r="Q595" s="150"/>
      <c r="R595" s="150"/>
      <c r="S595" s="150"/>
      <c r="T595" s="150"/>
      <c r="U595" s="150"/>
      <c r="V595" s="150"/>
      <c r="W595" s="150"/>
      <c r="X595" s="150"/>
      <c r="Y595" s="150"/>
      <c r="Z595" s="150"/>
      <c r="AA595" s="150"/>
      <c r="AB595" s="150"/>
      <c r="AC595" s="150"/>
      <c r="AD595" s="150"/>
      <c r="AE595" s="150"/>
    </row>
    <row r="596" spans="1:31" ht="15">
      <c r="A596" s="150"/>
      <c r="B596" s="150"/>
      <c r="C596" s="150"/>
      <c r="D596" s="150"/>
      <c r="E596" s="150"/>
      <c r="F596" s="150"/>
      <c r="G596" s="583"/>
      <c r="H596" s="583"/>
      <c r="I596" s="583"/>
      <c r="J596" s="1767"/>
      <c r="K596" s="1767"/>
      <c r="L596" s="150"/>
      <c r="M596" s="583"/>
      <c r="N596" s="583"/>
      <c r="O596" s="150"/>
      <c r="P596" s="150"/>
      <c r="Q596" s="150"/>
      <c r="R596" s="150"/>
      <c r="S596" s="150"/>
      <c r="T596" s="150"/>
      <c r="U596" s="150"/>
      <c r="V596" s="150"/>
      <c r="W596" s="150"/>
      <c r="X596" s="150"/>
      <c r="Y596" s="150"/>
      <c r="Z596" s="150"/>
      <c r="AA596" s="150"/>
      <c r="AB596" s="150"/>
      <c r="AC596" s="150"/>
      <c r="AD596" s="150"/>
      <c r="AE596" s="150"/>
    </row>
    <row r="597" spans="1:31" ht="15">
      <c r="A597" s="150"/>
      <c r="B597" s="150"/>
      <c r="C597" s="150"/>
      <c r="D597" s="150"/>
      <c r="E597" s="150"/>
      <c r="F597" s="150"/>
      <c r="G597" s="583"/>
      <c r="H597" s="583"/>
      <c r="I597" s="583"/>
      <c r="J597" s="1767"/>
      <c r="K597" s="1767"/>
      <c r="L597" s="150"/>
      <c r="M597" s="583"/>
      <c r="N597" s="583"/>
      <c r="O597" s="150"/>
      <c r="P597" s="150"/>
      <c r="Q597" s="150"/>
      <c r="R597" s="150"/>
      <c r="S597" s="150"/>
      <c r="T597" s="150"/>
      <c r="U597" s="150"/>
      <c r="V597" s="150"/>
      <c r="W597" s="150"/>
      <c r="X597" s="150"/>
      <c r="Y597" s="150"/>
      <c r="Z597" s="150"/>
      <c r="AA597" s="150"/>
      <c r="AB597" s="150"/>
      <c r="AC597" s="150"/>
      <c r="AD597" s="150"/>
      <c r="AE597" s="150"/>
    </row>
    <row r="598" spans="1:31" ht="15">
      <c r="A598" s="150"/>
      <c r="B598" s="150"/>
      <c r="C598" s="150"/>
      <c r="D598" s="150"/>
      <c r="E598" s="150"/>
      <c r="F598" s="150"/>
      <c r="G598" s="583"/>
      <c r="H598" s="583"/>
      <c r="I598" s="583"/>
      <c r="J598" s="1767"/>
      <c r="K598" s="1767"/>
      <c r="L598" s="150"/>
      <c r="M598" s="583"/>
      <c r="N598" s="583"/>
      <c r="O598" s="150"/>
      <c r="P598" s="150"/>
      <c r="Q598" s="150"/>
      <c r="R598" s="150"/>
      <c r="S598" s="150"/>
      <c r="T598" s="150"/>
      <c r="U598" s="150"/>
      <c r="V598" s="150"/>
      <c r="W598" s="150"/>
      <c r="X598" s="150"/>
      <c r="Y598" s="150"/>
      <c r="Z598" s="150"/>
      <c r="AA598" s="150"/>
      <c r="AB598" s="150"/>
      <c r="AC598" s="150"/>
      <c r="AD598" s="150"/>
      <c r="AE598" s="150"/>
    </row>
    <row r="599" spans="1:31" ht="15">
      <c r="A599" s="150"/>
      <c r="B599" s="150"/>
      <c r="C599" s="150"/>
      <c r="D599" s="150"/>
      <c r="E599" s="150"/>
      <c r="F599" s="150"/>
      <c r="G599" s="583"/>
      <c r="H599" s="583"/>
      <c r="I599" s="583"/>
      <c r="J599" s="1767"/>
      <c r="K599" s="1767"/>
      <c r="L599" s="150"/>
      <c r="M599" s="583"/>
      <c r="N599" s="583"/>
      <c r="O599" s="150"/>
      <c r="P599" s="150"/>
      <c r="Q599" s="150"/>
      <c r="R599" s="150"/>
      <c r="S599" s="150"/>
      <c r="T599" s="150"/>
      <c r="U599" s="150"/>
      <c r="V599" s="150"/>
      <c r="W599" s="150"/>
      <c r="X599" s="150"/>
      <c r="Y599" s="150"/>
      <c r="Z599" s="150"/>
      <c r="AA599" s="150"/>
      <c r="AB599" s="150"/>
      <c r="AC599" s="150"/>
      <c r="AD599" s="150"/>
      <c r="AE599" s="150"/>
    </row>
    <row r="600" spans="1:31" ht="15">
      <c r="A600" s="150"/>
      <c r="B600" s="150"/>
      <c r="C600" s="150"/>
      <c r="D600" s="150"/>
      <c r="E600" s="150"/>
      <c r="F600" s="150"/>
      <c r="G600" s="583"/>
      <c r="H600" s="583"/>
      <c r="I600" s="583"/>
      <c r="J600" s="1767"/>
      <c r="K600" s="1767"/>
      <c r="L600" s="150"/>
      <c r="M600" s="583"/>
      <c r="N600" s="583"/>
      <c r="O600" s="150"/>
      <c r="P600" s="150"/>
      <c r="Q600" s="150"/>
      <c r="R600" s="150"/>
      <c r="S600" s="150"/>
      <c r="T600" s="150"/>
      <c r="U600" s="150"/>
      <c r="V600" s="150"/>
      <c r="W600" s="150"/>
      <c r="X600" s="150"/>
      <c r="Y600" s="150"/>
      <c r="Z600" s="150"/>
      <c r="AA600" s="150"/>
      <c r="AB600" s="150"/>
      <c r="AC600" s="150"/>
      <c r="AD600" s="150"/>
      <c r="AE600" s="150"/>
    </row>
    <row r="601" spans="1:31" ht="15">
      <c r="A601" s="150"/>
      <c r="B601" s="150"/>
      <c r="C601" s="150"/>
      <c r="D601" s="150"/>
      <c r="E601" s="150"/>
      <c r="F601" s="150"/>
      <c r="G601" s="583"/>
      <c r="H601" s="583"/>
      <c r="I601" s="583"/>
      <c r="J601" s="1767"/>
      <c r="K601" s="1767"/>
      <c r="L601" s="150"/>
      <c r="M601" s="583"/>
      <c r="N601" s="583"/>
      <c r="O601" s="150"/>
      <c r="P601" s="150"/>
      <c r="Q601" s="150"/>
      <c r="R601" s="150"/>
      <c r="S601" s="150"/>
      <c r="T601" s="150"/>
      <c r="U601" s="150"/>
      <c r="V601" s="150"/>
      <c r="W601" s="150"/>
      <c r="X601" s="150"/>
      <c r="Y601" s="150"/>
      <c r="Z601" s="150"/>
      <c r="AA601" s="150"/>
      <c r="AB601" s="150"/>
      <c r="AC601" s="150"/>
      <c r="AD601" s="150"/>
      <c r="AE601" s="150"/>
    </row>
    <row r="602" spans="1:31" ht="15">
      <c r="A602" s="150"/>
      <c r="B602" s="150"/>
      <c r="C602" s="150"/>
      <c r="D602" s="150"/>
      <c r="E602" s="150"/>
      <c r="F602" s="150"/>
      <c r="G602" s="583"/>
      <c r="H602" s="583"/>
      <c r="I602" s="583"/>
      <c r="J602" s="1767"/>
      <c r="K602" s="1767"/>
      <c r="L602" s="150"/>
      <c r="M602" s="583"/>
      <c r="N602" s="583"/>
      <c r="O602" s="150"/>
      <c r="P602" s="150"/>
      <c r="Q602" s="150"/>
      <c r="R602" s="150"/>
      <c r="S602" s="150"/>
      <c r="T602" s="150"/>
      <c r="U602" s="150"/>
      <c r="V602" s="150"/>
      <c r="W602" s="150"/>
      <c r="X602" s="150"/>
      <c r="Y602" s="150"/>
      <c r="Z602" s="150"/>
      <c r="AA602" s="150"/>
      <c r="AB602" s="150"/>
      <c r="AC602" s="150"/>
      <c r="AD602" s="150"/>
      <c r="AE602" s="150"/>
    </row>
    <row r="603" spans="1:31" ht="15">
      <c r="A603" s="150"/>
      <c r="B603" s="150"/>
      <c r="C603" s="150"/>
      <c r="D603" s="150"/>
      <c r="E603" s="150"/>
      <c r="F603" s="150"/>
      <c r="G603" s="583"/>
      <c r="H603" s="583"/>
      <c r="I603" s="583"/>
      <c r="J603" s="1767"/>
      <c r="K603" s="1767"/>
      <c r="L603" s="150"/>
      <c r="M603" s="583"/>
      <c r="N603" s="583"/>
      <c r="O603" s="150"/>
      <c r="P603" s="150"/>
      <c r="Q603" s="150"/>
      <c r="R603" s="150"/>
      <c r="S603" s="150"/>
      <c r="T603" s="150"/>
      <c r="U603" s="150"/>
      <c r="V603" s="150"/>
      <c r="W603" s="150"/>
      <c r="X603" s="150"/>
      <c r="Y603" s="150"/>
      <c r="Z603" s="150"/>
      <c r="AA603" s="150"/>
      <c r="AB603" s="150"/>
      <c r="AC603" s="150"/>
      <c r="AD603" s="150"/>
      <c r="AE603" s="150"/>
    </row>
    <row r="604" spans="1:31" ht="15">
      <c r="A604" s="150"/>
      <c r="B604" s="150"/>
      <c r="C604" s="150"/>
      <c r="D604" s="150"/>
      <c r="E604" s="150"/>
      <c r="F604" s="150"/>
      <c r="G604" s="583"/>
      <c r="H604" s="583"/>
      <c r="I604" s="583"/>
      <c r="J604" s="1767"/>
      <c r="K604" s="1767"/>
      <c r="L604" s="150"/>
      <c r="M604" s="583"/>
      <c r="N604" s="583"/>
      <c r="O604" s="150"/>
      <c r="P604" s="150"/>
      <c r="Q604" s="150"/>
      <c r="R604" s="150"/>
      <c r="S604" s="150"/>
      <c r="T604" s="150"/>
      <c r="U604" s="150"/>
      <c r="V604" s="150"/>
      <c r="W604" s="150"/>
      <c r="X604" s="150"/>
      <c r="Y604" s="150"/>
      <c r="Z604" s="150"/>
      <c r="AA604" s="150"/>
      <c r="AB604" s="150"/>
      <c r="AC604" s="150"/>
      <c r="AD604" s="150"/>
      <c r="AE604" s="150"/>
    </row>
    <row r="605" spans="1:31" ht="15">
      <c r="A605" s="150"/>
      <c r="B605" s="150"/>
      <c r="C605" s="150"/>
      <c r="D605" s="150"/>
      <c r="E605" s="150"/>
      <c r="F605" s="150"/>
      <c r="G605" s="583"/>
      <c r="H605" s="583"/>
      <c r="I605" s="583"/>
      <c r="J605" s="1767"/>
      <c r="K605" s="1767"/>
      <c r="L605" s="150"/>
      <c r="M605" s="583"/>
      <c r="N605" s="583"/>
      <c r="O605" s="150"/>
      <c r="P605" s="150"/>
      <c r="Q605" s="150"/>
      <c r="R605" s="150"/>
      <c r="S605" s="150"/>
      <c r="T605" s="150"/>
      <c r="U605" s="150"/>
      <c r="V605" s="150"/>
      <c r="W605" s="150"/>
      <c r="X605" s="150"/>
      <c r="Y605" s="150"/>
      <c r="Z605" s="150"/>
      <c r="AA605" s="150"/>
      <c r="AB605" s="150"/>
      <c r="AC605" s="150"/>
      <c r="AD605" s="150"/>
      <c r="AE605" s="150"/>
    </row>
    <row r="606" spans="1:31" ht="15">
      <c r="A606" s="150"/>
      <c r="B606" s="150"/>
      <c r="C606" s="150"/>
      <c r="D606" s="150"/>
      <c r="E606" s="150"/>
      <c r="F606" s="150"/>
      <c r="G606" s="583"/>
      <c r="H606" s="583"/>
      <c r="I606" s="583"/>
      <c r="J606" s="1767"/>
      <c r="K606" s="1767"/>
      <c r="L606" s="150"/>
      <c r="M606" s="583"/>
      <c r="N606" s="583"/>
      <c r="O606" s="150"/>
      <c r="P606" s="150"/>
      <c r="Q606" s="150"/>
      <c r="R606" s="150"/>
      <c r="S606" s="150"/>
      <c r="T606" s="150"/>
      <c r="U606" s="150"/>
      <c r="V606" s="150"/>
      <c r="W606" s="150"/>
      <c r="X606" s="150"/>
      <c r="Y606" s="150"/>
      <c r="Z606" s="150"/>
      <c r="AA606" s="150"/>
      <c r="AB606" s="150"/>
      <c r="AC606" s="150"/>
      <c r="AD606" s="150"/>
      <c r="AE606" s="150"/>
    </row>
    <row r="607" spans="1:31" ht="15">
      <c r="A607" s="150"/>
      <c r="B607" s="150"/>
      <c r="C607" s="150"/>
      <c r="D607" s="150"/>
      <c r="E607" s="150"/>
      <c r="F607" s="150"/>
      <c r="G607" s="583"/>
      <c r="H607" s="583"/>
      <c r="I607" s="583"/>
      <c r="J607" s="1767"/>
      <c r="K607" s="1767"/>
      <c r="L607" s="150"/>
      <c r="M607" s="583"/>
      <c r="N607" s="583"/>
      <c r="O607" s="150"/>
      <c r="P607" s="150"/>
      <c r="Q607" s="150"/>
      <c r="R607" s="150"/>
      <c r="S607" s="150"/>
      <c r="T607" s="150"/>
      <c r="U607" s="150"/>
      <c r="V607" s="150"/>
      <c r="W607" s="150"/>
      <c r="X607" s="150"/>
      <c r="Y607" s="150"/>
      <c r="Z607" s="150"/>
      <c r="AA607" s="150"/>
      <c r="AB607" s="150"/>
      <c r="AC607" s="150"/>
      <c r="AD607" s="150"/>
      <c r="AE607" s="150"/>
    </row>
    <row r="608" spans="1:31" ht="15">
      <c r="A608" s="150"/>
      <c r="B608" s="150"/>
      <c r="C608" s="150"/>
      <c r="D608" s="150"/>
      <c r="E608" s="150"/>
      <c r="F608" s="150"/>
      <c r="G608" s="583"/>
      <c r="H608" s="583"/>
      <c r="I608" s="583"/>
      <c r="J608" s="1767"/>
      <c r="K608" s="1767"/>
      <c r="L608" s="150"/>
      <c r="M608" s="583"/>
      <c r="N608" s="583"/>
      <c r="O608" s="150"/>
      <c r="P608" s="150"/>
      <c r="Q608" s="150"/>
      <c r="R608" s="150"/>
      <c r="S608" s="150"/>
      <c r="T608" s="150"/>
      <c r="U608" s="150"/>
      <c r="V608" s="150"/>
      <c r="W608" s="150"/>
      <c r="X608" s="150"/>
      <c r="Y608" s="150"/>
      <c r="Z608" s="150"/>
      <c r="AA608" s="150"/>
      <c r="AB608" s="150"/>
      <c r="AC608" s="150"/>
      <c r="AD608" s="150"/>
      <c r="AE608" s="150"/>
    </row>
    <row r="609" spans="1:31" ht="15">
      <c r="A609" s="150"/>
      <c r="B609" s="150"/>
      <c r="C609" s="150"/>
      <c r="D609" s="150"/>
      <c r="E609" s="150"/>
      <c r="F609" s="150"/>
      <c r="G609" s="583"/>
      <c r="H609" s="583"/>
      <c r="I609" s="583"/>
      <c r="J609" s="1767"/>
      <c r="K609" s="1767"/>
      <c r="L609" s="150"/>
      <c r="M609" s="583"/>
      <c r="N609" s="583"/>
      <c r="O609" s="150"/>
      <c r="P609" s="150"/>
      <c r="Q609" s="150"/>
      <c r="R609" s="150"/>
      <c r="S609" s="150"/>
      <c r="T609" s="150"/>
      <c r="U609" s="150"/>
      <c r="V609" s="150"/>
      <c r="W609" s="150"/>
      <c r="X609" s="150"/>
      <c r="Y609" s="150"/>
      <c r="Z609" s="150"/>
      <c r="AA609" s="150"/>
      <c r="AB609" s="150"/>
      <c r="AC609" s="150"/>
      <c r="AD609" s="150"/>
      <c r="AE609" s="150"/>
    </row>
    <row r="610" spans="1:31" ht="15">
      <c r="A610" s="150"/>
      <c r="B610" s="150"/>
      <c r="C610" s="150"/>
      <c r="D610" s="150"/>
      <c r="E610" s="150"/>
      <c r="F610" s="150"/>
      <c r="G610" s="583"/>
      <c r="H610" s="583"/>
      <c r="I610" s="583"/>
      <c r="J610" s="1767"/>
      <c r="K610" s="1767"/>
      <c r="L610" s="150"/>
      <c r="M610" s="583"/>
      <c r="N610" s="583"/>
      <c r="O610" s="150"/>
      <c r="P610" s="150"/>
      <c r="Q610" s="150"/>
      <c r="R610" s="150"/>
      <c r="S610" s="150"/>
      <c r="T610" s="150"/>
      <c r="U610" s="150"/>
      <c r="V610" s="150"/>
      <c r="W610" s="150"/>
      <c r="X610" s="150"/>
      <c r="Y610" s="150"/>
      <c r="Z610" s="150"/>
      <c r="AA610" s="150"/>
      <c r="AB610" s="150"/>
      <c r="AC610" s="150"/>
      <c r="AD610" s="150"/>
      <c r="AE610" s="150"/>
    </row>
    <row r="611" spans="1:31" ht="15">
      <c r="A611" s="150"/>
      <c r="B611" s="150"/>
      <c r="C611" s="150"/>
      <c r="D611" s="150"/>
      <c r="E611" s="150"/>
      <c r="F611" s="150"/>
      <c r="G611" s="583"/>
      <c r="H611" s="583"/>
      <c r="I611" s="583"/>
      <c r="J611" s="1767"/>
      <c r="K611" s="1767"/>
      <c r="L611" s="150"/>
      <c r="M611" s="583"/>
      <c r="N611" s="583"/>
      <c r="O611" s="150"/>
      <c r="P611" s="150"/>
      <c r="Q611" s="150"/>
      <c r="R611" s="150"/>
      <c r="S611" s="150"/>
      <c r="T611" s="150"/>
      <c r="U611" s="150"/>
      <c r="V611" s="150"/>
      <c r="W611" s="150"/>
      <c r="X611" s="150"/>
      <c r="Y611" s="150"/>
      <c r="Z611" s="150"/>
      <c r="AA611" s="150"/>
      <c r="AB611" s="150"/>
      <c r="AC611" s="150"/>
      <c r="AD611" s="150"/>
      <c r="AE611" s="150"/>
    </row>
    <row r="612" spans="1:31" ht="15">
      <c r="A612" s="150"/>
      <c r="B612" s="150"/>
      <c r="C612" s="150"/>
      <c r="D612" s="150"/>
      <c r="E612" s="150"/>
      <c r="F612" s="150"/>
      <c r="G612" s="583"/>
      <c r="H612" s="583"/>
      <c r="I612" s="583"/>
      <c r="J612" s="1767"/>
      <c r="K612" s="1767"/>
      <c r="L612" s="150"/>
      <c r="M612" s="583"/>
      <c r="N612" s="583"/>
      <c r="O612" s="150"/>
      <c r="P612" s="150"/>
      <c r="Q612" s="150"/>
      <c r="R612" s="150"/>
      <c r="S612" s="150"/>
      <c r="T612" s="150"/>
      <c r="U612" s="150"/>
      <c r="V612" s="150"/>
      <c r="W612" s="150"/>
      <c r="X612" s="150"/>
      <c r="Y612" s="150"/>
      <c r="Z612" s="150"/>
      <c r="AA612" s="150"/>
      <c r="AB612" s="150"/>
      <c r="AC612" s="150"/>
      <c r="AD612" s="150"/>
      <c r="AE612" s="150"/>
    </row>
    <row r="613" spans="1:31" ht="15">
      <c r="A613" s="150"/>
      <c r="B613" s="150"/>
      <c r="C613" s="150"/>
      <c r="D613" s="150"/>
      <c r="E613" s="150"/>
      <c r="F613" s="150"/>
      <c r="G613" s="583"/>
      <c r="H613" s="583"/>
      <c r="I613" s="583"/>
      <c r="J613" s="1767"/>
      <c r="K613" s="1767"/>
      <c r="L613" s="150"/>
      <c r="M613" s="583"/>
      <c r="N613" s="583"/>
      <c r="O613" s="150"/>
      <c r="P613" s="150"/>
      <c r="Q613" s="150"/>
      <c r="R613" s="150"/>
      <c r="S613" s="150"/>
      <c r="T613" s="150"/>
      <c r="U613" s="150"/>
      <c r="V613" s="150"/>
      <c r="W613" s="150"/>
      <c r="X613" s="150"/>
      <c r="Y613" s="150"/>
      <c r="Z613" s="150"/>
      <c r="AA613" s="150"/>
      <c r="AB613" s="150"/>
      <c r="AC613" s="150"/>
      <c r="AD613" s="150"/>
      <c r="AE613" s="150"/>
    </row>
    <row r="614" spans="1:31" ht="15">
      <c r="A614" s="150"/>
      <c r="B614" s="150"/>
      <c r="C614" s="150"/>
      <c r="D614" s="150"/>
      <c r="E614" s="150"/>
      <c r="F614" s="150"/>
      <c r="G614" s="583"/>
      <c r="H614" s="583"/>
      <c r="I614" s="583"/>
      <c r="J614" s="1767"/>
      <c r="K614" s="1767"/>
      <c r="L614" s="150"/>
      <c r="M614" s="583"/>
      <c r="N614" s="583"/>
      <c r="O614" s="150"/>
      <c r="P614" s="150"/>
      <c r="Q614" s="150"/>
      <c r="R614" s="150"/>
      <c r="S614" s="150"/>
      <c r="T614" s="150"/>
      <c r="U614" s="150"/>
      <c r="V614" s="150"/>
      <c r="W614" s="150"/>
      <c r="X614" s="150"/>
      <c r="Y614" s="150"/>
      <c r="Z614" s="150"/>
      <c r="AA614" s="150"/>
      <c r="AB614" s="150"/>
      <c r="AC614" s="150"/>
      <c r="AD614" s="150"/>
      <c r="AE614" s="150"/>
    </row>
    <row r="615" spans="1:31" ht="15">
      <c r="A615" s="150"/>
      <c r="B615" s="150"/>
      <c r="C615" s="150"/>
      <c r="D615" s="150"/>
      <c r="E615" s="150"/>
      <c r="F615" s="150"/>
      <c r="G615" s="583"/>
      <c r="H615" s="583"/>
      <c r="I615" s="583"/>
      <c r="J615" s="1767"/>
      <c r="K615" s="1767"/>
      <c r="L615" s="150"/>
      <c r="M615" s="583"/>
      <c r="N615" s="583"/>
      <c r="O615" s="150"/>
      <c r="P615" s="150"/>
      <c r="Q615" s="150"/>
      <c r="R615" s="150"/>
      <c r="S615" s="150"/>
      <c r="T615" s="150"/>
      <c r="U615" s="150"/>
      <c r="V615" s="150"/>
      <c r="W615" s="150"/>
      <c r="X615" s="150"/>
      <c r="Y615" s="150"/>
      <c r="Z615" s="150"/>
      <c r="AA615" s="150"/>
      <c r="AB615" s="150"/>
      <c r="AC615" s="150"/>
      <c r="AD615" s="150"/>
      <c r="AE615" s="150"/>
    </row>
    <row r="616" spans="1:31" ht="15">
      <c r="A616" s="150"/>
      <c r="B616" s="150"/>
      <c r="C616" s="150"/>
      <c r="D616" s="150"/>
      <c r="E616" s="150"/>
      <c r="F616" s="150"/>
      <c r="G616" s="583"/>
      <c r="H616" s="583"/>
      <c r="I616" s="583"/>
      <c r="J616" s="1767"/>
      <c r="K616" s="1767"/>
      <c r="L616" s="150"/>
      <c r="M616" s="583"/>
      <c r="N616" s="583"/>
      <c r="O616" s="150"/>
      <c r="P616" s="150"/>
      <c r="Q616" s="150"/>
      <c r="R616" s="150"/>
      <c r="S616" s="150"/>
      <c r="T616" s="150"/>
      <c r="U616" s="150"/>
      <c r="V616" s="150"/>
      <c r="W616" s="150"/>
      <c r="X616" s="150"/>
      <c r="Y616" s="150"/>
      <c r="Z616" s="150"/>
      <c r="AA616" s="150"/>
      <c r="AB616" s="150"/>
      <c r="AC616" s="150"/>
      <c r="AD616" s="150"/>
      <c r="AE616" s="150"/>
    </row>
    <row r="617" spans="1:31" ht="15">
      <c r="A617" s="150"/>
      <c r="B617" s="150"/>
      <c r="C617" s="150"/>
      <c r="D617" s="150"/>
      <c r="E617" s="150"/>
      <c r="F617" s="150"/>
      <c r="G617" s="583"/>
      <c r="H617" s="583"/>
      <c r="I617" s="583"/>
      <c r="J617" s="1767"/>
      <c r="K617" s="1767"/>
      <c r="L617" s="150"/>
      <c r="M617" s="583"/>
      <c r="N617" s="583"/>
      <c r="O617" s="150"/>
      <c r="P617" s="150"/>
      <c r="Q617" s="150"/>
      <c r="R617" s="150"/>
      <c r="S617" s="150"/>
      <c r="T617" s="150"/>
      <c r="U617" s="150"/>
      <c r="V617" s="150"/>
      <c r="W617" s="150"/>
      <c r="X617" s="150"/>
      <c r="Y617" s="150"/>
      <c r="Z617" s="150"/>
      <c r="AA617" s="150"/>
      <c r="AB617" s="150"/>
      <c r="AC617" s="150"/>
      <c r="AD617" s="150"/>
      <c r="AE617" s="150"/>
    </row>
    <row r="618" spans="1:31" ht="15">
      <c r="A618" s="150"/>
      <c r="B618" s="150"/>
      <c r="C618" s="150"/>
      <c r="D618" s="150"/>
      <c r="E618" s="150"/>
      <c r="F618" s="150"/>
      <c r="G618" s="583"/>
      <c r="H618" s="583"/>
      <c r="I618" s="583"/>
      <c r="J618" s="1767"/>
      <c r="K618" s="1767"/>
      <c r="L618" s="150"/>
      <c r="M618" s="583"/>
      <c r="N618" s="583"/>
      <c r="O618" s="150"/>
      <c r="P618" s="150"/>
      <c r="Q618" s="150"/>
      <c r="R618" s="150"/>
      <c r="S618" s="150"/>
      <c r="T618" s="150"/>
      <c r="U618" s="150"/>
      <c r="V618" s="150"/>
      <c r="W618" s="150"/>
      <c r="X618" s="150"/>
      <c r="Y618" s="150"/>
      <c r="Z618" s="150"/>
      <c r="AA618" s="150"/>
      <c r="AB618" s="150"/>
      <c r="AC618" s="150"/>
      <c r="AD618" s="150"/>
      <c r="AE618" s="150"/>
    </row>
    <row r="619" spans="1:31" ht="15">
      <c r="A619" s="150"/>
      <c r="B619" s="150"/>
      <c r="C619" s="150"/>
      <c r="D619" s="150"/>
      <c r="E619" s="150"/>
      <c r="F619" s="150"/>
      <c r="G619" s="583"/>
      <c r="H619" s="583"/>
      <c r="I619" s="583"/>
      <c r="J619" s="1767"/>
      <c r="K619" s="1767"/>
      <c r="L619" s="150"/>
      <c r="M619" s="583"/>
      <c r="N619" s="583"/>
      <c r="O619" s="150"/>
      <c r="P619" s="150"/>
      <c r="Q619" s="150"/>
      <c r="R619" s="150"/>
      <c r="S619" s="150"/>
      <c r="T619" s="150"/>
      <c r="U619" s="150"/>
      <c r="V619" s="150"/>
      <c r="W619" s="150"/>
      <c r="X619" s="150"/>
      <c r="Y619" s="150"/>
      <c r="Z619" s="150"/>
      <c r="AA619" s="150"/>
      <c r="AB619" s="150"/>
      <c r="AC619" s="150"/>
      <c r="AD619" s="150"/>
      <c r="AE619" s="150"/>
    </row>
    <row r="620" spans="1:31" ht="15">
      <c r="A620" s="150"/>
      <c r="B620" s="150"/>
      <c r="C620" s="150"/>
      <c r="D620" s="150"/>
      <c r="E620" s="150"/>
      <c r="F620" s="150"/>
      <c r="G620" s="583"/>
      <c r="H620" s="583"/>
      <c r="I620" s="583"/>
      <c r="J620" s="1767"/>
      <c r="K620" s="1767"/>
      <c r="L620" s="150"/>
      <c r="M620" s="583"/>
      <c r="N620" s="583"/>
      <c r="O620" s="150"/>
      <c r="P620" s="150"/>
      <c r="Q620" s="150"/>
      <c r="R620" s="150"/>
      <c r="S620" s="150"/>
      <c r="T620" s="150"/>
      <c r="U620" s="150"/>
      <c r="V620" s="150"/>
      <c r="W620" s="150"/>
      <c r="X620" s="150"/>
      <c r="Y620" s="150"/>
      <c r="Z620" s="150"/>
      <c r="AA620" s="150"/>
      <c r="AB620" s="150"/>
      <c r="AC620" s="150"/>
      <c r="AD620" s="150"/>
      <c r="AE620" s="150"/>
    </row>
    <row r="621" spans="1:31" ht="15">
      <c r="A621" s="150"/>
      <c r="B621" s="150"/>
      <c r="C621" s="150"/>
      <c r="D621" s="150"/>
      <c r="E621" s="150"/>
      <c r="F621" s="150"/>
      <c r="G621" s="583"/>
      <c r="H621" s="583"/>
      <c r="I621" s="583"/>
      <c r="J621" s="1767"/>
      <c r="K621" s="1767"/>
      <c r="L621" s="150"/>
      <c r="M621" s="583"/>
      <c r="N621" s="583"/>
      <c r="O621" s="150"/>
      <c r="P621" s="150"/>
      <c r="Q621" s="150"/>
      <c r="R621" s="150"/>
      <c r="S621" s="150"/>
      <c r="T621" s="150"/>
      <c r="U621" s="150"/>
      <c r="V621" s="150"/>
      <c r="W621" s="150"/>
      <c r="X621" s="150"/>
      <c r="Y621" s="150"/>
      <c r="Z621" s="150"/>
      <c r="AA621" s="150"/>
      <c r="AB621" s="150"/>
      <c r="AC621" s="150"/>
      <c r="AD621" s="150"/>
      <c r="AE621" s="150"/>
    </row>
    <row r="622" spans="1:31" ht="15">
      <c r="A622" s="150"/>
      <c r="B622" s="150"/>
      <c r="C622" s="150"/>
      <c r="D622" s="150"/>
      <c r="E622" s="150"/>
      <c r="F622" s="150"/>
      <c r="G622" s="583"/>
      <c r="H622" s="583"/>
      <c r="I622" s="583"/>
      <c r="J622" s="1767"/>
      <c r="K622" s="1767"/>
      <c r="L622" s="150"/>
      <c r="M622" s="583"/>
      <c r="N622" s="583"/>
      <c r="O622" s="150"/>
      <c r="P622" s="150"/>
      <c r="Q622" s="150"/>
      <c r="R622" s="150"/>
      <c r="S622" s="150"/>
      <c r="T622" s="150"/>
      <c r="U622" s="150"/>
      <c r="V622" s="150"/>
      <c r="W622" s="150"/>
      <c r="X622" s="150"/>
      <c r="Y622" s="150"/>
      <c r="Z622" s="150"/>
      <c r="AA622" s="150"/>
      <c r="AB622" s="150"/>
      <c r="AC622" s="150"/>
      <c r="AD622" s="150"/>
      <c r="AE622" s="150"/>
    </row>
    <row r="623" spans="1:31" ht="15">
      <c r="A623" s="150"/>
      <c r="B623" s="150"/>
      <c r="C623" s="150"/>
      <c r="D623" s="150"/>
      <c r="E623" s="150"/>
      <c r="F623" s="150"/>
      <c r="G623" s="583"/>
      <c r="H623" s="583"/>
      <c r="I623" s="583"/>
      <c r="J623" s="1767"/>
      <c r="K623" s="1767"/>
      <c r="L623" s="150"/>
      <c r="M623" s="583"/>
      <c r="N623" s="583"/>
      <c r="O623" s="150"/>
      <c r="P623" s="150"/>
      <c r="Q623" s="150"/>
      <c r="R623" s="150"/>
      <c r="S623" s="150"/>
      <c r="T623" s="150"/>
      <c r="U623" s="150"/>
      <c r="V623" s="150"/>
      <c r="W623" s="150"/>
      <c r="X623" s="150"/>
      <c r="Y623" s="150"/>
      <c r="Z623" s="150"/>
      <c r="AA623" s="150"/>
      <c r="AB623" s="150"/>
      <c r="AC623" s="150"/>
      <c r="AD623" s="150"/>
      <c r="AE623" s="150"/>
    </row>
    <row r="624" spans="1:31" ht="15">
      <c r="A624" s="150"/>
      <c r="B624" s="150"/>
      <c r="C624" s="150"/>
      <c r="D624" s="150"/>
      <c r="E624" s="150"/>
      <c r="F624" s="150"/>
      <c r="G624" s="583"/>
      <c r="H624" s="583"/>
      <c r="I624" s="583"/>
      <c r="J624" s="1767"/>
      <c r="K624" s="1767"/>
      <c r="L624" s="150"/>
      <c r="M624" s="583"/>
      <c r="N624" s="583"/>
      <c r="O624" s="150"/>
      <c r="P624" s="150"/>
      <c r="Q624" s="150"/>
      <c r="R624" s="150"/>
      <c r="S624" s="150"/>
      <c r="T624" s="150"/>
      <c r="U624" s="150"/>
      <c r="V624" s="150"/>
      <c r="W624" s="150"/>
      <c r="X624" s="150"/>
      <c r="Y624" s="150"/>
      <c r="Z624" s="150"/>
      <c r="AA624" s="150"/>
      <c r="AB624" s="150"/>
      <c r="AC624" s="150"/>
      <c r="AD624" s="150"/>
      <c r="AE624" s="150"/>
    </row>
    <row r="625" spans="1:31" ht="15">
      <c r="A625" s="150"/>
      <c r="B625" s="150"/>
      <c r="C625" s="150"/>
      <c r="D625" s="150"/>
      <c r="E625" s="150"/>
      <c r="F625" s="150"/>
      <c r="G625" s="583"/>
      <c r="H625" s="583"/>
      <c r="I625" s="583"/>
      <c r="J625" s="1767"/>
      <c r="K625" s="1767"/>
      <c r="L625" s="150"/>
      <c r="M625" s="583"/>
      <c r="N625" s="583"/>
      <c r="O625" s="150"/>
      <c r="P625" s="150"/>
      <c r="Q625" s="150"/>
      <c r="R625" s="150"/>
      <c r="S625" s="150"/>
      <c r="T625" s="150"/>
      <c r="U625" s="150"/>
      <c r="V625" s="150"/>
      <c r="W625" s="150"/>
      <c r="X625" s="150"/>
      <c r="Y625" s="150"/>
      <c r="Z625" s="150"/>
      <c r="AA625" s="150"/>
      <c r="AB625" s="150"/>
      <c r="AC625" s="150"/>
      <c r="AD625" s="150"/>
      <c r="AE625" s="150"/>
    </row>
    <row r="626" spans="1:31" ht="15">
      <c r="A626" s="150"/>
      <c r="B626" s="150"/>
      <c r="C626" s="150"/>
      <c r="D626" s="150"/>
      <c r="E626" s="150"/>
      <c r="F626" s="150"/>
      <c r="G626" s="583"/>
      <c r="H626" s="583"/>
      <c r="I626" s="583"/>
      <c r="J626" s="1767"/>
      <c r="K626" s="1767"/>
      <c r="L626" s="150"/>
      <c r="M626" s="583"/>
      <c r="N626" s="583"/>
      <c r="O626" s="150"/>
      <c r="P626" s="150"/>
      <c r="Q626" s="150"/>
      <c r="R626" s="150"/>
      <c r="S626" s="150"/>
      <c r="T626" s="150"/>
      <c r="U626" s="150"/>
      <c r="V626" s="150"/>
      <c r="W626" s="150"/>
      <c r="X626" s="150"/>
      <c r="Y626" s="150"/>
      <c r="Z626" s="150"/>
      <c r="AA626" s="150"/>
      <c r="AB626" s="150"/>
      <c r="AC626" s="150"/>
      <c r="AD626" s="150"/>
      <c r="AE626" s="150"/>
    </row>
    <row r="627" spans="1:31" ht="15">
      <c r="A627" s="150"/>
      <c r="B627" s="150"/>
      <c r="C627" s="150"/>
      <c r="D627" s="150"/>
      <c r="E627" s="150"/>
      <c r="F627" s="150"/>
      <c r="G627" s="583"/>
      <c r="H627" s="583"/>
      <c r="I627" s="583"/>
      <c r="J627" s="1767"/>
      <c r="K627" s="1767"/>
      <c r="L627" s="150"/>
      <c r="M627" s="583"/>
      <c r="N627" s="583"/>
      <c r="O627" s="150"/>
      <c r="P627" s="150"/>
      <c r="Q627" s="150"/>
      <c r="R627" s="150"/>
      <c r="S627" s="150"/>
      <c r="T627" s="150"/>
      <c r="U627" s="150"/>
      <c r="V627" s="150"/>
      <c r="W627" s="150"/>
      <c r="X627" s="150"/>
      <c r="Y627" s="150"/>
      <c r="Z627" s="150"/>
      <c r="AA627" s="150"/>
      <c r="AB627" s="150"/>
      <c r="AC627" s="150"/>
      <c r="AD627" s="150"/>
      <c r="AE627" s="150"/>
    </row>
    <row r="628" spans="1:31" ht="15">
      <c r="A628" s="150"/>
      <c r="B628" s="150"/>
      <c r="C628" s="150"/>
      <c r="D628" s="150"/>
      <c r="E628" s="150"/>
      <c r="F628" s="150"/>
      <c r="G628" s="583"/>
      <c r="H628" s="583"/>
      <c r="I628" s="583"/>
      <c r="J628" s="1767"/>
      <c r="K628" s="1767"/>
      <c r="L628" s="150"/>
      <c r="M628" s="583"/>
      <c r="N628" s="583"/>
      <c r="O628" s="150"/>
      <c r="P628" s="150"/>
      <c r="Q628" s="150"/>
      <c r="R628" s="150"/>
      <c r="S628" s="150"/>
      <c r="T628" s="150"/>
      <c r="U628" s="150"/>
      <c r="V628" s="150"/>
      <c r="W628" s="150"/>
      <c r="X628" s="150"/>
      <c r="Y628" s="150"/>
      <c r="Z628" s="150"/>
      <c r="AA628" s="150"/>
      <c r="AB628" s="150"/>
      <c r="AC628" s="150"/>
      <c r="AD628" s="150"/>
      <c r="AE628" s="150"/>
    </row>
    <row r="629" spans="1:31" ht="15">
      <c r="A629" s="150"/>
      <c r="B629" s="150"/>
      <c r="C629" s="150"/>
      <c r="D629" s="150"/>
      <c r="E629" s="150"/>
      <c r="F629" s="150"/>
      <c r="G629" s="583"/>
      <c r="H629" s="583"/>
      <c r="I629" s="583"/>
      <c r="J629" s="1767"/>
      <c r="K629" s="1767"/>
      <c r="L629" s="150"/>
      <c r="M629" s="583"/>
      <c r="N629" s="583"/>
      <c r="O629" s="150"/>
      <c r="P629" s="150"/>
      <c r="Q629" s="150"/>
      <c r="R629" s="150"/>
      <c r="S629" s="150"/>
      <c r="T629" s="150"/>
      <c r="U629" s="150"/>
      <c r="V629" s="150"/>
      <c r="W629" s="150"/>
      <c r="X629" s="150"/>
      <c r="Y629" s="150"/>
      <c r="Z629" s="150"/>
      <c r="AA629" s="150"/>
      <c r="AB629" s="150"/>
      <c r="AC629" s="150"/>
      <c r="AD629" s="150"/>
      <c r="AE629" s="150"/>
    </row>
    <row r="630" spans="1:31" ht="15">
      <c r="A630" s="150"/>
      <c r="B630" s="150"/>
      <c r="C630" s="150"/>
      <c r="D630" s="150"/>
      <c r="E630" s="150"/>
      <c r="F630" s="150"/>
      <c r="G630" s="583"/>
      <c r="H630" s="583"/>
      <c r="I630" s="583"/>
      <c r="J630" s="1767"/>
      <c r="K630" s="1767"/>
      <c r="L630" s="150"/>
      <c r="M630" s="583"/>
      <c r="N630" s="583"/>
      <c r="O630" s="150"/>
      <c r="P630" s="150"/>
      <c r="Q630" s="150"/>
      <c r="R630" s="150"/>
      <c r="S630" s="150"/>
      <c r="T630" s="150"/>
      <c r="U630" s="150"/>
      <c r="V630" s="150"/>
      <c r="W630" s="150"/>
      <c r="X630" s="150"/>
      <c r="Y630" s="150"/>
      <c r="Z630" s="150"/>
      <c r="AA630" s="150"/>
      <c r="AB630" s="150"/>
      <c r="AC630" s="150"/>
      <c r="AD630" s="150"/>
      <c r="AE630" s="150"/>
    </row>
    <row r="631" spans="1:31" ht="15">
      <c r="A631" s="150"/>
      <c r="B631" s="150"/>
      <c r="C631" s="150"/>
      <c r="D631" s="150"/>
      <c r="E631" s="150"/>
      <c r="F631" s="150"/>
      <c r="G631" s="583"/>
      <c r="H631" s="583"/>
      <c r="I631" s="583"/>
      <c r="J631" s="1767"/>
      <c r="K631" s="1767"/>
      <c r="L631" s="150"/>
      <c r="M631" s="583"/>
      <c r="N631" s="583"/>
      <c r="O631" s="150"/>
      <c r="P631" s="150"/>
      <c r="Q631" s="150"/>
      <c r="R631" s="150"/>
      <c r="S631" s="150"/>
      <c r="T631" s="150"/>
      <c r="U631" s="150"/>
      <c r="V631" s="150"/>
      <c r="W631" s="150"/>
      <c r="X631" s="150"/>
      <c r="Y631" s="150"/>
      <c r="Z631" s="150"/>
      <c r="AA631" s="150"/>
      <c r="AB631" s="150"/>
      <c r="AC631" s="150"/>
      <c r="AD631" s="150"/>
      <c r="AE631" s="150"/>
    </row>
    <row r="632" spans="1:31" ht="15">
      <c r="A632" s="150"/>
      <c r="B632" s="150"/>
      <c r="C632" s="150"/>
      <c r="D632" s="150"/>
      <c r="E632" s="150"/>
      <c r="F632" s="150"/>
      <c r="G632" s="583"/>
      <c r="H632" s="583"/>
      <c r="I632" s="583"/>
      <c r="J632" s="1767"/>
      <c r="K632" s="1767"/>
      <c r="L632" s="150"/>
      <c r="M632" s="583"/>
      <c r="N632" s="583"/>
      <c r="O632" s="150"/>
      <c r="P632" s="150"/>
      <c r="Q632" s="150"/>
      <c r="R632" s="150"/>
      <c r="S632" s="150"/>
      <c r="T632" s="150"/>
      <c r="U632" s="150"/>
      <c r="V632" s="150"/>
      <c r="W632" s="150"/>
      <c r="X632" s="150"/>
      <c r="Y632" s="150"/>
      <c r="Z632" s="150"/>
      <c r="AA632" s="150"/>
      <c r="AB632" s="150"/>
      <c r="AC632" s="150"/>
      <c r="AD632" s="150"/>
      <c r="AE632" s="150"/>
    </row>
    <row r="633" spans="1:31" ht="15">
      <c r="A633" s="150"/>
      <c r="B633" s="150"/>
      <c r="C633" s="150"/>
      <c r="D633" s="150"/>
      <c r="E633" s="150"/>
      <c r="F633" s="150"/>
      <c r="G633" s="583"/>
      <c r="H633" s="583"/>
      <c r="I633" s="583"/>
      <c r="J633" s="1767"/>
      <c r="K633" s="1767"/>
      <c r="L633" s="150"/>
      <c r="M633" s="583"/>
      <c r="N633" s="583"/>
      <c r="O633" s="150"/>
      <c r="P633" s="150"/>
      <c r="Q633" s="150"/>
      <c r="R633" s="150"/>
      <c r="S633" s="150"/>
      <c r="T633" s="150"/>
      <c r="U633" s="150"/>
      <c r="V633" s="150"/>
      <c r="W633" s="150"/>
      <c r="X633" s="150"/>
      <c r="Y633" s="150"/>
      <c r="Z633" s="150"/>
      <c r="AA633" s="150"/>
      <c r="AB633" s="150"/>
      <c r="AC633" s="150"/>
      <c r="AD633" s="150"/>
      <c r="AE633" s="150"/>
    </row>
    <row r="634" spans="1:31" ht="15">
      <c r="A634" s="150"/>
      <c r="B634" s="150"/>
      <c r="C634" s="150"/>
      <c r="D634" s="150"/>
      <c r="E634" s="150"/>
      <c r="F634" s="150"/>
      <c r="G634" s="583"/>
      <c r="H634" s="583"/>
      <c r="I634" s="583"/>
      <c r="J634" s="1767"/>
      <c r="K634" s="1767"/>
      <c r="L634" s="150"/>
      <c r="M634" s="583"/>
      <c r="N634" s="583"/>
      <c r="O634" s="150"/>
      <c r="P634" s="150"/>
      <c r="Q634" s="150"/>
      <c r="R634" s="150"/>
      <c r="S634" s="150"/>
      <c r="T634" s="150"/>
      <c r="U634" s="150"/>
      <c r="V634" s="150"/>
      <c r="W634" s="150"/>
      <c r="X634" s="150"/>
      <c r="Y634" s="150"/>
      <c r="Z634" s="150"/>
      <c r="AA634" s="150"/>
      <c r="AB634" s="150"/>
      <c r="AC634" s="150"/>
      <c r="AD634" s="150"/>
      <c r="AE634" s="150"/>
    </row>
    <row r="635" spans="1:31" ht="15">
      <c r="A635" s="150"/>
      <c r="B635" s="150"/>
      <c r="C635" s="150"/>
      <c r="D635" s="150"/>
      <c r="E635" s="150"/>
      <c r="F635" s="150"/>
      <c r="G635" s="583"/>
      <c r="H635" s="583"/>
      <c r="I635" s="583"/>
      <c r="J635" s="1767"/>
      <c r="K635" s="1767"/>
      <c r="L635" s="150"/>
      <c r="M635" s="583"/>
      <c r="N635" s="583"/>
      <c r="O635" s="150"/>
      <c r="P635" s="150"/>
      <c r="Q635" s="150"/>
      <c r="R635" s="150"/>
      <c r="S635" s="150"/>
      <c r="T635" s="150"/>
      <c r="U635" s="150"/>
      <c r="V635" s="150"/>
      <c r="W635" s="150"/>
      <c r="X635" s="150"/>
      <c r="Y635" s="150"/>
      <c r="Z635" s="150"/>
      <c r="AA635" s="150"/>
      <c r="AB635" s="150"/>
      <c r="AC635" s="150"/>
      <c r="AD635" s="150"/>
      <c r="AE635" s="150"/>
    </row>
    <row r="636" spans="1:31" ht="15">
      <c r="A636" s="150"/>
      <c r="B636" s="150"/>
      <c r="C636" s="150"/>
      <c r="D636" s="150"/>
      <c r="E636" s="150"/>
      <c r="F636" s="150"/>
      <c r="G636" s="583"/>
      <c r="H636" s="583"/>
      <c r="I636" s="583"/>
      <c r="J636" s="1767"/>
      <c r="K636" s="1767"/>
      <c r="L636" s="150"/>
      <c r="M636" s="583"/>
      <c r="N636" s="583"/>
      <c r="O636" s="150"/>
      <c r="P636" s="150"/>
      <c r="Q636" s="150"/>
      <c r="R636" s="150"/>
      <c r="S636" s="150"/>
      <c r="T636" s="150"/>
      <c r="U636" s="150"/>
      <c r="V636" s="150"/>
      <c r="W636" s="150"/>
      <c r="X636" s="150"/>
      <c r="Y636" s="150"/>
      <c r="Z636" s="150"/>
      <c r="AA636" s="150"/>
      <c r="AB636" s="150"/>
      <c r="AC636" s="150"/>
      <c r="AD636" s="150"/>
      <c r="AE636" s="150"/>
    </row>
    <row r="637" spans="1:31" ht="15">
      <c r="A637" s="150"/>
      <c r="B637" s="150"/>
      <c r="C637" s="150"/>
      <c r="D637" s="150"/>
      <c r="E637" s="150"/>
      <c r="F637" s="150"/>
      <c r="G637" s="583"/>
      <c r="H637" s="583"/>
      <c r="I637" s="583"/>
      <c r="J637" s="1767"/>
      <c r="K637" s="1767"/>
      <c r="L637" s="150"/>
      <c r="M637" s="583"/>
      <c r="N637" s="583"/>
      <c r="O637" s="150"/>
      <c r="P637" s="150"/>
      <c r="Q637" s="150"/>
      <c r="R637" s="150"/>
      <c r="S637" s="150"/>
      <c r="T637" s="150"/>
      <c r="U637" s="150"/>
      <c r="V637" s="150"/>
      <c r="W637" s="150"/>
      <c r="X637" s="150"/>
      <c r="Y637" s="150"/>
      <c r="Z637" s="150"/>
      <c r="AA637" s="150"/>
      <c r="AB637" s="150"/>
      <c r="AC637" s="150"/>
      <c r="AD637" s="150"/>
      <c r="AE637" s="150"/>
    </row>
    <row r="638" spans="1:31" ht="15">
      <c r="A638" s="150"/>
      <c r="B638" s="150"/>
      <c r="C638" s="150"/>
      <c r="D638" s="150"/>
      <c r="E638" s="150"/>
      <c r="F638" s="150"/>
      <c r="G638" s="583"/>
      <c r="H638" s="583"/>
      <c r="I638" s="583"/>
      <c r="J638" s="1767"/>
      <c r="K638" s="1767"/>
      <c r="L638" s="150"/>
      <c r="M638" s="583"/>
      <c r="N638" s="583"/>
      <c r="O638" s="150"/>
      <c r="P638" s="150"/>
      <c r="Q638" s="150"/>
      <c r="R638" s="150"/>
      <c r="S638" s="150"/>
      <c r="T638" s="150"/>
      <c r="U638" s="150"/>
      <c r="V638" s="150"/>
      <c r="W638" s="150"/>
      <c r="X638" s="150"/>
      <c r="Y638" s="150"/>
      <c r="Z638" s="150"/>
      <c r="AA638" s="150"/>
      <c r="AB638" s="150"/>
      <c r="AC638" s="150"/>
      <c r="AD638" s="150"/>
      <c r="AE638" s="150"/>
    </row>
    <row r="639" spans="1:31" ht="15">
      <c r="A639" s="150"/>
      <c r="B639" s="150"/>
      <c r="C639" s="150"/>
      <c r="D639" s="150"/>
      <c r="E639" s="150"/>
      <c r="F639" s="150"/>
      <c r="G639" s="583"/>
      <c r="H639" s="583"/>
      <c r="I639" s="583"/>
      <c r="J639" s="1767"/>
      <c r="K639" s="1767"/>
      <c r="L639" s="150"/>
      <c r="M639" s="583"/>
      <c r="N639" s="583"/>
      <c r="O639" s="150"/>
      <c r="P639" s="150"/>
      <c r="Q639" s="150"/>
      <c r="R639" s="150"/>
      <c r="S639" s="150"/>
      <c r="T639" s="150"/>
      <c r="U639" s="150"/>
      <c r="V639" s="150"/>
      <c r="W639" s="150"/>
      <c r="X639" s="150"/>
      <c r="Y639" s="150"/>
      <c r="Z639" s="150"/>
      <c r="AA639" s="150"/>
      <c r="AB639" s="150"/>
      <c r="AC639" s="150"/>
      <c r="AD639" s="150"/>
      <c r="AE639" s="150"/>
    </row>
    <row r="640" spans="1:31" ht="15">
      <c r="A640" s="150"/>
      <c r="B640" s="150"/>
      <c r="C640" s="150"/>
      <c r="D640" s="150"/>
      <c r="E640" s="150"/>
      <c r="F640" s="150"/>
      <c r="G640" s="583"/>
      <c r="H640" s="583"/>
      <c r="I640" s="583"/>
      <c r="J640" s="1767"/>
      <c r="K640" s="1767"/>
      <c r="L640" s="150"/>
      <c r="M640" s="583"/>
      <c r="N640" s="583"/>
      <c r="O640" s="150"/>
      <c r="P640" s="150"/>
      <c r="Q640" s="150"/>
      <c r="R640" s="150"/>
      <c r="S640" s="150"/>
      <c r="T640" s="150"/>
      <c r="U640" s="150"/>
      <c r="V640" s="150"/>
      <c r="W640" s="150"/>
      <c r="X640" s="150"/>
      <c r="Y640" s="150"/>
      <c r="Z640" s="150"/>
      <c r="AA640" s="150"/>
      <c r="AB640" s="150"/>
      <c r="AC640" s="150"/>
      <c r="AD640" s="150"/>
      <c r="AE640" s="150"/>
    </row>
    <row r="641" spans="1:31" ht="15">
      <c r="A641" s="150"/>
      <c r="B641" s="150"/>
      <c r="C641" s="150"/>
      <c r="D641" s="150"/>
      <c r="E641" s="150"/>
      <c r="F641" s="150"/>
      <c r="G641" s="583"/>
      <c r="H641" s="583"/>
      <c r="I641" s="583"/>
      <c r="J641" s="1767"/>
      <c r="K641" s="1767"/>
      <c r="L641" s="150"/>
      <c r="M641" s="583"/>
      <c r="N641" s="583"/>
      <c r="O641" s="150"/>
      <c r="P641" s="150"/>
      <c r="Q641" s="150"/>
      <c r="R641" s="150"/>
      <c r="S641" s="150"/>
      <c r="T641" s="150"/>
      <c r="U641" s="150"/>
      <c r="V641" s="150"/>
      <c r="W641" s="150"/>
      <c r="X641" s="150"/>
      <c r="Y641" s="150"/>
      <c r="Z641" s="150"/>
      <c r="AA641" s="150"/>
      <c r="AB641" s="150"/>
      <c r="AC641" s="150"/>
      <c r="AD641" s="150"/>
      <c r="AE641" s="150"/>
    </row>
    <row r="642" spans="1:31" ht="15">
      <c r="A642" s="150"/>
      <c r="B642" s="150"/>
      <c r="C642" s="150"/>
      <c r="D642" s="150"/>
      <c r="E642" s="150"/>
      <c r="F642" s="150"/>
      <c r="G642" s="583"/>
      <c r="H642" s="583"/>
      <c r="I642" s="583"/>
      <c r="J642" s="1767"/>
      <c r="K642" s="1767"/>
      <c r="L642" s="150"/>
      <c r="M642" s="583"/>
      <c r="N642" s="583"/>
      <c r="O642" s="150"/>
      <c r="P642" s="150"/>
      <c r="Q642" s="150"/>
      <c r="R642" s="150"/>
      <c r="S642" s="150"/>
      <c r="T642" s="150"/>
      <c r="U642" s="150"/>
      <c r="V642" s="150"/>
      <c r="W642" s="150"/>
      <c r="X642" s="150"/>
      <c r="Y642" s="150"/>
      <c r="Z642" s="150"/>
      <c r="AA642" s="150"/>
      <c r="AB642" s="150"/>
      <c r="AC642" s="150"/>
      <c r="AD642" s="150"/>
      <c r="AE642" s="150"/>
    </row>
    <row r="643" spans="1:31" ht="15">
      <c r="A643" s="150"/>
      <c r="B643" s="150"/>
      <c r="C643" s="150"/>
      <c r="D643" s="150"/>
      <c r="E643" s="150"/>
      <c r="F643" s="150"/>
      <c r="G643" s="583"/>
      <c r="H643" s="583"/>
      <c r="I643" s="583"/>
      <c r="J643" s="1767"/>
      <c r="K643" s="1767"/>
      <c r="L643" s="150"/>
      <c r="M643" s="583"/>
      <c r="N643" s="583"/>
      <c r="O643" s="150"/>
      <c r="P643" s="150"/>
      <c r="Q643" s="150"/>
      <c r="R643" s="150"/>
      <c r="S643" s="150"/>
      <c r="T643" s="150"/>
      <c r="U643" s="150"/>
      <c r="V643" s="150"/>
      <c r="W643" s="150"/>
      <c r="X643" s="150"/>
      <c r="Y643" s="150"/>
      <c r="Z643" s="150"/>
      <c r="AA643" s="150"/>
      <c r="AB643" s="150"/>
      <c r="AC643" s="150"/>
      <c r="AD643" s="150"/>
      <c r="AE643" s="150"/>
    </row>
    <row r="644" spans="1:31" ht="15">
      <c r="A644" s="150"/>
      <c r="B644" s="150"/>
      <c r="C644" s="150"/>
      <c r="D644" s="150"/>
      <c r="E644" s="150"/>
      <c r="F644" s="150"/>
      <c r="G644" s="583"/>
      <c r="H644" s="583"/>
      <c r="I644" s="583"/>
      <c r="J644" s="1767"/>
      <c r="K644" s="1767"/>
      <c r="L644" s="150"/>
      <c r="M644" s="583"/>
      <c r="N644" s="583"/>
      <c r="O644" s="150"/>
      <c r="P644" s="150"/>
      <c r="Q644" s="150"/>
      <c r="R644" s="150"/>
      <c r="S644" s="150"/>
      <c r="T644" s="150"/>
      <c r="U644" s="150"/>
      <c r="V644" s="150"/>
      <c r="W644" s="150"/>
      <c r="X644" s="150"/>
      <c r="Y644" s="150"/>
      <c r="Z644" s="150"/>
      <c r="AA644" s="150"/>
      <c r="AB644" s="150"/>
      <c r="AC644" s="150"/>
      <c r="AD644" s="150"/>
      <c r="AE644" s="150"/>
    </row>
    <row r="645" spans="1:31" ht="15">
      <c r="A645" s="150"/>
      <c r="B645" s="150"/>
      <c r="C645" s="150"/>
      <c r="D645" s="150"/>
      <c r="E645" s="150"/>
      <c r="F645" s="150"/>
      <c r="G645" s="583"/>
      <c r="H645" s="583"/>
      <c r="I645" s="583"/>
      <c r="J645" s="1767"/>
      <c r="K645" s="1767"/>
      <c r="L645" s="150"/>
      <c r="M645" s="583"/>
      <c r="N645" s="583"/>
      <c r="O645" s="150"/>
      <c r="P645" s="150"/>
      <c r="Q645" s="150"/>
      <c r="R645" s="150"/>
      <c r="S645" s="150"/>
      <c r="T645" s="150"/>
      <c r="U645" s="150"/>
      <c r="V645" s="150"/>
      <c r="W645" s="150"/>
      <c r="X645" s="150"/>
      <c r="Y645" s="150"/>
      <c r="Z645" s="150"/>
      <c r="AA645" s="150"/>
      <c r="AB645" s="150"/>
      <c r="AC645" s="150"/>
      <c r="AD645" s="150"/>
      <c r="AE645" s="150"/>
    </row>
    <row r="646" spans="1:31" ht="15">
      <c r="A646" s="150"/>
      <c r="B646" s="150"/>
      <c r="C646" s="150"/>
      <c r="D646" s="150"/>
      <c r="E646" s="150"/>
      <c r="F646" s="150"/>
      <c r="G646" s="583"/>
      <c r="H646" s="583"/>
      <c r="I646" s="583"/>
      <c r="J646" s="1767"/>
      <c r="K646" s="1767"/>
      <c r="L646" s="150"/>
      <c r="M646" s="583"/>
      <c r="N646" s="583"/>
      <c r="O646" s="150"/>
      <c r="P646" s="150"/>
      <c r="Q646" s="150"/>
      <c r="R646" s="150"/>
      <c r="S646" s="150"/>
      <c r="T646" s="150"/>
      <c r="U646" s="150"/>
      <c r="V646" s="150"/>
      <c r="W646" s="150"/>
      <c r="X646" s="150"/>
      <c r="Y646" s="150"/>
      <c r="Z646" s="150"/>
      <c r="AA646" s="150"/>
      <c r="AB646" s="150"/>
      <c r="AC646" s="150"/>
      <c r="AD646" s="150"/>
      <c r="AE646" s="150"/>
    </row>
    <row r="647" spans="1:31" ht="15">
      <c r="A647" s="150"/>
      <c r="B647" s="150"/>
      <c r="C647" s="150"/>
      <c r="D647" s="150"/>
      <c r="E647" s="150"/>
      <c r="F647" s="150"/>
      <c r="G647" s="583"/>
      <c r="H647" s="583"/>
      <c r="I647" s="583"/>
      <c r="J647" s="1767"/>
      <c r="K647" s="1767"/>
      <c r="L647" s="150"/>
      <c r="M647" s="583"/>
      <c r="N647" s="583"/>
      <c r="O647" s="150"/>
      <c r="P647" s="150"/>
      <c r="Q647" s="150"/>
      <c r="R647" s="150"/>
      <c r="S647" s="150"/>
      <c r="T647" s="150"/>
      <c r="U647" s="150"/>
      <c r="V647" s="150"/>
      <c r="W647" s="150"/>
      <c r="X647" s="150"/>
      <c r="Y647" s="150"/>
      <c r="Z647" s="150"/>
      <c r="AA647" s="150"/>
      <c r="AB647" s="150"/>
      <c r="AC647" s="150"/>
      <c r="AD647" s="150"/>
      <c r="AE647" s="150"/>
    </row>
    <row r="648" spans="1:31" ht="15">
      <c r="A648" s="150"/>
      <c r="B648" s="150"/>
      <c r="C648" s="150"/>
      <c r="D648" s="150"/>
      <c r="E648" s="150"/>
      <c r="F648" s="150"/>
      <c r="G648" s="583"/>
      <c r="H648" s="583"/>
      <c r="I648" s="583"/>
      <c r="J648" s="1767"/>
      <c r="K648" s="1767"/>
      <c r="L648" s="150"/>
      <c r="M648" s="583"/>
      <c r="N648" s="583"/>
      <c r="O648" s="150"/>
      <c r="P648" s="150"/>
      <c r="Q648" s="150"/>
      <c r="R648" s="150"/>
      <c r="S648" s="150"/>
      <c r="T648" s="150"/>
      <c r="U648" s="150"/>
      <c r="V648" s="150"/>
      <c r="W648" s="150"/>
      <c r="X648" s="150"/>
      <c r="Y648" s="150"/>
      <c r="Z648" s="150"/>
      <c r="AA648" s="150"/>
      <c r="AB648" s="150"/>
      <c r="AC648" s="150"/>
      <c r="AD648" s="150"/>
      <c r="AE648" s="150"/>
    </row>
    <row r="649" spans="1:31" ht="15">
      <c r="A649" s="150"/>
      <c r="B649" s="150"/>
      <c r="C649" s="150"/>
      <c r="D649" s="150"/>
      <c r="E649" s="150"/>
      <c r="F649" s="150"/>
      <c r="G649" s="583"/>
      <c r="H649" s="583"/>
      <c r="I649" s="583"/>
      <c r="J649" s="1767"/>
      <c r="K649" s="1767"/>
      <c r="L649" s="150"/>
      <c r="M649" s="583"/>
      <c r="N649" s="583"/>
      <c r="O649" s="150"/>
      <c r="P649" s="150"/>
      <c r="Q649" s="150"/>
      <c r="R649" s="150"/>
      <c r="S649" s="150"/>
      <c r="T649" s="150"/>
      <c r="U649" s="150"/>
      <c r="V649" s="150"/>
      <c r="W649" s="150"/>
      <c r="X649" s="150"/>
      <c r="Y649" s="150"/>
      <c r="Z649" s="150"/>
      <c r="AA649" s="150"/>
      <c r="AB649" s="150"/>
      <c r="AC649" s="150"/>
      <c r="AD649" s="150"/>
      <c r="AE649" s="150"/>
    </row>
    <row r="650" spans="1:31" ht="15">
      <c r="A650" s="150"/>
      <c r="B650" s="150"/>
      <c r="C650" s="150"/>
      <c r="D650" s="150"/>
      <c r="E650" s="150"/>
      <c r="F650" s="150"/>
      <c r="G650" s="583"/>
      <c r="H650" s="583"/>
      <c r="I650" s="583"/>
      <c r="J650" s="1767"/>
      <c r="K650" s="1767"/>
      <c r="L650" s="150"/>
      <c r="M650" s="583"/>
      <c r="N650" s="583"/>
      <c r="O650" s="150"/>
      <c r="P650" s="150"/>
      <c r="Q650" s="150"/>
      <c r="R650" s="150"/>
      <c r="S650" s="150"/>
      <c r="T650" s="150"/>
      <c r="U650" s="150"/>
      <c r="V650" s="150"/>
      <c r="W650" s="150"/>
      <c r="X650" s="150"/>
      <c r="Y650" s="150"/>
      <c r="Z650" s="150"/>
      <c r="AA650" s="150"/>
      <c r="AB650" s="150"/>
      <c r="AC650" s="150"/>
      <c r="AD650" s="150"/>
      <c r="AE650" s="150"/>
    </row>
    <row r="651" spans="1:31" ht="15">
      <c r="A651" s="150"/>
      <c r="B651" s="150"/>
      <c r="C651" s="150"/>
      <c r="D651" s="150"/>
      <c r="E651" s="150"/>
      <c r="F651" s="150"/>
      <c r="G651" s="583"/>
      <c r="H651" s="583"/>
      <c r="I651" s="583"/>
      <c r="J651" s="1767"/>
      <c r="K651" s="1767"/>
      <c r="L651" s="150"/>
      <c r="M651" s="583"/>
      <c r="N651" s="583"/>
      <c r="O651" s="150"/>
      <c r="P651" s="150"/>
      <c r="Q651" s="150"/>
      <c r="R651" s="150"/>
      <c r="S651" s="150"/>
      <c r="T651" s="150"/>
      <c r="U651" s="150"/>
      <c r="V651" s="150"/>
      <c r="W651" s="150"/>
      <c r="X651" s="150"/>
      <c r="Y651" s="150"/>
      <c r="Z651" s="150"/>
      <c r="AA651" s="150"/>
      <c r="AB651" s="150"/>
      <c r="AC651" s="150"/>
      <c r="AD651" s="150"/>
      <c r="AE651" s="150"/>
    </row>
    <row r="652" spans="1:31" ht="15">
      <c r="A652" s="150"/>
      <c r="B652" s="150"/>
      <c r="C652" s="150"/>
      <c r="D652" s="150"/>
      <c r="E652" s="150"/>
      <c r="F652" s="150"/>
      <c r="G652" s="583"/>
      <c r="H652" s="583"/>
      <c r="I652" s="583"/>
      <c r="J652" s="1767"/>
      <c r="K652" s="1767"/>
      <c r="L652" s="150"/>
      <c r="M652" s="583"/>
      <c r="N652" s="583"/>
      <c r="O652" s="150"/>
      <c r="P652" s="150"/>
      <c r="Q652" s="150"/>
      <c r="R652" s="150"/>
      <c r="S652" s="150"/>
      <c r="T652" s="150"/>
      <c r="U652" s="150"/>
      <c r="V652" s="150"/>
      <c r="W652" s="150"/>
      <c r="X652" s="150"/>
      <c r="Y652" s="150"/>
      <c r="Z652" s="150"/>
      <c r="AA652" s="150"/>
      <c r="AB652" s="150"/>
      <c r="AC652" s="150"/>
      <c r="AD652" s="150"/>
      <c r="AE652" s="150"/>
    </row>
    <row r="653" spans="1:31" ht="15">
      <c r="A653" s="150"/>
      <c r="B653" s="150"/>
      <c r="C653" s="150"/>
      <c r="D653" s="150"/>
      <c r="E653" s="150"/>
      <c r="F653" s="150"/>
      <c r="G653" s="583"/>
      <c r="H653" s="583"/>
      <c r="I653" s="583"/>
      <c r="J653" s="1767"/>
      <c r="K653" s="1767"/>
      <c r="L653" s="150"/>
      <c r="M653" s="583"/>
      <c r="N653" s="583"/>
      <c r="O653" s="150"/>
      <c r="P653" s="150"/>
      <c r="Q653" s="150"/>
      <c r="R653" s="150"/>
      <c r="S653" s="150"/>
      <c r="T653" s="150"/>
      <c r="U653" s="150"/>
      <c r="V653" s="150"/>
      <c r="W653" s="150"/>
      <c r="X653" s="150"/>
      <c r="Y653" s="150"/>
      <c r="Z653" s="150"/>
      <c r="AA653" s="150"/>
      <c r="AB653" s="150"/>
      <c r="AC653" s="150"/>
      <c r="AD653" s="150"/>
      <c r="AE653" s="150"/>
    </row>
    <row r="654" spans="1:31" ht="15">
      <c r="A654" s="150"/>
      <c r="B654" s="150"/>
      <c r="C654" s="150"/>
      <c r="D654" s="150"/>
      <c r="E654" s="150"/>
      <c r="F654" s="150"/>
      <c r="G654" s="583"/>
      <c r="H654" s="583"/>
      <c r="I654" s="583"/>
      <c r="J654" s="1767"/>
      <c r="K654" s="1767"/>
      <c r="L654" s="150"/>
      <c r="M654" s="583"/>
      <c r="N654" s="583"/>
      <c r="O654" s="150"/>
      <c r="P654" s="150"/>
      <c r="Q654" s="150"/>
      <c r="R654" s="150"/>
      <c r="S654" s="150"/>
      <c r="T654" s="150"/>
      <c r="U654" s="150"/>
      <c r="V654" s="150"/>
      <c r="W654" s="150"/>
      <c r="X654" s="150"/>
      <c r="Y654" s="150"/>
      <c r="Z654" s="150"/>
      <c r="AA654" s="150"/>
      <c r="AB654" s="150"/>
      <c r="AC654" s="150"/>
      <c r="AD654" s="150"/>
      <c r="AE654" s="150"/>
    </row>
    <row r="655" spans="1:31" ht="15">
      <c r="A655" s="150"/>
      <c r="B655" s="150"/>
      <c r="C655" s="150"/>
      <c r="D655" s="150"/>
      <c r="E655" s="150"/>
      <c r="F655" s="150"/>
      <c r="G655" s="583"/>
      <c r="H655" s="583"/>
      <c r="I655" s="583"/>
      <c r="J655" s="1767"/>
      <c r="K655" s="1767"/>
      <c r="L655" s="150"/>
      <c r="M655" s="583"/>
      <c r="N655" s="583"/>
      <c r="O655" s="150"/>
      <c r="P655" s="150"/>
      <c r="Q655" s="150"/>
      <c r="R655" s="150"/>
      <c r="S655" s="150"/>
      <c r="T655" s="150"/>
      <c r="U655" s="150"/>
      <c r="V655" s="150"/>
      <c r="W655" s="150"/>
      <c r="X655" s="150"/>
      <c r="Y655" s="150"/>
      <c r="Z655" s="150"/>
      <c r="AA655" s="150"/>
      <c r="AB655" s="150"/>
      <c r="AC655" s="150"/>
      <c r="AD655" s="150"/>
      <c r="AE655" s="150"/>
    </row>
    <row r="656" spans="1:31" ht="15">
      <c r="A656" s="150"/>
      <c r="B656" s="150"/>
      <c r="C656" s="150"/>
      <c r="D656" s="150"/>
      <c r="E656" s="150"/>
      <c r="F656" s="150"/>
      <c r="G656" s="583"/>
      <c r="H656" s="583"/>
      <c r="I656" s="583"/>
      <c r="J656" s="1767"/>
      <c r="K656" s="1767"/>
      <c r="L656" s="150"/>
      <c r="M656" s="583"/>
      <c r="N656" s="583"/>
      <c r="O656" s="150"/>
      <c r="P656" s="150"/>
      <c r="Q656" s="150"/>
      <c r="R656" s="150"/>
      <c r="S656" s="150"/>
      <c r="T656" s="150"/>
      <c r="U656" s="150"/>
      <c r="V656" s="150"/>
      <c r="W656" s="150"/>
      <c r="X656" s="150"/>
      <c r="Y656" s="150"/>
      <c r="Z656" s="150"/>
      <c r="AA656" s="150"/>
      <c r="AB656" s="150"/>
      <c r="AC656" s="150"/>
      <c r="AD656" s="150"/>
      <c r="AE656" s="150"/>
    </row>
    <row r="657" spans="1:31" ht="15">
      <c r="A657" s="150"/>
      <c r="B657" s="150"/>
      <c r="C657" s="150"/>
      <c r="D657" s="150"/>
      <c r="E657" s="150"/>
      <c r="F657" s="150"/>
      <c r="G657" s="583"/>
      <c r="H657" s="583"/>
      <c r="I657" s="583"/>
      <c r="J657" s="1767"/>
      <c r="K657" s="1767"/>
      <c r="L657" s="150"/>
      <c r="M657" s="583"/>
      <c r="N657" s="583"/>
      <c r="O657" s="150"/>
      <c r="P657" s="150"/>
      <c r="Q657" s="150"/>
      <c r="R657" s="150"/>
      <c r="S657" s="150"/>
      <c r="T657" s="150"/>
      <c r="U657" s="150"/>
      <c r="V657" s="150"/>
      <c r="W657" s="150"/>
      <c r="X657" s="150"/>
      <c r="Y657" s="150"/>
      <c r="Z657" s="150"/>
      <c r="AA657" s="150"/>
      <c r="AB657" s="150"/>
      <c r="AC657" s="150"/>
      <c r="AD657" s="150"/>
      <c r="AE657" s="150"/>
    </row>
    <row r="658" spans="1:31" ht="15">
      <c r="A658" s="150"/>
      <c r="B658" s="150"/>
      <c r="C658" s="150"/>
      <c r="D658" s="150"/>
      <c r="E658" s="150"/>
      <c r="F658" s="150"/>
      <c r="G658" s="583"/>
      <c r="H658" s="583"/>
      <c r="I658" s="583"/>
      <c r="J658" s="1767"/>
      <c r="K658" s="1767"/>
      <c r="L658" s="150"/>
      <c r="M658" s="583"/>
      <c r="N658" s="583"/>
      <c r="O658" s="150"/>
      <c r="P658" s="150"/>
      <c r="Q658" s="150"/>
      <c r="R658" s="150"/>
      <c r="S658" s="150"/>
      <c r="T658" s="150"/>
      <c r="U658" s="150"/>
      <c r="V658" s="150"/>
      <c r="W658" s="150"/>
      <c r="X658" s="150"/>
      <c r="Y658" s="150"/>
      <c r="Z658" s="150"/>
      <c r="AA658" s="150"/>
      <c r="AB658" s="150"/>
      <c r="AC658" s="150"/>
      <c r="AD658" s="150"/>
      <c r="AE658" s="150"/>
    </row>
    <row r="659" spans="1:31" ht="15">
      <c r="A659" s="150"/>
      <c r="B659" s="150"/>
      <c r="C659" s="150"/>
      <c r="D659" s="150"/>
      <c r="E659" s="150"/>
      <c r="F659" s="150"/>
      <c r="G659" s="583"/>
      <c r="H659" s="583"/>
      <c r="I659" s="583"/>
      <c r="J659" s="1767"/>
      <c r="K659" s="1767"/>
      <c r="L659" s="150"/>
      <c r="M659" s="583"/>
      <c r="N659" s="583"/>
      <c r="O659" s="150"/>
      <c r="P659" s="150"/>
      <c r="Q659" s="150"/>
      <c r="R659" s="150"/>
      <c r="S659" s="150"/>
      <c r="T659" s="150"/>
      <c r="U659" s="150"/>
      <c r="V659" s="150"/>
      <c r="W659" s="150"/>
      <c r="X659" s="150"/>
      <c r="Y659" s="150"/>
      <c r="Z659" s="150"/>
      <c r="AA659" s="150"/>
      <c r="AB659" s="150"/>
      <c r="AC659" s="150"/>
      <c r="AD659" s="150"/>
      <c r="AE659" s="150"/>
    </row>
    <row r="660" spans="1:31" ht="15">
      <c r="A660" s="150"/>
      <c r="B660" s="150"/>
      <c r="C660" s="150"/>
      <c r="D660" s="150"/>
      <c r="E660" s="150"/>
      <c r="F660" s="150"/>
      <c r="G660" s="583"/>
      <c r="H660" s="583"/>
      <c r="I660" s="583"/>
      <c r="J660" s="1767"/>
      <c r="K660" s="1767"/>
      <c r="L660" s="150"/>
      <c r="M660" s="583"/>
      <c r="N660" s="583"/>
      <c r="O660" s="150"/>
      <c r="P660" s="150"/>
      <c r="Q660" s="150"/>
      <c r="R660" s="150"/>
      <c r="S660" s="150"/>
      <c r="T660" s="150"/>
      <c r="U660" s="150"/>
      <c r="V660" s="150"/>
      <c r="W660" s="150"/>
      <c r="X660" s="150"/>
      <c r="Y660" s="150"/>
      <c r="Z660" s="150"/>
      <c r="AA660" s="150"/>
      <c r="AB660" s="150"/>
      <c r="AC660" s="150"/>
      <c r="AD660" s="150"/>
      <c r="AE660" s="150"/>
    </row>
    <row r="661" spans="1:31" ht="15">
      <c r="A661" s="150"/>
      <c r="B661" s="150"/>
      <c r="C661" s="150"/>
      <c r="D661" s="150"/>
      <c r="E661" s="150"/>
      <c r="F661" s="150"/>
      <c r="G661" s="583"/>
      <c r="H661" s="583"/>
      <c r="I661" s="583"/>
      <c r="J661" s="1767"/>
      <c r="K661" s="1767"/>
      <c r="L661" s="150"/>
      <c r="M661" s="583"/>
      <c r="N661" s="583"/>
      <c r="O661" s="150"/>
      <c r="P661" s="150"/>
      <c r="Q661" s="150"/>
      <c r="R661" s="150"/>
      <c r="S661" s="150"/>
      <c r="T661" s="150"/>
      <c r="U661" s="150"/>
      <c r="V661" s="150"/>
      <c r="W661" s="150"/>
      <c r="X661" s="150"/>
      <c r="Y661" s="150"/>
      <c r="Z661" s="150"/>
      <c r="AA661" s="150"/>
      <c r="AB661" s="150"/>
      <c r="AC661" s="150"/>
      <c r="AD661" s="150"/>
      <c r="AE661" s="150"/>
    </row>
    <row r="662" spans="1:31" ht="15">
      <c r="A662" s="150"/>
      <c r="B662" s="150"/>
      <c r="C662" s="150"/>
      <c r="D662" s="150"/>
      <c r="E662" s="150"/>
      <c r="F662" s="150"/>
      <c r="G662" s="583"/>
      <c r="H662" s="583"/>
      <c r="I662" s="583"/>
      <c r="J662" s="1767"/>
      <c r="K662" s="1767"/>
      <c r="L662" s="150"/>
      <c r="M662" s="583"/>
      <c r="N662" s="583"/>
      <c r="O662" s="150"/>
      <c r="P662" s="150"/>
      <c r="Q662" s="150"/>
      <c r="R662" s="150"/>
      <c r="S662" s="150"/>
      <c r="T662" s="150"/>
      <c r="U662" s="150"/>
      <c r="V662" s="150"/>
      <c r="W662" s="150"/>
      <c r="X662" s="150"/>
      <c r="Y662" s="150"/>
      <c r="Z662" s="150"/>
      <c r="AA662" s="150"/>
      <c r="AB662" s="150"/>
      <c r="AC662" s="150"/>
      <c r="AD662" s="150"/>
      <c r="AE662" s="150"/>
    </row>
    <row r="663" spans="1:31" ht="15">
      <c r="A663" s="150"/>
      <c r="B663" s="150"/>
      <c r="C663" s="150"/>
      <c r="D663" s="150"/>
      <c r="E663" s="150"/>
      <c r="F663" s="150"/>
      <c r="G663" s="583"/>
      <c r="H663" s="583"/>
      <c r="I663" s="583"/>
      <c r="J663" s="1767"/>
      <c r="K663" s="1767"/>
      <c r="L663" s="150"/>
      <c r="M663" s="583"/>
      <c r="N663" s="583"/>
      <c r="O663" s="150"/>
      <c r="P663" s="150"/>
      <c r="Q663" s="150"/>
      <c r="R663" s="150"/>
      <c r="S663" s="150"/>
      <c r="T663" s="150"/>
      <c r="U663" s="150"/>
      <c r="V663" s="150"/>
      <c r="W663" s="150"/>
      <c r="X663" s="150"/>
      <c r="Y663" s="150"/>
      <c r="Z663" s="150"/>
      <c r="AA663" s="150"/>
      <c r="AB663" s="150"/>
      <c r="AC663" s="150"/>
      <c r="AD663" s="150"/>
      <c r="AE663" s="150"/>
    </row>
    <row r="664" spans="1:31" ht="15">
      <c r="A664" s="150"/>
      <c r="B664" s="150"/>
      <c r="C664" s="150"/>
      <c r="D664" s="150"/>
      <c r="E664" s="150"/>
      <c r="F664" s="150"/>
      <c r="G664" s="583"/>
      <c r="H664" s="583"/>
      <c r="I664" s="583"/>
      <c r="J664" s="1767"/>
      <c r="K664" s="1767"/>
      <c r="L664" s="150"/>
      <c r="M664" s="583"/>
      <c r="N664" s="583"/>
      <c r="O664" s="150"/>
      <c r="P664" s="150"/>
      <c r="Q664" s="150"/>
      <c r="R664" s="150"/>
      <c r="S664" s="150"/>
      <c r="T664" s="150"/>
      <c r="U664" s="150"/>
      <c r="V664" s="150"/>
      <c r="W664" s="150"/>
      <c r="X664" s="150"/>
      <c r="Y664" s="150"/>
      <c r="Z664" s="150"/>
      <c r="AA664" s="150"/>
      <c r="AB664" s="150"/>
      <c r="AC664" s="150"/>
      <c r="AD664" s="150"/>
      <c r="AE664" s="150"/>
    </row>
    <row r="665" spans="1:31" ht="15">
      <c r="A665" s="150"/>
      <c r="B665" s="150"/>
      <c r="C665" s="150"/>
      <c r="D665" s="150"/>
      <c r="E665" s="150"/>
      <c r="F665" s="150"/>
      <c r="G665" s="583"/>
      <c r="H665" s="583"/>
      <c r="I665" s="583"/>
      <c r="J665" s="1767"/>
      <c r="K665" s="1767"/>
      <c r="L665" s="150"/>
      <c r="M665" s="583"/>
      <c r="N665" s="583"/>
      <c r="O665" s="150"/>
      <c r="P665" s="150"/>
      <c r="Q665" s="150"/>
      <c r="R665" s="150"/>
      <c r="S665" s="150"/>
      <c r="T665" s="150"/>
      <c r="U665" s="150"/>
      <c r="V665" s="150"/>
      <c r="W665" s="150"/>
      <c r="X665" s="150"/>
      <c r="Y665" s="150"/>
      <c r="Z665" s="150"/>
      <c r="AA665" s="150"/>
      <c r="AB665" s="150"/>
      <c r="AC665" s="150"/>
      <c r="AD665" s="150"/>
      <c r="AE665" s="150"/>
    </row>
    <row r="666" spans="1:31" ht="15">
      <c r="A666" s="150"/>
      <c r="B666" s="150"/>
      <c r="C666" s="150"/>
      <c r="D666" s="150"/>
      <c r="E666" s="150"/>
      <c r="F666" s="150"/>
      <c r="G666" s="583"/>
      <c r="H666" s="583"/>
      <c r="I666" s="583"/>
      <c r="J666" s="1767"/>
      <c r="K666" s="1767"/>
      <c r="L666" s="150"/>
      <c r="M666" s="583"/>
      <c r="N666" s="583"/>
      <c r="O666" s="150"/>
      <c r="P666" s="150"/>
      <c r="Q666" s="150"/>
      <c r="R666" s="150"/>
      <c r="S666" s="150"/>
      <c r="T666" s="150"/>
      <c r="U666" s="150"/>
      <c r="V666" s="150"/>
      <c r="W666" s="150"/>
      <c r="X666" s="150"/>
      <c r="Y666" s="150"/>
      <c r="Z666" s="150"/>
      <c r="AA666" s="150"/>
      <c r="AB666" s="150"/>
      <c r="AC666" s="150"/>
      <c r="AD666" s="150"/>
      <c r="AE666" s="150"/>
    </row>
    <row r="667" spans="1:31" ht="15">
      <c r="A667" s="150"/>
      <c r="B667" s="150"/>
      <c r="C667" s="150"/>
      <c r="D667" s="150"/>
      <c r="E667" s="150"/>
      <c r="F667" s="150"/>
      <c r="G667" s="583"/>
      <c r="H667" s="583"/>
      <c r="I667" s="583"/>
      <c r="J667" s="1767"/>
      <c r="K667" s="1767"/>
      <c r="L667" s="150"/>
      <c r="M667" s="583"/>
      <c r="N667" s="583"/>
      <c r="O667" s="150"/>
      <c r="P667" s="150"/>
      <c r="Q667" s="150"/>
      <c r="R667" s="150"/>
      <c r="S667" s="150"/>
      <c r="T667" s="150"/>
      <c r="U667" s="150"/>
      <c r="V667" s="150"/>
      <c r="W667" s="150"/>
      <c r="X667" s="150"/>
      <c r="Y667" s="150"/>
      <c r="Z667" s="150"/>
      <c r="AA667" s="150"/>
      <c r="AB667" s="150"/>
      <c r="AC667" s="150"/>
      <c r="AD667" s="150"/>
      <c r="AE667" s="150"/>
    </row>
    <row r="668" spans="1:31" ht="15">
      <c r="A668" s="150"/>
      <c r="B668" s="150"/>
      <c r="C668" s="150"/>
      <c r="D668" s="150"/>
      <c r="E668" s="150"/>
      <c r="F668" s="150"/>
      <c r="G668" s="583"/>
      <c r="H668" s="583"/>
      <c r="I668" s="583"/>
      <c r="J668" s="1767"/>
      <c r="K668" s="1767"/>
      <c r="L668" s="150"/>
      <c r="M668" s="583"/>
      <c r="N668" s="583"/>
      <c r="O668" s="150"/>
      <c r="P668" s="150"/>
      <c r="Q668" s="150"/>
      <c r="R668" s="150"/>
      <c r="S668" s="150"/>
      <c r="T668" s="150"/>
      <c r="U668" s="150"/>
      <c r="V668" s="150"/>
      <c r="W668" s="150"/>
      <c r="X668" s="150"/>
      <c r="Y668" s="150"/>
      <c r="Z668" s="150"/>
      <c r="AA668" s="150"/>
      <c r="AB668" s="150"/>
      <c r="AC668" s="150"/>
      <c r="AD668" s="150"/>
      <c r="AE668" s="150"/>
    </row>
    <row r="669" spans="1:31" ht="15">
      <c r="A669" s="150"/>
      <c r="B669" s="150"/>
      <c r="C669" s="150"/>
      <c r="D669" s="150"/>
      <c r="E669" s="150"/>
      <c r="F669" s="150"/>
      <c r="G669" s="583"/>
      <c r="H669" s="583"/>
      <c r="I669" s="583"/>
      <c r="J669" s="1767"/>
      <c r="K669" s="1767"/>
      <c r="L669" s="150"/>
      <c r="M669" s="583"/>
      <c r="N669" s="583"/>
      <c r="O669" s="150"/>
      <c r="P669" s="150"/>
      <c r="Q669" s="150"/>
      <c r="R669" s="150"/>
      <c r="S669" s="150"/>
      <c r="T669" s="150"/>
      <c r="U669" s="150"/>
      <c r="V669" s="150"/>
      <c r="W669" s="150"/>
      <c r="X669" s="150"/>
      <c r="Y669" s="150"/>
      <c r="Z669" s="150"/>
      <c r="AA669" s="150"/>
      <c r="AB669" s="150"/>
      <c r="AC669" s="150"/>
      <c r="AD669" s="150"/>
      <c r="AE669" s="150"/>
    </row>
    <row r="670" spans="1:31" ht="15">
      <c r="A670" s="150"/>
      <c r="B670" s="150"/>
      <c r="C670" s="150"/>
      <c r="D670" s="150"/>
      <c r="E670" s="150"/>
      <c r="F670" s="150"/>
      <c r="G670" s="583"/>
      <c r="H670" s="583"/>
      <c r="I670" s="583"/>
      <c r="J670" s="1767"/>
      <c r="K670" s="1767"/>
      <c r="L670" s="150"/>
      <c r="M670" s="583"/>
      <c r="N670" s="583"/>
      <c r="O670" s="150"/>
      <c r="P670" s="150"/>
      <c r="Q670" s="150"/>
      <c r="R670" s="150"/>
      <c r="S670" s="150"/>
      <c r="T670" s="150"/>
      <c r="U670" s="150"/>
      <c r="V670" s="150"/>
      <c r="W670" s="150"/>
      <c r="X670" s="150"/>
      <c r="Y670" s="150"/>
      <c r="Z670" s="150"/>
      <c r="AA670" s="150"/>
      <c r="AB670" s="150"/>
      <c r="AC670" s="150"/>
      <c r="AD670" s="150"/>
      <c r="AE670" s="150"/>
    </row>
    <row r="671" spans="1:31" ht="15">
      <c r="A671" s="150"/>
      <c r="B671" s="150"/>
      <c r="C671" s="150"/>
      <c r="D671" s="150"/>
      <c r="E671" s="150"/>
      <c r="F671" s="150"/>
      <c r="G671" s="583"/>
      <c r="H671" s="583"/>
      <c r="I671" s="583"/>
      <c r="J671" s="1767"/>
      <c r="K671" s="1767"/>
      <c r="L671" s="150"/>
      <c r="M671" s="583"/>
      <c r="N671" s="583"/>
      <c r="O671" s="150"/>
      <c r="P671" s="150"/>
      <c r="Q671" s="150"/>
      <c r="R671" s="150"/>
      <c r="S671" s="150"/>
      <c r="T671" s="150"/>
      <c r="U671" s="150"/>
      <c r="V671" s="150"/>
      <c r="W671" s="150"/>
      <c r="X671" s="150"/>
      <c r="Y671" s="150"/>
      <c r="Z671" s="150"/>
      <c r="AA671" s="150"/>
      <c r="AB671" s="150"/>
      <c r="AC671" s="150"/>
      <c r="AD671" s="150"/>
      <c r="AE671" s="150"/>
    </row>
    <row r="672" spans="1:31" ht="15">
      <c r="A672" s="150"/>
      <c r="B672" s="150"/>
      <c r="C672" s="150"/>
      <c r="D672" s="150"/>
      <c r="E672" s="150"/>
      <c r="F672" s="150"/>
      <c r="G672" s="583"/>
      <c r="H672" s="583"/>
      <c r="I672" s="583"/>
      <c r="J672" s="1767"/>
      <c r="K672" s="1767"/>
      <c r="L672" s="150"/>
      <c r="M672" s="583"/>
      <c r="N672" s="583"/>
      <c r="O672" s="150"/>
      <c r="P672" s="150"/>
      <c r="Q672" s="150"/>
      <c r="R672" s="150"/>
      <c r="S672" s="150"/>
      <c r="T672" s="150"/>
      <c r="U672" s="150"/>
      <c r="V672" s="150"/>
      <c r="W672" s="150"/>
      <c r="X672" s="150"/>
      <c r="Y672" s="150"/>
      <c r="Z672" s="150"/>
      <c r="AA672" s="150"/>
      <c r="AB672" s="150"/>
      <c r="AC672" s="150"/>
      <c r="AD672" s="150"/>
      <c r="AE672" s="150"/>
    </row>
    <row r="673" spans="1:31" ht="15">
      <c r="A673" s="150"/>
      <c r="B673" s="150"/>
      <c r="C673" s="150"/>
      <c r="D673" s="150"/>
      <c r="E673" s="150"/>
      <c r="F673" s="150"/>
      <c r="G673" s="583"/>
      <c r="H673" s="583"/>
      <c r="I673" s="583"/>
      <c r="J673" s="1767"/>
      <c r="K673" s="1767"/>
      <c r="L673" s="150"/>
      <c r="M673" s="583"/>
      <c r="N673" s="583"/>
      <c r="O673" s="150"/>
      <c r="P673" s="150"/>
      <c r="Q673" s="150"/>
      <c r="R673" s="150"/>
      <c r="S673" s="150"/>
      <c r="T673" s="150"/>
      <c r="U673" s="150"/>
      <c r="V673" s="150"/>
      <c r="W673" s="150"/>
      <c r="X673" s="150"/>
      <c r="Y673" s="150"/>
      <c r="Z673" s="150"/>
      <c r="AA673" s="150"/>
      <c r="AB673" s="150"/>
      <c r="AC673" s="150"/>
      <c r="AD673" s="150"/>
      <c r="AE673" s="150"/>
    </row>
    <row r="674" spans="1:31" ht="15">
      <c r="A674" s="150"/>
      <c r="B674" s="150"/>
      <c r="C674" s="150"/>
      <c r="D674" s="150"/>
      <c r="E674" s="150"/>
      <c r="F674" s="150"/>
      <c r="G674" s="583"/>
      <c r="H674" s="583"/>
      <c r="I674" s="583"/>
      <c r="J674" s="1767"/>
      <c r="K674" s="1767"/>
      <c r="L674" s="150"/>
      <c r="M674" s="583"/>
      <c r="N674" s="583"/>
      <c r="O674" s="150"/>
      <c r="P674" s="150"/>
      <c r="Q674" s="150"/>
      <c r="R674" s="150"/>
      <c r="S674" s="150"/>
      <c r="T674" s="150"/>
      <c r="U674" s="150"/>
      <c r="V674" s="150"/>
      <c r="W674" s="150"/>
      <c r="X674" s="150"/>
      <c r="Y674" s="150"/>
      <c r="Z674" s="150"/>
      <c r="AA674" s="150"/>
      <c r="AB674" s="150"/>
      <c r="AC674" s="150"/>
      <c r="AD674" s="150"/>
      <c r="AE674" s="150"/>
    </row>
    <row r="675" spans="1:31" ht="15">
      <c r="A675" s="150"/>
      <c r="B675" s="150"/>
      <c r="C675" s="150"/>
      <c r="D675" s="150"/>
      <c r="E675" s="150"/>
      <c r="F675" s="150"/>
      <c r="G675" s="583"/>
      <c r="H675" s="583"/>
      <c r="I675" s="583"/>
      <c r="J675" s="1767"/>
      <c r="K675" s="1767"/>
      <c r="L675" s="150"/>
      <c r="M675" s="583"/>
      <c r="N675" s="583"/>
      <c r="O675" s="150"/>
      <c r="P675" s="150"/>
      <c r="Q675" s="150"/>
      <c r="R675" s="150"/>
      <c r="S675" s="150"/>
      <c r="T675" s="150"/>
      <c r="U675" s="150"/>
      <c r="V675" s="150"/>
      <c r="W675" s="150"/>
      <c r="X675" s="150"/>
      <c r="Y675" s="150"/>
      <c r="Z675" s="150"/>
      <c r="AA675" s="150"/>
      <c r="AB675" s="150"/>
      <c r="AC675" s="150"/>
      <c r="AD675" s="150"/>
      <c r="AE675" s="150"/>
    </row>
    <row r="676" spans="1:31" ht="15">
      <c r="A676" s="150"/>
      <c r="B676" s="150"/>
      <c r="C676" s="150"/>
      <c r="D676" s="150"/>
      <c r="E676" s="150"/>
      <c r="F676" s="150"/>
      <c r="G676" s="583"/>
      <c r="H676" s="583"/>
      <c r="I676" s="583"/>
      <c r="J676" s="1767"/>
      <c r="K676" s="1767"/>
      <c r="L676" s="150"/>
      <c r="M676" s="583"/>
      <c r="N676" s="583"/>
      <c r="O676" s="150"/>
      <c r="P676" s="150"/>
      <c r="Q676" s="150"/>
      <c r="R676" s="150"/>
      <c r="S676" s="150"/>
      <c r="T676" s="150"/>
      <c r="U676" s="150"/>
      <c r="V676" s="150"/>
      <c r="W676" s="150"/>
      <c r="X676" s="150"/>
      <c r="Y676" s="150"/>
      <c r="Z676" s="150"/>
      <c r="AA676" s="150"/>
      <c r="AB676" s="150"/>
      <c r="AC676" s="150"/>
      <c r="AD676" s="150"/>
      <c r="AE676" s="150"/>
    </row>
    <row r="677" spans="1:31" ht="15">
      <c r="A677" s="150"/>
      <c r="B677" s="150"/>
      <c r="C677" s="150"/>
      <c r="D677" s="150"/>
      <c r="E677" s="150"/>
      <c r="F677" s="150"/>
      <c r="G677" s="583"/>
      <c r="H677" s="583"/>
      <c r="I677" s="583"/>
      <c r="J677" s="1767"/>
      <c r="K677" s="1767"/>
      <c r="L677" s="150"/>
      <c r="M677" s="583"/>
      <c r="N677" s="583"/>
      <c r="O677" s="150"/>
      <c r="P677" s="150"/>
      <c r="Q677" s="150"/>
      <c r="R677" s="150"/>
      <c r="S677" s="150"/>
      <c r="T677" s="150"/>
      <c r="U677" s="150"/>
      <c r="V677" s="150"/>
      <c r="W677" s="150"/>
      <c r="X677" s="150"/>
      <c r="Y677" s="150"/>
      <c r="Z677" s="150"/>
      <c r="AA677" s="150"/>
      <c r="AB677" s="150"/>
      <c r="AC677" s="150"/>
      <c r="AD677" s="150"/>
      <c r="AE677" s="150"/>
    </row>
    <row r="678" spans="1:31" ht="15">
      <c r="A678" s="150"/>
      <c r="B678" s="150"/>
      <c r="C678" s="150"/>
      <c r="D678" s="150"/>
      <c r="E678" s="150"/>
      <c r="F678" s="150"/>
      <c r="G678" s="583"/>
      <c r="H678" s="583"/>
      <c r="I678" s="583"/>
      <c r="J678" s="1767"/>
      <c r="K678" s="1767"/>
      <c r="L678" s="150"/>
      <c r="M678" s="583"/>
      <c r="N678" s="583"/>
      <c r="O678" s="150"/>
      <c r="P678" s="150"/>
      <c r="Q678" s="150"/>
      <c r="R678" s="150"/>
      <c r="S678" s="150"/>
      <c r="T678" s="150"/>
      <c r="U678" s="150"/>
      <c r="V678" s="150"/>
      <c r="W678" s="150"/>
      <c r="X678" s="150"/>
      <c r="Y678" s="150"/>
      <c r="Z678" s="150"/>
      <c r="AA678" s="150"/>
      <c r="AB678" s="150"/>
      <c r="AC678" s="150"/>
      <c r="AD678" s="150"/>
      <c r="AE678" s="150"/>
    </row>
    <row r="679" spans="1:31" ht="15">
      <c r="A679" s="150"/>
      <c r="B679" s="150"/>
      <c r="C679" s="150"/>
      <c r="D679" s="150"/>
      <c r="E679" s="150"/>
      <c r="F679" s="150"/>
      <c r="G679" s="583"/>
      <c r="H679" s="583"/>
      <c r="I679" s="583"/>
      <c r="J679" s="1767"/>
      <c r="K679" s="1767"/>
      <c r="L679" s="150"/>
      <c r="M679" s="583"/>
      <c r="N679" s="583"/>
      <c r="O679" s="150"/>
      <c r="P679" s="150"/>
      <c r="Q679" s="150"/>
      <c r="R679" s="150"/>
      <c r="S679" s="150"/>
      <c r="T679" s="150"/>
      <c r="U679" s="150"/>
      <c r="V679" s="150"/>
      <c r="W679" s="150"/>
      <c r="X679" s="150"/>
      <c r="Y679" s="150"/>
      <c r="Z679" s="150"/>
      <c r="AA679" s="150"/>
      <c r="AB679" s="150"/>
      <c r="AC679" s="150"/>
      <c r="AD679" s="150"/>
      <c r="AE679" s="150"/>
    </row>
    <row r="680" spans="1:31" ht="15">
      <c r="A680" s="150"/>
      <c r="B680" s="150"/>
      <c r="C680" s="150"/>
      <c r="D680" s="150"/>
      <c r="E680" s="150"/>
      <c r="F680" s="150"/>
      <c r="G680" s="583"/>
      <c r="H680" s="583"/>
      <c r="I680" s="583"/>
      <c r="J680" s="1767"/>
      <c r="K680" s="1767"/>
      <c r="L680" s="150"/>
      <c r="M680" s="583"/>
      <c r="N680" s="583"/>
      <c r="O680" s="150"/>
      <c r="P680" s="150"/>
      <c r="Q680" s="150"/>
      <c r="R680" s="150"/>
      <c r="S680" s="150"/>
      <c r="T680" s="150"/>
      <c r="U680" s="150"/>
      <c r="V680" s="150"/>
      <c r="W680" s="150"/>
      <c r="X680" s="150"/>
      <c r="Y680" s="150"/>
      <c r="Z680" s="150"/>
      <c r="AA680" s="150"/>
      <c r="AB680" s="150"/>
      <c r="AC680" s="150"/>
      <c r="AD680" s="150"/>
      <c r="AE680" s="150"/>
    </row>
    <row r="681" spans="1:31" ht="15">
      <c r="A681" s="150"/>
      <c r="B681" s="150"/>
      <c r="C681" s="150"/>
      <c r="D681" s="150"/>
      <c r="E681" s="150"/>
      <c r="F681" s="150"/>
      <c r="G681" s="583"/>
      <c r="H681" s="583"/>
      <c r="I681" s="583"/>
      <c r="J681" s="1767"/>
      <c r="K681" s="1767"/>
      <c r="L681" s="150"/>
      <c r="M681" s="583"/>
      <c r="N681" s="583"/>
      <c r="O681" s="150"/>
      <c r="P681" s="150"/>
      <c r="Q681" s="150"/>
      <c r="R681" s="150"/>
      <c r="S681" s="150"/>
      <c r="T681" s="150"/>
      <c r="U681" s="150"/>
      <c r="V681" s="150"/>
      <c r="W681" s="150"/>
      <c r="X681" s="150"/>
      <c r="Y681" s="150"/>
      <c r="Z681" s="150"/>
      <c r="AA681" s="150"/>
      <c r="AB681" s="150"/>
      <c r="AC681" s="150"/>
      <c r="AD681" s="150"/>
      <c r="AE681" s="150"/>
    </row>
    <row r="682" spans="1:31" ht="15">
      <c r="A682" s="150"/>
      <c r="B682" s="150"/>
      <c r="C682" s="150"/>
      <c r="D682" s="150"/>
      <c r="E682" s="150"/>
      <c r="F682" s="150"/>
      <c r="G682" s="583"/>
      <c r="H682" s="583"/>
      <c r="I682" s="583"/>
      <c r="J682" s="1767"/>
      <c r="K682" s="1767"/>
      <c r="L682" s="150"/>
      <c r="M682" s="583"/>
      <c r="N682" s="583"/>
      <c r="O682" s="150"/>
      <c r="P682" s="150"/>
      <c r="Q682" s="150"/>
      <c r="R682" s="150"/>
      <c r="S682" s="150"/>
      <c r="T682" s="150"/>
      <c r="U682" s="150"/>
      <c r="V682" s="150"/>
      <c r="W682" s="150"/>
      <c r="X682" s="150"/>
      <c r="Y682" s="150"/>
      <c r="Z682" s="150"/>
      <c r="AA682" s="150"/>
      <c r="AB682" s="150"/>
      <c r="AC682" s="150"/>
      <c r="AD682" s="150"/>
      <c r="AE682" s="150"/>
    </row>
    <row r="683" spans="1:31" ht="15">
      <c r="A683" s="150"/>
      <c r="B683" s="150"/>
      <c r="C683" s="150"/>
      <c r="D683" s="150"/>
      <c r="E683" s="150"/>
      <c r="F683" s="150"/>
      <c r="G683" s="583"/>
      <c r="H683" s="583"/>
      <c r="I683" s="583"/>
      <c r="J683" s="1767"/>
      <c r="K683" s="1767"/>
      <c r="L683" s="150"/>
      <c r="M683" s="583"/>
      <c r="N683" s="583"/>
      <c r="O683" s="150"/>
      <c r="P683" s="150"/>
      <c r="Q683" s="150"/>
      <c r="R683" s="150"/>
      <c r="S683" s="150"/>
      <c r="T683" s="150"/>
      <c r="U683" s="150"/>
      <c r="V683" s="150"/>
      <c r="W683" s="150"/>
      <c r="X683" s="150"/>
      <c r="Y683" s="150"/>
      <c r="Z683" s="150"/>
      <c r="AA683" s="150"/>
      <c r="AB683" s="150"/>
      <c r="AC683" s="150"/>
      <c r="AD683" s="150"/>
      <c r="AE683" s="150"/>
    </row>
    <row r="684" spans="1:31" ht="15">
      <c r="A684" s="150"/>
      <c r="B684" s="150"/>
      <c r="C684" s="150"/>
      <c r="D684" s="150"/>
      <c r="E684" s="150"/>
      <c r="F684" s="150"/>
      <c r="G684" s="583"/>
      <c r="H684" s="583"/>
      <c r="I684" s="583"/>
      <c r="J684" s="1767"/>
      <c r="K684" s="1767"/>
      <c r="L684" s="150"/>
      <c r="M684" s="583"/>
      <c r="N684" s="583"/>
      <c r="O684" s="150"/>
      <c r="P684" s="150"/>
      <c r="Q684" s="150"/>
      <c r="R684" s="150"/>
      <c r="S684" s="150"/>
      <c r="T684" s="150"/>
      <c r="U684" s="150"/>
      <c r="V684" s="150"/>
      <c r="W684" s="150"/>
      <c r="X684" s="150"/>
      <c r="Y684" s="150"/>
      <c r="Z684" s="150"/>
      <c r="AA684" s="150"/>
      <c r="AB684" s="150"/>
      <c r="AC684" s="150"/>
      <c r="AD684" s="150"/>
      <c r="AE684" s="150"/>
    </row>
    <row r="685" spans="1:31" ht="15">
      <c r="A685" s="150"/>
      <c r="B685" s="150"/>
      <c r="C685" s="150"/>
      <c r="D685" s="150"/>
      <c r="E685" s="150"/>
      <c r="F685" s="150"/>
      <c r="G685" s="583"/>
      <c r="H685" s="583"/>
      <c r="I685" s="583"/>
      <c r="J685" s="1767"/>
      <c r="K685" s="1767"/>
      <c r="L685" s="150"/>
      <c r="M685" s="583"/>
      <c r="N685" s="583"/>
      <c r="O685" s="150"/>
      <c r="P685" s="150"/>
      <c r="Q685" s="150"/>
      <c r="R685" s="150"/>
      <c r="S685" s="150"/>
      <c r="T685" s="150"/>
      <c r="U685" s="150"/>
      <c r="V685" s="150"/>
      <c r="W685" s="150"/>
      <c r="X685" s="150"/>
      <c r="Y685" s="150"/>
      <c r="Z685" s="150"/>
      <c r="AA685" s="150"/>
      <c r="AB685" s="150"/>
      <c r="AC685" s="150"/>
      <c r="AD685" s="150"/>
      <c r="AE685" s="150"/>
    </row>
    <row r="686" spans="1:31" ht="15">
      <c r="A686" s="150"/>
      <c r="B686" s="150"/>
      <c r="C686" s="150"/>
      <c r="D686" s="150"/>
      <c r="E686" s="150"/>
      <c r="F686" s="150"/>
      <c r="G686" s="583"/>
      <c r="H686" s="583"/>
      <c r="I686" s="583"/>
      <c r="J686" s="1767"/>
      <c r="K686" s="1767"/>
      <c r="L686" s="150"/>
      <c r="M686" s="583"/>
      <c r="N686" s="583"/>
      <c r="O686" s="150"/>
      <c r="P686" s="150"/>
      <c r="Q686" s="150"/>
      <c r="R686" s="150"/>
      <c r="S686" s="150"/>
      <c r="T686" s="150"/>
      <c r="U686" s="150"/>
      <c r="V686" s="150"/>
      <c r="W686" s="150"/>
      <c r="X686" s="150"/>
      <c r="Y686" s="150"/>
      <c r="Z686" s="150"/>
      <c r="AA686" s="150"/>
      <c r="AB686" s="150"/>
      <c r="AC686" s="150"/>
      <c r="AD686" s="150"/>
      <c r="AE686" s="150"/>
    </row>
    <row r="687" spans="1:31" ht="15">
      <c r="A687" s="150"/>
      <c r="B687" s="150"/>
      <c r="C687" s="150"/>
      <c r="D687" s="150"/>
      <c r="E687" s="150"/>
      <c r="F687" s="150"/>
      <c r="G687" s="583"/>
      <c r="H687" s="583"/>
      <c r="I687" s="583"/>
      <c r="J687" s="1767"/>
      <c r="K687" s="1767"/>
      <c r="L687" s="150"/>
      <c r="M687" s="583"/>
      <c r="N687" s="583"/>
      <c r="O687" s="150"/>
      <c r="P687" s="150"/>
      <c r="Q687" s="150"/>
      <c r="R687" s="150"/>
      <c r="S687" s="150"/>
      <c r="T687" s="150"/>
      <c r="U687" s="150"/>
      <c r="V687" s="150"/>
      <c r="W687" s="150"/>
      <c r="X687" s="150"/>
      <c r="Y687" s="150"/>
      <c r="Z687" s="150"/>
      <c r="AA687" s="150"/>
      <c r="AB687" s="150"/>
      <c r="AC687" s="150"/>
      <c r="AD687" s="150"/>
      <c r="AE687" s="150"/>
    </row>
    <row r="688" spans="1:31" ht="15">
      <c r="A688" s="150"/>
      <c r="B688" s="150"/>
      <c r="C688" s="150"/>
      <c r="D688" s="150"/>
      <c r="E688" s="150"/>
      <c r="F688" s="150"/>
      <c r="G688" s="583"/>
      <c r="H688" s="583"/>
      <c r="I688" s="583"/>
      <c r="J688" s="1767"/>
      <c r="K688" s="1767"/>
      <c r="L688" s="150"/>
      <c r="M688" s="583"/>
      <c r="N688" s="583"/>
      <c r="O688" s="150"/>
      <c r="P688" s="150"/>
      <c r="Q688" s="150"/>
      <c r="R688" s="150"/>
      <c r="S688" s="150"/>
      <c r="T688" s="150"/>
      <c r="U688" s="150"/>
      <c r="V688" s="150"/>
      <c r="W688" s="150"/>
      <c r="X688" s="150"/>
      <c r="Y688" s="150"/>
      <c r="Z688" s="150"/>
      <c r="AA688" s="150"/>
      <c r="AB688" s="150"/>
      <c r="AC688" s="150"/>
      <c r="AD688" s="150"/>
      <c r="AE688" s="150"/>
    </row>
    <row r="689" spans="1:31" ht="15">
      <c r="A689" s="150"/>
      <c r="B689" s="150"/>
      <c r="C689" s="150"/>
      <c r="D689" s="150"/>
      <c r="E689" s="150"/>
      <c r="F689" s="150"/>
      <c r="G689" s="583"/>
      <c r="H689" s="583"/>
      <c r="I689" s="583"/>
      <c r="J689" s="1767"/>
      <c r="K689" s="1767"/>
      <c r="L689" s="150"/>
      <c r="M689" s="583"/>
      <c r="N689" s="583"/>
      <c r="O689" s="150"/>
      <c r="P689" s="150"/>
      <c r="Q689" s="150"/>
      <c r="R689" s="150"/>
      <c r="S689" s="150"/>
      <c r="T689" s="150"/>
      <c r="U689" s="150"/>
      <c r="V689" s="150"/>
      <c r="W689" s="150"/>
      <c r="X689" s="150"/>
      <c r="Y689" s="150"/>
      <c r="Z689" s="150"/>
      <c r="AA689" s="150"/>
      <c r="AB689" s="150"/>
      <c r="AC689" s="150"/>
      <c r="AD689" s="150"/>
      <c r="AE689" s="150"/>
    </row>
    <row r="690" spans="1:31" ht="15">
      <c r="A690" s="150"/>
      <c r="B690" s="150"/>
      <c r="C690" s="150"/>
      <c r="D690" s="150"/>
      <c r="E690" s="150"/>
      <c r="F690" s="150"/>
      <c r="G690" s="583"/>
      <c r="H690" s="583"/>
      <c r="I690" s="583"/>
      <c r="J690" s="1767"/>
      <c r="K690" s="1767"/>
      <c r="L690" s="150"/>
      <c r="M690" s="583"/>
      <c r="N690" s="583"/>
      <c r="O690" s="150"/>
      <c r="P690" s="150"/>
      <c r="Q690" s="150"/>
      <c r="R690" s="150"/>
      <c r="S690" s="150"/>
      <c r="T690" s="150"/>
      <c r="U690" s="150"/>
      <c r="V690" s="150"/>
      <c r="W690" s="150"/>
      <c r="X690" s="150"/>
      <c r="Y690" s="150"/>
      <c r="Z690" s="150"/>
      <c r="AA690" s="150"/>
      <c r="AB690" s="150"/>
      <c r="AC690" s="150"/>
      <c r="AD690" s="150"/>
      <c r="AE690" s="150"/>
    </row>
    <row r="691" spans="1:31" ht="15">
      <c r="A691" s="150"/>
      <c r="B691" s="150"/>
      <c r="C691" s="150"/>
      <c r="D691" s="150"/>
      <c r="E691" s="150"/>
      <c r="F691" s="150"/>
      <c r="G691" s="583"/>
      <c r="H691" s="583"/>
      <c r="I691" s="583"/>
      <c r="J691" s="1767"/>
      <c r="K691" s="1767"/>
      <c r="L691" s="150"/>
      <c r="M691" s="583"/>
      <c r="N691" s="583"/>
      <c r="O691" s="150"/>
      <c r="P691" s="150"/>
      <c r="Q691" s="150"/>
      <c r="R691" s="150"/>
      <c r="S691" s="150"/>
      <c r="T691" s="150"/>
      <c r="U691" s="150"/>
      <c r="V691" s="150"/>
      <c r="W691" s="150"/>
      <c r="X691" s="150"/>
      <c r="Y691" s="150"/>
      <c r="Z691" s="150"/>
      <c r="AA691" s="150"/>
      <c r="AB691" s="150"/>
      <c r="AC691" s="150"/>
      <c r="AD691" s="150"/>
      <c r="AE691" s="150"/>
    </row>
    <row r="692" spans="1:31" ht="15">
      <c r="A692" s="150"/>
      <c r="B692" s="150"/>
      <c r="C692" s="150"/>
      <c r="D692" s="150"/>
      <c r="E692" s="150"/>
      <c r="F692" s="150"/>
      <c r="G692" s="583"/>
      <c r="H692" s="583"/>
      <c r="I692" s="583"/>
      <c r="J692" s="1767"/>
      <c r="K692" s="1767"/>
      <c r="L692" s="150"/>
      <c r="M692" s="583"/>
      <c r="N692" s="583"/>
      <c r="O692" s="150"/>
      <c r="P692" s="150"/>
      <c r="Q692" s="150"/>
      <c r="R692" s="150"/>
      <c r="S692" s="150"/>
      <c r="T692" s="150"/>
      <c r="U692" s="150"/>
      <c r="V692" s="150"/>
      <c r="W692" s="150"/>
      <c r="X692" s="150"/>
      <c r="Y692" s="150"/>
      <c r="Z692" s="150"/>
      <c r="AA692" s="150"/>
      <c r="AB692" s="150"/>
      <c r="AC692" s="150"/>
      <c r="AD692" s="150"/>
      <c r="AE692" s="150"/>
    </row>
    <row r="693" spans="1:31" ht="15">
      <c r="A693" s="150"/>
      <c r="B693" s="150"/>
      <c r="C693" s="150"/>
      <c r="D693" s="150"/>
      <c r="E693" s="150"/>
      <c r="F693" s="150"/>
      <c r="G693" s="583"/>
      <c r="H693" s="583"/>
      <c r="I693" s="583"/>
      <c r="J693" s="1767"/>
      <c r="K693" s="1767"/>
      <c r="L693" s="150"/>
      <c r="M693" s="583"/>
      <c r="N693" s="583"/>
      <c r="O693" s="150"/>
      <c r="P693" s="150"/>
      <c r="Q693" s="150"/>
      <c r="R693" s="150"/>
      <c r="S693" s="150"/>
      <c r="T693" s="150"/>
      <c r="U693" s="150"/>
      <c r="V693" s="150"/>
      <c r="W693" s="150"/>
      <c r="X693" s="150"/>
      <c r="Y693" s="150"/>
      <c r="Z693" s="150"/>
      <c r="AA693" s="150"/>
      <c r="AB693" s="150"/>
      <c r="AC693" s="150"/>
      <c r="AD693" s="150"/>
      <c r="AE693" s="150"/>
    </row>
    <row r="694" spans="1:31" ht="15">
      <c r="A694" s="150"/>
      <c r="B694" s="150"/>
      <c r="C694" s="150"/>
      <c r="D694" s="150"/>
      <c r="E694" s="150"/>
      <c r="F694" s="150"/>
      <c r="G694" s="583"/>
      <c r="H694" s="583"/>
      <c r="I694" s="583"/>
      <c r="J694" s="1767"/>
      <c r="K694" s="1767"/>
      <c r="L694" s="150"/>
      <c r="M694" s="583"/>
      <c r="N694" s="583"/>
      <c r="O694" s="150"/>
      <c r="P694" s="150"/>
      <c r="Q694" s="150"/>
      <c r="R694" s="150"/>
      <c r="S694" s="150"/>
      <c r="T694" s="150"/>
      <c r="U694" s="150"/>
      <c r="V694" s="150"/>
      <c r="W694" s="150"/>
      <c r="X694" s="150"/>
      <c r="Y694" s="150"/>
      <c r="Z694" s="150"/>
      <c r="AA694" s="150"/>
      <c r="AB694" s="150"/>
      <c r="AC694" s="150"/>
      <c r="AD694" s="150"/>
      <c r="AE694" s="150"/>
    </row>
    <row r="695" spans="1:31" ht="15">
      <c r="A695" s="150"/>
      <c r="B695" s="150"/>
      <c r="C695" s="150"/>
      <c r="D695" s="150"/>
      <c r="E695" s="150"/>
      <c r="F695" s="150"/>
      <c r="G695" s="583"/>
      <c r="H695" s="583"/>
      <c r="I695" s="583"/>
      <c r="J695" s="1767"/>
      <c r="K695" s="1767"/>
      <c r="L695" s="150"/>
      <c r="M695" s="583"/>
      <c r="N695" s="583"/>
      <c r="O695" s="150"/>
      <c r="P695" s="150"/>
      <c r="Q695" s="150"/>
      <c r="R695" s="150"/>
      <c r="S695" s="150"/>
      <c r="T695" s="150"/>
      <c r="U695" s="150"/>
      <c r="V695" s="150"/>
      <c r="W695" s="150"/>
      <c r="X695" s="150"/>
      <c r="Y695" s="150"/>
      <c r="Z695" s="150"/>
      <c r="AA695" s="150"/>
      <c r="AB695" s="150"/>
      <c r="AC695" s="150"/>
      <c r="AD695" s="150"/>
      <c r="AE695" s="150"/>
    </row>
    <row r="696" spans="1:31" ht="15">
      <c r="A696" s="150"/>
      <c r="B696" s="150"/>
      <c r="C696" s="150"/>
      <c r="D696" s="150"/>
      <c r="E696" s="150"/>
      <c r="F696" s="150"/>
      <c r="G696" s="583"/>
      <c r="H696" s="583"/>
      <c r="I696" s="583"/>
      <c r="J696" s="1767"/>
      <c r="K696" s="1767"/>
      <c r="L696" s="150"/>
      <c r="M696" s="583"/>
      <c r="N696" s="583"/>
      <c r="O696" s="150"/>
      <c r="P696" s="150"/>
      <c r="Q696" s="150"/>
      <c r="R696" s="150"/>
      <c r="S696" s="150"/>
      <c r="T696" s="150"/>
      <c r="U696" s="150"/>
      <c r="V696" s="150"/>
      <c r="W696" s="150"/>
      <c r="X696" s="150"/>
      <c r="Y696" s="150"/>
      <c r="Z696" s="150"/>
      <c r="AA696" s="150"/>
      <c r="AB696" s="150"/>
      <c r="AC696" s="150"/>
      <c r="AD696" s="150"/>
      <c r="AE696" s="150"/>
    </row>
    <row r="697" spans="1:31" ht="15">
      <c r="A697" s="150"/>
      <c r="B697" s="150"/>
      <c r="C697" s="150"/>
      <c r="D697" s="150"/>
      <c r="E697" s="150"/>
      <c r="F697" s="150"/>
      <c r="G697" s="583"/>
      <c r="H697" s="583"/>
      <c r="I697" s="583"/>
      <c r="J697" s="1767"/>
      <c r="K697" s="1767"/>
      <c r="L697" s="150"/>
      <c r="M697" s="583"/>
      <c r="N697" s="583"/>
      <c r="O697" s="150"/>
      <c r="P697" s="150"/>
      <c r="Q697" s="150"/>
      <c r="R697" s="150"/>
      <c r="S697" s="150"/>
      <c r="T697" s="150"/>
      <c r="U697" s="150"/>
      <c r="V697" s="150"/>
      <c r="W697" s="150"/>
      <c r="X697" s="150"/>
      <c r="Y697" s="150"/>
      <c r="Z697" s="150"/>
      <c r="AA697" s="150"/>
      <c r="AB697" s="150"/>
      <c r="AC697" s="150"/>
      <c r="AD697" s="150"/>
      <c r="AE697" s="150"/>
    </row>
    <row r="698" spans="1:31" ht="15">
      <c r="A698" s="150"/>
      <c r="B698" s="150"/>
      <c r="C698" s="150"/>
      <c r="D698" s="150"/>
      <c r="E698" s="150"/>
      <c r="F698" s="150"/>
      <c r="G698" s="583"/>
      <c r="H698" s="583"/>
      <c r="I698" s="583"/>
      <c r="J698" s="1767"/>
      <c r="K698" s="1767"/>
      <c r="L698" s="150"/>
      <c r="M698" s="583"/>
      <c r="N698" s="583"/>
      <c r="O698" s="150"/>
      <c r="P698" s="150"/>
      <c r="Q698" s="150"/>
      <c r="R698" s="150"/>
      <c r="S698" s="150"/>
      <c r="T698" s="150"/>
      <c r="U698" s="150"/>
      <c r="V698" s="150"/>
      <c r="W698" s="150"/>
      <c r="X698" s="150"/>
      <c r="Y698" s="150"/>
      <c r="Z698" s="150"/>
      <c r="AA698" s="150"/>
      <c r="AB698" s="150"/>
      <c r="AC698" s="150"/>
      <c r="AD698" s="150"/>
      <c r="AE698" s="150"/>
    </row>
    <row r="699" spans="1:31" ht="15">
      <c r="A699" s="150"/>
      <c r="B699" s="150"/>
      <c r="C699" s="150"/>
      <c r="D699" s="150"/>
      <c r="E699" s="150"/>
      <c r="F699" s="150"/>
      <c r="G699" s="583"/>
      <c r="H699" s="583"/>
      <c r="I699" s="583"/>
      <c r="J699" s="1767"/>
      <c r="K699" s="1767"/>
      <c r="L699" s="150"/>
      <c r="M699" s="583"/>
      <c r="N699" s="583"/>
      <c r="O699" s="150"/>
      <c r="P699" s="150"/>
      <c r="Q699" s="150"/>
      <c r="R699" s="150"/>
      <c r="S699" s="150"/>
      <c r="T699" s="150"/>
      <c r="U699" s="150"/>
      <c r="V699" s="150"/>
      <c r="W699" s="150"/>
      <c r="X699" s="150"/>
      <c r="Y699" s="150"/>
      <c r="Z699" s="150"/>
      <c r="AA699" s="150"/>
      <c r="AB699" s="150"/>
      <c r="AC699" s="150"/>
      <c r="AD699" s="150"/>
      <c r="AE699" s="150"/>
    </row>
    <row r="700" spans="1:31" ht="15">
      <c r="A700" s="150"/>
      <c r="B700" s="150"/>
      <c r="C700" s="150"/>
      <c r="D700" s="150"/>
      <c r="E700" s="150"/>
      <c r="F700" s="150"/>
      <c r="G700" s="583"/>
      <c r="H700" s="583"/>
      <c r="I700" s="583"/>
      <c r="J700" s="1767"/>
      <c r="K700" s="1767"/>
      <c r="L700" s="150"/>
      <c r="M700" s="583"/>
      <c r="N700" s="583"/>
      <c r="O700" s="150"/>
      <c r="P700" s="150"/>
      <c r="Q700" s="150"/>
      <c r="R700" s="150"/>
      <c r="S700" s="150"/>
      <c r="T700" s="150"/>
      <c r="U700" s="150"/>
      <c r="V700" s="150"/>
      <c r="W700" s="150"/>
      <c r="X700" s="150"/>
      <c r="Y700" s="150"/>
      <c r="Z700" s="150"/>
      <c r="AA700" s="150"/>
      <c r="AB700" s="150"/>
      <c r="AC700" s="150"/>
      <c r="AD700" s="150"/>
      <c r="AE700" s="150"/>
    </row>
    <row r="701" spans="1:31" ht="15">
      <c r="A701" s="150"/>
      <c r="B701" s="150"/>
      <c r="C701" s="150"/>
      <c r="D701" s="150"/>
      <c r="E701" s="150"/>
      <c r="F701" s="150"/>
      <c r="G701" s="583"/>
      <c r="H701" s="583"/>
      <c r="I701" s="583"/>
      <c r="J701" s="1767"/>
      <c r="K701" s="1767"/>
      <c r="L701" s="150"/>
      <c r="M701" s="583"/>
      <c r="N701" s="583"/>
      <c r="O701" s="150"/>
      <c r="P701" s="150"/>
      <c r="Q701" s="150"/>
      <c r="R701" s="150"/>
      <c r="S701" s="150"/>
      <c r="T701" s="150"/>
      <c r="U701" s="150"/>
      <c r="V701" s="150"/>
      <c r="W701" s="150"/>
      <c r="X701" s="150"/>
      <c r="Y701" s="150"/>
      <c r="Z701" s="150"/>
      <c r="AA701" s="150"/>
      <c r="AB701" s="150"/>
      <c r="AC701" s="150"/>
      <c r="AD701" s="150"/>
      <c r="AE701" s="150"/>
    </row>
    <row r="702" spans="1:31" ht="15">
      <c r="A702" s="150"/>
      <c r="B702" s="150"/>
      <c r="C702" s="150"/>
      <c r="D702" s="150"/>
      <c r="E702" s="150"/>
      <c r="F702" s="150"/>
      <c r="G702" s="583"/>
      <c r="H702" s="583"/>
      <c r="I702" s="583"/>
      <c r="J702" s="1767"/>
      <c r="K702" s="1767"/>
      <c r="L702" s="150"/>
      <c r="M702" s="583"/>
      <c r="N702" s="583"/>
      <c r="O702" s="150"/>
      <c r="P702" s="150"/>
      <c r="Q702" s="150"/>
      <c r="R702" s="150"/>
      <c r="S702" s="150"/>
      <c r="T702" s="150"/>
      <c r="U702" s="150"/>
      <c r="V702" s="150"/>
      <c r="W702" s="150"/>
      <c r="X702" s="150"/>
      <c r="Y702" s="150"/>
      <c r="Z702" s="150"/>
      <c r="AA702" s="150"/>
      <c r="AB702" s="150"/>
      <c r="AC702" s="150"/>
      <c r="AD702" s="150"/>
      <c r="AE702" s="150"/>
    </row>
    <row r="703" spans="1:31" ht="15">
      <c r="A703" s="150"/>
      <c r="B703" s="150"/>
      <c r="C703" s="150"/>
      <c r="D703" s="150"/>
      <c r="E703" s="150"/>
      <c r="F703" s="150"/>
      <c r="G703" s="583"/>
      <c r="H703" s="583"/>
      <c r="I703" s="583"/>
      <c r="J703" s="1767"/>
      <c r="K703" s="1767"/>
      <c r="L703" s="150"/>
      <c r="M703" s="583"/>
      <c r="N703" s="583"/>
      <c r="O703" s="150"/>
      <c r="P703" s="150"/>
      <c r="Q703" s="150"/>
      <c r="R703" s="150"/>
      <c r="S703" s="150"/>
      <c r="T703" s="150"/>
      <c r="U703" s="150"/>
      <c r="V703" s="150"/>
      <c r="W703" s="150"/>
      <c r="X703" s="150"/>
      <c r="Y703" s="150"/>
      <c r="Z703" s="150"/>
      <c r="AA703" s="150"/>
      <c r="AB703" s="150"/>
      <c r="AC703" s="150"/>
      <c r="AD703" s="150"/>
      <c r="AE703" s="150"/>
    </row>
    <row r="704" spans="1:31" ht="15">
      <c r="A704" s="150"/>
      <c r="B704" s="150"/>
      <c r="C704" s="150"/>
      <c r="D704" s="150"/>
      <c r="E704" s="150"/>
      <c r="F704" s="150"/>
      <c r="G704" s="583"/>
      <c r="H704" s="583"/>
      <c r="I704" s="583"/>
      <c r="J704" s="1767"/>
      <c r="K704" s="1767"/>
      <c r="L704" s="150"/>
      <c r="M704" s="583"/>
      <c r="N704" s="583"/>
      <c r="O704" s="150"/>
      <c r="P704" s="150"/>
      <c r="Q704" s="150"/>
      <c r="R704" s="150"/>
      <c r="S704" s="150"/>
      <c r="T704" s="150"/>
      <c r="U704" s="150"/>
      <c r="V704" s="150"/>
      <c r="W704" s="150"/>
      <c r="X704" s="150"/>
      <c r="Y704" s="150"/>
      <c r="Z704" s="150"/>
      <c r="AA704" s="150"/>
      <c r="AB704" s="150"/>
      <c r="AC704" s="150"/>
      <c r="AD704" s="150"/>
      <c r="AE704" s="150"/>
    </row>
    <row r="705" spans="1:31" ht="15">
      <c r="A705" s="150"/>
      <c r="B705" s="150"/>
      <c r="C705" s="150"/>
      <c r="D705" s="150"/>
      <c r="E705" s="150"/>
      <c r="F705" s="150"/>
      <c r="G705" s="583"/>
      <c r="H705" s="583"/>
      <c r="I705" s="583"/>
      <c r="J705" s="1767"/>
      <c r="K705" s="1767"/>
      <c r="L705" s="150"/>
      <c r="M705" s="583"/>
      <c r="N705" s="583"/>
      <c r="O705" s="150"/>
      <c r="P705" s="150"/>
      <c r="Q705" s="150"/>
      <c r="R705" s="150"/>
      <c r="S705" s="150"/>
      <c r="T705" s="150"/>
      <c r="U705" s="150"/>
      <c r="V705" s="150"/>
      <c r="W705" s="150"/>
      <c r="X705" s="150"/>
      <c r="Y705" s="150"/>
      <c r="Z705" s="150"/>
      <c r="AA705" s="150"/>
      <c r="AB705" s="150"/>
      <c r="AC705" s="150"/>
      <c r="AD705" s="150"/>
      <c r="AE705" s="150"/>
    </row>
    <row r="706" spans="1:31" ht="15">
      <c r="A706" s="150"/>
      <c r="B706" s="150"/>
      <c r="C706" s="150"/>
      <c r="D706" s="150"/>
      <c r="E706" s="150"/>
      <c r="F706" s="150"/>
      <c r="G706" s="583"/>
      <c r="H706" s="583"/>
      <c r="I706" s="583"/>
      <c r="J706" s="1767"/>
      <c r="K706" s="1767"/>
      <c r="L706" s="150"/>
      <c r="M706" s="583"/>
      <c r="N706" s="583"/>
      <c r="O706" s="150"/>
      <c r="P706" s="150"/>
      <c r="Q706" s="150"/>
      <c r="R706" s="150"/>
      <c r="S706" s="150"/>
      <c r="T706" s="150"/>
      <c r="U706" s="150"/>
      <c r="V706" s="150"/>
      <c r="W706" s="150"/>
      <c r="X706" s="150"/>
      <c r="Y706" s="150"/>
      <c r="Z706" s="150"/>
      <c r="AA706" s="150"/>
      <c r="AB706" s="150"/>
      <c r="AC706" s="150"/>
      <c r="AD706" s="150"/>
      <c r="AE706" s="150"/>
    </row>
    <row r="707" spans="1:31" ht="15">
      <c r="A707" s="150"/>
      <c r="B707" s="150"/>
      <c r="C707" s="150"/>
      <c r="D707" s="150"/>
      <c r="E707" s="150"/>
      <c r="F707" s="150"/>
      <c r="G707" s="583"/>
      <c r="H707" s="583"/>
      <c r="I707" s="583"/>
      <c r="J707" s="1767"/>
      <c r="K707" s="1767"/>
      <c r="L707" s="150"/>
      <c r="M707" s="583"/>
      <c r="N707" s="583"/>
      <c r="O707" s="150"/>
      <c r="P707" s="150"/>
      <c r="Q707" s="150"/>
      <c r="R707" s="150"/>
      <c r="S707" s="150"/>
      <c r="T707" s="150"/>
      <c r="U707" s="150"/>
      <c r="V707" s="150"/>
      <c r="W707" s="150"/>
      <c r="X707" s="150"/>
      <c r="Y707" s="150"/>
      <c r="Z707" s="150"/>
      <c r="AA707" s="150"/>
      <c r="AB707" s="150"/>
      <c r="AC707" s="150"/>
      <c r="AD707" s="150"/>
      <c r="AE707" s="150"/>
    </row>
    <row r="708" spans="1:31" ht="15">
      <c r="A708" s="150"/>
      <c r="B708" s="150"/>
      <c r="C708" s="150"/>
      <c r="D708" s="150"/>
      <c r="E708" s="150"/>
      <c r="F708" s="150"/>
      <c r="G708" s="583"/>
      <c r="H708" s="583"/>
      <c r="I708" s="583"/>
      <c r="J708" s="1767"/>
      <c r="K708" s="1767"/>
      <c r="L708" s="150"/>
      <c r="M708" s="583"/>
      <c r="N708" s="583"/>
      <c r="O708" s="150"/>
      <c r="P708" s="150"/>
      <c r="Q708" s="150"/>
      <c r="R708" s="150"/>
      <c r="S708" s="150"/>
      <c r="T708" s="150"/>
      <c r="U708" s="150"/>
      <c r="V708" s="150"/>
      <c r="W708" s="150"/>
      <c r="X708" s="150"/>
      <c r="Y708" s="150"/>
      <c r="Z708" s="150"/>
      <c r="AA708" s="150"/>
      <c r="AB708" s="150"/>
      <c r="AC708" s="150"/>
      <c r="AD708" s="150"/>
      <c r="AE708" s="150"/>
    </row>
    <row r="709" spans="1:31" ht="15">
      <c r="A709" s="150"/>
      <c r="B709" s="150"/>
      <c r="C709" s="150"/>
      <c r="D709" s="150"/>
      <c r="E709" s="150"/>
      <c r="F709" s="150"/>
      <c r="G709" s="583"/>
      <c r="H709" s="583"/>
      <c r="I709" s="583"/>
      <c r="J709" s="1767"/>
      <c r="K709" s="1767"/>
      <c r="L709" s="150"/>
      <c r="M709" s="583"/>
      <c r="N709" s="583"/>
      <c r="O709" s="150"/>
      <c r="P709" s="150"/>
      <c r="Q709" s="150"/>
      <c r="R709" s="150"/>
      <c r="S709" s="150"/>
      <c r="T709" s="150"/>
      <c r="U709" s="150"/>
      <c r="V709" s="150"/>
      <c r="W709" s="150"/>
      <c r="X709" s="150"/>
      <c r="Y709" s="150"/>
      <c r="Z709" s="150"/>
      <c r="AA709" s="150"/>
      <c r="AB709" s="150"/>
      <c r="AC709" s="150"/>
      <c r="AD709" s="150"/>
      <c r="AE709" s="150"/>
    </row>
    <row r="710" spans="1:31" ht="15">
      <c r="A710" s="150"/>
      <c r="B710" s="150"/>
      <c r="C710" s="150"/>
      <c r="D710" s="150"/>
      <c r="E710" s="150"/>
      <c r="F710" s="150"/>
      <c r="G710" s="583"/>
      <c r="H710" s="583"/>
      <c r="I710" s="583"/>
      <c r="J710" s="1767"/>
      <c r="K710" s="1767"/>
      <c r="L710" s="150"/>
      <c r="M710" s="583"/>
      <c r="N710" s="583"/>
      <c r="O710" s="150"/>
      <c r="P710" s="150"/>
      <c r="Q710" s="150"/>
      <c r="R710" s="150"/>
      <c r="S710" s="150"/>
      <c r="T710" s="150"/>
      <c r="U710" s="150"/>
      <c r="V710" s="150"/>
      <c r="W710" s="150"/>
      <c r="X710" s="150"/>
      <c r="Y710" s="150"/>
      <c r="Z710" s="150"/>
      <c r="AA710" s="150"/>
      <c r="AB710" s="150"/>
      <c r="AC710" s="150"/>
      <c r="AD710" s="150"/>
      <c r="AE710" s="150"/>
    </row>
    <row r="711" spans="1:31" ht="15">
      <c r="A711" s="150"/>
      <c r="B711" s="150"/>
      <c r="C711" s="150"/>
      <c r="D711" s="150"/>
      <c r="E711" s="150"/>
      <c r="F711" s="150"/>
      <c r="G711" s="583"/>
      <c r="H711" s="583"/>
      <c r="I711" s="583"/>
      <c r="J711" s="1767"/>
      <c r="K711" s="1767"/>
      <c r="L711" s="150"/>
      <c r="M711" s="583"/>
      <c r="N711" s="583"/>
      <c r="O711" s="150"/>
      <c r="P711" s="150"/>
      <c r="Q711" s="150"/>
      <c r="R711" s="150"/>
      <c r="S711" s="150"/>
      <c r="T711" s="150"/>
      <c r="U711" s="150"/>
      <c r="V711" s="150"/>
      <c r="W711" s="150"/>
      <c r="X711" s="150"/>
      <c r="Y711" s="150"/>
      <c r="Z711" s="150"/>
      <c r="AA711" s="150"/>
      <c r="AB711" s="150"/>
      <c r="AC711" s="150"/>
      <c r="AD711" s="150"/>
      <c r="AE711" s="150"/>
    </row>
    <row r="712" spans="1:31" ht="15">
      <c r="A712" s="150"/>
      <c r="B712" s="150"/>
      <c r="C712" s="150"/>
      <c r="D712" s="150"/>
      <c r="E712" s="150"/>
      <c r="F712" s="150"/>
      <c r="G712" s="583"/>
      <c r="H712" s="583"/>
      <c r="I712" s="583"/>
      <c r="J712" s="1767"/>
      <c r="K712" s="1767"/>
      <c r="L712" s="150"/>
      <c r="M712" s="583"/>
      <c r="N712" s="583"/>
      <c r="O712" s="150"/>
      <c r="P712" s="150"/>
      <c r="Q712" s="150"/>
      <c r="R712" s="150"/>
      <c r="S712" s="150"/>
      <c r="T712" s="150"/>
      <c r="U712" s="150"/>
      <c r="V712" s="150"/>
      <c r="W712" s="150"/>
      <c r="X712" s="150"/>
      <c r="Y712" s="150"/>
      <c r="Z712" s="150"/>
      <c r="AA712" s="150"/>
      <c r="AB712" s="150"/>
      <c r="AC712" s="150"/>
      <c r="AD712" s="150"/>
      <c r="AE712" s="150"/>
    </row>
    <row r="713" spans="1:31" ht="15">
      <c r="A713" s="150"/>
      <c r="B713" s="150"/>
      <c r="C713" s="150"/>
      <c r="D713" s="150"/>
      <c r="E713" s="150"/>
      <c r="F713" s="150"/>
      <c r="G713" s="583"/>
      <c r="H713" s="583"/>
      <c r="I713" s="583"/>
      <c r="J713" s="1767"/>
      <c r="K713" s="1767"/>
      <c r="L713" s="150"/>
      <c r="M713" s="583"/>
      <c r="N713" s="583"/>
      <c r="O713" s="150"/>
      <c r="P713" s="150"/>
      <c r="Q713" s="150"/>
      <c r="R713" s="150"/>
      <c r="S713" s="150"/>
      <c r="T713" s="150"/>
      <c r="U713" s="150"/>
      <c r="V713" s="150"/>
      <c r="W713" s="150"/>
      <c r="X713" s="150"/>
      <c r="Y713" s="150"/>
      <c r="Z713" s="150"/>
      <c r="AA713" s="150"/>
      <c r="AB713" s="150"/>
      <c r="AC713" s="150"/>
      <c r="AD713" s="150"/>
      <c r="AE713" s="150"/>
    </row>
    <row r="714" spans="1:31" ht="15">
      <c r="A714" s="150"/>
      <c r="B714" s="150"/>
      <c r="C714" s="150"/>
      <c r="D714" s="150"/>
      <c r="E714" s="150"/>
      <c r="F714" s="150"/>
      <c r="G714" s="583"/>
      <c r="H714" s="583"/>
      <c r="I714" s="583"/>
      <c r="J714" s="1767"/>
      <c r="K714" s="1767"/>
      <c r="L714" s="150"/>
      <c r="M714" s="583"/>
      <c r="N714" s="583"/>
      <c r="O714" s="150"/>
      <c r="P714" s="150"/>
      <c r="Q714" s="150"/>
      <c r="R714" s="150"/>
      <c r="S714" s="150"/>
      <c r="T714" s="150"/>
      <c r="U714" s="150"/>
      <c r="V714" s="150"/>
      <c r="W714" s="150"/>
      <c r="X714" s="150"/>
      <c r="Y714" s="150"/>
      <c r="Z714" s="150"/>
      <c r="AA714" s="150"/>
      <c r="AB714" s="150"/>
      <c r="AC714" s="150"/>
      <c r="AD714" s="150"/>
      <c r="AE714" s="150"/>
    </row>
    <row r="715" spans="1:31" ht="15">
      <c r="A715" s="150"/>
      <c r="B715" s="150"/>
      <c r="C715" s="150"/>
      <c r="D715" s="150"/>
      <c r="E715" s="150"/>
      <c r="F715" s="150"/>
      <c r="G715" s="583"/>
      <c r="H715" s="583"/>
      <c r="I715" s="583"/>
      <c r="J715" s="1767"/>
      <c r="K715" s="1767"/>
      <c r="L715" s="150"/>
      <c r="M715" s="583"/>
      <c r="N715" s="583"/>
      <c r="O715" s="150"/>
      <c r="P715" s="150"/>
      <c r="Q715" s="150"/>
      <c r="R715" s="150"/>
      <c r="S715" s="150"/>
      <c r="T715" s="150"/>
      <c r="U715" s="150"/>
      <c r="V715" s="150"/>
      <c r="W715" s="150"/>
      <c r="X715" s="150"/>
      <c r="Y715" s="150"/>
      <c r="Z715" s="150"/>
      <c r="AA715" s="150"/>
      <c r="AB715" s="150"/>
      <c r="AC715" s="150"/>
      <c r="AD715" s="150"/>
      <c r="AE715" s="150"/>
    </row>
    <row r="716" spans="1:31" ht="15">
      <c r="A716" s="150"/>
      <c r="B716" s="150"/>
      <c r="C716" s="150"/>
      <c r="D716" s="150"/>
      <c r="E716" s="150"/>
      <c r="F716" s="150"/>
      <c r="G716" s="583"/>
      <c r="H716" s="583"/>
      <c r="I716" s="583"/>
      <c r="J716" s="1767"/>
      <c r="K716" s="1767"/>
      <c r="L716" s="150"/>
      <c r="M716" s="583"/>
      <c r="N716" s="583"/>
      <c r="O716" s="150"/>
      <c r="P716" s="150"/>
      <c r="Q716" s="150"/>
      <c r="R716" s="150"/>
      <c r="S716" s="150"/>
      <c r="T716" s="150"/>
      <c r="U716" s="150"/>
      <c r="V716" s="150"/>
      <c r="W716" s="150"/>
      <c r="X716" s="150"/>
      <c r="Y716" s="150"/>
      <c r="Z716" s="150"/>
      <c r="AA716" s="150"/>
      <c r="AB716" s="150"/>
      <c r="AC716" s="150"/>
      <c r="AD716" s="150"/>
      <c r="AE716" s="150"/>
    </row>
    <row r="717" spans="1:31" ht="15">
      <c r="A717" s="150"/>
      <c r="B717" s="150"/>
      <c r="C717" s="150"/>
      <c r="D717" s="150"/>
      <c r="E717" s="150"/>
      <c r="F717" s="150"/>
      <c r="G717" s="583"/>
      <c r="H717" s="583"/>
      <c r="I717" s="583"/>
      <c r="J717" s="1767"/>
      <c r="K717" s="1767"/>
      <c r="L717" s="150"/>
      <c r="M717" s="583"/>
      <c r="N717" s="583"/>
      <c r="O717" s="150"/>
      <c r="P717" s="150"/>
      <c r="Q717" s="150"/>
      <c r="R717" s="150"/>
      <c r="S717" s="150"/>
      <c r="T717" s="150"/>
      <c r="U717" s="150"/>
      <c r="V717" s="150"/>
      <c r="W717" s="150"/>
      <c r="X717" s="150"/>
      <c r="Y717" s="150"/>
      <c r="Z717" s="150"/>
      <c r="AA717" s="150"/>
      <c r="AB717" s="150"/>
      <c r="AC717" s="150"/>
      <c r="AD717" s="150"/>
      <c r="AE717" s="150"/>
    </row>
    <row r="718" spans="1:31" ht="15">
      <c r="A718" s="150"/>
      <c r="B718" s="150"/>
      <c r="C718" s="150"/>
      <c r="D718" s="150"/>
      <c r="E718" s="150"/>
      <c r="F718" s="150"/>
      <c r="G718" s="583"/>
      <c r="H718" s="583"/>
      <c r="I718" s="583"/>
      <c r="J718" s="1767"/>
      <c r="K718" s="1767"/>
      <c r="L718" s="150"/>
      <c r="M718" s="583"/>
      <c r="N718" s="583"/>
      <c r="O718" s="150"/>
      <c r="P718" s="150"/>
      <c r="Q718" s="150"/>
      <c r="R718" s="150"/>
      <c r="S718" s="150"/>
      <c r="T718" s="150"/>
      <c r="U718" s="150"/>
      <c r="V718" s="150"/>
      <c r="W718" s="150"/>
      <c r="X718" s="150"/>
      <c r="Y718" s="150"/>
      <c r="Z718" s="150"/>
      <c r="AA718" s="150"/>
      <c r="AB718" s="150"/>
      <c r="AC718" s="150"/>
      <c r="AD718" s="150"/>
      <c r="AE718" s="150"/>
    </row>
    <row r="719" spans="1:31" ht="15">
      <c r="A719" s="150"/>
      <c r="B719" s="150"/>
      <c r="C719" s="150"/>
      <c r="D719" s="150"/>
      <c r="E719" s="150"/>
      <c r="F719" s="150"/>
      <c r="G719" s="583"/>
      <c r="H719" s="583"/>
      <c r="I719" s="583"/>
      <c r="J719" s="1767"/>
      <c r="K719" s="1767"/>
      <c r="L719" s="150"/>
      <c r="M719" s="583"/>
      <c r="N719" s="583"/>
      <c r="O719" s="150"/>
      <c r="P719" s="150"/>
      <c r="Q719" s="150"/>
      <c r="R719" s="150"/>
      <c r="S719" s="150"/>
      <c r="T719" s="150"/>
      <c r="U719" s="150"/>
      <c r="V719" s="150"/>
      <c r="W719" s="150"/>
      <c r="X719" s="150"/>
      <c r="Y719" s="150"/>
      <c r="Z719" s="150"/>
      <c r="AA719" s="150"/>
      <c r="AB719" s="150"/>
      <c r="AC719" s="150"/>
      <c r="AD719" s="150"/>
      <c r="AE719" s="150"/>
    </row>
    <row r="720" spans="1:31" ht="15">
      <c r="A720" s="150"/>
      <c r="B720" s="150"/>
      <c r="C720" s="150"/>
      <c r="D720" s="150"/>
      <c r="E720" s="150"/>
      <c r="F720" s="150"/>
      <c r="G720" s="583"/>
      <c r="H720" s="583"/>
      <c r="I720" s="583"/>
      <c r="J720" s="1767"/>
      <c r="K720" s="1767"/>
      <c r="L720" s="150"/>
      <c r="M720" s="583"/>
      <c r="N720" s="583"/>
      <c r="O720" s="150"/>
      <c r="P720" s="150"/>
      <c r="Q720" s="150"/>
      <c r="R720" s="150"/>
      <c r="S720" s="150"/>
      <c r="T720" s="150"/>
      <c r="U720" s="150"/>
      <c r="V720" s="150"/>
      <c r="W720" s="150"/>
      <c r="X720" s="150"/>
      <c r="Y720" s="150"/>
      <c r="Z720" s="150"/>
      <c r="AA720" s="150"/>
      <c r="AB720" s="150"/>
      <c r="AC720" s="150"/>
      <c r="AD720" s="150"/>
      <c r="AE720" s="150"/>
    </row>
    <row r="721" spans="1:31" ht="15">
      <c r="A721" s="150"/>
      <c r="B721" s="150"/>
      <c r="C721" s="150"/>
      <c r="D721" s="150"/>
      <c r="E721" s="150"/>
      <c r="F721" s="150"/>
      <c r="G721" s="583"/>
      <c r="H721" s="583"/>
      <c r="I721" s="583"/>
      <c r="J721" s="1767"/>
      <c r="K721" s="1767"/>
      <c r="L721" s="150"/>
      <c r="M721" s="583"/>
      <c r="N721" s="583"/>
      <c r="O721" s="150"/>
      <c r="P721" s="150"/>
      <c r="Q721" s="150"/>
      <c r="R721" s="150"/>
      <c r="S721" s="150"/>
      <c r="T721" s="150"/>
      <c r="U721" s="150"/>
      <c r="V721" s="150"/>
      <c r="W721" s="150"/>
      <c r="X721" s="150"/>
      <c r="Y721" s="150"/>
      <c r="Z721" s="150"/>
      <c r="AA721" s="150"/>
      <c r="AB721" s="150"/>
      <c r="AC721" s="150"/>
      <c r="AD721" s="150"/>
      <c r="AE721" s="150"/>
    </row>
    <row r="722" spans="1:31" ht="15">
      <c r="A722" s="150"/>
      <c r="B722" s="150"/>
      <c r="C722" s="150"/>
      <c r="D722" s="150"/>
      <c r="E722" s="150"/>
      <c r="F722" s="150"/>
      <c r="G722" s="583"/>
      <c r="H722" s="583"/>
      <c r="I722" s="583"/>
      <c r="J722" s="1767"/>
      <c r="K722" s="1767"/>
      <c r="L722" s="150"/>
      <c r="M722" s="583"/>
      <c r="N722" s="583"/>
      <c r="O722" s="150"/>
      <c r="P722" s="150"/>
      <c r="Q722" s="150"/>
      <c r="R722" s="150"/>
      <c r="S722" s="150"/>
      <c r="T722" s="150"/>
      <c r="U722" s="150"/>
      <c r="V722" s="150"/>
      <c r="W722" s="150"/>
      <c r="X722" s="150"/>
      <c r="Y722" s="150"/>
      <c r="Z722" s="150"/>
      <c r="AA722" s="150"/>
      <c r="AB722" s="150"/>
      <c r="AC722" s="150"/>
      <c r="AD722" s="150"/>
      <c r="AE722" s="150"/>
    </row>
    <row r="723" spans="1:31" ht="15">
      <c r="A723" s="150"/>
      <c r="B723" s="150"/>
      <c r="C723" s="150"/>
      <c r="D723" s="150"/>
      <c r="E723" s="150"/>
      <c r="F723" s="150"/>
      <c r="G723" s="583"/>
      <c r="H723" s="583"/>
      <c r="I723" s="583"/>
      <c r="J723" s="1767"/>
      <c r="K723" s="1767"/>
      <c r="L723" s="150"/>
      <c r="M723" s="583"/>
      <c r="N723" s="583"/>
      <c r="O723" s="150"/>
      <c r="P723" s="150"/>
      <c r="Q723" s="150"/>
      <c r="R723" s="150"/>
      <c r="S723" s="150"/>
      <c r="T723" s="150"/>
      <c r="U723" s="150"/>
      <c r="V723" s="150"/>
      <c r="W723" s="150"/>
      <c r="X723" s="150"/>
      <c r="Y723" s="150"/>
      <c r="Z723" s="150"/>
      <c r="AA723" s="150"/>
      <c r="AB723" s="150"/>
      <c r="AC723" s="150"/>
      <c r="AD723" s="150"/>
      <c r="AE723" s="150"/>
    </row>
    <row r="724" spans="1:31" ht="15">
      <c r="A724" s="150"/>
      <c r="B724" s="150"/>
      <c r="C724" s="150"/>
      <c r="D724" s="150"/>
      <c r="E724" s="150"/>
      <c r="F724" s="150"/>
      <c r="G724" s="583"/>
      <c r="H724" s="583"/>
      <c r="I724" s="583"/>
      <c r="J724" s="1767"/>
      <c r="K724" s="1767"/>
      <c r="L724" s="150"/>
      <c r="M724" s="583"/>
      <c r="N724" s="583"/>
      <c r="O724" s="150"/>
      <c r="P724" s="150"/>
      <c r="Q724" s="150"/>
      <c r="R724" s="150"/>
      <c r="S724" s="150"/>
      <c r="T724" s="150"/>
      <c r="U724" s="150"/>
      <c r="V724" s="150"/>
      <c r="W724" s="150"/>
      <c r="X724" s="150"/>
      <c r="Y724" s="150"/>
      <c r="Z724" s="150"/>
      <c r="AA724" s="150"/>
      <c r="AB724" s="150"/>
      <c r="AC724" s="150"/>
      <c r="AD724" s="150"/>
      <c r="AE724" s="150"/>
    </row>
    <row r="725" spans="1:31" ht="15">
      <c r="A725" s="150"/>
      <c r="B725" s="150"/>
      <c r="C725" s="150"/>
      <c r="D725" s="150"/>
      <c r="E725" s="150"/>
      <c r="F725" s="150"/>
      <c r="G725" s="583"/>
      <c r="H725" s="583"/>
      <c r="I725" s="583"/>
      <c r="J725" s="1767"/>
      <c r="K725" s="1767"/>
      <c r="L725" s="150"/>
      <c r="M725" s="583"/>
      <c r="N725" s="583"/>
      <c r="O725" s="150"/>
      <c r="P725" s="150"/>
      <c r="Q725" s="150"/>
      <c r="R725" s="150"/>
      <c r="S725" s="150"/>
      <c r="T725" s="150"/>
      <c r="U725" s="150"/>
      <c r="V725" s="150"/>
      <c r="W725" s="150"/>
      <c r="X725" s="150"/>
      <c r="Y725" s="150"/>
      <c r="Z725" s="150"/>
      <c r="AA725" s="150"/>
      <c r="AB725" s="150"/>
      <c r="AC725" s="150"/>
      <c r="AD725" s="150"/>
      <c r="AE725" s="150"/>
    </row>
    <row r="726" spans="1:31" ht="15">
      <c r="A726" s="150"/>
      <c r="B726" s="150"/>
      <c r="C726" s="150"/>
      <c r="D726" s="150"/>
      <c r="E726" s="150"/>
      <c r="F726" s="150"/>
      <c r="G726" s="583"/>
      <c r="H726" s="583"/>
      <c r="I726" s="583"/>
      <c r="J726" s="1767"/>
      <c r="K726" s="1767"/>
      <c r="L726" s="150"/>
      <c r="M726" s="583"/>
      <c r="N726" s="583"/>
      <c r="O726" s="150"/>
      <c r="P726" s="150"/>
      <c r="Q726" s="150"/>
      <c r="R726" s="150"/>
      <c r="S726" s="150"/>
      <c r="T726" s="150"/>
      <c r="U726" s="150"/>
      <c r="V726" s="150"/>
      <c r="W726" s="150"/>
      <c r="X726" s="150"/>
      <c r="Y726" s="150"/>
      <c r="Z726" s="150"/>
      <c r="AA726" s="150"/>
      <c r="AB726" s="150"/>
      <c r="AC726" s="150"/>
      <c r="AD726" s="150"/>
      <c r="AE726" s="150"/>
    </row>
    <row r="727" spans="1:31" ht="15">
      <c r="A727" s="150"/>
      <c r="B727" s="150"/>
      <c r="C727" s="150"/>
      <c r="D727" s="150"/>
      <c r="E727" s="150"/>
      <c r="F727" s="150"/>
      <c r="G727" s="583"/>
      <c r="H727" s="583"/>
      <c r="I727" s="583"/>
      <c r="J727" s="1767"/>
      <c r="K727" s="1767"/>
      <c r="L727" s="150"/>
      <c r="M727" s="583"/>
      <c r="N727" s="583"/>
      <c r="O727" s="150"/>
      <c r="P727" s="150"/>
      <c r="Q727" s="150"/>
      <c r="R727" s="150"/>
      <c r="S727" s="150"/>
      <c r="T727" s="150"/>
      <c r="U727" s="150"/>
      <c r="V727" s="150"/>
      <c r="W727" s="150"/>
      <c r="X727" s="150"/>
      <c r="Y727" s="150"/>
      <c r="Z727" s="150"/>
      <c r="AA727" s="150"/>
      <c r="AB727" s="150"/>
      <c r="AC727" s="150"/>
      <c r="AD727" s="150"/>
      <c r="AE727" s="150"/>
    </row>
    <row r="728" spans="1:31" ht="15">
      <c r="A728" s="150"/>
      <c r="B728" s="150"/>
      <c r="C728" s="150"/>
      <c r="D728" s="150"/>
      <c r="E728" s="150"/>
      <c r="F728" s="150"/>
      <c r="G728" s="583"/>
      <c r="H728" s="583"/>
      <c r="I728" s="583"/>
      <c r="J728" s="1767"/>
      <c r="K728" s="1767"/>
      <c r="L728" s="150"/>
      <c r="M728" s="583"/>
      <c r="N728" s="583"/>
      <c r="O728" s="150"/>
      <c r="P728" s="150"/>
      <c r="Q728" s="150"/>
      <c r="R728" s="150"/>
      <c r="S728" s="150"/>
      <c r="T728" s="150"/>
      <c r="U728" s="150"/>
      <c r="V728" s="150"/>
      <c r="W728" s="150"/>
      <c r="X728" s="150"/>
      <c r="Y728" s="150"/>
      <c r="Z728" s="150"/>
      <c r="AA728" s="150"/>
      <c r="AB728" s="150"/>
      <c r="AC728" s="150"/>
      <c r="AD728" s="150"/>
      <c r="AE728" s="150"/>
    </row>
    <row r="729" spans="1:31" ht="15">
      <c r="A729" s="150"/>
      <c r="B729" s="150"/>
      <c r="C729" s="150"/>
      <c r="D729" s="150"/>
      <c r="E729" s="150"/>
      <c r="F729" s="150"/>
      <c r="G729" s="583"/>
      <c r="H729" s="583"/>
      <c r="I729" s="583"/>
      <c r="J729" s="1767"/>
      <c r="K729" s="1767"/>
      <c r="L729" s="150"/>
      <c r="M729" s="583"/>
      <c r="N729" s="583"/>
      <c r="O729" s="150"/>
      <c r="P729" s="150"/>
      <c r="Q729" s="150"/>
      <c r="R729" s="150"/>
      <c r="S729" s="150"/>
      <c r="T729" s="150"/>
      <c r="U729" s="150"/>
      <c r="V729" s="150"/>
      <c r="W729" s="150"/>
      <c r="X729" s="150"/>
      <c r="Y729" s="150"/>
      <c r="Z729" s="150"/>
      <c r="AA729" s="150"/>
      <c r="AB729" s="150"/>
      <c r="AC729" s="150"/>
      <c r="AD729" s="150"/>
      <c r="AE729" s="150"/>
    </row>
    <row r="730" spans="1:31" ht="15">
      <c r="A730" s="150"/>
      <c r="B730" s="150"/>
      <c r="C730" s="150"/>
      <c r="D730" s="150"/>
      <c r="E730" s="150"/>
      <c r="F730" s="150"/>
      <c r="G730" s="583"/>
      <c r="H730" s="583"/>
      <c r="I730" s="583"/>
      <c r="J730" s="1767"/>
      <c r="K730" s="1767"/>
      <c r="L730" s="150"/>
      <c r="M730" s="583"/>
      <c r="N730" s="583"/>
      <c r="O730" s="150"/>
      <c r="P730" s="150"/>
      <c r="Q730" s="150"/>
      <c r="R730" s="150"/>
      <c r="S730" s="150"/>
      <c r="T730" s="150"/>
      <c r="U730" s="150"/>
      <c r="V730" s="150"/>
      <c r="W730" s="150"/>
      <c r="X730" s="150"/>
      <c r="Y730" s="150"/>
      <c r="Z730" s="150"/>
      <c r="AA730" s="150"/>
      <c r="AB730" s="150"/>
      <c r="AC730" s="150"/>
      <c r="AD730" s="150"/>
      <c r="AE730" s="150"/>
    </row>
    <row r="731" spans="1:31" ht="15">
      <c r="A731" s="150"/>
      <c r="B731" s="150"/>
      <c r="C731" s="150"/>
      <c r="D731" s="150"/>
      <c r="E731" s="150"/>
      <c r="F731" s="150"/>
      <c r="G731" s="583"/>
      <c r="H731" s="583"/>
      <c r="I731" s="583"/>
      <c r="J731" s="1767"/>
      <c r="K731" s="1767"/>
      <c r="L731" s="150"/>
      <c r="M731" s="583"/>
      <c r="N731" s="583"/>
      <c r="O731" s="150"/>
      <c r="P731" s="150"/>
      <c r="Q731" s="150"/>
      <c r="R731" s="150"/>
      <c r="S731" s="150"/>
      <c r="T731" s="150"/>
      <c r="U731" s="150"/>
      <c r="V731" s="150"/>
      <c r="W731" s="150"/>
      <c r="X731" s="150"/>
      <c r="Y731" s="150"/>
      <c r="Z731" s="150"/>
      <c r="AA731" s="150"/>
      <c r="AB731" s="150"/>
      <c r="AC731" s="150"/>
      <c r="AD731" s="150"/>
      <c r="AE731" s="150"/>
    </row>
    <row r="732" spans="1:31" ht="15">
      <c r="A732" s="150"/>
      <c r="B732" s="150"/>
      <c r="C732" s="150"/>
      <c r="D732" s="150"/>
      <c r="E732" s="150"/>
      <c r="F732" s="150"/>
      <c r="G732" s="583"/>
      <c r="H732" s="583"/>
      <c r="I732" s="583"/>
      <c r="J732" s="1767"/>
      <c r="K732" s="1767"/>
      <c r="L732" s="150"/>
      <c r="M732" s="583"/>
      <c r="N732" s="583"/>
      <c r="O732" s="150"/>
      <c r="P732" s="150"/>
      <c r="Q732" s="150"/>
      <c r="R732" s="150"/>
      <c r="S732" s="150"/>
      <c r="T732" s="150"/>
      <c r="U732" s="150"/>
      <c r="V732" s="150"/>
      <c r="W732" s="150"/>
      <c r="X732" s="150"/>
      <c r="Y732" s="150"/>
      <c r="Z732" s="150"/>
      <c r="AA732" s="150"/>
      <c r="AB732" s="150"/>
      <c r="AC732" s="150"/>
      <c r="AD732" s="150"/>
      <c r="AE732" s="150"/>
    </row>
    <row r="733" spans="1:31" ht="15">
      <c r="A733" s="150"/>
      <c r="B733" s="150"/>
      <c r="C733" s="150"/>
      <c r="D733" s="150"/>
      <c r="E733" s="150"/>
      <c r="F733" s="150"/>
      <c r="G733" s="583"/>
      <c r="H733" s="583"/>
      <c r="I733" s="583"/>
      <c r="J733" s="1767"/>
      <c r="K733" s="1767"/>
      <c r="L733" s="150"/>
      <c r="M733" s="583"/>
      <c r="N733" s="583"/>
      <c r="O733" s="150"/>
      <c r="P733" s="150"/>
      <c r="Q733" s="150"/>
      <c r="R733" s="150"/>
      <c r="S733" s="150"/>
      <c r="T733" s="150"/>
      <c r="U733" s="150"/>
      <c r="V733" s="150"/>
      <c r="W733" s="150"/>
      <c r="X733" s="150"/>
      <c r="Y733" s="150"/>
      <c r="Z733" s="150"/>
      <c r="AA733" s="150"/>
      <c r="AB733" s="150"/>
      <c r="AC733" s="150"/>
      <c r="AD733" s="150"/>
      <c r="AE733" s="150"/>
    </row>
    <row r="734" spans="1:31" ht="15">
      <c r="A734" s="150"/>
      <c r="B734" s="150"/>
      <c r="C734" s="150"/>
      <c r="D734" s="150"/>
      <c r="E734" s="150"/>
      <c r="F734" s="150"/>
      <c r="G734" s="583"/>
      <c r="H734" s="583"/>
      <c r="I734" s="583"/>
      <c r="J734" s="1767"/>
      <c r="K734" s="1767"/>
      <c r="L734" s="150"/>
      <c r="M734" s="583"/>
      <c r="N734" s="583"/>
      <c r="O734" s="150"/>
      <c r="P734" s="150"/>
      <c r="Q734" s="150"/>
      <c r="R734" s="150"/>
      <c r="S734" s="150"/>
      <c r="T734" s="150"/>
      <c r="U734" s="150"/>
      <c r="V734" s="150"/>
      <c r="W734" s="150"/>
      <c r="X734" s="150"/>
      <c r="Y734" s="150"/>
      <c r="Z734" s="150"/>
      <c r="AA734" s="150"/>
      <c r="AB734" s="150"/>
      <c r="AC734" s="150"/>
      <c r="AD734" s="150"/>
      <c r="AE734" s="150"/>
    </row>
    <row r="735" spans="1:31" ht="15">
      <c r="A735" s="150"/>
      <c r="B735" s="150"/>
      <c r="C735" s="150"/>
      <c r="D735" s="150"/>
      <c r="E735" s="150"/>
      <c r="F735" s="150"/>
      <c r="G735" s="583"/>
      <c r="H735" s="583"/>
      <c r="I735" s="583"/>
      <c r="J735" s="1767"/>
      <c r="K735" s="1767"/>
      <c r="L735" s="150"/>
      <c r="M735" s="583"/>
      <c r="N735" s="583"/>
      <c r="O735" s="150"/>
      <c r="P735" s="150"/>
      <c r="Q735" s="150"/>
      <c r="R735" s="150"/>
      <c r="S735" s="150"/>
      <c r="T735" s="150"/>
      <c r="U735" s="150"/>
      <c r="V735" s="150"/>
      <c r="W735" s="150"/>
      <c r="X735" s="150"/>
      <c r="Y735" s="150"/>
      <c r="Z735" s="150"/>
      <c r="AA735" s="150"/>
      <c r="AB735" s="150"/>
      <c r="AC735" s="150"/>
      <c r="AD735" s="150"/>
      <c r="AE735" s="150"/>
    </row>
    <row r="736" spans="1:31" ht="15">
      <c r="A736" s="150"/>
      <c r="B736" s="150"/>
      <c r="C736" s="150"/>
      <c r="D736" s="150"/>
      <c r="E736" s="150"/>
      <c r="F736" s="150"/>
      <c r="G736" s="583"/>
      <c r="H736" s="583"/>
      <c r="I736" s="583"/>
      <c r="J736" s="1767"/>
      <c r="K736" s="1767"/>
      <c r="L736" s="150"/>
      <c r="M736" s="583"/>
      <c r="N736" s="583"/>
      <c r="O736" s="150"/>
      <c r="P736" s="150"/>
      <c r="Q736" s="150"/>
      <c r="R736" s="150"/>
      <c r="S736" s="150"/>
      <c r="T736" s="150"/>
      <c r="U736" s="150"/>
      <c r="V736" s="150"/>
      <c r="W736" s="150"/>
      <c r="X736" s="150"/>
      <c r="Y736" s="150"/>
      <c r="Z736" s="150"/>
      <c r="AA736" s="150"/>
      <c r="AB736" s="150"/>
      <c r="AC736" s="150"/>
      <c r="AD736" s="150"/>
      <c r="AE736" s="150"/>
    </row>
    <row r="737" spans="1:31" ht="15">
      <c r="A737" s="150"/>
      <c r="B737" s="150"/>
      <c r="C737" s="150"/>
      <c r="D737" s="150"/>
      <c r="E737" s="150"/>
      <c r="F737" s="150"/>
      <c r="G737" s="583"/>
      <c r="H737" s="583"/>
      <c r="I737" s="583"/>
      <c r="J737" s="1767"/>
      <c r="K737" s="1767"/>
      <c r="L737" s="150"/>
      <c r="M737" s="583"/>
      <c r="N737" s="583"/>
      <c r="O737" s="150"/>
      <c r="P737" s="150"/>
      <c r="Q737" s="150"/>
      <c r="R737" s="150"/>
      <c r="S737" s="150"/>
      <c r="T737" s="150"/>
      <c r="U737" s="150"/>
      <c r="V737" s="150"/>
      <c r="W737" s="150"/>
      <c r="X737" s="150"/>
      <c r="Y737" s="150"/>
      <c r="Z737" s="150"/>
      <c r="AA737" s="150"/>
      <c r="AB737" s="150"/>
      <c r="AC737" s="150"/>
      <c r="AD737" s="150"/>
      <c r="AE737" s="150"/>
    </row>
    <row r="738" spans="1:31" ht="15">
      <c r="A738" s="150"/>
      <c r="B738" s="150"/>
      <c r="C738" s="150"/>
      <c r="D738" s="150"/>
      <c r="E738" s="150"/>
      <c r="F738" s="150"/>
      <c r="G738" s="583"/>
      <c r="H738" s="583"/>
      <c r="I738" s="583"/>
      <c r="J738" s="1767"/>
      <c r="K738" s="1767"/>
      <c r="L738" s="150"/>
      <c r="M738" s="583"/>
      <c r="N738" s="583"/>
      <c r="O738" s="150"/>
      <c r="P738" s="150"/>
      <c r="Q738" s="150"/>
      <c r="R738" s="150"/>
      <c r="S738" s="150"/>
      <c r="T738" s="150"/>
      <c r="U738" s="150"/>
      <c r="V738" s="150"/>
      <c r="W738" s="150"/>
      <c r="X738" s="150"/>
      <c r="Y738" s="150"/>
      <c r="Z738" s="150"/>
      <c r="AA738" s="150"/>
      <c r="AB738" s="150"/>
      <c r="AC738" s="150"/>
      <c r="AD738" s="150"/>
      <c r="AE738" s="150"/>
    </row>
    <row r="739" spans="1:31" ht="15">
      <c r="A739" s="150"/>
      <c r="B739" s="150"/>
      <c r="C739" s="150"/>
      <c r="D739" s="150"/>
      <c r="E739" s="150"/>
      <c r="F739" s="150"/>
      <c r="G739" s="583"/>
      <c r="H739" s="583"/>
      <c r="I739" s="583"/>
      <c r="J739" s="1767"/>
      <c r="K739" s="1767"/>
      <c r="L739" s="150"/>
      <c r="M739" s="583"/>
      <c r="N739" s="583"/>
      <c r="O739" s="150"/>
      <c r="P739" s="150"/>
      <c r="Q739" s="150"/>
      <c r="R739" s="150"/>
      <c r="S739" s="150"/>
      <c r="T739" s="150"/>
      <c r="U739" s="150"/>
      <c r="V739" s="150"/>
      <c r="W739" s="150"/>
      <c r="X739" s="150"/>
      <c r="Y739" s="150"/>
      <c r="Z739" s="150"/>
      <c r="AA739" s="150"/>
      <c r="AB739" s="150"/>
      <c r="AC739" s="150"/>
      <c r="AD739" s="150"/>
      <c r="AE739" s="150"/>
    </row>
    <row r="740" spans="1:31" ht="15">
      <c r="A740" s="150"/>
      <c r="B740" s="150"/>
      <c r="C740" s="150"/>
      <c r="D740" s="150"/>
      <c r="E740" s="150"/>
      <c r="F740" s="150"/>
      <c r="G740" s="583"/>
      <c r="H740" s="583"/>
      <c r="I740" s="583"/>
      <c r="J740" s="1767"/>
      <c r="K740" s="1767"/>
      <c r="L740" s="150"/>
      <c r="M740" s="583"/>
      <c r="N740" s="583"/>
      <c r="O740" s="150"/>
      <c r="P740" s="150"/>
      <c r="Q740" s="150"/>
      <c r="R740" s="150"/>
      <c r="S740" s="150"/>
      <c r="T740" s="150"/>
      <c r="U740" s="150"/>
      <c r="V740" s="150"/>
      <c r="W740" s="150"/>
      <c r="X740" s="150"/>
      <c r="Y740" s="150"/>
      <c r="Z740" s="150"/>
      <c r="AA740" s="150"/>
      <c r="AB740" s="150"/>
      <c r="AC740" s="150"/>
      <c r="AD740" s="150"/>
      <c r="AE740" s="150"/>
    </row>
    <row r="741" spans="1:31" ht="15">
      <c r="A741" s="150"/>
      <c r="B741" s="150"/>
      <c r="C741" s="150"/>
      <c r="D741" s="150"/>
      <c r="E741" s="150"/>
      <c r="F741" s="150"/>
      <c r="G741" s="583"/>
      <c r="H741" s="583"/>
      <c r="I741" s="583"/>
      <c r="J741" s="1767"/>
      <c r="K741" s="1767"/>
      <c r="L741" s="150"/>
      <c r="M741" s="583"/>
      <c r="N741" s="583"/>
      <c r="O741" s="150"/>
      <c r="P741" s="150"/>
      <c r="Q741" s="150"/>
      <c r="R741" s="150"/>
      <c r="S741" s="150"/>
      <c r="T741" s="150"/>
      <c r="U741" s="150"/>
      <c r="V741" s="150"/>
      <c r="W741" s="150"/>
      <c r="X741" s="150"/>
      <c r="Y741" s="150"/>
      <c r="Z741" s="150"/>
      <c r="AA741" s="150"/>
      <c r="AB741" s="150"/>
      <c r="AC741" s="150"/>
      <c r="AD741" s="150"/>
      <c r="AE741" s="150"/>
    </row>
    <row r="742" spans="1:31" ht="15">
      <c r="A742" s="150"/>
      <c r="B742" s="150"/>
      <c r="C742" s="150"/>
      <c r="D742" s="150"/>
      <c r="E742" s="150"/>
      <c r="F742" s="150"/>
      <c r="G742" s="583"/>
      <c r="H742" s="583"/>
      <c r="I742" s="583"/>
      <c r="J742" s="1767"/>
      <c r="K742" s="1767"/>
      <c r="L742" s="150"/>
      <c r="M742" s="583"/>
      <c r="N742" s="583"/>
      <c r="O742" s="150"/>
      <c r="P742" s="150"/>
      <c r="Q742" s="150"/>
      <c r="R742" s="150"/>
      <c r="S742" s="150"/>
      <c r="T742" s="150"/>
      <c r="U742" s="150"/>
      <c r="V742" s="150"/>
      <c r="W742" s="150"/>
      <c r="X742" s="150"/>
      <c r="Y742" s="150"/>
      <c r="Z742" s="150"/>
      <c r="AA742" s="150"/>
      <c r="AB742" s="150"/>
      <c r="AC742" s="150"/>
      <c r="AD742" s="150"/>
      <c r="AE742" s="150"/>
    </row>
    <row r="743" spans="1:31" ht="15">
      <c r="A743" s="150"/>
      <c r="B743" s="150"/>
      <c r="C743" s="150"/>
      <c r="D743" s="150"/>
      <c r="E743" s="150"/>
      <c r="F743" s="150"/>
      <c r="G743" s="583"/>
      <c r="H743" s="583"/>
      <c r="I743" s="583"/>
      <c r="J743" s="1767"/>
      <c r="K743" s="1767"/>
      <c r="L743" s="150"/>
      <c r="M743" s="583"/>
      <c r="N743" s="583"/>
      <c r="O743" s="150"/>
      <c r="P743" s="150"/>
      <c r="Q743" s="150"/>
      <c r="R743" s="150"/>
      <c r="S743" s="150"/>
      <c r="T743" s="150"/>
      <c r="U743" s="150"/>
      <c r="V743" s="150"/>
      <c r="W743" s="150"/>
      <c r="X743" s="150"/>
      <c r="Y743" s="150"/>
      <c r="Z743" s="150"/>
      <c r="AA743" s="150"/>
      <c r="AB743" s="150"/>
      <c r="AC743" s="150"/>
      <c r="AD743" s="150"/>
      <c r="AE743" s="150"/>
    </row>
    <row r="744" spans="1:31" ht="15">
      <c r="A744" s="150"/>
      <c r="B744" s="150"/>
      <c r="C744" s="150"/>
      <c r="D744" s="150"/>
      <c r="E744" s="150"/>
      <c r="F744" s="150"/>
      <c r="G744" s="583"/>
      <c r="H744" s="583"/>
      <c r="I744" s="583"/>
      <c r="J744" s="1767"/>
      <c r="K744" s="1767"/>
      <c r="L744" s="150"/>
      <c r="M744" s="583"/>
      <c r="N744" s="583"/>
      <c r="O744" s="150"/>
      <c r="P744" s="150"/>
      <c r="Q744" s="150"/>
      <c r="R744" s="150"/>
      <c r="S744" s="150"/>
      <c r="T744" s="150"/>
      <c r="U744" s="150"/>
      <c r="V744" s="150"/>
      <c r="W744" s="150"/>
      <c r="X744" s="150"/>
      <c r="Y744" s="150"/>
      <c r="Z744" s="150"/>
      <c r="AA744" s="150"/>
      <c r="AB744" s="150"/>
      <c r="AC744" s="150"/>
      <c r="AD744" s="150"/>
      <c r="AE744" s="150"/>
    </row>
    <row r="745" spans="1:31" ht="15">
      <c r="A745" s="150"/>
      <c r="B745" s="150"/>
      <c r="C745" s="150"/>
      <c r="D745" s="150"/>
      <c r="E745" s="150"/>
      <c r="F745" s="150"/>
      <c r="G745" s="583"/>
      <c r="H745" s="583"/>
      <c r="I745" s="583"/>
      <c r="J745" s="1767"/>
      <c r="K745" s="1767"/>
      <c r="L745" s="150"/>
      <c r="M745" s="583"/>
      <c r="N745" s="583"/>
      <c r="O745" s="150"/>
      <c r="P745" s="150"/>
      <c r="Q745" s="150"/>
      <c r="R745" s="150"/>
      <c r="S745" s="150"/>
      <c r="T745" s="150"/>
      <c r="U745" s="150"/>
      <c r="V745" s="150"/>
      <c r="W745" s="150"/>
      <c r="X745" s="150"/>
      <c r="Y745" s="150"/>
      <c r="Z745" s="150"/>
      <c r="AA745" s="150"/>
      <c r="AB745" s="150"/>
      <c r="AC745" s="150"/>
      <c r="AD745" s="150"/>
      <c r="AE745" s="150"/>
    </row>
    <row r="746" spans="1:31" ht="15">
      <c r="A746" s="150"/>
      <c r="B746" s="150"/>
      <c r="C746" s="150"/>
      <c r="D746" s="150"/>
      <c r="E746" s="150"/>
      <c r="F746" s="150"/>
      <c r="G746" s="583"/>
      <c r="H746" s="583"/>
      <c r="I746" s="583"/>
      <c r="J746" s="1767"/>
      <c r="K746" s="1767"/>
      <c r="L746" s="150"/>
      <c r="M746" s="583"/>
      <c r="N746" s="583"/>
      <c r="O746" s="150"/>
      <c r="P746" s="150"/>
      <c r="Q746" s="150"/>
      <c r="R746" s="150"/>
      <c r="S746" s="150"/>
      <c r="T746" s="150"/>
      <c r="U746" s="150"/>
      <c r="V746" s="150"/>
      <c r="W746" s="150"/>
      <c r="X746" s="150"/>
      <c r="Y746" s="150"/>
      <c r="Z746" s="150"/>
      <c r="AA746" s="150"/>
      <c r="AB746" s="150"/>
      <c r="AC746" s="150"/>
      <c r="AD746" s="150"/>
      <c r="AE746" s="150"/>
    </row>
    <row r="747" spans="1:31" ht="15">
      <c r="A747" s="150"/>
      <c r="B747" s="150"/>
      <c r="C747" s="150"/>
      <c r="D747" s="150"/>
      <c r="E747" s="150"/>
      <c r="F747" s="150"/>
      <c r="G747" s="583"/>
      <c r="H747" s="583"/>
      <c r="I747" s="583"/>
      <c r="J747" s="1767"/>
      <c r="K747" s="1767"/>
      <c r="L747" s="150"/>
      <c r="M747" s="583"/>
      <c r="N747" s="583"/>
      <c r="O747" s="150"/>
      <c r="P747" s="150"/>
      <c r="Q747" s="150"/>
      <c r="R747" s="150"/>
      <c r="S747" s="150"/>
      <c r="T747" s="150"/>
      <c r="U747" s="150"/>
      <c r="V747" s="150"/>
      <c r="W747" s="150"/>
      <c r="X747" s="150"/>
      <c r="Y747" s="150"/>
      <c r="Z747" s="150"/>
      <c r="AA747" s="150"/>
      <c r="AB747" s="150"/>
      <c r="AC747" s="150"/>
      <c r="AD747" s="150"/>
      <c r="AE747" s="150"/>
    </row>
    <row r="748" spans="1:31" ht="15">
      <c r="A748" s="150"/>
      <c r="B748" s="150"/>
      <c r="C748" s="150"/>
      <c r="D748" s="150"/>
      <c r="E748" s="150"/>
      <c r="F748" s="150"/>
      <c r="G748" s="583"/>
      <c r="H748" s="583"/>
      <c r="I748" s="583"/>
      <c r="J748" s="1767"/>
      <c r="K748" s="1767"/>
      <c r="L748" s="150"/>
      <c r="M748" s="583"/>
      <c r="N748" s="583"/>
      <c r="O748" s="150"/>
      <c r="P748" s="150"/>
      <c r="Q748" s="150"/>
      <c r="R748" s="150"/>
      <c r="S748" s="150"/>
      <c r="T748" s="150"/>
      <c r="U748" s="150"/>
      <c r="V748" s="150"/>
      <c r="W748" s="150"/>
      <c r="X748" s="150"/>
      <c r="Y748" s="150"/>
      <c r="Z748" s="150"/>
      <c r="AA748" s="150"/>
      <c r="AB748" s="150"/>
      <c r="AC748" s="150"/>
      <c r="AD748" s="150"/>
      <c r="AE748" s="150"/>
    </row>
    <row r="749" spans="1:31" ht="15">
      <c r="A749" s="150"/>
      <c r="B749" s="150"/>
      <c r="C749" s="150"/>
      <c r="D749" s="150"/>
      <c r="E749" s="150"/>
      <c r="F749" s="150"/>
      <c r="G749" s="583"/>
      <c r="H749" s="583"/>
      <c r="I749" s="583"/>
      <c r="J749" s="1767"/>
      <c r="K749" s="1767"/>
      <c r="L749" s="150"/>
      <c r="M749" s="583"/>
      <c r="N749" s="583"/>
      <c r="O749" s="150"/>
      <c r="P749" s="150"/>
      <c r="Q749" s="150"/>
      <c r="R749" s="150"/>
      <c r="S749" s="150"/>
      <c r="T749" s="150"/>
      <c r="U749" s="150"/>
      <c r="V749" s="150"/>
      <c r="W749" s="150"/>
      <c r="X749" s="150"/>
      <c r="Y749" s="150"/>
      <c r="Z749" s="150"/>
      <c r="AA749" s="150"/>
      <c r="AB749" s="150"/>
      <c r="AC749" s="150"/>
      <c r="AD749" s="150"/>
      <c r="AE749" s="150"/>
    </row>
    <row r="750" spans="1:31" ht="15">
      <c r="A750" s="150"/>
      <c r="B750" s="150"/>
      <c r="C750" s="150"/>
      <c r="D750" s="150"/>
      <c r="E750" s="150"/>
      <c r="F750" s="150"/>
      <c r="G750" s="583"/>
      <c r="H750" s="583"/>
      <c r="I750" s="583"/>
      <c r="J750" s="1767"/>
      <c r="K750" s="1767"/>
      <c r="L750" s="150"/>
      <c r="M750" s="583"/>
      <c r="N750" s="583"/>
      <c r="O750" s="150"/>
      <c r="P750" s="150"/>
      <c r="Q750" s="150"/>
      <c r="R750" s="150"/>
      <c r="S750" s="150"/>
      <c r="T750" s="150"/>
      <c r="U750" s="150"/>
      <c r="V750" s="150"/>
      <c r="W750" s="150"/>
      <c r="X750" s="150"/>
      <c r="Y750" s="150"/>
      <c r="Z750" s="150"/>
      <c r="AA750" s="150"/>
      <c r="AB750" s="150"/>
      <c r="AC750" s="150"/>
      <c r="AD750" s="150"/>
      <c r="AE750" s="150"/>
    </row>
    <row r="751" spans="1:31" ht="15">
      <c r="A751" s="150"/>
      <c r="B751" s="150"/>
      <c r="C751" s="150"/>
      <c r="D751" s="150"/>
      <c r="E751" s="150"/>
      <c r="F751" s="150"/>
      <c r="G751" s="583"/>
      <c r="H751" s="583"/>
      <c r="I751" s="583"/>
      <c r="J751" s="1767"/>
      <c r="K751" s="1767"/>
      <c r="L751" s="150"/>
      <c r="M751" s="583"/>
      <c r="N751" s="583"/>
      <c r="O751" s="150"/>
      <c r="P751" s="150"/>
      <c r="Q751" s="150"/>
      <c r="R751" s="150"/>
      <c r="S751" s="150"/>
      <c r="T751" s="150"/>
      <c r="U751" s="150"/>
      <c r="V751" s="150"/>
      <c r="W751" s="150"/>
      <c r="X751" s="150"/>
      <c r="Y751" s="150"/>
      <c r="Z751" s="150"/>
      <c r="AA751" s="150"/>
      <c r="AB751" s="150"/>
      <c r="AC751" s="150"/>
      <c r="AD751" s="150"/>
      <c r="AE751" s="150"/>
    </row>
    <row r="752" spans="1:31" ht="15">
      <c r="A752" s="150"/>
      <c r="B752" s="150"/>
      <c r="C752" s="150"/>
      <c r="D752" s="150"/>
      <c r="E752" s="150"/>
      <c r="F752" s="150"/>
      <c r="G752" s="583"/>
      <c r="H752" s="583"/>
      <c r="I752" s="583"/>
      <c r="J752" s="1767"/>
      <c r="K752" s="1767"/>
      <c r="L752" s="150"/>
      <c r="M752" s="583"/>
      <c r="N752" s="583"/>
      <c r="O752" s="150"/>
      <c r="P752" s="150"/>
      <c r="Q752" s="150"/>
      <c r="R752" s="150"/>
      <c r="S752" s="150"/>
      <c r="T752" s="150"/>
      <c r="U752" s="150"/>
      <c r="V752" s="150"/>
      <c r="W752" s="150"/>
      <c r="X752" s="150"/>
      <c r="Y752" s="150"/>
      <c r="Z752" s="150"/>
      <c r="AA752" s="150"/>
      <c r="AB752" s="150"/>
      <c r="AC752" s="150"/>
      <c r="AD752" s="150"/>
      <c r="AE752" s="150"/>
    </row>
    <row r="753" spans="1:31" ht="15">
      <c r="A753" s="150"/>
      <c r="B753" s="150"/>
      <c r="C753" s="150"/>
      <c r="D753" s="150"/>
      <c r="E753" s="150"/>
      <c r="F753" s="150"/>
      <c r="G753" s="583"/>
      <c r="H753" s="583"/>
      <c r="I753" s="583"/>
      <c r="J753" s="1767"/>
      <c r="K753" s="1767"/>
      <c r="L753" s="150"/>
      <c r="M753" s="583"/>
      <c r="N753" s="583"/>
      <c r="O753" s="150"/>
      <c r="P753" s="150"/>
      <c r="Q753" s="150"/>
      <c r="R753" s="150"/>
      <c r="S753" s="150"/>
      <c r="T753" s="150"/>
      <c r="U753" s="150"/>
      <c r="V753" s="150"/>
      <c r="W753" s="150"/>
      <c r="X753" s="150"/>
      <c r="Y753" s="150"/>
      <c r="Z753" s="150"/>
      <c r="AA753" s="150"/>
      <c r="AB753" s="150"/>
      <c r="AC753" s="150"/>
      <c r="AD753" s="150"/>
      <c r="AE753" s="150"/>
    </row>
    <row r="754" spans="1:31" ht="15">
      <c r="A754" s="150"/>
      <c r="B754" s="150"/>
      <c r="C754" s="150"/>
      <c r="D754" s="150"/>
      <c r="E754" s="150"/>
      <c r="F754" s="150"/>
      <c r="G754" s="583"/>
      <c r="H754" s="583"/>
      <c r="I754" s="583"/>
      <c r="J754" s="1767"/>
      <c r="K754" s="1767"/>
      <c r="L754" s="150"/>
      <c r="M754" s="583"/>
      <c r="N754" s="583"/>
      <c r="O754" s="150"/>
      <c r="P754" s="150"/>
      <c r="Q754" s="150"/>
      <c r="R754" s="150"/>
      <c r="S754" s="150"/>
      <c r="T754" s="150"/>
      <c r="U754" s="150"/>
      <c r="V754" s="150"/>
      <c r="W754" s="150"/>
      <c r="X754" s="150"/>
      <c r="Y754" s="150"/>
      <c r="Z754" s="150"/>
      <c r="AA754" s="150"/>
      <c r="AB754" s="150"/>
      <c r="AC754" s="150"/>
      <c r="AD754" s="150"/>
      <c r="AE754" s="150"/>
    </row>
    <row r="755" spans="1:31" ht="15">
      <c r="A755" s="150"/>
      <c r="B755" s="150"/>
      <c r="C755" s="150"/>
      <c r="D755" s="150"/>
      <c r="E755" s="150"/>
      <c r="F755" s="150"/>
      <c r="G755" s="583"/>
      <c r="H755" s="583"/>
      <c r="I755" s="583"/>
      <c r="J755" s="1767"/>
      <c r="K755" s="1767"/>
      <c r="L755" s="150"/>
      <c r="M755" s="583"/>
      <c r="N755" s="583"/>
      <c r="O755" s="150"/>
      <c r="P755" s="150"/>
      <c r="Q755" s="150"/>
      <c r="R755" s="150"/>
      <c r="S755" s="150"/>
      <c r="T755" s="150"/>
      <c r="U755" s="150"/>
      <c r="V755" s="150"/>
      <c r="W755" s="150"/>
      <c r="X755" s="150"/>
      <c r="Y755" s="150"/>
      <c r="Z755" s="150"/>
      <c r="AA755" s="150"/>
      <c r="AB755" s="150"/>
      <c r="AC755" s="150"/>
      <c r="AD755" s="150"/>
      <c r="AE755" s="150"/>
    </row>
    <row r="756" spans="1:31" ht="15">
      <c r="A756" s="150"/>
      <c r="B756" s="150"/>
      <c r="C756" s="150"/>
      <c r="D756" s="150"/>
      <c r="E756" s="150"/>
      <c r="F756" s="150"/>
      <c r="G756" s="583"/>
      <c r="H756" s="583"/>
      <c r="I756" s="583"/>
      <c r="J756" s="1767"/>
      <c r="K756" s="1767"/>
      <c r="L756" s="150"/>
      <c r="M756" s="583"/>
      <c r="N756" s="583"/>
      <c r="O756" s="150"/>
      <c r="P756" s="150"/>
      <c r="Q756" s="150"/>
      <c r="R756" s="150"/>
      <c r="S756" s="150"/>
      <c r="T756" s="150"/>
      <c r="U756" s="150"/>
      <c r="V756" s="150"/>
      <c r="W756" s="150"/>
      <c r="X756" s="150"/>
      <c r="Y756" s="150"/>
      <c r="Z756" s="150"/>
      <c r="AA756" s="150"/>
      <c r="AB756" s="150"/>
      <c r="AC756" s="150"/>
      <c r="AD756" s="150"/>
      <c r="AE756" s="150"/>
    </row>
    <row r="757" spans="1:31" ht="15">
      <c r="A757" s="150"/>
      <c r="B757" s="150"/>
      <c r="C757" s="150"/>
      <c r="D757" s="150"/>
      <c r="E757" s="150"/>
      <c r="F757" s="150"/>
      <c r="G757" s="583"/>
      <c r="H757" s="583"/>
      <c r="I757" s="583"/>
      <c r="J757" s="1767"/>
      <c r="K757" s="1767"/>
      <c r="L757" s="150"/>
      <c r="M757" s="583"/>
      <c r="N757" s="583"/>
      <c r="O757" s="150"/>
      <c r="P757" s="150"/>
      <c r="Q757" s="150"/>
      <c r="R757" s="150"/>
      <c r="S757" s="150"/>
      <c r="T757" s="150"/>
      <c r="U757" s="150"/>
      <c r="V757" s="150"/>
      <c r="W757" s="150"/>
      <c r="X757" s="150"/>
      <c r="Y757" s="150"/>
      <c r="Z757" s="150"/>
      <c r="AA757" s="150"/>
      <c r="AB757" s="150"/>
      <c r="AC757" s="150"/>
      <c r="AD757" s="150"/>
      <c r="AE757" s="150"/>
    </row>
    <row r="758" spans="1:31" ht="15">
      <c r="A758" s="150"/>
      <c r="B758" s="150"/>
      <c r="C758" s="150"/>
      <c r="D758" s="150"/>
      <c r="E758" s="150"/>
      <c r="F758" s="150"/>
      <c r="G758" s="583"/>
      <c r="H758" s="583"/>
      <c r="I758" s="583"/>
      <c r="J758" s="1767"/>
      <c r="K758" s="1767"/>
      <c r="L758" s="150"/>
      <c r="M758" s="583"/>
      <c r="N758" s="583"/>
      <c r="O758" s="150"/>
      <c r="P758" s="150"/>
      <c r="Q758" s="150"/>
      <c r="R758" s="150"/>
      <c r="S758" s="150"/>
      <c r="T758" s="150"/>
      <c r="U758" s="150"/>
      <c r="V758" s="150"/>
      <c r="W758" s="150"/>
      <c r="X758" s="150"/>
      <c r="Y758" s="150"/>
      <c r="Z758" s="150"/>
      <c r="AA758" s="150"/>
      <c r="AB758" s="150"/>
      <c r="AC758" s="150"/>
      <c r="AD758" s="150"/>
      <c r="AE758" s="150"/>
    </row>
    <row r="759" spans="1:31" ht="15">
      <c r="A759" s="150"/>
      <c r="B759" s="150"/>
      <c r="C759" s="150"/>
      <c r="D759" s="150"/>
      <c r="E759" s="150"/>
      <c r="F759" s="150"/>
      <c r="G759" s="583"/>
      <c r="H759" s="583"/>
      <c r="I759" s="583"/>
      <c r="J759" s="1767"/>
      <c r="K759" s="1767"/>
      <c r="L759" s="150"/>
      <c r="M759" s="583"/>
      <c r="N759" s="583"/>
      <c r="O759" s="150"/>
      <c r="P759" s="150"/>
      <c r="Q759" s="150"/>
      <c r="R759" s="150"/>
      <c r="S759" s="150"/>
      <c r="T759" s="150"/>
      <c r="U759" s="150"/>
      <c r="V759" s="150"/>
      <c r="W759" s="150"/>
      <c r="X759" s="150"/>
      <c r="Y759" s="150"/>
      <c r="Z759" s="150"/>
      <c r="AA759" s="150"/>
      <c r="AB759" s="150"/>
      <c r="AC759" s="150"/>
      <c r="AD759" s="150"/>
      <c r="AE759" s="150"/>
    </row>
    <row r="760" spans="1:31" ht="15">
      <c r="A760" s="150"/>
      <c r="B760" s="150"/>
      <c r="C760" s="150"/>
      <c r="D760" s="150"/>
      <c r="E760" s="150"/>
      <c r="F760" s="150"/>
      <c r="G760" s="583"/>
      <c r="H760" s="583"/>
      <c r="I760" s="583"/>
      <c r="J760" s="1767"/>
      <c r="K760" s="1767"/>
      <c r="L760" s="150"/>
      <c r="M760" s="583"/>
      <c r="N760" s="583"/>
      <c r="O760" s="150"/>
      <c r="P760" s="150"/>
      <c r="Q760" s="150"/>
      <c r="R760" s="150"/>
      <c r="S760" s="150"/>
      <c r="T760" s="150"/>
      <c r="U760" s="150"/>
      <c r="V760" s="150"/>
      <c r="W760" s="150"/>
      <c r="X760" s="150"/>
      <c r="Y760" s="150"/>
      <c r="Z760" s="150"/>
      <c r="AA760" s="150"/>
      <c r="AB760" s="150"/>
      <c r="AC760" s="150"/>
      <c r="AD760" s="150"/>
      <c r="AE760" s="150"/>
    </row>
    <row r="761" spans="1:31" ht="15">
      <c r="A761" s="150"/>
      <c r="B761" s="150"/>
      <c r="C761" s="150"/>
      <c r="D761" s="150"/>
      <c r="E761" s="150"/>
      <c r="F761" s="150"/>
      <c r="G761" s="583"/>
      <c r="H761" s="583"/>
      <c r="I761" s="583"/>
      <c r="J761" s="1767"/>
      <c r="K761" s="1767"/>
      <c r="L761" s="150"/>
      <c r="M761" s="583"/>
      <c r="N761" s="583"/>
      <c r="O761" s="150"/>
      <c r="P761" s="150"/>
      <c r="Q761" s="150"/>
      <c r="R761" s="150"/>
      <c r="S761" s="150"/>
      <c r="T761" s="150"/>
      <c r="U761" s="150"/>
      <c r="V761" s="150"/>
      <c r="W761" s="150"/>
      <c r="X761" s="150"/>
      <c r="Y761" s="150"/>
      <c r="Z761" s="150"/>
      <c r="AA761" s="150"/>
      <c r="AB761" s="150"/>
      <c r="AC761" s="150"/>
      <c r="AD761" s="150"/>
      <c r="AE761" s="150"/>
    </row>
    <row r="762" spans="1:31" ht="15">
      <c r="A762" s="150"/>
      <c r="B762" s="150"/>
      <c r="C762" s="150"/>
      <c r="D762" s="150"/>
      <c r="E762" s="150"/>
      <c r="F762" s="150"/>
      <c r="G762" s="583"/>
      <c r="H762" s="583"/>
      <c r="I762" s="583"/>
      <c r="J762" s="1767"/>
      <c r="K762" s="1767"/>
      <c r="L762" s="150"/>
      <c r="M762" s="583"/>
      <c r="N762" s="583"/>
      <c r="O762" s="150"/>
      <c r="P762" s="150"/>
      <c r="Q762" s="150"/>
      <c r="R762" s="150"/>
      <c r="S762" s="150"/>
      <c r="T762" s="150"/>
      <c r="U762" s="150"/>
      <c r="V762" s="150"/>
      <c r="W762" s="150"/>
      <c r="X762" s="150"/>
      <c r="Y762" s="150"/>
      <c r="Z762" s="150"/>
      <c r="AA762" s="150"/>
      <c r="AB762" s="150"/>
      <c r="AC762" s="150"/>
      <c r="AD762" s="150"/>
      <c r="AE762" s="150"/>
    </row>
    <row r="763" spans="1:31" ht="15">
      <c r="A763" s="150"/>
      <c r="B763" s="150"/>
      <c r="C763" s="150"/>
      <c r="D763" s="150"/>
      <c r="E763" s="150"/>
      <c r="F763" s="150"/>
      <c r="G763" s="583"/>
      <c r="H763" s="583"/>
      <c r="I763" s="583"/>
      <c r="J763" s="1767"/>
      <c r="K763" s="1767"/>
      <c r="L763" s="150"/>
      <c r="M763" s="583"/>
      <c r="N763" s="583"/>
      <c r="O763" s="150"/>
      <c r="P763" s="150"/>
      <c r="Q763" s="150"/>
      <c r="R763" s="150"/>
      <c r="S763" s="150"/>
      <c r="T763" s="150"/>
      <c r="U763" s="150"/>
      <c r="V763" s="150"/>
      <c r="W763" s="150"/>
      <c r="X763" s="150"/>
      <c r="Y763" s="150"/>
      <c r="Z763" s="150"/>
      <c r="AA763" s="150"/>
      <c r="AB763" s="150"/>
      <c r="AC763" s="150"/>
      <c r="AD763" s="150"/>
      <c r="AE763" s="150"/>
    </row>
    <row r="764" spans="1:31" ht="15">
      <c r="A764" s="150"/>
      <c r="B764" s="150"/>
      <c r="C764" s="150"/>
      <c r="D764" s="150"/>
      <c r="E764" s="150"/>
      <c r="F764" s="150"/>
      <c r="G764" s="583"/>
      <c r="H764" s="583"/>
      <c r="I764" s="583"/>
      <c r="J764" s="1767"/>
      <c r="K764" s="1767"/>
      <c r="L764" s="150"/>
      <c r="M764" s="583"/>
      <c r="N764" s="583"/>
      <c r="O764" s="150"/>
      <c r="P764" s="150"/>
      <c r="Q764" s="150"/>
      <c r="R764" s="150"/>
      <c r="S764" s="150"/>
      <c r="T764" s="150"/>
      <c r="U764" s="150"/>
      <c r="V764" s="150"/>
      <c r="W764" s="150"/>
      <c r="X764" s="150"/>
      <c r="Y764" s="150"/>
      <c r="Z764" s="150"/>
      <c r="AA764" s="150"/>
      <c r="AB764" s="150"/>
      <c r="AC764" s="150"/>
      <c r="AD764" s="150"/>
      <c r="AE764" s="150"/>
    </row>
    <row r="765" spans="1:31" ht="15">
      <c r="A765" s="150"/>
      <c r="B765" s="150"/>
      <c r="C765" s="150"/>
      <c r="D765" s="150"/>
      <c r="E765" s="150"/>
      <c r="F765" s="150"/>
      <c r="G765" s="583"/>
      <c r="H765" s="583"/>
      <c r="I765" s="583"/>
      <c r="J765" s="1767"/>
      <c r="K765" s="1767"/>
      <c r="L765" s="150"/>
      <c r="M765" s="583"/>
      <c r="N765" s="583"/>
      <c r="O765" s="150"/>
      <c r="P765" s="150"/>
      <c r="Q765" s="150"/>
      <c r="R765" s="150"/>
      <c r="S765" s="150"/>
      <c r="T765" s="150"/>
      <c r="U765" s="150"/>
      <c r="V765" s="150"/>
      <c r="W765" s="150"/>
      <c r="X765" s="150"/>
      <c r="Y765" s="150"/>
      <c r="Z765" s="150"/>
      <c r="AA765" s="150"/>
      <c r="AB765" s="150"/>
      <c r="AC765" s="150"/>
      <c r="AD765" s="150"/>
      <c r="AE765" s="150"/>
    </row>
    <row r="766" spans="1:31" ht="15">
      <c r="A766" s="150"/>
      <c r="B766" s="150"/>
      <c r="C766" s="150"/>
      <c r="D766" s="150"/>
      <c r="E766" s="150"/>
      <c r="F766" s="150"/>
      <c r="G766" s="583"/>
      <c r="H766" s="583"/>
      <c r="I766" s="583"/>
      <c r="J766" s="1767"/>
      <c r="K766" s="1767"/>
      <c r="L766" s="150"/>
      <c r="M766" s="583"/>
      <c r="N766" s="583"/>
      <c r="O766" s="150"/>
      <c r="P766" s="150"/>
      <c r="Q766" s="150"/>
      <c r="R766" s="150"/>
      <c r="S766" s="150"/>
      <c r="T766" s="150"/>
      <c r="U766" s="150"/>
      <c r="V766" s="150"/>
      <c r="W766" s="150"/>
      <c r="X766" s="150"/>
      <c r="Y766" s="150"/>
      <c r="Z766" s="150"/>
      <c r="AA766" s="150"/>
      <c r="AB766" s="150"/>
      <c r="AC766" s="150"/>
      <c r="AD766" s="150"/>
      <c r="AE766" s="150"/>
    </row>
    <row r="767" spans="1:31" ht="15">
      <c r="A767" s="150"/>
      <c r="B767" s="150"/>
      <c r="C767" s="150"/>
      <c r="D767" s="150"/>
      <c r="E767" s="150"/>
      <c r="F767" s="150"/>
      <c r="G767" s="583"/>
      <c r="H767" s="583"/>
      <c r="I767" s="583"/>
      <c r="J767" s="1767"/>
      <c r="K767" s="1767"/>
      <c r="L767" s="150"/>
      <c r="M767" s="583"/>
      <c r="N767" s="583"/>
      <c r="O767" s="150"/>
      <c r="P767" s="150"/>
      <c r="Q767" s="150"/>
      <c r="R767" s="150"/>
      <c r="S767" s="150"/>
      <c r="T767" s="150"/>
      <c r="U767" s="150"/>
      <c r="V767" s="150"/>
      <c r="W767" s="150"/>
      <c r="X767" s="150"/>
      <c r="Y767" s="150"/>
      <c r="Z767" s="150"/>
      <c r="AA767" s="150"/>
      <c r="AB767" s="150"/>
      <c r="AC767" s="150"/>
      <c r="AD767" s="150"/>
      <c r="AE767" s="150"/>
    </row>
    <row r="768" spans="1:31" ht="15">
      <c r="A768" s="150"/>
      <c r="B768" s="150"/>
      <c r="C768" s="150"/>
      <c r="D768" s="150"/>
      <c r="E768" s="150"/>
      <c r="F768" s="150"/>
      <c r="G768" s="583"/>
      <c r="H768" s="583"/>
      <c r="I768" s="583"/>
      <c r="J768" s="1767"/>
      <c r="K768" s="1767"/>
      <c r="L768" s="150"/>
      <c r="M768" s="583"/>
      <c r="N768" s="583"/>
      <c r="O768" s="150"/>
      <c r="P768" s="150"/>
      <c r="Q768" s="150"/>
      <c r="R768" s="150"/>
      <c r="S768" s="150"/>
      <c r="T768" s="150"/>
      <c r="U768" s="150"/>
      <c r="V768" s="150"/>
      <c r="W768" s="150"/>
      <c r="X768" s="150"/>
      <c r="Y768" s="150"/>
      <c r="Z768" s="150"/>
      <c r="AA768" s="150"/>
      <c r="AB768" s="150"/>
      <c r="AC768" s="150"/>
      <c r="AD768" s="150"/>
      <c r="AE768" s="150"/>
    </row>
    <row r="769" spans="1:31" ht="15">
      <c r="A769" s="150"/>
      <c r="B769" s="150"/>
      <c r="C769" s="150"/>
      <c r="D769" s="150"/>
      <c r="E769" s="150"/>
      <c r="F769" s="150"/>
      <c r="G769" s="583"/>
      <c r="H769" s="583"/>
      <c r="I769" s="583"/>
      <c r="J769" s="1767"/>
      <c r="K769" s="1767"/>
      <c r="L769" s="150"/>
      <c r="M769" s="583"/>
      <c r="N769" s="583"/>
      <c r="O769" s="150"/>
      <c r="P769" s="150"/>
      <c r="Q769" s="150"/>
      <c r="R769" s="150"/>
      <c r="S769" s="150"/>
      <c r="T769" s="150"/>
      <c r="U769" s="150"/>
      <c r="V769" s="150"/>
      <c r="W769" s="150"/>
      <c r="X769" s="150"/>
      <c r="Y769" s="150"/>
      <c r="Z769" s="150"/>
      <c r="AA769" s="150"/>
      <c r="AB769" s="150"/>
      <c r="AC769" s="150"/>
      <c r="AD769" s="150"/>
      <c r="AE769" s="150"/>
    </row>
    <row r="770" spans="1:31" ht="15">
      <c r="A770" s="150"/>
      <c r="B770" s="150"/>
      <c r="C770" s="150"/>
      <c r="D770" s="150"/>
      <c r="E770" s="150"/>
      <c r="F770" s="150"/>
      <c r="G770" s="583"/>
      <c r="H770" s="583"/>
      <c r="I770" s="583"/>
      <c r="J770" s="1767"/>
      <c r="K770" s="1767"/>
      <c r="L770" s="150"/>
      <c r="M770" s="583"/>
      <c r="N770" s="583"/>
      <c r="O770" s="150"/>
      <c r="P770" s="150"/>
      <c r="Q770" s="150"/>
      <c r="R770" s="150"/>
      <c r="S770" s="150"/>
      <c r="T770" s="150"/>
      <c r="U770" s="150"/>
      <c r="V770" s="150"/>
      <c r="W770" s="150"/>
      <c r="X770" s="150"/>
      <c r="Y770" s="150"/>
      <c r="Z770" s="150"/>
      <c r="AA770" s="150"/>
      <c r="AB770" s="150"/>
      <c r="AC770" s="150"/>
      <c r="AD770" s="150"/>
      <c r="AE770" s="150"/>
    </row>
    <row r="771" spans="1:31" ht="15">
      <c r="A771" s="150"/>
      <c r="B771" s="150"/>
      <c r="C771" s="150"/>
      <c r="D771" s="150"/>
      <c r="E771" s="150"/>
      <c r="F771" s="150"/>
      <c r="G771" s="583"/>
      <c r="H771" s="583"/>
      <c r="I771" s="583"/>
      <c r="J771" s="1767"/>
      <c r="K771" s="1767"/>
      <c r="L771" s="150"/>
      <c r="M771" s="583"/>
      <c r="N771" s="583"/>
      <c r="O771" s="150"/>
      <c r="P771" s="150"/>
      <c r="Q771" s="150"/>
      <c r="R771" s="150"/>
      <c r="S771" s="150"/>
      <c r="T771" s="150"/>
      <c r="U771" s="150"/>
      <c r="V771" s="150"/>
      <c r="W771" s="150"/>
      <c r="X771" s="150"/>
      <c r="Y771" s="150"/>
      <c r="Z771" s="150"/>
      <c r="AA771" s="150"/>
      <c r="AB771" s="150"/>
      <c r="AC771" s="150"/>
      <c r="AD771" s="150"/>
      <c r="AE771" s="150"/>
    </row>
    <row r="772" spans="1:31" ht="15">
      <c r="A772" s="150"/>
      <c r="B772" s="150"/>
      <c r="C772" s="150"/>
      <c r="D772" s="150"/>
      <c r="E772" s="150"/>
      <c r="F772" s="150"/>
      <c r="G772" s="583"/>
      <c r="H772" s="583"/>
      <c r="I772" s="583"/>
      <c r="J772" s="1767"/>
      <c r="K772" s="1767"/>
      <c r="L772" s="150"/>
      <c r="M772" s="583"/>
      <c r="N772" s="583"/>
      <c r="O772" s="150"/>
      <c r="P772" s="150"/>
      <c r="Q772" s="150"/>
      <c r="R772" s="150"/>
      <c r="S772" s="150"/>
      <c r="T772" s="150"/>
      <c r="U772" s="150"/>
      <c r="V772" s="150"/>
      <c r="W772" s="150"/>
      <c r="X772" s="150"/>
      <c r="Y772" s="150"/>
      <c r="Z772" s="150"/>
      <c r="AA772" s="150"/>
      <c r="AB772" s="150"/>
      <c r="AC772" s="150"/>
      <c r="AD772" s="150"/>
      <c r="AE772" s="150"/>
    </row>
    <row r="773" spans="1:31" ht="15">
      <c r="A773" s="150"/>
      <c r="B773" s="150"/>
      <c r="C773" s="150"/>
      <c r="D773" s="150"/>
      <c r="E773" s="150"/>
      <c r="F773" s="150"/>
      <c r="G773" s="583"/>
      <c r="H773" s="583"/>
      <c r="I773" s="583"/>
      <c r="J773" s="1767"/>
      <c r="K773" s="1767"/>
      <c r="L773" s="150"/>
      <c r="M773" s="583"/>
      <c r="N773" s="583"/>
      <c r="O773" s="150"/>
      <c r="P773" s="150"/>
      <c r="Q773" s="150"/>
      <c r="R773" s="150"/>
      <c r="S773" s="150"/>
      <c r="T773" s="150"/>
      <c r="U773" s="150"/>
      <c r="V773" s="150"/>
      <c r="W773" s="150"/>
      <c r="X773" s="150"/>
      <c r="Y773" s="150"/>
      <c r="Z773" s="150"/>
      <c r="AA773" s="150"/>
      <c r="AB773" s="150"/>
      <c r="AC773" s="150"/>
      <c r="AD773" s="150"/>
      <c r="AE773" s="150"/>
    </row>
    <row r="774" spans="1:31" ht="15">
      <c r="A774" s="150"/>
      <c r="B774" s="150"/>
      <c r="C774" s="150"/>
      <c r="D774" s="150"/>
      <c r="E774" s="150"/>
      <c r="F774" s="150"/>
      <c r="G774" s="583"/>
      <c r="H774" s="583"/>
      <c r="I774" s="583"/>
      <c r="J774" s="1767"/>
      <c r="K774" s="1767"/>
      <c r="L774" s="150"/>
      <c r="M774" s="583"/>
      <c r="N774" s="583"/>
      <c r="O774" s="150"/>
      <c r="P774" s="150"/>
      <c r="Q774" s="150"/>
      <c r="R774" s="150"/>
      <c r="S774" s="150"/>
      <c r="T774" s="150"/>
      <c r="U774" s="150"/>
      <c r="V774" s="150"/>
      <c r="W774" s="150"/>
      <c r="X774" s="150"/>
      <c r="Y774" s="150"/>
      <c r="Z774" s="150"/>
      <c r="AA774" s="150"/>
      <c r="AB774" s="150"/>
      <c r="AC774" s="150"/>
      <c r="AD774" s="150"/>
      <c r="AE774" s="150"/>
    </row>
    <row r="775" spans="1:31" ht="15">
      <c r="A775" s="150"/>
      <c r="B775" s="150"/>
      <c r="C775" s="150"/>
      <c r="D775" s="150"/>
      <c r="E775" s="150"/>
      <c r="F775" s="150"/>
      <c r="G775" s="583"/>
      <c r="H775" s="583"/>
      <c r="I775" s="583"/>
      <c r="J775" s="1767"/>
      <c r="K775" s="1767"/>
      <c r="L775" s="150"/>
      <c r="M775" s="583"/>
      <c r="N775" s="583"/>
      <c r="O775" s="150"/>
      <c r="P775" s="150"/>
      <c r="Q775" s="150"/>
      <c r="R775" s="150"/>
      <c r="S775" s="150"/>
      <c r="T775" s="150"/>
      <c r="U775" s="150"/>
      <c r="V775" s="150"/>
      <c r="W775" s="150"/>
      <c r="X775" s="150"/>
      <c r="Y775" s="150"/>
      <c r="Z775" s="150"/>
      <c r="AA775" s="150"/>
      <c r="AB775" s="150"/>
      <c r="AC775" s="150"/>
      <c r="AD775" s="150"/>
      <c r="AE775" s="150"/>
    </row>
    <row r="776" spans="1:31" ht="15">
      <c r="A776" s="150"/>
      <c r="B776" s="150"/>
      <c r="C776" s="150"/>
      <c r="D776" s="150"/>
      <c r="E776" s="150"/>
      <c r="F776" s="150"/>
      <c r="G776" s="583"/>
      <c r="H776" s="583"/>
      <c r="I776" s="583"/>
      <c r="J776" s="1767"/>
      <c r="K776" s="1767"/>
      <c r="L776" s="150"/>
      <c r="M776" s="583"/>
      <c r="N776" s="583"/>
      <c r="O776" s="150"/>
      <c r="P776" s="150"/>
      <c r="Q776" s="150"/>
      <c r="R776" s="150"/>
      <c r="S776" s="150"/>
      <c r="T776" s="150"/>
      <c r="U776" s="150"/>
      <c r="V776" s="150"/>
      <c r="W776" s="150"/>
      <c r="X776" s="150"/>
      <c r="Y776" s="150"/>
      <c r="Z776" s="150"/>
      <c r="AA776" s="150"/>
      <c r="AB776" s="150"/>
      <c r="AC776" s="150"/>
      <c r="AD776" s="150"/>
      <c r="AE776" s="150"/>
    </row>
    <row r="777" spans="1:31" ht="15">
      <c r="A777" s="150"/>
      <c r="B777" s="150"/>
      <c r="C777" s="150"/>
      <c r="D777" s="150"/>
      <c r="E777" s="150"/>
      <c r="F777" s="150"/>
      <c r="G777" s="583"/>
      <c r="H777" s="583"/>
      <c r="I777" s="583"/>
      <c r="J777" s="1767"/>
      <c r="K777" s="1767"/>
      <c r="L777" s="150"/>
      <c r="M777" s="583"/>
      <c r="N777" s="583"/>
      <c r="O777" s="150"/>
      <c r="P777" s="150"/>
      <c r="Q777" s="150"/>
      <c r="R777" s="150"/>
      <c r="S777" s="150"/>
      <c r="T777" s="150"/>
      <c r="U777" s="150"/>
      <c r="V777" s="150"/>
      <c r="W777" s="150"/>
      <c r="X777" s="150"/>
      <c r="Y777" s="150"/>
      <c r="Z777" s="150"/>
      <c r="AA777" s="150"/>
      <c r="AB777" s="150"/>
      <c r="AC777" s="150"/>
      <c r="AD777" s="150"/>
      <c r="AE777" s="150"/>
    </row>
    <row r="778" spans="1:31" ht="15">
      <c r="A778" s="150"/>
      <c r="B778" s="150"/>
      <c r="C778" s="150"/>
      <c r="D778" s="150"/>
      <c r="E778" s="150"/>
      <c r="F778" s="150"/>
      <c r="G778" s="583"/>
      <c r="H778" s="583"/>
      <c r="I778" s="583"/>
      <c r="J778" s="1767"/>
      <c r="K778" s="1767"/>
      <c r="L778" s="150"/>
      <c r="M778" s="583"/>
      <c r="N778" s="583"/>
      <c r="O778" s="150"/>
      <c r="P778" s="150"/>
      <c r="Q778" s="150"/>
      <c r="R778" s="150"/>
      <c r="S778" s="150"/>
      <c r="T778" s="150"/>
      <c r="U778" s="150"/>
      <c r="V778" s="150"/>
      <c r="W778" s="150"/>
      <c r="X778" s="150"/>
      <c r="Y778" s="150"/>
      <c r="Z778" s="150"/>
      <c r="AA778" s="150"/>
      <c r="AB778" s="150"/>
      <c r="AC778" s="150"/>
      <c r="AD778" s="150"/>
      <c r="AE778" s="150"/>
    </row>
    <row r="779" spans="1:31" ht="15">
      <c r="A779" s="150"/>
      <c r="B779" s="150"/>
      <c r="C779" s="150"/>
      <c r="D779" s="150"/>
      <c r="E779" s="150"/>
      <c r="F779" s="150"/>
      <c r="G779" s="583"/>
      <c r="H779" s="583"/>
      <c r="I779" s="583"/>
      <c r="J779" s="1767"/>
      <c r="K779" s="1767"/>
      <c r="L779" s="150"/>
      <c r="M779" s="583"/>
      <c r="N779" s="583"/>
      <c r="O779" s="150"/>
      <c r="P779" s="150"/>
      <c r="Q779" s="150"/>
      <c r="R779" s="150"/>
      <c r="S779" s="150"/>
      <c r="T779" s="150"/>
      <c r="U779" s="150"/>
      <c r="V779" s="150"/>
      <c r="W779" s="150"/>
      <c r="X779" s="150"/>
      <c r="Y779" s="150"/>
      <c r="Z779" s="150"/>
      <c r="AA779" s="150"/>
      <c r="AB779" s="150"/>
      <c r="AC779" s="150"/>
      <c r="AD779" s="150"/>
      <c r="AE779" s="150"/>
    </row>
    <row r="780" spans="1:31" ht="15">
      <c r="A780" s="150"/>
      <c r="B780" s="150"/>
      <c r="C780" s="150"/>
      <c r="D780" s="150"/>
      <c r="E780" s="150"/>
      <c r="F780" s="150"/>
      <c r="G780" s="583"/>
      <c r="H780" s="583"/>
      <c r="I780" s="583"/>
      <c r="J780" s="1767"/>
      <c r="K780" s="1767"/>
      <c r="L780" s="150"/>
      <c r="M780" s="583"/>
      <c r="N780" s="583"/>
      <c r="O780" s="150"/>
      <c r="P780" s="150"/>
      <c r="Q780" s="150"/>
      <c r="R780" s="150"/>
      <c r="S780" s="150"/>
      <c r="T780" s="150"/>
      <c r="U780" s="150"/>
      <c r="V780" s="150"/>
      <c r="W780" s="150"/>
      <c r="X780" s="150"/>
      <c r="Y780" s="150"/>
      <c r="Z780" s="150"/>
      <c r="AA780" s="150"/>
      <c r="AB780" s="150"/>
      <c r="AC780" s="150"/>
      <c r="AD780" s="150"/>
      <c r="AE780" s="150"/>
    </row>
    <row r="781" spans="1:31" ht="15">
      <c r="A781" s="150"/>
      <c r="B781" s="150"/>
      <c r="C781" s="150"/>
      <c r="D781" s="150"/>
      <c r="E781" s="150"/>
      <c r="F781" s="150"/>
      <c r="G781" s="583"/>
      <c r="H781" s="583"/>
      <c r="I781" s="583"/>
      <c r="J781" s="1767"/>
      <c r="K781" s="1767"/>
      <c r="L781" s="150"/>
      <c r="M781" s="583"/>
      <c r="N781" s="583"/>
      <c r="O781" s="150"/>
      <c r="P781" s="150"/>
      <c r="Q781" s="150"/>
      <c r="R781" s="150"/>
      <c r="S781" s="150"/>
      <c r="T781" s="150"/>
      <c r="U781" s="150"/>
      <c r="V781" s="150"/>
      <c r="W781" s="150"/>
      <c r="X781" s="150"/>
      <c r="Y781" s="150"/>
      <c r="Z781" s="150"/>
      <c r="AA781" s="150"/>
      <c r="AB781" s="150"/>
      <c r="AC781" s="150"/>
      <c r="AD781" s="150"/>
      <c r="AE781" s="150"/>
    </row>
    <row r="782" spans="1:31" ht="15">
      <c r="A782" s="150"/>
      <c r="B782" s="150"/>
      <c r="C782" s="150"/>
      <c r="D782" s="150"/>
      <c r="E782" s="150"/>
      <c r="F782" s="150"/>
      <c r="G782" s="583"/>
      <c r="H782" s="583"/>
      <c r="I782" s="583"/>
      <c r="J782" s="1767"/>
      <c r="K782" s="1767"/>
      <c r="L782" s="150"/>
      <c r="M782" s="583"/>
      <c r="N782" s="583"/>
      <c r="O782" s="150"/>
      <c r="P782" s="150"/>
      <c r="Q782" s="150"/>
      <c r="R782" s="150"/>
      <c r="S782" s="150"/>
      <c r="T782" s="150"/>
      <c r="U782" s="150"/>
      <c r="V782" s="150"/>
      <c r="W782" s="150"/>
      <c r="X782" s="150"/>
      <c r="Y782" s="150"/>
      <c r="Z782" s="150"/>
      <c r="AA782" s="150"/>
      <c r="AB782" s="150"/>
      <c r="AC782" s="150"/>
      <c r="AD782" s="150"/>
      <c r="AE782" s="150"/>
    </row>
    <row r="783" spans="1:31" ht="15">
      <c r="A783" s="150"/>
      <c r="B783" s="150"/>
      <c r="C783" s="150"/>
      <c r="D783" s="150"/>
      <c r="E783" s="150"/>
      <c r="F783" s="150"/>
      <c r="G783" s="583"/>
      <c r="H783" s="583"/>
      <c r="I783" s="583"/>
      <c r="J783" s="1767"/>
      <c r="K783" s="1767"/>
      <c r="L783" s="150"/>
      <c r="M783" s="583"/>
      <c r="N783" s="583"/>
      <c r="O783" s="150"/>
      <c r="P783" s="150"/>
      <c r="Q783" s="150"/>
      <c r="R783" s="150"/>
      <c r="S783" s="150"/>
      <c r="T783" s="150"/>
      <c r="U783" s="150"/>
      <c r="V783" s="150"/>
      <c r="W783" s="150"/>
      <c r="X783" s="150"/>
      <c r="Y783" s="150"/>
      <c r="Z783" s="150"/>
      <c r="AA783" s="150"/>
      <c r="AB783" s="150"/>
      <c r="AC783" s="150"/>
      <c r="AD783" s="150"/>
      <c r="AE783" s="150"/>
    </row>
    <row r="784" spans="1:31" ht="15">
      <c r="A784" s="150"/>
      <c r="B784" s="150"/>
      <c r="C784" s="150"/>
      <c r="D784" s="150"/>
      <c r="E784" s="150"/>
      <c r="F784" s="150"/>
      <c r="G784" s="583"/>
      <c r="H784" s="583"/>
      <c r="I784" s="583"/>
      <c r="J784" s="1767"/>
      <c r="K784" s="1767"/>
      <c r="L784" s="150"/>
      <c r="M784" s="583"/>
      <c r="N784" s="583"/>
      <c r="O784" s="150"/>
      <c r="P784" s="150"/>
      <c r="Q784" s="150"/>
      <c r="R784" s="150"/>
      <c r="S784" s="150"/>
      <c r="T784" s="150"/>
      <c r="U784" s="150"/>
      <c r="V784" s="150"/>
      <c r="W784" s="150"/>
      <c r="X784" s="150"/>
      <c r="Y784" s="150"/>
      <c r="Z784" s="150"/>
      <c r="AA784" s="150"/>
      <c r="AB784" s="150"/>
      <c r="AC784" s="150"/>
      <c r="AD784" s="150"/>
      <c r="AE784" s="150"/>
    </row>
    <row r="785" spans="1:31" ht="15">
      <c r="A785" s="150"/>
      <c r="B785" s="150"/>
      <c r="C785" s="150"/>
      <c r="D785" s="150"/>
      <c r="E785" s="150"/>
      <c r="F785" s="150"/>
      <c r="G785" s="583"/>
      <c r="H785" s="583"/>
      <c r="I785" s="583"/>
      <c r="J785" s="1767"/>
      <c r="K785" s="1767"/>
      <c r="L785" s="150"/>
      <c r="M785" s="583"/>
      <c r="N785" s="583"/>
      <c r="O785" s="150"/>
      <c r="P785" s="150"/>
      <c r="Q785" s="150"/>
      <c r="R785" s="150"/>
      <c r="S785" s="150"/>
      <c r="T785" s="150"/>
      <c r="U785" s="150"/>
      <c r="V785" s="150"/>
      <c r="W785" s="150"/>
      <c r="X785" s="150"/>
      <c r="Y785" s="150"/>
      <c r="Z785" s="150"/>
      <c r="AA785" s="150"/>
      <c r="AB785" s="150"/>
      <c r="AC785" s="150"/>
      <c r="AD785" s="150"/>
      <c r="AE785" s="150"/>
    </row>
    <row r="786" spans="1:31" ht="15">
      <c r="A786" s="150"/>
      <c r="B786" s="150"/>
      <c r="C786" s="150"/>
      <c r="D786" s="150"/>
      <c r="E786" s="150"/>
      <c r="F786" s="150"/>
      <c r="G786" s="583"/>
      <c r="H786" s="583"/>
      <c r="I786" s="583"/>
      <c r="J786" s="1767"/>
      <c r="K786" s="1767"/>
      <c r="L786" s="150"/>
      <c r="M786" s="583"/>
      <c r="N786" s="583"/>
      <c r="O786" s="150"/>
      <c r="P786" s="150"/>
      <c r="Q786" s="150"/>
      <c r="R786" s="150"/>
      <c r="S786" s="150"/>
      <c r="T786" s="150"/>
      <c r="U786" s="150"/>
      <c r="V786" s="150"/>
      <c r="W786" s="150"/>
      <c r="X786" s="150"/>
      <c r="Y786" s="150"/>
      <c r="Z786" s="150"/>
      <c r="AA786" s="150"/>
      <c r="AB786" s="150"/>
      <c r="AC786" s="150"/>
      <c r="AD786" s="150"/>
      <c r="AE786" s="150"/>
    </row>
    <row r="787" spans="1:31" ht="15">
      <c r="A787" s="150"/>
      <c r="B787" s="150"/>
      <c r="C787" s="150"/>
      <c r="D787" s="150"/>
      <c r="E787" s="150"/>
      <c r="F787" s="150"/>
      <c r="G787" s="583"/>
      <c r="H787" s="583"/>
      <c r="I787" s="583"/>
      <c r="J787" s="1767"/>
      <c r="K787" s="1767"/>
      <c r="L787" s="150"/>
      <c r="M787" s="583"/>
      <c r="N787" s="583"/>
      <c r="O787" s="150"/>
      <c r="P787" s="150"/>
      <c r="Q787" s="150"/>
      <c r="R787" s="150"/>
      <c r="S787" s="150"/>
      <c r="T787" s="150"/>
      <c r="U787" s="150"/>
      <c r="V787" s="150"/>
      <c r="W787" s="150"/>
      <c r="X787" s="150"/>
      <c r="Y787" s="150"/>
      <c r="Z787" s="150"/>
      <c r="AA787" s="150"/>
      <c r="AB787" s="150"/>
      <c r="AC787" s="150"/>
      <c r="AD787" s="150"/>
      <c r="AE787" s="150"/>
    </row>
    <row r="788" spans="1:31" ht="15">
      <c r="A788" s="150"/>
      <c r="B788" s="150"/>
      <c r="C788" s="150"/>
      <c r="D788" s="150"/>
      <c r="E788" s="150"/>
      <c r="F788" s="150"/>
      <c r="G788" s="583"/>
      <c r="H788" s="583"/>
      <c r="I788" s="583"/>
      <c r="J788" s="1767"/>
      <c r="K788" s="1767"/>
      <c r="L788" s="150"/>
      <c r="M788" s="583"/>
      <c r="N788" s="583"/>
      <c r="O788" s="150"/>
      <c r="P788" s="150"/>
      <c r="Q788" s="150"/>
      <c r="R788" s="150"/>
      <c r="S788" s="150"/>
      <c r="T788" s="150"/>
      <c r="U788" s="150"/>
      <c r="V788" s="150"/>
      <c r="W788" s="150"/>
      <c r="X788" s="150"/>
      <c r="Y788" s="150"/>
      <c r="Z788" s="150"/>
      <c r="AA788" s="150"/>
      <c r="AB788" s="150"/>
      <c r="AC788" s="150"/>
      <c r="AD788" s="150"/>
      <c r="AE788" s="150"/>
    </row>
    <row r="789" spans="1:31" ht="15">
      <c r="A789" s="150"/>
      <c r="B789" s="150"/>
      <c r="C789" s="150"/>
      <c r="D789" s="150"/>
      <c r="E789" s="150"/>
      <c r="F789" s="150"/>
      <c r="G789" s="583"/>
      <c r="H789" s="583"/>
      <c r="I789" s="583"/>
      <c r="J789" s="1767"/>
      <c r="K789" s="1767"/>
      <c r="L789" s="150"/>
      <c r="M789" s="583"/>
      <c r="N789" s="583"/>
      <c r="O789" s="150"/>
      <c r="P789" s="150"/>
      <c r="Q789" s="150"/>
      <c r="R789" s="150"/>
      <c r="S789" s="150"/>
      <c r="T789" s="150"/>
      <c r="U789" s="150"/>
      <c r="V789" s="150"/>
      <c r="W789" s="150"/>
      <c r="X789" s="150"/>
      <c r="Y789" s="150"/>
      <c r="Z789" s="150"/>
      <c r="AA789" s="150"/>
      <c r="AB789" s="150"/>
      <c r="AC789" s="150"/>
      <c r="AD789" s="150"/>
      <c r="AE789" s="150"/>
    </row>
    <row r="790" spans="1:31" ht="15">
      <c r="A790" s="150"/>
      <c r="B790" s="150"/>
      <c r="C790" s="150"/>
      <c r="D790" s="150"/>
      <c r="E790" s="150"/>
      <c r="F790" s="150"/>
      <c r="G790" s="583"/>
      <c r="H790" s="583"/>
      <c r="I790" s="583"/>
      <c r="J790" s="1767"/>
      <c r="K790" s="1767"/>
      <c r="L790" s="150"/>
      <c r="M790" s="583"/>
      <c r="N790" s="583"/>
      <c r="O790" s="150"/>
      <c r="P790" s="150"/>
      <c r="Q790" s="150"/>
      <c r="R790" s="150"/>
      <c r="S790" s="150"/>
      <c r="T790" s="150"/>
      <c r="U790" s="150"/>
      <c r="V790" s="150"/>
      <c r="W790" s="150"/>
      <c r="X790" s="150"/>
      <c r="Y790" s="150"/>
      <c r="Z790" s="150"/>
      <c r="AA790" s="150"/>
      <c r="AB790" s="150"/>
      <c r="AC790" s="150"/>
      <c r="AD790" s="150"/>
      <c r="AE790" s="150"/>
    </row>
    <row r="791" spans="1:31" ht="15">
      <c r="A791" s="150"/>
      <c r="B791" s="150"/>
      <c r="C791" s="150"/>
      <c r="D791" s="150"/>
      <c r="E791" s="150"/>
      <c r="F791" s="150"/>
      <c r="G791" s="583"/>
      <c r="H791" s="583"/>
      <c r="I791" s="583"/>
      <c r="J791" s="1767"/>
      <c r="K791" s="1767"/>
      <c r="L791" s="150"/>
      <c r="M791" s="583"/>
      <c r="N791" s="583"/>
      <c r="O791" s="150"/>
      <c r="P791" s="150"/>
      <c r="Q791" s="150"/>
      <c r="R791" s="150"/>
      <c r="S791" s="150"/>
      <c r="T791" s="150"/>
      <c r="U791" s="150"/>
      <c r="V791" s="150"/>
      <c r="W791" s="150"/>
      <c r="X791" s="150"/>
      <c r="Y791" s="150"/>
      <c r="Z791" s="150"/>
      <c r="AA791" s="150"/>
      <c r="AB791" s="150"/>
      <c r="AC791" s="150"/>
      <c r="AD791" s="150"/>
      <c r="AE791" s="150"/>
    </row>
    <row r="792" spans="1:31" ht="15">
      <c r="A792" s="150"/>
      <c r="B792" s="150"/>
      <c r="C792" s="150"/>
      <c r="D792" s="150"/>
      <c r="E792" s="150"/>
      <c r="F792" s="150"/>
      <c r="G792" s="583"/>
      <c r="H792" s="583"/>
      <c r="I792" s="583"/>
      <c r="J792" s="1767"/>
      <c r="K792" s="1767"/>
      <c r="L792" s="150"/>
      <c r="M792" s="583"/>
      <c r="N792" s="583"/>
      <c r="O792" s="150"/>
      <c r="P792" s="150"/>
      <c r="Q792" s="150"/>
      <c r="R792" s="150"/>
      <c r="S792" s="150"/>
      <c r="T792" s="150"/>
      <c r="U792" s="150"/>
      <c r="V792" s="150"/>
      <c r="W792" s="150"/>
      <c r="X792" s="150"/>
      <c r="Y792" s="150"/>
      <c r="Z792" s="150"/>
      <c r="AA792" s="150"/>
      <c r="AB792" s="150"/>
      <c r="AC792" s="150"/>
      <c r="AD792" s="150"/>
      <c r="AE792" s="150"/>
    </row>
    <row r="793" spans="1:31" ht="15">
      <c r="A793" s="150"/>
      <c r="B793" s="150"/>
      <c r="C793" s="150"/>
      <c r="D793" s="150"/>
      <c r="E793" s="150"/>
      <c r="F793" s="150"/>
      <c r="G793" s="583"/>
      <c r="H793" s="583"/>
      <c r="I793" s="583"/>
      <c r="J793" s="1767"/>
      <c r="K793" s="1767"/>
      <c r="L793" s="150"/>
      <c r="M793" s="583"/>
      <c r="N793" s="583"/>
      <c r="O793" s="150"/>
      <c r="P793" s="150"/>
      <c r="Q793" s="150"/>
      <c r="R793" s="150"/>
      <c r="S793" s="150"/>
      <c r="T793" s="150"/>
      <c r="U793" s="150"/>
      <c r="V793" s="150"/>
      <c r="W793" s="150"/>
      <c r="X793" s="150"/>
      <c r="Y793" s="150"/>
      <c r="Z793" s="150"/>
      <c r="AA793" s="150"/>
      <c r="AB793" s="150"/>
      <c r="AC793" s="150"/>
      <c r="AD793" s="150"/>
      <c r="AE793" s="150"/>
    </row>
    <row r="794" spans="1:31" ht="15">
      <c r="A794" s="150"/>
      <c r="B794" s="150"/>
      <c r="C794" s="150"/>
      <c r="D794" s="150"/>
      <c r="E794" s="150"/>
      <c r="F794" s="150"/>
      <c r="G794" s="583"/>
      <c r="H794" s="583"/>
      <c r="I794" s="583"/>
      <c r="J794" s="1767"/>
      <c r="K794" s="1767"/>
      <c r="L794" s="150"/>
      <c r="M794" s="583"/>
      <c r="N794" s="583"/>
      <c r="O794" s="150"/>
      <c r="P794" s="150"/>
      <c r="Q794" s="150"/>
      <c r="R794" s="150"/>
      <c r="S794" s="150"/>
      <c r="T794" s="150"/>
      <c r="U794" s="150"/>
      <c r="V794" s="150"/>
      <c r="W794" s="150"/>
      <c r="X794" s="150"/>
      <c r="Y794" s="150"/>
      <c r="Z794" s="150"/>
      <c r="AA794" s="150"/>
      <c r="AB794" s="150"/>
      <c r="AC794" s="150"/>
      <c r="AD794" s="150"/>
      <c r="AE794" s="150"/>
    </row>
    <row r="795" spans="1:31" ht="15">
      <c r="A795" s="150"/>
      <c r="B795" s="150"/>
      <c r="C795" s="150"/>
      <c r="D795" s="150"/>
      <c r="E795" s="150"/>
      <c r="F795" s="150"/>
      <c r="G795" s="583"/>
      <c r="H795" s="583"/>
      <c r="I795" s="583"/>
      <c r="J795" s="1767"/>
      <c r="K795" s="1767"/>
      <c r="L795" s="150"/>
      <c r="M795" s="583"/>
      <c r="N795" s="583"/>
      <c r="O795" s="150"/>
      <c r="P795" s="150"/>
      <c r="Q795" s="150"/>
      <c r="R795" s="150"/>
      <c r="S795" s="150"/>
      <c r="T795" s="150"/>
      <c r="U795" s="150"/>
      <c r="V795" s="150"/>
      <c r="W795" s="150"/>
      <c r="X795" s="150"/>
      <c r="Y795" s="150"/>
      <c r="Z795" s="150"/>
      <c r="AA795" s="150"/>
      <c r="AB795" s="150"/>
      <c r="AC795" s="150"/>
      <c r="AD795" s="150"/>
      <c r="AE795" s="150"/>
    </row>
    <row r="796" spans="1:31" ht="15">
      <c r="A796" s="150"/>
      <c r="B796" s="150"/>
      <c r="C796" s="150"/>
      <c r="D796" s="150"/>
      <c r="E796" s="150"/>
      <c r="F796" s="150"/>
      <c r="G796" s="583"/>
      <c r="H796" s="583"/>
      <c r="I796" s="583"/>
      <c r="J796" s="1767"/>
      <c r="K796" s="1767"/>
      <c r="L796" s="150"/>
      <c r="M796" s="583"/>
      <c r="N796" s="583"/>
      <c r="O796" s="150"/>
      <c r="P796" s="150"/>
      <c r="Q796" s="150"/>
      <c r="R796" s="150"/>
      <c r="S796" s="150"/>
      <c r="T796" s="150"/>
      <c r="U796" s="150"/>
      <c r="V796" s="150"/>
      <c r="W796" s="150"/>
      <c r="X796" s="150"/>
      <c r="Y796" s="150"/>
      <c r="Z796" s="150"/>
      <c r="AA796" s="150"/>
      <c r="AB796" s="150"/>
      <c r="AC796" s="150"/>
      <c r="AD796" s="150"/>
      <c r="AE796" s="150"/>
    </row>
    <row r="797" spans="1:31" ht="15">
      <c r="A797" s="150"/>
      <c r="B797" s="150"/>
      <c r="C797" s="150"/>
      <c r="D797" s="150"/>
      <c r="E797" s="150"/>
      <c r="F797" s="150"/>
      <c r="G797" s="583"/>
      <c r="H797" s="583"/>
      <c r="I797" s="583"/>
      <c r="J797" s="1767"/>
      <c r="K797" s="1767"/>
      <c r="L797" s="150"/>
      <c r="M797" s="583"/>
      <c r="N797" s="583"/>
      <c r="O797" s="150"/>
      <c r="P797" s="150"/>
      <c r="Q797" s="150"/>
      <c r="R797" s="150"/>
      <c r="S797" s="150"/>
      <c r="T797" s="150"/>
      <c r="U797" s="150"/>
      <c r="V797" s="150"/>
      <c r="W797" s="150"/>
      <c r="X797" s="150"/>
      <c r="Y797" s="150"/>
      <c r="Z797" s="150"/>
      <c r="AA797" s="150"/>
      <c r="AB797" s="150"/>
      <c r="AC797" s="150"/>
      <c r="AD797" s="150"/>
      <c r="AE797" s="150"/>
    </row>
    <row r="798" spans="1:31" ht="15">
      <c r="A798" s="150"/>
      <c r="B798" s="150"/>
      <c r="C798" s="150"/>
      <c r="D798" s="150"/>
      <c r="E798" s="150"/>
      <c r="F798" s="150"/>
      <c r="G798" s="583"/>
      <c r="H798" s="583"/>
      <c r="I798" s="583"/>
      <c r="J798" s="1767"/>
      <c r="K798" s="1767"/>
      <c r="L798" s="150"/>
      <c r="M798" s="583"/>
      <c r="N798" s="583"/>
      <c r="O798" s="150"/>
      <c r="P798" s="150"/>
      <c r="Q798" s="150"/>
      <c r="R798" s="150"/>
      <c r="S798" s="150"/>
      <c r="T798" s="150"/>
      <c r="U798" s="150"/>
      <c r="V798" s="150"/>
      <c r="W798" s="150"/>
      <c r="X798" s="150"/>
      <c r="Y798" s="150"/>
      <c r="Z798" s="150"/>
      <c r="AA798" s="150"/>
      <c r="AB798" s="150"/>
      <c r="AC798" s="150"/>
      <c r="AD798" s="150"/>
      <c r="AE798" s="150"/>
    </row>
    <row r="799" spans="1:31" ht="15">
      <c r="A799" s="150"/>
      <c r="B799" s="150"/>
      <c r="C799" s="150"/>
      <c r="D799" s="150"/>
      <c r="E799" s="150"/>
      <c r="F799" s="150"/>
      <c r="G799" s="583"/>
      <c r="H799" s="583"/>
      <c r="I799" s="583"/>
      <c r="J799" s="1767"/>
      <c r="K799" s="1767"/>
      <c r="L799" s="150"/>
      <c r="M799" s="583"/>
      <c r="N799" s="583"/>
      <c r="O799" s="150"/>
      <c r="P799" s="150"/>
      <c r="Q799" s="150"/>
      <c r="R799" s="150"/>
      <c r="S799" s="150"/>
      <c r="T799" s="150"/>
      <c r="U799" s="150"/>
      <c r="V799" s="150"/>
      <c r="W799" s="150"/>
      <c r="X799" s="150"/>
      <c r="Y799" s="150"/>
      <c r="Z799" s="150"/>
      <c r="AA799" s="150"/>
      <c r="AB799" s="150"/>
      <c r="AC799" s="150"/>
      <c r="AD799" s="150"/>
      <c r="AE799" s="150"/>
    </row>
    <row r="800" spans="1:31" ht="15">
      <c r="A800" s="150"/>
      <c r="B800" s="150"/>
      <c r="C800" s="150"/>
      <c r="D800" s="150"/>
      <c r="E800" s="150"/>
      <c r="F800" s="150"/>
      <c r="G800" s="583"/>
      <c r="H800" s="583"/>
      <c r="I800" s="583"/>
      <c r="J800" s="1767"/>
      <c r="K800" s="1767"/>
      <c r="L800" s="150"/>
      <c r="M800" s="583"/>
      <c r="N800" s="583"/>
      <c r="O800" s="150"/>
      <c r="P800" s="150"/>
      <c r="Q800" s="150"/>
      <c r="R800" s="150"/>
      <c r="S800" s="150"/>
      <c r="T800" s="150"/>
      <c r="U800" s="150"/>
      <c r="V800" s="150"/>
      <c r="W800" s="150"/>
      <c r="X800" s="150"/>
      <c r="Y800" s="150"/>
      <c r="Z800" s="150"/>
      <c r="AA800" s="150"/>
      <c r="AB800" s="150"/>
      <c r="AC800" s="150"/>
      <c r="AD800" s="150"/>
      <c r="AE800" s="150"/>
    </row>
    <row r="801" spans="1:31" ht="15">
      <c r="A801" s="150"/>
      <c r="B801" s="150"/>
      <c r="C801" s="150"/>
      <c r="D801" s="150"/>
      <c r="E801" s="150"/>
      <c r="F801" s="150"/>
      <c r="G801" s="583"/>
      <c r="H801" s="583"/>
      <c r="I801" s="583"/>
      <c r="J801" s="1767"/>
      <c r="K801" s="1767"/>
      <c r="L801" s="150"/>
      <c r="M801" s="583"/>
      <c r="N801" s="583"/>
      <c r="O801" s="150"/>
      <c r="P801" s="150"/>
      <c r="Q801" s="150"/>
      <c r="R801" s="150"/>
      <c r="S801" s="150"/>
      <c r="T801" s="150"/>
      <c r="U801" s="150"/>
      <c r="V801" s="150"/>
      <c r="W801" s="150"/>
      <c r="X801" s="150"/>
      <c r="Y801" s="150"/>
      <c r="Z801" s="150"/>
      <c r="AA801" s="150"/>
      <c r="AB801" s="150"/>
      <c r="AC801" s="150"/>
      <c r="AD801" s="150"/>
      <c r="AE801" s="150"/>
    </row>
    <row r="802" spans="1:31" ht="15">
      <c r="A802" s="150"/>
      <c r="B802" s="150"/>
      <c r="C802" s="150"/>
      <c r="D802" s="150"/>
      <c r="E802" s="150"/>
      <c r="F802" s="150"/>
      <c r="G802" s="583"/>
      <c r="H802" s="583"/>
      <c r="I802" s="583"/>
      <c r="J802" s="1767"/>
      <c r="K802" s="1767"/>
      <c r="L802" s="150"/>
      <c r="M802" s="583"/>
      <c r="N802" s="583"/>
      <c r="O802" s="150"/>
      <c r="P802" s="150"/>
      <c r="Q802" s="150"/>
      <c r="R802" s="150"/>
      <c r="S802" s="150"/>
      <c r="T802" s="150"/>
      <c r="U802" s="150"/>
      <c r="V802" s="150"/>
      <c r="W802" s="150"/>
      <c r="X802" s="150"/>
      <c r="Y802" s="150"/>
      <c r="Z802" s="150"/>
      <c r="AA802" s="150"/>
      <c r="AB802" s="150"/>
      <c r="AC802" s="150"/>
      <c r="AD802" s="150"/>
      <c r="AE802" s="150"/>
    </row>
    <row r="803" spans="1:31" ht="15">
      <c r="A803" s="150"/>
      <c r="B803" s="150"/>
      <c r="C803" s="150"/>
      <c r="D803" s="150"/>
      <c r="E803" s="150"/>
      <c r="F803" s="150"/>
      <c r="G803" s="583"/>
      <c r="H803" s="583"/>
      <c r="I803" s="583"/>
      <c r="J803" s="1767"/>
      <c r="K803" s="1767"/>
      <c r="L803" s="150"/>
      <c r="M803" s="583"/>
      <c r="N803" s="583"/>
      <c r="O803" s="150"/>
      <c r="P803" s="150"/>
      <c r="Q803" s="150"/>
      <c r="R803" s="150"/>
      <c r="S803" s="150"/>
      <c r="T803" s="150"/>
      <c r="U803" s="150"/>
      <c r="V803" s="150"/>
      <c r="W803" s="150"/>
      <c r="X803" s="150"/>
      <c r="Y803" s="150"/>
      <c r="Z803" s="150"/>
      <c r="AA803" s="150"/>
      <c r="AB803" s="150"/>
      <c r="AC803" s="150"/>
      <c r="AD803" s="150"/>
      <c r="AE803" s="150"/>
    </row>
    <row r="804" spans="1:31" ht="15">
      <c r="A804" s="150"/>
      <c r="B804" s="150"/>
      <c r="C804" s="150"/>
      <c r="D804" s="150"/>
      <c r="E804" s="150"/>
      <c r="F804" s="150"/>
      <c r="G804" s="583"/>
      <c r="H804" s="583"/>
      <c r="I804" s="583"/>
      <c r="J804" s="1767"/>
      <c r="K804" s="1767"/>
      <c r="L804" s="150"/>
      <c r="M804" s="583"/>
      <c r="N804" s="583"/>
      <c r="O804" s="150"/>
      <c r="P804" s="150"/>
      <c r="Q804" s="150"/>
      <c r="R804" s="150"/>
      <c r="S804" s="150"/>
      <c r="T804" s="150"/>
      <c r="U804" s="150"/>
      <c r="V804" s="150"/>
      <c r="W804" s="150"/>
      <c r="X804" s="150"/>
      <c r="Y804" s="150"/>
      <c r="Z804" s="150"/>
      <c r="AA804" s="150"/>
      <c r="AB804" s="150"/>
      <c r="AC804" s="150"/>
      <c r="AD804" s="150"/>
      <c r="AE804" s="150"/>
    </row>
    <row r="805" spans="1:31" ht="15">
      <c r="A805" s="150"/>
      <c r="B805" s="150"/>
      <c r="C805" s="150"/>
      <c r="D805" s="150"/>
      <c r="E805" s="150"/>
      <c r="F805" s="150"/>
      <c r="G805" s="583"/>
      <c r="H805" s="583"/>
      <c r="I805" s="583"/>
      <c r="J805" s="1767"/>
      <c r="K805" s="1767"/>
      <c r="L805" s="150"/>
      <c r="M805" s="583"/>
      <c r="N805" s="583"/>
      <c r="O805" s="150"/>
      <c r="P805" s="150"/>
      <c r="Q805" s="150"/>
      <c r="R805" s="150"/>
      <c r="S805" s="150"/>
      <c r="T805" s="150"/>
      <c r="U805" s="150"/>
      <c r="V805" s="150"/>
      <c r="W805" s="150"/>
      <c r="X805" s="150"/>
      <c r="Y805" s="150"/>
      <c r="Z805" s="150"/>
      <c r="AA805" s="150"/>
      <c r="AB805" s="150"/>
      <c r="AC805" s="150"/>
      <c r="AD805" s="150"/>
      <c r="AE805" s="150"/>
    </row>
    <row r="806" spans="1:31" ht="15">
      <c r="A806" s="150"/>
      <c r="B806" s="150"/>
      <c r="C806" s="150"/>
      <c r="D806" s="150"/>
      <c r="E806" s="150"/>
      <c r="F806" s="150"/>
      <c r="G806" s="583"/>
      <c r="H806" s="583"/>
      <c r="I806" s="583"/>
      <c r="J806" s="1767"/>
      <c r="K806" s="1767"/>
      <c r="L806" s="150"/>
      <c r="M806" s="583"/>
      <c r="N806" s="583"/>
      <c r="O806" s="150"/>
      <c r="P806" s="150"/>
      <c r="Q806" s="150"/>
      <c r="R806" s="150"/>
      <c r="S806" s="150"/>
      <c r="T806" s="150"/>
      <c r="U806" s="150"/>
      <c r="V806" s="150"/>
      <c r="W806" s="150"/>
      <c r="X806" s="150"/>
      <c r="Y806" s="150"/>
      <c r="Z806" s="150"/>
      <c r="AA806" s="150"/>
      <c r="AB806" s="150"/>
      <c r="AC806" s="150"/>
      <c r="AD806" s="150"/>
      <c r="AE806" s="150"/>
    </row>
    <row r="807" spans="1:31" ht="15">
      <c r="A807" s="150"/>
      <c r="B807" s="150"/>
      <c r="C807" s="150"/>
      <c r="D807" s="150"/>
      <c r="E807" s="150"/>
      <c r="F807" s="150"/>
      <c r="G807" s="583"/>
      <c r="H807" s="583"/>
      <c r="I807" s="583"/>
      <c r="J807" s="1767"/>
      <c r="K807" s="1767"/>
      <c r="L807" s="150"/>
      <c r="M807" s="583"/>
      <c r="N807" s="583"/>
      <c r="O807" s="150"/>
      <c r="P807" s="150"/>
      <c r="Q807" s="150"/>
      <c r="R807" s="150"/>
      <c r="S807" s="150"/>
      <c r="T807" s="150"/>
      <c r="U807" s="150"/>
      <c r="V807" s="150"/>
      <c r="W807" s="150"/>
      <c r="X807" s="150"/>
      <c r="Y807" s="150"/>
      <c r="Z807" s="150"/>
      <c r="AA807" s="150"/>
      <c r="AB807" s="150"/>
      <c r="AC807" s="150"/>
      <c r="AD807" s="150"/>
      <c r="AE807" s="150"/>
    </row>
    <row r="808" spans="1:31" ht="15">
      <c r="A808" s="150"/>
      <c r="B808" s="150"/>
      <c r="C808" s="150"/>
      <c r="D808" s="150"/>
      <c r="E808" s="150"/>
      <c r="F808" s="150"/>
      <c r="G808" s="583"/>
      <c r="H808" s="583"/>
      <c r="I808" s="583"/>
      <c r="J808" s="1767"/>
      <c r="K808" s="1767"/>
      <c r="L808" s="150"/>
      <c r="M808" s="583"/>
      <c r="N808" s="583"/>
      <c r="O808" s="150"/>
      <c r="P808" s="150"/>
      <c r="Q808" s="150"/>
      <c r="R808" s="150"/>
      <c r="S808" s="150"/>
      <c r="T808" s="150"/>
      <c r="U808" s="150"/>
      <c r="V808" s="150"/>
      <c r="W808" s="150"/>
      <c r="X808" s="150"/>
      <c r="Y808" s="150"/>
      <c r="Z808" s="150"/>
      <c r="AA808" s="150"/>
      <c r="AB808" s="150"/>
      <c r="AC808" s="150"/>
      <c r="AD808" s="150"/>
      <c r="AE808" s="150"/>
    </row>
    <row r="809" spans="1:31" ht="15">
      <c r="A809" s="150"/>
      <c r="B809" s="150"/>
      <c r="C809" s="150"/>
      <c r="D809" s="150"/>
      <c r="E809" s="150"/>
      <c r="F809" s="150"/>
      <c r="G809" s="583"/>
      <c r="H809" s="583"/>
      <c r="I809" s="583"/>
      <c r="J809" s="1767"/>
      <c r="K809" s="1767"/>
      <c r="L809" s="150"/>
      <c r="M809" s="583"/>
      <c r="N809" s="583"/>
      <c r="O809" s="150"/>
      <c r="P809" s="150"/>
      <c r="Q809" s="150"/>
      <c r="R809" s="150"/>
      <c r="S809" s="150"/>
      <c r="T809" s="150"/>
      <c r="U809" s="150"/>
      <c r="V809" s="150"/>
      <c r="W809" s="150"/>
      <c r="X809" s="150"/>
      <c r="Y809" s="150"/>
      <c r="Z809" s="150"/>
      <c r="AA809" s="150"/>
      <c r="AB809" s="150"/>
      <c r="AC809" s="150"/>
      <c r="AD809" s="150"/>
      <c r="AE809" s="150"/>
    </row>
    <row r="810" spans="1:31" ht="15">
      <c r="A810" s="150"/>
      <c r="B810" s="150"/>
      <c r="C810" s="150"/>
      <c r="D810" s="150"/>
      <c r="E810" s="150"/>
      <c r="F810" s="150"/>
      <c r="G810" s="583"/>
      <c r="H810" s="583"/>
      <c r="I810" s="583"/>
      <c r="J810" s="1767"/>
      <c r="K810" s="1767"/>
      <c r="L810" s="150"/>
      <c r="M810" s="583"/>
      <c r="N810" s="583"/>
      <c r="O810" s="150"/>
      <c r="P810" s="150"/>
      <c r="Q810" s="150"/>
      <c r="R810" s="150"/>
      <c r="S810" s="150"/>
      <c r="T810" s="150"/>
      <c r="U810" s="150"/>
      <c r="V810" s="150"/>
      <c r="W810" s="150"/>
      <c r="X810" s="150"/>
      <c r="Y810" s="150"/>
      <c r="Z810" s="150"/>
      <c r="AA810" s="150"/>
      <c r="AB810" s="150"/>
      <c r="AC810" s="150"/>
      <c r="AD810" s="150"/>
      <c r="AE810" s="150"/>
    </row>
    <row r="811" spans="1:31" ht="15">
      <c r="A811" s="150"/>
      <c r="B811" s="150"/>
      <c r="C811" s="150"/>
      <c r="D811" s="150"/>
      <c r="E811" s="150"/>
      <c r="F811" s="150"/>
      <c r="G811" s="583"/>
      <c r="H811" s="583"/>
      <c r="I811" s="583"/>
      <c r="J811" s="1767"/>
      <c r="K811" s="1767"/>
      <c r="L811" s="150"/>
      <c r="M811" s="583"/>
      <c r="N811" s="583"/>
      <c r="O811" s="150"/>
      <c r="P811" s="150"/>
      <c r="Q811" s="150"/>
      <c r="R811" s="150"/>
      <c r="S811" s="150"/>
      <c r="T811" s="150"/>
      <c r="U811" s="150"/>
      <c r="V811" s="150"/>
      <c r="W811" s="150"/>
      <c r="X811" s="150"/>
      <c r="Y811" s="150"/>
      <c r="Z811" s="150"/>
      <c r="AA811" s="150"/>
      <c r="AB811" s="150"/>
      <c r="AC811" s="150"/>
      <c r="AD811" s="150"/>
      <c r="AE811" s="150"/>
    </row>
    <row r="812" spans="1:31" ht="15">
      <c r="A812" s="150"/>
      <c r="B812" s="150"/>
      <c r="C812" s="150"/>
      <c r="D812" s="150"/>
      <c r="E812" s="150"/>
      <c r="F812" s="150"/>
      <c r="G812" s="583"/>
      <c r="H812" s="583"/>
      <c r="I812" s="583"/>
      <c r="J812" s="1767"/>
      <c r="K812" s="1767"/>
      <c r="L812" s="150"/>
      <c r="M812" s="583"/>
      <c r="N812" s="583"/>
      <c r="O812" s="150"/>
      <c r="P812" s="150"/>
      <c r="Q812" s="150"/>
      <c r="R812" s="150"/>
      <c r="S812" s="150"/>
      <c r="T812" s="150"/>
      <c r="U812" s="150"/>
      <c r="V812" s="150"/>
      <c r="W812" s="150"/>
      <c r="X812" s="150"/>
      <c r="Y812" s="150"/>
      <c r="Z812" s="150"/>
      <c r="AA812" s="150"/>
      <c r="AB812" s="150"/>
      <c r="AC812" s="150"/>
      <c r="AD812" s="150"/>
      <c r="AE812" s="150"/>
    </row>
    <row r="813" spans="1:31" ht="15">
      <c r="A813" s="150"/>
      <c r="B813" s="150"/>
      <c r="C813" s="150"/>
      <c r="D813" s="150"/>
      <c r="E813" s="150"/>
      <c r="F813" s="150"/>
      <c r="G813" s="583"/>
      <c r="H813" s="583"/>
      <c r="I813" s="583"/>
      <c r="J813" s="1767"/>
      <c r="K813" s="1767"/>
      <c r="L813" s="150"/>
      <c r="M813" s="583"/>
      <c r="N813" s="583"/>
      <c r="O813" s="150"/>
      <c r="P813" s="150"/>
      <c r="Q813" s="150"/>
      <c r="R813" s="150"/>
      <c r="S813" s="150"/>
      <c r="T813" s="150"/>
      <c r="U813" s="150"/>
      <c r="V813" s="150"/>
      <c r="W813" s="150"/>
      <c r="X813" s="150"/>
      <c r="Y813" s="150"/>
      <c r="Z813" s="150"/>
      <c r="AA813" s="150"/>
      <c r="AB813" s="150"/>
      <c r="AC813" s="150"/>
      <c r="AD813" s="150"/>
      <c r="AE813" s="150"/>
    </row>
    <row r="814" spans="1:31" ht="15">
      <c r="A814" s="150"/>
      <c r="B814" s="150"/>
      <c r="C814" s="150"/>
      <c r="D814" s="150"/>
      <c r="E814" s="150"/>
      <c r="F814" s="150"/>
      <c r="G814" s="583"/>
      <c r="H814" s="583"/>
      <c r="I814" s="583"/>
      <c r="J814" s="1767"/>
      <c r="K814" s="1767"/>
      <c r="L814" s="150"/>
      <c r="M814" s="583"/>
      <c r="N814" s="583"/>
      <c r="O814" s="150"/>
      <c r="P814" s="150"/>
      <c r="Q814" s="150"/>
      <c r="R814" s="150"/>
      <c r="S814" s="150"/>
      <c r="T814" s="150"/>
      <c r="U814" s="150"/>
      <c r="V814" s="150"/>
      <c r="W814" s="150"/>
      <c r="X814" s="150"/>
      <c r="Y814" s="150"/>
      <c r="Z814" s="150"/>
      <c r="AA814" s="150"/>
      <c r="AB814" s="150"/>
      <c r="AC814" s="150"/>
      <c r="AD814" s="150"/>
      <c r="AE814" s="150"/>
    </row>
    <row r="815" spans="1:31" ht="15">
      <c r="A815" s="150"/>
      <c r="B815" s="150"/>
      <c r="C815" s="150"/>
      <c r="D815" s="150"/>
      <c r="E815" s="150"/>
      <c r="F815" s="150"/>
      <c r="G815" s="583"/>
      <c r="H815" s="583"/>
      <c r="I815" s="583"/>
      <c r="J815" s="1767"/>
      <c r="K815" s="1767"/>
      <c r="L815" s="150"/>
      <c r="M815" s="583"/>
      <c r="N815" s="583"/>
      <c r="O815" s="150"/>
      <c r="P815" s="150"/>
      <c r="Q815" s="150"/>
      <c r="R815" s="150"/>
      <c r="S815" s="150"/>
      <c r="T815" s="150"/>
      <c r="U815" s="150"/>
      <c r="V815" s="150"/>
      <c r="W815" s="150"/>
      <c r="X815" s="150"/>
      <c r="Y815" s="150"/>
      <c r="Z815" s="150"/>
      <c r="AA815" s="150"/>
      <c r="AB815" s="150"/>
      <c r="AC815" s="150"/>
      <c r="AD815" s="150"/>
      <c r="AE815" s="150"/>
    </row>
    <row r="816" spans="1:31" ht="15">
      <c r="A816" s="150"/>
      <c r="B816" s="150"/>
      <c r="C816" s="150"/>
      <c r="D816" s="150"/>
      <c r="E816" s="150"/>
      <c r="F816" s="150"/>
      <c r="G816" s="583"/>
      <c r="H816" s="583"/>
      <c r="I816" s="583"/>
      <c r="J816" s="1767"/>
      <c r="K816" s="1767"/>
      <c r="L816" s="150"/>
      <c r="M816" s="583"/>
      <c r="N816" s="583"/>
      <c r="O816" s="150"/>
      <c r="P816" s="150"/>
      <c r="Q816" s="150"/>
      <c r="R816" s="150"/>
      <c r="S816" s="150"/>
      <c r="T816" s="150"/>
      <c r="U816" s="150"/>
      <c r="V816" s="150"/>
      <c r="W816" s="150"/>
      <c r="X816" s="150"/>
      <c r="Y816" s="150"/>
      <c r="Z816" s="150"/>
      <c r="AA816" s="150"/>
      <c r="AB816" s="150"/>
      <c r="AC816" s="150"/>
      <c r="AD816" s="150"/>
      <c r="AE816" s="150"/>
    </row>
    <row r="817" spans="1:31" ht="15">
      <c r="A817" s="150"/>
      <c r="B817" s="150"/>
      <c r="C817" s="150"/>
      <c r="D817" s="150"/>
      <c r="E817" s="150"/>
      <c r="F817" s="150"/>
      <c r="G817" s="583"/>
      <c r="H817" s="583"/>
      <c r="I817" s="583"/>
      <c r="J817" s="1767"/>
      <c r="K817" s="1767"/>
      <c r="L817" s="150"/>
      <c r="M817" s="583"/>
      <c r="N817" s="583"/>
      <c r="O817" s="150"/>
      <c r="P817" s="150"/>
      <c r="Q817" s="150"/>
      <c r="R817" s="150"/>
      <c r="S817" s="150"/>
      <c r="T817" s="150"/>
      <c r="U817" s="150"/>
      <c r="V817" s="150"/>
      <c r="W817" s="150"/>
      <c r="X817" s="150"/>
      <c r="Y817" s="150"/>
      <c r="Z817" s="150"/>
      <c r="AA817" s="150"/>
      <c r="AB817" s="150"/>
      <c r="AC817" s="150"/>
      <c r="AD817" s="150"/>
      <c r="AE817" s="150"/>
    </row>
    <row r="818" spans="1:31" ht="15">
      <c r="A818" s="150"/>
      <c r="B818" s="150"/>
      <c r="C818" s="150"/>
      <c r="D818" s="150"/>
      <c r="E818" s="150"/>
      <c r="F818" s="150"/>
      <c r="G818" s="583"/>
      <c r="H818" s="583"/>
      <c r="I818" s="583"/>
      <c r="J818" s="1767"/>
      <c r="K818" s="1767"/>
      <c r="L818" s="150"/>
      <c r="M818" s="583"/>
      <c r="N818" s="583"/>
      <c r="O818" s="150"/>
      <c r="P818" s="150"/>
      <c r="Q818" s="150"/>
      <c r="R818" s="150"/>
      <c r="S818" s="150"/>
      <c r="T818" s="150"/>
      <c r="U818" s="150"/>
      <c r="V818" s="150"/>
      <c r="W818" s="150"/>
      <c r="X818" s="150"/>
      <c r="Y818" s="150"/>
      <c r="Z818" s="150"/>
      <c r="AA818" s="150"/>
      <c r="AB818" s="150"/>
      <c r="AC818" s="150"/>
      <c r="AD818" s="150"/>
      <c r="AE818" s="150"/>
    </row>
    <row r="819" spans="1:31" ht="15">
      <c r="A819" s="150"/>
      <c r="B819" s="150"/>
      <c r="C819" s="150"/>
      <c r="D819" s="150"/>
      <c r="E819" s="150"/>
      <c r="F819" s="150"/>
      <c r="G819" s="583"/>
      <c r="H819" s="583"/>
      <c r="I819" s="583"/>
      <c r="J819" s="1767"/>
      <c r="K819" s="1767"/>
      <c r="L819" s="150"/>
      <c r="M819" s="583"/>
      <c r="N819" s="583"/>
      <c r="O819" s="150"/>
      <c r="P819" s="150"/>
      <c r="Q819" s="150"/>
      <c r="R819" s="150"/>
      <c r="S819" s="150"/>
      <c r="T819" s="150"/>
      <c r="U819" s="150"/>
      <c r="V819" s="150"/>
      <c r="W819" s="150"/>
      <c r="X819" s="150"/>
      <c r="Y819" s="150"/>
      <c r="Z819" s="150"/>
      <c r="AA819" s="150"/>
      <c r="AB819" s="150"/>
      <c r="AC819" s="150"/>
      <c r="AD819" s="150"/>
      <c r="AE819" s="150"/>
    </row>
    <row r="820" spans="1:31" ht="15">
      <c r="A820" s="150"/>
      <c r="B820" s="150"/>
      <c r="C820" s="150"/>
      <c r="D820" s="150"/>
      <c r="E820" s="150"/>
      <c r="F820" s="150"/>
      <c r="G820" s="583"/>
      <c r="H820" s="583"/>
      <c r="I820" s="583"/>
      <c r="J820" s="1767"/>
      <c r="K820" s="1767"/>
      <c r="L820" s="150"/>
      <c r="M820" s="583"/>
      <c r="N820" s="583"/>
      <c r="O820" s="150"/>
      <c r="P820" s="150"/>
      <c r="Q820" s="150"/>
      <c r="R820" s="150"/>
      <c r="S820" s="150"/>
      <c r="T820" s="150"/>
      <c r="U820" s="150"/>
      <c r="V820" s="150"/>
      <c r="W820" s="150"/>
      <c r="X820" s="150"/>
      <c r="Y820" s="150"/>
      <c r="Z820" s="150"/>
      <c r="AA820" s="150"/>
      <c r="AB820" s="150"/>
      <c r="AC820" s="150"/>
      <c r="AD820" s="150"/>
      <c r="AE820" s="150"/>
    </row>
    <row r="821" spans="1:31" ht="15">
      <c r="A821" s="150"/>
      <c r="B821" s="150"/>
      <c r="C821" s="150"/>
      <c r="D821" s="150"/>
      <c r="E821" s="150"/>
      <c r="F821" s="150"/>
      <c r="G821" s="583"/>
      <c r="H821" s="583"/>
      <c r="I821" s="583"/>
      <c r="J821" s="1767"/>
      <c r="K821" s="1767"/>
      <c r="L821" s="150"/>
      <c r="M821" s="583"/>
      <c r="N821" s="583"/>
      <c r="O821" s="150"/>
      <c r="P821" s="150"/>
      <c r="Q821" s="150"/>
      <c r="R821" s="150"/>
      <c r="S821" s="150"/>
      <c r="T821" s="150"/>
      <c r="U821" s="150"/>
      <c r="V821" s="150"/>
      <c r="W821" s="150"/>
      <c r="X821" s="150"/>
      <c r="Y821" s="150"/>
      <c r="Z821" s="150"/>
      <c r="AA821" s="150"/>
      <c r="AB821" s="150"/>
      <c r="AC821" s="150"/>
      <c r="AD821" s="150"/>
      <c r="AE821" s="150"/>
    </row>
    <row r="822" spans="1:31" ht="15">
      <c r="A822" s="150"/>
      <c r="B822" s="150"/>
      <c r="C822" s="150"/>
      <c r="D822" s="150"/>
      <c r="E822" s="150"/>
      <c r="F822" s="150"/>
      <c r="G822" s="583"/>
      <c r="H822" s="583"/>
      <c r="I822" s="583"/>
      <c r="J822" s="1767"/>
      <c r="K822" s="1767"/>
      <c r="L822" s="150"/>
      <c r="M822" s="583"/>
      <c r="N822" s="583"/>
      <c r="O822" s="150"/>
      <c r="P822" s="150"/>
      <c r="Q822" s="150"/>
      <c r="R822" s="150"/>
      <c r="S822" s="150"/>
      <c r="T822" s="150"/>
      <c r="U822" s="150"/>
      <c r="V822" s="150"/>
      <c r="W822" s="150"/>
      <c r="X822" s="150"/>
      <c r="Y822" s="150"/>
      <c r="Z822" s="150"/>
      <c r="AA822" s="150"/>
      <c r="AB822" s="150"/>
      <c r="AC822" s="150"/>
      <c r="AD822" s="150"/>
      <c r="AE822" s="150"/>
    </row>
    <row r="823" spans="1:31" ht="15">
      <c r="A823" s="150"/>
      <c r="B823" s="150"/>
      <c r="C823" s="150"/>
      <c r="D823" s="150"/>
      <c r="E823" s="150"/>
      <c r="F823" s="150"/>
      <c r="G823" s="583"/>
      <c r="H823" s="583"/>
      <c r="I823" s="583"/>
      <c r="J823" s="1767"/>
      <c r="K823" s="1767"/>
      <c r="L823" s="150"/>
      <c r="M823" s="583"/>
      <c r="N823" s="583"/>
      <c r="O823" s="150"/>
      <c r="P823" s="150"/>
      <c r="Q823" s="150"/>
      <c r="R823" s="150"/>
      <c r="S823" s="150"/>
      <c r="T823" s="150"/>
      <c r="U823" s="150"/>
      <c r="V823" s="150"/>
      <c r="W823" s="150"/>
      <c r="X823" s="150"/>
      <c r="Y823" s="150"/>
      <c r="Z823" s="150"/>
      <c r="AA823" s="150"/>
      <c r="AB823" s="150"/>
      <c r="AC823" s="150"/>
      <c r="AD823" s="150"/>
      <c r="AE823" s="150"/>
    </row>
    <row r="824" spans="1:31" ht="15">
      <c r="A824" s="150"/>
      <c r="B824" s="150"/>
      <c r="C824" s="150"/>
      <c r="D824" s="150"/>
      <c r="E824" s="150"/>
      <c r="F824" s="150"/>
      <c r="G824" s="583"/>
      <c r="H824" s="583"/>
      <c r="I824" s="583"/>
      <c r="J824" s="1767"/>
      <c r="K824" s="1767"/>
      <c r="L824" s="150"/>
      <c r="M824" s="583"/>
      <c r="N824" s="583"/>
      <c r="O824" s="150"/>
      <c r="P824" s="150"/>
      <c r="Q824" s="150"/>
      <c r="R824" s="150"/>
      <c r="S824" s="150"/>
      <c r="T824" s="150"/>
      <c r="U824" s="150"/>
      <c r="V824" s="150"/>
      <c r="W824" s="150"/>
      <c r="X824" s="150"/>
      <c r="Y824" s="150"/>
      <c r="Z824" s="150"/>
      <c r="AA824" s="150"/>
      <c r="AB824" s="150"/>
      <c r="AC824" s="150"/>
      <c r="AD824" s="150"/>
      <c r="AE824" s="150"/>
    </row>
    <row r="825" spans="1:31" ht="15">
      <c r="A825" s="150"/>
      <c r="B825" s="150"/>
      <c r="C825" s="150"/>
      <c r="D825" s="150"/>
      <c r="E825" s="150"/>
      <c r="F825" s="150"/>
      <c r="G825" s="583"/>
      <c r="H825" s="583"/>
      <c r="I825" s="583"/>
      <c r="J825" s="1767"/>
      <c r="K825" s="1767"/>
      <c r="L825" s="150"/>
      <c r="M825" s="583"/>
      <c r="N825" s="583"/>
      <c r="O825" s="150"/>
      <c r="P825" s="150"/>
      <c r="Q825" s="150"/>
      <c r="R825" s="150"/>
      <c r="S825" s="150"/>
      <c r="T825" s="150"/>
      <c r="U825" s="150"/>
      <c r="V825" s="150"/>
      <c r="W825" s="150"/>
      <c r="X825" s="150"/>
      <c r="Y825" s="150"/>
      <c r="Z825" s="150"/>
      <c r="AA825" s="150"/>
      <c r="AB825" s="150"/>
      <c r="AC825" s="150"/>
      <c r="AD825" s="150"/>
      <c r="AE825" s="150"/>
    </row>
    <row r="826" spans="1:31" ht="15">
      <c r="A826" s="150"/>
      <c r="B826" s="150"/>
      <c r="C826" s="150"/>
      <c r="D826" s="150"/>
      <c r="E826" s="150"/>
      <c r="F826" s="150"/>
      <c r="G826" s="583"/>
      <c r="H826" s="583"/>
      <c r="I826" s="583"/>
      <c r="J826" s="1767"/>
      <c r="K826" s="1767"/>
      <c r="L826" s="150"/>
      <c r="M826" s="583"/>
      <c r="N826" s="583"/>
      <c r="O826" s="150"/>
      <c r="P826" s="150"/>
      <c r="Q826" s="150"/>
      <c r="R826" s="150"/>
      <c r="S826" s="150"/>
      <c r="T826" s="150"/>
      <c r="U826" s="150"/>
      <c r="V826" s="150"/>
      <c r="W826" s="150"/>
      <c r="X826" s="150"/>
      <c r="Y826" s="150"/>
      <c r="Z826" s="150"/>
      <c r="AA826" s="150"/>
      <c r="AB826" s="150"/>
      <c r="AC826" s="150"/>
      <c r="AD826" s="150"/>
      <c r="AE826" s="150"/>
    </row>
    <row r="827" spans="1:31" ht="15">
      <c r="A827" s="150"/>
      <c r="B827" s="150"/>
      <c r="C827" s="150"/>
      <c r="D827" s="150"/>
      <c r="E827" s="150"/>
      <c r="F827" s="150"/>
      <c r="G827" s="583"/>
      <c r="H827" s="583"/>
      <c r="I827" s="583"/>
      <c r="J827" s="1767"/>
      <c r="K827" s="1767"/>
      <c r="L827" s="150"/>
      <c r="M827" s="583"/>
      <c r="N827" s="583"/>
      <c r="O827" s="150"/>
      <c r="P827" s="150"/>
      <c r="Q827" s="150"/>
      <c r="R827" s="150"/>
      <c r="S827" s="150"/>
      <c r="T827" s="150"/>
      <c r="U827" s="150"/>
      <c r="V827" s="150"/>
      <c r="W827" s="150"/>
      <c r="X827" s="150"/>
      <c r="Y827" s="150"/>
      <c r="Z827" s="150"/>
      <c r="AA827" s="150"/>
      <c r="AB827" s="150"/>
      <c r="AC827" s="150"/>
      <c r="AD827" s="150"/>
      <c r="AE827" s="150"/>
    </row>
    <row r="828" spans="1:31" ht="15">
      <c r="A828" s="150"/>
      <c r="B828" s="150"/>
      <c r="C828" s="150"/>
      <c r="D828" s="150"/>
      <c r="E828" s="150"/>
      <c r="F828" s="150"/>
      <c r="G828" s="583"/>
      <c r="H828" s="583"/>
      <c r="I828" s="583"/>
      <c r="J828" s="1767"/>
      <c r="K828" s="1767"/>
      <c r="L828" s="150"/>
      <c r="M828" s="583"/>
      <c r="N828" s="583"/>
      <c r="O828" s="150"/>
      <c r="P828" s="150"/>
      <c r="Q828" s="150"/>
      <c r="R828" s="150"/>
      <c r="S828" s="150"/>
      <c r="T828" s="150"/>
      <c r="U828" s="150"/>
      <c r="V828" s="150"/>
      <c r="W828" s="150"/>
      <c r="X828" s="150"/>
      <c r="Y828" s="150"/>
      <c r="Z828" s="150"/>
      <c r="AA828" s="150"/>
      <c r="AB828" s="150"/>
      <c r="AC828" s="150"/>
      <c r="AD828" s="150"/>
      <c r="AE828" s="150"/>
    </row>
    <row r="829" spans="1:31" ht="15">
      <c r="A829" s="150"/>
      <c r="B829" s="150"/>
      <c r="C829" s="150"/>
      <c r="D829" s="150"/>
      <c r="E829" s="150"/>
      <c r="F829" s="150"/>
      <c r="G829" s="583"/>
      <c r="H829" s="583"/>
      <c r="I829" s="583"/>
      <c r="J829" s="1767"/>
      <c r="K829" s="1767"/>
      <c r="L829" s="150"/>
      <c r="M829" s="583"/>
      <c r="N829" s="583"/>
      <c r="O829" s="150"/>
      <c r="P829" s="150"/>
      <c r="Q829" s="150"/>
      <c r="R829" s="150"/>
      <c r="S829" s="150"/>
      <c r="T829" s="150"/>
      <c r="U829" s="150"/>
      <c r="V829" s="150"/>
      <c r="W829" s="150"/>
      <c r="X829" s="150"/>
      <c r="Y829" s="150"/>
      <c r="Z829" s="150"/>
      <c r="AA829" s="150"/>
      <c r="AB829" s="150"/>
      <c r="AC829" s="150"/>
      <c r="AD829" s="150"/>
      <c r="AE829" s="150"/>
    </row>
    <row r="830" spans="1:31" ht="15">
      <c r="A830" s="150"/>
      <c r="B830" s="150"/>
      <c r="C830" s="150"/>
      <c r="D830" s="150"/>
      <c r="E830" s="150"/>
      <c r="F830" s="150"/>
      <c r="G830" s="583"/>
      <c r="H830" s="583"/>
      <c r="I830" s="583"/>
      <c r="J830" s="1767"/>
      <c r="K830" s="1767"/>
      <c r="L830" s="150"/>
      <c r="M830" s="583"/>
      <c r="N830" s="583"/>
      <c r="O830" s="150"/>
      <c r="P830" s="150"/>
      <c r="Q830" s="150"/>
      <c r="R830" s="150"/>
      <c r="S830" s="150"/>
      <c r="T830" s="150"/>
      <c r="U830" s="150"/>
      <c r="V830" s="150"/>
      <c r="W830" s="150"/>
      <c r="X830" s="150"/>
      <c r="Y830" s="150"/>
      <c r="Z830" s="150"/>
      <c r="AA830" s="150"/>
      <c r="AB830" s="150"/>
      <c r="AC830" s="150"/>
      <c r="AD830" s="150"/>
      <c r="AE830" s="150"/>
    </row>
    <row r="831" spans="1:31" ht="15">
      <c r="A831" s="150"/>
      <c r="B831" s="150"/>
      <c r="C831" s="150"/>
      <c r="D831" s="150"/>
      <c r="E831" s="150"/>
      <c r="F831" s="150"/>
      <c r="G831" s="583"/>
      <c r="H831" s="583"/>
      <c r="I831" s="583"/>
      <c r="J831" s="1767"/>
      <c r="K831" s="1767"/>
      <c r="L831" s="150"/>
      <c r="M831" s="583"/>
      <c r="N831" s="583"/>
      <c r="O831" s="150"/>
      <c r="P831" s="150"/>
      <c r="Q831" s="150"/>
      <c r="R831" s="150"/>
      <c r="S831" s="150"/>
      <c r="T831" s="150"/>
      <c r="U831" s="150"/>
      <c r="V831" s="150"/>
      <c r="W831" s="150"/>
      <c r="X831" s="150"/>
      <c r="Y831" s="150"/>
      <c r="Z831" s="150"/>
      <c r="AA831" s="150"/>
      <c r="AB831" s="150"/>
      <c r="AC831" s="150"/>
      <c r="AD831" s="150"/>
      <c r="AE831" s="150"/>
    </row>
    <row r="832" spans="1:31" ht="15">
      <c r="A832" s="150"/>
      <c r="B832" s="150"/>
      <c r="C832" s="150"/>
      <c r="D832" s="150"/>
      <c r="E832" s="150"/>
      <c r="F832" s="150"/>
      <c r="G832" s="583"/>
      <c r="H832" s="583"/>
      <c r="I832" s="583"/>
      <c r="J832" s="1767"/>
      <c r="K832" s="1767"/>
      <c r="L832" s="150"/>
      <c r="M832" s="583"/>
      <c r="N832" s="583"/>
      <c r="O832" s="150"/>
      <c r="P832" s="150"/>
      <c r="Q832" s="150"/>
      <c r="R832" s="150"/>
      <c r="S832" s="150"/>
      <c r="T832" s="150"/>
      <c r="U832" s="150"/>
      <c r="V832" s="150"/>
      <c r="W832" s="150"/>
      <c r="X832" s="150"/>
      <c r="Y832" s="150"/>
      <c r="Z832" s="150"/>
      <c r="AA832" s="150"/>
      <c r="AB832" s="150"/>
      <c r="AC832" s="150"/>
      <c r="AD832" s="150"/>
      <c r="AE832" s="150"/>
    </row>
    <row r="833" spans="1:31" ht="15">
      <c r="A833" s="150"/>
      <c r="B833" s="150"/>
      <c r="C833" s="150"/>
      <c r="D833" s="150"/>
      <c r="E833" s="150"/>
      <c r="F833" s="150"/>
      <c r="G833" s="583"/>
      <c r="H833" s="583"/>
      <c r="I833" s="583"/>
      <c r="J833" s="1767"/>
      <c r="K833" s="1767"/>
      <c r="L833" s="150"/>
      <c r="M833" s="583"/>
      <c r="N833" s="583"/>
      <c r="O833" s="150"/>
      <c r="P833" s="150"/>
      <c r="Q833" s="150"/>
      <c r="R833" s="150"/>
      <c r="S833" s="150"/>
      <c r="T833" s="150"/>
      <c r="U833" s="150"/>
      <c r="V833" s="150"/>
      <c r="W833" s="150"/>
      <c r="X833" s="150"/>
      <c r="Y833" s="150"/>
      <c r="Z833" s="150"/>
      <c r="AA833" s="150"/>
      <c r="AB833" s="150"/>
      <c r="AC833" s="150"/>
      <c r="AD833" s="150"/>
      <c r="AE833" s="150"/>
    </row>
    <row r="834" spans="1:31" ht="15">
      <c r="A834" s="150"/>
      <c r="B834" s="150"/>
      <c r="C834" s="150"/>
      <c r="D834" s="150"/>
      <c r="E834" s="150"/>
      <c r="F834" s="150"/>
      <c r="G834" s="583"/>
      <c r="H834" s="583"/>
      <c r="I834" s="583"/>
      <c r="J834" s="1767"/>
      <c r="K834" s="1767"/>
      <c r="L834" s="150"/>
      <c r="M834" s="583"/>
      <c r="N834" s="583"/>
      <c r="O834" s="150"/>
      <c r="P834" s="150"/>
      <c r="Q834" s="150"/>
      <c r="R834" s="150"/>
      <c r="S834" s="150"/>
      <c r="T834" s="150"/>
      <c r="U834" s="150"/>
      <c r="V834" s="150"/>
      <c r="W834" s="150"/>
      <c r="X834" s="150"/>
      <c r="Y834" s="150"/>
      <c r="Z834" s="150"/>
      <c r="AA834" s="150"/>
      <c r="AB834" s="150"/>
      <c r="AC834" s="150"/>
      <c r="AD834" s="150"/>
      <c r="AE834" s="150"/>
    </row>
    <row r="835" spans="1:31" ht="15">
      <c r="A835" s="150"/>
      <c r="B835" s="150"/>
      <c r="C835" s="150"/>
      <c r="D835" s="150"/>
      <c r="E835" s="150"/>
      <c r="F835" s="150"/>
      <c r="G835" s="583"/>
      <c r="H835" s="583"/>
      <c r="I835" s="583"/>
      <c r="J835" s="1767"/>
      <c r="K835" s="1767"/>
      <c r="L835" s="150"/>
      <c r="M835" s="583"/>
      <c r="N835" s="583"/>
      <c r="O835" s="150"/>
      <c r="P835" s="150"/>
      <c r="Q835" s="150"/>
      <c r="R835" s="150"/>
      <c r="S835" s="150"/>
      <c r="T835" s="150"/>
      <c r="U835" s="150"/>
      <c r="V835" s="150"/>
      <c r="W835" s="150"/>
      <c r="X835" s="150"/>
      <c r="Y835" s="150"/>
      <c r="Z835" s="150"/>
      <c r="AA835" s="150"/>
      <c r="AB835" s="150"/>
      <c r="AC835" s="150"/>
      <c r="AD835" s="150"/>
      <c r="AE835" s="150"/>
    </row>
    <row r="836" spans="1:31" ht="15">
      <c r="A836" s="150"/>
      <c r="B836" s="150"/>
      <c r="C836" s="150"/>
      <c r="D836" s="150"/>
      <c r="E836" s="150"/>
      <c r="F836" s="150"/>
      <c r="G836" s="583"/>
      <c r="H836" s="583"/>
      <c r="I836" s="583"/>
      <c r="J836" s="1767"/>
      <c r="K836" s="1767"/>
      <c r="L836" s="150"/>
      <c r="M836" s="583"/>
      <c r="N836" s="583"/>
      <c r="O836" s="150"/>
      <c r="P836" s="150"/>
      <c r="Q836" s="150"/>
      <c r="R836" s="150"/>
      <c r="S836" s="150"/>
      <c r="T836" s="150"/>
      <c r="U836" s="150"/>
      <c r="V836" s="150"/>
      <c r="W836" s="150"/>
      <c r="X836" s="150"/>
      <c r="Y836" s="150"/>
      <c r="Z836" s="150"/>
      <c r="AA836" s="150"/>
      <c r="AB836" s="150"/>
      <c r="AC836" s="150"/>
      <c r="AD836" s="150"/>
      <c r="AE836" s="150"/>
    </row>
    <row r="837" spans="1:31" ht="15">
      <c r="A837" s="150"/>
      <c r="B837" s="150"/>
      <c r="C837" s="150"/>
      <c r="D837" s="150"/>
      <c r="E837" s="150"/>
      <c r="F837" s="150"/>
      <c r="G837" s="583"/>
      <c r="H837" s="583"/>
      <c r="I837" s="583"/>
      <c r="J837" s="1767"/>
      <c r="K837" s="1767"/>
      <c r="L837" s="150"/>
      <c r="M837" s="583"/>
      <c r="N837" s="583"/>
      <c r="O837" s="150"/>
      <c r="P837" s="150"/>
      <c r="Q837" s="150"/>
      <c r="R837" s="150"/>
      <c r="S837" s="150"/>
      <c r="T837" s="150"/>
      <c r="U837" s="150"/>
      <c r="V837" s="150"/>
      <c r="W837" s="150"/>
      <c r="X837" s="150"/>
      <c r="Y837" s="150"/>
      <c r="Z837" s="150"/>
      <c r="AA837" s="150"/>
      <c r="AB837" s="150"/>
      <c r="AC837" s="150"/>
      <c r="AD837" s="150"/>
      <c r="AE837" s="150"/>
    </row>
    <row r="838" spans="1:31" ht="15">
      <c r="A838" s="150"/>
      <c r="B838" s="150"/>
      <c r="C838" s="150"/>
      <c r="D838" s="150"/>
      <c r="E838" s="150"/>
      <c r="F838" s="150"/>
      <c r="G838" s="583"/>
      <c r="H838" s="583"/>
      <c r="I838" s="583"/>
      <c r="J838" s="1767"/>
      <c r="K838" s="1767"/>
      <c r="L838" s="150"/>
      <c r="M838" s="583"/>
      <c r="N838" s="583"/>
      <c r="O838" s="150"/>
      <c r="P838" s="150"/>
      <c r="Q838" s="150"/>
      <c r="R838" s="150"/>
      <c r="S838" s="150"/>
      <c r="T838" s="150"/>
      <c r="U838" s="150"/>
      <c r="V838" s="150"/>
      <c r="W838" s="150"/>
      <c r="X838" s="150"/>
      <c r="Y838" s="150"/>
      <c r="Z838" s="150"/>
      <c r="AA838" s="150"/>
      <c r="AB838" s="150"/>
      <c r="AC838" s="150"/>
      <c r="AD838" s="150"/>
      <c r="AE838" s="150"/>
    </row>
    <row r="839" spans="1:31" ht="15">
      <c r="A839" s="150"/>
      <c r="B839" s="150"/>
      <c r="C839" s="150"/>
      <c r="D839" s="150"/>
      <c r="E839" s="150"/>
      <c r="F839" s="150"/>
      <c r="G839" s="583"/>
      <c r="H839" s="583"/>
      <c r="I839" s="583"/>
      <c r="J839" s="1767"/>
      <c r="K839" s="1767"/>
      <c r="L839" s="150"/>
      <c r="M839" s="583"/>
      <c r="N839" s="583"/>
      <c r="O839" s="150"/>
      <c r="P839" s="150"/>
      <c r="Q839" s="150"/>
      <c r="R839" s="150"/>
      <c r="S839" s="150"/>
      <c r="T839" s="150"/>
      <c r="U839" s="150"/>
      <c r="V839" s="150"/>
      <c r="W839" s="150"/>
      <c r="X839" s="150"/>
      <c r="Y839" s="150"/>
      <c r="Z839" s="150"/>
      <c r="AA839" s="150"/>
      <c r="AB839" s="150"/>
      <c r="AC839" s="150"/>
      <c r="AD839" s="150"/>
      <c r="AE839" s="150"/>
    </row>
    <row r="840" spans="1:31" ht="15">
      <c r="A840" s="150"/>
      <c r="B840" s="150"/>
      <c r="C840" s="150"/>
      <c r="D840" s="150"/>
      <c r="E840" s="150"/>
      <c r="F840" s="150"/>
      <c r="G840" s="583"/>
      <c r="H840" s="583"/>
      <c r="I840" s="583"/>
      <c r="J840" s="1767"/>
      <c r="K840" s="1767"/>
      <c r="L840" s="150"/>
      <c r="M840" s="583"/>
      <c r="N840" s="583"/>
      <c r="O840" s="150"/>
      <c r="P840" s="150"/>
      <c r="Q840" s="150"/>
      <c r="R840" s="150"/>
      <c r="S840" s="150"/>
      <c r="T840" s="150"/>
      <c r="U840" s="150"/>
      <c r="V840" s="150"/>
      <c r="W840" s="150"/>
      <c r="X840" s="150"/>
      <c r="Y840" s="150"/>
      <c r="Z840" s="150"/>
      <c r="AA840" s="150"/>
      <c r="AB840" s="150"/>
      <c r="AC840" s="150"/>
      <c r="AD840" s="150"/>
      <c r="AE840" s="150"/>
    </row>
    <row r="841" spans="1:31" ht="15">
      <c r="A841" s="150"/>
      <c r="B841" s="150"/>
      <c r="C841" s="150"/>
      <c r="D841" s="150"/>
      <c r="E841" s="150"/>
      <c r="F841" s="150"/>
      <c r="G841" s="583"/>
      <c r="H841" s="583"/>
      <c r="I841" s="583"/>
      <c r="J841" s="1767"/>
      <c r="K841" s="1767"/>
      <c r="L841" s="150"/>
      <c r="M841" s="583"/>
      <c r="N841" s="583"/>
      <c r="O841" s="150"/>
      <c r="P841" s="150"/>
      <c r="Q841" s="150"/>
      <c r="R841" s="150"/>
      <c r="S841" s="150"/>
      <c r="T841" s="150"/>
      <c r="U841" s="150"/>
      <c r="V841" s="150"/>
      <c r="W841" s="150"/>
      <c r="X841" s="150"/>
      <c r="Y841" s="150"/>
      <c r="Z841" s="150"/>
      <c r="AA841" s="150"/>
      <c r="AB841" s="150"/>
      <c r="AC841" s="150"/>
      <c r="AD841" s="150"/>
      <c r="AE841" s="150"/>
    </row>
    <row r="842" spans="1:31" ht="15">
      <c r="A842" s="150"/>
      <c r="B842" s="150"/>
      <c r="C842" s="150"/>
      <c r="D842" s="150"/>
      <c r="E842" s="150"/>
      <c r="F842" s="150"/>
      <c r="G842" s="583"/>
      <c r="H842" s="583"/>
      <c r="I842" s="583"/>
      <c r="J842" s="1767"/>
      <c r="K842" s="1767"/>
      <c r="L842" s="150"/>
      <c r="M842" s="583"/>
      <c r="N842" s="583"/>
      <c r="O842" s="150"/>
      <c r="P842" s="150"/>
      <c r="Q842" s="150"/>
      <c r="R842" s="150"/>
      <c r="S842" s="150"/>
      <c r="T842" s="150"/>
      <c r="U842" s="150"/>
      <c r="V842" s="150"/>
      <c r="W842" s="150"/>
      <c r="X842" s="150"/>
      <c r="Y842" s="150"/>
      <c r="Z842" s="150"/>
      <c r="AA842" s="150"/>
      <c r="AB842" s="150"/>
      <c r="AC842" s="150"/>
      <c r="AD842" s="150"/>
      <c r="AE842" s="150"/>
    </row>
    <row r="843" spans="1:31" ht="15">
      <c r="A843" s="150"/>
      <c r="B843" s="150"/>
      <c r="C843" s="150"/>
      <c r="D843" s="150"/>
      <c r="E843" s="150"/>
      <c r="F843" s="150"/>
      <c r="G843" s="583"/>
      <c r="H843" s="583"/>
      <c r="I843" s="583"/>
      <c r="J843" s="1767"/>
      <c r="K843" s="1767"/>
      <c r="L843" s="150"/>
      <c r="M843" s="583"/>
      <c r="N843" s="583"/>
      <c r="O843" s="150"/>
      <c r="P843" s="150"/>
      <c r="Q843" s="150"/>
      <c r="R843" s="150"/>
      <c r="S843" s="150"/>
      <c r="T843" s="150"/>
      <c r="U843" s="150"/>
      <c r="V843" s="150"/>
      <c r="W843" s="150"/>
      <c r="X843" s="150"/>
      <c r="Y843" s="150"/>
      <c r="Z843" s="150"/>
      <c r="AA843" s="150"/>
      <c r="AB843" s="150"/>
      <c r="AC843" s="150"/>
      <c r="AD843" s="150"/>
      <c r="AE843" s="150"/>
    </row>
    <row r="844" spans="1:31" ht="15">
      <c r="A844" s="150"/>
      <c r="B844" s="150"/>
      <c r="C844" s="150"/>
      <c r="D844" s="150"/>
      <c r="E844" s="150"/>
      <c r="F844" s="150"/>
      <c r="G844" s="583"/>
      <c r="H844" s="583"/>
      <c r="I844" s="583"/>
      <c r="J844" s="1767"/>
      <c r="K844" s="1767"/>
      <c r="L844" s="150"/>
      <c r="M844" s="583"/>
      <c r="N844" s="583"/>
      <c r="O844" s="150"/>
      <c r="P844" s="150"/>
      <c r="Q844" s="150"/>
      <c r="R844" s="150"/>
      <c r="S844" s="150"/>
      <c r="T844" s="150"/>
      <c r="U844" s="150"/>
      <c r="V844" s="150"/>
      <c r="W844" s="150"/>
      <c r="X844" s="150"/>
      <c r="Y844" s="150"/>
      <c r="Z844" s="150"/>
      <c r="AA844" s="150"/>
      <c r="AB844" s="150"/>
      <c r="AC844" s="150"/>
      <c r="AD844" s="150"/>
      <c r="AE844" s="150"/>
    </row>
    <row r="845" spans="1:31" ht="15">
      <c r="A845" s="150"/>
      <c r="B845" s="150"/>
      <c r="C845" s="150"/>
      <c r="D845" s="150"/>
      <c r="E845" s="150"/>
      <c r="F845" s="150"/>
      <c r="G845" s="583"/>
      <c r="H845" s="583"/>
      <c r="I845" s="583"/>
      <c r="J845" s="1767"/>
      <c r="K845" s="1767"/>
      <c r="L845" s="150"/>
      <c r="M845" s="583"/>
      <c r="N845" s="583"/>
      <c r="O845" s="150"/>
      <c r="P845" s="150"/>
      <c r="Q845" s="150"/>
      <c r="R845" s="150"/>
      <c r="S845" s="150"/>
      <c r="T845" s="150"/>
      <c r="U845" s="150"/>
      <c r="V845" s="150"/>
      <c r="W845" s="150"/>
      <c r="X845" s="150"/>
      <c r="Y845" s="150"/>
      <c r="Z845" s="150"/>
      <c r="AA845" s="150"/>
      <c r="AB845" s="150"/>
      <c r="AC845" s="150"/>
      <c r="AD845" s="150"/>
      <c r="AE845" s="150"/>
    </row>
    <row r="846" spans="1:31" ht="15">
      <c r="A846" s="150"/>
      <c r="B846" s="150"/>
      <c r="C846" s="150"/>
      <c r="D846" s="150"/>
      <c r="E846" s="150"/>
      <c r="F846" s="150"/>
      <c r="G846" s="583"/>
      <c r="H846" s="583"/>
      <c r="I846" s="583"/>
      <c r="J846" s="1767"/>
      <c r="K846" s="1767"/>
      <c r="L846" s="150"/>
      <c r="M846" s="583"/>
      <c r="N846" s="583"/>
      <c r="O846" s="150"/>
      <c r="P846" s="150"/>
      <c r="Q846" s="150"/>
      <c r="R846" s="150"/>
      <c r="S846" s="150"/>
      <c r="T846" s="150"/>
      <c r="U846" s="150"/>
      <c r="V846" s="150"/>
      <c r="W846" s="150"/>
      <c r="X846" s="150"/>
      <c r="Y846" s="150"/>
      <c r="Z846" s="150"/>
      <c r="AA846" s="150"/>
      <c r="AB846" s="150"/>
      <c r="AC846" s="150"/>
      <c r="AD846" s="150"/>
      <c r="AE846" s="150"/>
    </row>
    <row r="847" spans="1:31" ht="15">
      <c r="A847" s="150"/>
      <c r="B847" s="150"/>
      <c r="C847" s="150"/>
      <c r="D847" s="150"/>
      <c r="E847" s="150"/>
      <c r="F847" s="150"/>
      <c r="G847" s="583"/>
      <c r="H847" s="583"/>
      <c r="I847" s="583"/>
      <c r="J847" s="1767"/>
      <c r="K847" s="1767"/>
      <c r="L847" s="150"/>
      <c r="M847" s="583"/>
      <c r="N847" s="583"/>
      <c r="O847" s="150"/>
      <c r="P847" s="150"/>
      <c r="Q847" s="150"/>
      <c r="R847" s="150"/>
      <c r="S847" s="150"/>
      <c r="T847" s="150"/>
      <c r="U847" s="150"/>
      <c r="V847" s="150"/>
      <c r="W847" s="150"/>
      <c r="X847" s="150"/>
      <c r="Y847" s="150"/>
      <c r="Z847" s="150"/>
      <c r="AA847" s="150"/>
      <c r="AB847" s="150"/>
      <c r="AC847" s="150"/>
      <c r="AD847" s="150"/>
      <c r="AE847" s="150"/>
    </row>
    <row r="848" spans="1:31" ht="15">
      <c r="A848" s="150"/>
      <c r="B848" s="150"/>
      <c r="C848" s="150"/>
      <c r="D848" s="150"/>
      <c r="E848" s="150"/>
      <c r="F848" s="150"/>
      <c r="G848" s="583"/>
      <c r="H848" s="583"/>
      <c r="I848" s="583"/>
      <c r="J848" s="1767"/>
      <c r="K848" s="1767"/>
      <c r="L848" s="150"/>
      <c r="M848" s="583"/>
      <c r="N848" s="583"/>
      <c r="O848" s="150"/>
      <c r="P848" s="150"/>
      <c r="Q848" s="150"/>
      <c r="R848" s="150"/>
      <c r="S848" s="150"/>
      <c r="T848" s="150"/>
      <c r="U848" s="150"/>
      <c r="V848" s="150"/>
      <c r="W848" s="150"/>
      <c r="X848" s="150"/>
      <c r="Y848" s="150"/>
      <c r="Z848" s="150"/>
      <c r="AA848" s="150"/>
      <c r="AB848" s="150"/>
      <c r="AC848" s="150"/>
      <c r="AD848" s="150"/>
      <c r="AE848" s="150"/>
    </row>
    <row r="849" spans="1:31" ht="15">
      <c r="A849" s="150"/>
      <c r="B849" s="150"/>
      <c r="C849" s="150"/>
      <c r="D849" s="150"/>
      <c r="E849" s="150"/>
      <c r="F849" s="150"/>
      <c r="G849" s="583"/>
      <c r="H849" s="583"/>
      <c r="I849" s="583"/>
      <c r="J849" s="1767"/>
      <c r="K849" s="1767"/>
      <c r="L849" s="150"/>
      <c r="M849" s="583"/>
      <c r="N849" s="583"/>
      <c r="O849" s="150"/>
      <c r="P849" s="150"/>
      <c r="Q849" s="150"/>
      <c r="R849" s="150"/>
      <c r="S849" s="150"/>
      <c r="T849" s="150"/>
      <c r="U849" s="150"/>
      <c r="V849" s="150"/>
      <c r="W849" s="150"/>
      <c r="X849" s="150"/>
      <c r="Y849" s="150"/>
      <c r="Z849" s="150"/>
      <c r="AA849" s="150"/>
      <c r="AB849" s="150"/>
      <c r="AC849" s="150"/>
      <c r="AD849" s="150"/>
      <c r="AE849" s="150"/>
    </row>
    <row r="850" spans="1:31" ht="15">
      <c r="A850" s="150"/>
      <c r="B850" s="150"/>
      <c r="C850" s="150"/>
      <c r="D850" s="150"/>
      <c r="E850" s="150"/>
      <c r="F850" s="150"/>
      <c r="G850" s="583"/>
      <c r="H850" s="583"/>
      <c r="I850" s="583"/>
      <c r="J850" s="1767"/>
      <c r="K850" s="1767"/>
      <c r="L850" s="150"/>
      <c r="M850" s="583"/>
      <c r="N850" s="583"/>
      <c r="O850" s="150"/>
      <c r="P850" s="150"/>
      <c r="Q850" s="150"/>
      <c r="R850" s="150"/>
      <c r="S850" s="150"/>
      <c r="T850" s="150"/>
      <c r="U850" s="150"/>
      <c r="V850" s="150"/>
      <c r="W850" s="150"/>
      <c r="X850" s="150"/>
      <c r="Y850" s="150"/>
      <c r="Z850" s="150"/>
      <c r="AA850" s="150"/>
      <c r="AB850" s="150"/>
      <c r="AC850" s="150"/>
      <c r="AD850" s="150"/>
      <c r="AE850" s="150"/>
    </row>
    <row r="851" spans="1:31" ht="15">
      <c r="A851" s="150"/>
      <c r="B851" s="150"/>
      <c r="C851" s="150"/>
      <c r="D851" s="150"/>
      <c r="E851" s="150"/>
      <c r="F851" s="150"/>
      <c r="G851" s="583"/>
      <c r="H851" s="583"/>
      <c r="I851" s="583"/>
      <c r="J851" s="1767"/>
      <c r="K851" s="1767"/>
      <c r="L851" s="150"/>
      <c r="M851" s="583"/>
      <c r="N851" s="583"/>
      <c r="O851" s="150"/>
      <c r="P851" s="150"/>
      <c r="Q851" s="150"/>
      <c r="R851" s="150"/>
      <c r="S851" s="150"/>
      <c r="T851" s="150"/>
      <c r="U851" s="150"/>
      <c r="V851" s="150"/>
      <c r="W851" s="150"/>
      <c r="X851" s="150"/>
      <c r="Y851" s="150"/>
      <c r="Z851" s="150"/>
      <c r="AA851" s="150"/>
      <c r="AB851" s="150"/>
      <c r="AC851" s="150"/>
      <c r="AD851" s="150"/>
      <c r="AE851" s="150"/>
    </row>
    <row r="852" spans="1:31" ht="15">
      <c r="A852" s="150"/>
      <c r="B852" s="150"/>
      <c r="C852" s="150"/>
      <c r="D852" s="150"/>
      <c r="E852" s="150"/>
      <c r="F852" s="150"/>
      <c r="G852" s="583"/>
      <c r="H852" s="583"/>
      <c r="I852" s="583"/>
      <c r="J852" s="1767"/>
      <c r="K852" s="1767"/>
      <c r="L852" s="150"/>
      <c r="M852" s="583"/>
      <c r="N852" s="583"/>
      <c r="O852" s="150"/>
      <c r="P852" s="150"/>
      <c r="Q852" s="150"/>
      <c r="R852" s="150"/>
      <c r="S852" s="150"/>
      <c r="T852" s="150"/>
      <c r="U852" s="150"/>
      <c r="V852" s="150"/>
      <c r="W852" s="150"/>
      <c r="X852" s="150"/>
      <c r="Y852" s="150"/>
      <c r="Z852" s="150"/>
      <c r="AA852" s="150"/>
      <c r="AB852" s="150"/>
      <c r="AC852" s="150"/>
      <c r="AD852" s="150"/>
      <c r="AE852" s="150"/>
    </row>
    <row r="853" spans="1:31" ht="15">
      <c r="A853" s="150"/>
      <c r="B853" s="150"/>
      <c r="C853" s="150"/>
      <c r="D853" s="150"/>
      <c r="E853" s="150"/>
      <c r="F853" s="150"/>
      <c r="G853" s="583"/>
      <c r="H853" s="583"/>
      <c r="I853" s="583"/>
      <c r="J853" s="1767"/>
      <c r="K853" s="1767"/>
      <c r="L853" s="150"/>
      <c r="M853" s="583"/>
      <c r="N853" s="583"/>
      <c r="O853" s="150"/>
      <c r="P853" s="150"/>
      <c r="Q853" s="150"/>
      <c r="R853" s="150"/>
      <c r="S853" s="150"/>
      <c r="T853" s="150"/>
      <c r="U853" s="150"/>
      <c r="V853" s="150"/>
      <c r="W853" s="150"/>
      <c r="X853" s="150"/>
      <c r="Y853" s="150"/>
      <c r="Z853" s="150"/>
      <c r="AA853" s="150"/>
      <c r="AB853" s="150"/>
      <c r="AC853" s="150"/>
      <c r="AD853" s="150"/>
      <c r="AE853" s="150"/>
    </row>
    <row r="854" spans="1:31" ht="15">
      <c r="A854" s="150"/>
      <c r="B854" s="150"/>
      <c r="C854" s="150"/>
      <c r="D854" s="150"/>
      <c r="E854" s="150"/>
      <c r="F854" s="150"/>
      <c r="G854" s="583"/>
      <c r="H854" s="583"/>
      <c r="I854" s="583"/>
      <c r="J854" s="1767"/>
      <c r="K854" s="1767"/>
      <c r="L854" s="150"/>
      <c r="M854" s="583"/>
      <c r="N854" s="583"/>
      <c r="O854" s="150"/>
      <c r="P854" s="150"/>
      <c r="Q854" s="150"/>
      <c r="R854" s="150"/>
      <c r="S854" s="150"/>
      <c r="T854" s="150"/>
      <c r="U854" s="150"/>
      <c r="V854" s="150"/>
      <c r="W854" s="150"/>
      <c r="X854" s="150"/>
      <c r="Y854" s="150"/>
      <c r="Z854" s="150"/>
      <c r="AA854" s="150"/>
      <c r="AB854" s="150"/>
      <c r="AC854" s="150"/>
      <c r="AD854" s="150"/>
      <c r="AE854" s="150"/>
    </row>
    <row r="855" spans="1:31" ht="15">
      <c r="A855" s="150"/>
      <c r="B855" s="150"/>
      <c r="C855" s="150"/>
      <c r="D855" s="150"/>
      <c r="E855" s="150"/>
      <c r="F855" s="150"/>
      <c r="G855" s="583"/>
      <c r="H855" s="583"/>
      <c r="I855" s="583"/>
      <c r="J855" s="1767"/>
      <c r="K855" s="1767"/>
      <c r="L855" s="150"/>
      <c r="M855" s="583"/>
      <c r="N855" s="583"/>
      <c r="O855" s="150"/>
      <c r="P855" s="150"/>
      <c r="Q855" s="150"/>
      <c r="R855" s="150"/>
      <c r="S855" s="150"/>
      <c r="T855" s="150"/>
      <c r="U855" s="150"/>
      <c r="V855" s="150"/>
      <c r="W855" s="150"/>
      <c r="X855" s="150"/>
      <c r="Y855" s="150"/>
      <c r="Z855" s="150"/>
      <c r="AA855" s="150"/>
      <c r="AB855" s="150"/>
      <c r="AC855" s="150"/>
      <c r="AD855" s="150"/>
      <c r="AE855" s="150"/>
    </row>
    <row r="856" spans="1:31" ht="15">
      <c r="A856" s="150"/>
      <c r="B856" s="150"/>
      <c r="C856" s="150"/>
      <c r="D856" s="150"/>
      <c r="E856" s="150"/>
      <c r="F856" s="150"/>
      <c r="G856" s="583"/>
      <c r="H856" s="583"/>
      <c r="I856" s="583"/>
      <c r="J856" s="1767"/>
      <c r="K856" s="1767"/>
      <c r="L856" s="150"/>
      <c r="M856" s="583"/>
      <c r="N856" s="583"/>
      <c r="O856" s="150"/>
      <c r="P856" s="150"/>
      <c r="Q856" s="150"/>
      <c r="R856" s="150"/>
      <c r="S856" s="150"/>
      <c r="T856" s="150"/>
      <c r="U856" s="150"/>
      <c r="V856" s="150"/>
      <c r="W856" s="150"/>
      <c r="X856" s="150"/>
      <c r="Y856" s="150"/>
      <c r="Z856" s="150"/>
      <c r="AA856" s="150"/>
      <c r="AB856" s="150"/>
      <c r="AC856" s="150"/>
      <c r="AD856" s="150"/>
      <c r="AE856" s="150"/>
    </row>
    <row r="857" spans="1:31" ht="15">
      <c r="A857" s="150"/>
      <c r="B857" s="150"/>
      <c r="C857" s="150"/>
      <c r="D857" s="150"/>
      <c r="E857" s="150"/>
      <c r="F857" s="150"/>
      <c r="G857" s="583"/>
      <c r="H857" s="583"/>
      <c r="I857" s="583"/>
      <c r="J857" s="1767"/>
      <c r="K857" s="1767"/>
      <c r="L857" s="150"/>
      <c r="M857" s="583"/>
      <c r="N857" s="583"/>
      <c r="O857" s="150"/>
      <c r="P857" s="150"/>
      <c r="Q857" s="150"/>
      <c r="R857" s="150"/>
      <c r="S857" s="150"/>
      <c r="T857" s="150"/>
      <c r="U857" s="150"/>
      <c r="V857" s="150"/>
      <c r="W857" s="150"/>
      <c r="X857" s="150"/>
      <c r="Y857" s="150"/>
      <c r="Z857" s="150"/>
      <c r="AA857" s="150"/>
      <c r="AB857" s="150"/>
      <c r="AC857" s="150"/>
      <c r="AD857" s="150"/>
      <c r="AE857" s="150"/>
    </row>
    <row r="858" spans="1:31" ht="15">
      <c r="A858" s="150"/>
      <c r="B858" s="150"/>
      <c r="C858" s="150"/>
      <c r="D858" s="150"/>
      <c r="E858" s="150"/>
      <c r="F858" s="150"/>
      <c r="G858" s="583"/>
      <c r="H858" s="583"/>
      <c r="I858" s="583"/>
      <c r="J858" s="1767"/>
      <c r="K858" s="1767"/>
      <c r="L858" s="150"/>
      <c r="M858" s="583"/>
      <c r="N858" s="583"/>
      <c r="O858" s="150"/>
      <c r="P858" s="150"/>
      <c r="Q858" s="150"/>
      <c r="R858" s="150"/>
      <c r="S858" s="150"/>
      <c r="T858" s="150"/>
      <c r="U858" s="150"/>
      <c r="V858" s="150"/>
      <c r="W858" s="150"/>
      <c r="X858" s="150"/>
      <c r="Y858" s="150"/>
      <c r="Z858" s="150"/>
      <c r="AA858" s="150"/>
      <c r="AB858" s="150"/>
      <c r="AC858" s="150"/>
      <c r="AD858" s="150"/>
      <c r="AE858" s="150"/>
    </row>
    <row r="859" spans="1:31" ht="15">
      <c r="A859" s="150"/>
      <c r="B859" s="150"/>
      <c r="C859" s="150"/>
      <c r="D859" s="150"/>
      <c r="E859" s="150"/>
      <c r="F859" s="150"/>
      <c r="G859" s="583"/>
      <c r="H859" s="583"/>
      <c r="I859" s="583"/>
      <c r="J859" s="1767"/>
      <c r="K859" s="1767"/>
      <c r="L859" s="150"/>
      <c r="M859" s="583"/>
      <c r="N859" s="583"/>
      <c r="O859" s="150"/>
      <c r="P859" s="150"/>
      <c r="Q859" s="150"/>
      <c r="R859" s="150"/>
      <c r="S859" s="150"/>
      <c r="T859" s="150"/>
      <c r="U859" s="150"/>
      <c r="V859" s="150"/>
      <c r="W859" s="150"/>
      <c r="X859" s="150"/>
      <c r="Y859" s="150"/>
      <c r="Z859" s="150"/>
      <c r="AA859" s="150"/>
      <c r="AB859" s="150"/>
      <c r="AC859" s="150"/>
      <c r="AD859" s="150"/>
      <c r="AE859" s="150"/>
    </row>
    <row r="860" spans="1:31" ht="15">
      <c r="A860" s="150"/>
      <c r="B860" s="150"/>
      <c r="C860" s="150"/>
      <c r="D860" s="150"/>
      <c r="E860" s="150"/>
      <c r="F860" s="150"/>
      <c r="G860" s="583"/>
      <c r="H860" s="583"/>
      <c r="I860" s="583"/>
      <c r="J860" s="1767"/>
      <c r="K860" s="1767"/>
      <c r="L860" s="150"/>
      <c r="M860" s="583"/>
      <c r="N860" s="583"/>
      <c r="O860" s="150"/>
      <c r="P860" s="150"/>
      <c r="Q860" s="150"/>
      <c r="R860" s="150"/>
      <c r="S860" s="150"/>
      <c r="T860" s="150"/>
      <c r="U860" s="150"/>
      <c r="V860" s="150"/>
      <c r="W860" s="150"/>
      <c r="X860" s="150"/>
      <c r="Y860" s="150"/>
      <c r="Z860" s="150"/>
      <c r="AA860" s="150"/>
      <c r="AB860" s="150"/>
      <c r="AC860" s="150"/>
      <c r="AD860" s="150"/>
      <c r="AE860" s="150"/>
    </row>
    <row r="861" spans="1:31" ht="15">
      <c r="A861" s="150"/>
      <c r="B861" s="150"/>
      <c r="C861" s="150"/>
      <c r="D861" s="150"/>
      <c r="E861" s="150"/>
      <c r="F861" s="150"/>
      <c r="G861" s="583"/>
      <c r="H861" s="583"/>
      <c r="I861" s="583"/>
      <c r="J861" s="1767"/>
      <c r="K861" s="1767"/>
      <c r="L861" s="150"/>
      <c r="M861" s="583"/>
      <c r="N861" s="583"/>
      <c r="O861" s="150"/>
      <c r="P861" s="150"/>
      <c r="Q861" s="150"/>
      <c r="R861" s="150"/>
      <c r="S861" s="150"/>
      <c r="T861" s="150"/>
      <c r="U861" s="150"/>
      <c r="V861" s="150"/>
      <c r="W861" s="150"/>
      <c r="X861" s="150"/>
      <c r="Y861" s="150"/>
      <c r="Z861" s="150"/>
      <c r="AA861" s="150"/>
      <c r="AB861" s="150"/>
      <c r="AC861" s="150"/>
      <c r="AD861" s="150"/>
      <c r="AE861" s="150"/>
    </row>
    <row r="862" spans="1:31" ht="15">
      <c r="A862" s="150"/>
      <c r="B862" s="150"/>
      <c r="C862" s="150"/>
      <c r="D862" s="150"/>
      <c r="E862" s="150"/>
      <c r="F862" s="150"/>
      <c r="G862" s="583"/>
      <c r="H862" s="583"/>
      <c r="I862" s="583"/>
      <c r="J862" s="1767"/>
      <c r="K862" s="1767"/>
      <c r="L862" s="150"/>
      <c r="M862" s="583"/>
      <c r="N862" s="583"/>
      <c r="O862" s="150"/>
      <c r="P862" s="150"/>
      <c r="Q862" s="150"/>
      <c r="R862" s="150"/>
      <c r="S862" s="150"/>
      <c r="T862" s="150"/>
      <c r="U862" s="150"/>
      <c r="V862" s="150"/>
      <c r="W862" s="150"/>
      <c r="X862" s="150"/>
      <c r="Y862" s="150"/>
      <c r="Z862" s="150"/>
      <c r="AA862" s="150"/>
      <c r="AB862" s="150"/>
      <c r="AC862" s="150"/>
      <c r="AD862" s="150"/>
      <c r="AE862" s="150"/>
    </row>
    <row r="863" spans="1:31" ht="15">
      <c r="A863" s="150"/>
      <c r="B863" s="150"/>
      <c r="C863" s="150"/>
      <c r="D863" s="150"/>
      <c r="E863" s="150"/>
      <c r="F863" s="150"/>
      <c r="G863" s="583"/>
      <c r="H863" s="583"/>
      <c r="I863" s="583"/>
      <c r="J863" s="1767"/>
      <c r="K863" s="1767"/>
      <c r="L863" s="150"/>
      <c r="M863" s="583"/>
      <c r="N863" s="583"/>
      <c r="O863" s="150"/>
      <c r="P863" s="150"/>
      <c r="Q863" s="150"/>
      <c r="R863" s="150"/>
      <c r="S863" s="150"/>
      <c r="T863" s="150"/>
      <c r="U863" s="150"/>
      <c r="V863" s="150"/>
      <c r="W863" s="150"/>
      <c r="X863" s="150"/>
      <c r="Y863" s="150"/>
      <c r="Z863" s="150"/>
      <c r="AA863" s="150"/>
      <c r="AB863" s="150"/>
      <c r="AC863" s="150"/>
      <c r="AD863" s="150"/>
      <c r="AE863" s="150"/>
    </row>
    <row r="864" spans="1:31" ht="15">
      <c r="A864" s="150"/>
      <c r="B864" s="150"/>
      <c r="C864" s="150"/>
      <c r="D864" s="150"/>
      <c r="E864" s="150"/>
      <c r="F864" s="150"/>
      <c r="G864" s="583"/>
      <c r="H864" s="583"/>
      <c r="I864" s="583"/>
      <c r="J864" s="1767"/>
      <c r="K864" s="1767"/>
      <c r="L864" s="150"/>
      <c r="M864" s="583"/>
      <c r="N864" s="583"/>
      <c r="O864" s="150"/>
      <c r="P864" s="150"/>
      <c r="Q864" s="150"/>
      <c r="R864" s="150"/>
      <c r="S864" s="150"/>
      <c r="T864" s="150"/>
      <c r="U864" s="150"/>
      <c r="V864" s="150"/>
      <c r="W864" s="150"/>
      <c r="X864" s="150"/>
      <c r="Y864" s="150"/>
      <c r="Z864" s="150"/>
      <c r="AA864" s="150"/>
      <c r="AB864" s="150"/>
      <c r="AC864" s="150"/>
      <c r="AD864" s="150"/>
      <c r="AE864" s="150"/>
    </row>
    <row r="865" spans="1:31" ht="15">
      <c r="A865" s="150"/>
      <c r="B865" s="150"/>
      <c r="C865" s="150"/>
      <c r="D865" s="150"/>
      <c r="E865" s="150"/>
      <c r="F865" s="150"/>
      <c r="G865" s="583"/>
      <c r="H865" s="583"/>
      <c r="I865" s="583"/>
      <c r="J865" s="1767"/>
      <c r="K865" s="1767"/>
      <c r="L865" s="150"/>
      <c r="M865" s="583"/>
      <c r="N865" s="583"/>
      <c r="O865" s="150"/>
      <c r="P865" s="150"/>
      <c r="Q865" s="150"/>
      <c r="R865" s="150"/>
      <c r="S865" s="150"/>
      <c r="T865" s="150"/>
      <c r="U865" s="150"/>
      <c r="V865" s="150"/>
      <c r="W865" s="150"/>
      <c r="X865" s="150"/>
      <c r="Y865" s="150"/>
      <c r="Z865" s="150"/>
      <c r="AA865" s="150"/>
      <c r="AB865" s="150"/>
      <c r="AC865" s="150"/>
      <c r="AD865" s="150"/>
      <c r="AE865" s="150"/>
    </row>
    <row r="866" spans="1:31" ht="15">
      <c r="A866" s="150"/>
      <c r="B866" s="150"/>
      <c r="C866" s="150"/>
      <c r="D866" s="150"/>
      <c r="E866" s="150"/>
      <c r="F866" s="150"/>
      <c r="G866" s="583"/>
      <c r="H866" s="583"/>
      <c r="I866" s="583"/>
      <c r="J866" s="1767"/>
      <c r="K866" s="1767"/>
      <c r="L866" s="150"/>
      <c r="M866" s="583"/>
      <c r="N866" s="583"/>
      <c r="O866" s="150"/>
      <c r="P866" s="150"/>
      <c r="Q866" s="150"/>
      <c r="R866" s="150"/>
      <c r="S866" s="150"/>
      <c r="T866" s="150"/>
      <c r="U866" s="150"/>
      <c r="V866" s="150"/>
      <c r="W866" s="150"/>
      <c r="X866" s="150"/>
      <c r="Y866" s="150"/>
      <c r="Z866" s="150"/>
      <c r="AA866" s="150"/>
      <c r="AB866" s="150"/>
      <c r="AC866" s="150"/>
      <c r="AD866" s="150"/>
      <c r="AE866" s="150"/>
    </row>
    <row r="867" spans="1:31" ht="15">
      <c r="A867" s="150"/>
      <c r="B867" s="150"/>
      <c r="C867" s="150"/>
      <c r="D867" s="150"/>
      <c r="E867" s="150"/>
      <c r="F867" s="150"/>
      <c r="G867" s="583"/>
      <c r="H867" s="583"/>
      <c r="I867" s="583"/>
      <c r="J867" s="1767"/>
      <c r="K867" s="1767"/>
      <c r="L867" s="150"/>
      <c r="M867" s="583"/>
      <c r="N867" s="583"/>
      <c r="O867" s="150"/>
      <c r="P867" s="150"/>
      <c r="Q867" s="150"/>
      <c r="R867" s="150"/>
      <c r="S867" s="150"/>
      <c r="T867" s="150"/>
      <c r="U867" s="150"/>
      <c r="V867" s="150"/>
      <c r="W867" s="150"/>
      <c r="X867" s="150"/>
      <c r="Y867" s="150"/>
      <c r="Z867" s="150"/>
      <c r="AA867" s="150"/>
      <c r="AB867" s="150"/>
      <c r="AC867" s="150"/>
      <c r="AD867" s="150"/>
      <c r="AE867" s="150"/>
    </row>
    <row r="868" spans="1:31" ht="15">
      <c r="A868" s="150"/>
      <c r="B868" s="150"/>
      <c r="C868" s="150"/>
      <c r="D868" s="150"/>
      <c r="E868" s="150"/>
      <c r="F868" s="150"/>
      <c r="G868" s="583"/>
      <c r="H868" s="583"/>
      <c r="I868" s="583"/>
      <c r="J868" s="1767"/>
      <c r="K868" s="1767"/>
      <c r="L868" s="150"/>
      <c r="M868" s="583"/>
      <c r="N868" s="583"/>
      <c r="O868" s="150"/>
      <c r="P868" s="150"/>
      <c r="Q868" s="150"/>
      <c r="R868" s="150"/>
      <c r="S868" s="150"/>
      <c r="T868" s="150"/>
      <c r="U868" s="150"/>
      <c r="V868" s="150"/>
      <c r="W868" s="150"/>
      <c r="X868" s="150"/>
      <c r="Y868" s="150"/>
      <c r="Z868" s="150"/>
      <c r="AA868" s="150"/>
      <c r="AB868" s="150"/>
      <c r="AC868" s="150"/>
      <c r="AD868" s="150"/>
      <c r="AE868" s="150"/>
    </row>
    <row r="869" spans="1:31" ht="15">
      <c r="A869" s="150"/>
      <c r="B869" s="150"/>
      <c r="C869" s="150"/>
      <c r="D869" s="150"/>
      <c r="E869" s="150"/>
      <c r="F869" s="150"/>
      <c r="G869" s="583"/>
      <c r="H869" s="583"/>
      <c r="I869" s="583"/>
      <c r="J869" s="1767"/>
      <c r="K869" s="1767"/>
      <c r="L869" s="150"/>
      <c r="M869" s="583"/>
      <c r="N869" s="583"/>
      <c r="O869" s="150"/>
      <c r="P869" s="150"/>
      <c r="Q869" s="150"/>
      <c r="R869" s="150"/>
      <c r="S869" s="150"/>
      <c r="T869" s="150"/>
      <c r="U869" s="150"/>
      <c r="V869" s="150"/>
      <c r="W869" s="150"/>
      <c r="X869" s="150"/>
      <c r="Y869" s="150"/>
      <c r="Z869" s="150"/>
      <c r="AA869" s="150"/>
      <c r="AB869" s="150"/>
      <c r="AC869" s="150"/>
      <c r="AD869" s="150"/>
      <c r="AE869" s="150"/>
    </row>
    <row r="870" spans="1:31" ht="15">
      <c r="A870" s="150"/>
      <c r="B870" s="150"/>
      <c r="C870" s="150"/>
      <c r="D870" s="150"/>
      <c r="E870" s="150"/>
      <c r="F870" s="150"/>
      <c r="G870" s="583"/>
      <c r="H870" s="583"/>
      <c r="I870" s="583"/>
      <c r="J870" s="1767"/>
      <c r="K870" s="1767"/>
      <c r="L870" s="150"/>
      <c r="M870" s="583"/>
      <c r="N870" s="583"/>
      <c r="O870" s="150"/>
      <c r="P870" s="150"/>
      <c r="Q870" s="150"/>
      <c r="R870" s="150"/>
      <c r="S870" s="150"/>
      <c r="T870" s="150"/>
      <c r="U870" s="150"/>
      <c r="V870" s="150"/>
      <c r="W870" s="150"/>
      <c r="X870" s="150"/>
      <c r="Y870" s="150"/>
      <c r="Z870" s="150"/>
      <c r="AA870" s="150"/>
      <c r="AB870" s="150"/>
      <c r="AC870" s="150"/>
      <c r="AD870" s="150"/>
      <c r="AE870" s="150"/>
    </row>
    <row r="871" spans="1:31" ht="15">
      <c r="A871" s="150"/>
      <c r="B871" s="150"/>
      <c r="C871" s="150"/>
      <c r="D871" s="150"/>
      <c r="E871" s="150"/>
      <c r="F871" s="150"/>
      <c r="G871" s="583"/>
      <c r="H871" s="583"/>
      <c r="I871" s="583"/>
      <c r="J871" s="1767"/>
      <c r="K871" s="1767"/>
      <c r="L871" s="150"/>
      <c r="M871" s="583"/>
      <c r="N871" s="583"/>
      <c r="O871" s="150"/>
      <c r="P871" s="150"/>
      <c r="Q871" s="150"/>
      <c r="R871" s="150"/>
      <c r="S871" s="150"/>
      <c r="T871" s="150"/>
      <c r="U871" s="150"/>
      <c r="V871" s="150"/>
      <c r="W871" s="150"/>
      <c r="X871" s="150"/>
      <c r="Y871" s="150"/>
      <c r="Z871" s="150"/>
      <c r="AA871" s="150"/>
      <c r="AB871" s="150"/>
      <c r="AC871" s="150"/>
      <c r="AD871" s="150"/>
      <c r="AE871" s="150"/>
    </row>
    <row r="872" spans="1:31" ht="15">
      <c r="A872" s="150"/>
      <c r="B872" s="150"/>
      <c r="C872" s="150"/>
      <c r="D872" s="150"/>
      <c r="E872" s="150"/>
      <c r="F872" s="150"/>
      <c r="G872" s="583"/>
      <c r="H872" s="583"/>
      <c r="I872" s="583"/>
      <c r="J872" s="1767"/>
      <c r="K872" s="1767"/>
      <c r="L872" s="150"/>
      <c r="M872" s="583"/>
      <c r="N872" s="583"/>
      <c r="O872" s="150"/>
      <c r="P872" s="150"/>
      <c r="Q872" s="150"/>
      <c r="R872" s="150"/>
      <c r="S872" s="150"/>
      <c r="T872" s="150"/>
      <c r="U872" s="150"/>
      <c r="V872" s="150"/>
      <c r="W872" s="150"/>
      <c r="X872" s="150"/>
      <c r="Y872" s="150"/>
      <c r="Z872" s="150"/>
      <c r="AA872" s="150"/>
      <c r="AB872" s="150"/>
      <c r="AC872" s="150"/>
      <c r="AD872" s="150"/>
      <c r="AE872" s="150"/>
    </row>
    <row r="873" spans="1:31" ht="15">
      <c r="A873" s="150"/>
      <c r="B873" s="150"/>
      <c r="C873" s="150"/>
      <c r="D873" s="150"/>
      <c r="E873" s="150"/>
      <c r="F873" s="150"/>
      <c r="G873" s="583"/>
      <c r="H873" s="583"/>
      <c r="I873" s="583"/>
      <c r="J873" s="1767"/>
      <c r="K873" s="1767"/>
      <c r="L873" s="150"/>
      <c r="M873" s="583"/>
      <c r="N873" s="583"/>
      <c r="O873" s="150"/>
      <c r="P873" s="150"/>
      <c r="Q873" s="150"/>
      <c r="R873" s="150"/>
      <c r="S873" s="150"/>
      <c r="T873" s="150"/>
      <c r="U873" s="150"/>
      <c r="V873" s="150"/>
      <c r="W873" s="150"/>
      <c r="X873" s="150"/>
      <c r="Y873" s="150"/>
      <c r="Z873" s="150"/>
      <c r="AA873" s="150"/>
      <c r="AB873" s="150"/>
      <c r="AC873" s="150"/>
      <c r="AD873" s="150"/>
      <c r="AE873" s="150"/>
    </row>
    <row r="874" spans="1:31" ht="15">
      <c r="A874" s="150"/>
      <c r="B874" s="150"/>
      <c r="C874" s="150"/>
      <c r="D874" s="150"/>
      <c r="E874" s="150"/>
      <c r="F874" s="150"/>
      <c r="G874" s="583"/>
      <c r="H874" s="583"/>
      <c r="I874" s="583"/>
      <c r="J874" s="1767"/>
      <c r="K874" s="1767"/>
      <c r="L874" s="150"/>
      <c r="M874" s="583"/>
      <c r="N874" s="583"/>
      <c r="O874" s="150"/>
      <c r="P874" s="150"/>
      <c r="Q874" s="150"/>
      <c r="R874" s="150"/>
      <c r="S874" s="150"/>
      <c r="T874" s="150"/>
      <c r="U874" s="150"/>
      <c r="V874" s="150"/>
      <c r="W874" s="150"/>
      <c r="X874" s="150"/>
      <c r="Y874" s="150"/>
      <c r="Z874" s="150"/>
      <c r="AA874" s="150"/>
      <c r="AB874" s="150"/>
      <c r="AC874" s="150"/>
      <c r="AD874" s="150"/>
      <c r="AE874" s="150"/>
    </row>
    <row r="875" spans="1:31" ht="15">
      <c r="A875" s="150"/>
      <c r="B875" s="150"/>
      <c r="C875" s="150"/>
      <c r="D875" s="150"/>
      <c r="E875" s="150"/>
      <c r="F875" s="150"/>
      <c r="G875" s="583"/>
      <c r="H875" s="583"/>
      <c r="I875" s="583"/>
      <c r="J875" s="1767"/>
      <c r="K875" s="1767"/>
      <c r="L875" s="150"/>
      <c r="M875" s="583"/>
      <c r="N875" s="583"/>
      <c r="O875" s="150"/>
      <c r="P875" s="150"/>
      <c r="Q875" s="150"/>
      <c r="R875" s="150"/>
      <c r="S875" s="150"/>
      <c r="T875" s="150"/>
      <c r="U875" s="150"/>
      <c r="V875" s="150"/>
      <c r="W875" s="150"/>
      <c r="X875" s="150"/>
      <c r="Y875" s="150"/>
      <c r="Z875" s="150"/>
      <c r="AA875" s="150"/>
      <c r="AB875" s="150"/>
      <c r="AC875" s="150"/>
      <c r="AD875" s="150"/>
      <c r="AE875" s="150"/>
    </row>
    <row r="876" spans="1:31" ht="15">
      <c r="A876" s="150"/>
      <c r="B876" s="150"/>
      <c r="C876" s="150"/>
      <c r="D876" s="150"/>
      <c r="E876" s="150"/>
      <c r="F876" s="150"/>
      <c r="G876" s="583"/>
      <c r="H876" s="583"/>
      <c r="I876" s="583"/>
      <c r="J876" s="1767"/>
      <c r="K876" s="1767"/>
      <c r="L876" s="150"/>
      <c r="M876" s="583"/>
      <c r="N876" s="583"/>
      <c r="O876" s="150"/>
      <c r="P876" s="150"/>
      <c r="Q876" s="150"/>
      <c r="R876" s="150"/>
      <c r="S876" s="150"/>
      <c r="T876" s="150"/>
      <c r="U876" s="150"/>
      <c r="V876" s="150"/>
      <c r="W876" s="150"/>
      <c r="X876" s="150"/>
      <c r="Y876" s="150"/>
      <c r="Z876" s="150"/>
      <c r="AA876" s="150"/>
      <c r="AB876" s="150"/>
      <c r="AC876" s="150"/>
      <c r="AD876" s="150"/>
      <c r="AE876" s="150"/>
    </row>
    <row r="877" spans="1:31" ht="15">
      <c r="A877" s="150"/>
      <c r="B877" s="150"/>
      <c r="C877" s="150"/>
      <c r="D877" s="150"/>
      <c r="E877" s="150"/>
      <c r="F877" s="150"/>
      <c r="G877" s="583"/>
      <c r="H877" s="583"/>
      <c r="I877" s="583"/>
      <c r="J877" s="1767"/>
      <c r="K877" s="1767"/>
      <c r="L877" s="150"/>
      <c r="M877" s="583"/>
      <c r="N877" s="583"/>
      <c r="O877" s="150"/>
      <c r="P877" s="150"/>
      <c r="Q877" s="150"/>
      <c r="R877" s="150"/>
      <c r="S877" s="150"/>
      <c r="T877" s="150"/>
      <c r="U877" s="150"/>
      <c r="V877" s="150"/>
      <c r="W877" s="150"/>
      <c r="X877" s="150"/>
      <c r="Y877" s="150"/>
      <c r="Z877" s="150"/>
      <c r="AA877" s="150"/>
      <c r="AB877" s="150"/>
      <c r="AC877" s="150"/>
      <c r="AD877" s="150"/>
      <c r="AE877" s="150"/>
    </row>
    <row r="878" spans="1:31" ht="15">
      <c r="A878" s="150"/>
      <c r="B878" s="150"/>
      <c r="C878" s="150"/>
      <c r="D878" s="150"/>
      <c r="E878" s="150"/>
      <c r="F878" s="150"/>
      <c r="G878" s="583"/>
      <c r="H878" s="583"/>
      <c r="I878" s="583"/>
      <c r="J878" s="1767"/>
      <c r="K878" s="1767"/>
      <c r="L878" s="150"/>
      <c r="M878" s="583"/>
      <c r="N878" s="583"/>
      <c r="O878" s="150"/>
      <c r="P878" s="150"/>
      <c r="Q878" s="150"/>
      <c r="R878" s="150"/>
      <c r="S878" s="150"/>
      <c r="T878" s="150"/>
      <c r="U878" s="150"/>
      <c r="V878" s="150"/>
      <c r="W878" s="150"/>
      <c r="X878" s="150"/>
      <c r="Y878" s="150"/>
      <c r="Z878" s="150"/>
      <c r="AA878" s="150"/>
      <c r="AB878" s="150"/>
      <c r="AC878" s="150"/>
      <c r="AD878" s="150"/>
      <c r="AE878" s="150"/>
    </row>
    <row r="879" spans="1:31" ht="15">
      <c r="A879" s="150"/>
      <c r="B879" s="150"/>
      <c r="C879" s="150"/>
      <c r="D879" s="150"/>
      <c r="E879" s="150"/>
      <c r="F879" s="150"/>
      <c r="G879" s="583"/>
      <c r="H879" s="583"/>
      <c r="I879" s="583"/>
      <c r="J879" s="1767"/>
      <c r="K879" s="1767"/>
      <c r="L879" s="150"/>
      <c r="M879" s="583"/>
      <c r="N879" s="583"/>
      <c r="O879" s="150"/>
      <c r="P879" s="150"/>
      <c r="Q879" s="150"/>
      <c r="R879" s="150"/>
      <c r="S879" s="150"/>
      <c r="T879" s="150"/>
      <c r="U879" s="150"/>
      <c r="V879" s="150"/>
      <c r="W879" s="150"/>
      <c r="X879" s="150"/>
      <c r="Y879" s="150"/>
      <c r="Z879" s="150"/>
      <c r="AA879" s="150"/>
      <c r="AB879" s="150"/>
      <c r="AC879" s="150"/>
      <c r="AD879" s="150"/>
      <c r="AE879" s="150"/>
    </row>
    <row r="880" spans="1:31" ht="15">
      <c r="A880" s="150"/>
      <c r="B880" s="150"/>
      <c r="C880" s="150"/>
      <c r="D880" s="150"/>
      <c r="E880" s="150"/>
      <c r="F880" s="150"/>
      <c r="G880" s="583"/>
      <c r="H880" s="583"/>
      <c r="I880" s="583"/>
      <c r="J880" s="1767"/>
      <c r="K880" s="1767"/>
      <c r="L880" s="150"/>
      <c r="M880" s="583"/>
      <c r="N880" s="583"/>
      <c r="O880" s="150"/>
      <c r="P880" s="150"/>
      <c r="Q880" s="150"/>
      <c r="R880" s="150"/>
      <c r="S880" s="150"/>
      <c r="T880" s="150"/>
      <c r="U880" s="150"/>
      <c r="V880" s="150"/>
      <c r="W880" s="150"/>
      <c r="X880" s="150"/>
      <c r="Y880" s="150"/>
      <c r="Z880" s="150"/>
      <c r="AA880" s="150"/>
      <c r="AB880" s="150"/>
      <c r="AC880" s="150"/>
      <c r="AD880" s="150"/>
      <c r="AE880" s="150"/>
    </row>
    <row r="881" spans="1:31" ht="15">
      <c r="A881" s="150"/>
      <c r="B881" s="150"/>
      <c r="C881" s="150"/>
      <c r="D881" s="150"/>
      <c r="E881" s="150"/>
      <c r="F881" s="150"/>
      <c r="G881" s="583"/>
      <c r="H881" s="583"/>
      <c r="I881" s="583"/>
      <c r="J881" s="1767"/>
      <c r="K881" s="1767"/>
      <c r="L881" s="150"/>
      <c r="M881" s="583"/>
      <c r="N881" s="583"/>
      <c r="O881" s="150"/>
      <c r="P881" s="150"/>
      <c r="Q881" s="150"/>
      <c r="R881" s="150"/>
      <c r="S881" s="150"/>
      <c r="T881" s="150"/>
      <c r="U881" s="150"/>
      <c r="V881" s="150"/>
      <c r="W881" s="150"/>
      <c r="X881" s="150"/>
      <c r="Y881" s="150"/>
      <c r="Z881" s="150"/>
      <c r="AA881" s="150"/>
      <c r="AB881" s="150"/>
      <c r="AC881" s="150"/>
      <c r="AD881" s="150"/>
      <c r="AE881" s="150"/>
    </row>
    <row r="882" spans="1:31" ht="15">
      <c r="A882" s="150"/>
      <c r="B882" s="150"/>
      <c r="C882" s="150"/>
      <c r="D882" s="150"/>
      <c r="E882" s="150"/>
      <c r="F882" s="150"/>
      <c r="G882" s="583"/>
      <c r="H882" s="583"/>
      <c r="I882" s="583"/>
      <c r="J882" s="1767"/>
      <c r="K882" s="1767"/>
      <c r="L882" s="150"/>
      <c r="M882" s="583"/>
      <c r="N882" s="583"/>
      <c r="O882" s="150"/>
      <c r="P882" s="150"/>
      <c r="Q882" s="150"/>
      <c r="R882" s="150"/>
      <c r="S882" s="150"/>
      <c r="T882" s="150"/>
      <c r="U882" s="150"/>
      <c r="V882" s="150"/>
      <c r="W882" s="150"/>
      <c r="X882" s="150"/>
      <c r="Y882" s="150"/>
      <c r="Z882" s="150"/>
      <c r="AA882" s="150"/>
      <c r="AB882" s="150"/>
      <c r="AC882" s="150"/>
      <c r="AD882" s="150"/>
      <c r="AE882" s="150"/>
    </row>
    <row r="883" spans="1:31" ht="15">
      <c r="A883" s="150"/>
      <c r="B883" s="150"/>
      <c r="C883" s="150"/>
      <c r="D883" s="150"/>
      <c r="E883" s="150"/>
      <c r="F883" s="150"/>
      <c r="G883" s="583"/>
      <c r="H883" s="583"/>
      <c r="I883" s="583"/>
      <c r="J883" s="1767"/>
      <c r="K883" s="1767"/>
      <c r="L883" s="150"/>
      <c r="M883" s="583"/>
      <c r="N883" s="583"/>
      <c r="O883" s="150"/>
      <c r="P883" s="150"/>
      <c r="Q883" s="150"/>
      <c r="R883" s="150"/>
      <c r="S883" s="150"/>
      <c r="T883" s="150"/>
      <c r="U883" s="150"/>
      <c r="V883" s="150"/>
      <c r="W883" s="150"/>
      <c r="X883" s="150"/>
      <c r="Y883" s="150"/>
      <c r="Z883" s="150"/>
      <c r="AA883" s="150"/>
      <c r="AB883" s="150"/>
      <c r="AC883" s="150"/>
      <c r="AD883" s="150"/>
      <c r="AE883" s="150"/>
    </row>
    <row r="884" spans="1:31" ht="15">
      <c r="A884" s="150"/>
      <c r="B884" s="150"/>
      <c r="C884" s="150"/>
      <c r="D884" s="150"/>
      <c r="E884" s="150"/>
      <c r="F884" s="150"/>
      <c r="G884" s="583"/>
      <c r="H884" s="583"/>
      <c r="I884" s="583"/>
      <c r="J884" s="1767"/>
      <c r="K884" s="1767"/>
      <c r="L884" s="150"/>
      <c r="M884" s="583"/>
      <c r="N884" s="583"/>
      <c r="O884" s="150"/>
      <c r="P884" s="150"/>
      <c r="Q884" s="150"/>
      <c r="R884" s="150"/>
      <c r="S884" s="150"/>
      <c r="T884" s="150"/>
      <c r="U884" s="150"/>
      <c r="V884" s="150"/>
      <c r="W884" s="150"/>
      <c r="X884" s="150"/>
      <c r="Y884" s="150"/>
      <c r="Z884" s="150"/>
      <c r="AA884" s="150"/>
      <c r="AB884" s="150"/>
      <c r="AC884" s="150"/>
      <c r="AD884" s="150"/>
      <c r="AE884" s="150"/>
    </row>
    <row r="885" spans="1:31" ht="15">
      <c r="A885" s="150"/>
      <c r="B885" s="150"/>
      <c r="C885" s="150"/>
      <c r="D885" s="150"/>
      <c r="E885" s="150"/>
      <c r="F885" s="150"/>
      <c r="G885" s="583"/>
      <c r="H885" s="583"/>
      <c r="I885" s="583"/>
      <c r="J885" s="1767"/>
      <c r="K885" s="1767"/>
      <c r="L885" s="150"/>
      <c r="M885" s="583"/>
      <c r="N885" s="583"/>
      <c r="O885" s="150"/>
      <c r="P885" s="150"/>
      <c r="Q885" s="150"/>
      <c r="R885" s="150"/>
      <c r="S885" s="150"/>
      <c r="T885" s="150"/>
      <c r="U885" s="150"/>
      <c r="V885" s="150"/>
      <c r="W885" s="150"/>
      <c r="X885" s="150"/>
      <c r="Y885" s="150"/>
      <c r="Z885" s="150"/>
      <c r="AA885" s="150"/>
      <c r="AB885" s="150"/>
      <c r="AC885" s="150"/>
      <c r="AD885" s="150"/>
      <c r="AE885" s="150"/>
    </row>
    <row r="886" spans="1:31" ht="15">
      <c r="A886" s="150"/>
      <c r="B886" s="150"/>
      <c r="C886" s="150"/>
      <c r="D886" s="150"/>
      <c r="E886" s="150"/>
      <c r="F886" s="150"/>
      <c r="G886" s="583"/>
      <c r="H886" s="583"/>
      <c r="I886" s="583"/>
      <c r="J886" s="1767"/>
      <c r="K886" s="1767"/>
      <c r="L886" s="150"/>
      <c r="M886" s="583"/>
      <c r="N886" s="583"/>
      <c r="O886" s="150"/>
      <c r="P886" s="150"/>
      <c r="Q886" s="150"/>
      <c r="R886" s="150"/>
      <c r="S886" s="150"/>
      <c r="T886" s="150"/>
      <c r="U886" s="150"/>
      <c r="V886" s="150"/>
      <c r="W886" s="150"/>
      <c r="X886" s="150"/>
      <c r="Y886" s="150"/>
      <c r="Z886" s="150"/>
      <c r="AA886" s="150"/>
      <c r="AB886" s="150"/>
      <c r="AC886" s="150"/>
      <c r="AD886" s="150"/>
      <c r="AE886" s="150"/>
    </row>
    <row r="887" spans="1:31" ht="15">
      <c r="A887" s="150"/>
      <c r="B887" s="150"/>
      <c r="C887" s="150"/>
      <c r="D887" s="150"/>
      <c r="E887" s="150"/>
      <c r="F887" s="150"/>
      <c r="G887" s="583"/>
      <c r="H887" s="583"/>
      <c r="I887" s="583"/>
      <c r="J887" s="1767"/>
      <c r="K887" s="1767"/>
      <c r="L887" s="150"/>
      <c r="M887" s="583"/>
      <c r="N887" s="583"/>
      <c r="O887" s="150"/>
      <c r="P887" s="150"/>
      <c r="Q887" s="150"/>
      <c r="R887" s="150"/>
      <c r="S887" s="150"/>
      <c r="T887" s="150"/>
      <c r="U887" s="150"/>
      <c r="V887" s="150"/>
      <c r="W887" s="150"/>
      <c r="X887" s="150"/>
      <c r="Y887" s="150"/>
      <c r="Z887" s="150"/>
      <c r="AA887" s="150"/>
      <c r="AB887" s="150"/>
      <c r="AC887" s="150"/>
      <c r="AD887" s="150"/>
      <c r="AE887" s="150"/>
    </row>
    <row r="888" spans="1:31" ht="15">
      <c r="A888" s="150"/>
      <c r="B888" s="150"/>
      <c r="C888" s="150"/>
      <c r="D888" s="150"/>
      <c r="E888" s="150"/>
      <c r="F888" s="150"/>
      <c r="G888" s="583"/>
      <c r="H888" s="583"/>
      <c r="I888" s="583"/>
      <c r="J888" s="1767"/>
      <c r="K888" s="1767"/>
      <c r="L888" s="150"/>
      <c r="M888" s="583"/>
      <c r="N888" s="583"/>
      <c r="O888" s="150"/>
      <c r="P888" s="150"/>
      <c r="Q888" s="150"/>
      <c r="R888" s="150"/>
      <c r="S888" s="150"/>
      <c r="T888" s="150"/>
      <c r="U888" s="150"/>
      <c r="V888" s="150"/>
      <c r="W888" s="150"/>
      <c r="X888" s="150"/>
      <c r="Y888" s="150"/>
      <c r="Z888" s="150"/>
      <c r="AA888" s="150"/>
      <c r="AB888" s="150"/>
      <c r="AC888" s="150"/>
      <c r="AD888" s="150"/>
      <c r="AE888" s="150"/>
    </row>
    <row r="889" spans="1:31" ht="15">
      <c r="A889" s="150"/>
      <c r="B889" s="150"/>
      <c r="C889" s="150"/>
      <c r="D889" s="150"/>
      <c r="E889" s="150"/>
      <c r="F889" s="150"/>
      <c r="G889" s="583"/>
      <c r="H889" s="583"/>
      <c r="I889" s="583"/>
      <c r="J889" s="1767"/>
      <c r="K889" s="1767"/>
      <c r="L889" s="150"/>
      <c r="M889" s="583"/>
      <c r="N889" s="583"/>
      <c r="O889" s="150"/>
      <c r="P889" s="150"/>
      <c r="Q889" s="150"/>
      <c r="R889" s="150"/>
      <c r="S889" s="150"/>
      <c r="T889" s="150"/>
      <c r="U889" s="150"/>
      <c r="V889" s="150"/>
      <c r="W889" s="150"/>
      <c r="X889" s="150"/>
      <c r="Y889" s="150"/>
      <c r="Z889" s="150"/>
      <c r="AA889" s="150"/>
      <c r="AB889" s="150"/>
      <c r="AC889" s="150"/>
      <c r="AD889" s="150"/>
      <c r="AE889" s="150"/>
    </row>
    <row r="890" spans="1:31" ht="15">
      <c r="A890" s="150"/>
      <c r="B890" s="150"/>
      <c r="C890" s="150"/>
      <c r="D890" s="150"/>
      <c r="E890" s="150"/>
      <c r="F890" s="150"/>
      <c r="G890" s="583"/>
      <c r="H890" s="583"/>
      <c r="I890" s="583"/>
      <c r="J890" s="1767"/>
      <c r="K890" s="1767"/>
      <c r="L890" s="150"/>
      <c r="M890" s="583"/>
      <c r="N890" s="583"/>
      <c r="O890" s="150"/>
      <c r="P890" s="150"/>
      <c r="Q890" s="150"/>
      <c r="R890" s="150"/>
      <c r="S890" s="150"/>
      <c r="T890" s="150"/>
      <c r="U890" s="150"/>
      <c r="V890" s="150"/>
      <c r="W890" s="150"/>
      <c r="X890" s="150"/>
      <c r="Y890" s="150"/>
      <c r="Z890" s="150"/>
      <c r="AA890" s="150"/>
      <c r="AB890" s="150"/>
      <c r="AC890" s="150"/>
      <c r="AD890" s="150"/>
      <c r="AE890" s="150"/>
    </row>
    <row r="891" spans="1:31" ht="15">
      <c r="A891" s="150"/>
      <c r="B891" s="150"/>
      <c r="C891" s="150"/>
      <c r="D891" s="150"/>
      <c r="E891" s="150"/>
      <c r="F891" s="150"/>
      <c r="G891" s="583"/>
      <c r="H891" s="583"/>
      <c r="I891" s="583"/>
      <c r="J891" s="1767"/>
      <c r="K891" s="1767"/>
      <c r="L891" s="150"/>
      <c r="M891" s="583"/>
      <c r="N891" s="583"/>
      <c r="O891" s="150"/>
      <c r="P891" s="150"/>
      <c r="Q891" s="150"/>
      <c r="R891" s="150"/>
      <c r="S891" s="150"/>
      <c r="T891" s="150"/>
      <c r="U891" s="150"/>
      <c r="V891" s="150"/>
      <c r="W891" s="150"/>
      <c r="X891" s="150"/>
      <c r="Y891" s="150"/>
      <c r="Z891" s="150"/>
      <c r="AA891" s="150"/>
      <c r="AB891" s="150"/>
      <c r="AC891" s="150"/>
      <c r="AD891" s="150"/>
      <c r="AE891" s="150"/>
    </row>
    <row r="892" spans="1:31" ht="15">
      <c r="A892" s="150"/>
      <c r="B892" s="150"/>
      <c r="C892" s="150"/>
      <c r="D892" s="150"/>
      <c r="E892" s="150"/>
      <c r="F892" s="150"/>
      <c r="G892" s="583"/>
      <c r="H892" s="583"/>
      <c r="I892" s="583"/>
      <c r="J892" s="1767"/>
      <c r="K892" s="1767"/>
      <c r="L892" s="150"/>
      <c r="M892" s="583"/>
      <c r="N892" s="583"/>
      <c r="O892" s="150"/>
      <c r="P892" s="150"/>
      <c r="Q892" s="150"/>
      <c r="R892" s="150"/>
      <c r="S892" s="150"/>
      <c r="T892" s="150"/>
      <c r="U892" s="150"/>
      <c r="V892" s="150"/>
      <c r="W892" s="150"/>
      <c r="X892" s="150"/>
      <c r="Y892" s="150"/>
      <c r="Z892" s="150"/>
      <c r="AA892" s="150"/>
      <c r="AB892" s="150"/>
      <c r="AC892" s="150"/>
      <c r="AD892" s="150"/>
      <c r="AE892" s="150"/>
    </row>
    <row r="893" spans="1:31" ht="15">
      <c r="A893" s="150"/>
      <c r="B893" s="150"/>
      <c r="C893" s="150"/>
      <c r="D893" s="150"/>
      <c r="E893" s="150"/>
      <c r="F893" s="150"/>
      <c r="G893" s="583"/>
      <c r="H893" s="583"/>
      <c r="I893" s="583"/>
      <c r="J893" s="1767"/>
      <c r="K893" s="1767"/>
      <c r="L893" s="150"/>
      <c r="M893" s="583"/>
      <c r="N893" s="583"/>
      <c r="O893" s="150"/>
      <c r="P893" s="150"/>
      <c r="Q893" s="150"/>
      <c r="R893" s="150"/>
      <c r="S893" s="150"/>
      <c r="T893" s="150"/>
      <c r="U893" s="150"/>
      <c r="V893" s="150"/>
      <c r="W893" s="150"/>
      <c r="X893" s="150"/>
      <c r="Y893" s="150"/>
      <c r="Z893" s="150"/>
      <c r="AA893" s="150"/>
      <c r="AB893" s="150"/>
      <c r="AC893" s="150"/>
      <c r="AD893" s="150"/>
      <c r="AE893" s="150"/>
    </row>
    <row r="894" spans="1:31" ht="15">
      <c r="A894" s="150"/>
      <c r="B894" s="150"/>
      <c r="C894" s="150"/>
      <c r="D894" s="150"/>
      <c r="E894" s="150"/>
      <c r="F894" s="150"/>
      <c r="G894" s="583"/>
      <c r="H894" s="583"/>
      <c r="I894" s="583"/>
      <c r="J894" s="1767"/>
      <c r="K894" s="1767"/>
      <c r="L894" s="150"/>
      <c r="M894" s="583"/>
      <c r="N894" s="583"/>
      <c r="O894" s="150"/>
      <c r="P894" s="150"/>
      <c r="Q894" s="150"/>
      <c r="R894" s="150"/>
      <c r="S894" s="150"/>
      <c r="T894" s="150"/>
      <c r="U894" s="150"/>
      <c r="V894" s="150"/>
      <c r="W894" s="150"/>
      <c r="X894" s="150"/>
      <c r="Y894" s="150"/>
      <c r="Z894" s="150"/>
      <c r="AA894" s="150"/>
      <c r="AB894" s="150"/>
      <c r="AC894" s="150"/>
      <c r="AD894" s="150"/>
      <c r="AE894" s="150"/>
    </row>
    <row r="895" spans="1:31" ht="15">
      <c r="A895" s="150"/>
      <c r="B895" s="150"/>
      <c r="C895" s="150"/>
      <c r="D895" s="150"/>
      <c r="E895" s="150"/>
      <c r="F895" s="150"/>
      <c r="G895" s="583"/>
      <c r="H895" s="583"/>
      <c r="I895" s="583"/>
      <c r="J895" s="1767"/>
      <c r="K895" s="1767"/>
      <c r="L895" s="150"/>
      <c r="M895" s="583"/>
      <c r="N895" s="583"/>
      <c r="O895" s="150"/>
      <c r="P895" s="150"/>
      <c r="Q895" s="150"/>
      <c r="R895" s="150"/>
      <c r="S895" s="150"/>
      <c r="T895" s="150"/>
      <c r="U895" s="150"/>
      <c r="V895" s="150"/>
      <c r="W895" s="150"/>
      <c r="X895" s="150"/>
      <c r="Y895" s="150"/>
      <c r="Z895" s="150"/>
      <c r="AA895" s="150"/>
      <c r="AB895" s="150"/>
      <c r="AC895" s="150"/>
      <c r="AD895" s="150"/>
      <c r="AE895" s="150"/>
    </row>
    <row r="896" spans="1:31" ht="15">
      <c r="A896" s="150"/>
      <c r="B896" s="150"/>
      <c r="C896" s="150"/>
      <c r="D896" s="150"/>
      <c r="E896" s="150"/>
      <c r="F896" s="150"/>
      <c r="G896" s="583"/>
      <c r="H896" s="583"/>
      <c r="I896" s="583"/>
      <c r="J896" s="1767"/>
      <c r="K896" s="1767"/>
      <c r="L896" s="150"/>
      <c r="M896" s="583"/>
      <c r="N896" s="583"/>
      <c r="O896" s="150"/>
      <c r="P896" s="150"/>
      <c r="Q896" s="150"/>
      <c r="R896" s="150"/>
      <c r="S896" s="150"/>
      <c r="T896" s="150"/>
      <c r="U896" s="150"/>
      <c r="V896" s="150"/>
      <c r="W896" s="150"/>
      <c r="X896" s="150"/>
      <c r="Y896" s="150"/>
      <c r="Z896" s="150"/>
      <c r="AA896" s="150"/>
      <c r="AB896" s="150"/>
      <c r="AC896" s="150"/>
      <c r="AD896" s="150"/>
      <c r="AE896" s="150"/>
    </row>
    <row r="897" spans="1:31" ht="15">
      <c r="A897" s="150"/>
      <c r="B897" s="150"/>
      <c r="C897" s="150"/>
      <c r="D897" s="150"/>
      <c r="E897" s="150"/>
      <c r="F897" s="150"/>
      <c r="G897" s="583"/>
      <c r="H897" s="583"/>
      <c r="I897" s="583"/>
      <c r="J897" s="1767"/>
      <c r="K897" s="1767"/>
      <c r="L897" s="150"/>
      <c r="M897" s="583"/>
      <c r="N897" s="583"/>
      <c r="O897" s="150"/>
      <c r="P897" s="150"/>
      <c r="Q897" s="150"/>
      <c r="R897" s="150"/>
      <c r="S897" s="150"/>
      <c r="T897" s="150"/>
      <c r="U897" s="150"/>
      <c r="V897" s="150"/>
      <c r="W897" s="150"/>
      <c r="X897" s="150"/>
      <c r="Y897" s="150"/>
      <c r="Z897" s="150"/>
      <c r="AA897" s="150"/>
      <c r="AB897" s="150"/>
      <c r="AC897" s="150"/>
      <c r="AD897" s="150"/>
      <c r="AE897" s="150"/>
    </row>
    <row r="898" spans="1:31" ht="15">
      <c r="A898" s="150"/>
      <c r="B898" s="150"/>
      <c r="C898" s="150"/>
      <c r="D898" s="150"/>
      <c r="E898" s="150"/>
      <c r="F898" s="150"/>
      <c r="G898" s="583"/>
      <c r="H898" s="583"/>
      <c r="I898" s="583"/>
      <c r="J898" s="1767"/>
      <c r="K898" s="1767"/>
      <c r="L898" s="150"/>
      <c r="M898" s="583"/>
      <c r="N898" s="583"/>
      <c r="O898" s="150"/>
      <c r="P898" s="150"/>
      <c r="Q898" s="150"/>
      <c r="R898" s="150"/>
      <c r="S898" s="150"/>
      <c r="T898" s="150"/>
      <c r="U898" s="150"/>
      <c r="V898" s="150"/>
      <c r="W898" s="150"/>
      <c r="X898" s="150"/>
      <c r="Y898" s="150"/>
      <c r="Z898" s="150"/>
      <c r="AA898" s="150"/>
      <c r="AB898" s="150"/>
      <c r="AC898" s="150"/>
      <c r="AD898" s="150"/>
      <c r="AE898" s="150"/>
    </row>
    <row r="899" spans="1:31" ht="15">
      <c r="A899" s="150"/>
      <c r="B899" s="150"/>
      <c r="C899" s="150"/>
      <c r="D899" s="150"/>
      <c r="E899" s="150"/>
      <c r="F899" s="150"/>
      <c r="G899" s="583"/>
      <c r="H899" s="583"/>
      <c r="I899" s="583"/>
      <c r="J899" s="1767"/>
      <c r="K899" s="1767"/>
      <c r="L899" s="150"/>
      <c r="M899" s="583"/>
      <c r="N899" s="583"/>
      <c r="O899" s="150"/>
      <c r="P899" s="150"/>
      <c r="Q899" s="150"/>
      <c r="R899" s="150"/>
      <c r="S899" s="150"/>
      <c r="T899" s="150"/>
      <c r="U899" s="150"/>
      <c r="V899" s="150"/>
      <c r="W899" s="150"/>
      <c r="X899" s="150"/>
      <c r="Y899" s="150"/>
      <c r="Z899" s="150"/>
      <c r="AA899" s="150"/>
      <c r="AB899" s="150"/>
      <c r="AC899" s="150"/>
      <c r="AD899" s="150"/>
      <c r="AE899" s="150"/>
    </row>
    <row r="900" spans="1:31" ht="15">
      <c r="A900" s="150"/>
      <c r="B900" s="150"/>
      <c r="C900" s="150"/>
      <c r="D900" s="150"/>
      <c r="E900" s="150"/>
      <c r="F900" s="150"/>
      <c r="G900" s="583"/>
      <c r="H900" s="583"/>
      <c r="I900" s="583"/>
      <c r="J900" s="1767"/>
      <c r="K900" s="1767"/>
      <c r="L900" s="150"/>
      <c r="M900" s="583"/>
      <c r="N900" s="583"/>
      <c r="O900" s="150"/>
      <c r="P900" s="150"/>
      <c r="Q900" s="150"/>
      <c r="R900" s="150"/>
      <c r="S900" s="150"/>
      <c r="T900" s="150"/>
      <c r="U900" s="150"/>
      <c r="V900" s="150"/>
      <c r="W900" s="150"/>
      <c r="X900" s="150"/>
      <c r="Y900" s="150"/>
      <c r="Z900" s="150"/>
      <c r="AA900" s="150"/>
      <c r="AB900" s="150"/>
      <c r="AC900" s="150"/>
      <c r="AD900" s="150"/>
      <c r="AE900" s="150"/>
    </row>
    <row r="901" spans="1:31" ht="15">
      <c r="A901" s="150"/>
      <c r="B901" s="150"/>
      <c r="C901" s="150"/>
      <c r="D901" s="150"/>
      <c r="E901" s="150"/>
      <c r="F901" s="150"/>
      <c r="G901" s="583"/>
      <c r="H901" s="583"/>
      <c r="I901" s="583"/>
      <c r="J901" s="1767"/>
      <c r="K901" s="1767"/>
      <c r="L901" s="150"/>
      <c r="M901" s="583"/>
      <c r="N901" s="583"/>
      <c r="O901" s="150"/>
      <c r="P901" s="150"/>
      <c r="Q901" s="150"/>
      <c r="R901" s="150"/>
      <c r="S901" s="150"/>
      <c r="T901" s="150"/>
      <c r="U901" s="150"/>
      <c r="V901" s="150"/>
      <c r="W901" s="150"/>
      <c r="X901" s="150"/>
      <c r="Y901" s="150"/>
      <c r="Z901" s="150"/>
      <c r="AA901" s="150"/>
      <c r="AB901" s="150"/>
      <c r="AC901" s="150"/>
      <c r="AD901" s="150"/>
      <c r="AE901" s="150"/>
    </row>
    <row r="902" spans="1:31" ht="15">
      <c r="A902" s="150"/>
      <c r="B902" s="150"/>
      <c r="C902" s="150"/>
      <c r="D902" s="150"/>
      <c r="E902" s="150"/>
      <c r="F902" s="150"/>
      <c r="G902" s="583"/>
      <c r="H902" s="583"/>
      <c r="I902" s="583"/>
      <c r="J902" s="1767"/>
      <c r="K902" s="1767"/>
      <c r="L902" s="150"/>
      <c r="M902" s="583"/>
      <c r="N902" s="583"/>
      <c r="O902" s="150"/>
      <c r="P902" s="150"/>
      <c r="Q902" s="150"/>
      <c r="R902" s="150"/>
      <c r="S902" s="150"/>
      <c r="T902" s="150"/>
      <c r="U902" s="150"/>
      <c r="V902" s="150"/>
      <c r="W902" s="150"/>
      <c r="X902" s="150"/>
      <c r="Y902" s="150"/>
      <c r="Z902" s="150"/>
      <c r="AA902" s="150"/>
      <c r="AB902" s="150"/>
      <c r="AC902" s="150"/>
      <c r="AD902" s="150"/>
      <c r="AE902" s="150"/>
    </row>
    <row r="903" spans="1:31" ht="15">
      <c r="A903" s="150"/>
      <c r="B903" s="150"/>
      <c r="C903" s="150"/>
      <c r="D903" s="150"/>
      <c r="E903" s="150"/>
      <c r="F903" s="150"/>
      <c r="G903" s="583"/>
      <c r="H903" s="583"/>
      <c r="I903" s="583"/>
      <c r="J903" s="1767"/>
      <c r="K903" s="1767"/>
      <c r="L903" s="150"/>
      <c r="M903" s="583"/>
      <c r="N903" s="583"/>
      <c r="O903" s="150"/>
      <c r="P903" s="150"/>
      <c r="Q903" s="150"/>
      <c r="R903" s="150"/>
      <c r="S903" s="150"/>
      <c r="T903" s="150"/>
      <c r="U903" s="150"/>
      <c r="V903" s="150"/>
      <c r="W903" s="150"/>
      <c r="X903" s="150"/>
      <c r="Y903" s="150"/>
      <c r="Z903" s="150"/>
      <c r="AA903" s="150"/>
      <c r="AB903" s="150"/>
      <c r="AC903" s="150"/>
      <c r="AD903" s="150"/>
      <c r="AE903" s="150"/>
    </row>
    <row r="904" spans="1:31" ht="15">
      <c r="A904" s="150"/>
      <c r="B904" s="150"/>
      <c r="C904" s="150"/>
      <c r="D904" s="150"/>
      <c r="E904" s="150"/>
      <c r="F904" s="150"/>
      <c r="G904" s="583"/>
      <c r="H904" s="583"/>
      <c r="I904" s="583"/>
      <c r="J904" s="1767"/>
      <c r="K904" s="1767"/>
      <c r="L904" s="150"/>
      <c r="M904" s="583"/>
      <c r="N904" s="583"/>
      <c r="O904" s="150"/>
      <c r="P904" s="150"/>
      <c r="Q904" s="150"/>
      <c r="R904" s="150"/>
      <c r="S904" s="150"/>
      <c r="T904" s="150"/>
      <c r="U904" s="150"/>
      <c r="V904" s="150"/>
      <c r="W904" s="150"/>
      <c r="X904" s="150"/>
      <c r="Y904" s="150"/>
      <c r="Z904" s="150"/>
      <c r="AA904" s="150"/>
      <c r="AB904" s="150"/>
      <c r="AC904" s="150"/>
      <c r="AD904" s="150"/>
      <c r="AE904" s="150"/>
    </row>
    <row r="905" spans="1:31" ht="15">
      <c r="A905" s="150"/>
      <c r="B905" s="150"/>
      <c r="C905" s="150"/>
      <c r="D905" s="150"/>
      <c r="E905" s="150"/>
      <c r="F905" s="150"/>
      <c r="G905" s="583"/>
      <c r="H905" s="583"/>
      <c r="I905" s="583"/>
      <c r="J905" s="1767"/>
      <c r="K905" s="1767"/>
      <c r="L905" s="150"/>
      <c r="M905" s="583"/>
      <c r="N905" s="583"/>
      <c r="O905" s="150"/>
      <c r="P905" s="150"/>
      <c r="Q905" s="150"/>
      <c r="R905" s="150"/>
      <c r="S905" s="150"/>
      <c r="T905" s="150"/>
      <c r="U905" s="150"/>
      <c r="V905" s="150"/>
      <c r="W905" s="150"/>
      <c r="X905" s="150"/>
      <c r="Y905" s="150"/>
      <c r="Z905" s="150"/>
      <c r="AA905" s="150"/>
      <c r="AB905" s="150"/>
      <c r="AC905" s="150"/>
      <c r="AD905" s="150"/>
      <c r="AE905" s="150"/>
    </row>
    <row r="906" spans="1:31" ht="15">
      <c r="A906" s="150"/>
      <c r="B906" s="150"/>
      <c r="C906" s="150"/>
      <c r="D906" s="150"/>
      <c r="E906" s="150"/>
      <c r="F906" s="150"/>
      <c r="G906" s="583"/>
      <c r="H906" s="583"/>
      <c r="I906" s="583"/>
      <c r="J906" s="1767"/>
      <c r="K906" s="1767"/>
      <c r="L906" s="150"/>
      <c r="M906" s="583"/>
      <c r="N906" s="583"/>
      <c r="O906" s="150"/>
      <c r="P906" s="150"/>
      <c r="Q906" s="150"/>
      <c r="R906" s="150"/>
      <c r="S906" s="150"/>
      <c r="T906" s="150"/>
      <c r="U906" s="150"/>
      <c r="V906" s="150"/>
      <c r="W906" s="150"/>
      <c r="X906" s="150"/>
      <c r="Y906" s="150"/>
      <c r="Z906" s="150"/>
      <c r="AA906" s="150"/>
      <c r="AB906" s="150"/>
      <c r="AC906" s="150"/>
      <c r="AD906" s="150"/>
      <c r="AE906" s="150"/>
    </row>
    <row r="907" spans="1:31" ht="15">
      <c r="A907" s="150"/>
      <c r="B907" s="150"/>
      <c r="C907" s="150"/>
      <c r="D907" s="150"/>
      <c r="E907" s="150"/>
      <c r="F907" s="150"/>
      <c r="G907" s="583"/>
      <c r="H907" s="583"/>
      <c r="I907" s="583"/>
      <c r="J907" s="1767"/>
      <c r="K907" s="1767"/>
      <c r="L907" s="150"/>
      <c r="M907" s="583"/>
      <c r="N907" s="583"/>
      <c r="O907" s="150"/>
      <c r="P907" s="150"/>
      <c r="Q907" s="150"/>
      <c r="R907" s="150"/>
      <c r="S907" s="150"/>
      <c r="T907" s="150"/>
      <c r="U907" s="150"/>
      <c r="V907" s="150"/>
      <c r="W907" s="150"/>
      <c r="X907" s="150"/>
      <c r="Y907" s="150"/>
      <c r="Z907" s="150"/>
      <c r="AA907" s="150"/>
      <c r="AB907" s="150"/>
      <c r="AC907" s="150"/>
      <c r="AD907" s="150"/>
      <c r="AE907" s="150"/>
    </row>
    <row r="908" spans="1:31" ht="15">
      <c r="A908" s="150"/>
      <c r="B908" s="150"/>
      <c r="C908" s="150"/>
      <c r="D908" s="150"/>
      <c r="E908" s="150"/>
      <c r="F908" s="150"/>
      <c r="G908" s="583"/>
      <c r="H908" s="583"/>
      <c r="I908" s="583"/>
      <c r="J908" s="1767"/>
      <c r="K908" s="1767"/>
      <c r="L908" s="150"/>
      <c r="M908" s="583"/>
      <c r="N908" s="583"/>
      <c r="O908" s="150"/>
      <c r="P908" s="150"/>
      <c r="Q908" s="150"/>
      <c r="R908" s="150"/>
      <c r="S908" s="150"/>
      <c r="T908" s="150"/>
      <c r="U908" s="150"/>
      <c r="V908" s="150"/>
      <c r="W908" s="150"/>
      <c r="X908" s="150"/>
      <c r="Y908" s="150"/>
      <c r="Z908" s="150"/>
      <c r="AA908" s="150"/>
      <c r="AB908" s="150"/>
      <c r="AC908" s="150"/>
      <c r="AD908" s="150"/>
      <c r="AE908" s="150"/>
    </row>
    <row r="909" spans="1:31" ht="15">
      <c r="A909" s="150"/>
      <c r="B909" s="150"/>
      <c r="C909" s="150"/>
      <c r="D909" s="150"/>
      <c r="E909" s="150"/>
      <c r="F909" s="150"/>
      <c r="G909" s="583"/>
      <c r="H909" s="583"/>
      <c r="I909" s="583"/>
      <c r="J909" s="1767"/>
      <c r="K909" s="1767"/>
      <c r="L909" s="150"/>
      <c r="M909" s="583"/>
      <c r="N909" s="583"/>
      <c r="O909" s="150"/>
      <c r="P909" s="150"/>
      <c r="Q909" s="150"/>
      <c r="R909" s="150"/>
      <c r="S909" s="150"/>
      <c r="T909" s="150"/>
      <c r="U909" s="150"/>
      <c r="V909" s="150"/>
      <c r="W909" s="150"/>
      <c r="X909" s="150"/>
      <c r="Y909" s="150"/>
      <c r="Z909" s="150"/>
      <c r="AA909" s="150"/>
      <c r="AB909" s="150"/>
      <c r="AC909" s="150"/>
      <c r="AD909" s="150"/>
      <c r="AE909" s="150"/>
    </row>
    <row r="910" spans="1:31" ht="15">
      <c r="A910" s="150"/>
      <c r="B910" s="150"/>
      <c r="C910" s="150"/>
      <c r="D910" s="150"/>
      <c r="E910" s="150"/>
      <c r="F910" s="150"/>
      <c r="G910" s="583"/>
      <c r="H910" s="583"/>
      <c r="I910" s="583"/>
      <c r="J910" s="1767"/>
      <c r="K910" s="1767"/>
      <c r="L910" s="150"/>
      <c r="M910" s="583"/>
      <c r="N910" s="583"/>
      <c r="O910" s="150"/>
      <c r="P910" s="150"/>
      <c r="Q910" s="150"/>
      <c r="R910" s="150"/>
      <c r="S910" s="150"/>
      <c r="T910" s="150"/>
      <c r="U910" s="150"/>
      <c r="V910" s="150"/>
      <c r="W910" s="150"/>
      <c r="X910" s="150"/>
      <c r="Y910" s="150"/>
      <c r="Z910" s="150"/>
      <c r="AA910" s="150"/>
      <c r="AB910" s="150"/>
      <c r="AC910" s="150"/>
      <c r="AD910" s="150"/>
      <c r="AE910" s="150"/>
    </row>
    <row r="911" spans="1:31" ht="15">
      <c r="A911" s="150"/>
      <c r="B911" s="150"/>
      <c r="C911" s="150"/>
      <c r="D911" s="150"/>
      <c r="E911" s="150"/>
      <c r="F911" s="150"/>
      <c r="G911" s="583"/>
      <c r="H911" s="583"/>
      <c r="I911" s="583"/>
      <c r="J911" s="1767"/>
      <c r="K911" s="1767"/>
      <c r="L911" s="150"/>
      <c r="M911" s="583"/>
      <c r="N911" s="583"/>
      <c r="O911" s="150"/>
      <c r="P911" s="150"/>
      <c r="Q911" s="150"/>
      <c r="R911" s="150"/>
      <c r="S911" s="150"/>
      <c r="T911" s="150"/>
      <c r="U911" s="150"/>
      <c r="V911" s="150"/>
      <c r="W911" s="150"/>
      <c r="X911" s="150"/>
      <c r="Y911" s="150"/>
      <c r="Z911" s="150"/>
      <c r="AA911" s="150"/>
      <c r="AB911" s="150"/>
      <c r="AC911" s="150"/>
      <c r="AD911" s="150"/>
      <c r="AE911" s="150"/>
    </row>
    <row r="912" spans="1:31" ht="15">
      <c r="A912" s="150"/>
      <c r="B912" s="150"/>
      <c r="C912" s="150"/>
      <c r="D912" s="150"/>
      <c r="E912" s="150"/>
      <c r="F912" s="150"/>
      <c r="G912" s="583"/>
      <c r="H912" s="583"/>
      <c r="I912" s="583"/>
      <c r="J912" s="1767"/>
      <c r="K912" s="1767"/>
      <c r="L912" s="150"/>
      <c r="M912" s="583"/>
      <c r="N912" s="583"/>
      <c r="O912" s="150"/>
      <c r="P912" s="150"/>
      <c r="Q912" s="150"/>
      <c r="R912" s="150"/>
      <c r="S912" s="150"/>
      <c r="T912" s="150"/>
      <c r="U912" s="150"/>
      <c r="V912" s="150"/>
      <c r="W912" s="150"/>
      <c r="X912" s="150"/>
      <c r="Y912" s="150"/>
      <c r="Z912" s="150"/>
      <c r="AA912" s="150"/>
      <c r="AB912" s="150"/>
      <c r="AC912" s="150"/>
      <c r="AD912" s="150"/>
      <c r="AE912" s="150"/>
    </row>
    <row r="913" spans="1:31" ht="15">
      <c r="A913" s="150"/>
      <c r="B913" s="150"/>
      <c r="C913" s="150"/>
      <c r="D913" s="150"/>
      <c r="E913" s="150"/>
      <c r="F913" s="150"/>
      <c r="G913" s="583"/>
      <c r="H913" s="583"/>
      <c r="I913" s="583"/>
      <c r="J913" s="1767"/>
      <c r="K913" s="1767"/>
      <c r="L913" s="150"/>
      <c r="M913" s="583"/>
      <c r="N913" s="583"/>
      <c r="O913" s="150"/>
      <c r="P913" s="150"/>
      <c r="Q913" s="150"/>
      <c r="R913" s="150"/>
      <c r="S913" s="150"/>
      <c r="T913" s="150"/>
      <c r="U913" s="150"/>
      <c r="V913" s="150"/>
      <c r="W913" s="150"/>
      <c r="X913" s="150"/>
      <c r="Y913" s="150"/>
      <c r="Z913" s="150"/>
      <c r="AA913" s="150"/>
      <c r="AB913" s="150"/>
      <c r="AC913" s="150"/>
      <c r="AD913" s="150"/>
      <c r="AE913" s="150"/>
    </row>
    <row r="914" spans="1:31" ht="15">
      <c r="A914" s="150"/>
      <c r="B914" s="150"/>
      <c r="C914" s="150"/>
      <c r="D914" s="150"/>
      <c r="E914" s="150"/>
      <c r="F914" s="150"/>
      <c r="G914" s="583"/>
      <c r="H914" s="583"/>
      <c r="I914" s="583"/>
      <c r="J914" s="1767"/>
      <c r="K914" s="1767"/>
      <c r="L914" s="150"/>
      <c r="M914" s="583"/>
      <c r="N914" s="583"/>
      <c r="O914" s="150"/>
      <c r="P914" s="150"/>
      <c r="Q914" s="150"/>
      <c r="R914" s="150"/>
      <c r="S914" s="150"/>
      <c r="T914" s="150"/>
      <c r="U914" s="150"/>
      <c r="V914" s="150"/>
      <c r="W914" s="150"/>
      <c r="X914" s="150"/>
      <c r="Y914" s="150"/>
      <c r="Z914" s="150"/>
      <c r="AA914" s="150"/>
      <c r="AB914" s="150"/>
      <c r="AC914" s="150"/>
      <c r="AD914" s="150"/>
      <c r="AE914" s="150"/>
    </row>
    <row r="915" spans="1:31" ht="15">
      <c r="A915" s="150"/>
      <c r="B915" s="150"/>
      <c r="C915" s="150"/>
      <c r="D915" s="150"/>
      <c r="E915" s="150"/>
      <c r="F915" s="150"/>
      <c r="G915" s="583"/>
      <c r="H915" s="583"/>
      <c r="I915" s="583"/>
      <c r="J915" s="1767"/>
      <c r="K915" s="1767"/>
      <c r="L915" s="150"/>
      <c r="M915" s="583"/>
      <c r="N915" s="583"/>
      <c r="O915" s="150"/>
      <c r="P915" s="150"/>
      <c r="Q915" s="150"/>
      <c r="R915" s="150"/>
      <c r="S915" s="150"/>
      <c r="T915" s="150"/>
      <c r="U915" s="150"/>
      <c r="V915" s="150"/>
      <c r="W915" s="150"/>
      <c r="X915" s="150"/>
      <c r="Y915" s="150"/>
      <c r="Z915" s="150"/>
      <c r="AA915" s="150"/>
      <c r="AB915" s="150"/>
      <c r="AC915" s="150"/>
      <c r="AD915" s="150"/>
      <c r="AE915" s="150"/>
    </row>
    <row r="916" spans="1:31" ht="15">
      <c r="A916" s="150"/>
      <c r="B916" s="150"/>
      <c r="C916" s="150"/>
      <c r="D916" s="150"/>
      <c r="E916" s="150"/>
      <c r="F916" s="150"/>
      <c r="G916" s="583"/>
      <c r="H916" s="583"/>
      <c r="I916" s="583"/>
      <c r="J916" s="1767"/>
      <c r="K916" s="1767"/>
      <c r="L916" s="150"/>
      <c r="M916" s="583"/>
      <c r="N916" s="583"/>
      <c r="O916" s="150"/>
      <c r="P916" s="150"/>
      <c r="Q916" s="150"/>
      <c r="R916" s="150"/>
      <c r="S916" s="150"/>
      <c r="T916" s="150"/>
      <c r="U916" s="150"/>
      <c r="V916" s="150"/>
      <c r="W916" s="150"/>
      <c r="X916" s="150"/>
      <c r="Y916" s="150"/>
      <c r="Z916" s="150"/>
      <c r="AA916" s="150"/>
      <c r="AB916" s="150"/>
      <c r="AC916" s="150"/>
      <c r="AD916" s="150"/>
      <c r="AE916" s="150"/>
    </row>
    <row r="917" spans="1:31" ht="15">
      <c r="A917" s="150"/>
      <c r="B917" s="150"/>
      <c r="C917" s="150"/>
      <c r="D917" s="150"/>
      <c r="E917" s="150"/>
      <c r="F917" s="150"/>
      <c r="G917" s="583"/>
      <c r="H917" s="583"/>
      <c r="I917" s="583"/>
      <c r="J917" s="1767"/>
      <c r="K917" s="1767"/>
      <c r="L917" s="150"/>
      <c r="M917" s="583"/>
      <c r="N917" s="583"/>
      <c r="O917" s="150"/>
      <c r="P917" s="150"/>
      <c r="Q917" s="150"/>
      <c r="R917" s="150"/>
      <c r="S917" s="150"/>
      <c r="T917" s="150"/>
      <c r="U917" s="150"/>
      <c r="V917" s="150"/>
      <c r="W917" s="150"/>
      <c r="X917" s="150"/>
      <c r="Y917" s="150"/>
      <c r="Z917" s="150"/>
      <c r="AA917" s="150"/>
      <c r="AB917" s="150"/>
      <c r="AC917" s="150"/>
      <c r="AD917" s="150"/>
      <c r="AE917" s="150"/>
    </row>
    <row r="918" spans="1:31" ht="15">
      <c r="A918" s="150"/>
      <c r="B918" s="150"/>
      <c r="C918" s="150"/>
      <c r="D918" s="150"/>
      <c r="E918" s="150"/>
      <c r="F918" s="150"/>
      <c r="G918" s="583"/>
      <c r="H918" s="583"/>
      <c r="I918" s="583"/>
      <c r="J918" s="1767"/>
      <c r="K918" s="1767"/>
      <c r="L918" s="150"/>
      <c r="M918" s="583"/>
      <c r="N918" s="583"/>
      <c r="O918" s="150"/>
      <c r="P918" s="150"/>
      <c r="Q918" s="150"/>
      <c r="R918" s="150"/>
      <c r="S918" s="150"/>
      <c r="T918" s="150"/>
      <c r="U918" s="150"/>
      <c r="V918" s="150"/>
      <c r="W918" s="150"/>
      <c r="X918" s="150"/>
      <c r="Y918" s="150"/>
      <c r="Z918" s="150"/>
      <c r="AA918" s="150"/>
      <c r="AB918" s="150"/>
      <c r="AC918" s="150"/>
      <c r="AD918" s="150"/>
      <c r="AE918" s="150"/>
    </row>
    <row r="919" spans="1:31" ht="15">
      <c r="A919" s="150"/>
      <c r="B919" s="150"/>
      <c r="C919" s="150"/>
      <c r="D919" s="150"/>
      <c r="E919" s="150"/>
      <c r="F919" s="150"/>
      <c r="G919" s="583"/>
      <c r="H919" s="583"/>
      <c r="I919" s="583"/>
      <c r="J919" s="1767"/>
      <c r="K919" s="1767"/>
      <c r="L919" s="150"/>
      <c r="M919" s="583"/>
      <c r="N919" s="583"/>
      <c r="O919" s="150"/>
      <c r="P919" s="150"/>
      <c r="Q919" s="150"/>
      <c r="R919" s="150"/>
      <c r="S919" s="150"/>
      <c r="T919" s="150"/>
      <c r="U919" s="150"/>
      <c r="V919" s="150"/>
      <c r="W919" s="150"/>
      <c r="X919" s="150"/>
      <c r="Y919" s="150"/>
      <c r="Z919" s="150"/>
      <c r="AA919" s="150"/>
      <c r="AB919" s="150"/>
      <c r="AC919" s="150"/>
      <c r="AD919" s="150"/>
      <c r="AE919" s="150"/>
    </row>
    <row r="920" spans="1:31" ht="15">
      <c r="A920" s="150"/>
      <c r="B920" s="150"/>
      <c r="C920" s="150"/>
      <c r="D920" s="150"/>
      <c r="E920" s="150"/>
      <c r="F920" s="150"/>
      <c r="G920" s="583"/>
      <c r="H920" s="583"/>
      <c r="I920" s="583"/>
      <c r="J920" s="1767"/>
      <c r="K920" s="1767"/>
      <c r="L920" s="150"/>
      <c r="M920" s="583"/>
      <c r="N920" s="583"/>
      <c r="O920" s="150"/>
      <c r="P920" s="150"/>
      <c r="Q920" s="150"/>
      <c r="R920" s="150"/>
      <c r="S920" s="150"/>
      <c r="T920" s="150"/>
      <c r="U920" s="150"/>
      <c r="V920" s="150"/>
      <c r="W920" s="150"/>
      <c r="X920" s="150"/>
      <c r="Y920" s="150"/>
      <c r="Z920" s="150"/>
      <c r="AA920" s="150"/>
      <c r="AB920" s="150"/>
      <c r="AC920" s="150"/>
      <c r="AD920" s="150"/>
      <c r="AE920" s="150"/>
    </row>
    <row r="921" spans="1:31" ht="15">
      <c r="A921" s="150"/>
      <c r="B921" s="150"/>
      <c r="C921" s="150"/>
      <c r="D921" s="150"/>
      <c r="E921" s="150"/>
      <c r="F921" s="150"/>
      <c r="G921" s="583"/>
      <c r="H921" s="583"/>
      <c r="I921" s="583"/>
      <c r="J921" s="1767"/>
      <c r="K921" s="1767"/>
      <c r="L921" s="150"/>
      <c r="M921" s="583"/>
      <c r="N921" s="583"/>
      <c r="O921" s="150"/>
      <c r="P921" s="150"/>
      <c r="Q921" s="150"/>
      <c r="R921" s="150"/>
      <c r="S921" s="150"/>
      <c r="T921" s="150"/>
      <c r="U921" s="150"/>
      <c r="V921" s="150"/>
      <c r="W921" s="150"/>
      <c r="X921" s="150"/>
      <c r="Y921" s="150"/>
      <c r="Z921" s="150"/>
      <c r="AA921" s="150"/>
      <c r="AB921" s="150"/>
      <c r="AC921" s="150"/>
      <c r="AD921" s="150"/>
      <c r="AE921" s="150"/>
    </row>
    <row r="922" spans="1:31" ht="15">
      <c r="A922" s="150"/>
      <c r="B922" s="150"/>
      <c r="C922" s="150"/>
      <c r="D922" s="150"/>
      <c r="E922" s="150"/>
      <c r="F922" s="150"/>
      <c r="G922" s="583"/>
      <c r="H922" s="583"/>
      <c r="I922" s="583"/>
      <c r="J922" s="1767"/>
      <c r="K922" s="1767"/>
      <c r="L922" s="150"/>
      <c r="M922" s="583"/>
      <c r="N922" s="583"/>
      <c r="O922" s="150"/>
      <c r="P922" s="150"/>
      <c r="Q922" s="150"/>
      <c r="R922" s="150"/>
      <c r="S922" s="150"/>
      <c r="T922" s="150"/>
      <c r="U922" s="150"/>
      <c r="V922" s="150"/>
      <c r="W922" s="150"/>
      <c r="X922" s="150"/>
      <c r="Y922" s="150"/>
      <c r="Z922" s="150"/>
      <c r="AA922" s="150"/>
      <c r="AB922" s="150"/>
      <c r="AC922" s="150"/>
      <c r="AD922" s="150"/>
      <c r="AE922" s="150"/>
    </row>
    <row r="923" spans="1:31" ht="15">
      <c r="A923" s="150"/>
      <c r="B923" s="150"/>
      <c r="C923" s="150"/>
      <c r="D923" s="150"/>
      <c r="E923" s="150"/>
      <c r="F923" s="150"/>
      <c r="G923" s="583"/>
      <c r="H923" s="583"/>
      <c r="I923" s="583"/>
      <c r="J923" s="1767"/>
      <c r="K923" s="1767"/>
      <c r="L923" s="150"/>
      <c r="M923" s="583"/>
      <c r="N923" s="583"/>
      <c r="O923" s="150"/>
      <c r="P923" s="150"/>
      <c r="Q923" s="150"/>
      <c r="R923" s="150"/>
      <c r="S923" s="150"/>
      <c r="T923" s="150"/>
      <c r="U923" s="150"/>
      <c r="V923" s="150"/>
      <c r="W923" s="150"/>
      <c r="X923" s="150"/>
      <c r="Y923" s="150"/>
      <c r="Z923" s="150"/>
      <c r="AA923" s="150"/>
      <c r="AB923" s="150"/>
      <c r="AC923" s="150"/>
      <c r="AD923" s="150"/>
      <c r="AE923" s="150"/>
    </row>
    <row r="924" spans="1:31" ht="15">
      <c r="A924" s="150"/>
      <c r="B924" s="150"/>
      <c r="C924" s="150"/>
      <c r="D924" s="150"/>
      <c r="E924" s="150"/>
      <c r="F924" s="150"/>
      <c r="G924" s="583"/>
      <c r="H924" s="583"/>
      <c r="I924" s="583"/>
      <c r="J924" s="1767"/>
      <c r="K924" s="1767"/>
      <c r="L924" s="150"/>
      <c r="M924" s="583"/>
      <c r="N924" s="583"/>
      <c r="O924" s="150"/>
      <c r="P924" s="150"/>
      <c r="Q924" s="150"/>
      <c r="R924" s="150"/>
      <c r="S924" s="150"/>
      <c r="T924" s="150"/>
      <c r="U924" s="150"/>
      <c r="V924" s="150"/>
      <c r="W924" s="150"/>
      <c r="X924" s="150"/>
      <c r="Y924" s="150"/>
      <c r="Z924" s="150"/>
      <c r="AA924" s="150"/>
      <c r="AB924" s="150"/>
      <c r="AC924" s="150"/>
      <c r="AD924" s="150"/>
      <c r="AE924" s="150"/>
    </row>
    <row r="925" spans="1:31" ht="15">
      <c r="A925" s="150"/>
      <c r="B925" s="150"/>
      <c r="C925" s="150"/>
      <c r="D925" s="150"/>
      <c r="E925" s="150"/>
      <c r="F925" s="150"/>
      <c r="G925" s="583"/>
      <c r="H925" s="583"/>
      <c r="I925" s="583"/>
      <c r="J925" s="1767"/>
      <c r="K925" s="1767"/>
      <c r="L925" s="150"/>
      <c r="M925" s="583"/>
      <c r="N925" s="583"/>
      <c r="O925" s="150"/>
      <c r="P925" s="150"/>
      <c r="Q925" s="150"/>
      <c r="R925" s="150"/>
      <c r="S925" s="150"/>
      <c r="T925" s="150"/>
      <c r="U925" s="150"/>
      <c r="V925" s="150"/>
      <c r="W925" s="150"/>
      <c r="X925" s="150"/>
      <c r="Y925" s="150"/>
      <c r="Z925" s="150"/>
      <c r="AA925" s="150"/>
      <c r="AB925" s="150"/>
      <c r="AC925" s="150"/>
      <c r="AD925" s="150"/>
      <c r="AE925" s="150"/>
    </row>
    <row r="926" spans="1:31" ht="15">
      <c r="A926" s="150"/>
      <c r="B926" s="150"/>
      <c r="C926" s="150"/>
      <c r="D926" s="150"/>
      <c r="E926" s="150"/>
      <c r="F926" s="150"/>
      <c r="G926" s="583"/>
      <c r="H926" s="583"/>
      <c r="I926" s="583"/>
      <c r="J926" s="1767"/>
      <c r="K926" s="1767"/>
      <c r="L926" s="150"/>
      <c r="M926" s="583"/>
      <c r="N926" s="583"/>
      <c r="O926" s="150"/>
      <c r="P926" s="150"/>
      <c r="Q926" s="150"/>
      <c r="R926" s="150"/>
      <c r="S926" s="150"/>
      <c r="T926" s="150"/>
      <c r="U926" s="150"/>
      <c r="V926" s="150"/>
      <c r="W926" s="150"/>
      <c r="X926" s="150"/>
      <c r="Y926" s="150"/>
      <c r="Z926" s="150"/>
      <c r="AA926" s="150"/>
      <c r="AB926" s="150"/>
      <c r="AC926" s="150"/>
      <c r="AD926" s="150"/>
      <c r="AE926" s="150"/>
    </row>
    <row r="927" spans="1:31" ht="15">
      <c r="A927" s="150"/>
      <c r="B927" s="150"/>
      <c r="C927" s="150"/>
      <c r="D927" s="150"/>
      <c r="E927" s="150"/>
      <c r="F927" s="150"/>
      <c r="G927" s="583"/>
      <c r="H927" s="583"/>
      <c r="I927" s="583"/>
      <c r="J927" s="1767"/>
      <c r="K927" s="1767"/>
      <c r="L927" s="150"/>
      <c r="M927" s="583"/>
      <c r="N927" s="583"/>
      <c r="O927" s="150"/>
      <c r="P927" s="150"/>
      <c r="Q927" s="150"/>
      <c r="R927" s="150"/>
      <c r="S927" s="150"/>
      <c r="T927" s="150"/>
      <c r="U927" s="150"/>
      <c r="V927" s="150"/>
      <c r="W927" s="150"/>
      <c r="X927" s="150"/>
      <c r="Y927" s="150"/>
      <c r="Z927" s="150"/>
      <c r="AA927" s="150"/>
      <c r="AB927" s="150"/>
      <c r="AC927" s="150"/>
      <c r="AD927" s="150"/>
      <c r="AE927" s="150"/>
    </row>
    <row r="928" spans="1:31" ht="15">
      <c r="A928" s="150"/>
      <c r="B928" s="150"/>
      <c r="C928" s="150"/>
      <c r="D928" s="150"/>
      <c r="E928" s="150"/>
      <c r="F928" s="150"/>
      <c r="G928" s="583"/>
      <c r="H928" s="583"/>
      <c r="I928" s="583"/>
      <c r="J928" s="1767"/>
      <c r="K928" s="1767"/>
      <c r="L928" s="150"/>
      <c r="M928" s="583"/>
      <c r="N928" s="583"/>
      <c r="O928" s="150"/>
      <c r="P928" s="150"/>
      <c r="Q928" s="150"/>
      <c r="R928" s="150"/>
      <c r="S928" s="150"/>
      <c r="T928" s="150"/>
      <c r="U928" s="150"/>
      <c r="V928" s="150"/>
      <c r="W928" s="150"/>
      <c r="X928" s="150"/>
      <c r="Y928" s="150"/>
      <c r="Z928" s="150"/>
      <c r="AA928" s="150"/>
      <c r="AB928" s="150"/>
      <c r="AC928" s="150"/>
      <c r="AD928" s="150"/>
      <c r="AE928" s="150"/>
    </row>
    <row r="929" spans="1:31" ht="15">
      <c r="A929" s="150"/>
      <c r="B929" s="150"/>
      <c r="C929" s="150"/>
      <c r="D929" s="150"/>
      <c r="E929" s="150"/>
      <c r="F929" s="150"/>
      <c r="G929" s="583"/>
      <c r="H929" s="583"/>
      <c r="I929" s="583"/>
      <c r="J929" s="1767"/>
      <c r="K929" s="1767"/>
      <c r="L929" s="150"/>
      <c r="M929" s="583"/>
      <c r="N929" s="583"/>
      <c r="O929" s="150"/>
      <c r="P929" s="150"/>
      <c r="Q929" s="150"/>
      <c r="R929" s="150"/>
      <c r="S929" s="150"/>
      <c r="T929" s="150"/>
      <c r="U929" s="150"/>
      <c r="V929" s="150"/>
      <c r="W929" s="150"/>
      <c r="X929" s="150"/>
      <c r="Y929" s="150"/>
      <c r="Z929" s="150"/>
      <c r="AA929" s="150"/>
      <c r="AB929" s="150"/>
      <c r="AC929" s="150"/>
      <c r="AD929" s="150"/>
      <c r="AE929" s="150"/>
    </row>
    <row r="930" spans="1:31" ht="15">
      <c r="A930" s="150"/>
      <c r="B930" s="150"/>
      <c r="C930" s="150"/>
      <c r="D930" s="150"/>
      <c r="E930" s="150"/>
      <c r="F930" s="150"/>
      <c r="G930" s="583"/>
      <c r="H930" s="583"/>
      <c r="I930" s="583"/>
      <c r="J930" s="1767"/>
      <c r="K930" s="1767"/>
      <c r="L930" s="150"/>
      <c r="M930" s="583"/>
      <c r="N930" s="583"/>
      <c r="O930" s="150"/>
      <c r="P930" s="150"/>
      <c r="Q930" s="150"/>
      <c r="R930" s="150"/>
      <c r="S930" s="150"/>
      <c r="T930" s="150"/>
      <c r="U930" s="150"/>
      <c r="V930" s="150"/>
      <c r="W930" s="150"/>
      <c r="X930" s="150"/>
      <c r="Y930" s="150"/>
      <c r="Z930" s="150"/>
      <c r="AA930" s="150"/>
      <c r="AB930" s="150"/>
      <c r="AC930" s="150"/>
      <c r="AD930" s="150"/>
      <c r="AE930" s="150"/>
    </row>
    <row r="931" spans="1:31" ht="15">
      <c r="A931" s="150"/>
      <c r="B931" s="150"/>
      <c r="C931" s="150"/>
      <c r="D931" s="150"/>
      <c r="E931" s="150"/>
      <c r="F931" s="150"/>
      <c r="G931" s="583"/>
      <c r="H931" s="583"/>
      <c r="I931" s="583"/>
      <c r="J931" s="1767"/>
      <c r="K931" s="1767"/>
      <c r="L931" s="150"/>
      <c r="M931" s="583"/>
      <c r="N931" s="583"/>
      <c r="O931" s="150"/>
      <c r="P931" s="150"/>
      <c r="Q931" s="150"/>
      <c r="R931" s="150"/>
      <c r="S931" s="150"/>
      <c r="T931" s="150"/>
      <c r="U931" s="150"/>
      <c r="V931" s="150"/>
      <c r="W931" s="150"/>
      <c r="X931" s="150"/>
      <c r="Y931" s="150"/>
      <c r="Z931" s="150"/>
      <c r="AA931" s="150"/>
      <c r="AB931" s="150"/>
      <c r="AC931" s="150"/>
      <c r="AD931" s="150"/>
      <c r="AE931" s="150"/>
    </row>
    <row r="932" spans="1:31" ht="15">
      <c r="A932" s="150"/>
      <c r="B932" s="150"/>
      <c r="C932" s="150"/>
      <c r="D932" s="150"/>
      <c r="E932" s="150"/>
      <c r="F932" s="150"/>
      <c r="G932" s="583"/>
      <c r="H932" s="583"/>
      <c r="I932" s="583"/>
      <c r="J932" s="1767"/>
      <c r="K932" s="1767"/>
      <c r="L932" s="150"/>
      <c r="M932" s="583"/>
      <c r="N932" s="583"/>
      <c r="O932" s="150"/>
      <c r="P932" s="150"/>
      <c r="Q932" s="150"/>
      <c r="R932" s="150"/>
      <c r="S932" s="150"/>
      <c r="T932" s="150"/>
      <c r="U932" s="150"/>
      <c r="V932" s="150"/>
      <c r="W932" s="150"/>
      <c r="X932" s="150"/>
      <c r="Y932" s="150"/>
      <c r="Z932" s="150"/>
      <c r="AA932" s="150"/>
      <c r="AB932" s="150"/>
      <c r="AC932" s="150"/>
      <c r="AD932" s="150"/>
      <c r="AE932" s="150"/>
    </row>
    <row r="933" spans="1:31" ht="15">
      <c r="A933" s="150"/>
      <c r="B933" s="150"/>
      <c r="C933" s="150"/>
      <c r="D933" s="150"/>
      <c r="E933" s="150"/>
      <c r="F933" s="150"/>
      <c r="G933" s="583"/>
      <c r="H933" s="583"/>
      <c r="I933" s="583"/>
      <c r="J933" s="1767"/>
      <c r="K933" s="1767"/>
      <c r="L933" s="150"/>
      <c r="M933" s="583"/>
      <c r="N933" s="583"/>
      <c r="O933" s="150"/>
      <c r="P933" s="150"/>
      <c r="Q933" s="150"/>
      <c r="R933" s="150"/>
      <c r="S933" s="150"/>
      <c r="T933" s="150"/>
      <c r="U933" s="150"/>
      <c r="V933" s="150"/>
      <c r="W933" s="150"/>
      <c r="X933" s="150"/>
      <c r="Y933" s="150"/>
      <c r="Z933" s="150"/>
      <c r="AA933" s="150"/>
      <c r="AB933" s="150"/>
      <c r="AC933" s="150"/>
      <c r="AD933" s="150"/>
      <c r="AE933" s="150"/>
    </row>
    <row r="934" spans="1:31" ht="15">
      <c r="A934" s="150"/>
      <c r="B934" s="150"/>
      <c r="C934" s="150"/>
      <c r="D934" s="150"/>
      <c r="E934" s="150"/>
      <c r="F934" s="150"/>
      <c r="G934" s="583"/>
      <c r="H934" s="583"/>
      <c r="I934" s="583"/>
      <c r="J934" s="1767"/>
      <c r="K934" s="1767"/>
      <c r="L934" s="150"/>
      <c r="M934" s="583"/>
      <c r="N934" s="583"/>
      <c r="O934" s="150"/>
      <c r="P934" s="150"/>
      <c r="Q934" s="150"/>
      <c r="R934" s="150"/>
      <c r="S934" s="150"/>
      <c r="T934" s="150"/>
      <c r="U934" s="150"/>
      <c r="V934" s="150"/>
      <c r="W934" s="150"/>
      <c r="X934" s="150"/>
      <c r="Y934" s="150"/>
      <c r="Z934" s="150"/>
      <c r="AA934" s="150"/>
      <c r="AB934" s="150"/>
      <c r="AC934" s="150"/>
      <c r="AD934" s="150"/>
      <c r="AE934" s="150"/>
    </row>
    <row r="935" spans="1:31" ht="15">
      <c r="A935" s="150"/>
      <c r="B935" s="150"/>
      <c r="C935" s="150"/>
      <c r="D935" s="150"/>
      <c r="E935" s="150"/>
      <c r="F935" s="150"/>
      <c r="G935" s="583"/>
      <c r="H935" s="583"/>
      <c r="I935" s="583"/>
      <c r="J935" s="1767"/>
      <c r="K935" s="1767"/>
      <c r="L935" s="150"/>
      <c r="M935" s="583"/>
      <c r="N935" s="583"/>
      <c r="O935" s="150"/>
      <c r="P935" s="150"/>
      <c r="Q935" s="150"/>
      <c r="R935" s="150"/>
      <c r="S935" s="150"/>
      <c r="T935" s="150"/>
      <c r="U935" s="150"/>
      <c r="V935" s="150"/>
      <c r="W935" s="150"/>
      <c r="X935" s="150"/>
      <c r="Y935" s="150"/>
      <c r="Z935" s="150"/>
      <c r="AA935" s="150"/>
      <c r="AB935" s="150"/>
      <c r="AC935" s="150"/>
      <c r="AD935" s="150"/>
      <c r="AE935" s="150"/>
    </row>
    <row r="936" spans="1:31" ht="15">
      <c r="A936" s="150"/>
      <c r="B936" s="150"/>
      <c r="C936" s="150"/>
      <c r="D936" s="150"/>
      <c r="E936" s="150"/>
      <c r="F936" s="150"/>
      <c r="G936" s="583"/>
      <c r="H936" s="583"/>
      <c r="I936" s="583"/>
      <c r="J936" s="1767"/>
      <c r="K936" s="1767"/>
      <c r="L936" s="150"/>
      <c r="M936" s="583"/>
      <c r="N936" s="583"/>
      <c r="O936" s="150"/>
      <c r="P936" s="150"/>
      <c r="Q936" s="150"/>
      <c r="R936" s="150"/>
      <c r="S936" s="150"/>
      <c r="T936" s="150"/>
      <c r="U936" s="150"/>
      <c r="V936" s="150"/>
      <c r="W936" s="150"/>
      <c r="X936" s="150"/>
      <c r="Y936" s="150"/>
      <c r="Z936" s="150"/>
      <c r="AA936" s="150"/>
      <c r="AB936" s="150"/>
      <c r="AC936" s="150"/>
      <c r="AD936" s="150"/>
      <c r="AE936" s="150"/>
    </row>
    <row r="937" spans="1:31" ht="15">
      <c r="A937" s="150"/>
      <c r="B937" s="150"/>
      <c r="C937" s="150"/>
      <c r="D937" s="150"/>
      <c r="E937" s="150"/>
      <c r="F937" s="150"/>
      <c r="G937" s="583"/>
      <c r="H937" s="583"/>
      <c r="I937" s="583"/>
      <c r="J937" s="1767"/>
      <c r="K937" s="1767"/>
      <c r="L937" s="150"/>
      <c r="M937" s="583"/>
      <c r="N937" s="583"/>
      <c r="O937" s="150"/>
      <c r="P937" s="150"/>
      <c r="Q937" s="150"/>
      <c r="R937" s="150"/>
      <c r="S937" s="150"/>
      <c r="T937" s="150"/>
      <c r="U937" s="150"/>
      <c r="V937" s="150"/>
      <c r="W937" s="150"/>
      <c r="X937" s="150"/>
      <c r="Y937" s="150"/>
      <c r="Z937" s="150"/>
      <c r="AA937" s="150"/>
      <c r="AB937" s="150"/>
      <c r="AC937" s="150"/>
      <c r="AD937" s="150"/>
      <c r="AE937" s="150"/>
    </row>
    <row r="938" spans="1:31" ht="15">
      <c r="A938" s="150"/>
      <c r="B938" s="150"/>
      <c r="C938" s="150"/>
      <c r="D938" s="150"/>
      <c r="E938" s="150"/>
      <c r="F938" s="150"/>
      <c r="G938" s="583"/>
      <c r="H938" s="583"/>
      <c r="I938" s="583"/>
      <c r="J938" s="1767"/>
      <c r="K938" s="1767"/>
      <c r="L938" s="150"/>
      <c r="M938" s="583"/>
      <c r="N938" s="583"/>
      <c r="O938" s="150"/>
      <c r="P938" s="150"/>
      <c r="Q938" s="150"/>
      <c r="R938" s="150"/>
      <c r="S938" s="150"/>
      <c r="T938" s="150"/>
      <c r="U938" s="150"/>
      <c r="V938" s="150"/>
      <c r="W938" s="150"/>
      <c r="X938" s="150"/>
      <c r="Y938" s="150"/>
      <c r="Z938" s="150"/>
      <c r="AA938" s="150"/>
      <c r="AB938" s="150"/>
      <c r="AC938" s="150"/>
      <c r="AD938" s="150"/>
      <c r="AE938" s="150"/>
    </row>
    <row r="939" spans="1:31" ht="15">
      <c r="A939" s="150"/>
      <c r="B939" s="150"/>
      <c r="C939" s="150"/>
      <c r="D939" s="150"/>
      <c r="E939" s="150"/>
      <c r="F939" s="150"/>
      <c r="G939" s="583"/>
      <c r="H939" s="583"/>
      <c r="I939" s="583"/>
      <c r="J939" s="1767"/>
      <c r="K939" s="1767"/>
      <c r="L939" s="150"/>
      <c r="M939" s="583"/>
      <c r="N939" s="583"/>
      <c r="O939" s="150"/>
      <c r="P939" s="150"/>
      <c r="Q939" s="150"/>
      <c r="R939" s="150"/>
      <c r="S939" s="150"/>
      <c r="T939" s="150"/>
      <c r="U939" s="150"/>
      <c r="V939" s="150"/>
      <c r="W939" s="150"/>
      <c r="X939" s="150"/>
      <c r="Y939" s="150"/>
      <c r="Z939" s="150"/>
      <c r="AA939" s="150"/>
      <c r="AB939" s="150"/>
      <c r="AC939" s="150"/>
      <c r="AD939" s="150"/>
      <c r="AE939" s="150"/>
    </row>
    <row r="940" spans="1:31" ht="15">
      <c r="A940" s="150"/>
      <c r="B940" s="150"/>
      <c r="C940" s="150"/>
      <c r="D940" s="150"/>
      <c r="E940" s="150"/>
      <c r="F940" s="150"/>
      <c r="G940" s="583"/>
      <c r="H940" s="583"/>
      <c r="I940" s="583"/>
      <c r="J940" s="1767"/>
      <c r="K940" s="1767"/>
      <c r="L940" s="150"/>
      <c r="M940" s="583"/>
      <c r="N940" s="583"/>
      <c r="O940" s="150"/>
      <c r="P940" s="150"/>
      <c r="Q940" s="150"/>
      <c r="R940" s="150"/>
      <c r="S940" s="150"/>
      <c r="T940" s="150"/>
      <c r="U940" s="150"/>
      <c r="V940" s="150"/>
      <c r="W940" s="150"/>
      <c r="X940" s="150"/>
      <c r="Y940" s="150"/>
      <c r="Z940" s="150"/>
      <c r="AA940" s="150"/>
      <c r="AB940" s="150"/>
      <c r="AC940" s="150"/>
      <c r="AD940" s="150"/>
      <c r="AE940" s="150"/>
    </row>
    <row r="941" spans="1:31" ht="15">
      <c r="A941" s="150"/>
      <c r="B941" s="150"/>
      <c r="C941" s="150"/>
      <c r="D941" s="150"/>
      <c r="E941" s="150"/>
      <c r="F941" s="150"/>
      <c r="G941" s="583"/>
      <c r="H941" s="583"/>
      <c r="I941" s="583"/>
      <c r="J941" s="1767"/>
      <c r="K941" s="1767"/>
      <c r="L941" s="150"/>
      <c r="M941" s="583"/>
      <c r="N941" s="583"/>
      <c r="O941" s="150"/>
      <c r="P941" s="150"/>
      <c r="Q941" s="150"/>
      <c r="R941" s="150"/>
      <c r="S941" s="150"/>
      <c r="T941" s="150"/>
      <c r="U941" s="150"/>
      <c r="V941" s="150"/>
      <c r="W941" s="150"/>
      <c r="X941" s="150"/>
      <c r="Y941" s="150"/>
      <c r="Z941" s="150"/>
      <c r="AA941" s="150"/>
      <c r="AB941" s="150"/>
      <c r="AC941" s="150"/>
      <c r="AD941" s="150"/>
      <c r="AE941" s="150"/>
    </row>
    <row r="942" spans="1:31" ht="15">
      <c r="A942" s="150"/>
      <c r="B942" s="150"/>
      <c r="C942" s="150"/>
      <c r="D942" s="150"/>
      <c r="E942" s="150"/>
      <c r="F942" s="150"/>
      <c r="G942" s="583"/>
      <c r="H942" s="583"/>
      <c r="I942" s="583"/>
      <c r="J942" s="1767"/>
      <c r="K942" s="1767"/>
      <c r="L942" s="150"/>
      <c r="M942" s="583"/>
      <c r="N942" s="583"/>
      <c r="O942" s="150"/>
      <c r="P942" s="150"/>
      <c r="Q942" s="150"/>
      <c r="R942" s="150"/>
      <c r="S942" s="150"/>
      <c r="T942" s="150"/>
      <c r="U942" s="150"/>
      <c r="V942" s="150"/>
      <c r="W942" s="150"/>
      <c r="X942" s="150"/>
      <c r="Y942" s="150"/>
      <c r="Z942" s="150"/>
      <c r="AA942" s="150"/>
      <c r="AB942" s="150"/>
      <c r="AC942" s="150"/>
      <c r="AD942" s="150"/>
      <c r="AE942" s="150"/>
    </row>
    <row r="943" spans="1:31" ht="15">
      <c r="A943" s="150"/>
      <c r="B943" s="150"/>
      <c r="C943" s="150"/>
      <c r="D943" s="150"/>
      <c r="E943" s="150"/>
      <c r="F943" s="150"/>
      <c r="G943" s="583"/>
      <c r="H943" s="583"/>
      <c r="I943" s="583"/>
      <c r="J943" s="1767"/>
      <c r="K943" s="1767"/>
      <c r="L943" s="150"/>
      <c r="M943" s="583"/>
      <c r="N943" s="583"/>
      <c r="O943" s="150"/>
      <c r="P943" s="150"/>
      <c r="Q943" s="150"/>
      <c r="R943" s="150"/>
      <c r="S943" s="150"/>
      <c r="T943" s="150"/>
      <c r="U943" s="150"/>
      <c r="V943" s="150"/>
      <c r="W943" s="150"/>
      <c r="X943" s="150"/>
      <c r="Y943" s="150"/>
      <c r="Z943" s="150"/>
      <c r="AA943" s="150"/>
      <c r="AB943" s="150"/>
      <c r="AC943" s="150"/>
      <c r="AD943" s="150"/>
      <c r="AE943" s="150"/>
    </row>
    <row r="944" spans="1:31" ht="15">
      <c r="A944" s="150"/>
      <c r="B944" s="150"/>
      <c r="C944" s="150"/>
      <c r="D944" s="150"/>
      <c r="E944" s="150"/>
      <c r="F944" s="150"/>
      <c r="G944" s="583"/>
      <c r="H944" s="583"/>
      <c r="I944" s="583"/>
      <c r="J944" s="1767"/>
      <c r="K944" s="1767"/>
      <c r="L944" s="150"/>
      <c r="M944" s="583"/>
      <c r="N944" s="583"/>
      <c r="O944" s="150"/>
      <c r="P944" s="150"/>
      <c r="Q944" s="150"/>
      <c r="R944" s="150"/>
      <c r="S944" s="150"/>
      <c r="T944" s="150"/>
      <c r="U944" s="150"/>
      <c r="V944" s="150"/>
      <c r="W944" s="150"/>
      <c r="X944" s="150"/>
      <c r="Y944" s="150"/>
      <c r="Z944" s="150"/>
      <c r="AA944" s="150"/>
      <c r="AB944" s="150"/>
      <c r="AC944" s="150"/>
      <c r="AD944" s="150"/>
      <c r="AE944" s="150"/>
    </row>
    <row r="945" spans="1:31" ht="15">
      <c r="A945" s="150"/>
      <c r="B945" s="150"/>
      <c r="C945" s="150"/>
      <c r="D945" s="150"/>
      <c r="E945" s="150"/>
      <c r="F945" s="150"/>
      <c r="G945" s="583"/>
      <c r="H945" s="583"/>
      <c r="I945" s="583"/>
      <c r="J945" s="1767"/>
      <c r="K945" s="1767"/>
      <c r="L945" s="150"/>
      <c r="M945" s="583"/>
      <c r="N945" s="583"/>
      <c r="O945" s="150"/>
      <c r="P945" s="150"/>
      <c r="Q945" s="150"/>
      <c r="R945" s="150"/>
      <c r="S945" s="150"/>
      <c r="T945" s="150"/>
      <c r="U945" s="150"/>
      <c r="V945" s="150"/>
      <c r="W945" s="150"/>
      <c r="X945" s="150"/>
      <c r="Y945" s="150"/>
      <c r="Z945" s="150"/>
      <c r="AA945" s="150"/>
      <c r="AB945" s="150"/>
      <c r="AC945" s="150"/>
      <c r="AD945" s="150"/>
      <c r="AE945" s="150"/>
    </row>
    <row r="946" spans="1:31" ht="15">
      <c r="A946" s="150"/>
      <c r="B946" s="150"/>
      <c r="C946" s="150"/>
      <c r="D946" s="150"/>
      <c r="E946" s="150"/>
      <c r="F946" s="150"/>
      <c r="G946" s="583"/>
      <c r="H946" s="583"/>
      <c r="I946" s="583"/>
      <c r="J946" s="1767"/>
      <c r="K946" s="1767"/>
      <c r="L946" s="150"/>
      <c r="M946" s="583"/>
      <c r="N946" s="583"/>
      <c r="O946" s="150"/>
      <c r="P946" s="150"/>
      <c r="Q946" s="150"/>
      <c r="R946" s="150"/>
      <c r="S946" s="150"/>
      <c r="T946" s="150"/>
      <c r="U946" s="150"/>
      <c r="V946" s="150"/>
      <c r="W946" s="150"/>
      <c r="X946" s="150"/>
      <c r="Y946" s="150"/>
      <c r="Z946" s="150"/>
      <c r="AA946" s="150"/>
      <c r="AB946" s="150"/>
      <c r="AC946" s="150"/>
      <c r="AD946" s="150"/>
      <c r="AE946" s="150"/>
    </row>
    <row r="947" spans="1:31" ht="15">
      <c r="A947" s="150"/>
      <c r="B947" s="150"/>
      <c r="C947" s="150"/>
      <c r="D947" s="150"/>
      <c r="E947" s="150"/>
      <c r="F947" s="150"/>
      <c r="G947" s="583"/>
      <c r="H947" s="583"/>
      <c r="I947" s="583"/>
      <c r="J947" s="1767"/>
      <c r="K947" s="1767"/>
      <c r="L947" s="150"/>
      <c r="M947" s="583"/>
      <c r="N947" s="583"/>
      <c r="O947" s="150"/>
      <c r="P947" s="150"/>
      <c r="Q947" s="150"/>
      <c r="R947" s="150"/>
      <c r="S947" s="150"/>
      <c r="T947" s="150"/>
      <c r="U947" s="150"/>
      <c r="V947" s="150"/>
      <c r="W947" s="150"/>
      <c r="X947" s="150"/>
      <c r="Y947" s="150"/>
      <c r="Z947" s="150"/>
      <c r="AA947" s="150"/>
      <c r="AB947" s="150"/>
      <c r="AC947" s="150"/>
      <c r="AD947" s="150"/>
      <c r="AE947" s="150"/>
    </row>
    <row r="948" spans="1:31" ht="15">
      <c r="A948" s="150"/>
      <c r="B948" s="150"/>
      <c r="C948" s="150"/>
      <c r="D948" s="150"/>
      <c r="E948" s="150"/>
      <c r="F948" s="150"/>
      <c r="G948" s="583"/>
      <c r="H948" s="583"/>
      <c r="I948" s="583"/>
      <c r="J948" s="1767"/>
      <c r="K948" s="1767"/>
      <c r="L948" s="150"/>
      <c r="M948" s="583"/>
      <c r="N948" s="583"/>
      <c r="O948" s="150"/>
      <c r="P948" s="150"/>
      <c r="Q948" s="150"/>
      <c r="R948" s="150"/>
      <c r="S948" s="150"/>
      <c r="T948" s="150"/>
      <c r="U948" s="150"/>
      <c r="V948" s="150"/>
      <c r="W948" s="150"/>
      <c r="X948" s="150"/>
      <c r="Y948" s="150"/>
      <c r="Z948" s="150"/>
      <c r="AA948" s="150"/>
      <c r="AB948" s="150"/>
      <c r="AC948" s="150"/>
      <c r="AD948" s="150"/>
      <c r="AE948" s="150"/>
    </row>
    <row r="949" spans="1:31" ht="15">
      <c r="A949" s="150"/>
      <c r="B949" s="150"/>
      <c r="C949" s="150"/>
      <c r="D949" s="150"/>
      <c r="E949" s="150"/>
      <c r="F949" s="150"/>
      <c r="G949" s="583"/>
      <c r="H949" s="583"/>
      <c r="I949" s="583"/>
      <c r="J949" s="1767"/>
      <c r="K949" s="1767"/>
      <c r="L949" s="150"/>
      <c r="M949" s="583"/>
      <c r="N949" s="583"/>
      <c r="O949" s="150"/>
      <c r="P949" s="150"/>
      <c r="Q949" s="150"/>
      <c r="R949" s="150"/>
      <c r="S949" s="150"/>
      <c r="T949" s="150"/>
      <c r="U949" s="150"/>
      <c r="V949" s="150"/>
      <c r="W949" s="150"/>
      <c r="X949" s="150"/>
      <c r="Y949" s="150"/>
      <c r="Z949" s="150"/>
      <c r="AA949" s="150"/>
      <c r="AB949" s="150"/>
      <c r="AC949" s="150"/>
      <c r="AD949" s="150"/>
      <c r="AE949" s="150"/>
    </row>
    <row r="950" spans="1:31" ht="15">
      <c r="A950" s="150"/>
      <c r="B950" s="150"/>
      <c r="C950" s="150"/>
      <c r="D950" s="150"/>
      <c r="E950" s="150"/>
      <c r="F950" s="150"/>
      <c r="G950" s="583"/>
      <c r="H950" s="583"/>
      <c r="I950" s="583"/>
      <c r="J950" s="1767"/>
      <c r="K950" s="1767"/>
      <c r="L950" s="150"/>
      <c r="M950" s="583"/>
      <c r="N950" s="583"/>
      <c r="O950" s="150"/>
      <c r="P950" s="150"/>
      <c r="Q950" s="150"/>
      <c r="R950" s="150"/>
      <c r="S950" s="150"/>
      <c r="T950" s="150"/>
      <c r="U950" s="150"/>
      <c r="V950" s="150"/>
      <c r="W950" s="150"/>
      <c r="X950" s="150"/>
      <c r="Y950" s="150"/>
      <c r="Z950" s="150"/>
      <c r="AA950" s="150"/>
      <c r="AB950" s="150"/>
      <c r="AC950" s="150"/>
      <c r="AD950" s="150"/>
      <c r="AE950" s="150"/>
    </row>
    <row r="951" spans="1:31" ht="15">
      <c r="A951" s="150"/>
      <c r="B951" s="150"/>
      <c r="C951" s="150"/>
      <c r="D951" s="150"/>
      <c r="E951" s="150"/>
      <c r="F951" s="150"/>
      <c r="G951" s="583"/>
      <c r="H951" s="583"/>
      <c r="I951" s="583"/>
      <c r="J951" s="1767"/>
      <c r="K951" s="1767"/>
      <c r="L951" s="150"/>
      <c r="M951" s="583"/>
      <c r="N951" s="583"/>
      <c r="O951" s="150"/>
      <c r="P951" s="150"/>
      <c r="Q951" s="150"/>
      <c r="R951" s="150"/>
      <c r="S951" s="150"/>
      <c r="T951" s="150"/>
      <c r="U951" s="150"/>
      <c r="V951" s="150"/>
      <c r="W951" s="150"/>
      <c r="X951" s="150"/>
      <c r="Y951" s="150"/>
      <c r="Z951" s="150"/>
      <c r="AA951" s="150"/>
      <c r="AB951" s="150"/>
      <c r="AC951" s="150"/>
      <c r="AD951" s="150"/>
      <c r="AE951" s="150"/>
    </row>
    <row r="952" spans="1:31" ht="15">
      <c r="A952" s="150"/>
      <c r="B952" s="150"/>
      <c r="C952" s="150"/>
      <c r="D952" s="150"/>
      <c r="E952" s="150"/>
      <c r="F952" s="150"/>
      <c r="G952" s="583"/>
      <c r="H952" s="583"/>
      <c r="I952" s="583"/>
      <c r="J952" s="1767"/>
      <c r="K952" s="1767"/>
      <c r="L952" s="150"/>
      <c r="M952" s="583"/>
      <c r="N952" s="583"/>
      <c r="O952" s="150"/>
      <c r="P952" s="150"/>
      <c r="Q952" s="150"/>
      <c r="R952" s="150"/>
      <c r="S952" s="150"/>
      <c r="T952" s="150"/>
      <c r="U952" s="150"/>
      <c r="V952" s="150"/>
      <c r="W952" s="150"/>
      <c r="X952" s="150"/>
      <c r="Y952" s="150"/>
      <c r="Z952" s="150"/>
      <c r="AA952" s="150"/>
      <c r="AB952" s="150"/>
      <c r="AC952" s="150"/>
      <c r="AD952" s="150"/>
      <c r="AE952" s="150"/>
    </row>
    <row r="953" spans="1:31" ht="15">
      <c r="A953" s="150"/>
      <c r="B953" s="150"/>
      <c r="C953" s="150"/>
      <c r="D953" s="150"/>
      <c r="E953" s="150"/>
      <c r="F953" s="150"/>
      <c r="G953" s="583"/>
      <c r="H953" s="583"/>
      <c r="I953" s="583"/>
      <c r="J953" s="1767"/>
      <c r="K953" s="1767"/>
      <c r="L953" s="150"/>
      <c r="M953" s="583"/>
      <c r="N953" s="583"/>
      <c r="O953" s="150"/>
      <c r="P953" s="150"/>
      <c r="Q953" s="150"/>
      <c r="R953" s="150"/>
      <c r="S953" s="150"/>
      <c r="T953" s="150"/>
      <c r="U953" s="150"/>
      <c r="V953" s="150"/>
      <c r="W953" s="150"/>
      <c r="X953" s="150"/>
      <c r="Y953" s="150"/>
      <c r="Z953" s="150"/>
      <c r="AA953" s="150"/>
      <c r="AB953" s="150"/>
      <c r="AC953" s="150"/>
      <c r="AD953" s="150"/>
      <c r="AE953" s="150"/>
    </row>
    <row r="954" spans="1:31" ht="15">
      <c r="A954" s="150"/>
      <c r="B954" s="150"/>
      <c r="C954" s="150"/>
      <c r="D954" s="150"/>
      <c r="E954" s="150"/>
      <c r="F954" s="150"/>
      <c r="G954" s="583"/>
      <c r="H954" s="583"/>
      <c r="I954" s="583"/>
      <c r="J954" s="1767"/>
      <c r="K954" s="1767"/>
      <c r="L954" s="150"/>
      <c r="M954" s="583"/>
      <c r="N954" s="583"/>
      <c r="O954" s="150"/>
      <c r="P954" s="150"/>
      <c r="Q954" s="150"/>
      <c r="R954" s="150"/>
      <c r="S954" s="150"/>
      <c r="T954" s="150"/>
      <c r="U954" s="150"/>
      <c r="V954" s="150"/>
      <c r="W954" s="150"/>
      <c r="X954" s="150"/>
      <c r="Y954" s="150"/>
      <c r="Z954" s="150"/>
      <c r="AA954" s="150"/>
      <c r="AB954" s="150"/>
      <c r="AC954" s="150"/>
      <c r="AD954" s="150"/>
      <c r="AE954" s="150"/>
    </row>
    <row r="955" spans="1:31" ht="15">
      <c r="A955" s="150"/>
      <c r="B955" s="150"/>
      <c r="C955" s="150"/>
      <c r="D955" s="150"/>
      <c r="E955" s="150"/>
      <c r="F955" s="150"/>
      <c r="G955" s="583"/>
      <c r="H955" s="583"/>
      <c r="I955" s="583"/>
      <c r="J955" s="1767"/>
      <c r="K955" s="1767"/>
      <c r="L955" s="150"/>
      <c r="M955" s="583"/>
      <c r="N955" s="583"/>
      <c r="O955" s="150"/>
      <c r="P955" s="150"/>
      <c r="Q955" s="150"/>
      <c r="R955" s="150"/>
      <c r="S955" s="150"/>
      <c r="T955" s="150"/>
      <c r="U955" s="150"/>
      <c r="V955" s="150"/>
      <c r="W955" s="150"/>
      <c r="X955" s="150"/>
      <c r="Y955" s="150"/>
      <c r="Z955" s="150"/>
      <c r="AA955" s="150"/>
      <c r="AB955" s="150"/>
      <c r="AC955" s="150"/>
      <c r="AD955" s="150"/>
      <c r="AE955" s="150"/>
    </row>
    <row r="956" spans="1:31" ht="15">
      <c r="A956" s="150"/>
      <c r="B956" s="150"/>
      <c r="C956" s="150"/>
      <c r="D956" s="150"/>
      <c r="E956" s="150"/>
      <c r="F956" s="150"/>
      <c r="G956" s="583"/>
      <c r="H956" s="583"/>
      <c r="I956" s="583"/>
      <c r="J956" s="1767"/>
      <c r="K956" s="1767"/>
      <c r="L956" s="150"/>
      <c r="M956" s="583"/>
      <c r="N956" s="583"/>
      <c r="O956" s="150"/>
      <c r="P956" s="150"/>
      <c r="Q956" s="150"/>
      <c r="R956" s="150"/>
      <c r="S956" s="150"/>
      <c r="T956" s="150"/>
      <c r="U956" s="150"/>
      <c r="V956" s="150"/>
      <c r="W956" s="150"/>
      <c r="X956" s="150"/>
      <c r="Y956" s="150"/>
      <c r="Z956" s="150"/>
      <c r="AA956" s="150"/>
      <c r="AB956" s="150"/>
      <c r="AC956" s="150"/>
      <c r="AD956" s="150"/>
      <c r="AE956" s="150"/>
    </row>
    <row r="957" spans="1:31" ht="15">
      <c r="A957" s="150"/>
      <c r="B957" s="150"/>
      <c r="C957" s="150"/>
      <c r="D957" s="150"/>
      <c r="E957" s="150"/>
      <c r="F957" s="150"/>
      <c r="G957" s="583"/>
      <c r="H957" s="583"/>
      <c r="I957" s="583"/>
      <c r="J957" s="1767"/>
      <c r="K957" s="1767"/>
      <c r="L957" s="150"/>
      <c r="M957" s="583"/>
      <c r="N957" s="583"/>
      <c r="O957" s="150"/>
      <c r="P957" s="150"/>
      <c r="Q957" s="150"/>
      <c r="R957" s="150"/>
      <c r="S957" s="150"/>
      <c r="T957" s="150"/>
      <c r="U957" s="150"/>
      <c r="V957" s="150"/>
      <c r="W957" s="150"/>
      <c r="X957" s="150"/>
      <c r="Y957" s="150"/>
      <c r="Z957" s="150"/>
      <c r="AA957" s="150"/>
      <c r="AB957" s="150"/>
      <c r="AC957" s="150"/>
      <c r="AD957" s="150"/>
      <c r="AE957" s="150"/>
    </row>
    <row r="958" spans="1:31" ht="15">
      <c r="A958" s="150"/>
      <c r="B958" s="150"/>
      <c r="C958" s="150"/>
      <c r="D958" s="150"/>
      <c r="E958" s="150"/>
      <c r="F958" s="150"/>
      <c r="G958" s="583"/>
      <c r="H958" s="583"/>
      <c r="I958" s="583"/>
      <c r="J958" s="1767"/>
      <c r="K958" s="1767"/>
      <c r="L958" s="150"/>
      <c r="M958" s="583"/>
      <c r="N958" s="583"/>
      <c r="O958" s="150"/>
      <c r="P958" s="150"/>
      <c r="Q958" s="150"/>
      <c r="R958" s="150"/>
      <c r="S958" s="150"/>
      <c r="T958" s="150"/>
      <c r="U958" s="150"/>
      <c r="V958" s="150"/>
      <c r="W958" s="150"/>
      <c r="X958" s="150"/>
      <c r="Y958" s="150"/>
      <c r="Z958" s="150"/>
      <c r="AA958" s="150"/>
      <c r="AB958" s="150"/>
      <c r="AC958" s="150"/>
      <c r="AD958" s="150"/>
      <c r="AE958" s="150"/>
    </row>
    <row r="959" spans="1:31" ht="15">
      <c r="A959" s="150"/>
      <c r="B959" s="150"/>
      <c r="C959" s="150"/>
      <c r="D959" s="150"/>
      <c r="E959" s="150"/>
      <c r="F959" s="150"/>
      <c r="G959" s="583"/>
      <c r="H959" s="583"/>
      <c r="I959" s="583"/>
      <c r="J959" s="1767"/>
      <c r="K959" s="1767"/>
      <c r="L959" s="150"/>
      <c r="M959" s="583"/>
      <c r="N959" s="583"/>
      <c r="O959" s="150"/>
      <c r="P959" s="150"/>
      <c r="Q959" s="150"/>
      <c r="R959" s="150"/>
      <c r="S959" s="150"/>
      <c r="T959" s="150"/>
      <c r="U959" s="150"/>
      <c r="V959" s="150"/>
      <c r="W959" s="150"/>
      <c r="X959" s="150"/>
      <c r="Y959" s="150"/>
      <c r="Z959" s="150"/>
      <c r="AA959" s="150"/>
      <c r="AB959" s="150"/>
      <c r="AC959" s="150"/>
      <c r="AD959" s="150"/>
      <c r="AE959" s="150"/>
    </row>
    <row r="960" spans="1:31" ht="15">
      <c r="A960" s="150"/>
      <c r="B960" s="150"/>
      <c r="C960" s="150"/>
      <c r="D960" s="150"/>
      <c r="E960" s="150"/>
      <c r="F960" s="150"/>
      <c r="G960" s="583"/>
      <c r="H960" s="583"/>
      <c r="I960" s="583"/>
      <c r="J960" s="1767"/>
      <c r="K960" s="1767"/>
      <c r="L960" s="150"/>
      <c r="M960" s="583"/>
      <c r="N960" s="583"/>
      <c r="O960" s="150"/>
      <c r="P960" s="150"/>
      <c r="Q960" s="150"/>
      <c r="R960" s="150"/>
      <c r="S960" s="150"/>
      <c r="T960" s="150"/>
      <c r="U960" s="150"/>
      <c r="V960" s="150"/>
      <c r="W960" s="150"/>
      <c r="X960" s="150"/>
      <c r="Y960" s="150"/>
      <c r="Z960" s="150"/>
      <c r="AA960" s="150"/>
      <c r="AB960" s="150"/>
      <c r="AC960" s="150"/>
      <c r="AD960" s="150"/>
      <c r="AE960" s="150"/>
    </row>
    <row r="961" spans="1:31" ht="15">
      <c r="A961" s="150"/>
      <c r="B961" s="150"/>
      <c r="C961" s="150"/>
      <c r="D961" s="150"/>
      <c r="E961" s="150"/>
      <c r="F961" s="150"/>
      <c r="G961" s="583"/>
      <c r="H961" s="583"/>
      <c r="I961" s="583"/>
      <c r="J961" s="1767"/>
      <c r="K961" s="1767"/>
      <c r="L961" s="150"/>
      <c r="M961" s="583"/>
      <c r="N961" s="583"/>
      <c r="O961" s="150"/>
      <c r="P961" s="150"/>
      <c r="Q961" s="150"/>
      <c r="R961" s="150"/>
      <c r="S961" s="150"/>
      <c r="T961" s="150"/>
      <c r="U961" s="150"/>
      <c r="V961" s="150"/>
      <c r="W961" s="150"/>
      <c r="X961" s="150"/>
      <c r="Y961" s="150"/>
      <c r="Z961" s="150"/>
      <c r="AA961" s="150"/>
      <c r="AB961" s="150"/>
      <c r="AC961" s="150"/>
      <c r="AD961" s="150"/>
      <c r="AE961" s="150"/>
    </row>
    <row r="962" spans="1:31" ht="15">
      <c r="A962" s="150"/>
      <c r="B962" s="150"/>
      <c r="C962" s="150"/>
      <c r="D962" s="150"/>
      <c r="E962" s="150"/>
      <c r="F962" s="150"/>
      <c r="G962" s="583"/>
      <c r="H962" s="583"/>
      <c r="I962" s="583"/>
      <c r="J962" s="1767"/>
      <c r="K962" s="1767"/>
      <c r="L962" s="150"/>
      <c r="M962" s="583"/>
      <c r="N962" s="583"/>
      <c r="O962" s="150"/>
      <c r="P962" s="150"/>
      <c r="Q962" s="150"/>
      <c r="R962" s="150"/>
      <c r="S962" s="150"/>
      <c r="T962" s="150"/>
      <c r="U962" s="150"/>
      <c r="V962" s="150"/>
      <c r="W962" s="150"/>
      <c r="X962" s="150"/>
      <c r="Y962" s="150"/>
      <c r="Z962" s="150"/>
      <c r="AA962" s="150"/>
      <c r="AB962" s="150"/>
      <c r="AC962" s="150"/>
      <c r="AD962" s="150"/>
      <c r="AE962" s="150"/>
    </row>
    <row r="963" spans="1:31" ht="15">
      <c r="A963" s="150"/>
      <c r="B963" s="150"/>
      <c r="C963" s="150"/>
      <c r="D963" s="150"/>
      <c r="E963" s="150"/>
      <c r="F963" s="150"/>
      <c r="G963" s="583"/>
      <c r="H963" s="583"/>
      <c r="I963" s="583"/>
      <c r="J963" s="1767"/>
      <c r="K963" s="1767"/>
      <c r="L963" s="150"/>
      <c r="M963" s="583"/>
      <c r="N963" s="583"/>
      <c r="O963" s="150"/>
      <c r="P963" s="150"/>
      <c r="Q963" s="150"/>
      <c r="R963" s="150"/>
      <c r="S963" s="150"/>
      <c r="T963" s="150"/>
      <c r="U963" s="150"/>
      <c r="V963" s="150"/>
      <c r="W963" s="150"/>
      <c r="X963" s="150"/>
      <c r="Y963" s="150"/>
      <c r="Z963" s="150"/>
      <c r="AA963" s="150"/>
      <c r="AB963" s="150"/>
      <c r="AC963" s="150"/>
      <c r="AD963" s="150"/>
      <c r="AE963" s="150"/>
    </row>
    <row r="964" spans="1:31" ht="15">
      <c r="A964" s="150"/>
      <c r="B964" s="150"/>
      <c r="C964" s="150"/>
      <c r="D964" s="150"/>
      <c r="E964" s="150"/>
      <c r="F964" s="150"/>
      <c r="G964" s="583"/>
      <c r="H964" s="583"/>
      <c r="I964" s="583"/>
      <c r="J964" s="1767"/>
      <c r="K964" s="1767"/>
      <c r="L964" s="150"/>
      <c r="M964" s="583"/>
      <c r="N964" s="583"/>
      <c r="O964" s="150"/>
      <c r="P964" s="150"/>
      <c r="Q964" s="150"/>
      <c r="R964" s="150"/>
      <c r="S964" s="150"/>
      <c r="T964" s="150"/>
      <c r="U964" s="150"/>
      <c r="V964" s="150"/>
      <c r="W964" s="150"/>
      <c r="X964" s="150"/>
      <c r="Y964" s="150"/>
      <c r="Z964" s="150"/>
      <c r="AA964" s="150"/>
      <c r="AB964" s="150"/>
      <c r="AC964" s="150"/>
      <c r="AD964" s="150"/>
      <c r="AE964" s="150"/>
    </row>
    <row r="965" spans="1:31" ht="15">
      <c r="A965" s="150"/>
      <c r="B965" s="150"/>
      <c r="C965" s="150"/>
      <c r="D965" s="150"/>
      <c r="E965" s="150"/>
      <c r="F965" s="150"/>
      <c r="G965" s="583"/>
      <c r="H965" s="583"/>
      <c r="I965" s="583"/>
      <c r="J965" s="1767"/>
      <c r="K965" s="1767"/>
      <c r="L965" s="150"/>
      <c r="M965" s="583"/>
      <c r="N965" s="583"/>
      <c r="O965" s="150"/>
      <c r="P965" s="150"/>
      <c r="Q965" s="150"/>
      <c r="R965" s="150"/>
      <c r="S965" s="150"/>
      <c r="T965" s="150"/>
      <c r="U965" s="150"/>
      <c r="V965" s="150"/>
      <c r="W965" s="150"/>
      <c r="X965" s="150"/>
      <c r="Y965" s="150"/>
      <c r="Z965" s="150"/>
      <c r="AA965" s="150"/>
      <c r="AB965" s="150"/>
      <c r="AC965" s="150"/>
      <c r="AD965" s="150"/>
      <c r="AE965" s="150"/>
    </row>
    <row r="966" spans="1:31" ht="15">
      <c r="A966" s="150"/>
      <c r="B966" s="150"/>
      <c r="C966" s="150"/>
      <c r="D966" s="150"/>
      <c r="E966" s="150"/>
      <c r="F966" s="150"/>
      <c r="G966" s="583"/>
      <c r="H966" s="583"/>
      <c r="I966" s="583"/>
      <c r="J966" s="1767"/>
      <c r="K966" s="1767"/>
      <c r="L966" s="150"/>
      <c r="M966" s="583"/>
      <c r="N966" s="583"/>
      <c r="O966" s="150"/>
      <c r="P966" s="150"/>
      <c r="Q966" s="150"/>
      <c r="R966" s="150"/>
      <c r="S966" s="150"/>
      <c r="T966" s="150"/>
      <c r="U966" s="150"/>
      <c r="V966" s="150"/>
      <c r="W966" s="150"/>
      <c r="X966" s="150"/>
      <c r="Y966" s="150"/>
      <c r="Z966" s="150"/>
      <c r="AA966" s="150"/>
      <c r="AB966" s="150"/>
      <c r="AC966" s="150"/>
      <c r="AD966" s="150"/>
      <c r="AE966" s="150"/>
    </row>
    <row r="967" spans="1:31" ht="15">
      <c r="A967" s="150"/>
      <c r="B967" s="150"/>
      <c r="C967" s="150"/>
      <c r="D967" s="150"/>
      <c r="E967" s="150"/>
      <c r="F967" s="150"/>
      <c r="G967" s="583"/>
      <c r="H967" s="583"/>
      <c r="I967" s="583"/>
      <c r="J967" s="1767"/>
      <c r="K967" s="1767"/>
      <c r="L967" s="150"/>
      <c r="M967" s="583"/>
      <c r="N967" s="583"/>
      <c r="O967" s="150"/>
      <c r="P967" s="150"/>
      <c r="Q967" s="150"/>
      <c r="R967" s="150"/>
      <c r="S967" s="150"/>
      <c r="T967" s="150"/>
      <c r="U967" s="150"/>
      <c r="V967" s="150"/>
      <c r="W967" s="150"/>
      <c r="X967" s="150"/>
      <c r="Y967" s="150"/>
      <c r="Z967" s="150"/>
      <c r="AA967" s="150"/>
      <c r="AB967" s="150"/>
      <c r="AC967" s="150"/>
      <c r="AD967" s="150"/>
      <c r="AE967" s="150"/>
    </row>
    <row r="968" spans="1:31" ht="15">
      <c r="A968" s="150"/>
      <c r="B968" s="150"/>
      <c r="C968" s="150"/>
      <c r="D968" s="150"/>
      <c r="E968" s="150"/>
      <c r="F968" s="150"/>
      <c r="G968" s="583"/>
      <c r="H968" s="583"/>
      <c r="I968" s="583"/>
      <c r="J968" s="1767"/>
      <c r="K968" s="1767"/>
      <c r="L968" s="150"/>
      <c r="M968" s="583"/>
      <c r="N968" s="583"/>
      <c r="O968" s="150"/>
      <c r="P968" s="150"/>
      <c r="Q968" s="150"/>
      <c r="R968" s="150"/>
      <c r="S968" s="150"/>
      <c r="T968" s="150"/>
      <c r="U968" s="150"/>
      <c r="V968" s="150"/>
      <c r="W968" s="150"/>
      <c r="X968" s="150"/>
      <c r="Y968" s="150"/>
      <c r="Z968" s="150"/>
      <c r="AA968" s="150"/>
      <c r="AB968" s="150"/>
      <c r="AC968" s="150"/>
      <c r="AD968" s="150"/>
      <c r="AE968" s="150"/>
    </row>
    <row r="969" spans="1:31" ht="15">
      <c r="A969" s="150"/>
      <c r="B969" s="150"/>
      <c r="C969" s="150"/>
      <c r="D969" s="150"/>
      <c r="E969" s="150"/>
      <c r="F969" s="150"/>
      <c r="G969" s="583"/>
      <c r="H969" s="583"/>
      <c r="I969" s="583"/>
      <c r="J969" s="1767"/>
      <c r="K969" s="1767"/>
      <c r="L969" s="150"/>
      <c r="M969" s="583"/>
      <c r="N969" s="583"/>
      <c r="O969" s="150"/>
      <c r="P969" s="150"/>
      <c r="Q969" s="150"/>
      <c r="R969" s="150"/>
      <c r="S969" s="150"/>
      <c r="T969" s="150"/>
      <c r="U969" s="150"/>
      <c r="V969" s="150"/>
      <c r="W969" s="150"/>
      <c r="X969" s="150"/>
      <c r="Y969" s="150"/>
      <c r="Z969" s="150"/>
      <c r="AA969" s="150"/>
      <c r="AB969" s="150"/>
      <c r="AC969" s="150"/>
      <c r="AD969" s="150"/>
      <c r="AE969" s="150"/>
    </row>
    <row r="970" spans="1:31" ht="15">
      <c r="A970" s="150"/>
      <c r="B970" s="150"/>
      <c r="C970" s="150"/>
      <c r="D970" s="150"/>
      <c r="E970" s="150"/>
      <c r="F970" s="150"/>
      <c r="G970" s="583"/>
      <c r="H970" s="583"/>
      <c r="I970" s="583"/>
      <c r="J970" s="1767"/>
      <c r="K970" s="1767"/>
      <c r="L970" s="150"/>
      <c r="M970" s="583"/>
      <c r="N970" s="583"/>
      <c r="O970" s="150"/>
      <c r="P970" s="150"/>
      <c r="Q970" s="150"/>
      <c r="R970" s="150"/>
      <c r="S970" s="150"/>
      <c r="T970" s="150"/>
      <c r="U970" s="150"/>
      <c r="V970" s="150"/>
      <c r="W970" s="150"/>
      <c r="X970" s="150"/>
      <c r="Y970" s="150"/>
      <c r="Z970" s="150"/>
      <c r="AA970" s="150"/>
      <c r="AB970" s="150"/>
      <c r="AC970" s="150"/>
      <c r="AD970" s="150"/>
      <c r="AE970" s="150"/>
    </row>
    <row r="971" spans="1:31" ht="15">
      <c r="A971" s="150"/>
      <c r="B971" s="150"/>
      <c r="C971" s="150"/>
      <c r="D971" s="150"/>
      <c r="E971" s="150"/>
      <c r="F971" s="150"/>
      <c r="G971" s="583"/>
      <c r="H971" s="583"/>
      <c r="I971" s="583"/>
      <c r="J971" s="1767"/>
      <c r="K971" s="1767"/>
      <c r="L971" s="150"/>
      <c r="M971" s="583"/>
      <c r="N971" s="583"/>
      <c r="O971" s="150"/>
      <c r="P971" s="150"/>
      <c r="Q971" s="150"/>
      <c r="R971" s="150"/>
      <c r="S971" s="150"/>
      <c r="T971" s="150"/>
      <c r="U971" s="150"/>
      <c r="V971" s="150"/>
      <c r="W971" s="150"/>
      <c r="X971" s="150"/>
      <c r="Y971" s="150"/>
      <c r="Z971" s="150"/>
      <c r="AA971" s="150"/>
      <c r="AB971" s="150"/>
      <c r="AC971" s="150"/>
      <c r="AD971" s="150"/>
      <c r="AE971" s="150"/>
    </row>
    <row r="972" spans="1:31" ht="15">
      <c r="A972" s="150"/>
      <c r="B972" s="150"/>
      <c r="C972" s="150"/>
      <c r="D972" s="150"/>
      <c r="E972" s="150"/>
      <c r="F972" s="150"/>
      <c r="G972" s="583"/>
      <c r="H972" s="583"/>
      <c r="I972" s="583"/>
      <c r="J972" s="1767"/>
      <c r="K972" s="1767"/>
      <c r="L972" s="150"/>
      <c r="M972" s="583"/>
      <c r="N972" s="583"/>
      <c r="O972" s="150"/>
      <c r="P972" s="150"/>
      <c r="Q972" s="150"/>
      <c r="R972" s="150"/>
      <c r="S972" s="150"/>
      <c r="T972" s="150"/>
      <c r="U972" s="150"/>
      <c r="V972" s="150"/>
      <c r="W972" s="150"/>
      <c r="X972" s="150"/>
      <c r="Y972" s="150"/>
      <c r="Z972" s="150"/>
      <c r="AA972" s="150"/>
      <c r="AB972" s="150"/>
      <c r="AC972" s="150"/>
      <c r="AD972" s="150"/>
      <c r="AE972" s="150"/>
    </row>
    <row r="973" spans="1:31" ht="15">
      <c r="A973" s="150"/>
      <c r="B973" s="150"/>
      <c r="C973" s="150"/>
      <c r="D973" s="150"/>
      <c r="E973" s="150"/>
      <c r="F973" s="150"/>
      <c r="G973" s="583"/>
      <c r="H973" s="583"/>
      <c r="I973" s="583"/>
      <c r="J973" s="1767"/>
      <c r="K973" s="1767"/>
      <c r="L973" s="150"/>
      <c r="M973" s="583"/>
      <c r="N973" s="583"/>
      <c r="O973" s="150"/>
      <c r="P973" s="150"/>
      <c r="Q973" s="150"/>
      <c r="R973" s="150"/>
      <c r="S973" s="150"/>
      <c r="T973" s="150"/>
      <c r="U973" s="150"/>
      <c r="V973" s="150"/>
      <c r="W973" s="150"/>
      <c r="X973" s="150"/>
      <c r="Y973" s="150"/>
      <c r="Z973" s="150"/>
      <c r="AA973" s="150"/>
      <c r="AB973" s="150"/>
      <c r="AC973" s="150"/>
      <c r="AD973" s="150"/>
      <c r="AE973" s="150"/>
    </row>
    <row r="974" spans="1:31" ht="15">
      <c r="A974" s="150"/>
      <c r="B974" s="150"/>
      <c r="C974" s="150"/>
      <c r="D974" s="150"/>
      <c r="E974" s="150"/>
      <c r="F974" s="150"/>
      <c r="G974" s="583"/>
      <c r="H974" s="583"/>
      <c r="I974" s="583"/>
      <c r="J974" s="1767"/>
      <c r="K974" s="1767"/>
      <c r="L974" s="150"/>
      <c r="M974" s="583"/>
      <c r="N974" s="583"/>
      <c r="O974" s="150"/>
      <c r="P974" s="150"/>
      <c r="Q974" s="150"/>
      <c r="R974" s="150"/>
      <c r="S974" s="150"/>
      <c r="T974" s="150"/>
      <c r="U974" s="150"/>
      <c r="V974" s="150"/>
      <c r="W974" s="150"/>
      <c r="X974" s="150"/>
      <c r="Y974" s="150"/>
      <c r="Z974" s="150"/>
      <c r="AA974" s="150"/>
      <c r="AB974" s="150"/>
      <c r="AC974" s="150"/>
      <c r="AD974" s="150"/>
      <c r="AE974" s="150"/>
    </row>
    <row r="975" spans="1:31" ht="15">
      <c r="A975" s="150"/>
      <c r="B975" s="150"/>
      <c r="C975" s="150"/>
      <c r="D975" s="150"/>
      <c r="E975" s="150"/>
      <c r="F975" s="150"/>
      <c r="G975" s="583"/>
      <c r="H975" s="583"/>
      <c r="I975" s="583"/>
      <c r="J975" s="1767"/>
      <c r="K975" s="1767"/>
      <c r="L975" s="150"/>
      <c r="M975" s="583"/>
      <c r="N975" s="583"/>
      <c r="O975" s="150"/>
      <c r="P975" s="150"/>
      <c r="Q975" s="150"/>
      <c r="R975" s="150"/>
      <c r="S975" s="150"/>
      <c r="T975" s="150"/>
      <c r="U975" s="150"/>
      <c r="V975" s="150"/>
      <c r="W975" s="150"/>
      <c r="X975" s="150"/>
      <c r="Y975" s="150"/>
      <c r="Z975" s="150"/>
      <c r="AA975" s="150"/>
      <c r="AB975" s="150"/>
      <c r="AC975" s="150"/>
      <c r="AD975" s="150"/>
      <c r="AE975" s="150"/>
    </row>
    <row r="976" spans="1:31" ht="15">
      <c r="A976" s="150"/>
      <c r="B976" s="150"/>
      <c r="C976" s="150"/>
      <c r="D976" s="150"/>
      <c r="E976" s="150"/>
      <c r="F976" s="150"/>
      <c r="G976" s="583"/>
      <c r="H976" s="583"/>
      <c r="I976" s="583"/>
      <c r="J976" s="1767"/>
      <c r="K976" s="1767"/>
      <c r="L976" s="150"/>
      <c r="M976" s="583"/>
      <c r="N976" s="583"/>
      <c r="O976" s="150"/>
      <c r="P976" s="150"/>
      <c r="Q976" s="150"/>
      <c r="R976" s="150"/>
      <c r="S976" s="150"/>
      <c r="T976" s="150"/>
      <c r="U976" s="150"/>
      <c r="V976" s="150"/>
      <c r="W976" s="150"/>
      <c r="X976" s="150"/>
      <c r="Y976" s="150"/>
      <c r="Z976" s="150"/>
      <c r="AA976" s="150"/>
      <c r="AB976" s="150"/>
      <c r="AC976" s="150"/>
      <c r="AD976" s="150"/>
      <c r="AE976" s="150"/>
    </row>
    <row r="977" spans="1:31" ht="15">
      <c r="A977" s="150"/>
      <c r="B977" s="150"/>
      <c r="C977" s="150"/>
      <c r="D977" s="150"/>
      <c r="E977" s="150"/>
      <c r="F977" s="150"/>
      <c r="G977" s="583"/>
      <c r="H977" s="583"/>
      <c r="I977" s="583"/>
      <c r="J977" s="1767"/>
      <c r="K977" s="1767"/>
      <c r="L977" s="150"/>
      <c r="M977" s="583"/>
      <c r="N977" s="583"/>
      <c r="O977" s="150"/>
      <c r="P977" s="150"/>
      <c r="Q977" s="150"/>
      <c r="R977" s="150"/>
      <c r="S977" s="150"/>
      <c r="T977" s="150"/>
      <c r="U977" s="150"/>
      <c r="V977" s="150"/>
      <c r="W977" s="150"/>
      <c r="X977" s="150"/>
      <c r="Y977" s="150"/>
      <c r="Z977" s="150"/>
      <c r="AA977" s="150"/>
      <c r="AB977" s="150"/>
      <c r="AC977" s="150"/>
      <c r="AD977" s="150"/>
      <c r="AE977" s="150"/>
    </row>
    <row r="978" spans="1:31" ht="15">
      <c r="A978" s="150"/>
      <c r="B978" s="150"/>
      <c r="C978" s="150"/>
      <c r="D978" s="150"/>
      <c r="E978" s="150"/>
      <c r="F978" s="150"/>
      <c r="G978" s="583"/>
      <c r="H978" s="583"/>
      <c r="I978" s="583"/>
      <c r="J978" s="1767"/>
      <c r="K978" s="1767"/>
      <c r="L978" s="150"/>
      <c r="M978" s="583"/>
      <c r="N978" s="583"/>
      <c r="O978" s="150"/>
      <c r="P978" s="150"/>
      <c r="Q978" s="150"/>
      <c r="R978" s="150"/>
      <c r="S978" s="150"/>
      <c r="T978" s="150"/>
      <c r="U978" s="150"/>
      <c r="V978" s="150"/>
      <c r="W978" s="150"/>
      <c r="X978" s="150"/>
      <c r="Y978" s="150"/>
      <c r="Z978" s="150"/>
      <c r="AA978" s="150"/>
      <c r="AB978" s="150"/>
      <c r="AC978" s="150"/>
      <c r="AD978" s="150"/>
      <c r="AE978" s="150"/>
    </row>
    <row r="979" spans="1:31" ht="15">
      <c r="A979" s="150"/>
      <c r="B979" s="150"/>
      <c r="C979" s="150"/>
      <c r="D979" s="150"/>
      <c r="E979" s="150"/>
      <c r="F979" s="150"/>
      <c r="G979" s="583"/>
      <c r="H979" s="583"/>
      <c r="I979" s="583"/>
      <c r="J979" s="1767"/>
      <c r="K979" s="1767"/>
      <c r="L979" s="150"/>
      <c r="M979" s="583"/>
      <c r="N979" s="583"/>
      <c r="O979" s="150"/>
      <c r="P979" s="150"/>
      <c r="Q979" s="150"/>
      <c r="R979" s="150"/>
      <c r="S979" s="150"/>
      <c r="T979" s="150"/>
      <c r="U979" s="150"/>
      <c r="V979" s="150"/>
      <c r="W979" s="150"/>
      <c r="X979" s="150"/>
      <c r="Y979" s="150"/>
      <c r="Z979" s="150"/>
      <c r="AA979" s="150"/>
      <c r="AB979" s="150"/>
      <c r="AC979" s="150"/>
      <c r="AD979" s="150"/>
      <c r="AE979" s="150"/>
    </row>
    <row r="980" spans="1:31" ht="15">
      <c r="A980" s="150"/>
      <c r="B980" s="150"/>
      <c r="C980" s="150"/>
      <c r="D980" s="150"/>
      <c r="E980" s="150"/>
      <c r="F980" s="150"/>
      <c r="G980" s="583"/>
      <c r="H980" s="583"/>
      <c r="I980" s="583"/>
      <c r="J980" s="1767"/>
      <c r="K980" s="1767"/>
      <c r="L980" s="150"/>
      <c r="M980" s="583"/>
      <c r="N980" s="583"/>
      <c r="O980" s="150"/>
      <c r="P980" s="150"/>
      <c r="Q980" s="150"/>
      <c r="R980" s="150"/>
      <c r="S980" s="150"/>
      <c r="T980" s="150"/>
      <c r="U980" s="150"/>
      <c r="V980" s="150"/>
      <c r="W980" s="150"/>
      <c r="X980" s="150"/>
      <c r="Y980" s="150"/>
      <c r="Z980" s="150"/>
      <c r="AA980" s="150"/>
      <c r="AB980" s="150"/>
      <c r="AC980" s="150"/>
      <c r="AD980" s="150"/>
      <c r="AE980" s="150"/>
    </row>
    <row r="981" spans="1:31" ht="15">
      <c r="A981" s="150"/>
      <c r="B981" s="150"/>
      <c r="C981" s="150"/>
      <c r="D981" s="150"/>
      <c r="E981" s="150"/>
      <c r="F981" s="150"/>
      <c r="G981" s="583"/>
      <c r="H981" s="583"/>
      <c r="I981" s="583"/>
      <c r="J981" s="1767"/>
      <c r="K981" s="1767"/>
      <c r="L981" s="150"/>
      <c r="M981" s="583"/>
      <c r="N981" s="583"/>
      <c r="O981" s="150"/>
      <c r="P981" s="150"/>
      <c r="Q981" s="150"/>
      <c r="R981" s="150"/>
      <c r="S981" s="150"/>
      <c r="T981" s="150"/>
      <c r="U981" s="150"/>
      <c r="V981" s="150"/>
      <c r="W981" s="150"/>
      <c r="X981" s="150"/>
      <c r="Y981" s="150"/>
      <c r="Z981" s="150"/>
      <c r="AA981" s="150"/>
      <c r="AB981" s="150"/>
      <c r="AC981" s="150"/>
      <c r="AD981" s="150"/>
      <c r="AE981" s="150"/>
    </row>
    <row r="982" spans="1:31" ht="15">
      <c r="A982" s="150"/>
      <c r="B982" s="150"/>
      <c r="C982" s="150"/>
      <c r="D982" s="150"/>
      <c r="E982" s="150"/>
      <c r="F982" s="150"/>
      <c r="G982" s="583"/>
      <c r="H982" s="583"/>
      <c r="I982" s="583"/>
      <c r="J982" s="1767"/>
      <c r="K982" s="1767"/>
      <c r="L982" s="150"/>
      <c r="M982" s="583"/>
      <c r="N982" s="583"/>
      <c r="O982" s="150"/>
      <c r="P982" s="150"/>
      <c r="Q982" s="150"/>
      <c r="R982" s="150"/>
      <c r="S982" s="150"/>
      <c r="T982" s="150"/>
      <c r="U982" s="150"/>
      <c r="V982" s="150"/>
      <c r="W982" s="150"/>
      <c r="X982" s="150"/>
      <c r="Y982" s="150"/>
      <c r="Z982" s="150"/>
      <c r="AA982" s="150"/>
      <c r="AB982" s="150"/>
      <c r="AC982" s="150"/>
      <c r="AD982" s="150"/>
      <c r="AE982" s="150"/>
    </row>
    <row r="983" spans="1:31" ht="15">
      <c r="A983" s="150"/>
      <c r="B983" s="150"/>
      <c r="C983" s="150"/>
      <c r="D983" s="150"/>
      <c r="E983" s="150"/>
      <c r="F983" s="150"/>
      <c r="G983" s="583"/>
      <c r="H983" s="583"/>
      <c r="I983" s="583"/>
      <c r="J983" s="1767"/>
      <c r="K983" s="1767"/>
      <c r="L983" s="150"/>
      <c r="M983" s="583"/>
      <c r="N983" s="583"/>
      <c r="O983" s="150"/>
      <c r="P983" s="150"/>
      <c r="Q983" s="150"/>
      <c r="R983" s="150"/>
      <c r="S983" s="150"/>
      <c r="T983" s="150"/>
      <c r="U983" s="150"/>
      <c r="V983" s="150"/>
      <c r="W983" s="150"/>
      <c r="X983" s="150"/>
      <c r="Y983" s="150"/>
      <c r="Z983" s="150"/>
      <c r="AA983" s="150"/>
      <c r="AB983" s="150"/>
      <c r="AC983" s="150"/>
      <c r="AD983" s="150"/>
      <c r="AE983" s="150"/>
    </row>
    <row r="984" spans="1:31" ht="15">
      <c r="A984" s="150"/>
      <c r="B984" s="150"/>
      <c r="C984" s="150"/>
      <c r="D984" s="150"/>
      <c r="E984" s="150"/>
      <c r="F984" s="150"/>
      <c r="G984" s="583"/>
      <c r="H984" s="583"/>
      <c r="I984" s="583"/>
      <c r="J984" s="1767"/>
      <c r="K984" s="1767"/>
      <c r="L984" s="150"/>
      <c r="M984" s="583"/>
      <c r="N984" s="583"/>
      <c r="O984" s="150"/>
      <c r="P984" s="150"/>
      <c r="Q984" s="150"/>
      <c r="R984" s="150"/>
      <c r="S984" s="150"/>
      <c r="T984" s="150"/>
      <c r="U984" s="150"/>
      <c r="V984" s="150"/>
      <c r="W984" s="150"/>
      <c r="X984" s="150"/>
      <c r="Y984" s="150"/>
      <c r="Z984" s="150"/>
      <c r="AA984" s="150"/>
      <c r="AB984" s="150"/>
      <c r="AC984" s="150"/>
      <c r="AD984" s="150"/>
      <c r="AE984" s="150"/>
    </row>
    <row r="985" spans="1:31" ht="15">
      <c r="A985" s="150"/>
      <c r="B985" s="150"/>
      <c r="C985" s="150"/>
      <c r="D985" s="150"/>
      <c r="E985" s="150"/>
      <c r="F985" s="150"/>
      <c r="G985" s="583"/>
      <c r="H985" s="583"/>
      <c r="I985" s="583"/>
      <c r="J985" s="1767"/>
      <c r="K985" s="1767"/>
      <c r="L985" s="150"/>
      <c r="M985" s="583"/>
      <c r="N985" s="583"/>
      <c r="O985" s="150"/>
      <c r="P985" s="150"/>
      <c r="Q985" s="150"/>
      <c r="R985" s="150"/>
      <c r="S985" s="150"/>
      <c r="T985" s="150"/>
      <c r="U985" s="150"/>
      <c r="V985" s="150"/>
      <c r="W985" s="150"/>
      <c r="X985" s="150"/>
      <c r="Y985" s="150"/>
      <c r="Z985" s="150"/>
      <c r="AA985" s="150"/>
      <c r="AB985" s="150"/>
      <c r="AC985" s="150"/>
      <c r="AD985" s="150"/>
      <c r="AE985" s="150"/>
    </row>
    <row r="986" spans="1:31" ht="15">
      <c r="A986" s="150"/>
      <c r="B986" s="150"/>
      <c r="C986" s="150"/>
      <c r="D986" s="150"/>
      <c r="E986" s="150"/>
      <c r="F986" s="150"/>
      <c r="G986" s="583"/>
      <c r="H986" s="583"/>
      <c r="I986" s="583"/>
      <c r="J986" s="1767"/>
      <c r="K986" s="1767"/>
      <c r="L986" s="150"/>
      <c r="M986" s="583"/>
      <c r="N986" s="583"/>
      <c r="O986" s="150"/>
      <c r="P986" s="150"/>
      <c r="Q986" s="150"/>
      <c r="R986" s="150"/>
      <c r="S986" s="150"/>
      <c r="T986" s="150"/>
      <c r="U986" s="150"/>
      <c r="V986" s="150"/>
      <c r="W986" s="150"/>
      <c r="X986" s="150"/>
      <c r="Y986" s="150"/>
      <c r="Z986" s="150"/>
      <c r="AA986" s="150"/>
      <c r="AB986" s="150"/>
      <c r="AC986" s="150"/>
      <c r="AD986" s="150"/>
      <c r="AE986" s="150"/>
    </row>
    <row r="987" spans="1:31" ht="15">
      <c r="A987" s="150"/>
      <c r="B987" s="150"/>
      <c r="C987" s="150"/>
      <c r="D987" s="150"/>
      <c r="E987" s="150"/>
      <c r="F987" s="150"/>
      <c r="G987" s="583"/>
      <c r="H987" s="583"/>
      <c r="I987" s="583"/>
      <c r="J987" s="1767"/>
      <c r="K987" s="1767"/>
      <c r="L987" s="150"/>
      <c r="M987" s="583"/>
      <c r="N987" s="583"/>
      <c r="O987" s="150"/>
      <c r="P987" s="150"/>
      <c r="Q987" s="150"/>
      <c r="R987" s="150"/>
      <c r="S987" s="150"/>
      <c r="T987" s="150"/>
      <c r="U987" s="150"/>
      <c r="V987" s="150"/>
      <c r="W987" s="150"/>
      <c r="X987" s="150"/>
      <c r="Y987" s="150"/>
      <c r="Z987" s="150"/>
      <c r="AA987" s="150"/>
      <c r="AB987" s="150"/>
      <c r="AC987" s="150"/>
      <c r="AD987" s="150"/>
      <c r="AE987" s="150"/>
    </row>
    <row r="988" spans="1:31" ht="15">
      <c r="A988" s="150"/>
      <c r="B988" s="150"/>
      <c r="C988" s="150"/>
      <c r="D988" s="150"/>
      <c r="E988" s="150"/>
      <c r="F988" s="150"/>
      <c r="G988" s="583"/>
      <c r="H988" s="583"/>
      <c r="I988" s="583"/>
      <c r="J988" s="1767"/>
      <c r="K988" s="1767"/>
      <c r="L988" s="150"/>
      <c r="M988" s="583"/>
      <c r="N988" s="583"/>
      <c r="O988" s="150"/>
      <c r="P988" s="150"/>
      <c r="Q988" s="150"/>
      <c r="R988" s="150"/>
      <c r="S988" s="150"/>
      <c r="T988" s="150"/>
      <c r="U988" s="150"/>
      <c r="V988" s="150"/>
      <c r="W988" s="150"/>
      <c r="X988" s="150"/>
      <c r="Y988" s="150"/>
      <c r="Z988" s="150"/>
      <c r="AA988" s="150"/>
      <c r="AB988" s="150"/>
      <c r="AC988" s="150"/>
      <c r="AD988" s="150"/>
      <c r="AE988" s="150"/>
    </row>
    <row r="989" spans="1:31" ht="15">
      <c r="A989" s="150"/>
      <c r="B989" s="150"/>
      <c r="C989" s="150"/>
      <c r="D989" s="150"/>
      <c r="E989" s="150"/>
      <c r="F989" s="150"/>
      <c r="G989" s="583"/>
      <c r="H989" s="583"/>
      <c r="I989" s="583"/>
      <c r="J989" s="1767"/>
      <c r="K989" s="1767"/>
      <c r="L989" s="150"/>
      <c r="M989" s="583"/>
      <c r="N989" s="583"/>
      <c r="O989" s="150"/>
      <c r="P989" s="150"/>
      <c r="Q989" s="150"/>
      <c r="R989" s="150"/>
      <c r="S989" s="150"/>
      <c r="T989" s="150"/>
      <c r="U989" s="150"/>
      <c r="V989" s="150"/>
      <c r="W989" s="150"/>
      <c r="X989" s="150"/>
      <c r="Y989" s="150"/>
      <c r="Z989" s="150"/>
      <c r="AA989" s="150"/>
      <c r="AB989" s="150"/>
      <c r="AC989" s="150"/>
      <c r="AD989" s="150"/>
      <c r="AE989" s="150"/>
    </row>
    <row r="990" spans="1:31" ht="15">
      <c r="A990" s="150"/>
      <c r="B990" s="150"/>
      <c r="C990" s="150"/>
      <c r="D990" s="150"/>
      <c r="E990" s="150"/>
      <c r="F990" s="150"/>
      <c r="G990" s="583"/>
      <c r="H990" s="583"/>
      <c r="I990" s="583"/>
      <c r="J990" s="1767"/>
      <c r="K990" s="1767"/>
      <c r="L990" s="150"/>
      <c r="M990" s="583"/>
      <c r="N990" s="583"/>
      <c r="O990" s="150"/>
      <c r="P990" s="150"/>
      <c r="Q990" s="150"/>
      <c r="R990" s="150"/>
      <c r="S990" s="150"/>
      <c r="T990" s="150"/>
      <c r="U990" s="150"/>
      <c r="V990" s="150"/>
      <c r="W990" s="150"/>
      <c r="X990" s="150"/>
      <c r="Y990" s="150"/>
      <c r="Z990" s="150"/>
      <c r="AA990" s="150"/>
      <c r="AB990" s="150"/>
      <c r="AC990" s="150"/>
      <c r="AD990" s="150"/>
      <c r="AE990" s="150"/>
    </row>
    <row r="991" spans="1:31" ht="15">
      <c r="A991" s="150"/>
      <c r="B991" s="150"/>
      <c r="C991" s="150"/>
      <c r="D991" s="150"/>
      <c r="E991" s="150"/>
      <c r="F991" s="150"/>
      <c r="G991" s="583"/>
      <c r="H991" s="583"/>
      <c r="I991" s="583"/>
      <c r="J991" s="1767"/>
      <c r="K991" s="1767"/>
      <c r="L991" s="150"/>
      <c r="M991" s="583"/>
      <c r="N991" s="583"/>
      <c r="O991" s="150"/>
      <c r="P991" s="150"/>
      <c r="Q991" s="150"/>
      <c r="R991" s="150"/>
      <c r="S991" s="150"/>
      <c r="T991" s="150"/>
      <c r="U991" s="150"/>
      <c r="V991" s="150"/>
      <c r="W991" s="150"/>
      <c r="X991" s="150"/>
      <c r="Y991" s="150"/>
      <c r="Z991" s="150"/>
      <c r="AA991" s="150"/>
      <c r="AB991" s="150"/>
      <c r="AC991" s="150"/>
      <c r="AD991" s="150"/>
      <c r="AE991" s="150"/>
    </row>
    <row r="992" spans="1:31" ht="15">
      <c r="A992" s="150"/>
      <c r="B992" s="150"/>
      <c r="C992" s="150"/>
      <c r="D992" s="150"/>
      <c r="E992" s="150"/>
      <c r="F992" s="150"/>
      <c r="G992" s="583"/>
      <c r="H992" s="583"/>
      <c r="I992" s="583"/>
      <c r="J992" s="1767"/>
      <c r="K992" s="1767"/>
      <c r="L992" s="150"/>
      <c r="M992" s="583"/>
      <c r="N992" s="583"/>
      <c r="O992" s="150"/>
      <c r="P992" s="150"/>
      <c r="Q992" s="150"/>
      <c r="R992" s="150"/>
      <c r="S992" s="150"/>
      <c r="T992" s="150"/>
      <c r="U992" s="150"/>
      <c r="V992" s="150"/>
      <c r="W992" s="150"/>
      <c r="X992" s="150"/>
      <c r="Y992" s="150"/>
      <c r="Z992" s="150"/>
      <c r="AA992" s="150"/>
      <c r="AB992" s="150"/>
      <c r="AC992" s="150"/>
      <c r="AD992" s="150"/>
      <c r="AE992" s="150"/>
    </row>
    <row r="993" spans="1:31" ht="15">
      <c r="A993" s="150"/>
      <c r="B993" s="150"/>
      <c r="C993" s="150"/>
      <c r="D993" s="150"/>
      <c r="E993" s="150"/>
      <c r="F993" s="150"/>
      <c r="G993" s="583"/>
      <c r="H993" s="583"/>
      <c r="I993" s="583"/>
      <c r="J993" s="1767"/>
      <c r="K993" s="1767"/>
      <c r="L993" s="150"/>
      <c r="M993" s="583"/>
      <c r="N993" s="583"/>
      <c r="O993" s="150"/>
      <c r="P993" s="150"/>
      <c r="Q993" s="150"/>
      <c r="R993" s="150"/>
      <c r="S993" s="150"/>
      <c r="T993" s="150"/>
      <c r="U993" s="150"/>
      <c r="V993" s="150"/>
      <c r="W993" s="150"/>
      <c r="X993" s="150"/>
      <c r="Y993" s="150"/>
      <c r="Z993" s="150"/>
      <c r="AA993" s="150"/>
      <c r="AB993" s="150"/>
      <c r="AC993" s="150"/>
      <c r="AD993" s="150"/>
      <c r="AE993" s="150"/>
    </row>
    <row r="994" spans="1:31" ht="15">
      <c r="A994" s="150"/>
      <c r="B994" s="150"/>
      <c r="C994" s="150"/>
      <c r="D994" s="150"/>
      <c r="E994" s="150"/>
      <c r="F994" s="150"/>
      <c r="G994" s="583"/>
      <c r="H994" s="583"/>
      <c r="I994" s="583"/>
      <c r="J994" s="1767"/>
      <c r="K994" s="1767"/>
      <c r="L994" s="150"/>
      <c r="M994" s="583"/>
      <c r="N994" s="583"/>
      <c r="O994" s="150"/>
      <c r="P994" s="150"/>
      <c r="Q994" s="150"/>
      <c r="R994" s="150"/>
      <c r="S994" s="150"/>
      <c r="T994" s="150"/>
      <c r="U994" s="150"/>
      <c r="V994" s="150"/>
      <c r="W994" s="150"/>
      <c r="X994" s="150"/>
      <c r="Y994" s="150"/>
      <c r="Z994" s="150"/>
      <c r="AA994" s="150"/>
      <c r="AB994" s="150"/>
      <c r="AC994" s="150"/>
      <c r="AD994" s="150"/>
      <c r="AE994" s="150"/>
    </row>
    <row r="995" spans="1:31" ht="15">
      <c r="A995" s="150"/>
      <c r="B995" s="150"/>
      <c r="C995" s="150"/>
      <c r="D995" s="150"/>
      <c r="E995" s="150"/>
      <c r="F995" s="150"/>
      <c r="G995" s="583"/>
      <c r="H995" s="583"/>
      <c r="I995" s="583"/>
      <c r="J995" s="1767"/>
      <c r="K995" s="1767"/>
      <c r="L995" s="150"/>
      <c r="M995" s="583"/>
      <c r="N995" s="583"/>
      <c r="O995" s="150"/>
      <c r="P995" s="150"/>
      <c r="Q995" s="150"/>
      <c r="R995" s="150"/>
      <c r="S995" s="150"/>
      <c r="T995" s="150"/>
      <c r="U995" s="150"/>
      <c r="V995" s="150"/>
      <c r="W995" s="150"/>
      <c r="X995" s="150"/>
      <c r="Y995" s="150"/>
      <c r="Z995" s="150"/>
      <c r="AA995" s="150"/>
      <c r="AB995" s="150"/>
      <c r="AC995" s="150"/>
      <c r="AD995" s="150"/>
      <c r="AE995" s="150"/>
    </row>
    <row r="996" spans="1:31" ht="15">
      <c r="A996" s="150"/>
      <c r="B996" s="150"/>
      <c r="C996" s="150"/>
      <c r="D996" s="150"/>
      <c r="E996" s="150"/>
      <c r="F996" s="150"/>
      <c r="G996" s="583"/>
      <c r="H996" s="583"/>
      <c r="I996" s="583"/>
      <c r="J996" s="1767"/>
      <c r="K996" s="1767"/>
      <c r="L996" s="150"/>
      <c r="M996" s="583"/>
      <c r="N996" s="583"/>
      <c r="O996" s="150"/>
      <c r="P996" s="150"/>
      <c r="Q996" s="150"/>
      <c r="R996" s="150"/>
      <c r="S996" s="150"/>
      <c r="T996" s="150"/>
      <c r="U996" s="150"/>
      <c r="V996" s="150"/>
      <c r="W996" s="150"/>
      <c r="X996" s="150"/>
      <c r="Y996" s="150"/>
      <c r="Z996" s="150"/>
      <c r="AA996" s="150"/>
      <c r="AB996" s="150"/>
      <c r="AC996" s="150"/>
      <c r="AD996" s="150"/>
      <c r="AE996" s="150"/>
    </row>
    <row r="997" spans="1:31" ht="15">
      <c r="A997" s="150"/>
      <c r="B997" s="150"/>
      <c r="C997" s="150"/>
      <c r="D997" s="150"/>
      <c r="E997" s="150"/>
      <c r="F997" s="150"/>
      <c r="G997" s="583"/>
      <c r="H997" s="583"/>
      <c r="I997" s="583"/>
      <c r="J997" s="1767"/>
      <c r="K997" s="1767"/>
      <c r="L997" s="150"/>
      <c r="M997" s="583"/>
      <c r="N997" s="583"/>
      <c r="O997" s="150"/>
      <c r="P997" s="150"/>
      <c r="Q997" s="150"/>
      <c r="R997" s="150"/>
      <c r="S997" s="150"/>
      <c r="T997" s="150"/>
      <c r="U997" s="150"/>
      <c r="V997" s="150"/>
      <c r="W997" s="150"/>
      <c r="X997" s="150"/>
      <c r="Y997" s="150"/>
      <c r="Z997" s="150"/>
      <c r="AA997" s="150"/>
      <c r="AB997" s="150"/>
      <c r="AC997" s="150"/>
      <c r="AD997" s="150"/>
      <c r="AE997" s="150"/>
    </row>
    <row r="998" spans="1:31" ht="15">
      <c r="A998" s="150"/>
      <c r="B998" s="150"/>
      <c r="C998" s="150"/>
      <c r="D998" s="150"/>
      <c r="E998" s="150"/>
      <c r="F998" s="150"/>
      <c r="G998" s="583"/>
      <c r="H998" s="583"/>
      <c r="I998" s="583"/>
      <c r="J998" s="1767"/>
      <c r="K998" s="1767"/>
      <c r="L998" s="150"/>
      <c r="M998" s="583"/>
      <c r="N998" s="583"/>
      <c r="O998" s="150"/>
      <c r="P998" s="150"/>
      <c r="Q998" s="150"/>
      <c r="R998" s="150"/>
      <c r="S998" s="150"/>
      <c r="T998" s="150"/>
      <c r="U998" s="150"/>
      <c r="V998" s="150"/>
      <c r="W998" s="150"/>
      <c r="X998" s="150"/>
      <c r="Y998" s="150"/>
      <c r="Z998" s="150"/>
      <c r="AA998" s="150"/>
      <c r="AB998" s="150"/>
      <c r="AC998" s="150"/>
      <c r="AD998" s="150"/>
      <c r="AE998" s="150"/>
    </row>
    <row r="999" spans="1:31" ht="15">
      <c r="A999" s="150"/>
      <c r="B999" s="150"/>
      <c r="C999" s="150"/>
      <c r="D999" s="150"/>
      <c r="E999" s="150"/>
      <c r="F999" s="150"/>
      <c r="G999" s="583"/>
      <c r="H999" s="583"/>
      <c r="I999" s="583"/>
      <c r="J999" s="1767"/>
      <c r="K999" s="1767"/>
      <c r="L999" s="150"/>
      <c r="M999" s="583"/>
      <c r="N999" s="583"/>
      <c r="O999" s="150"/>
      <c r="P999" s="150"/>
      <c r="Q999" s="150"/>
      <c r="R999" s="150"/>
      <c r="S999" s="150"/>
      <c r="T999" s="150"/>
      <c r="U999" s="150"/>
      <c r="V999" s="150"/>
      <c r="W999" s="150"/>
      <c r="X999" s="150"/>
      <c r="Y999" s="150"/>
      <c r="Z999" s="150"/>
      <c r="AA999" s="150"/>
      <c r="AB999" s="150"/>
      <c r="AC999" s="150"/>
      <c r="AD999" s="150"/>
      <c r="AE999" s="150"/>
    </row>
    <row r="1000" spans="1:31" ht="15">
      <c r="A1000" s="150"/>
      <c r="B1000" s="150"/>
      <c r="C1000" s="150"/>
      <c r="D1000" s="150"/>
      <c r="E1000" s="150"/>
      <c r="F1000" s="150"/>
      <c r="G1000" s="583"/>
      <c r="H1000" s="583"/>
      <c r="I1000" s="583"/>
      <c r="J1000" s="1767"/>
      <c r="K1000" s="1767"/>
      <c r="L1000" s="150"/>
      <c r="M1000" s="583"/>
      <c r="N1000" s="583"/>
      <c r="O1000" s="150"/>
      <c r="P1000" s="150"/>
      <c r="Q1000" s="150"/>
      <c r="R1000" s="150"/>
      <c r="S1000" s="150"/>
      <c r="T1000" s="150"/>
      <c r="U1000" s="150"/>
      <c r="V1000" s="150"/>
      <c r="W1000" s="150"/>
      <c r="X1000" s="150"/>
      <c r="Y1000" s="150"/>
      <c r="Z1000" s="150"/>
      <c r="AA1000" s="150"/>
      <c r="AB1000" s="150"/>
      <c r="AC1000" s="150"/>
      <c r="AD1000" s="150"/>
      <c r="AE1000" s="150"/>
    </row>
    <row r="1001" spans="1:31" ht="15">
      <c r="A1001" s="150"/>
      <c r="B1001" s="150"/>
      <c r="C1001" s="150"/>
      <c r="D1001" s="150"/>
      <c r="E1001" s="150"/>
      <c r="F1001" s="150"/>
      <c r="G1001" s="583"/>
      <c r="H1001" s="583"/>
      <c r="I1001" s="583"/>
      <c r="J1001" s="1767"/>
      <c r="K1001" s="1767"/>
      <c r="L1001" s="150"/>
      <c r="M1001" s="583"/>
      <c r="N1001" s="583"/>
      <c r="O1001" s="150"/>
      <c r="P1001" s="150"/>
      <c r="Q1001" s="150"/>
      <c r="R1001" s="150"/>
      <c r="S1001" s="150"/>
      <c r="T1001" s="150"/>
      <c r="U1001" s="150"/>
      <c r="V1001" s="150"/>
      <c r="W1001" s="150"/>
      <c r="X1001" s="150"/>
      <c r="Y1001" s="150"/>
      <c r="Z1001" s="150"/>
      <c r="AA1001" s="150"/>
      <c r="AB1001" s="150"/>
      <c r="AC1001" s="150"/>
      <c r="AD1001" s="150"/>
      <c r="AE1001" s="150"/>
    </row>
    <row r="1002" spans="1:31" ht="15">
      <c r="A1002" s="150"/>
      <c r="B1002" s="150"/>
      <c r="C1002" s="150"/>
      <c r="D1002" s="150"/>
      <c r="E1002" s="150"/>
      <c r="F1002" s="150"/>
      <c r="G1002" s="583"/>
      <c r="H1002" s="583"/>
      <c r="I1002" s="583"/>
      <c r="J1002" s="1767"/>
      <c r="K1002" s="1767"/>
      <c r="L1002" s="150"/>
      <c r="M1002" s="583"/>
      <c r="N1002" s="583"/>
      <c r="O1002" s="150"/>
      <c r="P1002" s="150"/>
      <c r="Q1002" s="150"/>
      <c r="R1002" s="150"/>
      <c r="S1002" s="150"/>
      <c r="T1002" s="150"/>
      <c r="U1002" s="150"/>
      <c r="V1002" s="150"/>
      <c r="W1002" s="150"/>
      <c r="X1002" s="150"/>
      <c r="Y1002" s="150"/>
      <c r="Z1002" s="150"/>
      <c r="AA1002" s="150"/>
      <c r="AB1002" s="150"/>
      <c r="AC1002" s="150"/>
      <c r="AD1002" s="150"/>
      <c r="AE1002" s="150"/>
    </row>
    <row r="1003" spans="1:31" ht="15">
      <c r="A1003" s="150"/>
      <c r="B1003" s="150"/>
      <c r="C1003" s="150"/>
      <c r="D1003" s="150"/>
      <c r="E1003" s="150"/>
      <c r="F1003" s="150"/>
      <c r="G1003" s="583"/>
      <c r="H1003" s="583"/>
      <c r="I1003" s="583"/>
      <c r="J1003" s="1767"/>
      <c r="K1003" s="1767"/>
      <c r="L1003" s="150"/>
      <c r="M1003" s="583"/>
      <c r="N1003" s="583"/>
      <c r="O1003" s="150"/>
      <c r="P1003" s="150"/>
      <c r="Q1003" s="150"/>
      <c r="R1003" s="150"/>
      <c r="S1003" s="150"/>
      <c r="T1003" s="150"/>
      <c r="U1003" s="150"/>
      <c r="V1003" s="150"/>
      <c r="W1003" s="150"/>
      <c r="X1003" s="150"/>
      <c r="Y1003" s="150"/>
      <c r="Z1003" s="150"/>
      <c r="AA1003" s="150"/>
      <c r="AB1003" s="150"/>
      <c r="AC1003" s="150"/>
      <c r="AD1003" s="150"/>
      <c r="AE1003" s="150"/>
    </row>
    <row r="1004" spans="1:31" ht="15">
      <c r="A1004" s="150"/>
      <c r="B1004" s="150"/>
      <c r="C1004" s="150"/>
      <c r="D1004" s="150"/>
      <c r="E1004" s="150"/>
      <c r="F1004" s="150"/>
      <c r="G1004" s="583"/>
      <c r="H1004" s="583"/>
      <c r="I1004" s="583"/>
      <c r="J1004" s="1767"/>
      <c r="K1004" s="1767"/>
      <c r="L1004" s="150"/>
      <c r="M1004" s="583"/>
      <c r="N1004" s="583"/>
      <c r="O1004" s="150"/>
      <c r="P1004" s="150"/>
      <c r="Q1004" s="150"/>
      <c r="R1004" s="150"/>
      <c r="S1004" s="150"/>
      <c r="T1004" s="150"/>
      <c r="U1004" s="150"/>
      <c r="V1004" s="150"/>
      <c r="W1004" s="150"/>
      <c r="X1004" s="150"/>
      <c r="Y1004" s="150"/>
      <c r="Z1004" s="150"/>
      <c r="AA1004" s="150"/>
      <c r="AB1004" s="150"/>
      <c r="AC1004" s="150"/>
      <c r="AD1004" s="150"/>
      <c r="AE1004" s="150"/>
    </row>
    <row r="1005" spans="1:31" ht="15">
      <c r="A1005" s="150"/>
      <c r="B1005" s="150"/>
      <c r="C1005" s="150"/>
      <c r="D1005" s="150"/>
      <c r="E1005" s="150"/>
      <c r="F1005" s="150"/>
      <c r="G1005" s="583"/>
      <c r="H1005" s="583"/>
      <c r="I1005" s="583"/>
      <c r="J1005" s="1767"/>
      <c r="K1005" s="1767"/>
      <c r="L1005" s="150"/>
      <c r="M1005" s="583"/>
      <c r="N1005" s="583"/>
      <c r="O1005" s="150"/>
      <c r="P1005" s="150"/>
      <c r="Q1005" s="150"/>
      <c r="R1005" s="150"/>
      <c r="S1005" s="150"/>
      <c r="T1005" s="150"/>
      <c r="U1005" s="150"/>
      <c r="V1005" s="150"/>
      <c r="W1005" s="150"/>
      <c r="X1005" s="150"/>
      <c r="Y1005" s="150"/>
      <c r="Z1005" s="150"/>
      <c r="AA1005" s="150"/>
      <c r="AB1005" s="150"/>
      <c r="AC1005" s="150"/>
      <c r="AD1005" s="150"/>
      <c r="AE1005" s="150"/>
    </row>
    <row r="1006" spans="1:31" ht="15">
      <c r="A1006" s="150"/>
      <c r="B1006" s="150"/>
      <c r="C1006" s="150"/>
      <c r="D1006" s="150"/>
      <c r="E1006" s="150"/>
      <c r="F1006" s="150"/>
      <c r="G1006" s="583"/>
      <c r="H1006" s="583"/>
      <c r="I1006" s="583"/>
      <c r="J1006" s="1767"/>
      <c r="K1006" s="1767"/>
      <c r="L1006" s="150"/>
      <c r="M1006" s="583"/>
      <c r="N1006" s="583"/>
      <c r="O1006" s="150"/>
      <c r="P1006" s="150"/>
      <c r="Q1006" s="150"/>
      <c r="R1006" s="150"/>
      <c r="S1006" s="150"/>
      <c r="T1006" s="150"/>
      <c r="U1006" s="150"/>
      <c r="V1006" s="150"/>
      <c r="W1006" s="150"/>
      <c r="X1006" s="150"/>
      <c r="Y1006" s="150"/>
      <c r="Z1006" s="150"/>
      <c r="AA1006" s="150"/>
      <c r="AB1006" s="150"/>
      <c r="AC1006" s="150"/>
      <c r="AD1006" s="150"/>
      <c r="AE1006" s="150"/>
    </row>
    <row r="1007" spans="1:31" ht="15">
      <c r="A1007" s="150"/>
      <c r="B1007" s="150"/>
      <c r="C1007" s="150"/>
      <c r="D1007" s="150"/>
      <c r="E1007" s="150"/>
      <c r="F1007" s="150"/>
      <c r="G1007" s="583"/>
      <c r="H1007" s="583"/>
      <c r="I1007" s="583"/>
      <c r="J1007" s="1767"/>
      <c r="K1007" s="1767"/>
      <c r="L1007" s="150"/>
      <c r="M1007" s="583"/>
      <c r="N1007" s="583"/>
      <c r="O1007" s="150"/>
      <c r="P1007" s="150"/>
      <c r="Q1007" s="150"/>
      <c r="R1007" s="150"/>
      <c r="S1007" s="150"/>
      <c r="T1007" s="150"/>
      <c r="U1007" s="150"/>
      <c r="V1007" s="150"/>
      <c r="W1007" s="150"/>
      <c r="X1007" s="150"/>
      <c r="Y1007" s="150"/>
      <c r="Z1007" s="150"/>
      <c r="AA1007" s="150"/>
      <c r="AB1007" s="150"/>
      <c r="AC1007" s="150"/>
      <c r="AD1007" s="150"/>
      <c r="AE1007" s="150"/>
    </row>
    <row r="1008" spans="1:31" ht="15">
      <c r="A1008" s="150"/>
      <c r="B1008" s="150"/>
      <c r="C1008" s="150"/>
      <c r="D1008" s="150"/>
      <c r="E1008" s="150"/>
      <c r="F1008" s="150"/>
      <c r="G1008" s="583"/>
      <c r="H1008" s="583"/>
      <c r="I1008" s="583"/>
      <c r="J1008" s="1767"/>
      <c r="K1008" s="1767"/>
      <c r="L1008" s="150"/>
      <c r="M1008" s="583"/>
      <c r="N1008" s="583"/>
      <c r="O1008" s="150"/>
      <c r="P1008" s="150"/>
      <c r="Q1008" s="150"/>
      <c r="R1008" s="150"/>
      <c r="S1008" s="150"/>
      <c r="T1008" s="150"/>
      <c r="U1008" s="150"/>
      <c r="V1008" s="150"/>
      <c r="W1008" s="150"/>
      <c r="X1008" s="150"/>
      <c r="Y1008" s="150"/>
      <c r="Z1008" s="150"/>
      <c r="AA1008" s="150"/>
      <c r="AB1008" s="150"/>
      <c r="AC1008" s="150"/>
      <c r="AD1008" s="150"/>
      <c r="AE1008" s="150"/>
    </row>
    <row r="1009" spans="1:31" ht="15">
      <c r="A1009" s="150"/>
      <c r="B1009" s="150"/>
      <c r="C1009" s="150"/>
      <c r="D1009" s="150"/>
      <c r="E1009" s="150"/>
      <c r="F1009" s="150"/>
      <c r="G1009" s="583"/>
      <c r="H1009" s="583"/>
      <c r="I1009" s="583"/>
      <c r="J1009" s="1767"/>
      <c r="K1009" s="1767"/>
      <c r="L1009" s="150"/>
      <c r="M1009" s="583"/>
      <c r="N1009" s="583"/>
      <c r="O1009" s="150"/>
      <c r="P1009" s="150"/>
      <c r="Q1009" s="150"/>
      <c r="R1009" s="150"/>
      <c r="S1009" s="150"/>
      <c r="T1009" s="150"/>
      <c r="U1009" s="150"/>
      <c r="V1009" s="150"/>
      <c r="W1009" s="150"/>
      <c r="X1009" s="150"/>
      <c r="Y1009" s="150"/>
      <c r="Z1009" s="150"/>
      <c r="AA1009" s="150"/>
      <c r="AB1009" s="150"/>
      <c r="AC1009" s="150"/>
      <c r="AD1009" s="150"/>
      <c r="AE1009" s="150"/>
    </row>
    <row r="1010" spans="1:31" ht="15">
      <c r="A1010" s="150"/>
      <c r="B1010" s="150"/>
      <c r="C1010" s="150"/>
      <c r="D1010" s="150"/>
      <c r="E1010" s="150"/>
      <c r="F1010" s="150"/>
      <c r="G1010" s="583"/>
      <c r="H1010" s="583"/>
      <c r="I1010" s="583"/>
      <c r="J1010" s="1767"/>
      <c r="K1010" s="1767"/>
      <c r="L1010" s="150"/>
      <c r="M1010" s="583"/>
      <c r="N1010" s="583"/>
      <c r="O1010" s="150"/>
      <c r="P1010" s="150"/>
      <c r="Q1010" s="150"/>
      <c r="R1010" s="150"/>
      <c r="S1010" s="150"/>
      <c r="T1010" s="150"/>
      <c r="U1010" s="150"/>
      <c r="V1010" s="150"/>
      <c r="W1010" s="150"/>
      <c r="X1010" s="150"/>
      <c r="Y1010" s="150"/>
      <c r="Z1010" s="150"/>
      <c r="AA1010" s="150"/>
      <c r="AB1010" s="150"/>
      <c r="AC1010" s="150"/>
      <c r="AD1010" s="150"/>
      <c r="AE1010" s="150"/>
    </row>
    <row r="1011" spans="1:31" ht="15">
      <c r="A1011" s="150"/>
      <c r="B1011" s="150"/>
      <c r="C1011" s="150"/>
      <c r="D1011" s="150"/>
      <c r="E1011" s="150"/>
      <c r="F1011" s="150"/>
      <c r="G1011" s="583"/>
      <c r="H1011" s="583"/>
      <c r="I1011" s="583"/>
      <c r="J1011" s="1767"/>
      <c r="K1011" s="1767"/>
      <c r="L1011" s="150"/>
      <c r="M1011" s="583"/>
      <c r="N1011" s="583"/>
      <c r="O1011" s="150"/>
      <c r="P1011" s="150"/>
      <c r="Q1011" s="150"/>
      <c r="R1011" s="150"/>
      <c r="S1011" s="150"/>
      <c r="T1011" s="150"/>
      <c r="U1011" s="150"/>
      <c r="V1011" s="150"/>
      <c r="W1011" s="150"/>
      <c r="X1011" s="150"/>
      <c r="Y1011" s="150"/>
      <c r="Z1011" s="150"/>
      <c r="AA1011" s="150"/>
      <c r="AB1011" s="150"/>
      <c r="AC1011" s="150"/>
      <c r="AD1011" s="150"/>
      <c r="AE1011" s="150"/>
    </row>
    <row r="1012" spans="1:31" ht="15">
      <c r="A1012" s="150"/>
      <c r="B1012" s="150"/>
      <c r="C1012" s="150"/>
      <c r="D1012" s="150"/>
      <c r="E1012" s="150"/>
      <c r="F1012" s="150"/>
      <c r="G1012" s="583"/>
      <c r="H1012" s="583"/>
      <c r="I1012" s="583"/>
      <c r="J1012" s="1767"/>
      <c r="K1012" s="1767"/>
      <c r="L1012" s="150"/>
      <c r="M1012" s="583"/>
      <c r="N1012" s="583"/>
      <c r="O1012" s="150"/>
      <c r="P1012" s="150"/>
      <c r="Q1012" s="150"/>
      <c r="R1012" s="150"/>
      <c r="S1012" s="150"/>
      <c r="T1012" s="150"/>
      <c r="U1012" s="150"/>
      <c r="V1012" s="150"/>
      <c r="W1012" s="150"/>
      <c r="X1012" s="150"/>
      <c r="Y1012" s="150"/>
      <c r="Z1012" s="150"/>
      <c r="AA1012" s="150"/>
      <c r="AB1012" s="150"/>
      <c r="AC1012" s="150"/>
      <c r="AD1012" s="150"/>
      <c r="AE1012" s="150"/>
    </row>
    <row r="1013" spans="1:31" ht="15">
      <c r="A1013" s="150"/>
      <c r="B1013" s="150"/>
      <c r="C1013" s="150"/>
      <c r="D1013" s="150"/>
      <c r="E1013" s="150"/>
      <c r="F1013" s="150"/>
      <c r="G1013" s="583"/>
      <c r="H1013" s="583"/>
      <c r="I1013" s="583"/>
      <c r="J1013" s="1767"/>
      <c r="K1013" s="1767"/>
      <c r="L1013" s="150"/>
      <c r="M1013" s="583"/>
      <c r="N1013" s="583"/>
      <c r="O1013" s="150"/>
      <c r="P1013" s="150"/>
      <c r="Q1013" s="150"/>
      <c r="R1013" s="150"/>
      <c r="S1013" s="150"/>
      <c r="T1013" s="150"/>
      <c r="U1013" s="150"/>
      <c r="V1013" s="150"/>
      <c r="W1013" s="150"/>
      <c r="X1013" s="150"/>
      <c r="Y1013" s="150"/>
      <c r="Z1013" s="150"/>
      <c r="AA1013" s="150"/>
      <c r="AB1013" s="150"/>
      <c r="AC1013" s="150"/>
      <c r="AD1013" s="150"/>
      <c r="AE1013" s="150"/>
    </row>
    <row r="1014" spans="1:31" ht="15">
      <c r="A1014" s="150"/>
      <c r="B1014" s="150"/>
      <c r="C1014" s="150"/>
      <c r="D1014" s="150"/>
      <c r="E1014" s="150"/>
      <c r="F1014" s="150"/>
      <c r="G1014" s="583"/>
      <c r="H1014" s="583"/>
      <c r="I1014" s="583"/>
      <c r="J1014" s="1767"/>
      <c r="K1014" s="1767"/>
      <c r="L1014" s="150"/>
      <c r="M1014" s="583"/>
      <c r="N1014" s="583"/>
      <c r="O1014" s="150"/>
      <c r="P1014" s="150"/>
      <c r="Q1014" s="150"/>
      <c r="R1014" s="150"/>
      <c r="Y1014" s="150"/>
      <c r="Z1014" s="150"/>
      <c r="AA1014" s="150"/>
      <c r="AB1014" s="150"/>
      <c r="AC1014" s="150"/>
      <c r="AD1014" s="150"/>
      <c r="AE1014" s="150"/>
    </row>
    <row r="1015" spans="1:31" ht="15">
      <c r="A1015" s="150"/>
      <c r="B1015" s="150"/>
      <c r="C1015" s="150"/>
      <c r="D1015" s="150"/>
      <c r="E1015" s="150"/>
      <c r="F1015" s="150"/>
      <c r="G1015" s="583"/>
      <c r="H1015" s="583"/>
      <c r="I1015" s="583"/>
      <c r="J1015" s="1767"/>
      <c r="K1015" s="1767"/>
      <c r="L1015" s="150"/>
      <c r="M1015" s="583"/>
      <c r="N1015" s="583"/>
      <c r="O1015" s="150"/>
      <c r="P1015" s="150"/>
      <c r="Q1015" s="150"/>
      <c r="R1015" s="150"/>
      <c r="Y1015" s="150"/>
      <c r="Z1015" s="150"/>
      <c r="AA1015" s="150"/>
      <c r="AB1015" s="150"/>
      <c r="AC1015" s="150"/>
      <c r="AD1015" s="150"/>
      <c r="AE1015" s="150"/>
    </row>
    <row r="1016" spans="1:31" ht="15">
      <c r="A1016" s="150"/>
      <c r="B1016" s="150"/>
      <c r="C1016" s="150"/>
      <c r="D1016" s="150"/>
      <c r="E1016" s="150"/>
      <c r="F1016" s="150"/>
      <c r="G1016" s="583"/>
      <c r="H1016" s="583"/>
      <c r="I1016" s="583"/>
      <c r="J1016" s="1767"/>
      <c r="K1016" s="1767"/>
      <c r="L1016" s="150"/>
      <c r="M1016" s="583"/>
      <c r="N1016" s="583"/>
      <c r="O1016" s="150"/>
      <c r="P1016" s="150"/>
      <c r="Q1016" s="150"/>
      <c r="R1016" s="150"/>
      <c r="Y1016" s="150"/>
      <c r="Z1016" s="150"/>
      <c r="AA1016" s="150"/>
      <c r="AB1016" s="150"/>
      <c r="AC1016" s="150"/>
      <c r="AD1016" s="150"/>
      <c r="AE1016" s="150"/>
    </row>
    <row r="1017" spans="1:31" ht="15">
      <c r="A1017" s="150"/>
      <c r="B1017" s="150"/>
      <c r="C1017" s="150"/>
      <c r="D1017" s="150"/>
      <c r="E1017" s="150"/>
      <c r="F1017" s="150"/>
      <c r="G1017" s="583"/>
      <c r="H1017" s="583"/>
      <c r="I1017" s="583"/>
      <c r="J1017" s="1767"/>
      <c r="K1017" s="1767"/>
      <c r="L1017" s="150"/>
      <c r="M1017" s="583"/>
      <c r="N1017" s="583"/>
      <c r="O1017" s="150"/>
      <c r="P1017" s="150"/>
      <c r="Q1017" s="150"/>
      <c r="R1017" s="150"/>
      <c r="Y1017" s="150"/>
      <c r="Z1017" s="150"/>
      <c r="AA1017" s="150"/>
      <c r="AB1017" s="150"/>
      <c r="AC1017" s="150"/>
      <c r="AD1017" s="150"/>
      <c r="AE1017" s="150"/>
    </row>
    <row r="1018" spans="1:31" ht="15">
      <c r="A1018" s="150"/>
      <c r="B1018" s="150"/>
      <c r="C1018" s="150"/>
      <c r="D1018" s="150"/>
      <c r="E1018" s="150"/>
      <c r="F1018" s="150"/>
      <c r="G1018" s="583"/>
      <c r="H1018" s="583"/>
      <c r="I1018" s="583"/>
      <c r="J1018" s="1767"/>
      <c r="K1018" s="1767"/>
      <c r="L1018" s="150"/>
      <c r="M1018" s="583"/>
      <c r="N1018" s="583"/>
      <c r="O1018" s="150"/>
      <c r="P1018" s="150"/>
      <c r="Q1018" s="150"/>
      <c r="R1018" s="150"/>
      <c r="Y1018" s="150"/>
      <c r="Z1018" s="150"/>
      <c r="AA1018" s="150"/>
      <c r="AB1018" s="150"/>
      <c r="AC1018" s="150"/>
      <c r="AD1018" s="150"/>
      <c r="AE1018" s="150"/>
    </row>
    <row r="1019" spans="1:31" ht="15">
      <c r="A1019" s="150"/>
      <c r="B1019" s="150"/>
      <c r="C1019" s="150"/>
      <c r="D1019" s="150"/>
      <c r="E1019" s="150"/>
      <c r="F1019" s="150"/>
      <c r="G1019" s="583"/>
      <c r="H1019" s="583"/>
      <c r="I1019" s="583"/>
      <c r="J1019" s="1767"/>
      <c r="K1019" s="1767"/>
      <c r="L1019" s="150"/>
      <c r="M1019" s="583"/>
      <c r="N1019" s="583"/>
      <c r="O1019" s="150"/>
      <c r="P1019" s="150"/>
      <c r="Q1019" s="150"/>
      <c r="R1019" s="150"/>
      <c r="Y1019" s="150"/>
      <c r="Z1019" s="150"/>
      <c r="AA1019" s="150"/>
      <c r="AB1019" s="150"/>
      <c r="AC1019" s="150"/>
      <c r="AD1019" s="150"/>
      <c r="AE1019" s="150"/>
    </row>
    <row r="1020" spans="1:31" ht="15">
      <c r="A1020" s="150"/>
      <c r="B1020" s="150"/>
      <c r="C1020" s="150"/>
      <c r="D1020" s="150"/>
      <c r="E1020" s="150"/>
      <c r="F1020" s="150"/>
      <c r="G1020" s="583"/>
      <c r="H1020" s="583"/>
      <c r="I1020" s="583"/>
      <c r="J1020" s="1767"/>
      <c r="K1020" s="1767"/>
      <c r="L1020" s="150"/>
      <c r="M1020" s="583"/>
      <c r="N1020" s="583"/>
      <c r="O1020" s="150"/>
      <c r="P1020" s="150"/>
      <c r="Q1020" s="150"/>
      <c r="R1020" s="150"/>
      <c r="Y1020" s="150"/>
      <c r="Z1020" s="150"/>
      <c r="AA1020" s="150"/>
      <c r="AB1020" s="150"/>
      <c r="AC1020" s="150"/>
      <c r="AD1020" s="150"/>
      <c r="AE1020" s="150"/>
    </row>
    <row r="1021" spans="1:31" ht="15">
      <c r="A1021" s="150"/>
      <c r="B1021" s="150"/>
      <c r="C1021" s="150"/>
      <c r="D1021" s="150"/>
      <c r="E1021" s="150"/>
      <c r="F1021" s="150"/>
      <c r="G1021" s="583"/>
      <c r="H1021" s="583"/>
      <c r="I1021" s="583"/>
      <c r="J1021" s="1767"/>
      <c r="K1021" s="1767"/>
      <c r="L1021" s="150"/>
      <c r="M1021" s="583"/>
      <c r="N1021" s="583"/>
      <c r="O1021" s="150"/>
      <c r="P1021" s="150"/>
      <c r="Q1021" s="150"/>
      <c r="R1021" s="150"/>
      <c r="Y1021" s="150"/>
      <c r="Z1021" s="150"/>
      <c r="AA1021" s="150"/>
      <c r="AB1021" s="150"/>
      <c r="AC1021" s="150"/>
      <c r="AD1021" s="150"/>
      <c r="AE1021" s="150"/>
    </row>
    <row r="1022" spans="1:31" ht="15">
      <c r="O1022" s="150"/>
      <c r="P1022" s="150"/>
      <c r="Q1022" s="150"/>
      <c r="R1022" s="150"/>
      <c r="Y1022" s="150"/>
      <c r="Z1022" s="150"/>
      <c r="AA1022" s="150"/>
      <c r="AB1022" s="150"/>
      <c r="AC1022" s="150"/>
      <c r="AD1022" s="150"/>
      <c r="AE1022" s="150"/>
    </row>
  </sheetData>
  <mergeCells count="2">
    <mergeCell ref="C2:H2"/>
    <mergeCell ref="J2:N2"/>
  </mergeCells>
  <hyperlinks>
    <hyperlink ref="P9" r:id="rId1" location="data" xr:uid="{00000000-0004-0000-1300-000000000000}"/>
    <hyperlink ref="P14" r:id="rId2" location="overview" xr:uid="{00000000-0004-0000-1300-000001000000}"/>
  </hyperlinks>
  <pageMargins left="0.7" right="0.7" top="0.75" bottom="0.75" header="0.3" footer="0.3"/>
  <pageSetup orientation="portrait" horizontalDpi="1200" verticalDpi="1200"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U1969"/>
  <sheetViews>
    <sheetView topLeftCell="A146" workbookViewId="0">
      <selection activeCell="G164" sqref="G164"/>
    </sheetView>
  </sheetViews>
  <sheetFormatPr defaultColWidth="14.28515625" defaultRowHeight="15" customHeight="1"/>
  <cols>
    <col min="1" max="1" width="56.28515625" bestFit="1" customWidth="1"/>
    <col min="2" max="2" width="8" style="622" customWidth="1"/>
    <col min="3" max="3" width="11.28515625" style="825" customWidth="1"/>
    <col min="4" max="4" width="12.28515625" style="626" customWidth="1"/>
    <col min="5" max="5" width="13.28515625" style="825" customWidth="1"/>
    <col min="6" max="6" width="9.7109375" style="431" customWidth="1"/>
    <col min="7" max="7" width="29.42578125" style="1502" customWidth="1"/>
    <col min="8" max="8" width="28.42578125" style="626" customWidth="1"/>
    <col min="9" max="9" width="9.7109375" style="626" customWidth="1"/>
    <col min="10" max="10" width="24" bestFit="1" customWidth="1"/>
    <col min="11" max="12" width="9.28515625" customWidth="1"/>
    <col min="13" max="13" width="10.28515625" bestFit="1" customWidth="1"/>
    <col min="14" max="21" width="9.28515625" customWidth="1"/>
  </cols>
  <sheetData>
    <row r="1" spans="1:21" ht="12.75" customHeight="1">
      <c r="A1" s="936" t="s">
        <v>811</v>
      </c>
      <c r="B1" s="803"/>
      <c r="C1" s="819"/>
      <c r="D1" s="837"/>
      <c r="E1" s="819"/>
      <c r="F1" s="1498"/>
      <c r="G1" s="1504" t="s">
        <v>812</v>
      </c>
      <c r="H1" s="1500" t="s">
        <v>812</v>
      </c>
      <c r="I1" s="1500"/>
      <c r="J1" s="1600" t="s">
        <v>813</v>
      </c>
      <c r="K1" s="1355"/>
      <c r="L1" s="309"/>
      <c r="M1" s="309"/>
      <c r="N1" s="309"/>
      <c r="O1" s="309"/>
      <c r="P1" s="309"/>
      <c r="Q1" s="309"/>
      <c r="R1" s="309"/>
      <c r="S1" s="309"/>
      <c r="T1" s="309"/>
      <c r="U1" s="309"/>
    </row>
    <row r="2" spans="1:21" ht="12.75" customHeight="1">
      <c r="A2" s="985"/>
      <c r="B2" s="625"/>
      <c r="C2" s="623"/>
      <c r="D2" s="792"/>
      <c r="E2" s="623"/>
      <c r="F2" s="546"/>
      <c r="G2" s="1505" t="s">
        <v>814</v>
      </c>
      <c r="H2" s="1501" t="s">
        <v>814</v>
      </c>
      <c r="I2" s="1501"/>
      <c r="J2" s="263" t="s">
        <v>815</v>
      </c>
      <c r="K2" s="271"/>
      <c r="L2" s="309"/>
      <c r="M2" s="309"/>
      <c r="N2" s="309"/>
      <c r="O2" s="309"/>
      <c r="P2" s="309"/>
      <c r="Q2" s="309"/>
      <c r="R2" s="309"/>
      <c r="S2" s="309"/>
      <c r="T2" s="309"/>
      <c r="U2" s="309"/>
    </row>
    <row r="3" spans="1:21" ht="12.75" customHeight="1">
      <c r="A3" s="985"/>
      <c r="B3" s="625"/>
      <c r="C3" s="623"/>
      <c r="D3" s="792"/>
      <c r="E3" s="623"/>
      <c r="F3" s="546"/>
      <c r="G3" s="1505"/>
      <c r="H3" s="1501"/>
      <c r="I3" s="1501"/>
      <c r="J3" s="263"/>
      <c r="K3" s="271"/>
      <c r="L3" s="309"/>
      <c r="M3" s="309"/>
      <c r="N3" s="309"/>
      <c r="O3" s="309"/>
      <c r="P3" s="309"/>
      <c r="Q3" s="309"/>
      <c r="R3" s="309"/>
      <c r="S3" s="309"/>
      <c r="T3" s="309"/>
      <c r="U3" s="309"/>
    </row>
    <row r="4" spans="1:21" ht="14.25" customHeight="1">
      <c r="A4" s="870" t="s">
        <v>816</v>
      </c>
      <c r="B4" s="804" t="s">
        <v>9</v>
      </c>
      <c r="C4" s="820" t="s">
        <v>10</v>
      </c>
      <c r="D4" s="838" t="s">
        <v>817</v>
      </c>
      <c r="E4" s="820" t="s">
        <v>11</v>
      </c>
      <c r="F4" s="1499" t="s">
        <v>8</v>
      </c>
      <c r="G4" s="1506" t="s">
        <v>818</v>
      </c>
      <c r="H4" s="1525" t="s">
        <v>819</v>
      </c>
      <c r="I4" s="1500"/>
      <c r="J4" s="1356"/>
      <c r="K4" s="1355"/>
      <c r="L4" s="309"/>
      <c r="M4" s="309"/>
      <c r="N4" s="309"/>
      <c r="O4" s="309"/>
      <c r="P4" s="309"/>
      <c r="Q4" s="309"/>
      <c r="R4" s="309"/>
      <c r="S4" s="309"/>
      <c r="T4" s="309"/>
      <c r="U4" s="309"/>
    </row>
    <row r="5" spans="1:21" ht="14.25" customHeight="1">
      <c r="A5" s="871">
        <v>45268</v>
      </c>
      <c r="B5" s="784"/>
      <c r="C5" s="785"/>
      <c r="D5" s="786"/>
      <c r="E5" s="785"/>
      <c r="F5" s="1893"/>
      <c r="G5" s="1505"/>
      <c r="H5" s="1526"/>
      <c r="I5" s="1526"/>
      <c r="J5" s="1894"/>
      <c r="K5" s="261"/>
      <c r="L5" s="1895"/>
      <c r="M5" s="1895"/>
      <c r="N5" s="1895"/>
      <c r="O5" s="1895"/>
      <c r="P5" s="1895"/>
      <c r="Q5" s="1895"/>
      <c r="R5" s="1895"/>
      <c r="S5" s="1895"/>
      <c r="T5" s="1895"/>
      <c r="U5" s="1895"/>
    </row>
    <row r="6" spans="1:21" ht="14.25" customHeight="1">
      <c r="A6" s="868" t="s">
        <v>820</v>
      </c>
      <c r="B6" s="784"/>
      <c r="C6" s="785"/>
      <c r="D6" s="786"/>
      <c r="E6" s="785"/>
      <c r="F6" s="1893"/>
      <c r="G6" s="1505"/>
      <c r="H6" s="1526"/>
      <c r="I6" s="1526"/>
      <c r="J6" s="1894"/>
      <c r="K6" s="261"/>
      <c r="L6" s="1895"/>
      <c r="M6" s="1895"/>
      <c r="N6" s="1895"/>
      <c r="O6" s="1895"/>
      <c r="P6" s="1895"/>
      <c r="Q6" s="1895"/>
      <c r="R6" s="1895"/>
      <c r="S6" s="1895"/>
      <c r="T6" s="1895"/>
      <c r="U6" s="1895"/>
    </row>
    <row r="7" spans="1:21" ht="14.25" customHeight="1">
      <c r="A7" s="869" t="s">
        <v>1270</v>
      </c>
      <c r="B7" s="1774">
        <v>94</v>
      </c>
      <c r="C7" s="1776">
        <v>37.96</v>
      </c>
      <c r="D7" s="1776">
        <v>0</v>
      </c>
      <c r="E7" s="1776">
        <f>B7*C7</f>
        <v>3568.2400000000002</v>
      </c>
      <c r="F7" s="1896" t="s">
        <v>611</v>
      </c>
      <c r="G7" s="1505"/>
      <c r="H7" s="1526"/>
      <c r="I7" s="1526"/>
      <c r="J7" s="1894"/>
      <c r="K7" s="261"/>
      <c r="L7" s="1895"/>
      <c r="M7" s="1895"/>
      <c r="N7" s="1895"/>
      <c r="O7" s="1895"/>
      <c r="P7" s="1895"/>
      <c r="Q7" s="1895"/>
      <c r="R7" s="1895"/>
      <c r="S7" s="1895"/>
      <c r="T7" s="1895"/>
      <c r="U7" s="1895"/>
    </row>
    <row r="8" spans="1:21" ht="14.25" customHeight="1">
      <c r="A8" s="869" t="s">
        <v>681</v>
      </c>
      <c r="B8" s="621">
        <v>7</v>
      </c>
      <c r="C8" s="792">
        <v>143.91999999999999</v>
      </c>
      <c r="D8" s="792">
        <v>0</v>
      </c>
      <c r="E8" s="1776">
        <f t="shared" ref="E8:E22" si="0">B8*C8</f>
        <v>1007.4399999999999</v>
      </c>
      <c r="F8" s="546" t="s">
        <v>682</v>
      </c>
      <c r="G8" s="1505"/>
      <c r="H8" s="1526"/>
      <c r="I8" s="1526"/>
      <c r="J8" s="1601"/>
      <c r="K8" s="261"/>
      <c r="L8" s="309"/>
      <c r="M8" s="309"/>
      <c r="N8" s="309"/>
      <c r="O8" s="309"/>
      <c r="P8" s="309"/>
      <c r="Q8" s="309"/>
      <c r="R8" s="309"/>
      <c r="S8" s="309"/>
      <c r="T8" s="309"/>
      <c r="U8" s="309"/>
    </row>
    <row r="9" spans="1:21" ht="14.25" customHeight="1">
      <c r="A9" s="869" t="s">
        <v>828</v>
      </c>
      <c r="B9" s="1774">
        <v>80</v>
      </c>
      <c r="C9" s="1906">
        <v>50.69</v>
      </c>
      <c r="D9" s="1906">
        <v>0</v>
      </c>
      <c r="E9" s="1776">
        <f t="shared" si="0"/>
        <v>4055.2</v>
      </c>
      <c r="F9" s="1775" t="s">
        <v>762</v>
      </c>
      <c r="G9" s="1505"/>
      <c r="H9" s="1526"/>
      <c r="I9" s="1526"/>
      <c r="J9" s="1601"/>
      <c r="K9" s="261"/>
      <c r="L9" s="309"/>
      <c r="M9" s="309"/>
      <c r="N9" s="309"/>
      <c r="O9" s="309"/>
      <c r="P9" s="309"/>
      <c r="Q9" s="309"/>
      <c r="R9" s="309"/>
      <c r="S9" s="309"/>
      <c r="T9" s="309"/>
      <c r="U9" s="309"/>
    </row>
    <row r="10" spans="1:21" ht="14.25" customHeight="1">
      <c r="A10" s="1957" t="s">
        <v>1271</v>
      </c>
      <c r="B10" s="621">
        <v>62</v>
      </c>
      <c r="C10" s="792">
        <v>48.67</v>
      </c>
      <c r="D10" s="792">
        <v>0</v>
      </c>
      <c r="E10" s="1776">
        <f t="shared" si="0"/>
        <v>3017.54</v>
      </c>
      <c r="F10" s="546" t="s">
        <v>698</v>
      </c>
      <c r="G10" s="1505"/>
      <c r="H10" s="1526"/>
      <c r="I10" s="1526"/>
      <c r="J10" s="1601"/>
      <c r="K10" s="261"/>
      <c r="L10" s="309"/>
      <c r="M10" s="309"/>
      <c r="N10" s="309"/>
      <c r="O10" s="309"/>
      <c r="P10" s="309"/>
      <c r="Q10" s="309"/>
      <c r="R10" s="309"/>
      <c r="S10" s="309"/>
      <c r="T10" s="309"/>
      <c r="U10" s="309"/>
    </row>
    <row r="11" spans="1:21" ht="14.25" customHeight="1">
      <c r="A11" s="871" t="s">
        <v>824</v>
      </c>
      <c r="B11" s="621"/>
      <c r="C11" s="792"/>
      <c r="D11" s="792"/>
      <c r="E11" s="1776"/>
      <c r="F11" s="148"/>
      <c r="G11" s="1505"/>
      <c r="H11" s="1526"/>
      <c r="I11" s="1526"/>
      <c r="J11" s="1894"/>
      <c r="K11" s="261"/>
      <c r="L11" s="1895"/>
      <c r="M11" s="1895"/>
      <c r="N11" s="1895"/>
      <c r="O11" s="1895"/>
      <c r="P11" s="1895"/>
      <c r="Q11" s="1895"/>
      <c r="R11" s="1895"/>
      <c r="S11" s="1895"/>
      <c r="T11" s="1895"/>
      <c r="U11" s="1895"/>
    </row>
    <row r="12" spans="1:21" ht="14.25" customHeight="1">
      <c r="A12" s="869" t="s">
        <v>1272</v>
      </c>
      <c r="B12" s="621">
        <v>80</v>
      </c>
      <c r="C12" s="792">
        <v>42.01</v>
      </c>
      <c r="D12" s="792">
        <v>0</v>
      </c>
      <c r="E12" s="1776">
        <f t="shared" si="0"/>
        <v>3360.7999999999997</v>
      </c>
      <c r="F12" s="148" t="s">
        <v>1282</v>
      </c>
      <c r="G12" s="1505"/>
      <c r="H12" s="1526"/>
      <c r="I12" s="1526"/>
      <c r="J12" s="1894"/>
      <c r="K12" s="261"/>
      <c r="L12" s="1895"/>
      <c r="M12" s="1895"/>
      <c r="N12" s="1895"/>
      <c r="O12" s="1895"/>
      <c r="P12" s="1895"/>
      <c r="Q12" s="1895"/>
      <c r="R12" s="1895"/>
      <c r="S12" s="1895"/>
      <c r="T12" s="1895"/>
      <c r="U12" s="1895"/>
    </row>
    <row r="13" spans="1:21" ht="14.25" customHeight="1">
      <c r="A13" s="869" t="s">
        <v>1273</v>
      </c>
      <c r="B13" s="1774">
        <v>18</v>
      </c>
      <c r="C13" s="1776">
        <v>329.08</v>
      </c>
      <c r="D13" s="1776">
        <v>0</v>
      </c>
      <c r="E13" s="1776">
        <f t="shared" si="0"/>
        <v>5923.44</v>
      </c>
      <c r="F13" s="1896" t="s">
        <v>728</v>
      </c>
      <c r="G13" s="1505"/>
      <c r="H13" s="1526"/>
      <c r="I13" s="1526"/>
      <c r="J13" s="1894"/>
      <c r="K13" s="261"/>
      <c r="L13" s="1895"/>
      <c r="M13" s="1895"/>
      <c r="N13" s="1895"/>
      <c r="O13" s="1895"/>
      <c r="P13" s="1895"/>
      <c r="Q13" s="1895"/>
      <c r="R13" s="1895"/>
      <c r="S13" s="1895"/>
      <c r="T13" s="1895"/>
      <c r="U13" s="1895"/>
    </row>
    <row r="14" spans="1:21" ht="14.25" customHeight="1">
      <c r="A14" s="869" t="s">
        <v>1274</v>
      </c>
      <c r="B14" s="621">
        <v>20</v>
      </c>
      <c r="C14" s="792">
        <v>135.30000000000001</v>
      </c>
      <c r="D14" s="792">
        <v>0</v>
      </c>
      <c r="E14" s="1776">
        <f t="shared" si="0"/>
        <v>2706</v>
      </c>
      <c r="F14" s="546" t="s">
        <v>675</v>
      </c>
      <c r="G14" s="1505"/>
      <c r="H14" s="1526"/>
      <c r="I14" s="1526"/>
      <c r="J14" s="1601"/>
      <c r="K14" s="261"/>
      <c r="L14" s="309"/>
      <c r="M14" s="309"/>
      <c r="N14" s="309"/>
      <c r="O14" s="309"/>
      <c r="P14" s="309"/>
      <c r="Q14" s="309"/>
      <c r="R14" s="309"/>
      <c r="S14" s="309"/>
      <c r="T14" s="309"/>
      <c r="U14" s="309"/>
    </row>
    <row r="15" spans="1:21" ht="14.25" customHeight="1">
      <c r="A15" s="869" t="s">
        <v>1275</v>
      </c>
      <c r="B15" s="621">
        <v>101</v>
      </c>
      <c r="C15" s="792">
        <v>44.91</v>
      </c>
      <c r="D15" s="792">
        <v>0</v>
      </c>
      <c r="E15" s="1776">
        <f t="shared" si="0"/>
        <v>4535.91</v>
      </c>
      <c r="F15" s="546" t="s">
        <v>1283</v>
      </c>
      <c r="G15" s="1505"/>
      <c r="H15" s="1526"/>
      <c r="I15" s="1526"/>
      <c r="J15" s="1601"/>
      <c r="K15" s="261"/>
      <c r="L15" s="309"/>
      <c r="M15" s="309"/>
      <c r="N15" s="309"/>
      <c r="O15" s="309"/>
      <c r="P15" s="309"/>
      <c r="Q15" s="309"/>
      <c r="R15" s="309"/>
      <c r="S15" s="309"/>
      <c r="T15" s="309"/>
      <c r="U15" s="309"/>
    </row>
    <row r="16" spans="1:21" ht="14.25" customHeight="1">
      <c r="A16" s="869" t="s">
        <v>1276</v>
      </c>
      <c r="B16" s="1774">
        <v>6</v>
      </c>
      <c r="C16" s="1906">
        <v>255.04</v>
      </c>
      <c r="D16" s="1906">
        <v>0</v>
      </c>
      <c r="E16" s="1776">
        <f t="shared" si="0"/>
        <v>1530.24</v>
      </c>
      <c r="F16" s="1775" t="s">
        <v>468</v>
      </c>
      <c r="G16" s="1505"/>
      <c r="H16" s="1526"/>
      <c r="I16" s="1526"/>
      <c r="J16" s="1601"/>
      <c r="K16" s="261"/>
      <c r="L16" s="309"/>
      <c r="M16" s="309"/>
      <c r="N16" s="309"/>
      <c r="O16" s="309"/>
      <c r="P16" s="309"/>
      <c r="Q16" s="309"/>
      <c r="R16" s="309"/>
      <c r="S16" s="309"/>
      <c r="T16" s="309"/>
      <c r="U16" s="309"/>
    </row>
    <row r="17" spans="1:21" ht="14.25" customHeight="1">
      <c r="A17" s="1957" t="s">
        <v>1278</v>
      </c>
      <c r="B17" s="621">
        <v>31</v>
      </c>
      <c r="C17" s="792">
        <v>172.81</v>
      </c>
      <c r="D17" s="792">
        <v>0</v>
      </c>
      <c r="E17" s="1776">
        <f t="shared" si="0"/>
        <v>5357.11</v>
      </c>
      <c r="F17" s="546" t="s">
        <v>1253</v>
      </c>
      <c r="G17" s="1505"/>
      <c r="H17" s="1526"/>
      <c r="I17" s="1526"/>
      <c r="J17" s="1601"/>
      <c r="K17" s="261"/>
      <c r="L17" s="309"/>
      <c r="M17" s="309"/>
      <c r="N17" s="309"/>
      <c r="O17" s="309"/>
      <c r="P17" s="309"/>
      <c r="Q17" s="309"/>
      <c r="R17" s="309"/>
      <c r="S17" s="309"/>
      <c r="T17" s="309"/>
      <c r="U17" s="309"/>
    </row>
    <row r="18" spans="1:21" ht="14.25" customHeight="1">
      <c r="A18" s="1957" t="s">
        <v>1067</v>
      </c>
      <c r="B18" s="621">
        <v>10</v>
      </c>
      <c r="C18" s="792">
        <v>547.82000000000005</v>
      </c>
      <c r="D18" s="792">
        <v>0</v>
      </c>
      <c r="E18" s="1776">
        <f t="shared" si="0"/>
        <v>5478.2000000000007</v>
      </c>
      <c r="F18" s="546" t="s">
        <v>173</v>
      </c>
      <c r="G18" s="1505"/>
      <c r="H18" s="1526"/>
      <c r="I18" s="1526"/>
      <c r="J18" s="1601"/>
      <c r="K18" s="261"/>
      <c r="L18" s="309"/>
      <c r="M18" s="309"/>
      <c r="N18" s="309"/>
      <c r="O18" s="309"/>
      <c r="P18" s="309"/>
      <c r="Q18" s="309"/>
      <c r="R18" s="309"/>
      <c r="S18" s="309"/>
      <c r="T18" s="309"/>
      <c r="U18" s="309"/>
    </row>
    <row r="19" spans="1:21" ht="14.25" customHeight="1">
      <c r="A19" s="1957" t="s">
        <v>1279</v>
      </c>
      <c r="B19" s="621">
        <v>32</v>
      </c>
      <c r="C19" s="792">
        <v>194.97</v>
      </c>
      <c r="D19" s="792">
        <v>0</v>
      </c>
      <c r="E19" s="1776">
        <f t="shared" si="0"/>
        <v>6239.04</v>
      </c>
      <c r="F19" s="546" t="s">
        <v>1284</v>
      </c>
      <c r="G19" s="1505"/>
      <c r="H19" s="1526"/>
      <c r="I19" s="1526"/>
      <c r="J19" s="1601"/>
      <c r="K19" s="261"/>
      <c r="L19" s="309"/>
      <c r="M19" s="309"/>
      <c r="N19" s="309"/>
      <c r="O19" s="309"/>
      <c r="P19" s="309"/>
      <c r="Q19" s="309"/>
      <c r="R19" s="309"/>
      <c r="S19" s="309"/>
      <c r="T19" s="309"/>
      <c r="U19" s="309"/>
    </row>
    <row r="20" spans="1:21" ht="14.25" customHeight="1">
      <c r="A20" s="1957" t="s">
        <v>1062</v>
      </c>
      <c r="B20" s="621">
        <v>10</v>
      </c>
      <c r="C20" s="792">
        <v>372.94</v>
      </c>
      <c r="D20" s="792">
        <v>0</v>
      </c>
      <c r="E20" s="1776">
        <f t="shared" si="0"/>
        <v>3729.4</v>
      </c>
      <c r="F20" s="546" t="s">
        <v>41</v>
      </c>
      <c r="G20" s="1505"/>
      <c r="H20" s="1526"/>
      <c r="I20" s="1526"/>
      <c r="J20" s="1601"/>
      <c r="K20" s="261"/>
      <c r="L20" s="309"/>
      <c r="M20" s="309"/>
      <c r="N20" s="309"/>
      <c r="O20" s="309"/>
      <c r="P20" s="309"/>
      <c r="Q20" s="309"/>
      <c r="R20" s="309"/>
      <c r="S20" s="309"/>
      <c r="T20" s="309"/>
      <c r="U20" s="309"/>
    </row>
    <row r="21" spans="1:21" ht="14.25" customHeight="1">
      <c r="A21" s="1957" t="s">
        <v>1280</v>
      </c>
      <c r="B21" s="621">
        <v>19</v>
      </c>
      <c r="C21" s="792">
        <v>251.33</v>
      </c>
      <c r="D21" s="792">
        <v>0</v>
      </c>
      <c r="E21" s="1776">
        <f t="shared" si="0"/>
        <v>4775.2700000000004</v>
      </c>
      <c r="F21" s="546" t="s">
        <v>1285</v>
      </c>
      <c r="G21" s="1505"/>
      <c r="H21" s="1526"/>
      <c r="I21" s="1526"/>
      <c r="J21" s="1601"/>
      <c r="K21" s="261"/>
      <c r="L21" s="309"/>
      <c r="M21" s="309"/>
      <c r="N21" s="309"/>
      <c r="O21" s="309"/>
      <c r="P21" s="309"/>
      <c r="Q21" s="309"/>
      <c r="R21" s="309"/>
      <c r="S21" s="309"/>
      <c r="T21" s="309"/>
      <c r="U21" s="309"/>
    </row>
    <row r="22" spans="1:21" ht="14.25" customHeight="1">
      <c r="A22" s="1957" t="s">
        <v>1281</v>
      </c>
      <c r="B22" s="621">
        <v>91</v>
      </c>
      <c r="C22" s="792">
        <v>76.930000000000007</v>
      </c>
      <c r="D22" s="792">
        <v>0</v>
      </c>
      <c r="E22" s="1776">
        <f t="shared" si="0"/>
        <v>7000.630000000001</v>
      </c>
      <c r="F22" s="546" t="s">
        <v>1286</v>
      </c>
      <c r="G22" s="1505"/>
      <c r="H22" s="1526"/>
      <c r="I22" s="1526"/>
      <c r="J22" s="1601"/>
      <c r="K22" s="261"/>
      <c r="L22" s="309"/>
      <c r="M22" s="309"/>
      <c r="N22" s="309"/>
      <c r="O22" s="309"/>
      <c r="P22" s="309"/>
      <c r="Q22" s="309"/>
      <c r="R22" s="309"/>
      <c r="S22" s="309"/>
      <c r="T22" s="309"/>
      <c r="U22" s="309"/>
    </row>
    <row r="23" spans="1:21" ht="14.25" customHeight="1">
      <c r="A23" s="1929"/>
      <c r="B23" s="621"/>
      <c r="C23" s="623"/>
      <c r="D23" s="792"/>
      <c r="E23" s="623"/>
      <c r="F23" s="546"/>
      <c r="G23" s="1505"/>
      <c r="H23" s="1526"/>
      <c r="I23" s="1526"/>
      <c r="J23" s="1601"/>
      <c r="K23" s="261"/>
      <c r="L23" s="309"/>
      <c r="M23" s="309"/>
      <c r="N23" s="309"/>
      <c r="O23" s="309"/>
      <c r="P23" s="309"/>
      <c r="Q23" s="309"/>
      <c r="R23" s="309"/>
      <c r="S23" s="309"/>
      <c r="T23" s="309"/>
      <c r="U23" s="309"/>
    </row>
    <row r="24" spans="1:21" ht="14.25" customHeight="1">
      <c r="A24" s="871" t="s">
        <v>1277</v>
      </c>
      <c r="B24" s="784"/>
      <c r="C24" s="785"/>
      <c r="D24" s="786"/>
      <c r="E24" s="785"/>
      <c r="F24" s="1893"/>
      <c r="G24" s="1505"/>
      <c r="H24" s="1526"/>
      <c r="I24" s="1526"/>
      <c r="J24" s="1894"/>
      <c r="K24" s="261"/>
      <c r="L24" s="1895"/>
      <c r="M24" s="1895"/>
      <c r="N24" s="1895"/>
      <c r="O24" s="1895"/>
      <c r="P24" s="1895"/>
      <c r="Q24" s="1895"/>
      <c r="R24" s="1895"/>
      <c r="S24" s="1895"/>
      <c r="T24" s="1895"/>
      <c r="U24" s="1895"/>
    </row>
    <row r="25" spans="1:21" ht="14.25" customHeight="1">
      <c r="A25" s="868" t="s">
        <v>820</v>
      </c>
      <c r="B25" s="784"/>
      <c r="C25" s="785"/>
      <c r="D25" s="786"/>
      <c r="E25" s="785"/>
      <c r="F25" s="781"/>
      <c r="G25" s="1505"/>
      <c r="H25" s="1526"/>
      <c r="I25" s="1526"/>
      <c r="J25" s="1601"/>
      <c r="K25" s="261"/>
      <c r="L25" s="309"/>
      <c r="M25" s="309"/>
      <c r="N25" s="309"/>
      <c r="O25" s="309"/>
      <c r="P25" s="309"/>
      <c r="Q25" s="309"/>
      <c r="R25" s="309"/>
      <c r="S25" s="309"/>
      <c r="T25" s="309"/>
      <c r="U25" s="309"/>
    </row>
    <row r="26" spans="1:21" ht="14.25" customHeight="1">
      <c r="A26" s="869" t="s">
        <v>1261</v>
      </c>
      <c r="B26" s="1774">
        <v>40</v>
      </c>
      <c r="C26" s="1906">
        <v>333.33</v>
      </c>
      <c r="D26" s="1906">
        <v>0</v>
      </c>
      <c r="E26" s="1906">
        <f>B26*C26</f>
        <v>13333.199999999999</v>
      </c>
      <c r="F26" s="1775" t="s">
        <v>1260</v>
      </c>
      <c r="G26" s="1505"/>
      <c r="H26" s="1526"/>
      <c r="I26" s="1526"/>
      <c r="J26" s="1601"/>
      <c r="K26" s="261"/>
      <c r="L26" s="309"/>
      <c r="M26" s="309"/>
      <c r="N26" s="309"/>
      <c r="O26" s="309"/>
      <c r="P26" s="309"/>
      <c r="Q26" s="309"/>
      <c r="R26" s="309"/>
      <c r="S26" s="309"/>
      <c r="T26" s="309"/>
      <c r="U26" s="309"/>
    </row>
    <row r="27" spans="1:21" ht="14.25" customHeight="1">
      <c r="A27" s="869" t="s">
        <v>469</v>
      </c>
      <c r="B27" s="1774">
        <v>30</v>
      </c>
      <c r="C27" s="1906">
        <v>92.86</v>
      </c>
      <c r="D27" s="1906">
        <v>0</v>
      </c>
      <c r="E27" s="1906">
        <f>B27*C27</f>
        <v>2785.8</v>
      </c>
      <c r="F27" s="1775" t="s">
        <v>470</v>
      </c>
      <c r="G27" s="1505"/>
      <c r="H27" s="1526"/>
      <c r="I27" s="1526"/>
      <c r="J27" s="1601"/>
      <c r="K27" s="261"/>
      <c r="L27" s="309"/>
      <c r="M27" s="309"/>
      <c r="N27" s="309"/>
      <c r="O27" s="309"/>
      <c r="P27" s="309"/>
      <c r="Q27" s="309"/>
      <c r="R27" s="309"/>
      <c r="S27" s="309"/>
      <c r="T27" s="309"/>
      <c r="U27" s="309"/>
    </row>
    <row r="28" spans="1:21" ht="14.25" customHeight="1">
      <c r="A28" s="1929"/>
      <c r="B28" s="784"/>
      <c r="C28" s="785"/>
      <c r="D28" s="786"/>
      <c r="E28" s="785"/>
      <c r="F28" s="781"/>
      <c r="G28" s="1505"/>
      <c r="H28" s="1526"/>
      <c r="I28" s="1526"/>
      <c r="J28" s="1601"/>
      <c r="K28" s="261"/>
      <c r="L28" s="309"/>
      <c r="M28" s="309"/>
      <c r="N28" s="309"/>
      <c r="O28" s="309"/>
      <c r="P28" s="309"/>
      <c r="Q28" s="309"/>
      <c r="R28" s="309"/>
      <c r="S28" s="309"/>
      <c r="T28" s="309"/>
      <c r="U28" s="309"/>
    </row>
    <row r="29" spans="1:21" ht="14.25" customHeight="1">
      <c r="A29" s="871">
        <v>45267</v>
      </c>
      <c r="B29" s="784"/>
      <c r="C29" s="785"/>
      <c r="D29" s="786"/>
      <c r="E29" s="785"/>
      <c r="F29" s="1893"/>
      <c r="G29" s="1505"/>
      <c r="H29" s="1526"/>
      <c r="I29" s="1526"/>
      <c r="J29" s="1894"/>
      <c r="K29" s="261"/>
      <c r="L29" s="1895"/>
      <c r="M29" s="1895"/>
      <c r="N29" s="1895"/>
      <c r="O29" s="1895"/>
      <c r="P29" s="1895"/>
      <c r="Q29" s="1895"/>
      <c r="R29" s="1895"/>
      <c r="S29" s="1895"/>
      <c r="T29" s="1895"/>
      <c r="U29" s="1895"/>
    </row>
    <row r="30" spans="1:21" ht="14.25" customHeight="1">
      <c r="A30" s="868" t="s">
        <v>824</v>
      </c>
      <c r="B30" s="784"/>
      <c r="C30" s="785"/>
      <c r="D30" s="786"/>
      <c r="E30" s="785"/>
      <c r="F30" s="1893"/>
      <c r="G30" s="1505"/>
      <c r="H30" s="1526"/>
      <c r="I30" s="1526"/>
      <c r="J30" s="1894"/>
      <c r="K30" s="261"/>
      <c r="L30" s="1895"/>
      <c r="M30" s="1895"/>
      <c r="N30" s="1895"/>
      <c r="O30" s="1895"/>
      <c r="P30" s="1895"/>
      <c r="Q30" s="1895"/>
      <c r="R30" s="1895"/>
      <c r="S30" s="1895"/>
      <c r="T30" s="1895"/>
      <c r="U30" s="1895"/>
    </row>
    <row r="31" spans="1:21" ht="14.25" customHeight="1">
      <c r="A31" s="869" t="s">
        <v>1268</v>
      </c>
      <c r="B31" s="1774">
        <v>31</v>
      </c>
      <c r="C31" s="1776">
        <v>188.2</v>
      </c>
      <c r="D31" s="1776">
        <v>0</v>
      </c>
      <c r="E31" s="1776">
        <f>B31*C31</f>
        <v>5834.2</v>
      </c>
      <c r="F31" s="1896" t="s">
        <v>678</v>
      </c>
      <c r="G31" s="1505"/>
      <c r="H31" s="1526"/>
      <c r="I31" s="1526"/>
      <c r="J31" s="1894"/>
      <c r="K31" s="261"/>
      <c r="L31" s="1895"/>
      <c r="M31" s="1895"/>
      <c r="N31" s="1895"/>
      <c r="O31" s="1895"/>
      <c r="P31" s="1895"/>
      <c r="Q31" s="1895"/>
      <c r="R31" s="1895"/>
      <c r="S31" s="1895"/>
      <c r="T31" s="1895"/>
      <c r="U31" s="1895"/>
    </row>
    <row r="32" spans="1:21" ht="14.25" customHeight="1">
      <c r="A32" s="868" t="s">
        <v>820</v>
      </c>
      <c r="B32" s="784"/>
      <c r="C32" s="785"/>
      <c r="D32" s="786"/>
      <c r="E32" s="785"/>
      <c r="F32" s="781"/>
      <c r="G32" s="1505"/>
      <c r="H32" s="1526"/>
      <c r="I32" s="1526"/>
      <c r="J32" s="1601"/>
      <c r="K32" s="261"/>
      <c r="L32" s="309"/>
      <c r="M32" s="309"/>
      <c r="N32" s="309"/>
      <c r="O32" s="309"/>
      <c r="P32" s="309"/>
      <c r="Q32" s="309"/>
      <c r="R32" s="309"/>
      <c r="S32" s="309"/>
      <c r="T32" s="309"/>
      <c r="U32" s="309"/>
    </row>
    <row r="33" spans="1:21" ht="14.25" customHeight="1">
      <c r="A33" s="869" t="s">
        <v>1267</v>
      </c>
      <c r="B33" s="1774">
        <v>148</v>
      </c>
      <c r="C33" s="1906">
        <v>30.72</v>
      </c>
      <c r="D33" s="1906">
        <v>0</v>
      </c>
      <c r="E33" s="1906">
        <f>C33*B33</f>
        <v>4546.5599999999995</v>
      </c>
      <c r="F33" s="1775" t="s">
        <v>23</v>
      </c>
      <c r="G33" s="1505"/>
      <c r="H33" s="1526"/>
      <c r="I33" s="1526"/>
      <c r="J33" s="1601"/>
      <c r="K33" s="261"/>
      <c r="L33" s="309"/>
      <c r="M33" s="309"/>
      <c r="N33" s="309"/>
      <c r="O33" s="309"/>
      <c r="P33" s="309"/>
      <c r="Q33" s="309"/>
      <c r="R33" s="309"/>
      <c r="S33" s="309"/>
      <c r="T33" s="309"/>
      <c r="U33" s="309"/>
    </row>
    <row r="34" spans="1:21" ht="14.25" customHeight="1">
      <c r="A34" s="1929"/>
      <c r="B34" s="784"/>
      <c r="C34" s="785"/>
      <c r="D34" s="786"/>
      <c r="E34" s="785"/>
      <c r="F34" s="781"/>
      <c r="G34" s="1505"/>
      <c r="H34" s="1526"/>
      <c r="I34" s="1526"/>
      <c r="J34" s="1601"/>
      <c r="K34" s="261"/>
      <c r="L34" s="309"/>
      <c r="M34" s="309"/>
      <c r="N34" s="309"/>
      <c r="O34" s="309"/>
      <c r="P34" s="309"/>
      <c r="Q34" s="309"/>
      <c r="R34" s="309"/>
      <c r="S34" s="309"/>
      <c r="T34" s="309"/>
      <c r="U34" s="309"/>
    </row>
    <row r="35" spans="1:21" ht="14.25" customHeight="1">
      <c r="A35" s="871">
        <v>45260</v>
      </c>
      <c r="B35" s="784"/>
      <c r="C35" s="785"/>
      <c r="D35" s="786"/>
      <c r="E35" s="785"/>
      <c r="F35" s="1893"/>
      <c r="G35" s="1505"/>
      <c r="H35" s="1526"/>
      <c r="I35" s="1526"/>
      <c r="J35" s="1894"/>
      <c r="K35" s="261"/>
      <c r="L35" s="1895"/>
      <c r="M35" s="1895"/>
      <c r="N35" s="1895"/>
      <c r="O35" s="1895"/>
      <c r="P35" s="1895"/>
      <c r="Q35" s="1895"/>
      <c r="R35" s="1895"/>
      <c r="S35" s="1895"/>
      <c r="T35" s="1895"/>
      <c r="U35" s="1895"/>
    </row>
    <row r="36" spans="1:21" ht="14.25" customHeight="1">
      <c r="A36" s="868" t="s">
        <v>824</v>
      </c>
      <c r="B36" s="784"/>
      <c r="C36" s="785"/>
      <c r="D36" s="786"/>
      <c r="E36" s="785"/>
      <c r="F36" s="1893"/>
      <c r="G36" s="1505"/>
      <c r="H36" s="1526"/>
      <c r="I36" s="1526"/>
      <c r="J36" s="1894"/>
      <c r="K36" s="261"/>
      <c r="L36" s="1895"/>
      <c r="M36" s="1895"/>
      <c r="N36" s="1895"/>
      <c r="O36" s="1895"/>
      <c r="P36" s="1895"/>
      <c r="Q36" s="1895"/>
      <c r="R36" s="1895"/>
      <c r="S36" s="1895"/>
      <c r="T36" s="1895"/>
      <c r="U36" s="1895"/>
    </row>
    <row r="37" spans="1:21" ht="14.25" customHeight="1">
      <c r="A37" s="869" t="s">
        <v>1262</v>
      </c>
      <c r="B37" s="1774">
        <v>70</v>
      </c>
      <c r="C37" s="1776">
        <v>144.69</v>
      </c>
      <c r="D37" s="1776">
        <v>0</v>
      </c>
      <c r="E37" s="1776">
        <f>B37*C37</f>
        <v>10128.299999999999</v>
      </c>
      <c r="F37" s="1896" t="s">
        <v>540</v>
      </c>
      <c r="G37" s="1505"/>
      <c r="H37" s="1526"/>
      <c r="I37" s="1526"/>
      <c r="J37" s="1894"/>
      <c r="K37" s="261"/>
      <c r="L37" s="1895"/>
      <c r="M37" s="1895"/>
      <c r="N37" s="1895"/>
      <c r="O37" s="1895"/>
      <c r="P37" s="1895"/>
      <c r="Q37" s="1895"/>
      <c r="R37" s="1895"/>
      <c r="S37" s="1895"/>
      <c r="T37" s="1895"/>
      <c r="U37" s="1895"/>
    </row>
    <row r="38" spans="1:21" ht="14.25" customHeight="1">
      <c r="A38" s="868" t="s">
        <v>820</v>
      </c>
      <c r="B38" s="784"/>
      <c r="C38" s="785"/>
      <c r="D38" s="786"/>
      <c r="E38" s="785"/>
      <c r="F38" s="781"/>
      <c r="G38" s="1505"/>
      <c r="H38" s="1526"/>
      <c r="I38" s="1526"/>
      <c r="J38" s="1601"/>
      <c r="K38" s="261"/>
      <c r="L38" s="309"/>
      <c r="M38" s="309"/>
      <c r="N38" s="309"/>
      <c r="O38" s="309"/>
      <c r="P38" s="309"/>
      <c r="Q38" s="309"/>
      <c r="R38" s="309"/>
      <c r="S38" s="309"/>
      <c r="T38" s="309"/>
      <c r="U38" s="309"/>
    </row>
    <row r="39" spans="1:21" ht="14.25" customHeight="1">
      <c r="A39" s="869" t="s">
        <v>1263</v>
      </c>
      <c r="B39" s="1774">
        <v>22</v>
      </c>
      <c r="C39" s="1906">
        <v>112.37</v>
      </c>
      <c r="D39" s="1906">
        <v>0</v>
      </c>
      <c r="E39" s="1906">
        <f>B39*C39</f>
        <v>2472.1400000000003</v>
      </c>
      <c r="F39" s="1775" t="s">
        <v>546</v>
      </c>
      <c r="G39" s="1505"/>
      <c r="H39" s="1526"/>
      <c r="I39" s="1526"/>
      <c r="J39" s="1601"/>
      <c r="K39" s="261"/>
      <c r="L39" s="309"/>
      <c r="M39" s="309"/>
      <c r="N39" s="309"/>
      <c r="O39" s="309"/>
      <c r="P39" s="309"/>
      <c r="Q39" s="309"/>
      <c r="R39" s="309"/>
      <c r="S39" s="309"/>
      <c r="T39" s="309"/>
      <c r="U39" s="309"/>
    </row>
    <row r="40" spans="1:21" ht="14.25" customHeight="1">
      <c r="A40" s="1929"/>
      <c r="B40" s="784"/>
      <c r="C40" s="785"/>
      <c r="D40" s="786"/>
      <c r="E40" s="785"/>
      <c r="F40" s="781"/>
      <c r="G40" s="1505"/>
      <c r="H40" s="1526"/>
      <c r="I40" s="1526"/>
      <c r="J40" s="1601"/>
      <c r="K40" s="261"/>
      <c r="L40" s="309"/>
      <c r="M40" s="309"/>
      <c r="N40" s="309"/>
      <c r="O40" s="309"/>
      <c r="P40" s="309"/>
      <c r="Q40" s="309"/>
      <c r="R40" s="309"/>
      <c r="S40" s="309"/>
      <c r="T40" s="309"/>
      <c r="U40" s="309"/>
    </row>
    <row r="41" spans="1:21" ht="14.25" customHeight="1">
      <c r="A41" s="871">
        <v>45259</v>
      </c>
      <c r="B41" s="784"/>
      <c r="C41" s="785"/>
      <c r="D41" s="786"/>
      <c r="E41" s="785"/>
      <c r="F41" s="1893"/>
      <c r="G41" s="1505"/>
      <c r="H41" s="1526"/>
      <c r="I41" s="1526"/>
      <c r="J41" s="1894"/>
      <c r="K41" s="261"/>
      <c r="L41" s="1895"/>
      <c r="M41" s="1895"/>
      <c r="N41" s="1895"/>
      <c r="O41" s="1895"/>
      <c r="P41" s="1895"/>
      <c r="Q41" s="1895"/>
      <c r="R41" s="1895"/>
      <c r="S41" s="1895"/>
      <c r="T41" s="1895"/>
      <c r="U41" s="1895"/>
    </row>
    <row r="42" spans="1:21" ht="14.25" customHeight="1">
      <c r="A42" s="868" t="s">
        <v>820</v>
      </c>
      <c r="B42" s="784"/>
      <c r="C42" s="785"/>
      <c r="D42" s="786"/>
      <c r="E42" s="785"/>
      <c r="F42" s="781"/>
      <c r="G42" s="1505"/>
      <c r="H42" s="1526"/>
      <c r="I42" s="1526"/>
      <c r="J42" s="1601"/>
      <c r="K42" s="261"/>
      <c r="L42" s="309"/>
      <c r="M42" s="309"/>
      <c r="N42" s="309"/>
      <c r="O42" s="309"/>
      <c r="P42" s="309"/>
      <c r="Q42" s="309"/>
      <c r="R42" s="309"/>
      <c r="S42" s="309"/>
      <c r="T42" s="309"/>
      <c r="U42" s="309"/>
    </row>
    <row r="43" spans="1:21" ht="14.25" customHeight="1">
      <c r="A43" s="869" t="s">
        <v>1261</v>
      </c>
      <c r="B43" s="1774">
        <v>40</v>
      </c>
      <c r="C43" s="1906">
        <v>333.33</v>
      </c>
      <c r="D43" s="1906">
        <v>0</v>
      </c>
      <c r="E43" s="1906">
        <f>B43*C43</f>
        <v>13333.199999999999</v>
      </c>
      <c r="F43" s="1775" t="s">
        <v>1260</v>
      </c>
      <c r="G43" s="1505"/>
      <c r="H43" s="1526"/>
      <c r="I43" s="1526"/>
      <c r="J43" s="1601"/>
      <c r="K43" s="261"/>
      <c r="L43" s="309"/>
      <c r="M43" s="309"/>
      <c r="N43" s="309"/>
      <c r="O43" s="309"/>
      <c r="P43" s="309"/>
      <c r="Q43" s="309"/>
      <c r="R43" s="309"/>
      <c r="S43" s="309"/>
      <c r="T43" s="309"/>
      <c r="U43" s="309"/>
    </row>
    <row r="44" spans="1:21" ht="14.25" customHeight="1">
      <c r="A44" s="869" t="s">
        <v>469</v>
      </c>
      <c r="B44" s="1774">
        <v>30</v>
      </c>
      <c r="C44" s="1906">
        <v>92.86</v>
      </c>
      <c r="D44" s="1906">
        <v>0</v>
      </c>
      <c r="E44" s="1906">
        <f>B44*C44</f>
        <v>2785.8</v>
      </c>
      <c r="F44" s="1775" t="s">
        <v>470</v>
      </c>
      <c r="G44" s="1505"/>
      <c r="H44" s="1526"/>
      <c r="I44" s="1526"/>
      <c r="J44" s="1601"/>
      <c r="K44" s="261"/>
      <c r="L44" s="309"/>
      <c r="M44" s="309"/>
      <c r="N44" s="309"/>
      <c r="O44" s="309"/>
      <c r="P44" s="309"/>
      <c r="Q44" s="309"/>
      <c r="R44" s="309"/>
      <c r="S44" s="309"/>
      <c r="T44" s="309"/>
      <c r="U44" s="309"/>
    </row>
    <row r="45" spans="1:21" ht="14.25" customHeight="1">
      <c r="A45" s="1929"/>
      <c r="B45" s="784"/>
      <c r="C45" s="785"/>
      <c r="D45" s="786"/>
      <c r="E45" s="785"/>
      <c r="F45" s="781"/>
      <c r="G45" s="1505"/>
      <c r="H45" s="1526"/>
      <c r="I45" s="1526"/>
      <c r="J45" s="1601"/>
      <c r="K45" s="261"/>
      <c r="L45" s="309"/>
      <c r="M45" s="309"/>
      <c r="N45" s="309"/>
      <c r="O45" s="309"/>
      <c r="P45" s="309"/>
      <c r="Q45" s="309"/>
      <c r="R45" s="309"/>
      <c r="S45" s="309"/>
      <c r="T45" s="309"/>
      <c r="U45" s="309"/>
    </row>
    <row r="46" spans="1:21" ht="14.25" customHeight="1">
      <c r="A46" s="871">
        <v>45252</v>
      </c>
      <c r="B46" s="784"/>
      <c r="C46" s="785"/>
      <c r="D46" s="786"/>
      <c r="E46" s="785"/>
      <c r="F46" s="1893"/>
      <c r="G46" s="1505"/>
      <c r="H46" s="1526"/>
      <c r="I46" s="1526"/>
      <c r="J46" s="1894"/>
      <c r="K46" s="261"/>
      <c r="L46" s="1895"/>
      <c r="M46" s="1895"/>
      <c r="N46" s="1895"/>
      <c r="O46" s="1895"/>
      <c r="P46" s="1895"/>
      <c r="Q46" s="1895"/>
      <c r="R46" s="1895"/>
      <c r="S46" s="1895"/>
      <c r="T46" s="1895"/>
      <c r="U46" s="1895"/>
    </row>
    <row r="47" spans="1:21" ht="14.25" customHeight="1">
      <c r="A47" s="868" t="s">
        <v>824</v>
      </c>
      <c r="B47" s="784"/>
      <c r="C47" s="785"/>
      <c r="D47" s="786"/>
      <c r="E47" s="785"/>
      <c r="F47" s="1893"/>
      <c r="G47" s="1505"/>
      <c r="H47" s="1526"/>
      <c r="I47" s="1526"/>
      <c r="J47" s="1894"/>
      <c r="K47" s="261"/>
      <c r="L47" s="1895"/>
      <c r="M47" s="1895"/>
      <c r="N47" s="1895"/>
      <c r="O47" s="1895"/>
      <c r="P47" s="1895"/>
      <c r="Q47" s="1895"/>
      <c r="R47" s="1895"/>
      <c r="S47" s="1895"/>
      <c r="T47" s="1895"/>
      <c r="U47" s="1895"/>
    </row>
    <row r="48" spans="1:21" ht="14.25" customHeight="1">
      <c r="A48" s="869" t="s">
        <v>1252</v>
      </c>
      <c r="B48" s="1774">
        <v>40</v>
      </c>
      <c r="C48" s="1776">
        <v>178.07</v>
      </c>
      <c r="D48" s="1776">
        <v>0</v>
      </c>
      <c r="E48" s="1776">
        <f>B48*C48</f>
        <v>7122.7999999999993</v>
      </c>
      <c r="F48" s="1896" t="s">
        <v>1253</v>
      </c>
      <c r="G48" s="1505"/>
      <c r="H48" s="1526"/>
      <c r="I48" s="1526"/>
      <c r="J48" s="1894"/>
      <c r="K48" s="261"/>
      <c r="L48" s="1895"/>
      <c r="M48" s="1895"/>
      <c r="N48" s="1895"/>
      <c r="O48" s="1895"/>
      <c r="P48" s="1895"/>
      <c r="Q48" s="1895"/>
      <c r="R48" s="1895"/>
      <c r="S48" s="1895"/>
      <c r="T48" s="1895"/>
      <c r="U48" s="1895"/>
    </row>
    <row r="49" spans="1:21" ht="14.25" customHeight="1">
      <c r="A49" s="868" t="s">
        <v>820</v>
      </c>
      <c r="B49" s="784"/>
      <c r="C49" s="785"/>
      <c r="D49" s="786"/>
      <c r="E49" s="785"/>
      <c r="F49" s="781"/>
      <c r="G49" s="1505"/>
      <c r="H49" s="1526"/>
      <c r="I49" s="1526"/>
      <c r="J49" s="1601"/>
      <c r="K49" s="261"/>
      <c r="L49" s="309"/>
      <c r="M49" s="309"/>
      <c r="N49" s="309"/>
      <c r="O49" s="309"/>
      <c r="P49" s="309"/>
      <c r="Q49" s="309"/>
      <c r="R49" s="309"/>
      <c r="S49" s="309"/>
      <c r="T49" s="309"/>
      <c r="U49" s="309"/>
    </row>
    <row r="50" spans="1:21" ht="14.25" customHeight="1">
      <c r="A50" s="869" t="s">
        <v>1254</v>
      </c>
      <c r="B50" s="1774">
        <v>21</v>
      </c>
      <c r="C50" s="1906">
        <v>264.92</v>
      </c>
      <c r="D50" s="1906">
        <v>0</v>
      </c>
      <c r="E50" s="1906">
        <f>B50*C50</f>
        <v>5563.3200000000006</v>
      </c>
      <c r="F50" s="1775" t="s">
        <v>402</v>
      </c>
      <c r="G50" s="1505"/>
      <c r="H50" s="1526"/>
      <c r="I50" s="1526"/>
      <c r="J50" s="1601"/>
      <c r="K50" s="261"/>
      <c r="L50" s="309"/>
      <c r="M50" s="309"/>
      <c r="N50" s="309"/>
      <c r="O50" s="309"/>
      <c r="P50" s="309"/>
      <c r="Q50" s="309"/>
      <c r="R50" s="309"/>
      <c r="S50" s="309"/>
      <c r="T50" s="309"/>
      <c r="U50" s="309"/>
    </row>
    <row r="51" spans="1:21" ht="14.25" customHeight="1">
      <c r="A51" s="869" t="s">
        <v>547</v>
      </c>
      <c r="B51" s="1774">
        <v>25</v>
      </c>
      <c r="C51" s="1906">
        <v>151.12</v>
      </c>
      <c r="D51" s="1906">
        <v>0</v>
      </c>
      <c r="E51" s="1906">
        <f t="shared" ref="E51:E52" si="1">B51*C51</f>
        <v>3778</v>
      </c>
      <c r="F51" s="1775" t="s">
        <v>548</v>
      </c>
      <c r="G51" s="1505"/>
      <c r="H51" s="1526"/>
      <c r="I51" s="1526"/>
      <c r="J51" s="1601"/>
      <c r="K51" s="261"/>
      <c r="L51" s="309"/>
      <c r="M51" s="309"/>
      <c r="N51" s="309"/>
      <c r="O51" s="309"/>
      <c r="P51" s="309"/>
      <c r="Q51" s="309"/>
      <c r="R51" s="309"/>
      <c r="S51" s="309"/>
      <c r="T51" s="309"/>
      <c r="U51" s="309"/>
    </row>
    <row r="52" spans="1:21" ht="14.25" customHeight="1">
      <c r="A52" s="869" t="s">
        <v>455</v>
      </c>
      <c r="B52" s="1774">
        <v>30</v>
      </c>
      <c r="C52" s="1906">
        <v>68.63</v>
      </c>
      <c r="D52" s="1906">
        <v>0</v>
      </c>
      <c r="E52" s="1906">
        <f t="shared" si="1"/>
        <v>2058.8999999999996</v>
      </c>
      <c r="F52" s="1775" t="s">
        <v>456</v>
      </c>
      <c r="G52" s="1505"/>
      <c r="H52" s="1526"/>
      <c r="I52" s="1526"/>
      <c r="J52" s="1601"/>
      <c r="K52" s="261"/>
      <c r="L52" s="309"/>
      <c r="M52" s="309"/>
      <c r="N52" s="309"/>
      <c r="O52" s="309"/>
      <c r="P52" s="309"/>
      <c r="Q52" s="309"/>
      <c r="R52" s="309"/>
      <c r="S52" s="309"/>
      <c r="T52" s="309"/>
      <c r="U52" s="309"/>
    </row>
    <row r="53" spans="1:21" ht="14.25" customHeight="1">
      <c r="A53" s="1929"/>
      <c r="B53" s="784"/>
      <c r="C53" s="785"/>
      <c r="D53" s="786"/>
      <c r="E53" s="785"/>
      <c r="F53" s="781"/>
      <c r="G53" s="1505"/>
      <c r="H53" s="1526"/>
      <c r="I53" s="1526"/>
      <c r="J53" s="1601"/>
      <c r="K53" s="261"/>
      <c r="L53" s="309"/>
      <c r="M53" s="309"/>
      <c r="N53" s="309"/>
      <c r="O53" s="309"/>
      <c r="P53" s="309"/>
      <c r="Q53" s="309"/>
      <c r="R53" s="309"/>
      <c r="S53" s="309"/>
      <c r="T53" s="309"/>
      <c r="U53" s="309"/>
    </row>
    <row r="54" spans="1:21" ht="14.25" customHeight="1">
      <c r="A54" s="871">
        <v>45247</v>
      </c>
      <c r="B54" s="784"/>
      <c r="C54" s="785"/>
      <c r="D54" s="786"/>
      <c r="E54" s="785"/>
      <c r="F54" s="781"/>
      <c r="G54" s="1505"/>
      <c r="H54" s="1526"/>
      <c r="I54" s="1526"/>
      <c r="J54" s="1601"/>
      <c r="K54" s="261"/>
      <c r="L54" s="309"/>
      <c r="M54" s="309"/>
      <c r="N54" s="309"/>
      <c r="O54" s="309"/>
      <c r="P54" s="309"/>
      <c r="Q54" s="309"/>
      <c r="R54" s="309"/>
      <c r="S54" s="309"/>
      <c r="T54" s="309"/>
      <c r="U54" s="309"/>
    </row>
    <row r="55" spans="1:21" ht="14.25" customHeight="1">
      <c r="A55" s="868" t="s">
        <v>820</v>
      </c>
      <c r="B55" s="784"/>
      <c r="C55" s="785"/>
      <c r="D55" s="786"/>
      <c r="E55" s="785"/>
      <c r="F55" s="781"/>
      <c r="G55" s="1505"/>
      <c r="H55" s="1526"/>
      <c r="I55" s="1526"/>
      <c r="J55" s="1601"/>
      <c r="K55" s="261"/>
      <c r="L55" s="309"/>
      <c r="M55" s="309"/>
      <c r="N55" s="309"/>
      <c r="O55" s="309"/>
      <c r="P55" s="309"/>
      <c r="Q55" s="309"/>
      <c r="R55" s="309"/>
      <c r="S55" s="309"/>
      <c r="T55" s="309"/>
      <c r="U55" s="309"/>
    </row>
    <row r="56" spans="1:21" ht="14.25" customHeight="1">
      <c r="A56" s="869" t="s">
        <v>230</v>
      </c>
      <c r="B56" s="621">
        <v>19</v>
      </c>
      <c r="C56" s="624">
        <v>96.25</v>
      </c>
      <c r="D56" s="792">
        <v>0</v>
      </c>
      <c r="E56" s="624">
        <v>3000.28</v>
      </c>
      <c r="F56" s="546" t="s">
        <v>231</v>
      </c>
      <c r="G56" s="1505"/>
      <c r="H56" s="1526"/>
      <c r="I56" s="1526"/>
      <c r="J56" s="1601"/>
      <c r="K56" s="261"/>
      <c r="L56" s="309"/>
      <c r="M56" s="309"/>
      <c r="N56" s="309"/>
      <c r="O56" s="309"/>
      <c r="P56" s="309"/>
      <c r="Q56" s="309"/>
      <c r="R56" s="309"/>
      <c r="S56" s="309"/>
      <c r="T56" s="309"/>
      <c r="U56" s="309"/>
    </row>
    <row r="57" spans="1:21" ht="14.25" customHeight="1">
      <c r="A57" s="869"/>
      <c r="B57" s="621"/>
      <c r="C57" s="624"/>
      <c r="D57" s="792"/>
      <c r="E57" s="624"/>
      <c r="F57" s="546"/>
      <c r="G57" s="1505"/>
      <c r="H57" s="1526"/>
      <c r="I57" s="1526"/>
      <c r="J57" s="1601"/>
      <c r="K57" s="261"/>
      <c r="L57" s="309"/>
      <c r="M57" s="309"/>
      <c r="N57" s="309"/>
      <c r="O57" s="309"/>
      <c r="P57" s="309"/>
      <c r="Q57" s="309"/>
      <c r="R57" s="309"/>
      <c r="S57" s="309"/>
      <c r="T57" s="309"/>
      <c r="U57" s="309"/>
    </row>
    <row r="58" spans="1:21" ht="14.25" customHeight="1">
      <c r="A58" s="871">
        <v>45247</v>
      </c>
      <c r="B58" s="784"/>
      <c r="C58" s="785"/>
      <c r="D58" s="786"/>
      <c r="E58" s="785"/>
      <c r="F58" s="1893"/>
      <c r="G58" s="1505"/>
      <c r="H58" s="1526"/>
      <c r="I58" s="1526"/>
      <c r="J58" s="1894"/>
      <c r="K58" s="261"/>
      <c r="L58" s="1895"/>
      <c r="M58" s="1895"/>
      <c r="N58" s="1895"/>
      <c r="O58" s="1895"/>
      <c r="P58" s="1895"/>
      <c r="Q58" s="1895"/>
      <c r="R58" s="1895"/>
      <c r="S58" s="1895"/>
      <c r="T58" s="1895"/>
      <c r="U58" s="1895"/>
    </row>
    <row r="59" spans="1:21" ht="14.25" customHeight="1">
      <c r="A59" s="868" t="s">
        <v>824</v>
      </c>
      <c r="B59" s="784"/>
      <c r="C59" s="785"/>
      <c r="D59" s="786"/>
      <c r="E59" s="785"/>
      <c r="F59" s="1893"/>
      <c r="G59" s="1505"/>
      <c r="H59" s="1526"/>
      <c r="I59" s="1526"/>
      <c r="J59" s="1894"/>
      <c r="K59" s="261"/>
      <c r="L59" s="1895"/>
      <c r="M59" s="1895"/>
      <c r="N59" s="1895"/>
      <c r="O59" s="1895"/>
      <c r="P59" s="1895"/>
      <c r="Q59" s="1895"/>
      <c r="R59" s="1895"/>
      <c r="S59" s="1895"/>
      <c r="T59" s="1895"/>
      <c r="U59" s="1895"/>
    </row>
    <row r="60" spans="1:21" ht="14.25" customHeight="1">
      <c r="A60" s="869" t="s">
        <v>735</v>
      </c>
      <c r="B60" s="1774">
        <v>115</v>
      </c>
      <c r="C60" s="1776">
        <v>48.39</v>
      </c>
      <c r="D60" s="1776">
        <v>0</v>
      </c>
      <c r="E60" s="1776">
        <f>B60*C60</f>
        <v>5564.85</v>
      </c>
      <c r="F60" s="1896" t="s">
        <v>698</v>
      </c>
      <c r="G60" s="1505"/>
      <c r="H60" s="1526"/>
      <c r="I60" s="1526"/>
      <c r="J60" s="1894"/>
      <c r="K60" s="261"/>
      <c r="L60" s="1895"/>
      <c r="M60" s="1895"/>
      <c r="N60" s="1895"/>
      <c r="O60" s="1895"/>
      <c r="P60" s="1895"/>
      <c r="Q60" s="1895"/>
      <c r="R60" s="1895"/>
      <c r="S60" s="1895"/>
      <c r="T60" s="1895"/>
      <c r="U60" s="1895"/>
    </row>
    <row r="61" spans="1:21" ht="14.25" customHeight="1">
      <c r="A61" s="869" t="s">
        <v>1251</v>
      </c>
      <c r="B61" s="1774">
        <v>186</v>
      </c>
      <c r="C61" s="1931">
        <v>73.459999999999994</v>
      </c>
      <c r="D61" s="1931">
        <v>0</v>
      </c>
      <c r="E61" s="1931">
        <f>B61*C61</f>
        <v>13663.56</v>
      </c>
      <c r="F61" s="1896" t="s">
        <v>1250</v>
      </c>
      <c r="G61" s="1505"/>
      <c r="H61" s="1526"/>
      <c r="I61" s="1526"/>
      <c r="J61" s="1894"/>
      <c r="K61" s="261"/>
      <c r="L61" s="1895"/>
      <c r="M61" s="1895"/>
      <c r="N61" s="1895"/>
      <c r="O61" s="1895"/>
      <c r="P61" s="1895"/>
      <c r="Q61" s="1895"/>
      <c r="R61" s="1895"/>
      <c r="S61" s="1895"/>
      <c r="T61" s="1895"/>
      <c r="U61" s="1895"/>
    </row>
    <row r="62" spans="1:21" ht="14.25" customHeight="1">
      <c r="A62" s="869"/>
      <c r="B62" s="1774"/>
      <c r="C62" s="1776"/>
      <c r="D62" s="1776"/>
      <c r="E62" s="1776"/>
      <c r="F62" s="1896"/>
      <c r="G62" s="1505"/>
      <c r="H62" s="1526"/>
      <c r="I62" s="1526"/>
      <c r="J62" s="1894"/>
      <c r="K62" s="261"/>
      <c r="L62" s="1895"/>
      <c r="M62" s="1895"/>
      <c r="N62" s="1895"/>
      <c r="O62" s="1895"/>
      <c r="P62" s="1895"/>
      <c r="Q62" s="1895"/>
      <c r="R62" s="1895"/>
      <c r="S62" s="1895"/>
      <c r="T62" s="1895"/>
      <c r="U62" s="1895"/>
    </row>
    <row r="63" spans="1:21" ht="14.25" customHeight="1">
      <c r="A63" s="871">
        <v>45245</v>
      </c>
      <c r="B63" s="784"/>
      <c r="C63" s="785"/>
      <c r="D63" s="786"/>
      <c r="E63" s="785"/>
      <c r="F63" s="1893"/>
      <c r="G63" s="1505"/>
      <c r="H63" s="1526"/>
      <c r="I63" s="1526"/>
      <c r="J63" s="1894"/>
      <c r="K63" s="261"/>
      <c r="L63" s="1895"/>
      <c r="M63" s="1895"/>
      <c r="N63" s="1895"/>
      <c r="O63" s="1895"/>
      <c r="P63" s="1895"/>
      <c r="Q63" s="1895"/>
      <c r="R63" s="1895"/>
      <c r="S63" s="1895"/>
      <c r="T63" s="1895"/>
      <c r="U63" s="1895"/>
    </row>
    <row r="64" spans="1:21" ht="14.25" customHeight="1">
      <c r="A64" s="868" t="s">
        <v>824</v>
      </c>
      <c r="B64" s="784"/>
      <c r="C64" s="785"/>
      <c r="D64" s="786"/>
      <c r="E64" s="785"/>
      <c r="F64" s="1893"/>
      <c r="G64" s="1505"/>
      <c r="H64" s="1526"/>
      <c r="I64" s="1526"/>
      <c r="J64" s="1894"/>
      <c r="K64" s="261"/>
      <c r="L64" s="1895"/>
      <c r="M64" s="1895"/>
      <c r="N64" s="1895"/>
      <c r="O64" s="1895"/>
      <c r="P64" s="1895"/>
      <c r="Q64" s="1895"/>
      <c r="R64" s="1895"/>
      <c r="S64" s="1895"/>
      <c r="T64" s="1895"/>
      <c r="U64" s="1895"/>
    </row>
    <row r="65" spans="1:21" ht="14.25" customHeight="1">
      <c r="A65" s="869" t="s">
        <v>735</v>
      </c>
      <c r="B65" s="1774">
        <v>156</v>
      </c>
      <c r="C65" s="1776">
        <v>48.23</v>
      </c>
      <c r="D65" s="1776">
        <v>0</v>
      </c>
      <c r="E65" s="1776">
        <f>B65*C65</f>
        <v>7523.8799999999992</v>
      </c>
      <c r="F65" s="1896" t="s">
        <v>698</v>
      </c>
      <c r="G65" s="1505"/>
      <c r="H65" s="1526"/>
      <c r="I65" s="1526"/>
      <c r="J65" s="1894"/>
      <c r="K65" s="261"/>
      <c r="L65" s="1895"/>
      <c r="M65" s="1895"/>
      <c r="N65" s="1895"/>
      <c r="O65" s="1895"/>
      <c r="P65" s="1895"/>
      <c r="Q65" s="1895"/>
      <c r="R65" s="1895"/>
      <c r="S65" s="1895"/>
      <c r="T65" s="1895"/>
      <c r="U65" s="1895"/>
    </row>
    <row r="66" spans="1:21" ht="14.25" customHeight="1">
      <c r="A66" s="1929"/>
      <c r="B66" s="784"/>
      <c r="C66" s="785"/>
      <c r="D66" s="786"/>
      <c r="E66" s="785"/>
      <c r="F66" s="781"/>
      <c r="G66" s="1505"/>
      <c r="H66" s="1526"/>
      <c r="I66" s="1526"/>
      <c r="J66" s="1601"/>
      <c r="K66" s="261"/>
      <c r="L66" s="309"/>
      <c r="M66" s="309"/>
      <c r="N66" s="309"/>
      <c r="O66" s="309"/>
      <c r="P66" s="309"/>
      <c r="Q66" s="309"/>
      <c r="R66" s="309"/>
      <c r="S66" s="309"/>
      <c r="T66" s="309"/>
      <c r="U66" s="309"/>
    </row>
    <row r="67" spans="1:21" ht="14.25" customHeight="1">
      <c r="A67" s="871">
        <v>45202</v>
      </c>
      <c r="B67" s="784"/>
      <c r="C67" s="785"/>
      <c r="D67" s="786"/>
      <c r="E67" s="785"/>
      <c r="F67" s="781"/>
      <c r="G67" s="1505"/>
      <c r="H67" s="1526"/>
      <c r="I67" s="1526"/>
      <c r="J67" s="1601"/>
      <c r="K67" s="261"/>
      <c r="L67" s="309"/>
      <c r="M67" s="309"/>
      <c r="N67" s="309"/>
      <c r="O67" s="309"/>
      <c r="P67" s="309"/>
      <c r="Q67" s="309"/>
      <c r="R67" s="309"/>
      <c r="S67" s="309"/>
      <c r="T67" s="309"/>
      <c r="U67" s="309"/>
    </row>
    <row r="68" spans="1:21" ht="14.25" customHeight="1">
      <c r="A68" s="868" t="s">
        <v>820</v>
      </c>
      <c r="B68" s="784"/>
      <c r="C68" s="785"/>
      <c r="D68" s="786"/>
      <c r="E68" s="785"/>
      <c r="F68" s="781"/>
      <c r="G68" s="1505"/>
      <c r="H68" s="1526"/>
      <c r="I68" s="1526"/>
      <c r="J68" s="1601"/>
      <c r="K68" s="261"/>
      <c r="L68" s="309"/>
      <c r="M68" s="309"/>
      <c r="N68" s="309"/>
      <c r="O68" s="309"/>
      <c r="P68" s="309"/>
      <c r="Q68" s="309"/>
      <c r="R68" s="309"/>
      <c r="S68" s="309"/>
      <c r="T68" s="309"/>
      <c r="U68" s="309"/>
    </row>
    <row r="69" spans="1:21" ht="14.25" customHeight="1">
      <c r="A69" s="869" t="s">
        <v>1243</v>
      </c>
      <c r="B69" s="1774">
        <v>6</v>
      </c>
      <c r="C69" s="1906">
        <v>363.86</v>
      </c>
      <c r="D69" s="1906">
        <v>0.02</v>
      </c>
      <c r="E69" s="1906">
        <v>2183.14</v>
      </c>
      <c r="F69" s="1775" t="s">
        <v>652</v>
      </c>
      <c r="G69" s="1505"/>
      <c r="H69" s="1526"/>
      <c r="I69" s="1526"/>
      <c r="J69" s="1601"/>
      <c r="K69" s="261"/>
      <c r="L69" s="309"/>
      <c r="M69" s="309"/>
      <c r="N69" s="309"/>
      <c r="O69" s="309"/>
      <c r="P69" s="309"/>
      <c r="Q69" s="309"/>
      <c r="R69" s="309"/>
      <c r="S69" s="309"/>
      <c r="T69" s="309"/>
      <c r="U69" s="309"/>
    </row>
    <row r="70" spans="1:21" ht="14.25" customHeight="1">
      <c r="A70" s="869" t="s">
        <v>1245</v>
      </c>
      <c r="B70" s="1774">
        <v>175</v>
      </c>
      <c r="C70" s="1906">
        <v>22.99</v>
      </c>
      <c r="D70" s="1906">
        <v>0.06</v>
      </c>
      <c r="E70" s="1906">
        <v>4023.23</v>
      </c>
      <c r="F70" s="1775" t="s">
        <v>744</v>
      </c>
      <c r="G70" s="1505"/>
      <c r="H70" s="1526"/>
      <c r="I70" s="1526"/>
      <c r="J70" s="1601"/>
      <c r="K70" s="261"/>
      <c r="L70" s="309"/>
      <c r="M70" s="309"/>
      <c r="N70" s="309"/>
      <c r="O70" s="309"/>
      <c r="P70" s="309"/>
      <c r="Q70" s="309"/>
      <c r="R70" s="309"/>
      <c r="S70" s="309"/>
      <c r="T70" s="309"/>
      <c r="U70" s="309"/>
    </row>
    <row r="71" spans="1:21" ht="14.25" customHeight="1">
      <c r="A71" s="869" t="s">
        <v>821</v>
      </c>
      <c r="B71" s="1774">
        <v>177</v>
      </c>
      <c r="C71" s="1906">
        <v>22.62</v>
      </c>
      <c r="D71" s="1906">
        <v>0.06</v>
      </c>
      <c r="E71" s="1906">
        <v>4003.7</v>
      </c>
      <c r="F71" s="1775" t="s">
        <v>700</v>
      </c>
      <c r="G71" s="1505"/>
      <c r="H71" s="1526"/>
      <c r="I71" s="1526"/>
      <c r="J71" s="1601"/>
      <c r="K71" s="261"/>
      <c r="L71" s="309"/>
      <c r="M71" s="309"/>
      <c r="N71" s="309"/>
      <c r="O71" s="309"/>
      <c r="P71" s="309"/>
      <c r="Q71" s="309"/>
      <c r="R71" s="309"/>
      <c r="S71" s="309"/>
      <c r="T71" s="309"/>
      <c r="U71" s="309"/>
    </row>
    <row r="72" spans="1:21" ht="14.25" customHeight="1">
      <c r="A72" s="869" t="s">
        <v>695</v>
      </c>
      <c r="B72" s="1774">
        <v>47</v>
      </c>
      <c r="C72" s="1906">
        <v>96.36</v>
      </c>
      <c r="D72" s="1906">
        <v>0.05</v>
      </c>
      <c r="E72" s="1906">
        <v>4529.01</v>
      </c>
      <c r="F72" s="1775" t="s">
        <v>696</v>
      </c>
      <c r="G72" s="1505"/>
      <c r="H72" s="1526"/>
      <c r="I72" s="1526"/>
      <c r="J72" s="1601"/>
      <c r="K72" s="261"/>
      <c r="L72" s="309"/>
      <c r="M72" s="309"/>
      <c r="N72" s="309"/>
      <c r="O72" s="309"/>
      <c r="P72" s="309"/>
      <c r="Q72" s="309"/>
      <c r="R72" s="309"/>
      <c r="S72" s="309"/>
      <c r="T72" s="309"/>
      <c r="U72" s="309"/>
    </row>
    <row r="73" spans="1:21" ht="14.25" customHeight="1">
      <c r="A73" s="869" t="s">
        <v>822</v>
      </c>
      <c r="B73" s="1774">
        <v>83</v>
      </c>
      <c r="C73" s="1906">
        <v>49.81</v>
      </c>
      <c r="D73" s="1906">
        <v>0.04</v>
      </c>
      <c r="E73" s="1906">
        <v>4134.24</v>
      </c>
      <c r="F73" s="1775" t="s">
        <v>746</v>
      </c>
      <c r="G73" s="1505"/>
      <c r="H73" s="1526"/>
      <c r="I73" s="1526"/>
      <c r="J73" s="1601"/>
      <c r="K73" s="261"/>
      <c r="L73" s="309"/>
      <c r="M73" s="309"/>
      <c r="N73" s="309"/>
      <c r="O73" s="309"/>
      <c r="P73" s="309"/>
      <c r="Q73" s="309"/>
      <c r="R73" s="309"/>
      <c r="S73" s="309"/>
      <c r="T73" s="309"/>
      <c r="U73" s="309"/>
    </row>
    <row r="74" spans="1:21" ht="14.25" customHeight="1">
      <c r="A74" s="869" t="s">
        <v>1244</v>
      </c>
      <c r="B74" s="1774">
        <v>79</v>
      </c>
      <c r="C74" s="1906">
        <v>49.72</v>
      </c>
      <c r="D74" s="1906">
        <v>0.04</v>
      </c>
      <c r="E74" s="1906">
        <v>3927.88</v>
      </c>
      <c r="F74" s="1775" t="s">
        <v>694</v>
      </c>
      <c r="G74" s="1505"/>
      <c r="H74" s="1526"/>
      <c r="I74" s="1526"/>
      <c r="J74" s="1601"/>
      <c r="K74" s="261"/>
      <c r="L74" s="309"/>
      <c r="M74" s="309"/>
      <c r="N74" s="309"/>
      <c r="O74" s="309"/>
      <c r="P74" s="309"/>
      <c r="Q74" s="309"/>
      <c r="R74" s="309"/>
      <c r="S74" s="309"/>
      <c r="T74" s="309"/>
      <c r="U74" s="309"/>
    </row>
    <row r="75" spans="1:21" ht="14.25" customHeight="1">
      <c r="A75" s="869" t="s">
        <v>741</v>
      </c>
      <c r="B75" s="1774">
        <v>221</v>
      </c>
      <c r="C75" s="1906">
        <v>17.899999999999999</v>
      </c>
      <c r="D75" s="1906">
        <v>0.06</v>
      </c>
      <c r="E75" s="1906">
        <v>3955.84</v>
      </c>
      <c r="F75" s="1775" t="s">
        <v>742</v>
      </c>
      <c r="G75" s="1505"/>
      <c r="H75" s="1526"/>
      <c r="I75" s="1526"/>
      <c r="J75" s="1601"/>
      <c r="K75" s="261"/>
      <c r="L75" s="309"/>
      <c r="M75" s="309"/>
      <c r="N75" s="309"/>
      <c r="O75" s="309"/>
      <c r="P75" s="309"/>
      <c r="Q75" s="309"/>
      <c r="R75" s="309"/>
      <c r="S75" s="309"/>
      <c r="T75" s="309"/>
      <c r="U75" s="309"/>
    </row>
    <row r="76" spans="1:21" ht="14.25" customHeight="1">
      <c r="A76" s="869" t="s">
        <v>739</v>
      </c>
      <c r="B76" s="1774">
        <v>153</v>
      </c>
      <c r="C76" s="1906">
        <v>24.46</v>
      </c>
      <c r="D76" s="1906">
        <v>0.05</v>
      </c>
      <c r="E76" s="1906">
        <v>3741.57</v>
      </c>
      <c r="F76" s="1775" t="s">
        <v>740</v>
      </c>
      <c r="G76" s="1505"/>
      <c r="H76" s="1526"/>
      <c r="I76" s="1526"/>
      <c r="J76" s="1601"/>
      <c r="K76" s="261"/>
      <c r="L76" s="309"/>
      <c r="M76" s="309"/>
      <c r="N76" s="309"/>
      <c r="O76" s="309"/>
      <c r="P76" s="309"/>
      <c r="Q76" s="309"/>
      <c r="R76" s="309"/>
      <c r="S76" s="309"/>
      <c r="T76" s="309"/>
      <c r="U76" s="309"/>
    </row>
    <row r="77" spans="1:21" ht="14.25" customHeight="1">
      <c r="A77" s="869" t="s">
        <v>823</v>
      </c>
      <c r="B77" s="1774">
        <v>61</v>
      </c>
      <c r="C77" s="1906">
        <v>74.540000000000006</v>
      </c>
      <c r="D77" s="1906">
        <v>0.05</v>
      </c>
      <c r="E77" s="1906">
        <v>4546.59</v>
      </c>
      <c r="F77" s="1775" t="s">
        <v>702</v>
      </c>
      <c r="G77" s="1505"/>
      <c r="H77" s="1526"/>
      <c r="I77" s="1526"/>
      <c r="J77" s="1601"/>
      <c r="K77" s="261"/>
      <c r="L77" s="309"/>
      <c r="M77" s="309"/>
      <c r="N77" s="309"/>
      <c r="O77" s="309"/>
      <c r="P77" s="309"/>
      <c r="Q77" s="309"/>
      <c r="R77" s="309"/>
      <c r="S77" s="309"/>
      <c r="T77" s="309"/>
      <c r="U77" s="309"/>
    </row>
    <row r="78" spans="1:21" ht="14.25" customHeight="1">
      <c r="A78" s="869"/>
      <c r="B78" s="1774"/>
      <c r="C78" s="1776"/>
      <c r="D78" s="1776"/>
      <c r="E78" s="1776"/>
      <c r="F78" s="1896"/>
      <c r="G78" s="1505"/>
      <c r="H78" s="1526"/>
      <c r="I78" s="1526"/>
      <c r="J78" s="1894"/>
      <c r="K78" s="261"/>
      <c r="L78" s="1895"/>
      <c r="M78" s="1895"/>
      <c r="N78" s="1895"/>
      <c r="O78" s="1895"/>
      <c r="P78" s="1895"/>
      <c r="Q78" s="1895"/>
      <c r="R78" s="1895"/>
      <c r="S78" s="1895"/>
      <c r="T78" s="1895"/>
      <c r="U78" s="1895"/>
    </row>
    <row r="79" spans="1:21" ht="14.25" customHeight="1">
      <c r="A79" s="871">
        <v>45042</v>
      </c>
      <c r="B79" s="784"/>
      <c r="C79" s="785"/>
      <c r="D79" s="786"/>
      <c r="E79" s="785"/>
      <c r="F79" s="1893"/>
      <c r="G79" s="1505"/>
      <c r="H79" s="1526"/>
      <c r="I79" s="1526"/>
      <c r="J79" s="1894"/>
      <c r="K79" s="261"/>
      <c r="L79" s="1895"/>
      <c r="M79" s="1895"/>
      <c r="N79" s="1895"/>
      <c r="O79" s="1895"/>
      <c r="P79" s="1895"/>
      <c r="Q79" s="1895"/>
      <c r="R79" s="1895"/>
      <c r="S79" s="1895"/>
      <c r="T79" s="1895"/>
      <c r="U79" s="1895"/>
    </row>
    <row r="80" spans="1:21" ht="14.25" customHeight="1">
      <c r="A80" s="868" t="s">
        <v>824</v>
      </c>
      <c r="B80" s="784"/>
      <c r="C80" s="785"/>
      <c r="D80" s="786"/>
      <c r="E80" s="785"/>
      <c r="F80" s="1893"/>
      <c r="G80" s="1505"/>
      <c r="H80" s="1526"/>
      <c r="I80" s="1526"/>
      <c r="J80" s="1894"/>
      <c r="K80" s="261"/>
      <c r="L80" s="1895"/>
      <c r="M80" s="1895"/>
      <c r="N80" s="1895"/>
      <c r="O80" s="1895"/>
      <c r="P80" s="1895"/>
      <c r="Q80" s="1895"/>
      <c r="R80" s="1895"/>
      <c r="S80" s="1895"/>
      <c r="T80" s="1895"/>
      <c r="U80" s="1895"/>
    </row>
    <row r="81" spans="1:21" ht="14.25" customHeight="1">
      <c r="A81" s="869" t="s">
        <v>825</v>
      </c>
      <c r="B81" s="1774">
        <v>35</v>
      </c>
      <c r="C81" s="1776">
        <v>76.78</v>
      </c>
      <c r="D81" s="1776">
        <v>0</v>
      </c>
      <c r="E81" s="1776">
        <f>B81*C81</f>
        <v>2687.3</v>
      </c>
      <c r="F81" s="1896" t="s">
        <v>757</v>
      </c>
      <c r="G81" s="1505"/>
      <c r="H81" s="1526"/>
      <c r="I81" s="1526"/>
      <c r="J81" s="1894"/>
      <c r="K81" s="261"/>
      <c r="L81" s="1895"/>
      <c r="M81" s="1895"/>
      <c r="N81" s="1895"/>
      <c r="O81" s="1895"/>
      <c r="P81" s="1895"/>
      <c r="Q81" s="1895"/>
      <c r="R81" s="1895"/>
      <c r="S81" s="1895"/>
      <c r="T81" s="1895"/>
      <c r="U81" s="1895"/>
    </row>
    <row r="82" spans="1:21" ht="14.25" customHeight="1">
      <c r="A82" s="869"/>
      <c r="B82" s="1774"/>
      <c r="C82" s="1776"/>
      <c r="D82" s="1776"/>
      <c r="E82" s="1776"/>
      <c r="F82" s="1775"/>
      <c r="G82" s="1505"/>
      <c r="H82" s="1526"/>
      <c r="I82" s="1526"/>
      <c r="J82" s="1601"/>
      <c r="K82" s="261"/>
      <c r="L82" s="309"/>
      <c r="M82" s="309"/>
      <c r="N82" s="309"/>
      <c r="O82" s="309"/>
      <c r="P82" s="309"/>
      <c r="Q82" s="309"/>
      <c r="R82" s="309"/>
      <c r="S82" s="309"/>
      <c r="T82" s="309"/>
      <c r="U82" s="309"/>
    </row>
    <row r="83" spans="1:21" ht="14.25" customHeight="1">
      <c r="A83" s="871">
        <v>45040</v>
      </c>
      <c r="B83" s="784"/>
      <c r="C83" s="785"/>
      <c r="D83" s="786"/>
      <c r="E83" s="785"/>
      <c r="F83" s="781"/>
      <c r="G83" s="1505"/>
      <c r="H83" s="1526"/>
      <c r="I83" s="1526"/>
      <c r="J83" s="1601"/>
      <c r="K83" s="261"/>
      <c r="L83" s="309"/>
      <c r="M83" s="309"/>
      <c r="N83" s="309"/>
      <c r="O83" s="309"/>
      <c r="P83" s="309"/>
      <c r="Q83" s="309"/>
      <c r="R83" s="309"/>
      <c r="S83" s="309"/>
      <c r="T83" s="309"/>
      <c r="U83" s="309"/>
    </row>
    <row r="84" spans="1:21" ht="14.25" customHeight="1">
      <c r="A84" s="868" t="s">
        <v>820</v>
      </c>
      <c r="B84" s="784"/>
      <c r="C84" s="785"/>
      <c r="D84" s="786"/>
      <c r="E84" s="785"/>
      <c r="F84" s="781"/>
      <c r="G84" s="1505"/>
      <c r="H84" s="1526"/>
      <c r="I84" s="1526"/>
      <c r="J84" s="1601"/>
      <c r="K84" s="261"/>
      <c r="L84" s="309"/>
      <c r="M84" s="309"/>
      <c r="N84" s="309"/>
      <c r="O84" s="309"/>
      <c r="P84" s="309"/>
      <c r="Q84" s="309"/>
      <c r="R84" s="309"/>
      <c r="S84" s="309"/>
      <c r="T84" s="309"/>
      <c r="U84" s="309"/>
    </row>
    <row r="85" spans="1:21" ht="14.25" customHeight="1">
      <c r="A85" s="869" t="s">
        <v>826</v>
      </c>
      <c r="B85" s="621">
        <v>30</v>
      </c>
      <c r="C85" s="624">
        <v>100.01</v>
      </c>
      <c r="D85" s="792">
        <v>0</v>
      </c>
      <c r="E85" s="624">
        <v>3000.28</v>
      </c>
      <c r="F85" s="546" t="s">
        <v>470</v>
      </c>
      <c r="G85" s="1505"/>
      <c r="H85" s="1526"/>
      <c r="I85" s="1526"/>
      <c r="J85" s="1601"/>
      <c r="K85" s="261"/>
      <c r="L85" s="309"/>
      <c r="M85" s="309"/>
      <c r="N85" s="309"/>
      <c r="O85" s="309"/>
      <c r="P85" s="309"/>
      <c r="Q85" s="309"/>
      <c r="R85" s="309"/>
      <c r="S85" s="309"/>
      <c r="T85" s="309"/>
      <c r="U85" s="309"/>
    </row>
    <row r="86" spans="1:21" ht="14.25" customHeight="1">
      <c r="A86" s="868"/>
      <c r="B86" s="784"/>
      <c r="C86" s="785"/>
      <c r="D86" s="786"/>
      <c r="E86" s="785"/>
      <c r="F86" s="781"/>
      <c r="G86" s="1505"/>
      <c r="H86" s="1526"/>
      <c r="I86" s="1526"/>
      <c r="J86" s="1601"/>
      <c r="K86" s="261"/>
      <c r="L86" s="309"/>
      <c r="M86" s="309"/>
      <c r="N86" s="309"/>
      <c r="O86" s="309"/>
      <c r="P86" s="309"/>
      <c r="Q86" s="309"/>
      <c r="R86" s="309"/>
      <c r="S86" s="309"/>
      <c r="T86" s="309"/>
      <c r="U86" s="309"/>
    </row>
    <row r="87" spans="1:21" ht="14.25" customHeight="1">
      <c r="A87" s="871">
        <v>45035</v>
      </c>
      <c r="B87" s="784"/>
      <c r="C87" s="785"/>
      <c r="D87" s="786"/>
      <c r="E87" s="785"/>
      <c r="F87" s="781"/>
      <c r="G87" s="1505"/>
      <c r="H87" s="1526"/>
      <c r="I87" s="1526"/>
      <c r="J87" s="1601"/>
      <c r="K87" s="261"/>
      <c r="L87" s="309"/>
      <c r="M87" s="309"/>
      <c r="N87" s="309"/>
      <c r="O87" s="309"/>
      <c r="P87" s="309"/>
      <c r="Q87" s="309"/>
      <c r="R87" s="309"/>
      <c r="S87" s="309"/>
      <c r="T87" s="309"/>
      <c r="U87" s="309"/>
    </row>
    <row r="88" spans="1:21" ht="14.25" customHeight="1">
      <c r="A88" s="868" t="s">
        <v>824</v>
      </c>
      <c r="B88" s="784"/>
      <c r="C88" s="785"/>
      <c r="D88" s="786"/>
      <c r="E88" s="785"/>
      <c r="F88" s="781"/>
      <c r="G88" s="1505"/>
      <c r="H88" s="1526"/>
      <c r="I88" s="1526"/>
      <c r="J88" s="1601"/>
      <c r="K88" s="261"/>
      <c r="L88" s="309"/>
      <c r="M88" s="309"/>
      <c r="N88" s="309"/>
      <c r="O88" s="309"/>
      <c r="P88" s="309"/>
      <c r="Q88" s="309"/>
      <c r="R88" s="309"/>
      <c r="S88" s="309"/>
      <c r="T88" s="309"/>
      <c r="U88" s="309"/>
    </row>
    <row r="89" spans="1:21" ht="14.25" customHeight="1">
      <c r="A89" s="869" t="s">
        <v>827</v>
      </c>
      <c r="B89" s="1774">
        <v>12</v>
      </c>
      <c r="C89" s="1776">
        <v>104.2449</v>
      </c>
      <c r="D89" s="1776">
        <v>0</v>
      </c>
      <c r="E89" s="1776">
        <f>B89*C89</f>
        <v>1250.9387999999999</v>
      </c>
      <c r="F89" s="1775" t="s">
        <v>758</v>
      </c>
      <c r="G89" s="1505"/>
      <c r="H89" s="1526"/>
      <c r="I89" s="1526"/>
      <c r="J89" s="1601"/>
      <c r="K89" s="261"/>
      <c r="L89" s="309"/>
      <c r="M89" s="309"/>
      <c r="N89" s="309"/>
      <c r="O89" s="309"/>
      <c r="P89" s="309"/>
      <c r="Q89" s="309"/>
      <c r="R89" s="309"/>
      <c r="S89" s="309"/>
      <c r="T89" s="309"/>
      <c r="U89" s="309"/>
    </row>
    <row r="90" spans="1:21" ht="14.25" customHeight="1">
      <c r="A90" s="868"/>
      <c r="B90" s="784"/>
      <c r="C90" s="785"/>
      <c r="D90" s="786"/>
      <c r="E90" s="785"/>
      <c r="F90" s="781"/>
      <c r="G90" s="1505"/>
      <c r="H90" s="1526"/>
      <c r="I90" s="1526"/>
      <c r="J90" s="1601"/>
      <c r="K90" s="261"/>
      <c r="L90" s="309"/>
      <c r="M90" s="309"/>
      <c r="N90" s="309"/>
      <c r="O90" s="309"/>
      <c r="P90" s="309"/>
      <c r="Q90" s="309"/>
      <c r="R90" s="309"/>
      <c r="S90" s="309"/>
      <c r="T90" s="309"/>
      <c r="U90" s="309"/>
    </row>
    <row r="91" spans="1:21" ht="14.25" customHeight="1">
      <c r="A91" s="871">
        <v>45034</v>
      </c>
      <c r="B91" s="784"/>
      <c r="C91" s="785"/>
      <c r="D91" s="786"/>
      <c r="E91" s="785"/>
      <c r="F91" s="781"/>
      <c r="G91" s="1505"/>
      <c r="H91" s="1526"/>
      <c r="I91" s="1526"/>
      <c r="J91" s="1601"/>
      <c r="K91" s="261"/>
      <c r="L91" s="309"/>
      <c r="M91" s="309"/>
      <c r="N91" s="309"/>
      <c r="O91" s="309"/>
      <c r="P91" s="309"/>
      <c r="Q91" s="309"/>
      <c r="R91" s="309"/>
      <c r="S91" s="309"/>
      <c r="T91" s="309"/>
      <c r="U91" s="309"/>
    </row>
    <row r="92" spans="1:21" ht="14.25" customHeight="1">
      <c r="A92" s="868" t="s">
        <v>824</v>
      </c>
      <c r="B92" s="784"/>
      <c r="C92" s="785"/>
      <c r="D92" s="786"/>
      <c r="E92" s="785"/>
      <c r="F92" s="781"/>
      <c r="G92" s="1505"/>
      <c r="H92" s="1526"/>
      <c r="I92" s="1526"/>
      <c r="J92" s="1601"/>
      <c r="K92" s="261"/>
      <c r="L92" s="309"/>
      <c r="M92" s="309"/>
      <c r="N92" s="309"/>
      <c r="O92" s="309"/>
      <c r="P92" s="309"/>
      <c r="Q92" s="309"/>
      <c r="R92" s="309"/>
      <c r="S92" s="309"/>
      <c r="T92" s="309"/>
      <c r="U92" s="309"/>
    </row>
    <row r="93" spans="1:21" ht="14.25" customHeight="1">
      <c r="A93" s="869" t="s">
        <v>828</v>
      </c>
      <c r="B93" s="621">
        <v>80</v>
      </c>
      <c r="C93" s="624">
        <v>50.479599999999998</v>
      </c>
      <c r="D93" s="792">
        <v>0</v>
      </c>
      <c r="E93" s="1777">
        <f>B93*C93</f>
        <v>4038.3679999999999</v>
      </c>
      <c r="F93" s="546" t="s">
        <v>762</v>
      </c>
      <c r="G93" s="1505"/>
      <c r="H93" s="1526"/>
      <c r="I93" s="1526"/>
      <c r="J93" s="1601"/>
      <c r="K93" s="261"/>
      <c r="L93" s="309"/>
      <c r="M93" s="309"/>
      <c r="N93" s="309"/>
      <c r="O93" s="309"/>
      <c r="P93" s="309"/>
      <c r="Q93" s="309"/>
      <c r="R93" s="309"/>
      <c r="S93" s="309"/>
      <c r="T93" s="309"/>
      <c r="U93" s="309"/>
    </row>
    <row r="94" spans="1:21" ht="14.25" customHeight="1">
      <c r="A94" s="868"/>
      <c r="B94" s="621"/>
      <c r="C94" s="624"/>
      <c r="D94" s="792"/>
      <c r="E94" s="1777"/>
      <c r="F94" s="546"/>
      <c r="G94" s="1505"/>
      <c r="H94" s="1526"/>
      <c r="I94" s="1526"/>
      <c r="J94" s="1601"/>
      <c r="K94" s="261"/>
      <c r="L94" s="309"/>
      <c r="M94" s="309"/>
      <c r="N94" s="309"/>
      <c r="O94" s="309"/>
      <c r="P94" s="309"/>
      <c r="Q94" s="309"/>
      <c r="R94" s="309"/>
      <c r="S94" s="309"/>
      <c r="T94" s="309"/>
      <c r="U94" s="309"/>
    </row>
    <row r="95" spans="1:21" ht="14.25" customHeight="1">
      <c r="A95" s="871">
        <v>45034</v>
      </c>
      <c r="B95" s="621"/>
      <c r="C95" s="624"/>
      <c r="D95" s="792"/>
      <c r="E95" s="1777"/>
      <c r="F95" s="546"/>
      <c r="G95" s="1505"/>
      <c r="H95" s="1526"/>
      <c r="I95" s="1526"/>
      <c r="J95" s="1601"/>
      <c r="K95" s="261"/>
      <c r="L95" s="309"/>
      <c r="M95" s="309"/>
      <c r="N95" s="309"/>
      <c r="O95" s="309"/>
      <c r="P95" s="309"/>
      <c r="Q95" s="309"/>
      <c r="R95" s="309"/>
      <c r="S95" s="309"/>
      <c r="T95" s="309"/>
      <c r="U95" s="309"/>
    </row>
    <row r="96" spans="1:21" ht="14.25" customHeight="1">
      <c r="A96" s="868" t="s">
        <v>824</v>
      </c>
      <c r="B96" s="621"/>
      <c r="C96" s="624"/>
      <c r="D96" s="792"/>
      <c r="E96" s="1777"/>
      <c r="F96" s="546"/>
      <c r="G96" s="1505"/>
      <c r="H96" s="1526"/>
      <c r="I96" s="1526"/>
      <c r="J96" s="1601"/>
      <c r="K96" s="261"/>
      <c r="L96" s="309"/>
      <c r="M96" s="309"/>
      <c r="N96" s="309"/>
      <c r="O96" s="309"/>
      <c r="P96" s="309"/>
      <c r="Q96" s="309"/>
      <c r="R96" s="309"/>
      <c r="S96" s="309"/>
      <c r="T96" s="309"/>
      <c r="U96" s="309"/>
    </row>
    <row r="97" spans="1:21" ht="14.25" customHeight="1">
      <c r="A97" s="869" t="s">
        <v>829</v>
      </c>
      <c r="B97" s="621">
        <v>31</v>
      </c>
      <c r="C97" s="624">
        <v>51.817799999999998</v>
      </c>
      <c r="D97" s="792">
        <v>0</v>
      </c>
      <c r="E97" s="1777">
        <f>B97*C97</f>
        <v>1606.3517999999999</v>
      </c>
      <c r="F97" s="546" t="s">
        <v>759</v>
      </c>
      <c r="G97" s="1505"/>
      <c r="H97" s="1526"/>
      <c r="I97" s="1526"/>
      <c r="J97" s="1601"/>
      <c r="K97" s="261"/>
      <c r="L97" s="309"/>
      <c r="M97" s="309"/>
      <c r="N97" s="309"/>
      <c r="O97" s="309"/>
      <c r="P97" s="309"/>
      <c r="Q97" s="309"/>
      <c r="R97" s="309"/>
      <c r="S97" s="309"/>
      <c r="T97" s="309"/>
      <c r="U97" s="309"/>
    </row>
    <row r="98" spans="1:21" ht="14.25" customHeight="1">
      <c r="A98" s="868"/>
      <c r="B98" s="621"/>
      <c r="C98" s="624"/>
      <c r="D98" s="792"/>
      <c r="E98" s="1777"/>
      <c r="F98" s="546"/>
      <c r="G98" s="1505"/>
      <c r="H98" s="1526"/>
      <c r="I98" s="1526"/>
      <c r="J98" s="1601"/>
      <c r="K98" s="261"/>
      <c r="L98" s="309"/>
      <c r="M98" s="309"/>
      <c r="N98" s="309"/>
      <c r="O98" s="309"/>
      <c r="P98" s="309"/>
      <c r="Q98" s="309"/>
      <c r="R98" s="309"/>
      <c r="S98" s="309"/>
      <c r="T98" s="309"/>
      <c r="U98" s="309"/>
    </row>
    <row r="99" spans="1:21" ht="14.25" customHeight="1">
      <c r="A99" s="871">
        <v>45026</v>
      </c>
      <c r="B99" s="621"/>
      <c r="C99" s="624"/>
      <c r="D99" s="792"/>
      <c r="E99" s="1777"/>
      <c r="F99" s="546"/>
      <c r="G99" s="1505"/>
      <c r="H99" s="1526"/>
      <c r="I99" s="1526"/>
      <c r="J99" s="1601"/>
      <c r="K99" s="261"/>
      <c r="L99" s="309"/>
      <c r="M99" s="309"/>
      <c r="N99" s="309"/>
      <c r="O99" s="309"/>
      <c r="P99" s="309"/>
      <c r="Q99" s="309"/>
      <c r="R99" s="309"/>
      <c r="S99" s="309"/>
      <c r="T99" s="309"/>
      <c r="U99" s="309"/>
    </row>
    <row r="100" spans="1:21" ht="14.25" customHeight="1">
      <c r="A100" s="868" t="s">
        <v>824</v>
      </c>
      <c r="B100" s="621"/>
      <c r="C100" s="624"/>
      <c r="D100" s="792"/>
      <c r="E100" s="1777"/>
      <c r="F100" s="546"/>
      <c r="G100" s="1505"/>
      <c r="H100" s="1526"/>
      <c r="I100" s="1526"/>
      <c r="J100" s="1601"/>
      <c r="K100" s="261"/>
      <c r="L100" s="309"/>
      <c r="M100" s="309"/>
      <c r="N100" s="309"/>
      <c r="O100" s="309"/>
      <c r="P100" s="309"/>
      <c r="Q100" s="309"/>
      <c r="R100" s="309"/>
      <c r="S100" s="309"/>
      <c r="T100" s="309"/>
      <c r="U100" s="309"/>
    </row>
    <row r="101" spans="1:21" ht="14.25" customHeight="1">
      <c r="A101" s="869" t="s">
        <v>830</v>
      </c>
      <c r="B101" s="621">
        <v>50</v>
      </c>
      <c r="C101" s="624">
        <v>48.704999999999998</v>
      </c>
      <c r="D101" s="792">
        <v>0</v>
      </c>
      <c r="E101" s="1777">
        <f>B101*C101</f>
        <v>2435.25</v>
      </c>
      <c r="F101" s="546" t="s">
        <v>154</v>
      </c>
      <c r="G101" s="1505"/>
      <c r="H101" s="1526"/>
      <c r="I101" s="1526"/>
      <c r="J101" s="1601"/>
      <c r="K101" s="261"/>
      <c r="L101" s="309"/>
      <c r="M101" s="309"/>
      <c r="N101" s="309"/>
      <c r="O101" s="309"/>
      <c r="P101" s="309"/>
      <c r="Q101" s="309"/>
      <c r="R101" s="309"/>
      <c r="S101" s="309"/>
      <c r="T101" s="309"/>
      <c r="U101" s="309"/>
    </row>
    <row r="102" spans="1:21" ht="14.25" customHeight="1">
      <c r="A102" s="868"/>
      <c r="B102" s="784"/>
      <c r="C102" s="785"/>
      <c r="D102" s="786"/>
      <c r="E102" s="1773"/>
      <c r="F102" s="781"/>
      <c r="G102" s="1505"/>
      <c r="H102" s="1526"/>
      <c r="I102" s="1526"/>
      <c r="J102" s="1601"/>
      <c r="K102" s="261"/>
      <c r="L102" s="309"/>
      <c r="M102" s="309"/>
      <c r="N102" s="309"/>
      <c r="O102" s="309"/>
      <c r="P102" s="309"/>
      <c r="Q102" s="309"/>
      <c r="R102" s="309"/>
      <c r="S102" s="309"/>
      <c r="T102" s="309"/>
      <c r="U102" s="309"/>
    </row>
    <row r="103" spans="1:21" ht="14.25" customHeight="1">
      <c r="A103" s="871">
        <v>45012</v>
      </c>
      <c r="B103" s="784"/>
      <c r="C103" s="785"/>
      <c r="D103" s="786"/>
      <c r="E103" s="785"/>
      <c r="F103" s="781"/>
      <c r="G103" s="1505"/>
      <c r="H103" s="1526"/>
      <c r="I103" s="1526"/>
      <c r="J103" s="1601"/>
      <c r="K103" s="261"/>
      <c r="L103" s="309"/>
      <c r="M103" s="309"/>
      <c r="N103" s="309"/>
      <c r="O103" s="309"/>
      <c r="P103" s="309"/>
      <c r="Q103" s="309"/>
      <c r="R103" s="309"/>
      <c r="S103" s="309"/>
      <c r="T103" s="309"/>
      <c r="U103" s="309"/>
    </row>
    <row r="104" spans="1:21" ht="14.25" customHeight="1">
      <c r="A104" s="868" t="s">
        <v>820</v>
      </c>
      <c r="B104" s="784"/>
      <c r="C104" s="785"/>
      <c r="D104" s="786"/>
      <c r="E104" s="785"/>
      <c r="F104" s="781"/>
      <c r="G104" s="1505"/>
      <c r="H104" s="1526"/>
      <c r="I104" s="1526"/>
      <c r="J104" s="1601"/>
      <c r="K104" s="261"/>
      <c r="L104" s="309"/>
      <c r="M104" s="309"/>
      <c r="N104" s="309"/>
      <c r="O104" s="309"/>
      <c r="P104" s="309"/>
      <c r="Q104" s="309"/>
      <c r="R104" s="309"/>
      <c r="S104" s="309"/>
      <c r="T104" s="309"/>
      <c r="U104" s="309"/>
    </row>
    <row r="105" spans="1:21" ht="14.25" customHeight="1">
      <c r="A105" s="869" t="s">
        <v>831</v>
      </c>
      <c r="B105" s="621">
        <v>25</v>
      </c>
      <c r="C105" s="624">
        <v>266.81380000000001</v>
      </c>
      <c r="D105" s="792">
        <v>0</v>
      </c>
      <c r="E105" s="624">
        <v>6670.35</v>
      </c>
      <c r="F105" s="546" t="s">
        <v>194</v>
      </c>
      <c r="G105" s="1505"/>
      <c r="H105" s="1526"/>
      <c r="I105" s="1526"/>
      <c r="J105" s="1601"/>
      <c r="K105" s="261"/>
      <c r="L105" s="309"/>
      <c r="M105" s="309"/>
      <c r="N105" s="309"/>
      <c r="O105" s="309"/>
      <c r="P105" s="309"/>
      <c r="Q105" s="309"/>
      <c r="R105" s="309"/>
      <c r="S105" s="309"/>
      <c r="T105" s="309"/>
      <c r="U105" s="309"/>
    </row>
    <row r="106" spans="1:21" ht="14.25" customHeight="1">
      <c r="A106" s="868"/>
      <c r="B106" s="784"/>
      <c r="C106" s="785"/>
      <c r="D106" s="786"/>
      <c r="E106" s="785"/>
      <c r="F106" s="781"/>
      <c r="G106" s="1505"/>
      <c r="H106" s="1526"/>
      <c r="I106" s="1526"/>
      <c r="J106" s="1601"/>
      <c r="K106" s="261"/>
      <c r="L106" s="309"/>
      <c r="M106" s="309"/>
      <c r="N106" s="309"/>
      <c r="O106" s="309"/>
      <c r="P106" s="309"/>
      <c r="Q106" s="309"/>
      <c r="R106" s="309"/>
      <c r="S106" s="309"/>
      <c r="T106" s="309"/>
      <c r="U106" s="309"/>
    </row>
    <row r="107" spans="1:21" ht="14.25" customHeight="1">
      <c r="A107" s="871">
        <v>45002</v>
      </c>
      <c r="B107" s="784"/>
      <c r="C107" s="785"/>
      <c r="D107" s="786"/>
      <c r="E107" s="785"/>
      <c r="F107" s="781"/>
      <c r="G107" s="1505"/>
      <c r="H107" s="1526"/>
      <c r="I107" s="1526"/>
      <c r="J107" s="1601"/>
      <c r="K107" s="261"/>
      <c r="L107" s="309"/>
      <c r="M107" s="309"/>
      <c r="N107" s="309"/>
      <c r="O107" s="309"/>
      <c r="P107" s="309"/>
      <c r="Q107" s="309"/>
      <c r="R107" s="309"/>
      <c r="S107" s="309"/>
      <c r="T107" s="309"/>
      <c r="U107" s="309"/>
    </row>
    <row r="108" spans="1:21" ht="14.25" customHeight="1">
      <c r="A108" s="868" t="s">
        <v>820</v>
      </c>
      <c r="B108" s="784"/>
      <c r="C108" s="785"/>
      <c r="D108" s="786"/>
      <c r="E108" s="785"/>
      <c r="F108" s="781"/>
      <c r="G108" s="1505"/>
      <c r="H108" s="1526"/>
      <c r="I108" s="1526"/>
      <c r="J108" s="1601"/>
      <c r="K108" s="261"/>
      <c r="L108" s="309"/>
      <c r="M108" s="309"/>
      <c r="N108" s="309"/>
      <c r="O108" s="309"/>
      <c r="P108" s="309"/>
      <c r="Q108" s="309"/>
      <c r="R108" s="309"/>
      <c r="S108" s="309"/>
      <c r="T108" s="309"/>
      <c r="U108" s="309"/>
    </row>
    <row r="109" spans="1:21" ht="14.25" customHeight="1">
      <c r="A109" s="869" t="s">
        <v>832</v>
      </c>
      <c r="B109" s="621">
        <v>36</v>
      </c>
      <c r="C109" s="624">
        <v>86.333699999999993</v>
      </c>
      <c r="D109" s="792">
        <v>0</v>
      </c>
      <c r="E109" s="624">
        <v>3107.98</v>
      </c>
      <c r="F109" s="546" t="s">
        <v>730</v>
      </c>
      <c r="G109" s="1505"/>
      <c r="H109" s="1526"/>
      <c r="I109" s="1526"/>
      <c r="J109" s="1601"/>
      <c r="K109" s="261"/>
      <c r="L109" s="309"/>
      <c r="M109" s="309"/>
      <c r="N109" s="309"/>
      <c r="O109" s="309"/>
      <c r="P109" s="309"/>
      <c r="Q109" s="309"/>
      <c r="R109" s="309"/>
      <c r="S109" s="309"/>
      <c r="T109" s="309"/>
      <c r="U109" s="309"/>
    </row>
    <row r="110" spans="1:21" ht="14.25" customHeight="1">
      <c r="A110" s="868"/>
      <c r="B110" s="784"/>
      <c r="C110" s="785"/>
      <c r="D110" s="786"/>
      <c r="E110" s="785"/>
      <c r="F110" s="781"/>
      <c r="G110" s="1505"/>
      <c r="H110" s="1526"/>
      <c r="I110" s="1526"/>
      <c r="J110" s="1601"/>
      <c r="K110" s="261"/>
      <c r="L110" s="309"/>
      <c r="M110" s="309"/>
      <c r="N110" s="309"/>
      <c r="O110" s="309"/>
      <c r="P110" s="309"/>
      <c r="Q110" s="309"/>
      <c r="R110" s="309"/>
      <c r="S110" s="309"/>
      <c r="T110" s="309"/>
      <c r="U110" s="309"/>
    </row>
    <row r="111" spans="1:21" ht="14.25" customHeight="1">
      <c r="A111" s="871">
        <v>45002</v>
      </c>
      <c r="B111" s="784"/>
      <c r="C111" s="785"/>
      <c r="D111" s="786"/>
      <c r="E111" s="785"/>
      <c r="F111" s="781"/>
      <c r="G111" s="1505"/>
      <c r="H111" s="1526"/>
      <c r="I111" s="1526"/>
      <c r="J111" s="1601"/>
      <c r="K111" s="261"/>
      <c r="L111" s="309"/>
      <c r="M111" s="309"/>
      <c r="N111" s="309"/>
      <c r="O111" s="309"/>
      <c r="P111" s="309"/>
      <c r="Q111" s="309"/>
      <c r="R111" s="309"/>
      <c r="S111" s="309"/>
      <c r="T111" s="309"/>
      <c r="U111" s="309"/>
    </row>
    <row r="112" spans="1:21" ht="14.25" customHeight="1">
      <c r="A112" s="868" t="s">
        <v>824</v>
      </c>
      <c r="B112" s="621"/>
      <c r="C112" s="623"/>
      <c r="D112" s="792"/>
      <c r="E112" s="623"/>
      <c r="F112" s="546"/>
      <c r="G112" s="1759"/>
      <c r="H112" s="1501"/>
      <c r="I112" s="1501"/>
      <c r="J112" s="1612" t="s">
        <v>760</v>
      </c>
      <c r="K112" s="261"/>
      <c r="L112" s="309"/>
      <c r="M112" s="309"/>
      <c r="N112" s="309"/>
      <c r="O112" s="309"/>
      <c r="P112" s="309"/>
      <c r="Q112" s="309"/>
      <c r="R112" s="309"/>
      <c r="S112" s="309"/>
      <c r="T112" s="309"/>
      <c r="U112" s="309"/>
    </row>
    <row r="113" spans="1:21" ht="14.25" customHeight="1">
      <c r="A113" s="869" t="s">
        <v>833</v>
      </c>
      <c r="B113" s="621">
        <v>40</v>
      </c>
      <c r="C113" s="624">
        <v>33.229199999999999</v>
      </c>
      <c r="D113" s="792">
        <v>0</v>
      </c>
      <c r="E113" s="624">
        <f>B113*C113</f>
        <v>1329.1679999999999</v>
      </c>
      <c r="F113" s="546" t="s">
        <v>760</v>
      </c>
      <c r="G113" s="1759"/>
      <c r="H113" s="1501"/>
      <c r="I113" s="1501" t="s">
        <v>760</v>
      </c>
      <c r="J113" s="1612"/>
      <c r="K113" s="261"/>
      <c r="L113" s="309"/>
      <c r="M113" s="309"/>
      <c r="N113" s="309"/>
      <c r="O113" s="309"/>
      <c r="P113" s="309"/>
      <c r="Q113" s="309"/>
      <c r="R113" s="309"/>
      <c r="S113" s="309"/>
      <c r="T113" s="309"/>
      <c r="U113" s="309"/>
    </row>
    <row r="114" spans="1:21" ht="14.25" customHeight="1">
      <c r="A114" s="868"/>
      <c r="B114" s="784"/>
      <c r="C114" s="785"/>
      <c r="D114" s="786"/>
      <c r="E114" s="785"/>
      <c r="F114" s="781"/>
      <c r="G114" s="1505"/>
      <c r="H114" s="1526"/>
      <c r="I114" s="1526"/>
      <c r="J114" s="1601"/>
      <c r="K114" s="261"/>
      <c r="L114" s="309"/>
      <c r="M114" s="309"/>
      <c r="N114" s="309"/>
      <c r="O114" s="309"/>
      <c r="P114" s="309"/>
      <c r="Q114" s="309"/>
      <c r="R114" s="309"/>
      <c r="S114" s="309"/>
      <c r="T114" s="309"/>
      <c r="U114" s="309"/>
    </row>
    <row r="115" spans="1:21" ht="14.25" customHeight="1">
      <c r="A115" s="871">
        <v>45002</v>
      </c>
      <c r="B115" s="621"/>
      <c r="C115" s="623"/>
      <c r="D115" s="792"/>
      <c r="E115" s="623"/>
      <c r="F115" s="546"/>
      <c r="G115" s="1759"/>
      <c r="H115" s="1501"/>
      <c r="I115" s="1501"/>
      <c r="J115" s="1612" t="s">
        <v>761</v>
      </c>
      <c r="K115" s="261"/>
      <c r="L115" s="309"/>
      <c r="M115" s="309"/>
      <c r="N115" s="309"/>
      <c r="O115" s="309"/>
      <c r="P115" s="309"/>
      <c r="Q115" s="309"/>
      <c r="R115" s="309"/>
      <c r="S115" s="309"/>
      <c r="T115" s="309"/>
      <c r="U115" s="309"/>
    </row>
    <row r="116" spans="1:21" ht="14.25" customHeight="1">
      <c r="A116" s="868" t="s">
        <v>824</v>
      </c>
      <c r="B116" s="621">
        <v>25</v>
      </c>
      <c r="C116" s="624">
        <v>151.72</v>
      </c>
      <c r="D116" s="792">
        <v>0</v>
      </c>
      <c r="E116" s="624">
        <f>B116*C116</f>
        <v>3793</v>
      </c>
      <c r="F116" s="546" t="s">
        <v>761</v>
      </c>
      <c r="G116" s="1759"/>
      <c r="H116" s="1501"/>
      <c r="I116" s="1501" t="s">
        <v>761</v>
      </c>
      <c r="J116" s="1612"/>
      <c r="K116" s="261"/>
      <c r="L116" s="309"/>
      <c r="M116" s="309"/>
      <c r="N116" s="309"/>
      <c r="O116" s="309"/>
      <c r="P116" s="309"/>
      <c r="Q116" s="309"/>
      <c r="R116" s="309"/>
      <c r="S116" s="309"/>
      <c r="T116" s="309"/>
      <c r="U116" s="309"/>
    </row>
    <row r="117" spans="1:21" ht="14.25" customHeight="1">
      <c r="A117" s="869" t="s">
        <v>834</v>
      </c>
      <c r="B117" s="621"/>
      <c r="C117" s="623"/>
      <c r="D117" s="792"/>
      <c r="E117" s="623"/>
      <c r="F117" s="546"/>
      <c r="G117" s="1759"/>
      <c r="H117" s="1501"/>
      <c r="I117" s="1501"/>
      <c r="J117" s="1612"/>
      <c r="K117" s="261"/>
      <c r="L117" s="309"/>
      <c r="M117" s="309"/>
      <c r="N117" s="309"/>
      <c r="O117" s="309"/>
      <c r="P117" s="309"/>
      <c r="Q117" s="309"/>
      <c r="R117" s="309"/>
      <c r="S117" s="309"/>
      <c r="T117" s="309"/>
      <c r="U117" s="309"/>
    </row>
    <row r="118" spans="1:21" ht="14.25" customHeight="1">
      <c r="A118" s="868"/>
      <c r="B118" s="784"/>
      <c r="C118" s="785"/>
      <c r="D118" s="786"/>
      <c r="E118" s="785"/>
      <c r="F118" s="781"/>
      <c r="G118" s="1505"/>
      <c r="H118" s="1526"/>
      <c r="I118" s="1526"/>
      <c r="J118" s="1601"/>
      <c r="K118" s="261"/>
      <c r="L118" s="309"/>
      <c r="M118" s="309"/>
      <c r="N118" s="309"/>
      <c r="O118" s="309"/>
      <c r="P118" s="309"/>
      <c r="Q118" s="309"/>
      <c r="R118" s="309"/>
      <c r="S118" s="309"/>
      <c r="T118" s="309"/>
      <c r="U118" s="309"/>
    </row>
    <row r="119" spans="1:21" ht="14.25" customHeight="1">
      <c r="A119" s="871">
        <v>44992</v>
      </c>
      <c r="B119" s="784"/>
      <c r="C119" s="785"/>
      <c r="D119" s="786"/>
      <c r="E119" s="785"/>
      <c r="F119" s="781"/>
      <c r="G119" s="1505"/>
      <c r="H119" s="1526"/>
      <c r="I119" s="1526"/>
      <c r="J119" s="1601"/>
      <c r="K119" s="261"/>
      <c r="L119" s="309"/>
      <c r="M119" s="309"/>
      <c r="N119" s="309"/>
      <c r="O119" s="309"/>
      <c r="P119" s="309"/>
      <c r="Q119" s="309"/>
      <c r="R119" s="309"/>
      <c r="S119" s="309"/>
      <c r="T119" s="309"/>
      <c r="U119" s="309"/>
    </row>
    <row r="120" spans="1:21" ht="14.25" customHeight="1">
      <c r="A120" s="868" t="s">
        <v>820</v>
      </c>
      <c r="B120" s="784"/>
      <c r="C120" s="785"/>
      <c r="D120" s="786"/>
      <c r="E120" s="785"/>
      <c r="F120" s="781"/>
      <c r="G120" s="1505"/>
      <c r="H120" s="1526"/>
      <c r="I120" s="1526"/>
      <c r="J120" s="1601"/>
      <c r="K120" s="261"/>
      <c r="L120" s="309"/>
      <c r="M120" s="309"/>
      <c r="N120" s="309"/>
      <c r="O120" s="309"/>
      <c r="P120" s="309"/>
      <c r="Q120" s="309"/>
      <c r="R120" s="309"/>
      <c r="S120" s="309"/>
      <c r="T120" s="309"/>
      <c r="U120" s="309"/>
    </row>
    <row r="121" spans="1:21" s="1758" customFormat="1" ht="14.25" customHeight="1">
      <c r="A121" s="869" t="s">
        <v>835</v>
      </c>
      <c r="B121" s="621">
        <v>62</v>
      </c>
      <c r="C121" s="624">
        <v>40.22</v>
      </c>
      <c r="D121" s="623">
        <v>0</v>
      </c>
      <c r="E121" s="624">
        <v>2493.61</v>
      </c>
      <c r="F121" s="546" t="s">
        <v>680</v>
      </c>
      <c r="G121" s="1505"/>
      <c r="H121" s="1526"/>
      <c r="I121" s="1526"/>
      <c r="J121" s="1601"/>
      <c r="K121" s="261"/>
      <c r="L121" s="345"/>
      <c r="M121" s="345"/>
      <c r="N121" s="345"/>
      <c r="O121" s="345"/>
      <c r="P121" s="345"/>
      <c r="Q121" s="345"/>
      <c r="R121" s="345"/>
      <c r="S121" s="345"/>
      <c r="T121" s="345"/>
      <c r="U121" s="345"/>
    </row>
    <row r="122" spans="1:21" ht="14.25" customHeight="1">
      <c r="A122" s="868"/>
      <c r="B122" s="784"/>
      <c r="C122" s="785"/>
      <c r="D122" s="786"/>
      <c r="E122" s="785"/>
      <c r="F122" s="781"/>
      <c r="G122" s="1505"/>
      <c r="H122" s="1526"/>
      <c r="I122" s="1526"/>
      <c r="J122" s="1601"/>
      <c r="K122" s="261"/>
      <c r="L122" s="309"/>
      <c r="M122" s="309"/>
      <c r="N122" s="309"/>
      <c r="O122" s="309"/>
      <c r="P122" s="309"/>
      <c r="Q122" s="309"/>
      <c r="R122" s="309"/>
      <c r="S122" s="309"/>
      <c r="T122" s="309"/>
      <c r="U122" s="309"/>
    </row>
    <row r="123" spans="1:21" ht="14.25" customHeight="1">
      <c r="A123" s="871">
        <v>44992</v>
      </c>
      <c r="B123" s="784"/>
      <c r="C123" s="785"/>
      <c r="D123" s="786"/>
      <c r="E123" s="785"/>
      <c r="F123" s="781"/>
      <c r="G123" s="1505"/>
      <c r="H123" s="1526"/>
      <c r="I123" s="1526"/>
      <c r="J123" s="1601"/>
      <c r="K123" s="261"/>
      <c r="L123" s="309"/>
      <c r="M123" s="309"/>
      <c r="N123" s="309"/>
      <c r="O123" s="309"/>
      <c r="P123" s="309"/>
      <c r="Q123" s="309"/>
      <c r="R123" s="309"/>
      <c r="S123" s="309"/>
      <c r="T123" s="309"/>
      <c r="U123" s="309"/>
    </row>
    <row r="124" spans="1:21" ht="14.25" customHeight="1">
      <c r="A124" s="868" t="s">
        <v>820</v>
      </c>
      <c r="B124" s="784"/>
      <c r="C124" s="785"/>
      <c r="D124" s="786"/>
      <c r="E124" s="785"/>
      <c r="F124" s="781"/>
      <c r="G124" s="1505"/>
      <c r="H124" s="1526"/>
      <c r="I124" s="1526"/>
      <c r="J124" s="1601"/>
      <c r="K124" s="261"/>
      <c r="L124" s="309"/>
      <c r="M124" s="309"/>
      <c r="N124" s="309"/>
      <c r="O124" s="309"/>
      <c r="P124" s="309"/>
      <c r="Q124" s="309"/>
      <c r="R124" s="309"/>
      <c r="S124" s="309"/>
      <c r="T124" s="309"/>
      <c r="U124" s="309"/>
    </row>
    <row r="125" spans="1:21" s="1632" customFormat="1" ht="14.25" customHeight="1">
      <c r="A125" s="869" t="s">
        <v>801</v>
      </c>
      <c r="B125" s="621">
        <v>50</v>
      </c>
      <c r="C125" s="624">
        <v>107.89</v>
      </c>
      <c r="D125" s="792">
        <v>0</v>
      </c>
      <c r="E125" s="624">
        <v>5394.45</v>
      </c>
      <c r="F125" s="546" t="s">
        <v>452</v>
      </c>
      <c r="G125" s="1759"/>
      <c r="H125" s="1501"/>
      <c r="I125" s="1501"/>
      <c r="J125" s="1612"/>
      <c r="K125" s="271"/>
      <c r="L125" s="309"/>
      <c r="M125" s="309"/>
      <c r="N125" s="309"/>
      <c r="O125" s="309"/>
      <c r="P125" s="309"/>
      <c r="Q125" s="309"/>
      <c r="R125" s="309"/>
      <c r="S125" s="309"/>
      <c r="T125" s="309"/>
      <c r="U125" s="309"/>
    </row>
    <row r="126" spans="1:21" ht="14.25" customHeight="1">
      <c r="A126" s="868"/>
      <c r="B126" s="784"/>
      <c r="C126" s="785"/>
      <c r="D126" s="786"/>
      <c r="E126" s="785"/>
      <c r="F126" s="781"/>
      <c r="G126" s="1505"/>
      <c r="H126" s="1526"/>
      <c r="I126" s="1526"/>
      <c r="J126" s="1601"/>
      <c r="K126" s="261"/>
      <c r="L126" s="309"/>
      <c r="M126" s="309"/>
      <c r="N126" s="309"/>
      <c r="O126" s="309"/>
      <c r="P126" s="309"/>
      <c r="Q126" s="309"/>
      <c r="R126" s="309"/>
      <c r="S126" s="309"/>
      <c r="T126" s="309"/>
      <c r="U126" s="309"/>
    </row>
    <row r="127" spans="1:21" ht="14.25" customHeight="1">
      <c r="A127" s="867">
        <v>44676</v>
      </c>
      <c r="B127" s="784"/>
      <c r="C127" s="785"/>
      <c r="D127" s="786"/>
      <c r="E127" s="785"/>
      <c r="F127" s="781"/>
      <c r="G127" s="1505"/>
      <c r="H127" s="1526"/>
      <c r="I127" s="1526"/>
      <c r="J127" s="1612" t="s">
        <v>746</v>
      </c>
      <c r="K127" s="261"/>
      <c r="L127" s="309"/>
      <c r="M127" s="309"/>
      <c r="N127" s="309"/>
      <c r="O127" s="309"/>
      <c r="P127" s="309"/>
      <c r="Q127" s="309"/>
      <c r="R127" s="309"/>
      <c r="S127" s="309"/>
      <c r="T127" s="309"/>
      <c r="U127" s="309"/>
    </row>
    <row r="128" spans="1:21" ht="14.25" customHeight="1">
      <c r="A128" s="273" t="s">
        <v>824</v>
      </c>
      <c r="B128" s="621"/>
      <c r="C128" s="623"/>
      <c r="D128" s="792"/>
      <c r="E128" s="624"/>
      <c r="F128" s="546"/>
      <c r="G128" s="1505"/>
      <c r="H128" s="1526"/>
      <c r="I128" s="1526"/>
      <c r="J128" s="1612"/>
      <c r="K128" s="261"/>
      <c r="L128" s="309"/>
      <c r="M128" s="309"/>
      <c r="N128" s="309"/>
      <c r="O128" s="309"/>
      <c r="P128" s="309"/>
      <c r="Q128" s="309"/>
      <c r="R128" s="309"/>
      <c r="S128" s="309"/>
      <c r="T128" s="309"/>
      <c r="U128" s="309"/>
    </row>
    <row r="129" spans="1:21" ht="14.25" customHeight="1">
      <c r="A129" s="1633" t="s">
        <v>745</v>
      </c>
      <c r="B129" s="621">
        <v>83</v>
      </c>
      <c r="C129" s="624">
        <v>54.083799999999997</v>
      </c>
      <c r="D129" s="792">
        <v>0</v>
      </c>
      <c r="E129" s="629">
        <f>C129*B129</f>
        <v>4488.9553999999998</v>
      </c>
      <c r="F129" s="546" t="s">
        <v>746</v>
      </c>
      <c r="G129" s="1505"/>
      <c r="H129" s="1526"/>
      <c r="I129" s="1501" t="s">
        <v>746</v>
      </c>
      <c r="J129" s="1601"/>
      <c r="K129" s="261"/>
      <c r="L129" s="309"/>
      <c r="M129" s="309"/>
      <c r="N129" s="309"/>
      <c r="O129" s="309"/>
      <c r="P129" s="309"/>
      <c r="Q129" s="309"/>
      <c r="R129" s="309"/>
      <c r="S129" s="309"/>
      <c r="T129" s="309"/>
      <c r="U129" s="309"/>
    </row>
    <row r="130" spans="1:21" ht="14.25" customHeight="1">
      <c r="A130" s="787"/>
      <c r="B130" s="621"/>
      <c r="C130" s="856"/>
      <c r="D130" s="839"/>
      <c r="E130" s="629"/>
      <c r="F130" s="546"/>
      <c r="G130" s="1505"/>
      <c r="H130" s="1526"/>
      <c r="I130" s="1501"/>
      <c r="J130" s="1601"/>
      <c r="K130" s="261"/>
      <c r="L130" s="309"/>
      <c r="M130" s="309"/>
      <c r="N130" s="309"/>
      <c r="O130" s="309"/>
      <c r="P130" s="309"/>
      <c r="Q130" s="309"/>
      <c r="R130" s="309"/>
      <c r="S130" s="309"/>
      <c r="T130" s="309"/>
      <c r="U130" s="309"/>
    </row>
    <row r="131" spans="1:21" ht="14.25" customHeight="1">
      <c r="A131" s="867">
        <v>44676</v>
      </c>
      <c r="B131" s="784"/>
      <c r="C131" s="785"/>
      <c r="D131" s="786"/>
      <c r="E131" s="629"/>
      <c r="F131" s="781"/>
      <c r="G131" s="1505"/>
      <c r="H131" s="1526"/>
      <c r="I131" s="1526"/>
      <c r="J131" s="1612" t="s">
        <v>744</v>
      </c>
      <c r="K131" s="261"/>
      <c r="L131" s="309"/>
      <c r="M131" s="309"/>
      <c r="N131" s="309"/>
      <c r="O131" s="309"/>
      <c r="P131" s="309"/>
      <c r="Q131" s="309"/>
      <c r="R131" s="309"/>
      <c r="S131" s="309"/>
      <c r="T131" s="309"/>
      <c r="U131" s="309"/>
    </row>
    <row r="132" spans="1:21" ht="14.25" customHeight="1">
      <c r="A132" s="273" t="s">
        <v>824</v>
      </c>
      <c r="B132" s="621"/>
      <c r="C132" s="623"/>
      <c r="D132" s="792"/>
      <c r="E132" s="629"/>
      <c r="F132" s="546"/>
      <c r="G132" s="1505"/>
      <c r="H132" s="1526"/>
      <c r="I132" s="1526"/>
      <c r="J132" s="1612"/>
      <c r="K132" s="261"/>
      <c r="L132" s="309"/>
      <c r="M132" s="309"/>
      <c r="N132" s="309"/>
      <c r="O132" s="309"/>
      <c r="P132" s="309"/>
      <c r="Q132" s="309"/>
      <c r="R132" s="309"/>
      <c r="S132" s="309"/>
      <c r="T132" s="309"/>
      <c r="U132" s="309"/>
    </row>
    <row r="133" spans="1:21" ht="14.25" customHeight="1">
      <c r="A133" s="1633" t="s">
        <v>743</v>
      </c>
      <c r="B133" s="621">
        <v>175</v>
      </c>
      <c r="C133" s="624">
        <v>25.734999999999999</v>
      </c>
      <c r="D133" s="792">
        <v>0</v>
      </c>
      <c r="E133" s="629">
        <f>C133*B133</f>
        <v>4503.625</v>
      </c>
      <c r="F133" s="546" t="s">
        <v>744</v>
      </c>
      <c r="G133" s="1505"/>
      <c r="H133" s="1526"/>
      <c r="I133" s="1501" t="s">
        <v>744</v>
      </c>
      <c r="J133" s="1601"/>
      <c r="K133" s="261"/>
      <c r="L133" s="309"/>
      <c r="M133" s="309"/>
      <c r="N133" s="309"/>
      <c r="O133" s="309"/>
      <c r="P133" s="309"/>
      <c r="Q133" s="309"/>
      <c r="R133" s="309"/>
      <c r="S133" s="309"/>
      <c r="T133" s="309"/>
      <c r="U133" s="309"/>
    </row>
    <row r="134" spans="1:21" ht="14.25" customHeight="1">
      <c r="A134" s="787"/>
      <c r="B134" s="621"/>
      <c r="C134" s="856"/>
      <c r="D134" s="839"/>
      <c r="E134" s="629"/>
      <c r="F134" s="546"/>
      <c r="G134" s="1505"/>
      <c r="H134" s="1526"/>
      <c r="I134" s="1501"/>
      <c r="J134" s="1601"/>
      <c r="K134" s="261"/>
      <c r="L134" s="309"/>
      <c r="M134" s="309"/>
      <c r="N134" s="309"/>
      <c r="O134" s="309"/>
      <c r="P134" s="309"/>
      <c r="Q134" s="309"/>
      <c r="R134" s="309"/>
      <c r="S134" s="309"/>
      <c r="T134" s="309"/>
      <c r="U134" s="309"/>
    </row>
    <row r="135" spans="1:21" ht="14.25" customHeight="1">
      <c r="A135" s="867">
        <v>44676</v>
      </c>
      <c r="B135" s="784"/>
      <c r="C135" s="785"/>
      <c r="D135" s="786"/>
      <c r="E135" s="629"/>
      <c r="F135" s="781"/>
      <c r="G135" s="1505"/>
      <c r="H135" s="1526"/>
      <c r="I135" s="1526"/>
      <c r="J135" s="1612" t="s">
        <v>742</v>
      </c>
      <c r="K135" s="261"/>
      <c r="L135" s="309"/>
      <c r="M135" s="309"/>
      <c r="N135" s="309"/>
      <c r="O135" s="309"/>
      <c r="P135" s="309"/>
      <c r="Q135" s="309"/>
      <c r="R135" s="309"/>
      <c r="S135" s="309"/>
      <c r="T135" s="309"/>
      <c r="U135" s="309"/>
    </row>
    <row r="136" spans="1:21" ht="14.25" customHeight="1">
      <c r="A136" s="273" t="s">
        <v>824</v>
      </c>
      <c r="B136" s="621"/>
      <c r="C136" s="623"/>
      <c r="D136" s="792"/>
      <c r="E136" s="629"/>
      <c r="F136" s="546"/>
      <c r="G136" s="1505"/>
      <c r="H136" s="1526"/>
      <c r="I136" s="1526"/>
      <c r="J136" s="1612"/>
      <c r="K136" s="261"/>
      <c r="L136" s="309"/>
      <c r="M136" s="309"/>
      <c r="N136" s="309"/>
      <c r="O136" s="309"/>
      <c r="P136" s="309"/>
      <c r="Q136" s="309"/>
      <c r="R136" s="309"/>
      <c r="S136" s="309"/>
      <c r="T136" s="309"/>
      <c r="U136" s="309"/>
    </row>
    <row r="137" spans="1:21" ht="14.25" customHeight="1">
      <c r="A137" s="1633" t="s">
        <v>741</v>
      </c>
      <c r="B137" s="621">
        <v>221</v>
      </c>
      <c r="C137" s="624">
        <v>20.377600000000001</v>
      </c>
      <c r="D137" s="792">
        <v>0</v>
      </c>
      <c r="E137" s="629">
        <f>C137*B137</f>
        <v>4503.4495999999999</v>
      </c>
      <c r="F137" s="546" t="s">
        <v>742</v>
      </c>
      <c r="G137" s="1505"/>
      <c r="H137" s="1526"/>
      <c r="I137" s="1501" t="s">
        <v>742</v>
      </c>
      <c r="J137" s="1601"/>
      <c r="K137" s="261"/>
      <c r="L137" s="309"/>
      <c r="M137" s="309"/>
      <c r="N137" s="309"/>
      <c r="O137" s="309"/>
      <c r="P137" s="309"/>
      <c r="Q137" s="309"/>
      <c r="R137" s="309"/>
      <c r="S137" s="309"/>
      <c r="T137" s="309"/>
      <c r="U137" s="309"/>
    </row>
    <row r="138" spans="1:21" ht="14.25" customHeight="1">
      <c r="A138" s="787"/>
      <c r="B138" s="621"/>
      <c r="C138" s="856"/>
      <c r="D138" s="839"/>
      <c r="E138" s="629"/>
      <c r="F138" s="546"/>
      <c r="G138" s="1505"/>
      <c r="H138" s="1526"/>
      <c r="I138" s="1501"/>
      <c r="J138" s="1601"/>
      <c r="K138" s="261"/>
      <c r="L138" s="309"/>
      <c r="M138" s="309"/>
      <c r="N138" s="309"/>
      <c r="O138" s="309"/>
      <c r="P138" s="309"/>
      <c r="Q138" s="309"/>
      <c r="R138" s="309"/>
      <c r="S138" s="309"/>
      <c r="T138" s="309"/>
      <c r="U138" s="309"/>
    </row>
    <row r="139" spans="1:21" ht="14.25" customHeight="1">
      <c r="A139" s="867">
        <v>44676</v>
      </c>
      <c r="B139" s="784"/>
      <c r="C139" s="785"/>
      <c r="D139" s="786"/>
      <c r="E139" s="629"/>
      <c r="F139" s="781"/>
      <c r="G139" s="1505"/>
      <c r="H139" s="1526"/>
      <c r="I139" s="1526"/>
      <c r="J139" s="1612" t="s">
        <v>740</v>
      </c>
      <c r="K139" s="261"/>
      <c r="L139" s="309"/>
      <c r="M139" s="309"/>
      <c r="N139" s="309"/>
      <c r="O139" s="309"/>
      <c r="P139" s="309"/>
      <c r="Q139" s="309"/>
      <c r="R139" s="309"/>
      <c r="S139" s="309"/>
      <c r="T139" s="309"/>
      <c r="U139" s="309"/>
    </row>
    <row r="140" spans="1:21" ht="14.25" customHeight="1">
      <c r="A140" s="273" t="s">
        <v>824</v>
      </c>
      <c r="B140" s="621"/>
      <c r="C140" s="623"/>
      <c r="D140" s="792"/>
      <c r="E140" s="629"/>
      <c r="F140" s="546"/>
      <c r="G140" s="1505"/>
      <c r="H140" s="1526"/>
      <c r="I140" s="1526"/>
      <c r="J140" s="1612"/>
      <c r="K140" s="261"/>
      <c r="L140" s="309"/>
      <c r="M140" s="309"/>
      <c r="N140" s="309"/>
      <c r="O140" s="309"/>
      <c r="P140" s="309"/>
      <c r="Q140" s="309"/>
      <c r="R140" s="309"/>
      <c r="S140" s="309"/>
      <c r="T140" s="309"/>
      <c r="U140" s="309"/>
    </row>
    <row r="141" spans="1:21" ht="14.25" customHeight="1">
      <c r="A141" s="1633" t="s">
        <v>739</v>
      </c>
      <c r="B141" s="621">
        <v>153</v>
      </c>
      <c r="C141" s="624">
        <v>29.499600000000001</v>
      </c>
      <c r="D141" s="792">
        <v>0</v>
      </c>
      <c r="E141" s="629">
        <f>C141*B141</f>
        <v>4513.4387999999999</v>
      </c>
      <c r="F141" s="546" t="s">
        <v>740</v>
      </c>
      <c r="G141" s="1505"/>
      <c r="H141" s="1526"/>
      <c r="I141" s="1501" t="s">
        <v>740</v>
      </c>
      <c r="J141" s="1601"/>
      <c r="K141" s="261"/>
      <c r="L141" s="309"/>
      <c r="M141" s="309"/>
      <c r="N141" s="309"/>
      <c r="O141" s="309"/>
      <c r="P141" s="309"/>
      <c r="Q141" s="309"/>
      <c r="R141" s="309"/>
      <c r="S141" s="309"/>
      <c r="T141" s="309"/>
      <c r="U141" s="309"/>
    </row>
    <row r="142" spans="1:21" ht="14.25" customHeight="1">
      <c r="A142" s="787"/>
      <c r="B142" s="621"/>
      <c r="C142" s="856"/>
      <c r="D142" s="839"/>
      <c r="E142" s="629"/>
      <c r="F142" s="546"/>
      <c r="G142" s="1505"/>
      <c r="H142" s="1526"/>
      <c r="I142" s="1501"/>
      <c r="J142" s="1601"/>
      <c r="K142" s="261"/>
      <c r="L142" s="309"/>
      <c r="M142" s="309"/>
      <c r="N142" s="309"/>
      <c r="O142" s="309"/>
      <c r="P142" s="309"/>
      <c r="Q142" s="309"/>
      <c r="R142" s="309"/>
      <c r="S142" s="309"/>
      <c r="T142" s="309"/>
      <c r="U142" s="309"/>
    </row>
    <row r="143" spans="1:21" ht="14.25" customHeight="1">
      <c r="A143" s="867">
        <v>44671</v>
      </c>
      <c r="B143" s="784"/>
      <c r="C143" s="785"/>
      <c r="D143" s="786"/>
      <c r="E143" s="629"/>
      <c r="F143" s="781"/>
      <c r="G143" s="1505"/>
      <c r="H143" s="1526"/>
      <c r="I143" s="1526"/>
      <c r="J143" s="1612"/>
      <c r="K143" s="261"/>
      <c r="L143" s="309"/>
      <c r="M143" s="309"/>
      <c r="N143" s="309"/>
      <c r="O143" s="309"/>
      <c r="P143" s="309"/>
      <c r="Q143" s="309"/>
      <c r="R143" s="309"/>
      <c r="S143" s="309"/>
      <c r="T143" s="309"/>
      <c r="U143" s="309"/>
    </row>
    <row r="144" spans="1:21" ht="14.25" customHeight="1">
      <c r="A144" s="273" t="s">
        <v>820</v>
      </c>
      <c r="B144" s="621"/>
      <c r="C144" s="623"/>
      <c r="D144" s="792"/>
      <c r="E144" s="629"/>
      <c r="F144" s="546"/>
      <c r="G144" s="1505"/>
      <c r="H144" s="1526"/>
      <c r="I144" s="1526"/>
      <c r="J144" s="1612"/>
      <c r="K144" s="261"/>
      <c r="L144" s="309"/>
      <c r="M144" s="309"/>
      <c r="N144" s="309"/>
      <c r="O144" s="309"/>
      <c r="P144" s="309"/>
      <c r="Q144" s="309"/>
      <c r="R144" s="309"/>
      <c r="S144" s="309"/>
      <c r="T144" s="309"/>
      <c r="U144" s="309"/>
    </row>
    <row r="145" spans="1:21" ht="14.25" customHeight="1">
      <c r="A145" s="1633" t="s">
        <v>691</v>
      </c>
      <c r="B145" s="621">
        <v>96</v>
      </c>
      <c r="C145" s="624">
        <v>50.615000000000002</v>
      </c>
      <c r="D145" s="792">
        <v>0</v>
      </c>
      <c r="E145" s="629">
        <f>C145*B145</f>
        <v>4859.04</v>
      </c>
      <c r="F145" s="546" t="s">
        <v>692</v>
      </c>
      <c r="G145" s="1505"/>
      <c r="H145" s="1526"/>
      <c r="I145" s="1501"/>
      <c r="J145" s="1601"/>
      <c r="K145" s="261"/>
      <c r="L145" s="309"/>
      <c r="M145" s="309"/>
      <c r="N145" s="309"/>
      <c r="O145" s="309"/>
      <c r="P145" s="309"/>
      <c r="Q145" s="309"/>
      <c r="R145" s="309"/>
      <c r="S145" s="309"/>
      <c r="T145" s="309"/>
      <c r="U145" s="309"/>
    </row>
    <row r="146" spans="1:21" ht="14.25" customHeight="1">
      <c r="A146" s="787"/>
      <c r="B146" s="621"/>
      <c r="C146" s="856"/>
      <c r="D146" s="839"/>
      <c r="E146" s="629"/>
      <c r="F146" s="546"/>
      <c r="G146" s="1505"/>
      <c r="H146" s="1526"/>
      <c r="I146" s="1501"/>
      <c r="J146" s="1601"/>
      <c r="K146" s="261"/>
      <c r="L146" s="309"/>
      <c r="M146" s="309"/>
      <c r="N146" s="309"/>
      <c r="O146" s="309"/>
      <c r="P146" s="309"/>
      <c r="Q146" s="309"/>
      <c r="R146" s="309"/>
      <c r="S146" s="309"/>
      <c r="T146" s="309"/>
      <c r="U146" s="309"/>
    </row>
    <row r="147" spans="1:21" ht="14.25" customHeight="1">
      <c r="A147" s="867">
        <v>44662</v>
      </c>
      <c r="B147" s="784"/>
      <c r="C147" s="785"/>
      <c r="D147" s="786"/>
      <c r="E147" s="629"/>
      <c r="F147" s="781"/>
      <c r="G147" s="1505"/>
      <c r="H147" s="1526"/>
      <c r="I147" s="1526"/>
      <c r="J147" s="1612"/>
      <c r="K147" s="261"/>
      <c r="L147" s="309"/>
      <c r="M147" s="309"/>
      <c r="N147" s="309"/>
      <c r="O147" s="309"/>
      <c r="P147" s="309"/>
      <c r="Q147" s="309"/>
      <c r="R147" s="309"/>
      <c r="S147" s="309"/>
      <c r="T147" s="309"/>
      <c r="U147" s="309"/>
    </row>
    <row r="148" spans="1:21" ht="14.25" customHeight="1">
      <c r="A148" s="273" t="s">
        <v>820</v>
      </c>
      <c r="B148" s="621"/>
      <c r="C148" s="623"/>
      <c r="D148" s="792"/>
      <c r="E148" s="629"/>
      <c r="F148" s="546"/>
      <c r="G148" s="1505"/>
      <c r="H148" s="1526"/>
      <c r="I148" s="1526"/>
      <c r="J148" s="1612"/>
      <c r="K148" s="261"/>
      <c r="L148" s="309"/>
      <c r="M148" s="309"/>
      <c r="N148" s="309"/>
      <c r="O148" s="309"/>
      <c r="P148" s="309"/>
      <c r="Q148" s="309"/>
      <c r="R148" s="309"/>
      <c r="S148" s="309"/>
      <c r="T148" s="309"/>
      <c r="U148" s="309"/>
    </row>
    <row r="149" spans="1:21" ht="14.25" customHeight="1">
      <c r="A149" s="1634" t="s">
        <v>689</v>
      </c>
      <c r="B149" s="621">
        <v>330</v>
      </c>
      <c r="C149" s="624">
        <v>12.994999999999999</v>
      </c>
      <c r="D149" s="792">
        <v>0</v>
      </c>
      <c r="E149" s="629">
        <f>C149*B149</f>
        <v>4288.3499999999995</v>
      </c>
      <c r="F149" s="546" t="s">
        <v>690</v>
      </c>
      <c r="G149" s="1505"/>
      <c r="H149" s="1526"/>
      <c r="I149" s="1501"/>
      <c r="J149" s="1601"/>
      <c r="K149" s="261"/>
      <c r="L149" s="309"/>
      <c r="M149" s="309"/>
      <c r="N149" s="309"/>
      <c r="O149" s="309"/>
      <c r="P149" s="309"/>
      <c r="Q149" s="309"/>
      <c r="R149" s="309"/>
      <c r="S149" s="309"/>
      <c r="T149" s="309"/>
      <c r="U149" s="309"/>
    </row>
    <row r="150" spans="1:21" ht="14.25" customHeight="1">
      <c r="A150" s="787"/>
      <c r="B150" s="621"/>
      <c r="C150" s="856"/>
      <c r="D150" s="839"/>
      <c r="E150" s="629"/>
      <c r="F150" s="546"/>
      <c r="G150" s="1505"/>
      <c r="H150" s="1526"/>
      <c r="I150" s="1501"/>
      <c r="J150" s="1601"/>
      <c r="K150" s="261"/>
      <c r="L150" s="309"/>
      <c r="M150" s="309"/>
      <c r="N150" s="309"/>
      <c r="O150" s="309"/>
      <c r="P150" s="309"/>
      <c r="Q150" s="309"/>
      <c r="R150" s="309"/>
      <c r="S150" s="309"/>
      <c r="T150" s="309"/>
      <c r="U150" s="309"/>
    </row>
    <row r="151" spans="1:21" ht="14.25" customHeight="1">
      <c r="A151" s="867">
        <v>44662</v>
      </c>
      <c r="B151" s="784"/>
      <c r="C151" s="785"/>
      <c r="D151" s="786"/>
      <c r="E151" s="629"/>
      <c r="F151" s="781"/>
      <c r="G151" s="1505"/>
      <c r="H151" s="1526"/>
      <c r="I151" s="1526"/>
      <c r="J151" s="1612"/>
      <c r="K151" s="261"/>
      <c r="L151" s="309"/>
      <c r="M151" s="309"/>
      <c r="N151" s="309"/>
      <c r="O151" s="309"/>
      <c r="P151" s="309"/>
      <c r="Q151" s="309"/>
      <c r="R151" s="309"/>
      <c r="S151" s="309"/>
      <c r="T151" s="309"/>
      <c r="U151" s="309"/>
    </row>
    <row r="152" spans="1:21" ht="14.25" customHeight="1">
      <c r="A152" s="273" t="s">
        <v>820</v>
      </c>
      <c r="B152" s="621"/>
      <c r="C152" s="623"/>
      <c r="D152" s="792"/>
      <c r="E152" s="629"/>
      <c r="F152" s="546"/>
      <c r="G152" s="1505"/>
      <c r="H152" s="1526"/>
      <c r="I152" s="1526"/>
      <c r="J152" s="1612"/>
      <c r="K152" s="261"/>
      <c r="L152" s="309"/>
      <c r="M152" s="309"/>
      <c r="N152" s="309"/>
      <c r="O152" s="309"/>
      <c r="P152" s="309"/>
      <c r="Q152" s="309"/>
      <c r="R152" s="309"/>
      <c r="S152" s="309"/>
      <c r="T152" s="309"/>
      <c r="U152" s="309"/>
    </row>
    <row r="153" spans="1:21" ht="14.25" customHeight="1">
      <c r="A153" s="1634" t="s">
        <v>687</v>
      </c>
      <c r="B153" s="621">
        <v>128</v>
      </c>
      <c r="C153" s="624">
        <v>35.11</v>
      </c>
      <c r="D153" s="792">
        <v>0</v>
      </c>
      <c r="E153" s="629">
        <f>C153*B153</f>
        <v>4494.08</v>
      </c>
      <c r="F153" s="546" t="s">
        <v>688</v>
      </c>
      <c r="G153" s="1505"/>
      <c r="H153" s="1526"/>
      <c r="I153" s="1501"/>
      <c r="J153" s="1601"/>
      <c r="K153" s="261"/>
      <c r="L153" s="309"/>
      <c r="M153" s="309"/>
      <c r="N153" s="309"/>
      <c r="O153" s="309"/>
      <c r="P153" s="309"/>
      <c r="Q153" s="309"/>
      <c r="R153" s="309"/>
      <c r="S153" s="309"/>
      <c r="T153" s="309"/>
      <c r="U153" s="309"/>
    </row>
    <row r="154" spans="1:21" ht="14.25" customHeight="1">
      <c r="A154" s="787"/>
      <c r="B154" s="621"/>
      <c r="C154" s="856"/>
      <c r="D154" s="839"/>
      <c r="E154" s="629"/>
      <c r="F154" s="546"/>
      <c r="G154" s="1505"/>
      <c r="H154" s="1526"/>
      <c r="I154" s="1501"/>
      <c r="J154" s="1601"/>
      <c r="K154" s="261"/>
      <c r="L154" s="309"/>
      <c r="M154" s="309"/>
      <c r="N154" s="309"/>
      <c r="O154" s="309"/>
      <c r="P154" s="309"/>
      <c r="Q154" s="309"/>
      <c r="R154" s="309"/>
      <c r="S154" s="309"/>
      <c r="T154" s="309"/>
      <c r="U154" s="309"/>
    </row>
    <row r="155" spans="1:21" ht="14.25" customHeight="1">
      <c r="A155" s="867">
        <v>44655</v>
      </c>
      <c r="B155" s="784"/>
      <c r="C155" s="785"/>
      <c r="D155" s="786"/>
      <c r="E155" s="629"/>
      <c r="F155" s="781"/>
      <c r="G155" s="1505"/>
      <c r="H155" s="1526"/>
      <c r="I155" s="1526"/>
      <c r="J155" s="1612" t="s">
        <v>730</v>
      </c>
      <c r="K155" s="261"/>
      <c r="L155" s="309"/>
      <c r="M155" s="309"/>
      <c r="N155" s="309"/>
      <c r="O155" s="309"/>
      <c r="P155" s="309"/>
      <c r="Q155" s="309"/>
      <c r="R155" s="309"/>
      <c r="S155" s="309"/>
      <c r="T155" s="309"/>
      <c r="U155" s="309"/>
    </row>
    <row r="156" spans="1:21" ht="14.25" customHeight="1">
      <c r="A156" s="273" t="s">
        <v>824</v>
      </c>
      <c r="B156" s="621"/>
      <c r="C156" s="623"/>
      <c r="D156" s="792"/>
      <c r="E156" s="629"/>
      <c r="F156" s="546"/>
      <c r="G156" s="1505"/>
      <c r="H156" s="1526"/>
      <c r="I156" s="1526"/>
      <c r="J156" s="1612"/>
      <c r="K156" s="261"/>
      <c r="L156" s="309"/>
      <c r="M156" s="309"/>
      <c r="N156" s="309"/>
      <c r="O156" s="309"/>
      <c r="P156" s="309"/>
      <c r="Q156" s="309"/>
      <c r="R156" s="309"/>
      <c r="S156" s="309"/>
      <c r="T156" s="309"/>
      <c r="U156" s="309"/>
    </row>
    <row r="157" spans="1:21" ht="14.25" customHeight="1">
      <c r="A157" s="1979" t="s">
        <v>729</v>
      </c>
      <c r="B157" s="621">
        <v>36</v>
      </c>
      <c r="C157" s="624">
        <v>81.900000000000006</v>
      </c>
      <c r="D157" s="792">
        <v>0</v>
      </c>
      <c r="E157" s="629">
        <f>C157*B157</f>
        <v>2948.4</v>
      </c>
      <c r="F157" s="546" t="s">
        <v>730</v>
      </c>
      <c r="G157" s="1505"/>
      <c r="H157" s="1526"/>
      <c r="I157" s="1501" t="s">
        <v>730</v>
      </c>
      <c r="J157" s="1601"/>
      <c r="K157" s="261"/>
      <c r="L157" s="309"/>
      <c r="M157" s="309"/>
      <c r="N157" s="309"/>
      <c r="O157" s="309"/>
      <c r="P157" s="309"/>
      <c r="Q157" s="309"/>
      <c r="R157" s="309"/>
      <c r="S157" s="309"/>
      <c r="T157" s="309"/>
      <c r="U157" s="309"/>
    </row>
    <row r="158" spans="1:21" ht="14.25" customHeight="1">
      <c r="A158" s="787"/>
      <c r="B158" s="621"/>
      <c r="C158" s="856"/>
      <c r="D158" s="839"/>
      <c r="E158" s="629"/>
      <c r="F158" s="546"/>
      <c r="G158" s="1505"/>
      <c r="H158" s="1526"/>
      <c r="I158" s="1501"/>
      <c r="J158" s="1601"/>
      <c r="K158" s="261"/>
      <c r="L158" s="309"/>
      <c r="M158" s="309"/>
      <c r="N158" s="309"/>
      <c r="O158" s="309"/>
      <c r="P158" s="309"/>
      <c r="Q158" s="309"/>
      <c r="R158" s="309"/>
      <c r="S158" s="309"/>
      <c r="T158" s="309"/>
      <c r="U158" s="309"/>
    </row>
    <row r="159" spans="1:21" ht="14.25" customHeight="1">
      <c r="A159" s="867">
        <v>44651</v>
      </c>
      <c r="B159" s="784"/>
      <c r="C159" s="785"/>
      <c r="D159" s="786"/>
      <c r="E159" s="629"/>
      <c r="F159" s="781"/>
      <c r="G159" s="1505"/>
      <c r="H159" s="1526"/>
      <c r="I159" s="1526"/>
      <c r="J159" s="1612" t="s">
        <v>724</v>
      </c>
      <c r="K159" s="261"/>
      <c r="L159" s="309"/>
      <c r="M159" s="309"/>
      <c r="N159" s="309"/>
      <c r="O159" s="309"/>
      <c r="P159" s="309"/>
      <c r="Q159" s="309"/>
      <c r="R159" s="309"/>
      <c r="S159" s="309"/>
      <c r="T159" s="309"/>
      <c r="U159" s="309"/>
    </row>
    <row r="160" spans="1:21" ht="14.25" customHeight="1">
      <c r="A160" s="273" t="s">
        <v>824</v>
      </c>
      <c r="B160" s="621"/>
      <c r="C160" s="623"/>
      <c r="D160" s="792"/>
      <c r="E160" s="629"/>
      <c r="F160" s="546"/>
      <c r="G160" s="1505"/>
      <c r="H160" s="1526"/>
      <c r="I160" s="1526"/>
      <c r="J160" s="1612"/>
      <c r="K160" s="261"/>
      <c r="L160" s="309"/>
      <c r="M160" s="309"/>
      <c r="N160" s="309"/>
      <c r="O160" s="309"/>
      <c r="P160" s="309"/>
      <c r="Q160" s="309"/>
      <c r="R160" s="309"/>
      <c r="S160" s="309"/>
      <c r="T160" s="309"/>
      <c r="U160" s="309"/>
    </row>
    <row r="161" spans="1:21" ht="14.25" customHeight="1">
      <c r="A161" s="1732" t="s">
        <v>723</v>
      </c>
      <c r="B161" s="621">
        <v>28</v>
      </c>
      <c r="C161" s="624">
        <v>71.56</v>
      </c>
      <c r="D161" s="792">
        <v>0</v>
      </c>
      <c r="E161" s="629">
        <f>C161*B161</f>
        <v>2003.68</v>
      </c>
      <c r="F161" s="546" t="s">
        <v>724</v>
      </c>
      <c r="G161" s="1505"/>
      <c r="H161" s="1526"/>
      <c r="I161" s="1501" t="s">
        <v>724</v>
      </c>
      <c r="J161" s="1601"/>
      <c r="K161" s="261"/>
      <c r="L161" s="309"/>
      <c r="M161" s="309"/>
      <c r="N161" s="309"/>
      <c r="O161" s="309"/>
      <c r="P161" s="309"/>
      <c r="Q161" s="309"/>
      <c r="R161" s="309"/>
      <c r="S161" s="309"/>
      <c r="T161" s="309"/>
      <c r="U161" s="309"/>
    </row>
    <row r="162" spans="1:21" ht="14.25" customHeight="1">
      <c r="A162" s="787"/>
      <c r="B162" s="621"/>
      <c r="C162" s="856"/>
      <c r="D162" s="839"/>
      <c r="E162" s="629"/>
      <c r="F162" s="546"/>
      <c r="G162" s="1505"/>
      <c r="H162" s="1526"/>
      <c r="I162" s="1501"/>
      <c r="J162" s="1601"/>
      <c r="K162" s="261"/>
      <c r="L162" s="309"/>
      <c r="M162" s="309"/>
      <c r="N162" s="309"/>
      <c r="O162" s="309"/>
      <c r="P162" s="309"/>
      <c r="Q162" s="309"/>
      <c r="R162" s="309"/>
      <c r="S162" s="309"/>
      <c r="T162" s="309"/>
      <c r="U162" s="309"/>
    </row>
    <row r="163" spans="1:21" ht="14.25" customHeight="1">
      <c r="A163" s="867">
        <v>44651</v>
      </c>
      <c r="B163" s="784"/>
      <c r="C163" s="785"/>
      <c r="D163" s="786"/>
      <c r="E163" s="629"/>
      <c r="F163" s="781"/>
      <c r="G163" s="1505"/>
      <c r="H163" s="1526"/>
      <c r="I163" s="1526"/>
      <c r="J163" s="1612" t="s">
        <v>726</v>
      </c>
      <c r="K163" s="261"/>
      <c r="L163" s="309"/>
      <c r="M163" s="309"/>
      <c r="N163" s="309"/>
      <c r="O163" s="309"/>
      <c r="P163" s="309"/>
      <c r="Q163" s="309"/>
      <c r="R163" s="309"/>
      <c r="S163" s="309"/>
      <c r="T163" s="309"/>
      <c r="U163" s="309"/>
    </row>
    <row r="164" spans="1:21" ht="14.25" customHeight="1">
      <c r="A164" s="273" t="s">
        <v>824</v>
      </c>
      <c r="B164" s="621"/>
      <c r="C164" s="623"/>
      <c r="D164" s="792"/>
      <c r="E164" s="629"/>
      <c r="F164" s="546"/>
      <c r="G164" s="1505"/>
      <c r="H164" s="1526"/>
      <c r="I164" s="1526"/>
      <c r="J164" s="1612"/>
      <c r="K164" s="261"/>
      <c r="L164" s="309"/>
      <c r="M164" s="309"/>
      <c r="N164" s="309"/>
      <c r="O164" s="309"/>
      <c r="P164" s="309"/>
      <c r="Q164" s="309"/>
      <c r="R164" s="309"/>
      <c r="S164" s="309"/>
      <c r="T164" s="309"/>
      <c r="U164" s="309"/>
    </row>
    <row r="165" spans="1:21" ht="14.25" customHeight="1">
      <c r="A165" s="1732" t="s">
        <v>725</v>
      </c>
      <c r="B165" s="621">
        <v>14</v>
      </c>
      <c r="C165" s="624">
        <v>144.80000000000001</v>
      </c>
      <c r="D165" s="792">
        <v>0</v>
      </c>
      <c r="E165" s="629">
        <f>C165*B165</f>
        <v>2027.2000000000003</v>
      </c>
      <c r="F165" s="546" t="s">
        <v>726</v>
      </c>
      <c r="G165" s="1505"/>
      <c r="H165" s="1526"/>
      <c r="I165" s="1501" t="s">
        <v>726</v>
      </c>
      <c r="J165" s="1601"/>
      <c r="K165" s="261"/>
      <c r="L165" s="309"/>
      <c r="M165" s="309"/>
      <c r="N165" s="309"/>
      <c r="O165" s="309"/>
      <c r="P165" s="309"/>
      <c r="Q165" s="309"/>
      <c r="R165" s="309"/>
      <c r="S165" s="309"/>
      <c r="T165" s="309"/>
      <c r="U165" s="309"/>
    </row>
    <row r="166" spans="1:21" ht="14.25" customHeight="1">
      <c r="A166" s="787"/>
      <c r="B166" s="621"/>
      <c r="C166" s="856"/>
      <c r="D166" s="839"/>
      <c r="E166" s="629"/>
      <c r="F166" s="546"/>
      <c r="G166" s="1505"/>
      <c r="H166" s="1526"/>
      <c r="I166" s="1501"/>
      <c r="J166" s="1601"/>
      <c r="K166" s="261"/>
      <c r="L166" s="309"/>
      <c r="M166" s="309"/>
      <c r="N166" s="309"/>
      <c r="O166" s="309"/>
      <c r="P166" s="309"/>
      <c r="Q166" s="309"/>
      <c r="R166" s="309"/>
      <c r="S166" s="309"/>
      <c r="T166" s="309"/>
      <c r="U166" s="309"/>
    </row>
    <row r="167" spans="1:21" ht="14.25" customHeight="1">
      <c r="A167" s="867">
        <v>44642</v>
      </c>
      <c r="B167" s="784"/>
      <c r="C167" s="785"/>
      <c r="D167" s="786"/>
      <c r="E167" s="629"/>
      <c r="F167" s="781"/>
      <c r="G167" s="1505"/>
      <c r="H167" s="1526"/>
      <c r="I167" s="1526"/>
      <c r="J167" s="1612" t="s">
        <v>732</v>
      </c>
      <c r="K167" s="261"/>
      <c r="L167" s="309"/>
      <c r="M167" s="309"/>
      <c r="N167" s="309"/>
      <c r="O167" s="309"/>
      <c r="P167" s="309"/>
      <c r="Q167" s="309"/>
      <c r="R167" s="309"/>
      <c r="S167" s="309"/>
      <c r="T167" s="309"/>
      <c r="U167" s="309"/>
    </row>
    <row r="168" spans="1:21" ht="14.25" customHeight="1">
      <c r="A168" s="273" t="s">
        <v>824</v>
      </c>
      <c r="B168" s="621"/>
      <c r="C168" s="623"/>
      <c r="D168" s="792"/>
      <c r="E168" s="629"/>
      <c r="F168" s="546"/>
      <c r="G168" s="1505"/>
      <c r="H168" s="1526"/>
      <c r="I168" s="1526"/>
      <c r="J168" s="1612"/>
      <c r="K168" s="261"/>
      <c r="L168" s="309"/>
      <c r="M168" s="309"/>
      <c r="N168" s="309"/>
      <c r="O168" s="309"/>
      <c r="P168" s="309"/>
      <c r="Q168" s="309"/>
      <c r="R168" s="309"/>
      <c r="S168" s="309"/>
      <c r="T168" s="309"/>
      <c r="U168" s="309"/>
    </row>
    <row r="169" spans="1:21" ht="14.25" customHeight="1">
      <c r="A169" s="1732" t="s">
        <v>731</v>
      </c>
      <c r="B169" s="621">
        <v>12</v>
      </c>
      <c r="C169" s="624">
        <v>274.27999999999997</v>
      </c>
      <c r="D169" s="792">
        <v>0</v>
      </c>
      <c r="E169" s="629">
        <f>C169*B169</f>
        <v>3291.3599999999997</v>
      </c>
      <c r="F169" s="546" t="s">
        <v>732</v>
      </c>
      <c r="G169" s="1505"/>
      <c r="H169" s="1526"/>
      <c r="I169" s="1501" t="s">
        <v>732</v>
      </c>
      <c r="J169" s="1601"/>
      <c r="K169" s="261"/>
      <c r="L169" s="309"/>
      <c r="M169" s="309"/>
      <c r="N169" s="309"/>
      <c r="O169" s="309"/>
      <c r="P169" s="309"/>
      <c r="Q169" s="309"/>
      <c r="R169" s="309"/>
      <c r="S169" s="309"/>
      <c r="T169" s="309"/>
      <c r="U169" s="309"/>
    </row>
    <row r="170" spans="1:21" ht="14.25" customHeight="1">
      <c r="A170" s="787"/>
      <c r="B170" s="621"/>
      <c r="C170" s="856"/>
      <c r="D170" s="839"/>
      <c r="E170" s="629"/>
      <c r="F170" s="546"/>
      <c r="G170" s="1505"/>
      <c r="H170" s="1526"/>
      <c r="I170" s="1501"/>
      <c r="J170" s="1601"/>
      <c r="K170" s="261"/>
      <c r="L170" s="309"/>
      <c r="M170" s="309"/>
      <c r="N170" s="309"/>
      <c r="O170" s="309"/>
      <c r="P170" s="309"/>
      <c r="Q170" s="309"/>
      <c r="R170" s="309"/>
      <c r="S170" s="309"/>
      <c r="T170" s="309"/>
      <c r="U170" s="309"/>
    </row>
    <row r="171" spans="1:21" ht="14.25" customHeight="1">
      <c r="A171" s="867">
        <v>44622</v>
      </c>
      <c r="B171" s="784"/>
      <c r="C171" s="785"/>
      <c r="D171" s="786"/>
      <c r="E171" s="629"/>
      <c r="F171" s="781"/>
      <c r="G171" s="1505"/>
      <c r="H171" s="1526"/>
      <c r="I171" s="1526"/>
      <c r="J171" s="1612" t="s">
        <v>721</v>
      </c>
      <c r="K171" s="261"/>
      <c r="L171" s="309"/>
      <c r="M171" s="309"/>
      <c r="N171" s="309"/>
      <c r="O171" s="309"/>
      <c r="P171" s="309"/>
      <c r="Q171" s="309"/>
      <c r="R171" s="309"/>
      <c r="S171" s="309"/>
      <c r="T171" s="309"/>
      <c r="U171" s="309"/>
    </row>
    <row r="172" spans="1:21" ht="14.25" customHeight="1">
      <c r="A172" s="273" t="s">
        <v>824</v>
      </c>
      <c r="B172" s="621"/>
      <c r="C172" s="623"/>
      <c r="D172" s="792"/>
      <c r="E172" s="629"/>
      <c r="F172" s="546"/>
      <c r="G172" s="1505"/>
      <c r="H172" s="1526"/>
      <c r="I172" s="1526"/>
      <c r="J172" s="1612"/>
      <c r="K172" s="261"/>
      <c r="L172" s="309"/>
      <c r="M172" s="309"/>
      <c r="N172" s="309"/>
      <c r="O172" s="309"/>
      <c r="P172" s="309"/>
      <c r="Q172" s="309"/>
      <c r="R172" s="309"/>
      <c r="S172" s="309"/>
      <c r="T172" s="309"/>
      <c r="U172" s="309"/>
    </row>
    <row r="173" spans="1:21" ht="14.25" customHeight="1">
      <c r="A173" s="1732" t="s">
        <v>720</v>
      </c>
      <c r="B173" s="621">
        <v>35</v>
      </c>
      <c r="C173" s="624">
        <v>143.25</v>
      </c>
      <c r="D173" s="792">
        <v>0</v>
      </c>
      <c r="E173" s="629">
        <f>C173*B173</f>
        <v>5013.75</v>
      </c>
      <c r="F173" s="546" t="s">
        <v>721</v>
      </c>
      <c r="G173" s="1505"/>
      <c r="H173" s="1526"/>
      <c r="I173" s="1501" t="s">
        <v>721</v>
      </c>
      <c r="J173" s="1601"/>
      <c r="K173" s="261"/>
      <c r="L173" s="309"/>
      <c r="M173" s="309"/>
      <c r="N173" s="309"/>
      <c r="O173" s="309"/>
      <c r="P173" s="309"/>
      <c r="Q173" s="309"/>
      <c r="R173" s="309"/>
      <c r="S173" s="309"/>
      <c r="T173" s="309"/>
      <c r="U173" s="309"/>
    </row>
    <row r="174" spans="1:21" ht="14.25" customHeight="1">
      <c r="A174" s="787"/>
      <c r="B174" s="621"/>
      <c r="C174" s="856"/>
      <c r="D174" s="839"/>
      <c r="E174" s="629"/>
      <c r="F174" s="546"/>
      <c r="G174" s="1505"/>
      <c r="H174" s="1526"/>
      <c r="I174" s="1501"/>
      <c r="J174" s="1601"/>
      <c r="K174" s="261"/>
      <c r="L174" s="309"/>
      <c r="M174" s="309"/>
      <c r="N174" s="309"/>
      <c r="O174" s="309"/>
      <c r="P174" s="309"/>
      <c r="Q174" s="309"/>
      <c r="R174" s="309"/>
      <c r="S174" s="309"/>
      <c r="T174" s="309"/>
      <c r="U174" s="309"/>
    </row>
    <row r="175" spans="1:21" ht="14.25" customHeight="1">
      <c r="A175" s="867">
        <v>44622</v>
      </c>
      <c r="B175" s="784"/>
      <c r="C175" s="785"/>
      <c r="D175" s="786"/>
      <c r="E175" s="629"/>
      <c r="F175" s="781"/>
      <c r="G175" s="1505"/>
      <c r="H175" s="1526"/>
      <c r="I175" s="1526"/>
      <c r="J175" s="1612"/>
      <c r="K175" s="261"/>
      <c r="L175" s="309"/>
      <c r="M175" s="309"/>
      <c r="N175" s="309"/>
      <c r="O175" s="309"/>
      <c r="P175" s="309"/>
      <c r="Q175" s="309"/>
      <c r="R175" s="309"/>
      <c r="S175" s="309"/>
      <c r="T175" s="309"/>
      <c r="U175" s="309"/>
    </row>
    <row r="176" spans="1:21" ht="14.25" customHeight="1">
      <c r="A176" s="273" t="s">
        <v>820</v>
      </c>
      <c r="B176" s="621"/>
      <c r="C176" s="623"/>
      <c r="D176" s="792"/>
      <c r="E176" s="629"/>
      <c r="F176" s="546"/>
      <c r="G176" s="1505"/>
      <c r="H176" s="1526"/>
      <c r="I176" s="1526"/>
      <c r="J176" s="1612"/>
      <c r="K176" s="261"/>
      <c r="L176" s="309"/>
      <c r="M176" s="309"/>
      <c r="N176" s="309"/>
      <c r="O176" s="309"/>
      <c r="P176" s="309"/>
      <c r="Q176" s="309"/>
      <c r="R176" s="309"/>
      <c r="S176" s="309"/>
      <c r="T176" s="309"/>
      <c r="U176" s="309"/>
    </row>
    <row r="177" spans="1:21" ht="14.25" customHeight="1">
      <c r="A177" s="1611" t="s">
        <v>621</v>
      </c>
      <c r="B177" s="621">
        <v>30</v>
      </c>
      <c r="C177" s="624">
        <v>68.784999999999997</v>
      </c>
      <c r="D177" s="792">
        <v>0</v>
      </c>
      <c r="E177" s="629">
        <f>C177*B177</f>
        <v>2063.5499999999997</v>
      </c>
      <c r="F177" s="546" t="s">
        <v>622</v>
      </c>
      <c r="G177" s="1505"/>
      <c r="H177" s="1526"/>
      <c r="I177" s="1501"/>
      <c r="J177" s="1601"/>
      <c r="K177" s="261"/>
      <c r="L177" s="309"/>
      <c r="M177" s="309"/>
      <c r="N177" s="309"/>
      <c r="O177" s="309"/>
      <c r="P177" s="309"/>
      <c r="Q177" s="309"/>
      <c r="R177" s="309"/>
      <c r="S177" s="309"/>
      <c r="T177" s="309"/>
      <c r="U177" s="309"/>
    </row>
    <row r="178" spans="1:21" ht="14.25" customHeight="1">
      <c r="A178" s="787"/>
      <c r="B178" s="621"/>
      <c r="C178" s="856"/>
      <c r="D178" s="839"/>
      <c r="E178" s="629"/>
      <c r="F178" s="546"/>
      <c r="G178" s="1505"/>
      <c r="H178" s="1526"/>
      <c r="I178" s="1501"/>
      <c r="J178" s="1601"/>
      <c r="K178" s="261"/>
      <c r="L178" s="309"/>
      <c r="M178" s="309"/>
      <c r="N178" s="309"/>
      <c r="O178" s="309"/>
      <c r="P178" s="309"/>
      <c r="Q178" s="309"/>
      <c r="R178" s="309"/>
      <c r="S178" s="309"/>
      <c r="T178" s="309"/>
      <c r="U178" s="309"/>
    </row>
    <row r="179" spans="1:21" ht="14.25" customHeight="1">
      <c r="A179" s="867">
        <v>44522</v>
      </c>
      <c r="B179" s="784"/>
      <c r="C179" s="785"/>
      <c r="D179" s="786"/>
      <c r="E179" s="629"/>
      <c r="F179" s="781"/>
      <c r="G179" s="1505"/>
      <c r="H179" s="1526"/>
      <c r="I179" s="1526"/>
      <c r="J179" s="1612"/>
      <c r="K179" s="261"/>
      <c r="L179" s="309"/>
      <c r="M179" s="309"/>
      <c r="N179" s="309"/>
      <c r="O179" s="309"/>
      <c r="P179" s="309"/>
      <c r="Q179" s="309"/>
      <c r="R179" s="309"/>
      <c r="S179" s="309"/>
      <c r="T179" s="309"/>
      <c r="U179" s="309"/>
    </row>
    <row r="180" spans="1:21" ht="14.25" customHeight="1">
      <c r="A180" s="273" t="s">
        <v>820</v>
      </c>
      <c r="B180" s="621"/>
      <c r="C180" s="623"/>
      <c r="D180" s="792"/>
      <c r="E180" s="629"/>
      <c r="F180" s="546"/>
      <c r="G180" s="1505"/>
      <c r="H180" s="1526"/>
      <c r="I180" s="1526"/>
      <c r="J180" s="1612"/>
      <c r="K180" s="261"/>
      <c r="L180" s="309"/>
      <c r="M180" s="309"/>
      <c r="N180" s="309"/>
      <c r="O180" s="309"/>
      <c r="P180" s="309"/>
      <c r="Q180" s="309"/>
      <c r="R180" s="309"/>
      <c r="S180" s="309"/>
      <c r="T180" s="309"/>
      <c r="U180" s="309"/>
    </row>
    <row r="181" spans="1:21" ht="14.25" customHeight="1">
      <c r="A181" s="1611" t="s">
        <v>836</v>
      </c>
      <c r="B181" s="621">
        <v>6</v>
      </c>
      <c r="C181" s="624">
        <v>180.845</v>
      </c>
      <c r="D181" s="792">
        <v>0</v>
      </c>
      <c r="E181" s="629">
        <f>C181*B181</f>
        <v>1085.07</v>
      </c>
      <c r="F181" s="546" t="s">
        <v>231</v>
      </c>
      <c r="G181" s="1505"/>
      <c r="H181" s="1526">
        <v>19</v>
      </c>
      <c r="I181" s="1501"/>
      <c r="J181" s="1601"/>
      <c r="K181" s="261"/>
      <c r="L181" s="309"/>
      <c r="M181" s="309"/>
      <c r="N181" s="309"/>
      <c r="O181" s="309"/>
      <c r="P181" s="309"/>
      <c r="Q181" s="309"/>
      <c r="R181" s="309"/>
      <c r="S181" s="309"/>
      <c r="T181" s="309"/>
      <c r="U181" s="309"/>
    </row>
    <row r="182" spans="1:21" ht="14.25" customHeight="1">
      <c r="A182" s="787"/>
      <c r="B182" s="621"/>
      <c r="C182" s="856"/>
      <c r="D182" s="839"/>
      <c r="E182" s="629"/>
      <c r="F182" s="546"/>
      <c r="G182" s="1505"/>
      <c r="H182" s="1526"/>
      <c r="I182" s="1501"/>
      <c r="J182" s="1601"/>
      <c r="K182" s="261"/>
      <c r="L182" s="309"/>
      <c r="M182" s="309"/>
      <c r="N182" s="309"/>
      <c r="O182" s="309"/>
      <c r="P182" s="309"/>
      <c r="Q182" s="309"/>
      <c r="R182" s="309"/>
      <c r="S182" s="309"/>
      <c r="T182" s="309"/>
      <c r="U182" s="309"/>
    </row>
    <row r="183" spans="1:21" ht="14.25" customHeight="1">
      <c r="A183" s="867">
        <v>44517</v>
      </c>
      <c r="B183" s="784"/>
      <c r="C183" s="785"/>
      <c r="D183" s="786"/>
      <c r="E183" s="629"/>
      <c r="F183" s="781"/>
      <c r="G183" s="1505"/>
      <c r="H183" s="1526"/>
      <c r="I183" s="1526"/>
      <c r="J183" s="1612" t="s">
        <v>675</v>
      </c>
      <c r="K183" s="261"/>
      <c r="L183" s="309"/>
      <c r="M183" s="309"/>
      <c r="N183" s="309"/>
      <c r="O183" s="309"/>
      <c r="P183" s="309"/>
      <c r="Q183" s="309"/>
      <c r="R183" s="309"/>
      <c r="S183" s="309"/>
      <c r="T183" s="309"/>
      <c r="U183" s="309"/>
    </row>
    <row r="184" spans="1:21" ht="14.25" customHeight="1">
      <c r="A184" s="273" t="s">
        <v>824</v>
      </c>
      <c r="B184" s="621"/>
      <c r="C184" s="623"/>
      <c r="D184" s="792"/>
      <c r="E184" s="629"/>
      <c r="F184" s="546"/>
      <c r="G184" s="1505"/>
      <c r="H184" s="1526"/>
      <c r="I184" s="1526"/>
      <c r="J184" s="1612"/>
      <c r="K184" s="261"/>
      <c r="L184" s="309"/>
      <c r="M184" s="309"/>
      <c r="N184" s="309"/>
      <c r="O184" s="309"/>
      <c r="P184" s="309"/>
      <c r="Q184" s="309"/>
      <c r="R184" s="309"/>
      <c r="S184" s="309"/>
      <c r="T184" s="309"/>
      <c r="U184" s="309"/>
    </row>
    <row r="185" spans="1:21" ht="14.25" customHeight="1">
      <c r="A185" s="1611" t="s">
        <v>674</v>
      </c>
      <c r="B185" s="621">
        <v>3</v>
      </c>
      <c r="C185" s="624">
        <v>2986.26</v>
      </c>
      <c r="D185" s="792">
        <v>0</v>
      </c>
      <c r="E185" s="629">
        <f>C185*B185</f>
        <v>8958.7800000000007</v>
      </c>
      <c r="F185" s="546" t="s">
        <v>675</v>
      </c>
      <c r="G185" s="1505" t="s">
        <v>837</v>
      </c>
      <c r="H185" s="1526">
        <v>60</v>
      </c>
      <c r="I185" s="1501" t="s">
        <v>675</v>
      </c>
      <c r="J185" s="1601"/>
      <c r="K185" s="261"/>
      <c r="L185" s="309"/>
      <c r="M185" s="309"/>
      <c r="N185" s="309"/>
      <c r="O185" s="309"/>
      <c r="P185" s="309"/>
      <c r="Q185" s="309"/>
      <c r="R185" s="309"/>
      <c r="S185" s="309"/>
      <c r="T185" s="309"/>
      <c r="U185" s="309"/>
    </row>
    <row r="186" spans="1:21" ht="14.25" customHeight="1">
      <c r="A186" s="787"/>
      <c r="B186" s="621"/>
      <c r="C186" s="856"/>
      <c r="D186" s="839"/>
      <c r="E186" s="629"/>
      <c r="F186" s="546"/>
      <c r="G186" s="1505"/>
      <c r="H186" s="1526"/>
      <c r="I186" s="1501"/>
      <c r="J186" s="1601"/>
      <c r="K186" s="261"/>
      <c r="L186" s="309"/>
      <c r="M186" s="309"/>
      <c r="N186" s="309"/>
      <c r="O186" s="309"/>
      <c r="P186" s="309"/>
      <c r="Q186" s="309"/>
      <c r="R186" s="309"/>
      <c r="S186" s="309"/>
      <c r="T186" s="309"/>
      <c r="U186" s="309"/>
    </row>
    <row r="187" spans="1:21" ht="14.25" customHeight="1">
      <c r="A187" s="867">
        <v>44517</v>
      </c>
      <c r="B187" s="784"/>
      <c r="C187" s="785"/>
      <c r="D187" s="786"/>
      <c r="E187" s="629"/>
      <c r="F187" s="781"/>
      <c r="G187" s="1505"/>
      <c r="H187" s="1526"/>
      <c r="I187" s="1526"/>
      <c r="J187" s="1612" t="s">
        <v>680</v>
      </c>
      <c r="K187" s="261"/>
      <c r="L187" s="309"/>
      <c r="M187" s="309"/>
      <c r="N187" s="309"/>
      <c r="O187" s="309"/>
      <c r="P187" s="309"/>
      <c r="Q187" s="309"/>
      <c r="R187" s="309"/>
      <c r="S187" s="309"/>
      <c r="T187" s="309"/>
      <c r="U187" s="309"/>
    </row>
    <row r="188" spans="1:21" ht="14.25" customHeight="1">
      <c r="A188" s="273" t="s">
        <v>824</v>
      </c>
      <c r="B188" s="621"/>
      <c r="C188" s="623"/>
      <c r="D188" s="792"/>
      <c r="E188" s="629"/>
      <c r="F188" s="546"/>
      <c r="G188" s="1505"/>
      <c r="H188" s="1526"/>
      <c r="I188" s="1526"/>
      <c r="J188" s="1612"/>
      <c r="K188" s="261"/>
      <c r="L188" s="309"/>
      <c r="M188" s="309"/>
      <c r="N188" s="309"/>
      <c r="O188" s="309"/>
      <c r="P188" s="309"/>
      <c r="Q188" s="309"/>
      <c r="R188" s="309"/>
      <c r="S188" s="309"/>
      <c r="T188" s="309"/>
      <c r="U188" s="309"/>
    </row>
    <row r="189" spans="1:21" ht="14.25" customHeight="1">
      <c r="A189" s="1611" t="s">
        <v>679</v>
      </c>
      <c r="B189" s="621">
        <v>62</v>
      </c>
      <c r="C189" s="624">
        <v>64.623800000000003</v>
      </c>
      <c r="D189" s="792">
        <v>0</v>
      </c>
      <c r="E189" s="629">
        <f>C189*B189</f>
        <v>4006.6756</v>
      </c>
      <c r="F189" s="546" t="s">
        <v>680</v>
      </c>
      <c r="G189" s="1505"/>
      <c r="H189" s="1526"/>
      <c r="I189" s="1501" t="s">
        <v>680</v>
      </c>
      <c r="J189" s="1601"/>
      <c r="K189" s="261"/>
      <c r="L189" s="309"/>
      <c r="M189" s="309"/>
      <c r="N189" s="309"/>
      <c r="O189" s="309"/>
      <c r="P189" s="309"/>
      <c r="Q189" s="309"/>
      <c r="R189" s="309"/>
      <c r="S189" s="309"/>
      <c r="T189" s="309"/>
      <c r="U189" s="309"/>
    </row>
    <row r="190" spans="1:21" ht="14.25" customHeight="1">
      <c r="A190" s="787"/>
      <c r="B190" s="621"/>
      <c r="C190" s="856"/>
      <c r="D190" s="839"/>
      <c r="E190" s="629"/>
      <c r="F190" s="546"/>
      <c r="G190" s="1505"/>
      <c r="H190" s="1526"/>
      <c r="I190" s="1501"/>
      <c r="J190" s="1601"/>
      <c r="K190" s="261"/>
      <c r="L190" s="309"/>
      <c r="M190" s="309"/>
      <c r="N190" s="309"/>
      <c r="O190" s="309"/>
      <c r="P190" s="309"/>
      <c r="Q190" s="309"/>
      <c r="R190" s="309"/>
      <c r="S190" s="309"/>
      <c r="T190" s="309"/>
      <c r="U190" s="309"/>
    </row>
    <row r="191" spans="1:21" ht="14.25" customHeight="1">
      <c r="A191" s="867">
        <v>44517</v>
      </c>
      <c r="B191" s="784"/>
      <c r="C191" s="785"/>
      <c r="D191" s="786"/>
      <c r="E191" s="629"/>
      <c r="F191" s="781"/>
      <c r="G191" s="1505"/>
      <c r="H191" s="1526"/>
      <c r="I191" s="1526"/>
      <c r="J191" s="1612"/>
      <c r="K191" s="261"/>
      <c r="L191" s="309"/>
      <c r="M191" s="309"/>
      <c r="N191" s="309"/>
      <c r="O191" s="309"/>
      <c r="P191" s="309"/>
      <c r="Q191" s="309"/>
      <c r="R191" s="309"/>
      <c r="S191" s="309"/>
      <c r="T191" s="309"/>
      <c r="U191" s="309"/>
    </row>
    <row r="192" spans="1:21" ht="14.25" customHeight="1">
      <c r="A192" s="273" t="s">
        <v>820</v>
      </c>
      <c r="B192" s="621"/>
      <c r="C192" s="623"/>
      <c r="D192" s="792"/>
      <c r="E192" s="629"/>
      <c r="F192" s="546"/>
      <c r="G192" s="1505"/>
      <c r="H192" s="1526"/>
      <c r="I192" s="1526"/>
      <c r="J192" s="1612"/>
      <c r="K192" s="261"/>
      <c r="L192" s="309"/>
      <c r="M192" s="309"/>
      <c r="N192" s="309"/>
      <c r="O192" s="309"/>
      <c r="P192" s="309"/>
      <c r="Q192" s="309"/>
      <c r="R192" s="309"/>
      <c r="S192" s="309"/>
      <c r="T192" s="309"/>
      <c r="U192" s="309"/>
    </row>
    <row r="193" spans="1:21" ht="14.25" customHeight="1">
      <c r="A193" s="1611" t="s">
        <v>657</v>
      </c>
      <c r="B193" s="621">
        <v>50</v>
      </c>
      <c r="C193" s="624">
        <v>55.085000000000001</v>
      </c>
      <c r="D193" s="792">
        <v>0</v>
      </c>
      <c r="E193" s="629">
        <f>C193*B193</f>
        <v>2754.25</v>
      </c>
      <c r="F193" s="546" t="s">
        <v>163</v>
      </c>
      <c r="G193" s="1505"/>
      <c r="H193" s="1526"/>
      <c r="I193" s="1501"/>
      <c r="J193" s="1601"/>
      <c r="K193" s="261"/>
      <c r="L193" s="309"/>
      <c r="M193" s="309"/>
      <c r="N193" s="309"/>
      <c r="O193" s="309"/>
      <c r="P193" s="309"/>
      <c r="Q193" s="309"/>
      <c r="R193" s="309"/>
      <c r="S193" s="309"/>
      <c r="T193" s="309"/>
      <c r="U193" s="309"/>
    </row>
    <row r="194" spans="1:21" ht="14.25" customHeight="1">
      <c r="A194" s="787"/>
      <c r="B194" s="621"/>
      <c r="C194" s="856"/>
      <c r="D194" s="839"/>
      <c r="E194" s="629"/>
      <c r="F194" s="546"/>
      <c r="G194" s="1505"/>
      <c r="H194" s="1526"/>
      <c r="I194" s="1501"/>
      <c r="J194" s="1601"/>
      <c r="K194" s="261"/>
      <c r="L194" s="309"/>
      <c r="M194" s="309"/>
      <c r="N194" s="309"/>
      <c r="O194" s="309"/>
      <c r="P194" s="309"/>
      <c r="Q194" s="309"/>
      <c r="R194" s="309"/>
      <c r="S194" s="309"/>
      <c r="T194" s="309"/>
      <c r="U194" s="309"/>
    </row>
    <row r="195" spans="1:21" ht="14.25" customHeight="1">
      <c r="A195" s="867">
        <v>44511</v>
      </c>
      <c r="B195" s="784"/>
      <c r="C195" s="785"/>
      <c r="D195" s="786"/>
      <c r="E195" s="629"/>
      <c r="F195" s="781"/>
      <c r="G195" s="1505"/>
      <c r="H195" s="1526"/>
      <c r="I195" s="1526"/>
      <c r="J195" s="1612" t="s">
        <v>702</v>
      </c>
      <c r="K195" s="261"/>
      <c r="L195" s="309"/>
      <c r="M195" s="309"/>
      <c r="N195" s="309"/>
      <c r="O195" s="309"/>
      <c r="P195" s="309"/>
      <c r="Q195" s="309"/>
      <c r="R195" s="309"/>
      <c r="S195" s="309"/>
      <c r="T195" s="309"/>
      <c r="U195" s="309"/>
    </row>
    <row r="196" spans="1:21" ht="14.25" customHeight="1">
      <c r="A196" s="273" t="s">
        <v>824</v>
      </c>
      <c r="B196" s="621"/>
      <c r="C196" s="623"/>
      <c r="D196" s="792"/>
      <c r="E196" s="629"/>
      <c r="F196" s="546"/>
      <c r="G196" s="1505"/>
      <c r="H196" s="1526"/>
      <c r="I196" s="1526"/>
      <c r="J196" s="1612"/>
      <c r="K196" s="261"/>
      <c r="L196" s="309"/>
      <c r="M196" s="309"/>
      <c r="N196" s="309"/>
      <c r="O196" s="309"/>
      <c r="P196" s="309"/>
      <c r="Q196" s="309"/>
      <c r="R196" s="309"/>
      <c r="S196" s="309"/>
      <c r="T196" s="309"/>
      <c r="U196" s="309"/>
    </row>
    <row r="197" spans="1:21" ht="14.25" customHeight="1">
      <c r="A197" s="1611" t="s">
        <v>701</v>
      </c>
      <c r="B197" s="621">
        <v>61</v>
      </c>
      <c r="C197" s="624">
        <v>81.72</v>
      </c>
      <c r="D197" s="792">
        <v>0</v>
      </c>
      <c r="E197" s="629">
        <f>C197*B197</f>
        <v>4984.92</v>
      </c>
      <c r="F197" s="546" t="s">
        <v>702</v>
      </c>
      <c r="G197" s="1505"/>
      <c r="H197" s="1526"/>
      <c r="I197" s="1501" t="s">
        <v>702</v>
      </c>
      <c r="J197" s="1601"/>
      <c r="K197" s="261"/>
      <c r="L197" s="309"/>
      <c r="M197" s="309"/>
      <c r="N197" s="309"/>
      <c r="O197" s="309"/>
      <c r="P197" s="309"/>
      <c r="Q197" s="309"/>
      <c r="R197" s="309"/>
      <c r="S197" s="309"/>
      <c r="T197" s="309"/>
      <c r="U197" s="309"/>
    </row>
    <row r="198" spans="1:21" ht="14.25" customHeight="1">
      <c r="A198" s="787"/>
      <c r="B198" s="621"/>
      <c r="C198" s="856"/>
      <c r="D198" s="839"/>
      <c r="E198" s="629"/>
      <c r="F198" s="546"/>
      <c r="G198" s="1505"/>
      <c r="H198" s="1526"/>
      <c r="I198" s="1501"/>
      <c r="J198" s="1601"/>
      <c r="K198" s="261"/>
      <c r="L198" s="309"/>
      <c r="M198" s="309"/>
      <c r="N198" s="309"/>
      <c r="O198" s="309"/>
      <c r="P198" s="309"/>
      <c r="Q198" s="309"/>
      <c r="R198" s="309"/>
      <c r="S198" s="309"/>
      <c r="T198" s="309"/>
      <c r="U198" s="309"/>
    </row>
    <row r="199" spans="1:21" ht="14.25" customHeight="1">
      <c r="A199" s="867">
        <v>44510</v>
      </c>
      <c r="B199" s="784"/>
      <c r="C199" s="785"/>
      <c r="D199" s="786"/>
      <c r="E199" s="629"/>
      <c r="F199" s="781"/>
      <c r="G199" s="1505"/>
      <c r="H199" s="1526"/>
      <c r="I199" s="1526"/>
      <c r="J199" s="1612" t="s">
        <v>700</v>
      </c>
      <c r="K199" s="261"/>
      <c r="L199" s="309"/>
      <c r="M199" s="309"/>
      <c r="N199" s="309"/>
      <c r="O199" s="309"/>
      <c r="P199" s="309"/>
      <c r="Q199" s="309"/>
      <c r="R199" s="309"/>
      <c r="S199" s="309"/>
      <c r="T199" s="309"/>
      <c r="U199" s="309"/>
    </row>
    <row r="200" spans="1:21" ht="14.25" customHeight="1">
      <c r="A200" s="273" t="s">
        <v>824</v>
      </c>
      <c r="B200" s="621"/>
      <c r="C200" s="623"/>
      <c r="D200" s="792"/>
      <c r="E200" s="629"/>
      <c r="F200" s="546"/>
      <c r="G200" s="1505"/>
      <c r="H200" s="1526"/>
      <c r="I200" s="1526"/>
      <c r="J200" s="1612"/>
      <c r="K200" s="261"/>
      <c r="L200" s="309"/>
      <c r="M200" s="309"/>
      <c r="N200" s="309"/>
      <c r="O200" s="309"/>
      <c r="P200" s="309"/>
      <c r="Q200" s="309"/>
      <c r="R200" s="309"/>
      <c r="S200" s="309"/>
      <c r="T200" s="309"/>
      <c r="U200" s="309"/>
    </row>
    <row r="201" spans="1:21" ht="14.25" customHeight="1">
      <c r="A201" s="1611" t="s">
        <v>699</v>
      </c>
      <c r="B201" s="621">
        <v>177</v>
      </c>
      <c r="C201" s="624">
        <v>28.265000000000001</v>
      </c>
      <c r="D201" s="792">
        <v>0</v>
      </c>
      <c r="E201" s="629">
        <f>C201*B201</f>
        <v>5002.9049999999997</v>
      </c>
      <c r="F201" s="546" t="s">
        <v>700</v>
      </c>
      <c r="G201" s="1505"/>
      <c r="H201" s="1526"/>
      <c r="I201" s="1501" t="s">
        <v>700</v>
      </c>
      <c r="J201" s="1601"/>
      <c r="K201" s="261"/>
      <c r="L201" s="309"/>
      <c r="M201" s="309"/>
      <c r="N201" s="309"/>
      <c r="O201" s="309"/>
      <c r="P201" s="309"/>
      <c r="Q201" s="309"/>
      <c r="R201" s="309"/>
      <c r="S201" s="309"/>
      <c r="T201" s="309"/>
      <c r="U201" s="309"/>
    </row>
    <row r="202" spans="1:21" ht="14.25" customHeight="1">
      <c r="A202" s="787"/>
      <c r="B202" s="621"/>
      <c r="C202" s="856"/>
      <c r="D202" s="839"/>
      <c r="E202" s="629"/>
      <c r="F202" s="546"/>
      <c r="G202" s="1505"/>
      <c r="H202" s="1526"/>
      <c r="I202" s="1501"/>
      <c r="J202" s="1601"/>
      <c r="K202" s="261"/>
      <c r="L202" s="309"/>
      <c r="M202" s="309"/>
      <c r="N202" s="309"/>
      <c r="O202" s="309"/>
      <c r="P202" s="309"/>
      <c r="Q202" s="309"/>
      <c r="R202" s="309"/>
      <c r="S202" s="309"/>
      <c r="T202" s="309"/>
      <c r="U202" s="309"/>
    </row>
    <row r="203" spans="1:21" ht="14.25" customHeight="1">
      <c r="A203" s="867">
        <v>44510</v>
      </c>
      <c r="B203" s="784"/>
      <c r="C203" s="785"/>
      <c r="D203" s="786"/>
      <c r="E203" s="629"/>
      <c r="F203" s="781"/>
      <c r="G203" s="1505"/>
      <c r="H203" s="1526"/>
      <c r="I203" s="1526"/>
      <c r="J203" s="1612" t="s">
        <v>698</v>
      </c>
      <c r="K203" s="261"/>
      <c r="L203" s="309"/>
      <c r="M203" s="309"/>
      <c r="N203" s="309"/>
      <c r="O203" s="309"/>
      <c r="P203" s="309"/>
      <c r="Q203" s="309"/>
      <c r="R203" s="309"/>
      <c r="S203" s="309"/>
      <c r="T203" s="309"/>
      <c r="U203" s="309"/>
    </row>
    <row r="204" spans="1:21" ht="14.25" customHeight="1">
      <c r="A204" s="273" t="s">
        <v>824</v>
      </c>
      <c r="B204" s="621"/>
      <c r="C204" s="623"/>
      <c r="D204" s="792"/>
      <c r="E204" s="629"/>
      <c r="F204" s="546"/>
      <c r="G204" s="1505"/>
      <c r="H204" s="1526"/>
      <c r="I204" s="1526"/>
      <c r="J204" s="1612"/>
      <c r="K204" s="261"/>
      <c r="L204" s="309"/>
      <c r="M204" s="309"/>
      <c r="N204" s="309"/>
      <c r="O204" s="309"/>
      <c r="P204" s="309"/>
      <c r="Q204" s="309"/>
      <c r="R204" s="309"/>
      <c r="S204" s="309"/>
      <c r="T204" s="309"/>
      <c r="U204" s="309"/>
    </row>
    <row r="205" spans="1:21" ht="14.25" customHeight="1">
      <c r="A205" s="1611" t="s">
        <v>697</v>
      </c>
      <c r="B205" s="621">
        <v>97</v>
      </c>
      <c r="C205" s="624">
        <v>51.294600000000003</v>
      </c>
      <c r="D205" s="792">
        <v>0</v>
      </c>
      <c r="E205" s="629">
        <f>C205*B205</f>
        <v>4975.5762000000004</v>
      </c>
      <c r="F205" s="546" t="s">
        <v>698</v>
      </c>
      <c r="G205" s="1505"/>
      <c r="H205" s="1526"/>
      <c r="I205" s="1501" t="s">
        <v>698</v>
      </c>
      <c r="J205" s="1601"/>
      <c r="K205" s="261"/>
      <c r="L205" s="309"/>
      <c r="M205" s="309"/>
      <c r="N205" s="309"/>
      <c r="O205" s="309"/>
      <c r="P205" s="309"/>
      <c r="Q205" s="309"/>
      <c r="R205" s="309"/>
      <c r="S205" s="309"/>
      <c r="T205" s="309"/>
      <c r="U205" s="309"/>
    </row>
    <row r="206" spans="1:21" ht="14.25" customHeight="1">
      <c r="A206" s="787"/>
      <c r="B206" s="621"/>
      <c r="C206" s="856"/>
      <c r="D206" s="839"/>
      <c r="E206" s="629"/>
      <c r="F206" s="546"/>
      <c r="G206" s="1505"/>
      <c r="H206" s="1526"/>
      <c r="I206" s="1501"/>
      <c r="J206" s="1601"/>
      <c r="K206" s="261"/>
      <c r="L206" s="309"/>
      <c r="M206" s="309"/>
      <c r="N206" s="309"/>
      <c r="O206" s="309"/>
      <c r="P206" s="309"/>
      <c r="Q206" s="309"/>
      <c r="R206" s="309"/>
      <c r="S206" s="309"/>
      <c r="T206" s="309"/>
      <c r="U206" s="309"/>
    </row>
    <row r="207" spans="1:21" ht="14.25" customHeight="1">
      <c r="A207" s="867">
        <v>44510</v>
      </c>
      <c r="B207" s="784"/>
      <c r="C207" s="785"/>
      <c r="D207" s="786"/>
      <c r="E207" s="629"/>
      <c r="F207" s="781"/>
      <c r="G207" s="1505"/>
      <c r="H207" s="1526"/>
      <c r="I207" s="1526"/>
      <c r="J207" s="1612" t="s">
        <v>696</v>
      </c>
      <c r="K207" s="261"/>
      <c r="L207" s="309"/>
      <c r="M207" s="309"/>
      <c r="N207" s="309"/>
      <c r="O207" s="309"/>
      <c r="P207" s="309"/>
      <c r="Q207" s="309"/>
      <c r="R207" s="309"/>
      <c r="S207" s="309"/>
      <c r="T207" s="309"/>
      <c r="U207" s="309"/>
    </row>
    <row r="208" spans="1:21" ht="14.25" customHeight="1">
      <c r="A208" s="273" t="s">
        <v>824</v>
      </c>
      <c r="B208" s="621"/>
      <c r="C208" s="623"/>
      <c r="D208" s="792"/>
      <c r="E208" s="629"/>
      <c r="F208" s="546"/>
      <c r="G208" s="1505"/>
      <c r="H208" s="1526"/>
      <c r="I208" s="1526"/>
      <c r="J208" s="1612"/>
      <c r="K208" s="261"/>
      <c r="L208" s="309"/>
      <c r="M208" s="309"/>
      <c r="N208" s="309"/>
      <c r="O208" s="309"/>
      <c r="P208" s="309"/>
      <c r="Q208" s="309"/>
      <c r="R208" s="309"/>
      <c r="S208" s="309"/>
      <c r="T208" s="309"/>
      <c r="U208" s="309"/>
    </row>
    <row r="209" spans="1:21" ht="14.25" customHeight="1">
      <c r="A209" s="1611" t="s">
        <v>695</v>
      </c>
      <c r="B209" s="621">
        <v>47</v>
      </c>
      <c r="C209" s="624">
        <v>106.47499999999999</v>
      </c>
      <c r="D209" s="792">
        <v>0</v>
      </c>
      <c r="E209" s="629">
        <f>C209*B209</f>
        <v>5004.3249999999998</v>
      </c>
      <c r="F209" s="546" t="s">
        <v>696</v>
      </c>
      <c r="G209" s="1505"/>
      <c r="H209" s="1526"/>
      <c r="I209" s="1501" t="s">
        <v>696</v>
      </c>
      <c r="J209" s="1601"/>
      <c r="K209" s="261"/>
      <c r="L209" s="309"/>
      <c r="M209" s="309"/>
      <c r="N209" s="309"/>
      <c r="O209" s="309"/>
      <c r="P209" s="309"/>
      <c r="Q209" s="309"/>
      <c r="R209" s="309"/>
      <c r="S209" s="309"/>
      <c r="T209" s="309"/>
      <c r="U209" s="309"/>
    </row>
    <row r="210" spans="1:21" ht="14.25" customHeight="1">
      <c r="A210" s="787"/>
      <c r="B210" s="621"/>
      <c r="C210" s="856"/>
      <c r="D210" s="839"/>
      <c r="E210" s="629"/>
      <c r="F210" s="546"/>
      <c r="G210" s="1505"/>
      <c r="H210" s="1526"/>
      <c r="I210" s="1501"/>
      <c r="J210" s="1601"/>
      <c r="K210" s="261"/>
      <c r="L210" s="309"/>
      <c r="M210" s="309"/>
      <c r="N210" s="309"/>
      <c r="O210" s="309"/>
      <c r="P210" s="309"/>
      <c r="Q210" s="309"/>
      <c r="R210" s="309"/>
      <c r="S210" s="309"/>
      <c r="T210" s="309"/>
      <c r="U210" s="309"/>
    </row>
    <row r="211" spans="1:21" ht="14.25" customHeight="1">
      <c r="A211" s="867">
        <v>44510</v>
      </c>
      <c r="B211" s="784"/>
      <c r="C211" s="785"/>
      <c r="D211" s="786"/>
      <c r="E211" s="629"/>
      <c r="F211" s="781"/>
      <c r="G211" s="1505"/>
      <c r="H211" s="1526"/>
      <c r="I211" s="1526"/>
      <c r="J211" s="546" t="s">
        <v>694</v>
      </c>
      <c r="K211" s="261"/>
      <c r="L211" s="309"/>
      <c r="M211" s="309"/>
      <c r="N211" s="309"/>
      <c r="O211" s="309"/>
      <c r="P211" s="309"/>
      <c r="Q211" s="309"/>
      <c r="R211" s="309"/>
      <c r="S211" s="309"/>
      <c r="T211" s="309"/>
      <c r="U211" s="309"/>
    </row>
    <row r="212" spans="1:21" ht="14.25" customHeight="1">
      <c r="A212" s="273" t="s">
        <v>824</v>
      </c>
      <c r="B212" s="621"/>
      <c r="C212" s="623"/>
      <c r="D212" s="792"/>
      <c r="E212" s="629"/>
      <c r="F212" s="546"/>
      <c r="G212" s="1505"/>
      <c r="H212" s="1526"/>
      <c r="I212" s="1526"/>
      <c r="J212" s="1612"/>
      <c r="K212" s="261"/>
      <c r="L212" s="309"/>
      <c r="M212" s="309"/>
      <c r="N212" s="309"/>
      <c r="O212" s="309"/>
      <c r="P212" s="309"/>
      <c r="Q212" s="309"/>
      <c r="R212" s="309"/>
      <c r="S212" s="309"/>
      <c r="T212" s="309"/>
      <c r="U212" s="309"/>
    </row>
    <row r="213" spans="1:21" ht="14.25" customHeight="1">
      <c r="A213" s="1611" t="s">
        <v>693</v>
      </c>
      <c r="B213" s="621">
        <v>79</v>
      </c>
      <c r="C213" s="624">
        <v>63.684399999999997</v>
      </c>
      <c r="D213" s="792">
        <v>0</v>
      </c>
      <c r="E213" s="629">
        <f>C213*B213</f>
        <v>5031.0675999999994</v>
      </c>
      <c r="F213" s="546" t="s">
        <v>694</v>
      </c>
      <c r="G213" s="1505"/>
      <c r="H213" s="1526"/>
      <c r="I213" s="1501" t="s">
        <v>694</v>
      </c>
      <c r="J213" s="1601"/>
      <c r="K213" s="261"/>
      <c r="L213" s="309"/>
      <c r="M213" s="309"/>
      <c r="N213" s="309"/>
      <c r="O213" s="309"/>
      <c r="P213" s="309"/>
      <c r="Q213" s="309"/>
      <c r="R213" s="309"/>
      <c r="S213" s="309"/>
      <c r="T213" s="309"/>
      <c r="U213" s="309"/>
    </row>
    <row r="214" spans="1:21" ht="14.25" customHeight="1">
      <c r="A214" s="787"/>
      <c r="B214" s="621"/>
      <c r="C214" s="856"/>
      <c r="D214" s="839"/>
      <c r="E214" s="629"/>
      <c r="F214" s="546"/>
      <c r="G214" s="1505"/>
      <c r="H214" s="1526"/>
      <c r="I214" s="1501"/>
      <c r="J214" s="1601"/>
      <c r="K214" s="261"/>
      <c r="L214" s="309"/>
      <c r="M214" s="309"/>
      <c r="N214" s="309"/>
      <c r="O214" s="309"/>
      <c r="P214" s="309"/>
      <c r="Q214" s="309"/>
      <c r="R214" s="309"/>
      <c r="S214" s="309"/>
      <c r="T214" s="309"/>
      <c r="U214" s="309"/>
    </row>
    <row r="215" spans="1:21" ht="14.25" customHeight="1">
      <c r="A215" s="867">
        <v>44508</v>
      </c>
      <c r="B215" s="784"/>
      <c r="C215" s="785"/>
      <c r="D215" s="786"/>
      <c r="E215" s="629"/>
      <c r="F215" s="781"/>
      <c r="G215" s="1505"/>
      <c r="H215" s="1526"/>
      <c r="I215" s="1526"/>
      <c r="J215" s="1612"/>
      <c r="K215" s="261"/>
      <c r="L215" s="309"/>
      <c r="M215" s="309"/>
      <c r="N215" s="309"/>
      <c r="O215" s="309"/>
      <c r="P215" s="309"/>
      <c r="Q215" s="309"/>
      <c r="R215" s="309"/>
      <c r="S215" s="309"/>
      <c r="T215" s="309"/>
      <c r="U215" s="309"/>
    </row>
    <row r="216" spans="1:21" ht="14.25" customHeight="1">
      <c r="A216" s="273" t="s">
        <v>820</v>
      </c>
      <c r="B216" s="621"/>
      <c r="C216" s="623"/>
      <c r="D216" s="792"/>
      <c r="E216" s="629"/>
      <c r="F216" s="546"/>
      <c r="G216" s="1505"/>
      <c r="H216" s="1526"/>
      <c r="I216" s="1526"/>
      <c r="J216" s="1612"/>
      <c r="K216" s="261"/>
      <c r="L216" s="309"/>
      <c r="M216" s="309"/>
      <c r="N216" s="309"/>
      <c r="O216" s="309"/>
      <c r="P216" s="309"/>
      <c r="Q216" s="309"/>
      <c r="R216" s="309"/>
      <c r="S216" s="309"/>
      <c r="T216" s="309"/>
      <c r="U216" s="309"/>
    </row>
    <row r="217" spans="1:21" ht="14.25" customHeight="1">
      <c r="A217" s="1611" t="s">
        <v>709</v>
      </c>
      <c r="B217" s="621">
        <v>236</v>
      </c>
      <c r="C217" s="624">
        <v>21.7562</v>
      </c>
      <c r="D217" s="792">
        <v>0</v>
      </c>
      <c r="E217" s="629">
        <f>C217*B217</f>
        <v>5134.4632000000001</v>
      </c>
      <c r="F217" s="546" t="s">
        <v>710</v>
      </c>
      <c r="G217" s="1505"/>
      <c r="H217" s="1526"/>
      <c r="I217" s="1501"/>
      <c r="J217" s="1601"/>
      <c r="K217" s="261"/>
      <c r="L217" s="309"/>
      <c r="M217" s="309"/>
      <c r="N217" s="309"/>
      <c r="O217" s="309"/>
      <c r="P217" s="309"/>
      <c r="Q217" s="309"/>
      <c r="R217" s="309"/>
      <c r="S217" s="309"/>
      <c r="T217" s="309"/>
      <c r="U217" s="309"/>
    </row>
    <row r="218" spans="1:21" ht="14.25" customHeight="1">
      <c r="A218" s="787"/>
      <c r="B218" s="621"/>
      <c r="C218" s="856"/>
      <c r="D218" s="839"/>
      <c r="E218" s="629"/>
      <c r="F218" s="546"/>
      <c r="G218" s="1505"/>
      <c r="H218" s="1526"/>
      <c r="I218" s="1501"/>
      <c r="J218" s="1601"/>
      <c r="K218" s="261"/>
      <c r="L218" s="309"/>
      <c r="M218" s="309"/>
      <c r="N218" s="309"/>
      <c r="O218" s="309"/>
      <c r="P218" s="309"/>
      <c r="Q218" s="309"/>
      <c r="R218" s="309"/>
      <c r="S218" s="309"/>
      <c r="T218" s="309"/>
      <c r="U218" s="309"/>
    </row>
    <row r="219" spans="1:21" ht="14.25" customHeight="1">
      <c r="A219" s="867">
        <v>44508</v>
      </c>
      <c r="B219" s="784"/>
      <c r="C219" s="785"/>
      <c r="D219" s="786"/>
      <c r="E219" s="629"/>
      <c r="F219" s="781"/>
      <c r="G219" s="1505"/>
      <c r="H219" s="1526"/>
      <c r="I219" s="1526"/>
      <c r="J219" s="1612"/>
      <c r="K219" s="261"/>
      <c r="L219" s="309"/>
      <c r="M219" s="309"/>
      <c r="N219" s="309"/>
      <c r="O219" s="309"/>
      <c r="P219" s="309"/>
      <c r="Q219" s="309"/>
      <c r="R219" s="309"/>
      <c r="S219" s="309"/>
      <c r="T219" s="309"/>
      <c r="U219" s="309"/>
    </row>
    <row r="220" spans="1:21" ht="14.25" customHeight="1">
      <c r="A220" s="273" t="s">
        <v>820</v>
      </c>
      <c r="B220" s="621"/>
      <c r="C220" s="623"/>
      <c r="D220" s="792"/>
      <c r="E220" s="629"/>
      <c r="F220" s="546"/>
      <c r="G220" s="1505"/>
      <c r="H220" s="1526"/>
      <c r="I220" s="1526"/>
      <c r="J220" s="1612"/>
      <c r="K220" s="261"/>
      <c r="L220" s="309"/>
      <c r="M220" s="309"/>
      <c r="N220" s="309"/>
      <c r="O220" s="309"/>
      <c r="P220" s="309"/>
      <c r="Q220" s="309"/>
      <c r="R220" s="309"/>
      <c r="S220" s="309"/>
      <c r="T220" s="309"/>
      <c r="U220" s="309"/>
    </row>
    <row r="221" spans="1:21" ht="14.25" customHeight="1">
      <c r="A221" s="1611" t="s">
        <v>707</v>
      </c>
      <c r="B221" s="621">
        <v>204</v>
      </c>
      <c r="C221" s="624">
        <v>25.25</v>
      </c>
      <c r="D221" s="792">
        <v>0</v>
      </c>
      <c r="E221" s="629">
        <f>C221*B221</f>
        <v>5151</v>
      </c>
      <c r="F221" s="546" t="s">
        <v>708</v>
      </c>
      <c r="G221" s="1505"/>
      <c r="H221" s="1526"/>
      <c r="I221" s="1501"/>
      <c r="J221" s="1601"/>
      <c r="K221" s="261"/>
      <c r="L221" s="309"/>
      <c r="M221" s="309"/>
      <c r="N221" s="309"/>
      <c r="O221" s="309"/>
      <c r="P221" s="309"/>
      <c r="Q221" s="309"/>
      <c r="R221" s="309"/>
      <c r="S221" s="309"/>
      <c r="T221" s="309"/>
      <c r="U221" s="309"/>
    </row>
    <row r="222" spans="1:21" ht="14.25" customHeight="1">
      <c r="A222" s="787"/>
      <c r="B222" s="621"/>
      <c r="C222" s="856"/>
      <c r="D222" s="839"/>
      <c r="E222" s="629"/>
      <c r="F222" s="546"/>
      <c r="G222" s="1505"/>
      <c r="H222" s="1526"/>
      <c r="I222" s="1501"/>
      <c r="J222" s="1601"/>
      <c r="K222" s="261"/>
      <c r="L222" s="309"/>
      <c r="M222" s="309"/>
      <c r="N222" s="309"/>
      <c r="O222" s="309"/>
      <c r="P222" s="309"/>
      <c r="Q222" s="309"/>
      <c r="R222" s="309"/>
      <c r="S222" s="309"/>
      <c r="T222" s="309"/>
      <c r="U222" s="309"/>
    </row>
    <row r="223" spans="1:21" ht="14.25" customHeight="1">
      <c r="A223" s="867">
        <v>44508</v>
      </c>
      <c r="B223" s="784"/>
      <c r="C223" s="785"/>
      <c r="D223" s="786"/>
      <c r="E223" s="629"/>
      <c r="F223" s="781"/>
      <c r="G223" s="1505"/>
      <c r="H223" s="1526"/>
      <c r="I223" s="1526"/>
      <c r="J223" s="1612"/>
      <c r="K223" s="261"/>
      <c r="L223" s="309"/>
      <c r="M223" s="309"/>
      <c r="N223" s="309"/>
      <c r="O223" s="309"/>
      <c r="P223" s="309"/>
      <c r="Q223" s="309"/>
      <c r="R223" s="309"/>
      <c r="S223" s="309"/>
      <c r="T223" s="309"/>
      <c r="U223" s="309"/>
    </row>
    <row r="224" spans="1:21" ht="14.25" customHeight="1">
      <c r="A224" s="273" t="s">
        <v>820</v>
      </c>
      <c r="B224" s="621"/>
      <c r="C224" s="623"/>
      <c r="D224" s="792"/>
      <c r="E224" s="629"/>
      <c r="F224" s="546"/>
      <c r="G224" s="1505"/>
      <c r="H224" s="1526"/>
      <c r="I224" s="1526"/>
      <c r="J224" s="1612"/>
      <c r="K224" s="261"/>
      <c r="L224" s="309"/>
      <c r="M224" s="309"/>
      <c r="N224" s="309"/>
      <c r="O224" s="309"/>
      <c r="P224" s="309"/>
      <c r="Q224" s="309"/>
      <c r="R224" s="309"/>
      <c r="S224" s="309"/>
      <c r="T224" s="309"/>
      <c r="U224" s="309"/>
    </row>
    <row r="225" spans="1:21" ht="14.25" customHeight="1">
      <c r="A225" s="1611" t="s">
        <v>705</v>
      </c>
      <c r="B225" s="621">
        <v>19</v>
      </c>
      <c r="C225" s="624">
        <v>398.86500000000001</v>
      </c>
      <c r="D225" s="792">
        <v>0</v>
      </c>
      <c r="E225" s="629">
        <f>C225*B225</f>
        <v>7578.4350000000004</v>
      </c>
      <c r="F225" s="546" t="s">
        <v>706</v>
      </c>
      <c r="G225" s="1505"/>
      <c r="H225" s="1526"/>
      <c r="I225" s="1501"/>
      <c r="J225" s="1601"/>
      <c r="K225" s="261"/>
      <c r="L225" s="309"/>
      <c r="M225" s="309"/>
      <c r="N225" s="309"/>
      <c r="O225" s="309"/>
      <c r="P225" s="309"/>
      <c r="Q225" s="309"/>
      <c r="R225" s="309"/>
      <c r="S225" s="309"/>
      <c r="T225" s="309"/>
      <c r="U225" s="309"/>
    </row>
    <row r="226" spans="1:21" ht="14.25" customHeight="1">
      <c r="A226" s="787"/>
      <c r="B226" s="621"/>
      <c r="C226" s="856"/>
      <c r="D226" s="839"/>
      <c r="E226" s="629"/>
      <c r="F226" s="546"/>
      <c r="G226" s="1505"/>
      <c r="H226" s="1526"/>
      <c r="I226" s="1501"/>
      <c r="J226" s="1601"/>
      <c r="K226" s="261"/>
      <c r="L226" s="309"/>
      <c r="M226" s="309"/>
      <c r="N226" s="309"/>
      <c r="O226" s="309"/>
      <c r="P226" s="309"/>
      <c r="Q226" s="309"/>
      <c r="R226" s="309"/>
      <c r="S226" s="309"/>
      <c r="T226" s="309"/>
      <c r="U226" s="309"/>
    </row>
    <row r="227" spans="1:21" ht="14.25" customHeight="1">
      <c r="A227" s="867">
        <v>44508</v>
      </c>
      <c r="B227" s="784"/>
      <c r="C227" s="785"/>
      <c r="D227" s="786"/>
      <c r="E227" s="629"/>
      <c r="F227" s="781"/>
      <c r="G227" s="1505"/>
      <c r="H227" s="1526"/>
      <c r="I227" s="1526"/>
      <c r="J227" s="1612"/>
      <c r="K227" s="261"/>
      <c r="L227" s="309"/>
      <c r="M227" s="309"/>
      <c r="N227" s="309"/>
      <c r="O227" s="309"/>
      <c r="P227" s="309"/>
      <c r="Q227" s="309"/>
      <c r="R227" s="309"/>
      <c r="S227" s="309"/>
      <c r="T227" s="309"/>
      <c r="U227" s="309"/>
    </row>
    <row r="228" spans="1:21" ht="14.25" customHeight="1">
      <c r="A228" s="273" t="s">
        <v>820</v>
      </c>
      <c r="B228" s="621"/>
      <c r="C228" s="623"/>
      <c r="D228" s="792"/>
      <c r="E228" s="629"/>
      <c r="F228" s="546"/>
      <c r="G228" s="1505"/>
      <c r="H228" s="1526"/>
      <c r="I228" s="1526"/>
      <c r="J228" s="1612"/>
      <c r="K228" s="261"/>
      <c r="L228" s="309"/>
      <c r="M228" s="309"/>
      <c r="N228" s="309"/>
      <c r="O228" s="309"/>
      <c r="P228" s="309"/>
      <c r="Q228" s="309"/>
      <c r="R228" s="309"/>
      <c r="S228" s="309"/>
      <c r="T228" s="309"/>
      <c r="U228" s="309"/>
    </row>
    <row r="229" spans="1:21" ht="14.25" customHeight="1">
      <c r="A229" s="1611" t="s">
        <v>371</v>
      </c>
      <c r="B229" s="621">
        <v>81</v>
      </c>
      <c r="C229" s="624">
        <v>110.215</v>
      </c>
      <c r="D229" s="792">
        <v>0</v>
      </c>
      <c r="E229" s="629">
        <f>C229*B229</f>
        <v>8927.4150000000009</v>
      </c>
      <c r="F229" s="546" t="s">
        <v>372</v>
      </c>
      <c r="G229" s="1505"/>
      <c r="H229" s="1526"/>
      <c r="I229" s="1501"/>
      <c r="J229" s="1601"/>
      <c r="K229" s="261"/>
      <c r="L229" s="309"/>
      <c r="M229" s="309"/>
      <c r="N229" s="309"/>
      <c r="O229" s="309"/>
      <c r="P229" s="309"/>
      <c r="Q229" s="309"/>
      <c r="R229" s="309"/>
      <c r="S229" s="309"/>
      <c r="T229" s="309"/>
      <c r="U229" s="309"/>
    </row>
    <row r="230" spans="1:21" ht="14.25" customHeight="1">
      <c r="A230" s="787"/>
      <c r="B230" s="621"/>
      <c r="C230" s="856"/>
      <c r="D230" s="839"/>
      <c r="E230" s="629"/>
      <c r="F230" s="546"/>
      <c r="G230" s="1505"/>
      <c r="H230" s="1526"/>
      <c r="I230" s="1501"/>
      <c r="J230" s="1601"/>
      <c r="K230" s="261"/>
      <c r="L230" s="309"/>
      <c r="M230" s="309"/>
      <c r="N230" s="309"/>
      <c r="O230" s="309"/>
      <c r="P230" s="309"/>
      <c r="Q230" s="309"/>
      <c r="R230" s="309"/>
      <c r="S230" s="309"/>
      <c r="T230" s="309"/>
      <c r="U230" s="309"/>
    </row>
    <row r="231" spans="1:21" ht="14.25" customHeight="1">
      <c r="A231" s="867">
        <v>44501</v>
      </c>
      <c r="B231" s="784"/>
      <c r="C231" s="785"/>
      <c r="D231" s="786"/>
      <c r="E231" s="629"/>
      <c r="F231" s="781"/>
      <c r="G231" s="1505"/>
      <c r="H231" s="1526"/>
      <c r="I231" s="1526"/>
      <c r="J231" s="1612" t="s">
        <v>678</v>
      </c>
      <c r="K231" s="261"/>
      <c r="L231" s="309"/>
      <c r="M231" s="309"/>
      <c r="N231" s="309"/>
      <c r="O231" s="309"/>
      <c r="P231" s="309"/>
      <c r="Q231" s="309"/>
      <c r="R231" s="309"/>
      <c r="S231" s="309"/>
      <c r="T231" s="309"/>
      <c r="U231" s="309"/>
    </row>
    <row r="232" spans="1:21" ht="14.25" customHeight="1">
      <c r="A232" s="273" t="s">
        <v>824</v>
      </c>
      <c r="B232" s="621"/>
      <c r="C232" s="623"/>
      <c r="D232" s="792"/>
      <c r="E232" s="629"/>
      <c r="F232" s="546"/>
      <c r="G232" s="1505"/>
      <c r="H232" s="1526"/>
      <c r="I232" s="1526"/>
      <c r="J232" s="1612"/>
      <c r="K232" s="261"/>
      <c r="L232" s="309"/>
      <c r="M232" s="309"/>
      <c r="N232" s="309"/>
      <c r="O232" s="309"/>
      <c r="P232" s="309"/>
      <c r="Q232" s="309"/>
      <c r="R232" s="309"/>
      <c r="S232" s="309"/>
      <c r="T232" s="309"/>
      <c r="U232" s="309"/>
    </row>
    <row r="233" spans="1:21" ht="14.25" customHeight="1">
      <c r="A233" s="1611" t="s">
        <v>677</v>
      </c>
      <c r="B233" s="621">
        <v>35</v>
      </c>
      <c r="C233" s="624">
        <v>92.788899999999998</v>
      </c>
      <c r="D233" s="792">
        <v>0</v>
      </c>
      <c r="E233" s="629">
        <f>C233*B233</f>
        <v>3247.6115</v>
      </c>
      <c r="F233" s="546" t="s">
        <v>678</v>
      </c>
      <c r="G233" s="1505"/>
      <c r="H233" s="1526"/>
      <c r="I233" s="1501" t="s">
        <v>678</v>
      </c>
      <c r="J233" s="1601"/>
      <c r="K233" s="261"/>
      <c r="L233" s="309"/>
      <c r="M233" s="309"/>
      <c r="N233" s="309"/>
      <c r="O233" s="309"/>
      <c r="P233" s="309"/>
      <c r="Q233" s="309"/>
      <c r="R233" s="309"/>
      <c r="S233" s="309"/>
      <c r="T233" s="309"/>
      <c r="U233" s="309"/>
    </row>
    <row r="234" spans="1:21" ht="14.25" customHeight="1">
      <c r="A234" s="787"/>
      <c r="B234" s="621"/>
      <c r="C234" s="856"/>
      <c r="D234" s="839"/>
      <c r="E234" s="629"/>
      <c r="F234" s="546"/>
      <c r="G234" s="1505"/>
      <c r="H234" s="1526"/>
      <c r="I234" s="1501"/>
      <c r="J234" s="1601"/>
      <c r="K234" s="261"/>
      <c r="L234" s="309"/>
      <c r="M234" s="309"/>
      <c r="N234" s="309"/>
      <c r="O234" s="309"/>
      <c r="P234" s="309"/>
      <c r="Q234" s="309"/>
      <c r="R234" s="309"/>
      <c r="S234" s="309"/>
      <c r="T234" s="309"/>
      <c r="U234" s="309"/>
    </row>
    <row r="235" spans="1:21" ht="14.25" customHeight="1">
      <c r="A235" s="867">
        <v>44501</v>
      </c>
      <c r="B235" s="784"/>
      <c r="C235" s="785"/>
      <c r="D235" s="786"/>
      <c r="E235" s="629"/>
      <c r="F235" s="781"/>
      <c r="G235" s="1505"/>
      <c r="H235" s="1526"/>
      <c r="I235" s="1526"/>
      <c r="J235" s="1612" t="s">
        <v>456</v>
      </c>
      <c r="K235" s="261"/>
      <c r="L235" s="309"/>
      <c r="M235" s="309"/>
      <c r="N235" s="309"/>
      <c r="O235" s="309"/>
      <c r="P235" s="309"/>
      <c r="Q235" s="309"/>
      <c r="R235" s="309"/>
      <c r="S235" s="309"/>
      <c r="T235" s="309"/>
      <c r="U235" s="309"/>
    </row>
    <row r="236" spans="1:21" ht="14.25" customHeight="1">
      <c r="A236" s="273" t="s">
        <v>824</v>
      </c>
      <c r="B236" s="621"/>
      <c r="C236" s="623"/>
      <c r="D236" s="792"/>
      <c r="E236" s="629"/>
      <c r="F236" s="546"/>
      <c r="G236" s="1505"/>
      <c r="H236" s="1526"/>
      <c r="I236" s="1526"/>
      <c r="J236" s="1612"/>
      <c r="K236" s="261"/>
      <c r="L236" s="309"/>
      <c r="M236" s="309"/>
      <c r="N236" s="309"/>
      <c r="O236" s="309"/>
      <c r="P236" s="309"/>
      <c r="Q236" s="309"/>
      <c r="R236" s="309"/>
      <c r="S236" s="309"/>
      <c r="T236" s="309"/>
      <c r="U236" s="309"/>
    </row>
    <row r="237" spans="1:21" ht="14.25" customHeight="1">
      <c r="A237" s="1611" t="s">
        <v>576</v>
      </c>
      <c r="B237" s="621">
        <v>30</v>
      </c>
      <c r="C237" s="624">
        <v>90.655000000000001</v>
      </c>
      <c r="D237" s="792">
        <v>0</v>
      </c>
      <c r="E237" s="629">
        <f>C237*B237</f>
        <v>2719.65</v>
      </c>
      <c r="F237" s="546" t="s">
        <v>456</v>
      </c>
      <c r="G237" s="1505"/>
      <c r="H237" s="1526"/>
      <c r="I237" s="1501" t="s">
        <v>456</v>
      </c>
      <c r="J237" s="1601"/>
      <c r="K237" s="261"/>
      <c r="L237" s="309"/>
      <c r="M237" s="309"/>
      <c r="N237" s="309"/>
      <c r="O237" s="309"/>
      <c r="P237" s="309"/>
      <c r="Q237" s="309"/>
      <c r="R237" s="309"/>
      <c r="S237" s="309"/>
      <c r="T237" s="309"/>
      <c r="U237" s="309"/>
    </row>
    <row r="238" spans="1:21" ht="14.25" customHeight="1">
      <c r="A238" s="787"/>
      <c r="B238" s="621"/>
      <c r="C238" s="856"/>
      <c r="D238" s="839"/>
      <c r="E238" s="629"/>
      <c r="F238" s="546"/>
      <c r="G238" s="1505"/>
      <c r="H238" s="1526"/>
      <c r="I238" s="1501"/>
      <c r="J238" s="1601"/>
      <c r="K238" s="261"/>
      <c r="L238" s="309"/>
      <c r="M238" s="309"/>
      <c r="N238" s="309"/>
      <c r="O238" s="309"/>
      <c r="P238" s="309"/>
      <c r="Q238" s="309"/>
      <c r="R238" s="309"/>
      <c r="S238" s="309"/>
      <c r="T238" s="309"/>
      <c r="U238" s="309"/>
    </row>
    <row r="239" spans="1:21" ht="14.25" customHeight="1">
      <c r="A239" s="867">
        <v>44496</v>
      </c>
      <c r="B239" s="784"/>
      <c r="C239" s="785"/>
      <c r="D239" s="786"/>
      <c r="E239" s="629"/>
      <c r="F239" s="781"/>
      <c r="G239" s="1505"/>
      <c r="H239" s="1526"/>
      <c r="I239" s="1526"/>
      <c r="J239" s="1612"/>
      <c r="K239" s="261"/>
      <c r="L239" s="309"/>
      <c r="M239" s="309"/>
      <c r="N239" s="309"/>
      <c r="O239" s="309"/>
      <c r="P239" s="309"/>
      <c r="Q239" s="309"/>
      <c r="R239" s="309"/>
      <c r="S239" s="309"/>
      <c r="T239" s="309"/>
      <c r="U239" s="309"/>
    </row>
    <row r="240" spans="1:21" ht="14.25" customHeight="1">
      <c r="A240" s="273" t="s">
        <v>820</v>
      </c>
      <c r="B240" s="621"/>
      <c r="C240" s="623"/>
      <c r="D240" s="792"/>
      <c r="E240" s="629"/>
      <c r="F240" s="546"/>
      <c r="G240" s="1505"/>
      <c r="H240" s="1526"/>
      <c r="I240" s="1526"/>
      <c r="J240" s="1612"/>
      <c r="K240" s="261"/>
      <c r="L240" s="309"/>
      <c r="M240" s="309"/>
      <c r="N240" s="309"/>
      <c r="O240" s="309"/>
      <c r="P240" s="309"/>
      <c r="Q240" s="309"/>
      <c r="R240" s="309"/>
      <c r="S240" s="309"/>
      <c r="T240" s="309"/>
      <c r="U240" s="309"/>
    </row>
    <row r="241" spans="1:21" ht="14.25" customHeight="1">
      <c r="A241" s="1611" t="s">
        <v>206</v>
      </c>
      <c r="B241" s="621">
        <v>50</v>
      </c>
      <c r="C241" s="624">
        <v>149.1557</v>
      </c>
      <c r="D241" s="792">
        <v>0</v>
      </c>
      <c r="E241" s="629">
        <f>C241*B241</f>
        <v>7457.7849999999999</v>
      </c>
      <c r="F241" s="546" t="s">
        <v>207</v>
      </c>
      <c r="G241" s="1514"/>
      <c r="H241" s="1526">
        <v>118</v>
      </c>
      <c r="I241" s="1501"/>
      <c r="J241" s="1601"/>
      <c r="K241" s="261"/>
      <c r="L241" s="309"/>
      <c r="M241" s="309"/>
      <c r="N241" s="309"/>
      <c r="O241" s="309"/>
      <c r="P241" s="309"/>
      <c r="Q241" s="309"/>
      <c r="R241" s="309"/>
      <c r="S241" s="309"/>
      <c r="T241" s="309"/>
      <c r="U241" s="309"/>
    </row>
    <row r="242" spans="1:21" ht="14.25" customHeight="1">
      <c r="A242" s="787"/>
      <c r="B242" s="621"/>
      <c r="C242" s="856"/>
      <c r="D242" s="839"/>
      <c r="E242" s="629"/>
      <c r="F242" s="546"/>
      <c r="G242" s="1505"/>
      <c r="H242" s="1526"/>
      <c r="I242" s="1501"/>
      <c r="J242" s="1601"/>
      <c r="K242" s="261"/>
      <c r="L242" s="309"/>
      <c r="M242" s="309"/>
      <c r="N242" s="309"/>
      <c r="O242" s="309"/>
      <c r="P242" s="309"/>
      <c r="Q242" s="309"/>
      <c r="R242" s="309"/>
      <c r="S242" s="309"/>
      <c r="T242" s="309"/>
      <c r="U242" s="309"/>
    </row>
    <row r="243" spans="1:21" ht="14.25" customHeight="1">
      <c r="A243" s="867">
        <v>44494</v>
      </c>
      <c r="B243" s="784"/>
      <c r="C243" s="785"/>
      <c r="D243" s="786"/>
      <c r="E243" s="629"/>
      <c r="F243" s="781"/>
      <c r="G243" s="1505"/>
      <c r="H243" s="1526"/>
      <c r="I243" s="1526"/>
      <c r="J243" s="1612" t="s">
        <v>682</v>
      </c>
      <c r="K243" s="261"/>
      <c r="L243" s="309"/>
      <c r="M243" s="309"/>
      <c r="N243" s="309"/>
      <c r="O243" s="309"/>
      <c r="P243" s="309"/>
      <c r="Q243" s="309"/>
      <c r="R243" s="309"/>
      <c r="S243" s="309"/>
      <c r="T243" s="309"/>
      <c r="U243" s="309"/>
    </row>
    <row r="244" spans="1:21" ht="14.25" customHeight="1">
      <c r="A244" s="273" t="s">
        <v>824</v>
      </c>
      <c r="B244" s="621"/>
      <c r="C244" s="623"/>
      <c r="D244" s="792"/>
      <c r="E244" s="629"/>
      <c r="F244" s="546"/>
      <c r="G244" s="1505"/>
      <c r="H244" s="1526"/>
      <c r="I244" s="1526"/>
      <c r="J244" s="1612"/>
      <c r="K244" s="261"/>
      <c r="L244" s="309"/>
      <c r="M244" s="309"/>
      <c r="N244" s="309"/>
      <c r="O244" s="309"/>
      <c r="P244" s="309"/>
      <c r="Q244" s="309"/>
      <c r="R244" s="309"/>
      <c r="S244" s="309"/>
      <c r="T244" s="309"/>
      <c r="U244" s="309"/>
    </row>
    <row r="245" spans="1:21" ht="14.25" customHeight="1">
      <c r="A245" s="1611" t="s">
        <v>681</v>
      </c>
      <c r="B245" s="621">
        <v>37</v>
      </c>
      <c r="C245" s="624">
        <v>67.995000000000005</v>
      </c>
      <c r="D245" s="792">
        <v>0</v>
      </c>
      <c r="E245" s="629">
        <f>C245*B245</f>
        <v>2515.8150000000001</v>
      </c>
      <c r="F245" s="546" t="s">
        <v>682</v>
      </c>
      <c r="G245" s="1505"/>
      <c r="H245" s="1526"/>
      <c r="I245" s="1501" t="s">
        <v>682</v>
      </c>
      <c r="J245" s="1601"/>
      <c r="K245" s="261"/>
      <c r="L245" s="309"/>
      <c r="M245" s="309"/>
      <c r="N245" s="309"/>
      <c r="O245" s="309"/>
      <c r="P245" s="309"/>
      <c r="Q245" s="309"/>
      <c r="R245" s="309"/>
      <c r="S245" s="309"/>
      <c r="T245" s="309"/>
      <c r="U245" s="309"/>
    </row>
    <row r="246" spans="1:21" ht="14.25" customHeight="1">
      <c r="A246" s="787"/>
      <c r="B246" s="621"/>
      <c r="C246" s="856"/>
      <c r="D246" s="839"/>
      <c r="E246" s="629"/>
      <c r="F246" s="546"/>
      <c r="G246" s="1505"/>
      <c r="H246" s="1526"/>
      <c r="I246" s="1501"/>
      <c r="J246" s="1601"/>
      <c r="K246" s="261"/>
      <c r="L246" s="309"/>
      <c r="M246" s="309"/>
      <c r="N246" s="309"/>
      <c r="O246" s="309"/>
      <c r="P246" s="309"/>
      <c r="Q246" s="309"/>
      <c r="R246" s="309"/>
      <c r="S246" s="309"/>
      <c r="T246" s="309"/>
      <c r="U246" s="309"/>
    </row>
    <row r="247" spans="1:21" ht="14.25" customHeight="1">
      <c r="A247" s="867">
        <v>44494</v>
      </c>
      <c r="B247" s="621"/>
      <c r="C247" s="623"/>
      <c r="D247" s="839"/>
      <c r="E247" s="629"/>
      <c r="F247" s="546"/>
      <c r="G247" s="1505"/>
      <c r="H247" s="1526"/>
      <c r="I247" s="1526"/>
      <c r="J247" s="1612" t="s">
        <v>684</v>
      </c>
      <c r="K247" s="261"/>
      <c r="L247" s="309"/>
      <c r="M247" s="309"/>
      <c r="N247" s="309"/>
      <c r="O247" s="309"/>
      <c r="P247" s="309"/>
      <c r="Q247" s="309"/>
      <c r="R247" s="309"/>
      <c r="S247" s="309"/>
      <c r="T247" s="309"/>
      <c r="U247" s="309"/>
    </row>
    <row r="248" spans="1:21" ht="14.25" customHeight="1">
      <c r="A248" s="273" t="s">
        <v>824</v>
      </c>
      <c r="B248" s="621"/>
      <c r="C248" s="623"/>
      <c r="D248" s="792"/>
      <c r="E248" s="629"/>
      <c r="F248" s="546"/>
      <c r="G248" s="1505"/>
      <c r="H248" s="1526"/>
      <c r="I248" s="1526"/>
      <c r="J248" s="1612"/>
      <c r="K248" s="261"/>
      <c r="L248" s="309"/>
      <c r="M248" s="309"/>
      <c r="N248" s="309"/>
      <c r="O248" s="309"/>
      <c r="P248" s="309"/>
      <c r="Q248" s="309"/>
      <c r="R248" s="309"/>
      <c r="S248" s="309"/>
      <c r="T248" s="309"/>
      <c r="U248" s="309"/>
    </row>
    <row r="249" spans="1:21" ht="14.25" customHeight="1">
      <c r="A249" s="1611" t="s">
        <v>683</v>
      </c>
      <c r="B249" s="621">
        <v>35</v>
      </c>
      <c r="C249" s="856">
        <v>116.2</v>
      </c>
      <c r="D249" s="839">
        <v>0</v>
      </c>
      <c r="E249" s="629">
        <f>C249*B249</f>
        <v>4067</v>
      </c>
      <c r="F249" s="546" t="s">
        <v>684</v>
      </c>
      <c r="G249" s="1505"/>
      <c r="H249" s="1526"/>
      <c r="I249" s="1501" t="s">
        <v>684</v>
      </c>
      <c r="J249" s="1601"/>
      <c r="K249" s="261"/>
      <c r="L249" s="309"/>
      <c r="M249" s="309"/>
      <c r="N249" s="309"/>
      <c r="O249" s="309"/>
      <c r="P249" s="309"/>
      <c r="Q249" s="309"/>
      <c r="R249" s="309"/>
      <c r="S249" s="309"/>
      <c r="T249" s="309"/>
      <c r="U249" s="309"/>
    </row>
    <row r="250" spans="1:21" ht="14.25" customHeight="1">
      <c r="A250" s="1611"/>
      <c r="B250" s="621"/>
      <c r="C250" s="856"/>
      <c r="D250" s="839"/>
      <c r="E250" s="629"/>
      <c r="F250" s="546"/>
      <c r="G250" s="1505"/>
      <c r="H250" s="1526"/>
      <c r="I250" s="1501"/>
      <c r="J250" s="1601"/>
      <c r="K250" s="261"/>
      <c r="L250" s="309"/>
      <c r="M250" s="309"/>
      <c r="N250" s="309"/>
      <c r="O250" s="309"/>
      <c r="P250" s="309"/>
      <c r="Q250" s="309"/>
      <c r="R250" s="309"/>
      <c r="S250" s="309"/>
      <c r="T250" s="309"/>
      <c r="U250" s="309"/>
    </row>
    <row r="251" spans="1:21" ht="14.25" customHeight="1">
      <c r="A251" s="867">
        <v>44494</v>
      </c>
      <c r="B251" s="621"/>
      <c r="C251" s="623"/>
      <c r="D251" s="839"/>
      <c r="E251" s="629"/>
      <c r="F251" s="546"/>
      <c r="G251" s="1505"/>
      <c r="H251" s="1526"/>
      <c r="I251" s="1526"/>
      <c r="J251" s="1601"/>
      <c r="K251" s="261"/>
      <c r="L251" s="309"/>
      <c r="M251" s="309"/>
      <c r="N251" s="309"/>
      <c r="O251" s="309"/>
      <c r="P251" s="309"/>
      <c r="Q251" s="309"/>
      <c r="R251" s="309"/>
      <c r="S251" s="309"/>
      <c r="T251" s="309"/>
      <c r="U251" s="309"/>
    </row>
    <row r="252" spans="1:21" ht="14.25" customHeight="1">
      <c r="A252" s="273" t="s">
        <v>820</v>
      </c>
      <c r="B252" s="621"/>
      <c r="C252" s="623"/>
      <c r="D252" s="792"/>
      <c r="E252" s="629"/>
      <c r="F252" s="546"/>
      <c r="G252" s="1505"/>
      <c r="H252" s="1526"/>
      <c r="I252" s="1526"/>
      <c r="J252" s="1612"/>
      <c r="K252" s="261"/>
      <c r="L252" s="309"/>
      <c r="M252" s="309"/>
      <c r="N252" s="309"/>
      <c r="O252" s="309"/>
      <c r="P252" s="309"/>
      <c r="Q252" s="309"/>
      <c r="R252" s="309"/>
      <c r="S252" s="309"/>
      <c r="T252" s="309"/>
      <c r="U252" s="309"/>
    </row>
    <row r="253" spans="1:21" ht="14.25" customHeight="1">
      <c r="A253" s="1611" t="s">
        <v>502</v>
      </c>
      <c r="B253" s="621">
        <v>3</v>
      </c>
      <c r="C253" s="624">
        <v>3318.1550000000002</v>
      </c>
      <c r="D253" s="792">
        <v>0</v>
      </c>
      <c r="E253" s="629">
        <f>C253*B253</f>
        <v>9954.4650000000001</v>
      </c>
      <c r="F253" s="546" t="s">
        <v>540</v>
      </c>
      <c r="G253" s="1514" t="s">
        <v>838</v>
      </c>
      <c r="H253" s="1526">
        <v>5</v>
      </c>
      <c r="I253" s="1526"/>
      <c r="J253" s="1601"/>
      <c r="K253" s="261"/>
      <c r="L253" s="309"/>
      <c r="M253" s="309"/>
      <c r="N253" s="309"/>
      <c r="O253" s="309"/>
      <c r="P253" s="309"/>
      <c r="Q253" s="309"/>
      <c r="R253" s="309"/>
      <c r="S253" s="309"/>
      <c r="T253" s="309"/>
      <c r="U253" s="309"/>
    </row>
    <row r="254" spans="1:21" ht="14.25" customHeight="1">
      <c r="A254" s="1611"/>
      <c r="B254" s="621"/>
      <c r="C254" s="856"/>
      <c r="D254" s="839"/>
      <c r="E254" s="629"/>
      <c r="F254" s="546"/>
      <c r="G254" s="1505"/>
      <c r="H254" s="1526"/>
      <c r="I254" s="1501"/>
      <c r="J254" s="1601"/>
      <c r="K254" s="261"/>
      <c r="L254" s="309"/>
      <c r="M254" s="309"/>
      <c r="N254" s="309"/>
      <c r="O254" s="309"/>
      <c r="P254" s="309"/>
      <c r="Q254" s="309"/>
      <c r="R254" s="309"/>
      <c r="S254" s="309"/>
      <c r="T254" s="309"/>
      <c r="U254" s="309"/>
    </row>
    <row r="255" spans="1:21" ht="14.25" customHeight="1">
      <c r="A255" s="867">
        <v>44494</v>
      </c>
      <c r="B255" s="621"/>
      <c r="C255" s="623"/>
      <c r="D255" s="839"/>
      <c r="E255" s="629"/>
      <c r="F255" s="546"/>
      <c r="G255" s="1505"/>
      <c r="H255" s="1526"/>
      <c r="I255" s="1526"/>
      <c r="J255" s="1601"/>
      <c r="K255" s="261"/>
      <c r="L255" s="309"/>
      <c r="M255" s="309"/>
      <c r="N255" s="309"/>
      <c r="O255" s="309"/>
      <c r="P255" s="309"/>
      <c r="Q255" s="309"/>
      <c r="R255" s="309"/>
      <c r="S255" s="309"/>
      <c r="T255" s="309"/>
      <c r="U255" s="309"/>
    </row>
    <row r="256" spans="1:21" ht="14.25" customHeight="1">
      <c r="A256" s="273" t="s">
        <v>820</v>
      </c>
      <c r="B256" s="621"/>
      <c r="C256" s="623"/>
      <c r="D256" s="792"/>
      <c r="E256" s="629"/>
      <c r="F256" s="546"/>
      <c r="G256" s="1505"/>
      <c r="H256" s="1526"/>
      <c r="I256" s="1526"/>
      <c r="J256" s="1612"/>
      <c r="K256" s="261"/>
      <c r="L256" s="309"/>
      <c r="M256" s="309"/>
      <c r="N256" s="309"/>
      <c r="O256" s="309"/>
      <c r="P256" s="309"/>
      <c r="Q256" s="309"/>
      <c r="R256" s="309"/>
      <c r="S256" s="309"/>
      <c r="T256" s="309"/>
      <c r="U256" s="309"/>
    </row>
    <row r="257" spans="1:21" ht="14.25" customHeight="1">
      <c r="A257" s="1611" t="s">
        <v>839</v>
      </c>
      <c r="B257" s="621">
        <v>35</v>
      </c>
      <c r="C257" s="624">
        <v>144.48500000000001</v>
      </c>
      <c r="D257" s="792">
        <v>0</v>
      </c>
      <c r="E257" s="629">
        <f>C257*B257</f>
        <v>5056.9750000000004</v>
      </c>
      <c r="F257" s="546" t="s">
        <v>546</v>
      </c>
      <c r="G257" s="858"/>
      <c r="H257" s="1526">
        <v>22</v>
      </c>
      <c r="I257" s="1526"/>
      <c r="J257" s="1601"/>
      <c r="K257" s="261"/>
      <c r="L257" s="309"/>
      <c r="M257" s="309"/>
      <c r="N257" s="309"/>
      <c r="O257" s="309"/>
      <c r="P257" s="309"/>
      <c r="Q257" s="309"/>
      <c r="R257" s="309"/>
      <c r="S257" s="309"/>
      <c r="T257" s="309"/>
      <c r="U257" s="309"/>
    </row>
    <row r="258" spans="1:21" ht="14.25" customHeight="1">
      <c r="A258" s="1611"/>
      <c r="B258" s="621"/>
      <c r="C258" s="856"/>
      <c r="D258" s="839"/>
      <c r="E258" s="629"/>
      <c r="F258" s="546"/>
      <c r="G258" s="1505"/>
      <c r="H258" s="1526"/>
      <c r="I258" s="1501"/>
      <c r="J258" s="1601"/>
      <c r="K258" s="261"/>
      <c r="L258" s="309"/>
      <c r="M258" s="309"/>
      <c r="N258" s="309"/>
      <c r="O258" s="309"/>
      <c r="P258" s="309"/>
      <c r="Q258" s="309"/>
      <c r="R258" s="309"/>
      <c r="S258" s="309"/>
      <c r="T258" s="309"/>
      <c r="U258" s="309"/>
    </row>
    <row r="259" spans="1:21" ht="14.25" customHeight="1">
      <c r="A259" s="867">
        <v>44474</v>
      </c>
      <c r="B259" s="621"/>
      <c r="C259" s="623"/>
      <c r="D259" s="792"/>
      <c r="E259" s="629"/>
      <c r="F259" s="546"/>
      <c r="G259" s="1505"/>
      <c r="H259" s="1526"/>
      <c r="I259" s="1526"/>
      <c r="J259" s="1612" t="s">
        <v>362</v>
      </c>
      <c r="K259" s="261"/>
      <c r="L259" s="309"/>
      <c r="M259" s="309"/>
      <c r="N259" s="309"/>
      <c r="O259" s="309"/>
      <c r="P259" s="309"/>
      <c r="Q259" s="309"/>
      <c r="R259" s="309"/>
      <c r="S259" s="309"/>
      <c r="T259" s="309"/>
      <c r="U259" s="309"/>
    </row>
    <row r="260" spans="1:21" ht="14.25" customHeight="1">
      <c r="A260" s="273" t="s">
        <v>824</v>
      </c>
      <c r="B260" s="621"/>
      <c r="C260" s="623"/>
      <c r="D260" s="792"/>
      <c r="E260" s="629"/>
      <c r="F260" s="546"/>
      <c r="G260" s="1505"/>
      <c r="H260" s="1526"/>
      <c r="I260" s="1526"/>
      <c r="J260" s="1601"/>
      <c r="K260" s="261"/>
      <c r="L260" s="309"/>
      <c r="M260" s="309"/>
      <c r="N260" s="309"/>
      <c r="O260" s="309"/>
      <c r="P260" s="309"/>
      <c r="Q260" s="309"/>
      <c r="R260" s="309"/>
      <c r="S260" s="309"/>
      <c r="T260" s="309"/>
      <c r="U260" s="309"/>
    </row>
    <row r="261" spans="1:21" ht="14.25" customHeight="1">
      <c r="A261" s="1611" t="s">
        <v>673</v>
      </c>
      <c r="B261" s="621">
        <v>37</v>
      </c>
      <c r="C261" s="856">
        <v>110.14</v>
      </c>
      <c r="D261" s="839">
        <v>0</v>
      </c>
      <c r="E261" s="629">
        <f>C261*B261</f>
        <v>4075.18</v>
      </c>
      <c r="F261" s="546" t="s">
        <v>362</v>
      </c>
      <c r="G261" s="1505"/>
      <c r="H261" s="1526"/>
      <c r="I261" s="1501" t="s">
        <v>362</v>
      </c>
      <c r="J261" s="1601"/>
      <c r="K261" s="261"/>
      <c r="L261" s="309"/>
      <c r="M261" s="309"/>
      <c r="N261" s="309"/>
      <c r="O261" s="309"/>
      <c r="P261" s="309"/>
      <c r="Q261" s="309"/>
      <c r="R261" s="309"/>
      <c r="S261" s="309"/>
      <c r="T261" s="309"/>
      <c r="U261" s="309"/>
    </row>
    <row r="262" spans="1:21" ht="14.25" customHeight="1">
      <c r="A262" s="787"/>
      <c r="B262" s="621"/>
      <c r="C262" s="623"/>
      <c r="D262" s="839"/>
      <c r="E262" s="629"/>
      <c r="F262" s="546"/>
      <c r="G262" s="1505"/>
      <c r="H262" s="1526"/>
      <c r="I262" s="1526"/>
      <c r="J262" s="1601"/>
      <c r="K262" s="261"/>
      <c r="L262" s="309"/>
      <c r="M262" s="309"/>
      <c r="N262" s="309"/>
      <c r="O262" s="309"/>
      <c r="P262" s="309"/>
      <c r="Q262" s="309"/>
      <c r="R262" s="309"/>
      <c r="S262" s="309"/>
      <c r="T262" s="309"/>
      <c r="U262" s="309"/>
    </row>
    <row r="263" spans="1:21" ht="14.25" customHeight="1">
      <c r="A263" s="867">
        <v>44448</v>
      </c>
      <c r="B263" s="621"/>
      <c r="C263" s="623"/>
      <c r="D263" s="839"/>
      <c r="E263" s="629"/>
      <c r="F263" s="546"/>
      <c r="G263" s="1505"/>
      <c r="H263" s="1526"/>
      <c r="I263" s="1526"/>
      <c r="J263" s="1601"/>
      <c r="K263" s="261"/>
      <c r="L263" s="309"/>
      <c r="M263" s="309"/>
      <c r="N263" s="309"/>
      <c r="O263" s="309"/>
      <c r="P263" s="309"/>
      <c r="Q263" s="309"/>
      <c r="R263" s="309"/>
      <c r="S263" s="309"/>
      <c r="T263" s="309"/>
      <c r="U263" s="309"/>
    </row>
    <row r="264" spans="1:21" ht="14.25" customHeight="1">
      <c r="A264" s="273" t="s">
        <v>820</v>
      </c>
      <c r="B264" s="621"/>
      <c r="C264" s="623"/>
      <c r="D264" s="839"/>
      <c r="E264" s="629"/>
      <c r="F264" s="1494"/>
      <c r="G264" s="1505"/>
      <c r="H264" s="1526"/>
      <c r="I264" s="1526"/>
      <c r="J264" s="1601"/>
      <c r="K264" s="261"/>
      <c r="L264" s="309"/>
      <c r="M264" s="309"/>
      <c r="N264" s="309"/>
      <c r="O264" s="309"/>
      <c r="P264" s="309"/>
      <c r="Q264" s="309"/>
      <c r="R264" s="309"/>
      <c r="S264" s="309"/>
      <c r="T264" s="309"/>
      <c r="U264" s="309"/>
    </row>
    <row r="265" spans="1:21" ht="14.25" customHeight="1">
      <c r="A265" s="787" t="s">
        <v>840</v>
      </c>
      <c r="B265" s="628">
        <v>70</v>
      </c>
      <c r="C265" s="629">
        <v>56.26</v>
      </c>
      <c r="D265" s="839">
        <v>0</v>
      </c>
      <c r="E265" s="629">
        <f>C265*B265</f>
        <v>3938.2</v>
      </c>
      <c r="F265" s="1494" t="s">
        <v>154</v>
      </c>
      <c r="G265" s="1505"/>
      <c r="H265" s="1526"/>
      <c r="I265" s="1526"/>
      <c r="J265" s="1601"/>
      <c r="K265" s="261"/>
      <c r="L265" s="309"/>
      <c r="M265" s="309"/>
      <c r="N265" s="309"/>
      <c r="O265" s="309"/>
      <c r="P265" s="309"/>
      <c r="Q265" s="309"/>
      <c r="R265" s="309"/>
      <c r="S265" s="309"/>
      <c r="T265" s="309"/>
      <c r="U265" s="309"/>
    </row>
    <row r="266" spans="1:21" ht="14.25" customHeight="1">
      <c r="A266" s="435"/>
      <c r="B266" s="628"/>
      <c r="C266" s="629"/>
      <c r="D266" s="839"/>
      <c r="E266" s="629"/>
      <c r="F266" s="1494"/>
      <c r="G266" s="1505"/>
      <c r="H266" s="1526"/>
      <c r="I266" s="1526"/>
      <c r="J266" s="1601"/>
      <c r="K266" s="261"/>
      <c r="L266" s="309"/>
      <c r="M266" s="309"/>
      <c r="N266" s="309"/>
      <c r="O266" s="309"/>
      <c r="P266" s="309"/>
      <c r="Q266" s="309"/>
      <c r="R266" s="309"/>
      <c r="S266" s="309"/>
      <c r="T266" s="309"/>
      <c r="U266" s="309"/>
    </row>
    <row r="267" spans="1:21">
      <c r="A267" s="867">
        <v>44333</v>
      </c>
      <c r="B267" s="621"/>
      <c r="C267" s="623"/>
      <c r="D267" s="792"/>
      <c r="E267" s="624"/>
      <c r="F267" s="546"/>
      <c r="G267" s="1507"/>
      <c r="H267" s="1526"/>
      <c r="I267" s="1501" t="str">
        <f>IF(F267="","",IF(OR(#REF!="Sell",A267="Sell"),"",F267))</f>
        <v/>
      </c>
      <c r="J267" s="1501" t="str">
        <f>IF(F269="","",IF(OR(A267="Sell",A268="Sell"),"",F269))</f>
        <v>QQQ</v>
      </c>
      <c r="K267" s="261"/>
      <c r="L267" s="309"/>
      <c r="M267" s="309"/>
      <c r="N267" s="309"/>
      <c r="O267" s="309"/>
      <c r="P267" s="309"/>
      <c r="Q267" s="309"/>
      <c r="R267" s="309"/>
      <c r="S267" s="309"/>
      <c r="T267" s="309"/>
      <c r="U267" s="309"/>
    </row>
    <row r="268" spans="1:21" ht="12.75">
      <c r="A268" s="280" t="s">
        <v>824</v>
      </c>
      <c r="B268" s="621"/>
      <c r="C268" s="623"/>
      <c r="D268" s="792"/>
      <c r="E268" s="624"/>
      <c r="F268" s="546"/>
      <c r="G268" s="1507"/>
      <c r="H268" s="1526"/>
      <c r="I268" s="1501" t="str">
        <f>IF(F268="","",IF(OR(A267="Sell",A268="Sell"),"",F268))</f>
        <v/>
      </c>
      <c r="J268" s="1501" t="str">
        <f>IF(F271="","",IF(OR(A267="Sell",A268="Sell"),"",F271))</f>
        <v/>
      </c>
      <c r="K268" s="261"/>
      <c r="L268" s="309"/>
      <c r="M268" s="309"/>
      <c r="N268" s="309"/>
      <c r="O268" s="309"/>
      <c r="P268" s="309"/>
      <c r="Q268" s="309"/>
      <c r="R268" s="309"/>
      <c r="S268" s="309"/>
      <c r="T268" s="309"/>
      <c r="U268" s="309"/>
    </row>
    <row r="269" spans="1:21" ht="12.75">
      <c r="A269" s="1541" t="s">
        <v>705</v>
      </c>
      <c r="B269" s="628">
        <v>19</v>
      </c>
      <c r="C269" s="629">
        <v>323.33499999999998</v>
      </c>
      <c r="D269" s="839">
        <v>0</v>
      </c>
      <c r="E269" s="629">
        <f>C269*B269</f>
        <v>6143.3649999999998</v>
      </c>
      <c r="F269" s="1540" t="s">
        <v>706</v>
      </c>
      <c r="G269" s="1534"/>
      <c r="H269"/>
      <c r="I269" s="1501" t="str">
        <f>IF(F269="","",IF(OR(A268="Sell",A269="Sell"),"",F269))</f>
        <v>QQQ</v>
      </c>
      <c r="J269" s="1501" t="str">
        <f>IF(F272="","",IF(OR(A267="Sell",A268="Sell"),"",F272))</f>
        <v/>
      </c>
      <c r="K269" s="261"/>
      <c r="L269" s="309"/>
      <c r="M269" s="309"/>
      <c r="N269" s="309"/>
      <c r="O269" s="309"/>
      <c r="P269" s="309"/>
      <c r="Q269" s="309"/>
      <c r="R269" s="309"/>
      <c r="S269" s="309"/>
      <c r="T269" s="309"/>
      <c r="U269" s="309"/>
    </row>
    <row r="270" spans="1:21" ht="12.75">
      <c r="A270" s="1583"/>
      <c r="B270" s="628"/>
      <c r="C270" s="629"/>
      <c r="D270" s="839"/>
      <c r="E270" s="629"/>
      <c r="F270" s="1540"/>
      <c r="G270" s="1534"/>
      <c r="H270"/>
      <c r="I270" s="1501"/>
      <c r="J270" s="1501"/>
      <c r="K270" s="261"/>
      <c r="L270" s="309"/>
      <c r="M270" s="309" t="s">
        <v>841</v>
      </c>
      <c r="N270" s="309"/>
      <c r="O270" s="309"/>
      <c r="P270" s="309"/>
      <c r="Q270" s="309"/>
      <c r="R270" s="309"/>
      <c r="S270" s="309"/>
      <c r="T270" s="309"/>
      <c r="U270" s="309"/>
    </row>
    <row r="271" spans="1:21">
      <c r="A271" s="867">
        <v>44328</v>
      </c>
      <c r="B271" s="621"/>
      <c r="C271" s="623"/>
      <c r="D271" s="792"/>
      <c r="E271" s="624"/>
      <c r="F271" s="546"/>
      <c r="G271" s="1507"/>
      <c r="H271" s="1526"/>
      <c r="I271" s="1501" t="str">
        <f>IF(F271="","",IF(OR(A4="Sell",A271="Sell"),"",F271))</f>
        <v/>
      </c>
      <c r="J271" s="1501" t="str">
        <f>IF(F273="","",IF(OR(A271="Sell",A272="Sell"),"",F273))</f>
        <v>BLK</v>
      </c>
      <c r="K271" s="261"/>
      <c r="L271" s="309"/>
      <c r="M271" s="309"/>
      <c r="N271" s="309"/>
      <c r="O271" s="309"/>
      <c r="P271" s="309"/>
      <c r="Q271" s="309"/>
      <c r="R271" s="309"/>
      <c r="S271" s="309"/>
      <c r="T271" s="309"/>
      <c r="U271" s="309"/>
    </row>
    <row r="272" spans="1:21" ht="12.75">
      <c r="A272" s="280" t="s">
        <v>824</v>
      </c>
      <c r="B272" s="621"/>
      <c r="C272" s="623"/>
      <c r="D272" s="792"/>
      <c r="E272" s="624"/>
      <c r="F272" s="546"/>
      <c r="G272" s="1507"/>
      <c r="H272" s="1526"/>
      <c r="I272" s="1501" t="str">
        <f>IF(F272="","",IF(OR(A271="Sell",A272="Sell"),"",F272))</f>
        <v/>
      </c>
      <c r="J272" s="1501" t="str">
        <f>IF(F275="","",IF(OR(A271="Sell",A272="Sell"),"",F275))</f>
        <v/>
      </c>
      <c r="K272" s="261"/>
      <c r="L272" s="309"/>
      <c r="M272" s="309"/>
      <c r="N272" s="309"/>
      <c r="O272" s="309"/>
      <c r="P272" s="309"/>
      <c r="Q272" s="309"/>
      <c r="R272" s="309"/>
      <c r="S272" s="309"/>
      <c r="T272" s="309"/>
      <c r="U272" s="309"/>
    </row>
    <row r="273" spans="1:21" ht="12.75">
      <c r="A273" s="1541" t="s">
        <v>676</v>
      </c>
      <c r="B273" s="628">
        <v>7</v>
      </c>
      <c r="C273" s="629">
        <v>839.79</v>
      </c>
      <c r="D273" s="839">
        <v>0</v>
      </c>
      <c r="E273" s="629">
        <f>C273*B273</f>
        <v>5878.53</v>
      </c>
      <c r="F273" s="1540" t="s">
        <v>602</v>
      </c>
      <c r="G273" s="1534"/>
      <c r="H273"/>
      <c r="I273" s="1501" t="str">
        <f>IF(F273="","",IF(OR(A272="Sell",A273="Sell"),"",F273))</f>
        <v>BLK</v>
      </c>
      <c r="J273" s="1501" t="str">
        <f>IF(F276="","",IF(OR(A271="Sell",A272="Sell"),"",F276))</f>
        <v/>
      </c>
      <c r="K273" s="261"/>
      <c r="L273" s="309"/>
      <c r="M273" s="309"/>
      <c r="N273" s="309"/>
      <c r="O273" s="309"/>
      <c r="P273" s="309"/>
      <c r="Q273" s="309"/>
      <c r="R273" s="309"/>
      <c r="S273" s="309"/>
      <c r="T273" s="309"/>
      <c r="U273" s="309"/>
    </row>
    <row r="274" spans="1:21" ht="12.75">
      <c r="A274" s="1583"/>
      <c r="B274" s="628"/>
      <c r="C274" s="629"/>
      <c r="D274" s="839"/>
      <c r="E274" s="629"/>
      <c r="F274" s="1540"/>
      <c r="G274" s="1534"/>
      <c r="H274"/>
      <c r="I274" s="1501"/>
      <c r="J274" s="1501"/>
      <c r="K274" s="261"/>
      <c r="L274" s="309"/>
      <c r="M274" s="309"/>
      <c r="N274" s="309"/>
      <c r="O274" s="309"/>
      <c r="P274" s="309"/>
      <c r="Q274" s="309"/>
      <c r="R274" s="309"/>
      <c r="S274" s="309"/>
      <c r="T274" s="309"/>
      <c r="U274" s="309"/>
    </row>
    <row r="275" spans="1:21">
      <c r="A275" s="867">
        <v>44322</v>
      </c>
      <c r="B275" s="621"/>
      <c r="C275" s="623"/>
      <c r="D275" s="792"/>
      <c r="E275" s="624"/>
      <c r="F275" s="546"/>
      <c r="G275" s="1507"/>
      <c r="H275" s="623"/>
      <c r="I275" s="1501" t="str">
        <f>IF(F275="","",IF(OR(A4="Sell",A275="Sell"),"",F275))</f>
        <v/>
      </c>
      <c r="J275" s="1501" t="str">
        <f t="shared" ref="J275:J284" si="2">IF(F277="","",IF(OR(A275="Sell",A276="Sell"),"",F277))</f>
        <v/>
      </c>
      <c r="K275" s="261"/>
      <c r="L275" s="309"/>
      <c r="M275" s="309"/>
      <c r="N275" s="309"/>
      <c r="O275" s="309"/>
      <c r="P275" s="309"/>
      <c r="Q275" s="309"/>
      <c r="R275" s="309"/>
      <c r="S275" s="309"/>
      <c r="T275" s="309"/>
      <c r="U275" s="309"/>
    </row>
    <row r="276" spans="1:21" ht="12.75">
      <c r="A276" s="273" t="s">
        <v>820</v>
      </c>
      <c r="B276" s="621"/>
      <c r="C276" s="623"/>
      <c r="D276" s="792"/>
      <c r="E276" s="624"/>
      <c r="F276" s="1494"/>
      <c r="G276" s="1507"/>
      <c r="H276" s="1526"/>
      <c r="I276" s="1501" t="str">
        <f t="shared" ref="I276:I281" si="3">IF(F276="","",IF(OR(A275="Sell",A276="Sell"),"",F276))</f>
        <v/>
      </c>
      <c r="J276" s="1501" t="str">
        <f t="shared" si="2"/>
        <v/>
      </c>
      <c r="K276" s="261"/>
      <c r="L276" s="309"/>
      <c r="M276" s="309"/>
      <c r="N276" s="309"/>
      <c r="O276" s="309"/>
      <c r="P276" s="309"/>
      <c r="Q276" s="309"/>
      <c r="R276" s="309"/>
      <c r="S276" s="309"/>
      <c r="T276" s="309"/>
      <c r="U276" s="309"/>
    </row>
    <row r="277" spans="1:21" ht="12.75">
      <c r="A277" s="787" t="s">
        <v>647</v>
      </c>
      <c r="B277" s="628">
        <v>100</v>
      </c>
      <c r="C277" s="629">
        <v>32.354999999999997</v>
      </c>
      <c r="D277" s="839">
        <v>0</v>
      </c>
      <c r="E277" s="629">
        <f>C277*B277</f>
        <v>3235.4999999999995</v>
      </c>
      <c r="F277" s="1494" t="s">
        <v>448</v>
      </c>
      <c r="G277" s="1507"/>
      <c r="H277" s="1526"/>
      <c r="I277" s="1501" t="str">
        <f t="shared" si="3"/>
        <v/>
      </c>
      <c r="J277" s="1501" t="str">
        <f t="shared" si="2"/>
        <v/>
      </c>
      <c r="K277" s="261"/>
      <c r="L277" s="309"/>
      <c r="M277" s="309"/>
      <c r="N277" s="309"/>
      <c r="O277" s="309"/>
      <c r="P277" s="309"/>
      <c r="Q277" s="309"/>
      <c r="R277" s="309"/>
      <c r="S277" s="309"/>
      <c r="T277" s="309"/>
      <c r="U277" s="309"/>
    </row>
    <row r="278" spans="1:21" ht="12.75">
      <c r="A278" s="435"/>
      <c r="B278" s="628"/>
      <c r="C278" s="629"/>
      <c r="D278" s="839"/>
      <c r="E278" s="629"/>
      <c r="F278" s="1494"/>
      <c r="G278" s="1507"/>
      <c r="H278" s="1526"/>
      <c r="I278" s="1501" t="str">
        <f t="shared" si="3"/>
        <v/>
      </c>
      <c r="J278" s="1501" t="str">
        <f t="shared" si="2"/>
        <v/>
      </c>
      <c r="K278" s="261"/>
      <c r="L278" s="309"/>
      <c r="M278" s="309"/>
      <c r="N278" s="309"/>
      <c r="O278" s="309"/>
      <c r="P278" s="309"/>
      <c r="Q278" s="309"/>
      <c r="R278" s="309"/>
      <c r="S278" s="309"/>
      <c r="T278" s="309"/>
      <c r="U278" s="309"/>
    </row>
    <row r="279" spans="1:21">
      <c r="A279" s="867">
        <v>44321</v>
      </c>
      <c r="B279" s="621"/>
      <c r="C279" s="623"/>
      <c r="D279" s="792"/>
      <c r="E279" s="624"/>
      <c r="F279" s="546"/>
      <c r="G279" s="1507"/>
      <c r="H279" s="623"/>
      <c r="I279" s="1501" t="str">
        <f t="shared" si="3"/>
        <v/>
      </c>
      <c r="J279" s="1501" t="str">
        <f t="shared" si="2"/>
        <v/>
      </c>
      <c r="K279" s="261"/>
      <c r="L279" s="309"/>
      <c r="M279" s="309"/>
      <c r="N279" s="309"/>
      <c r="O279" s="309"/>
      <c r="P279" s="309"/>
      <c r="Q279" s="309"/>
      <c r="R279" s="309"/>
      <c r="S279" s="309"/>
      <c r="T279" s="309"/>
      <c r="U279" s="309"/>
    </row>
    <row r="280" spans="1:21" ht="12.75">
      <c r="A280" s="273" t="s">
        <v>820</v>
      </c>
      <c r="B280" s="621"/>
      <c r="C280" s="623"/>
      <c r="D280" s="792"/>
      <c r="E280" s="624"/>
      <c r="F280" s="1494"/>
      <c r="G280" s="1507"/>
      <c r="H280" s="1526"/>
      <c r="I280" s="1501" t="str">
        <f t="shared" si="3"/>
        <v/>
      </c>
      <c r="J280" s="1501" t="str">
        <f t="shared" si="2"/>
        <v/>
      </c>
      <c r="K280" s="261"/>
      <c r="L280" s="309"/>
      <c r="M280" s="309"/>
      <c r="N280" s="309"/>
      <c r="O280" s="309"/>
      <c r="P280" s="309"/>
      <c r="Q280" s="309"/>
      <c r="R280" s="309"/>
      <c r="S280" s="309"/>
      <c r="T280" s="309"/>
      <c r="U280" s="309"/>
    </row>
    <row r="281" spans="1:21" ht="12.75">
      <c r="A281" s="787" t="s">
        <v>404</v>
      </c>
      <c r="B281" s="628">
        <v>50</v>
      </c>
      <c r="C281" s="629">
        <v>73</v>
      </c>
      <c r="D281" s="839">
        <v>0</v>
      </c>
      <c r="E281" s="629">
        <f>C281*B281</f>
        <v>3650</v>
      </c>
      <c r="F281" s="1494" t="s">
        <v>405</v>
      </c>
      <c r="G281" s="1507"/>
      <c r="H281" s="1526"/>
      <c r="I281" s="1501" t="str">
        <f t="shared" si="3"/>
        <v/>
      </c>
      <c r="J281" s="1501" t="str">
        <f t="shared" si="2"/>
        <v/>
      </c>
      <c r="K281" s="261"/>
      <c r="L281" s="309"/>
      <c r="M281" s="309"/>
      <c r="N281" s="309"/>
      <c r="O281" s="309"/>
      <c r="P281" s="309"/>
      <c r="Q281" s="309"/>
      <c r="R281" s="309"/>
      <c r="S281" s="309"/>
      <c r="T281" s="309"/>
      <c r="U281" s="309"/>
    </row>
    <row r="282" spans="1:21" ht="12.75">
      <c r="A282" s="787" t="s">
        <v>650</v>
      </c>
      <c r="B282" s="628">
        <v>30</v>
      </c>
      <c r="C282" s="629">
        <v>79.25</v>
      </c>
      <c r="D282" s="839">
        <v>0</v>
      </c>
      <c r="E282" s="629">
        <f>C282*B282</f>
        <v>2377.5</v>
      </c>
      <c r="F282" s="1494" t="s">
        <v>607</v>
      </c>
      <c r="G282" s="1507"/>
      <c r="H282" s="1526"/>
      <c r="I282" s="1501"/>
      <c r="J282" s="1501" t="str">
        <f t="shared" si="2"/>
        <v/>
      </c>
      <c r="K282" s="261"/>
      <c r="L282" s="309"/>
      <c r="M282" s="309"/>
      <c r="N282" s="309"/>
      <c r="O282" s="309"/>
      <c r="P282" s="309"/>
      <c r="Q282" s="309"/>
      <c r="R282" s="309"/>
      <c r="S282" s="309"/>
      <c r="T282" s="309"/>
      <c r="U282" s="309"/>
    </row>
    <row r="283" spans="1:21" ht="12.75">
      <c r="A283" s="435"/>
      <c r="B283" s="628"/>
      <c r="C283" s="629"/>
      <c r="D283" s="839"/>
      <c r="E283" s="629"/>
      <c r="F283" s="1494"/>
      <c r="G283" s="1507"/>
      <c r="H283" s="1526"/>
      <c r="I283" s="1501" t="str">
        <f>IF(F283="","",IF(OR(A282="Sell",A283="Sell"),"",F283))</f>
        <v/>
      </c>
      <c r="J283" s="1501" t="str">
        <f t="shared" si="2"/>
        <v/>
      </c>
      <c r="K283" s="261"/>
      <c r="L283" s="309"/>
      <c r="M283" s="309"/>
      <c r="N283" s="309"/>
      <c r="O283" s="309"/>
      <c r="P283" s="309"/>
      <c r="Q283" s="309"/>
      <c r="R283" s="309"/>
      <c r="S283" s="309"/>
      <c r="T283" s="309"/>
      <c r="U283" s="309"/>
    </row>
    <row r="284" spans="1:21">
      <c r="A284" s="867">
        <v>44308</v>
      </c>
      <c r="B284" s="621"/>
      <c r="C284" s="623"/>
      <c r="D284" s="792"/>
      <c r="E284" s="624"/>
      <c r="F284" s="546"/>
      <c r="G284" s="1507"/>
      <c r="H284" s="1526"/>
      <c r="I284" s="1501" t="str">
        <f>IF(F284="","",IF(OR(A283="Sell",A284="Sell"),"",F284))</f>
        <v/>
      </c>
      <c r="J284" s="1501" t="str">
        <f t="shared" si="2"/>
        <v>TSM</v>
      </c>
      <c r="K284" s="261"/>
      <c r="L284" s="309"/>
      <c r="M284" s="309"/>
      <c r="N284" s="309"/>
      <c r="O284" s="309"/>
      <c r="P284" s="309"/>
      <c r="Q284" s="309"/>
      <c r="R284" s="309"/>
      <c r="S284" s="309"/>
      <c r="T284" s="309"/>
      <c r="U284" s="309"/>
    </row>
    <row r="285" spans="1:21" ht="12.75">
      <c r="A285" s="280" t="s">
        <v>824</v>
      </c>
      <c r="B285" s="621"/>
      <c r="C285" s="623"/>
      <c r="D285" s="792"/>
      <c r="E285" s="624"/>
      <c r="F285" s="546"/>
      <c r="G285" s="1507"/>
      <c r="H285" s="1526"/>
      <c r="I285" s="1501" t="str">
        <f>IF(F285="","",IF(OR(A284="Sell",A285="Sell"),"",F285))</f>
        <v/>
      </c>
      <c r="J285" s="1501" t="str">
        <f>IF(F288="","",IF(OR(A284="Sell",A285="Sell"),"",F288))</f>
        <v/>
      </c>
      <c r="K285" s="261"/>
      <c r="L285" s="309"/>
      <c r="M285" s="309"/>
      <c r="N285" s="309"/>
      <c r="O285" s="309"/>
      <c r="P285" s="309"/>
      <c r="Q285" s="309"/>
      <c r="R285" s="309"/>
      <c r="S285" s="309"/>
      <c r="T285" s="309"/>
      <c r="U285" s="309"/>
    </row>
    <row r="286" spans="1:21" ht="12.75">
      <c r="A286" s="1541" t="s">
        <v>685</v>
      </c>
      <c r="B286" s="628">
        <v>30</v>
      </c>
      <c r="C286" s="629">
        <v>115.02500000000001</v>
      </c>
      <c r="D286" s="839">
        <v>0</v>
      </c>
      <c r="E286" s="629">
        <f>C286*B286</f>
        <v>3450.75</v>
      </c>
      <c r="F286" s="1540" t="s">
        <v>686</v>
      </c>
      <c r="G286" s="1534"/>
      <c r="H286"/>
      <c r="I286" s="1501" t="str">
        <f>IF(F286="","",IF(OR(A285="Sell",A286="Sell"),"",F286))</f>
        <v>TSM</v>
      </c>
      <c r="J286" s="1501" t="str">
        <f>IF(F289="","",IF(OR(A284="Sell",A285="Sell"),"",F289))</f>
        <v/>
      </c>
      <c r="K286" s="261"/>
      <c r="L286" s="309"/>
      <c r="M286" s="309"/>
      <c r="N286" s="309"/>
      <c r="O286" s="309"/>
      <c r="P286" s="309"/>
      <c r="Q286" s="309"/>
      <c r="R286" s="309"/>
      <c r="S286" s="309"/>
      <c r="T286" s="309"/>
      <c r="U286" s="309"/>
    </row>
    <row r="287" spans="1:21" ht="12.75">
      <c r="A287" s="1583"/>
      <c r="B287" s="628"/>
      <c r="C287" s="629"/>
      <c r="D287" s="839"/>
      <c r="E287" s="629"/>
      <c r="F287" s="1540"/>
      <c r="G287" s="1534"/>
      <c r="H287"/>
      <c r="I287" s="1501"/>
      <c r="J287" s="1501"/>
      <c r="K287" s="261"/>
      <c r="L287" s="309"/>
      <c r="M287" s="309"/>
      <c r="N287" s="309"/>
      <c r="O287" s="309"/>
      <c r="P287" s="309"/>
      <c r="Q287" s="309"/>
      <c r="R287" s="309"/>
      <c r="S287" s="309"/>
      <c r="T287" s="309"/>
      <c r="U287" s="309"/>
    </row>
    <row r="288" spans="1:21">
      <c r="A288" s="867">
        <v>44302</v>
      </c>
      <c r="B288" s="621"/>
      <c r="C288" s="623"/>
      <c r="D288" s="792"/>
      <c r="E288" s="624"/>
      <c r="F288" s="546"/>
      <c r="G288" s="1507"/>
      <c r="H288" s="1526"/>
      <c r="I288" s="1501" t="str">
        <f>IF(F288="","",IF(OR(A4="Sell",A288="Sell"),"",F288))</f>
        <v/>
      </c>
      <c r="J288" s="1501" t="str">
        <f>IF(F290="","",IF(OR(A288="Sell",A289="Sell"),"",F290))</f>
        <v>PFXF</v>
      </c>
      <c r="K288" s="261"/>
      <c r="L288" s="309"/>
      <c r="M288" s="309"/>
      <c r="N288" s="309"/>
      <c r="O288" s="309"/>
      <c r="P288" s="309"/>
      <c r="Q288" s="309"/>
      <c r="R288" s="309"/>
      <c r="S288" s="309"/>
      <c r="T288" s="309"/>
      <c r="U288" s="309"/>
    </row>
    <row r="289" spans="1:21" ht="12.75">
      <c r="A289" s="280" t="s">
        <v>824</v>
      </c>
      <c r="B289" s="621"/>
      <c r="C289" s="623"/>
      <c r="D289" s="792"/>
      <c r="E289" s="624"/>
      <c r="F289" s="546"/>
      <c r="G289" s="1507"/>
      <c r="H289" s="1526"/>
      <c r="I289" s="1501" t="str">
        <f>IF(F289="","",IF(OR(A288="Sell",A289="Sell"),"",F289))</f>
        <v/>
      </c>
      <c r="J289" s="1501"/>
      <c r="K289" s="261"/>
      <c r="L289" s="309"/>
      <c r="M289" s="309"/>
      <c r="N289" s="309"/>
      <c r="O289" s="309"/>
      <c r="P289" s="309"/>
      <c r="Q289" s="309"/>
      <c r="R289" s="309"/>
      <c r="S289" s="309"/>
      <c r="T289" s="309"/>
      <c r="U289" s="309"/>
    </row>
    <row r="290" spans="1:21" ht="12.75">
      <c r="A290" s="1541" t="s">
        <v>709</v>
      </c>
      <c r="B290" s="628">
        <v>236</v>
      </c>
      <c r="C290" s="629">
        <v>21.19</v>
      </c>
      <c r="D290" s="839">
        <v>0</v>
      </c>
      <c r="E290" s="629">
        <f>C290*B290</f>
        <v>5000.84</v>
      </c>
      <c r="F290" s="1540" t="s">
        <v>710</v>
      </c>
      <c r="G290" s="1534"/>
      <c r="H290"/>
      <c r="I290" s="1501" t="str">
        <f>IF(F290="","",IF(OR(A289="Sell",A290="Sell"),"",F290))</f>
        <v>PFXF</v>
      </c>
      <c r="J290" s="1501"/>
      <c r="K290" s="261"/>
      <c r="L290" s="309"/>
      <c r="M290" s="309"/>
      <c r="N290" s="309"/>
      <c r="O290" s="309"/>
      <c r="P290" s="309"/>
      <c r="Q290" s="309"/>
      <c r="R290" s="309"/>
      <c r="S290" s="309"/>
      <c r="T290" s="309"/>
      <c r="U290" s="309"/>
    </row>
    <row r="291" spans="1:21" ht="12.75">
      <c r="A291" s="1541"/>
      <c r="B291" s="628"/>
      <c r="C291" s="629"/>
      <c r="D291" s="839"/>
      <c r="E291" s="629"/>
      <c r="F291" s="1540"/>
      <c r="G291" s="1534"/>
      <c r="H291"/>
      <c r="I291" s="1501"/>
      <c r="J291" s="1501"/>
      <c r="K291" s="261"/>
      <c r="L291" s="309"/>
      <c r="M291" s="309"/>
      <c r="N291" s="309"/>
      <c r="O291" s="309"/>
      <c r="P291" s="309"/>
      <c r="Q291" s="309"/>
      <c r="R291" s="309"/>
      <c r="S291" s="309"/>
      <c r="T291" s="309"/>
      <c r="U291" s="309"/>
    </row>
    <row r="292" spans="1:21">
      <c r="A292" s="867">
        <v>44302</v>
      </c>
      <c r="B292" s="628"/>
      <c r="C292" s="629"/>
      <c r="D292" s="839"/>
      <c r="E292" s="629"/>
      <c r="F292" s="1540"/>
      <c r="G292" s="1534"/>
      <c r="H292"/>
      <c r="I292" s="1501"/>
      <c r="J292" s="1501" t="s">
        <v>708</v>
      </c>
      <c r="K292" s="261"/>
      <c r="L292" s="309"/>
      <c r="M292" s="309"/>
      <c r="N292" s="309"/>
      <c r="O292" s="309"/>
      <c r="P292" s="309"/>
      <c r="Q292" s="309"/>
      <c r="R292" s="309"/>
      <c r="S292" s="309"/>
      <c r="T292" s="309"/>
      <c r="U292" s="309"/>
    </row>
    <row r="293" spans="1:21" ht="12.75">
      <c r="A293" s="280" t="s">
        <v>824</v>
      </c>
      <c r="B293" s="628"/>
      <c r="C293" s="629"/>
      <c r="D293" s="839"/>
      <c r="E293" s="629"/>
      <c r="F293" s="1540"/>
      <c r="G293" s="1534"/>
      <c r="H293"/>
      <c r="I293" s="1501"/>
      <c r="J293" s="1501"/>
      <c r="K293" s="261"/>
      <c r="L293" s="309"/>
      <c r="M293" s="309"/>
      <c r="N293" s="309"/>
      <c r="O293" s="309"/>
      <c r="P293" s="309"/>
      <c r="Q293" s="309"/>
      <c r="R293" s="309"/>
      <c r="S293" s="309"/>
      <c r="T293" s="309"/>
      <c r="U293" s="309"/>
    </row>
    <row r="294" spans="1:21" ht="12.75">
      <c r="A294" s="1541" t="s">
        <v>707</v>
      </c>
      <c r="B294" s="628">
        <v>204</v>
      </c>
      <c r="C294" s="629">
        <v>24.5</v>
      </c>
      <c r="D294" s="839">
        <v>0</v>
      </c>
      <c r="E294" s="629">
        <f>C294*B294</f>
        <v>4998</v>
      </c>
      <c r="F294" s="1540" t="s">
        <v>708</v>
      </c>
      <c r="G294" s="1507"/>
      <c r="H294" s="623"/>
      <c r="I294" s="1501" t="str">
        <f>IF(F294="","",IF(OR(A289="Sell",A294="Sell"),"",F294))</f>
        <v>PFFA</v>
      </c>
      <c r="J294" s="1501"/>
      <c r="K294" s="261"/>
      <c r="L294" s="309"/>
      <c r="M294" s="309"/>
      <c r="N294" s="309"/>
      <c r="O294" s="309"/>
      <c r="P294" s="309"/>
      <c r="Q294" s="309"/>
      <c r="R294" s="309"/>
      <c r="S294" s="309"/>
      <c r="T294" s="309"/>
      <c r="U294" s="309"/>
    </row>
    <row r="295" spans="1:21" ht="12.75">
      <c r="A295" s="1541"/>
      <c r="B295" s="628"/>
      <c r="C295" s="629"/>
      <c r="D295" s="839"/>
      <c r="E295" s="629"/>
      <c r="F295" s="1540"/>
      <c r="G295" s="1507"/>
      <c r="H295" s="623"/>
      <c r="I295" s="1501"/>
      <c r="J295" s="1501"/>
      <c r="K295" s="261"/>
      <c r="L295" s="309"/>
      <c r="M295" s="309"/>
      <c r="N295" s="309"/>
      <c r="O295" s="309"/>
      <c r="P295" s="309"/>
      <c r="Q295" s="309"/>
      <c r="R295" s="309"/>
      <c r="S295" s="309"/>
      <c r="T295" s="309"/>
      <c r="U295" s="309"/>
    </row>
    <row r="296" spans="1:21">
      <c r="A296" s="867">
        <v>44302</v>
      </c>
      <c r="B296" s="628"/>
      <c r="C296" s="629"/>
      <c r="D296" s="839"/>
      <c r="E296" s="629"/>
      <c r="F296" s="1540"/>
      <c r="G296" s="1507"/>
      <c r="H296" s="623"/>
      <c r="I296" s="1501"/>
      <c r="J296" s="1540" t="s">
        <v>692</v>
      </c>
      <c r="K296" s="261"/>
      <c r="L296" s="309"/>
      <c r="M296" s="309"/>
      <c r="N296" s="309"/>
      <c r="O296" s="309"/>
      <c r="P296" s="309"/>
      <c r="Q296" s="309"/>
      <c r="R296" s="309"/>
      <c r="S296" s="309"/>
      <c r="T296" s="309"/>
      <c r="U296" s="309"/>
    </row>
    <row r="297" spans="1:21" ht="12.75">
      <c r="A297" s="280" t="s">
        <v>824</v>
      </c>
      <c r="B297" s="628"/>
      <c r="C297" s="629"/>
      <c r="D297" s="839"/>
      <c r="E297" s="629"/>
      <c r="F297" s="1540"/>
      <c r="G297" s="1507"/>
      <c r="H297" s="623"/>
      <c r="I297" s="1501"/>
      <c r="J297" s="1501"/>
      <c r="K297" s="261"/>
      <c r="L297" s="309"/>
      <c r="M297" s="309"/>
      <c r="N297" s="309"/>
      <c r="O297" s="309"/>
      <c r="P297" s="309"/>
      <c r="Q297" s="309"/>
      <c r="R297" s="309"/>
      <c r="S297" s="309"/>
      <c r="T297" s="309"/>
      <c r="U297" s="309"/>
    </row>
    <row r="298" spans="1:21" ht="12.75">
      <c r="A298" s="1541" t="s">
        <v>691</v>
      </c>
      <c r="B298" s="628">
        <v>96</v>
      </c>
      <c r="C298" s="629">
        <v>51.75</v>
      </c>
      <c r="D298" s="839">
        <v>0</v>
      </c>
      <c r="E298" s="629">
        <f>C298*B298</f>
        <v>4968</v>
      </c>
      <c r="F298" s="1540" t="s">
        <v>692</v>
      </c>
      <c r="G298" s="1507"/>
      <c r="H298" s="623"/>
      <c r="I298" s="1501" t="str">
        <f>IF(F298="","",IF(OR(A289="Sell",A298="Sell"),"",F298))</f>
        <v>VTIP</v>
      </c>
      <c r="J298" s="1501"/>
      <c r="K298" s="261"/>
      <c r="L298" s="309"/>
      <c r="M298" s="309"/>
      <c r="N298" s="309"/>
      <c r="O298" s="309"/>
      <c r="P298" s="309"/>
      <c r="Q298" s="309"/>
      <c r="R298" s="309"/>
      <c r="S298" s="309"/>
      <c r="T298" s="309"/>
      <c r="U298" s="309"/>
    </row>
    <row r="299" spans="1:21" ht="12.75">
      <c r="A299" s="1541"/>
      <c r="B299" s="628"/>
      <c r="C299" s="629"/>
      <c r="D299" s="839"/>
      <c r="E299" s="629"/>
      <c r="F299" s="1540"/>
      <c r="G299" s="1507"/>
      <c r="H299" s="623"/>
      <c r="I299" s="1501"/>
      <c r="J299" s="1501"/>
      <c r="K299" s="261"/>
      <c r="L299" s="309"/>
      <c r="M299" s="309"/>
      <c r="N299" s="309"/>
      <c r="O299" s="309"/>
      <c r="P299" s="309"/>
      <c r="Q299" s="309"/>
      <c r="R299" s="309"/>
      <c r="S299" s="309"/>
      <c r="T299" s="309"/>
      <c r="U299" s="309"/>
    </row>
    <row r="300" spans="1:21">
      <c r="A300" s="867">
        <v>44302</v>
      </c>
      <c r="B300" s="628"/>
      <c r="C300" s="629"/>
      <c r="D300" s="839"/>
      <c r="E300" s="629"/>
      <c r="F300" s="1540"/>
      <c r="G300" s="1507"/>
      <c r="H300" s="623"/>
      <c r="I300" s="1501"/>
      <c r="J300" s="1540" t="s">
        <v>690</v>
      </c>
      <c r="K300" s="261"/>
      <c r="L300" s="309"/>
      <c r="M300" s="309"/>
      <c r="N300" s="309"/>
      <c r="O300" s="309"/>
      <c r="P300" s="309"/>
      <c r="Q300" s="309"/>
      <c r="R300" s="309"/>
      <c r="S300" s="309"/>
      <c r="T300" s="309"/>
      <c r="U300" s="309"/>
    </row>
    <row r="301" spans="1:21" ht="12.75">
      <c r="A301" s="280" t="s">
        <v>824</v>
      </c>
      <c r="B301" s="628"/>
      <c r="C301" s="629"/>
      <c r="D301" s="839"/>
      <c r="E301" s="629"/>
      <c r="F301" s="1540"/>
      <c r="G301" s="1507"/>
      <c r="H301" s="623"/>
      <c r="I301" s="1501"/>
      <c r="J301" s="1501"/>
      <c r="K301" s="261"/>
      <c r="L301" s="309"/>
      <c r="M301" s="309"/>
      <c r="N301" s="309"/>
      <c r="O301" s="309"/>
      <c r="P301" s="309"/>
      <c r="Q301" s="309"/>
      <c r="R301" s="309"/>
      <c r="S301" s="309"/>
      <c r="T301" s="309"/>
      <c r="U301" s="309"/>
    </row>
    <row r="302" spans="1:21" ht="12.75">
      <c r="A302" s="1541" t="s">
        <v>689</v>
      </c>
      <c r="B302" s="628">
        <v>330</v>
      </c>
      <c r="C302" s="629">
        <v>15.17</v>
      </c>
      <c r="D302" s="839">
        <v>0</v>
      </c>
      <c r="E302" s="629">
        <f>C302*B302</f>
        <v>5006.1000000000004</v>
      </c>
      <c r="F302" s="1540" t="s">
        <v>690</v>
      </c>
      <c r="G302" s="1507"/>
      <c r="H302" s="623"/>
      <c r="I302" s="1501" t="str">
        <f>IF(F302="","",IF(OR(A289="Sell",A302="Sell"),"",F302))</f>
        <v>PGX</v>
      </c>
      <c r="J302" s="1501" t="str">
        <f>IF(F307="","",IF(OR(A288="Sell",A289="Sell"),"",F307))</f>
        <v/>
      </c>
      <c r="K302" s="261"/>
      <c r="L302" s="309"/>
      <c r="M302" s="309"/>
      <c r="N302" s="309"/>
      <c r="O302" s="309"/>
      <c r="P302" s="309"/>
      <c r="Q302" s="309"/>
      <c r="R302" s="309"/>
      <c r="S302" s="309"/>
      <c r="T302" s="309"/>
      <c r="U302" s="309"/>
    </row>
    <row r="303" spans="1:21" ht="12.75">
      <c r="A303" s="1541"/>
      <c r="B303" s="628"/>
      <c r="C303" s="629"/>
      <c r="D303" s="839"/>
      <c r="E303" s="629"/>
      <c r="F303" s="1540"/>
      <c r="G303" s="1507"/>
      <c r="H303" s="623"/>
      <c r="I303" s="1501"/>
      <c r="J303" s="1501"/>
      <c r="K303" s="261"/>
      <c r="L303" s="309"/>
      <c r="M303" s="309"/>
      <c r="N303" s="309"/>
      <c r="O303" s="309"/>
      <c r="P303" s="309"/>
      <c r="Q303" s="309"/>
      <c r="R303" s="309"/>
      <c r="S303" s="309"/>
      <c r="T303" s="309"/>
      <c r="U303" s="309"/>
    </row>
    <row r="304" spans="1:21">
      <c r="A304" s="867">
        <v>44302</v>
      </c>
      <c r="B304" s="628"/>
      <c r="C304" s="629"/>
      <c r="D304" s="839"/>
      <c r="E304" s="629"/>
      <c r="F304" s="1540"/>
      <c r="G304" s="1507"/>
      <c r="H304" s="623"/>
      <c r="I304" s="1501"/>
      <c r="J304" s="1540" t="s">
        <v>688</v>
      </c>
      <c r="K304" s="261"/>
      <c r="L304" s="309"/>
      <c r="M304" s="309"/>
      <c r="N304" s="309"/>
      <c r="O304" s="309"/>
      <c r="P304" s="309"/>
      <c r="Q304" s="309"/>
      <c r="R304" s="309"/>
      <c r="S304" s="309"/>
      <c r="T304" s="309"/>
      <c r="U304" s="309"/>
    </row>
    <row r="305" spans="1:21" ht="12.75">
      <c r="A305" s="280" t="s">
        <v>824</v>
      </c>
      <c r="B305" s="628"/>
      <c r="C305" s="629"/>
      <c r="D305" s="839"/>
      <c r="E305" s="629"/>
      <c r="F305" s="1540"/>
      <c r="G305" s="1507"/>
      <c r="H305" s="623"/>
      <c r="I305" s="1501"/>
      <c r="J305" s="1501"/>
      <c r="K305" s="261"/>
      <c r="L305" s="309"/>
      <c r="M305" s="309"/>
      <c r="N305" s="309"/>
      <c r="O305" s="309"/>
      <c r="P305" s="309"/>
      <c r="Q305" s="309"/>
      <c r="R305" s="309"/>
      <c r="S305" s="309"/>
      <c r="T305" s="309"/>
      <c r="U305" s="309"/>
    </row>
    <row r="306" spans="1:21" ht="12.75">
      <c r="A306" s="1541" t="s">
        <v>687</v>
      </c>
      <c r="B306" s="628">
        <v>128</v>
      </c>
      <c r="C306" s="629">
        <v>38.840000000000003</v>
      </c>
      <c r="D306" s="839">
        <v>0</v>
      </c>
      <c r="E306" s="629">
        <f>C306*B306</f>
        <v>4971.5200000000004</v>
      </c>
      <c r="F306" s="1494" t="s">
        <v>688</v>
      </c>
      <c r="G306" s="1507"/>
      <c r="H306" s="623"/>
      <c r="I306" s="1501" t="str">
        <f>IF(F306="","",IF(OR(A289="Sell",A306="Sell"),"",F306))</f>
        <v>PFF</v>
      </c>
      <c r="J306" s="1501" t="str">
        <f>IF(F308="","",IF(OR(A306="Sell",A307="Sell"),"",F308))</f>
        <v/>
      </c>
      <c r="K306" s="261"/>
      <c r="L306" s="309"/>
      <c r="M306" s="309"/>
      <c r="N306" s="309"/>
      <c r="O306" s="309"/>
      <c r="P306" s="309"/>
      <c r="Q306" s="309"/>
      <c r="R306" s="309"/>
      <c r="S306" s="309"/>
      <c r="T306" s="309"/>
      <c r="U306" s="309"/>
    </row>
    <row r="307" spans="1:21" ht="12.75">
      <c r="A307" s="431"/>
      <c r="B307" s="621"/>
      <c r="C307" s="623"/>
      <c r="D307" s="792"/>
      <c r="E307" s="624"/>
      <c r="F307" s="546"/>
      <c r="G307" s="1507"/>
      <c r="H307" s="623"/>
      <c r="I307" s="1501" t="str">
        <f>IF(F307="","",IF(OR(A306="Sell",A307="Sell"),"",F307))</f>
        <v/>
      </c>
      <c r="J307" s="1501" t="str">
        <f>IF(F309="","",IF(OR(A307="Sell",A308="Sell"),"",F309))</f>
        <v/>
      </c>
      <c r="K307" s="261"/>
      <c r="L307" s="309"/>
      <c r="M307" s="309"/>
      <c r="N307" s="309"/>
      <c r="O307" s="309"/>
      <c r="P307" s="309"/>
      <c r="Q307" s="309"/>
      <c r="R307" s="309"/>
      <c r="S307" s="309"/>
      <c r="T307" s="309"/>
      <c r="U307" s="309"/>
    </row>
    <row r="308" spans="1:21">
      <c r="A308" s="867">
        <v>44300</v>
      </c>
      <c r="B308" s="621"/>
      <c r="C308" s="623"/>
      <c r="D308" s="792"/>
      <c r="E308" s="624"/>
      <c r="F308" s="546"/>
      <c r="G308" s="1507"/>
      <c r="H308" s="623"/>
      <c r="I308" s="1501" t="str">
        <f>IF(F308="","",IF(OR(A307="Sell",A308="Sell"),"",F308))</f>
        <v/>
      </c>
      <c r="J308" s="1501" t="str">
        <f>IF(F310="","",IF(OR(A308="Sell",A309="Sell"),"",F310))</f>
        <v/>
      </c>
      <c r="K308" s="261"/>
      <c r="L308" s="309"/>
      <c r="M308" s="309"/>
      <c r="N308" s="309"/>
      <c r="O308" s="309"/>
      <c r="P308" s="309"/>
      <c r="Q308" s="309"/>
      <c r="R308" s="309"/>
      <c r="S308" s="309"/>
      <c r="T308" s="309"/>
      <c r="U308" s="309"/>
    </row>
    <row r="309" spans="1:21" ht="12.75">
      <c r="A309" s="273" t="s">
        <v>820</v>
      </c>
      <c r="B309" s="621"/>
      <c r="C309" s="623"/>
      <c r="D309" s="792"/>
      <c r="E309" s="624"/>
      <c r="F309" s="1494"/>
      <c r="G309" s="1507"/>
      <c r="H309" s="1526"/>
      <c r="I309" s="1501" t="str">
        <f>IF(F309="","",IF(OR(A308="Sell",A309="Sell"),"",F309))</f>
        <v/>
      </c>
      <c r="J309" s="1501" t="str">
        <f>IF(F311="","",IF(OR(A309="Sell",A310="Sell"),"",F311))</f>
        <v/>
      </c>
      <c r="K309" s="261"/>
      <c r="L309" s="309"/>
      <c r="M309" s="309"/>
      <c r="N309" s="309"/>
      <c r="O309" s="309"/>
      <c r="P309" s="309"/>
      <c r="Q309" s="309"/>
      <c r="R309" s="309"/>
      <c r="S309" s="309"/>
      <c r="T309" s="309"/>
      <c r="U309" s="309"/>
    </row>
    <row r="310" spans="1:21" ht="12.75">
      <c r="A310" s="787" t="s">
        <v>662</v>
      </c>
      <c r="B310" s="628">
        <v>30</v>
      </c>
      <c r="C310" s="629">
        <v>138.02000000000001</v>
      </c>
      <c r="D310" s="839">
        <v>0</v>
      </c>
      <c r="E310" s="629">
        <f>C310*B310</f>
        <v>4140.6000000000004</v>
      </c>
      <c r="F310" s="1494" t="s">
        <v>431</v>
      </c>
      <c r="G310" s="1507"/>
      <c r="H310" s="1526"/>
      <c r="I310" s="1501" t="str">
        <f>IF(F310="","",IF(OR(A309="Sell",A310="Sell"),"",F310))</f>
        <v/>
      </c>
      <c r="J310" s="1501" t="str">
        <f>IF(F312="","",IF(OR(A309="Sell",A311="Sell"),"",F312))</f>
        <v/>
      </c>
      <c r="K310" s="261"/>
      <c r="L310" s="309"/>
      <c r="M310" s="309"/>
      <c r="N310" s="309"/>
      <c r="O310" s="309"/>
      <c r="P310" s="309"/>
      <c r="Q310" s="309"/>
      <c r="R310" s="309"/>
      <c r="S310" s="309"/>
      <c r="T310" s="309"/>
      <c r="U310" s="309"/>
    </row>
    <row r="311" spans="1:21" ht="12.75">
      <c r="A311" s="787" t="s">
        <v>637</v>
      </c>
      <c r="B311" s="628">
        <v>200</v>
      </c>
      <c r="C311" s="629">
        <v>29.79</v>
      </c>
      <c r="D311" s="839">
        <v>0</v>
      </c>
      <c r="E311" s="629">
        <f>C311*B311</f>
        <v>5958</v>
      </c>
      <c r="F311" s="1494" t="s">
        <v>638</v>
      </c>
      <c r="G311" s="1511"/>
      <c r="H311" s="1526"/>
      <c r="I311" s="1501" t="str">
        <f>IF(F311="","",IF(OR(A309="Sell",A311="Sell"),"",F311))</f>
        <v/>
      </c>
      <c r="J311" s="1501" t="str">
        <f>IF(F313="","",IF(OR(A309="Sell",A312="Sell"),"",F313))</f>
        <v/>
      </c>
      <c r="K311" s="261"/>
      <c r="L311" s="309"/>
      <c r="M311" s="309"/>
      <c r="N311" s="309"/>
      <c r="O311" s="309"/>
      <c r="P311" s="309"/>
      <c r="Q311" s="309"/>
      <c r="R311" s="309"/>
      <c r="S311" s="309"/>
      <c r="T311" s="309"/>
      <c r="U311" s="309"/>
    </row>
    <row r="312" spans="1:21" ht="12.75">
      <c r="A312" s="787" t="s">
        <v>635</v>
      </c>
      <c r="B312" s="628">
        <v>65</v>
      </c>
      <c r="C312" s="629">
        <v>85.1</v>
      </c>
      <c r="D312" s="839">
        <v>0</v>
      </c>
      <c r="E312" s="629">
        <f>C312*B312</f>
        <v>5531.5</v>
      </c>
      <c r="F312" s="1494" t="s">
        <v>636</v>
      </c>
      <c r="G312" s="1507"/>
      <c r="H312" s="1526"/>
      <c r="I312" s="1501" t="str">
        <f>IF(F312="","",IF(OR(A309="Sell",A312="Sell"),"",F312))</f>
        <v/>
      </c>
      <c r="J312" s="1501" t="str">
        <f t="shared" ref="J312:J343" si="4">IF(F314="","",IF(OR(A312="Sell",A313="Sell"),"",F314))</f>
        <v/>
      </c>
      <c r="K312" s="261"/>
      <c r="L312" s="309"/>
      <c r="M312" s="309"/>
      <c r="N312" s="309"/>
      <c r="O312" s="309"/>
      <c r="P312" s="309"/>
      <c r="Q312" s="309"/>
      <c r="R312" s="309"/>
      <c r="S312" s="309"/>
      <c r="T312" s="309"/>
      <c r="U312" s="309"/>
    </row>
    <row r="313" spans="1:21" ht="12.75">
      <c r="A313" s="787" t="s">
        <v>634</v>
      </c>
      <c r="B313" s="628">
        <v>80</v>
      </c>
      <c r="C313" s="629">
        <v>114.41</v>
      </c>
      <c r="D313" s="839">
        <v>0</v>
      </c>
      <c r="E313" s="629">
        <f>C313*B313</f>
        <v>9152.7999999999993</v>
      </c>
      <c r="F313" s="1494" t="s">
        <v>358</v>
      </c>
      <c r="G313" s="1507"/>
      <c r="H313" s="1526"/>
      <c r="I313" s="1501" t="str">
        <f>IF(F313="","",IF(OR(A309="Sell",A313="Sell"),"",F313))</f>
        <v/>
      </c>
      <c r="J313" s="1501" t="str">
        <f t="shared" si="4"/>
        <v/>
      </c>
      <c r="K313" s="261"/>
      <c r="L313" s="309"/>
      <c r="M313" s="309"/>
      <c r="N313" s="309"/>
      <c r="O313" s="309"/>
      <c r="P313" s="309"/>
      <c r="Q313" s="309"/>
      <c r="R313" s="309"/>
      <c r="S313" s="309"/>
      <c r="T313" s="309"/>
      <c r="U313" s="309"/>
    </row>
    <row r="314" spans="1:21" ht="12.75">
      <c r="A314" s="435"/>
      <c r="B314" s="628"/>
      <c r="C314" s="629"/>
      <c r="D314" s="839"/>
      <c r="E314" s="629"/>
      <c r="F314" s="1494"/>
      <c r="G314" s="1507"/>
      <c r="H314" s="1526"/>
      <c r="I314" s="1501" t="str">
        <f t="shared" ref="I314:I345" si="5">IF(F314="","",IF(OR(A313="Sell",A314="Sell"),"",F314))</f>
        <v/>
      </c>
      <c r="J314" s="1501" t="str">
        <f t="shared" si="4"/>
        <v/>
      </c>
      <c r="K314" s="261"/>
      <c r="L314" s="309"/>
      <c r="M314" s="309"/>
      <c r="N314" s="309"/>
      <c r="O314" s="309"/>
      <c r="P314" s="309"/>
      <c r="Q314" s="309"/>
      <c r="R314" s="309"/>
      <c r="S314" s="309"/>
      <c r="T314" s="309"/>
      <c r="U314" s="309"/>
    </row>
    <row r="315" spans="1:21" ht="14.25" customHeight="1">
      <c r="A315" s="871">
        <v>44256</v>
      </c>
      <c r="B315" s="784"/>
      <c r="C315" s="785"/>
      <c r="D315" s="786"/>
      <c r="E315" s="785"/>
      <c r="F315" s="1494"/>
      <c r="G315" s="1507"/>
      <c r="H315" s="1526"/>
      <c r="I315" s="1501" t="str">
        <f t="shared" si="5"/>
        <v/>
      </c>
      <c r="J315" s="1501" t="str">
        <f t="shared" si="4"/>
        <v/>
      </c>
      <c r="K315" s="261"/>
      <c r="L315" s="309"/>
      <c r="M315" s="309"/>
      <c r="N315" s="309"/>
      <c r="O315" s="309"/>
      <c r="P315" s="309"/>
      <c r="Q315" s="309"/>
      <c r="R315" s="309"/>
      <c r="S315" s="309"/>
      <c r="T315" s="309"/>
      <c r="U315" s="309"/>
    </row>
    <row r="316" spans="1:21" ht="14.25" customHeight="1">
      <c r="A316" s="868" t="s">
        <v>842</v>
      </c>
      <c r="B316" s="784"/>
      <c r="C316" s="785"/>
      <c r="D316" s="786"/>
      <c r="E316" s="785"/>
      <c r="F316" s="781"/>
      <c r="G316" s="1507"/>
      <c r="H316" s="1526"/>
      <c r="I316" s="1501" t="str">
        <f t="shared" si="5"/>
        <v/>
      </c>
      <c r="J316" s="1501" t="str">
        <f t="shared" si="4"/>
        <v/>
      </c>
      <c r="K316" s="261"/>
      <c r="L316" s="309"/>
      <c r="M316" s="309"/>
      <c r="N316" s="309"/>
      <c r="O316" s="309"/>
      <c r="P316" s="309"/>
      <c r="Q316" s="309"/>
      <c r="R316" s="309"/>
      <c r="S316" s="309"/>
      <c r="T316" s="309"/>
      <c r="U316" s="309"/>
    </row>
    <row r="317" spans="1:21" ht="14.25" customHeight="1">
      <c r="A317" s="869" t="s">
        <v>843</v>
      </c>
      <c r="B317" s="784"/>
      <c r="C317" s="785"/>
      <c r="D317" s="786"/>
      <c r="E317" s="856">
        <v>5000</v>
      </c>
      <c r="F317" s="781"/>
      <c r="G317" s="1507"/>
      <c r="H317" s="1526"/>
      <c r="I317" s="1501" t="str">
        <f t="shared" si="5"/>
        <v/>
      </c>
      <c r="J317" s="1501" t="str">
        <f t="shared" si="4"/>
        <v/>
      </c>
      <c r="K317" s="261"/>
      <c r="L317" s="309"/>
      <c r="M317" s="309"/>
      <c r="N317" s="309"/>
      <c r="O317" s="309"/>
      <c r="P317" s="309"/>
      <c r="Q317" s="309"/>
      <c r="R317" s="309"/>
      <c r="S317" s="309"/>
      <c r="T317" s="309"/>
      <c r="U317" s="309"/>
    </row>
    <row r="318" spans="1:21" ht="14.25" customHeight="1">
      <c r="A318" s="868"/>
      <c r="B318" s="784"/>
      <c r="C318" s="785"/>
      <c r="D318" s="786"/>
      <c r="E318" s="785"/>
      <c r="F318" s="781"/>
      <c r="G318" s="1507"/>
      <c r="H318" s="1526"/>
      <c r="I318" s="1501" t="str">
        <f t="shared" si="5"/>
        <v/>
      </c>
      <c r="J318" s="1501" t="str">
        <f t="shared" si="4"/>
        <v/>
      </c>
      <c r="K318" s="261"/>
      <c r="L318" s="309"/>
      <c r="M318" s="309"/>
      <c r="N318" s="309"/>
      <c r="O318" s="309"/>
      <c r="P318" s="309"/>
      <c r="Q318" s="309"/>
      <c r="R318" s="309"/>
      <c r="S318" s="309"/>
      <c r="T318" s="309"/>
      <c r="U318" s="309"/>
    </row>
    <row r="319" spans="1:21">
      <c r="A319" s="867">
        <v>44147</v>
      </c>
      <c r="B319" s="621"/>
      <c r="C319" s="623"/>
      <c r="D319" s="792"/>
      <c r="E319" s="624"/>
      <c r="F319" s="546"/>
      <c r="G319" s="1507"/>
      <c r="H319" s="1526"/>
      <c r="I319" s="1501" t="str">
        <f t="shared" si="5"/>
        <v/>
      </c>
      <c r="J319" s="1501" t="str">
        <f t="shared" si="4"/>
        <v>ROP</v>
      </c>
      <c r="K319" s="261"/>
      <c r="L319" s="309"/>
      <c r="M319" s="309"/>
      <c r="N319" s="309"/>
      <c r="O319" s="309"/>
      <c r="P319" s="309"/>
      <c r="Q319" s="309"/>
      <c r="R319" s="309"/>
      <c r="S319" s="309"/>
      <c r="T319" s="309"/>
      <c r="U319" s="309"/>
    </row>
    <row r="320" spans="1:21" ht="12.75">
      <c r="A320" s="280" t="s">
        <v>824</v>
      </c>
      <c r="B320" s="621"/>
      <c r="C320" s="623"/>
      <c r="D320" s="792"/>
      <c r="E320" s="624"/>
      <c r="F320" s="546"/>
      <c r="G320" s="1507"/>
      <c r="H320" s="1526"/>
      <c r="I320" s="1501" t="str">
        <f t="shared" si="5"/>
        <v/>
      </c>
      <c r="J320" s="1501" t="str">
        <f t="shared" si="4"/>
        <v/>
      </c>
      <c r="K320" s="261"/>
      <c r="L320" s="309"/>
      <c r="M320" s="309"/>
      <c r="N320" s="309"/>
      <c r="O320" s="309"/>
      <c r="P320" s="309"/>
      <c r="Q320" s="309"/>
      <c r="R320" s="309"/>
      <c r="S320" s="309"/>
      <c r="T320" s="309"/>
      <c r="U320" s="309"/>
    </row>
    <row r="321" spans="1:21" ht="12.75">
      <c r="A321" s="787" t="s">
        <v>844</v>
      </c>
      <c r="B321" s="628">
        <v>6</v>
      </c>
      <c r="C321" s="629">
        <v>393.3</v>
      </c>
      <c r="D321" s="839">
        <v>0</v>
      </c>
      <c r="E321" s="629">
        <f>C321*B321</f>
        <v>2359.8000000000002</v>
      </c>
      <c r="F321" s="1494" t="s">
        <v>660</v>
      </c>
      <c r="G321" s="1507"/>
      <c r="H321" s="1526"/>
      <c r="I321" s="1501" t="str">
        <f t="shared" si="5"/>
        <v>ROP</v>
      </c>
      <c r="J321" s="1501" t="str">
        <f t="shared" si="4"/>
        <v/>
      </c>
      <c r="K321" s="261"/>
      <c r="L321" s="309"/>
      <c r="M321" s="309"/>
      <c r="N321" s="309"/>
      <c r="O321" s="309"/>
      <c r="P321" s="309"/>
      <c r="Q321" s="309"/>
      <c r="R321" s="309"/>
      <c r="S321" s="309"/>
      <c r="T321" s="309"/>
      <c r="U321" s="309"/>
    </row>
    <row r="322" spans="1:21" ht="12.75">
      <c r="A322" s="431"/>
      <c r="B322" s="621"/>
      <c r="C322" s="623"/>
      <c r="D322" s="792"/>
      <c r="E322" s="624"/>
      <c r="F322" s="546"/>
      <c r="G322" s="1507"/>
      <c r="H322" s="1526"/>
      <c r="I322" s="1501" t="str">
        <f t="shared" si="5"/>
        <v/>
      </c>
      <c r="J322" s="1501" t="str">
        <f t="shared" si="4"/>
        <v/>
      </c>
      <c r="K322" s="261"/>
      <c r="L322" s="309"/>
      <c r="M322" s="309"/>
      <c r="N322" s="309"/>
      <c r="O322" s="309"/>
      <c r="P322" s="309"/>
      <c r="Q322" s="309"/>
      <c r="R322" s="309"/>
      <c r="S322" s="309"/>
      <c r="T322" s="309"/>
      <c r="U322" s="309"/>
    </row>
    <row r="323" spans="1:21">
      <c r="A323" s="610">
        <v>44138</v>
      </c>
      <c r="B323" s="621"/>
      <c r="C323" s="623"/>
      <c r="D323" s="792"/>
      <c r="E323" s="624"/>
      <c r="F323" s="546"/>
      <c r="G323" s="1507"/>
      <c r="H323" s="1526"/>
      <c r="I323" s="1501" t="str">
        <f t="shared" si="5"/>
        <v/>
      </c>
      <c r="J323" s="1501" t="str">
        <f t="shared" si="4"/>
        <v/>
      </c>
      <c r="K323" s="261"/>
      <c r="L323" s="309"/>
      <c r="M323" s="309"/>
      <c r="N323" s="309"/>
      <c r="O323" s="309"/>
      <c r="P323" s="309"/>
      <c r="Q323" s="309"/>
      <c r="R323" s="309"/>
      <c r="S323" s="309"/>
      <c r="T323" s="309"/>
      <c r="U323" s="309"/>
    </row>
    <row r="324" spans="1:21" ht="12.75">
      <c r="A324" s="273" t="s">
        <v>820</v>
      </c>
      <c r="B324" s="621"/>
      <c r="C324" s="623"/>
      <c r="D324" s="792"/>
      <c r="E324" s="624"/>
      <c r="F324" s="546"/>
      <c r="G324" s="1507"/>
      <c r="H324" s="1526"/>
      <c r="I324" s="1501" t="str">
        <f t="shared" si="5"/>
        <v/>
      </c>
      <c r="J324" s="1501" t="str">
        <f t="shared" si="4"/>
        <v/>
      </c>
      <c r="K324" s="261"/>
      <c r="L324" s="309"/>
      <c r="M324" s="309"/>
      <c r="N324" s="309"/>
      <c r="O324" s="309"/>
      <c r="P324" s="309"/>
      <c r="Q324" s="309"/>
      <c r="R324" s="309"/>
      <c r="S324" s="309"/>
      <c r="T324" s="309"/>
      <c r="U324" s="309"/>
    </row>
    <row r="325" spans="1:21" ht="12.75">
      <c r="A325" s="789" t="s">
        <v>367</v>
      </c>
      <c r="B325" s="628">
        <v>254</v>
      </c>
      <c r="C325" s="629">
        <v>33.914999999999999</v>
      </c>
      <c r="D325" s="839">
        <v>0</v>
      </c>
      <c r="E325" s="629">
        <f>C325*B325</f>
        <v>8614.41</v>
      </c>
      <c r="F325" s="1494" t="s">
        <v>368</v>
      </c>
      <c r="G325" s="1507"/>
      <c r="H325" s="1526"/>
      <c r="I325" s="1501" t="str">
        <f t="shared" si="5"/>
        <v/>
      </c>
      <c r="J325" s="1501" t="str">
        <f t="shared" si="4"/>
        <v/>
      </c>
      <c r="K325" s="261"/>
      <c r="L325" s="309"/>
      <c r="M325" s="309"/>
      <c r="N325" s="309"/>
      <c r="O325" s="309"/>
      <c r="P325" s="309"/>
      <c r="Q325" s="309"/>
      <c r="R325" s="309"/>
      <c r="S325" s="309"/>
      <c r="T325" s="309"/>
      <c r="U325" s="309"/>
    </row>
    <row r="326" spans="1:21" ht="12.75">
      <c r="A326" s="788"/>
      <c r="B326" s="784"/>
      <c r="C326" s="785"/>
      <c r="D326" s="786"/>
      <c r="E326" s="785"/>
      <c r="F326" s="781"/>
      <c r="G326" s="1507"/>
      <c r="H326" s="1526"/>
      <c r="I326" s="1501" t="str">
        <f t="shared" si="5"/>
        <v/>
      </c>
      <c r="J326" s="1501" t="str">
        <f t="shared" si="4"/>
        <v/>
      </c>
      <c r="K326" s="261"/>
      <c r="L326" s="309"/>
      <c r="M326" s="309"/>
      <c r="N326" s="309"/>
      <c r="O326" s="309"/>
      <c r="P326" s="309"/>
      <c r="Q326" s="309"/>
      <c r="R326" s="309"/>
      <c r="S326" s="309"/>
      <c r="T326" s="309"/>
      <c r="U326" s="309"/>
    </row>
    <row r="327" spans="1:21">
      <c r="A327" s="610">
        <v>44131</v>
      </c>
      <c r="B327" s="621"/>
      <c r="C327" s="623"/>
      <c r="D327" s="792"/>
      <c r="E327" s="624"/>
      <c r="F327" s="546"/>
      <c r="G327" s="1507"/>
      <c r="H327" s="1526"/>
      <c r="I327" s="1501" t="str">
        <f t="shared" si="5"/>
        <v/>
      </c>
      <c r="J327" s="1501" t="str">
        <f t="shared" si="4"/>
        <v>BEP</v>
      </c>
      <c r="K327" s="261"/>
      <c r="L327" s="309"/>
      <c r="M327" s="309"/>
      <c r="N327" s="309"/>
      <c r="O327" s="309"/>
      <c r="P327" s="309"/>
      <c r="Q327" s="309"/>
      <c r="R327" s="309"/>
      <c r="S327" s="309"/>
      <c r="T327" s="309"/>
      <c r="U327" s="309"/>
    </row>
    <row r="328" spans="1:21" ht="12.75">
      <c r="A328" s="273" t="s">
        <v>824</v>
      </c>
      <c r="B328" s="621"/>
      <c r="C328" s="623"/>
      <c r="D328" s="792"/>
      <c r="E328" s="624"/>
      <c r="F328" s="546"/>
      <c r="G328" s="1507"/>
      <c r="H328" s="1526"/>
      <c r="I328" s="1501" t="str">
        <f t="shared" si="5"/>
        <v/>
      </c>
      <c r="J328" s="1501" t="str">
        <f t="shared" si="4"/>
        <v/>
      </c>
      <c r="K328" s="261"/>
      <c r="L328" s="309"/>
      <c r="M328" s="309"/>
      <c r="N328" s="309"/>
      <c r="O328" s="309"/>
      <c r="P328" s="309"/>
      <c r="Q328" s="309"/>
      <c r="R328" s="309"/>
      <c r="S328" s="309"/>
      <c r="T328" s="309"/>
      <c r="U328" s="309"/>
    </row>
    <row r="329" spans="1:21" ht="12.75">
      <c r="A329" s="787" t="s">
        <v>648</v>
      </c>
      <c r="B329" s="628">
        <v>20</v>
      </c>
      <c r="C329" s="629">
        <v>53.739899999999999</v>
      </c>
      <c r="D329" s="839">
        <v>0</v>
      </c>
      <c r="E329" s="629">
        <f>C329*B329</f>
        <v>1074.798</v>
      </c>
      <c r="F329" s="1494" t="s">
        <v>649</v>
      </c>
      <c r="H329" s="1526"/>
      <c r="I329" s="1501" t="str">
        <f t="shared" si="5"/>
        <v>BEP</v>
      </c>
      <c r="J329" s="1501" t="str">
        <f t="shared" si="4"/>
        <v/>
      </c>
      <c r="K329" s="261"/>
      <c r="L329" s="309"/>
      <c r="M329" s="309"/>
      <c r="N329" s="309"/>
      <c r="O329" s="309"/>
      <c r="P329" s="309"/>
      <c r="Q329" s="309"/>
      <c r="R329" s="309"/>
      <c r="S329" s="309"/>
      <c r="T329" s="309"/>
      <c r="U329" s="309"/>
    </row>
    <row r="330" spans="1:21" ht="12.75">
      <c r="A330" s="788"/>
      <c r="B330" s="621">
        <v>30</v>
      </c>
      <c r="C330" s="624">
        <v>35.83</v>
      </c>
      <c r="D330" s="792"/>
      <c r="E330" s="623"/>
      <c r="F330" s="546"/>
      <c r="G330" s="1508" t="s">
        <v>845</v>
      </c>
      <c r="H330" s="1526"/>
      <c r="I330" s="1501" t="str">
        <f t="shared" si="5"/>
        <v/>
      </c>
      <c r="J330" s="1501" t="str">
        <f t="shared" si="4"/>
        <v/>
      </c>
      <c r="K330" s="261"/>
      <c r="L330" s="309"/>
      <c r="M330" s="309"/>
      <c r="N330" s="309"/>
      <c r="O330" s="309"/>
      <c r="P330" s="309"/>
      <c r="Q330" s="309"/>
      <c r="R330" s="309"/>
      <c r="S330" s="309"/>
      <c r="T330" s="309"/>
      <c r="U330" s="309"/>
    </row>
    <row r="331" spans="1:21">
      <c r="A331" s="610">
        <v>44127</v>
      </c>
      <c r="B331" s="621"/>
      <c r="C331" s="623"/>
      <c r="D331" s="792"/>
      <c r="E331" s="624"/>
      <c r="F331" s="546"/>
      <c r="G331" s="1507"/>
      <c r="H331" s="1526"/>
      <c r="I331" s="1501" t="str">
        <f t="shared" si="5"/>
        <v/>
      </c>
      <c r="J331" s="1501" t="str">
        <f t="shared" si="4"/>
        <v>DPZ</v>
      </c>
      <c r="K331" s="261"/>
      <c r="L331" s="309"/>
      <c r="M331" s="309"/>
      <c r="N331" s="309"/>
      <c r="O331" s="309"/>
      <c r="P331" s="309"/>
      <c r="Q331" s="309"/>
      <c r="R331" s="309"/>
      <c r="S331" s="309"/>
      <c r="T331" s="309"/>
      <c r="U331" s="309"/>
    </row>
    <row r="332" spans="1:21" ht="12.75">
      <c r="A332" s="273" t="s">
        <v>824</v>
      </c>
      <c r="B332" s="621"/>
      <c r="C332" s="623"/>
      <c r="D332" s="792"/>
      <c r="E332" s="624"/>
      <c r="F332" s="546"/>
      <c r="G332" s="1507"/>
      <c r="H332" s="1526"/>
      <c r="I332" s="1501" t="str">
        <f t="shared" si="5"/>
        <v/>
      </c>
      <c r="J332" s="1501" t="str">
        <f t="shared" si="4"/>
        <v/>
      </c>
      <c r="K332" s="261"/>
      <c r="L332" s="309"/>
      <c r="M332" s="309"/>
      <c r="N332" s="309"/>
      <c r="O332" s="309"/>
      <c r="P332" s="309"/>
      <c r="Q332" s="309"/>
      <c r="R332" s="309"/>
      <c r="S332" s="309"/>
      <c r="T332" s="309"/>
      <c r="U332" s="309"/>
    </row>
    <row r="333" spans="1:21" ht="12.75">
      <c r="A333" t="s">
        <v>651</v>
      </c>
      <c r="B333" s="628">
        <v>6</v>
      </c>
      <c r="C333" s="629">
        <v>393.08</v>
      </c>
      <c r="D333" s="839">
        <v>0</v>
      </c>
      <c r="E333" s="629">
        <f>C333*B333</f>
        <v>2358.48</v>
      </c>
      <c r="F333" s="1494" t="s">
        <v>652</v>
      </c>
      <c r="G333" s="1507"/>
      <c r="H333" s="1526"/>
      <c r="I333" s="1501" t="str">
        <f t="shared" si="5"/>
        <v>DPZ</v>
      </c>
      <c r="J333" s="1501" t="str">
        <f t="shared" si="4"/>
        <v/>
      </c>
      <c r="K333" s="261"/>
      <c r="L333" s="309"/>
      <c r="M333" s="309"/>
      <c r="N333" s="309"/>
      <c r="O333" s="309"/>
      <c r="P333" s="309"/>
      <c r="Q333" s="309"/>
      <c r="R333" s="309"/>
      <c r="S333" s="309"/>
      <c r="T333" s="309"/>
      <c r="U333" s="309"/>
    </row>
    <row r="334" spans="1:21" ht="12.75">
      <c r="A334" s="273"/>
      <c r="B334" s="627"/>
      <c r="C334" s="785"/>
      <c r="D334" s="786"/>
      <c r="E334" s="785"/>
      <c r="F334" s="781"/>
      <c r="G334" s="1507"/>
      <c r="H334" s="1526"/>
      <c r="I334" s="1501" t="str">
        <f t="shared" si="5"/>
        <v/>
      </c>
      <c r="J334" s="1501" t="str">
        <f t="shared" si="4"/>
        <v/>
      </c>
      <c r="K334" s="261"/>
      <c r="L334" s="309"/>
      <c r="M334" s="309"/>
      <c r="N334" s="309"/>
      <c r="O334" s="309"/>
      <c r="P334" s="309"/>
      <c r="Q334" s="309"/>
      <c r="R334" s="309"/>
      <c r="S334" s="309"/>
      <c r="T334" s="309"/>
      <c r="U334" s="309"/>
    </row>
    <row r="335" spans="1:21" ht="12.75">
      <c r="A335" s="333">
        <v>44109</v>
      </c>
      <c r="B335" s="627"/>
      <c r="C335" s="785"/>
      <c r="D335" s="786"/>
      <c r="E335" s="785"/>
      <c r="F335" s="781"/>
      <c r="G335" s="1507"/>
      <c r="H335" s="1526"/>
      <c r="I335" s="1501" t="str">
        <f t="shared" si="5"/>
        <v/>
      </c>
      <c r="J335" s="1501" t="str">
        <f t="shared" si="4"/>
        <v/>
      </c>
      <c r="K335" s="261"/>
      <c r="L335" s="309"/>
      <c r="M335" s="729"/>
      <c r="N335" s="309"/>
      <c r="O335" s="309"/>
      <c r="P335" s="309"/>
      <c r="Q335" s="309"/>
      <c r="R335" s="309"/>
      <c r="S335" s="309"/>
      <c r="T335" s="309"/>
      <c r="U335" s="309"/>
    </row>
    <row r="336" spans="1:21" ht="12.75">
      <c r="A336" s="273" t="s">
        <v>820</v>
      </c>
      <c r="B336" s="627"/>
      <c r="C336" s="785"/>
      <c r="D336" s="786"/>
      <c r="E336" s="785"/>
      <c r="F336" s="781"/>
      <c r="G336" s="1508"/>
      <c r="H336" s="1526"/>
      <c r="I336" s="1501" t="str">
        <f t="shared" si="5"/>
        <v/>
      </c>
      <c r="J336" s="1501" t="str">
        <f t="shared" si="4"/>
        <v/>
      </c>
      <c r="K336" s="261"/>
      <c r="L336" s="309"/>
      <c r="M336" s="328"/>
      <c r="N336" s="309"/>
      <c r="O336" s="309"/>
      <c r="P336" s="309"/>
      <c r="Q336" s="309"/>
      <c r="R336" s="309"/>
      <c r="S336" s="309"/>
      <c r="T336" s="309"/>
      <c r="U336" s="309"/>
    </row>
    <row r="337" spans="1:21" ht="12.75">
      <c r="A337" s="273" t="s">
        <v>620</v>
      </c>
      <c r="B337" s="625">
        <v>25</v>
      </c>
      <c r="C337" s="623">
        <v>55.293500000000002</v>
      </c>
      <c r="D337" s="792">
        <v>0</v>
      </c>
      <c r="E337" s="857">
        <f>C337*B337</f>
        <v>1382.3375000000001</v>
      </c>
      <c r="F337" s="546" t="s">
        <v>177</v>
      </c>
      <c r="G337" s="1508"/>
      <c r="H337" s="1526"/>
      <c r="I337" s="1501" t="str">
        <f t="shared" si="5"/>
        <v/>
      </c>
      <c r="J337" s="1501" t="str">
        <f t="shared" si="4"/>
        <v/>
      </c>
      <c r="K337" s="261"/>
      <c r="L337" s="309"/>
      <c r="M337" s="309"/>
      <c r="N337" s="309"/>
      <c r="O337" s="309"/>
      <c r="P337" s="309"/>
      <c r="Q337" s="309"/>
      <c r="R337" s="309"/>
      <c r="S337" s="309"/>
      <c r="T337" s="309"/>
      <c r="U337" s="309"/>
    </row>
    <row r="338" spans="1:21" ht="12.75">
      <c r="A338" s="273"/>
      <c r="B338" s="627"/>
      <c r="C338" s="785"/>
      <c r="D338" s="786"/>
      <c r="E338" s="785"/>
      <c r="F338" s="781"/>
      <c r="G338" s="1509"/>
      <c r="H338" s="1501"/>
      <c r="I338" s="1501" t="str">
        <f t="shared" si="5"/>
        <v/>
      </c>
      <c r="J338" s="1501" t="str">
        <f t="shared" si="4"/>
        <v/>
      </c>
      <c r="K338" s="261"/>
      <c r="L338" s="309"/>
      <c r="M338" s="309"/>
      <c r="N338" s="309"/>
      <c r="O338" s="309"/>
      <c r="P338" s="309"/>
      <c r="Q338" s="309"/>
      <c r="R338" s="309"/>
      <c r="S338" s="309"/>
      <c r="T338" s="309"/>
      <c r="U338" s="309"/>
    </row>
    <row r="339" spans="1:21" ht="12.75">
      <c r="A339" s="333">
        <v>44071</v>
      </c>
      <c r="B339" s="627"/>
      <c r="C339" s="785"/>
      <c r="D339" s="786"/>
      <c r="E339" s="858"/>
      <c r="F339" s="781"/>
      <c r="G339" s="1509"/>
      <c r="H339" s="1501"/>
      <c r="I339" s="1501" t="str">
        <f t="shared" si="5"/>
        <v/>
      </c>
      <c r="J339" s="1501" t="str">
        <f t="shared" si="4"/>
        <v/>
      </c>
      <c r="K339" s="261"/>
      <c r="L339" s="309"/>
      <c r="M339" s="309"/>
      <c r="N339" s="309"/>
      <c r="O339" s="309"/>
      <c r="P339" s="309"/>
      <c r="Q339" s="309"/>
      <c r="R339" s="309"/>
      <c r="S339" s="309"/>
      <c r="T339" s="309"/>
      <c r="U339" s="309"/>
    </row>
    <row r="340" spans="1:21" ht="12.75">
      <c r="A340" s="273" t="s">
        <v>820</v>
      </c>
      <c r="B340" s="627"/>
      <c r="C340" s="785"/>
      <c r="D340" s="786"/>
      <c r="E340" s="858"/>
      <c r="F340" s="781"/>
      <c r="G340" s="1509"/>
      <c r="H340" s="1501"/>
      <c r="I340" s="1501" t="str">
        <f t="shared" si="5"/>
        <v/>
      </c>
      <c r="J340" s="1501" t="str">
        <f t="shared" si="4"/>
        <v/>
      </c>
      <c r="K340" s="261"/>
      <c r="L340" s="309"/>
      <c r="M340" s="309"/>
      <c r="N340" s="309"/>
      <c r="O340" s="309"/>
      <c r="P340" s="309"/>
      <c r="Q340" s="309"/>
      <c r="R340" s="309"/>
      <c r="S340" s="309"/>
      <c r="T340" s="309"/>
      <c r="U340" s="309"/>
    </row>
    <row r="341" spans="1:21" ht="12.75">
      <c r="A341" s="607" t="s">
        <v>665</v>
      </c>
      <c r="B341" s="625">
        <v>50</v>
      </c>
      <c r="C341" s="623">
        <v>54.524999999999999</v>
      </c>
      <c r="D341" s="792">
        <v>0</v>
      </c>
      <c r="E341" s="624">
        <f>B341*C341</f>
        <v>2726.25</v>
      </c>
      <c r="F341" s="546" t="s">
        <v>666</v>
      </c>
      <c r="G341" s="1509"/>
      <c r="H341" s="1501"/>
      <c r="I341" s="1501" t="str">
        <f t="shared" si="5"/>
        <v/>
      </c>
      <c r="J341" s="1501" t="str">
        <f t="shared" si="4"/>
        <v/>
      </c>
      <c r="K341" s="261"/>
      <c r="L341" s="309"/>
      <c r="M341" s="309"/>
      <c r="N341" s="309"/>
      <c r="O341" s="309"/>
      <c r="P341" s="309"/>
      <c r="Q341" s="309"/>
      <c r="R341" s="309"/>
      <c r="S341" s="309"/>
      <c r="T341" s="309"/>
      <c r="U341" s="309"/>
    </row>
    <row r="342" spans="1:21" ht="12.75">
      <c r="A342" s="608"/>
      <c r="B342" s="621"/>
      <c r="C342" s="623"/>
      <c r="D342" s="792"/>
      <c r="E342" s="624"/>
      <c r="F342" s="546"/>
      <c r="I342" s="1501" t="str">
        <f t="shared" si="5"/>
        <v/>
      </c>
      <c r="J342" s="1501" t="str">
        <f t="shared" si="4"/>
        <v/>
      </c>
      <c r="K342" s="261"/>
      <c r="L342" s="309"/>
      <c r="M342" s="309"/>
      <c r="N342" s="309"/>
      <c r="O342" s="309"/>
      <c r="P342" s="309"/>
      <c r="Q342" s="309"/>
      <c r="R342" s="309"/>
      <c r="S342" s="309"/>
      <c r="T342" s="309"/>
      <c r="U342" s="309"/>
    </row>
    <row r="343" spans="1:21">
      <c r="A343" s="610">
        <v>44008</v>
      </c>
      <c r="B343" s="621"/>
      <c r="C343" s="623"/>
      <c r="D343" s="792"/>
      <c r="E343" s="624"/>
      <c r="F343" s="546"/>
      <c r="G343" s="1507"/>
      <c r="H343" s="1526"/>
      <c r="I343" s="1501" t="str">
        <f t="shared" si="5"/>
        <v/>
      </c>
      <c r="J343" s="1501" t="str">
        <f t="shared" si="4"/>
        <v>JNJ</v>
      </c>
      <c r="K343" s="261"/>
      <c r="L343" s="309"/>
      <c r="M343" s="309"/>
      <c r="N343" s="309"/>
      <c r="O343" s="309"/>
      <c r="P343" s="309"/>
      <c r="Q343" s="309"/>
      <c r="R343" s="309"/>
      <c r="S343" s="309"/>
      <c r="T343" s="309"/>
      <c r="U343" s="309"/>
    </row>
    <row r="344" spans="1:21" ht="12.75">
      <c r="A344" s="273" t="s">
        <v>824</v>
      </c>
      <c r="B344" s="621"/>
      <c r="C344" s="623"/>
      <c r="D344" s="792"/>
      <c r="E344" s="624"/>
      <c r="F344" s="546"/>
      <c r="G344" s="1507"/>
      <c r="H344" s="1526"/>
      <c r="I344" s="1501" t="str">
        <f t="shared" si="5"/>
        <v/>
      </c>
      <c r="J344" s="1501" t="str">
        <f t="shared" ref="J344:J375" si="6">IF(F346="","",IF(OR(A344="Sell",A345="Sell"),"",F346))</f>
        <v/>
      </c>
      <c r="K344" s="261"/>
      <c r="L344" s="309"/>
      <c r="M344" s="309"/>
      <c r="N344" s="309"/>
      <c r="O344" s="309"/>
      <c r="P344" s="309"/>
      <c r="Q344" s="309"/>
      <c r="R344" s="309"/>
      <c r="S344" s="309"/>
      <c r="T344" s="309"/>
      <c r="U344" s="309"/>
    </row>
    <row r="345" spans="1:21" ht="12.75">
      <c r="A345" t="s">
        <v>547</v>
      </c>
      <c r="B345" s="628">
        <v>10</v>
      </c>
      <c r="C345" s="629">
        <v>138.99</v>
      </c>
      <c r="D345" s="839">
        <v>0</v>
      </c>
      <c r="E345" s="629">
        <v>1389.9</v>
      </c>
      <c r="F345" s="1494" t="s">
        <v>548</v>
      </c>
      <c r="G345" s="1507"/>
      <c r="H345" s="1526"/>
      <c r="I345" s="1501" t="str">
        <f t="shared" si="5"/>
        <v>JNJ</v>
      </c>
      <c r="J345" s="1501" t="str">
        <f t="shared" si="6"/>
        <v/>
      </c>
      <c r="K345" s="261"/>
      <c r="L345" s="309"/>
      <c r="M345" s="309"/>
      <c r="N345" s="309"/>
      <c r="O345" s="309"/>
      <c r="P345" s="309"/>
      <c r="Q345" s="309"/>
      <c r="R345" s="309"/>
      <c r="S345" s="309"/>
      <c r="T345" s="309"/>
      <c r="U345" s="309"/>
    </row>
    <row r="346" spans="1:21" ht="12.75">
      <c r="A346" s="273"/>
      <c r="B346" s="627"/>
      <c r="C346" s="785"/>
      <c r="D346" s="786"/>
      <c r="E346" s="785"/>
      <c r="F346" s="781"/>
      <c r="I346" s="1501" t="str">
        <f t="shared" ref="I346:I377" si="7">IF(F346="","",IF(OR(A345="Sell",A346="Sell"),"",F346))</f>
        <v/>
      </c>
      <c r="J346" s="1501" t="str">
        <f t="shared" si="6"/>
        <v/>
      </c>
      <c r="K346" s="261"/>
      <c r="L346" s="309"/>
      <c r="M346" s="309"/>
      <c r="N346" s="309"/>
      <c r="O346" s="309"/>
      <c r="P346" s="309"/>
      <c r="Q346" s="309"/>
      <c r="R346" s="309"/>
      <c r="S346" s="309"/>
      <c r="T346" s="309"/>
      <c r="U346" s="309"/>
    </row>
    <row r="347" spans="1:21" ht="12.75">
      <c r="A347" s="333">
        <v>43935</v>
      </c>
      <c r="B347" s="627"/>
      <c r="C347" s="785"/>
      <c r="D347" s="786"/>
      <c r="E347" s="785"/>
      <c r="F347" s="781"/>
      <c r="I347" s="1501" t="str">
        <f t="shared" si="7"/>
        <v/>
      </c>
      <c r="J347" s="1501" t="str">
        <f t="shared" si="6"/>
        <v>DIS</v>
      </c>
      <c r="K347" s="261"/>
      <c r="L347" s="309"/>
      <c r="M347" s="309"/>
      <c r="N347" s="309"/>
      <c r="O347" s="309"/>
      <c r="P347" s="309"/>
      <c r="Q347" s="309"/>
      <c r="R347" s="309"/>
      <c r="S347" s="309"/>
      <c r="T347" s="309"/>
      <c r="U347" s="309"/>
    </row>
    <row r="348" spans="1:21" ht="12.75">
      <c r="A348" s="273" t="s">
        <v>824</v>
      </c>
      <c r="B348" s="627"/>
      <c r="C348" s="785"/>
      <c r="D348" s="786"/>
      <c r="E348" s="785"/>
      <c r="F348" s="781"/>
      <c r="I348" s="1501" t="str">
        <f t="shared" si="7"/>
        <v/>
      </c>
      <c r="J348" s="1501" t="str">
        <f t="shared" si="6"/>
        <v/>
      </c>
      <c r="K348" s="261"/>
      <c r="L348" s="309"/>
      <c r="M348" s="309"/>
      <c r="N348" s="309"/>
      <c r="O348" s="309"/>
      <c r="P348" s="309"/>
      <c r="Q348" s="309"/>
      <c r="R348" s="309"/>
      <c r="S348" s="309"/>
      <c r="T348" s="309"/>
      <c r="U348" s="309"/>
    </row>
    <row r="349" spans="1:21" ht="12.75">
      <c r="A349" s="337" t="s">
        <v>846</v>
      </c>
      <c r="B349" s="625">
        <v>15</v>
      </c>
      <c r="C349" s="623">
        <v>106.3535</v>
      </c>
      <c r="D349" s="792">
        <v>0</v>
      </c>
      <c r="E349" s="624">
        <f>B349*C349</f>
        <v>1595.3025</v>
      </c>
      <c r="F349" s="546" t="s">
        <v>470</v>
      </c>
      <c r="G349" s="1510">
        <f>G401+E349</f>
        <v>7192.6855999999998</v>
      </c>
      <c r="H349" s="1501">
        <v>60</v>
      </c>
      <c r="I349" s="1501" t="str">
        <f t="shared" si="7"/>
        <v>DIS</v>
      </c>
      <c r="J349" s="1501" t="str">
        <f t="shared" si="6"/>
        <v/>
      </c>
      <c r="K349" s="261"/>
      <c r="L349" s="309"/>
      <c r="M349" s="309"/>
      <c r="N349" s="309"/>
      <c r="O349" s="309"/>
      <c r="P349" s="309"/>
      <c r="Q349" s="309"/>
      <c r="R349" s="309"/>
      <c r="S349" s="309"/>
      <c r="T349" s="309"/>
      <c r="U349" s="309"/>
    </row>
    <row r="350" spans="1:21" ht="12.75">
      <c r="A350" s="273"/>
      <c r="B350" s="627"/>
      <c r="C350" s="785"/>
      <c r="D350" s="786"/>
      <c r="E350" s="858"/>
      <c r="F350" s="781"/>
      <c r="G350" s="1507"/>
      <c r="H350" s="1526"/>
      <c r="I350" s="1501" t="str">
        <f t="shared" si="7"/>
        <v/>
      </c>
      <c r="J350" s="1501" t="str">
        <f t="shared" si="6"/>
        <v/>
      </c>
      <c r="K350" s="261"/>
      <c r="L350" s="309"/>
      <c r="M350" s="309"/>
      <c r="N350" s="309"/>
      <c r="O350" s="309"/>
      <c r="P350" s="309"/>
      <c r="Q350" s="309"/>
      <c r="R350" s="309"/>
      <c r="S350" s="309"/>
      <c r="T350" s="309"/>
      <c r="U350" s="309"/>
    </row>
    <row r="351" spans="1:21" ht="12.75">
      <c r="A351" s="333">
        <v>43921</v>
      </c>
      <c r="B351" s="627"/>
      <c r="C351" s="785"/>
      <c r="D351" s="786"/>
      <c r="E351" s="858"/>
      <c r="F351" s="781"/>
      <c r="G351" s="1507"/>
      <c r="H351" s="1526"/>
      <c r="I351" s="1501" t="str">
        <f t="shared" si="7"/>
        <v/>
      </c>
      <c r="J351" s="1501" t="str">
        <f t="shared" si="6"/>
        <v>BMY</v>
      </c>
      <c r="K351" s="261"/>
      <c r="L351" s="309"/>
      <c r="M351" s="309"/>
      <c r="N351" s="309"/>
      <c r="O351" s="309"/>
      <c r="P351" s="309"/>
      <c r="Q351" s="309"/>
      <c r="R351" s="309"/>
      <c r="S351" s="309"/>
      <c r="T351" s="309"/>
      <c r="U351" s="309"/>
    </row>
    <row r="352" spans="1:21" ht="12.75">
      <c r="A352" s="273" t="s">
        <v>824</v>
      </c>
      <c r="B352" s="627"/>
      <c r="C352" s="785"/>
      <c r="D352" s="786"/>
      <c r="E352" s="858"/>
      <c r="F352" s="781"/>
      <c r="G352" s="1508"/>
      <c r="H352" s="1526"/>
      <c r="I352" s="1501" t="str">
        <f t="shared" si="7"/>
        <v/>
      </c>
      <c r="J352" s="1501" t="str">
        <f t="shared" si="6"/>
        <v/>
      </c>
      <c r="K352" s="261"/>
      <c r="L352" s="309"/>
      <c r="M352" s="309"/>
      <c r="N352" s="309"/>
      <c r="O352" s="309"/>
      <c r="P352" s="309"/>
      <c r="Q352" s="309"/>
      <c r="R352" s="309"/>
      <c r="S352" s="309"/>
      <c r="T352" s="309"/>
      <c r="U352" s="309"/>
    </row>
    <row r="353" spans="1:21" ht="12.75">
      <c r="A353" s="337" t="s">
        <v>621</v>
      </c>
      <c r="B353" s="625">
        <v>14</v>
      </c>
      <c r="C353" s="623">
        <v>55.765000000000001</v>
      </c>
      <c r="D353" s="792">
        <v>0</v>
      </c>
      <c r="E353" s="624">
        <f>B353*C353</f>
        <v>780.71</v>
      </c>
      <c r="F353" s="546" t="s">
        <v>622</v>
      </c>
      <c r="G353" s="1509">
        <f>E405+E353</f>
        <v>1675.1100000000001</v>
      </c>
      <c r="H353" s="1527">
        <v>30</v>
      </c>
      <c r="I353" s="1501" t="str">
        <f t="shared" si="7"/>
        <v>BMY</v>
      </c>
      <c r="J353" s="1501" t="str">
        <f t="shared" si="6"/>
        <v/>
      </c>
      <c r="K353" s="261"/>
      <c r="L353" s="309"/>
      <c r="M353" s="309"/>
      <c r="N353" s="309"/>
      <c r="O353" s="309"/>
      <c r="P353" s="309"/>
      <c r="Q353" s="309"/>
      <c r="R353" s="309"/>
      <c r="S353" s="309"/>
      <c r="T353" s="309"/>
      <c r="U353" s="309"/>
    </row>
    <row r="354" spans="1:21" ht="12.75">
      <c r="A354" s="273"/>
      <c r="B354" s="627"/>
      <c r="C354" s="785"/>
      <c r="D354" s="786"/>
      <c r="E354" s="858"/>
      <c r="F354" s="781"/>
      <c r="G354" s="1508"/>
      <c r="H354" s="1526"/>
      <c r="I354" s="1501" t="str">
        <f t="shared" si="7"/>
        <v/>
      </c>
      <c r="J354" s="1501" t="str">
        <f t="shared" si="6"/>
        <v/>
      </c>
      <c r="K354" s="261"/>
      <c r="L354" s="309"/>
      <c r="M354" s="309"/>
      <c r="N354" s="309"/>
      <c r="O354" s="309"/>
      <c r="P354" s="309"/>
      <c r="Q354" s="309"/>
      <c r="R354" s="309"/>
      <c r="S354" s="309"/>
      <c r="T354" s="309"/>
      <c r="U354" s="309"/>
    </row>
    <row r="355" spans="1:21" ht="12.75">
      <c r="A355" s="333">
        <v>43921</v>
      </c>
      <c r="B355" s="627"/>
      <c r="C355" s="785"/>
      <c r="D355" s="786"/>
      <c r="E355" s="858"/>
      <c r="F355" s="781"/>
      <c r="G355" s="1508"/>
      <c r="H355" s="1526"/>
      <c r="I355" s="1501" t="str">
        <f t="shared" si="7"/>
        <v/>
      </c>
      <c r="J355" s="1501" t="str">
        <f t="shared" si="6"/>
        <v/>
      </c>
      <c r="K355" s="261"/>
      <c r="L355" s="309"/>
      <c r="M355" s="309"/>
      <c r="N355" s="309"/>
      <c r="O355" s="309"/>
      <c r="P355" s="309"/>
      <c r="Q355" s="309"/>
      <c r="R355" s="309"/>
      <c r="S355" s="309"/>
      <c r="T355" s="309"/>
      <c r="U355" s="309"/>
    </row>
    <row r="356" spans="1:21" ht="12.75">
      <c r="A356" s="273" t="s">
        <v>820</v>
      </c>
      <c r="B356" s="627"/>
      <c r="C356" s="785"/>
      <c r="D356" s="786"/>
      <c r="E356" s="858"/>
      <c r="F356" s="781"/>
      <c r="G356" s="1508"/>
      <c r="H356" s="1526"/>
      <c r="I356" s="1501" t="str">
        <f t="shared" si="7"/>
        <v/>
      </c>
      <c r="J356" s="1501" t="str">
        <f t="shared" si="6"/>
        <v/>
      </c>
      <c r="K356" s="261"/>
      <c r="L356" s="309"/>
      <c r="M356" s="309"/>
      <c r="N356" s="309"/>
      <c r="O356" s="309"/>
      <c r="P356" s="309"/>
      <c r="Q356" s="309"/>
      <c r="R356" s="309"/>
      <c r="S356" s="309"/>
      <c r="T356" s="309"/>
      <c r="U356" s="309"/>
    </row>
    <row r="357" spans="1:21" ht="12.75">
      <c r="A357" s="337" t="s">
        <v>847</v>
      </c>
      <c r="B357" s="625">
        <v>25</v>
      </c>
      <c r="C357" s="623">
        <v>44.44</v>
      </c>
      <c r="D357" s="792">
        <v>0</v>
      </c>
      <c r="E357" s="624">
        <f>B357*C357</f>
        <v>1111</v>
      </c>
      <c r="F357" s="546" t="s">
        <v>177</v>
      </c>
      <c r="G357" s="1509">
        <f>E446/2</f>
        <v>1955.9975000000002</v>
      </c>
      <c r="H357" s="1501">
        <v>25</v>
      </c>
      <c r="I357" s="1501" t="str">
        <f t="shared" si="7"/>
        <v/>
      </c>
      <c r="J357" s="1501" t="str">
        <f t="shared" si="6"/>
        <v/>
      </c>
      <c r="K357" s="261"/>
      <c r="L357" s="309"/>
      <c r="M357" s="309"/>
      <c r="N357" s="309"/>
      <c r="O357" s="309"/>
      <c r="P357" s="309"/>
      <c r="Q357" s="309"/>
      <c r="R357" s="309"/>
      <c r="S357" s="309"/>
      <c r="T357" s="309"/>
      <c r="U357" s="309"/>
    </row>
    <row r="358" spans="1:21" ht="12.75">
      <c r="A358" s="273"/>
      <c r="B358" s="627"/>
      <c r="C358" s="785"/>
      <c r="D358" s="786"/>
      <c r="E358" s="858"/>
      <c r="F358" s="781"/>
      <c r="G358" s="1508"/>
      <c r="H358" s="1526"/>
      <c r="I358" s="1501" t="str">
        <f t="shared" si="7"/>
        <v/>
      </c>
      <c r="J358" s="1501" t="str">
        <f t="shared" si="6"/>
        <v/>
      </c>
      <c r="K358" s="261"/>
      <c r="L358" s="309"/>
      <c r="M358" s="309"/>
      <c r="N358" s="309"/>
      <c r="O358" s="309"/>
      <c r="P358" s="309"/>
      <c r="Q358" s="309"/>
      <c r="R358" s="309"/>
      <c r="S358" s="309"/>
      <c r="T358" s="309"/>
      <c r="U358" s="309"/>
    </row>
    <row r="359" spans="1:21" ht="12.75">
      <c r="A359" s="333">
        <v>43921</v>
      </c>
      <c r="B359" s="627"/>
      <c r="C359" s="785"/>
      <c r="D359" s="786"/>
      <c r="E359" s="858"/>
      <c r="F359" s="781"/>
      <c r="G359" s="1508"/>
      <c r="H359" s="1526"/>
      <c r="I359" s="1501" t="str">
        <f t="shared" si="7"/>
        <v/>
      </c>
      <c r="J359" s="1501" t="str">
        <f t="shared" si="6"/>
        <v/>
      </c>
      <c r="K359" s="261"/>
      <c r="L359" s="309"/>
      <c r="M359" s="309"/>
      <c r="N359" s="309"/>
      <c r="O359" s="309"/>
      <c r="P359" s="309"/>
      <c r="Q359" s="309"/>
      <c r="R359" s="309"/>
      <c r="S359" s="309"/>
      <c r="T359" s="309"/>
      <c r="U359" s="309"/>
    </row>
    <row r="360" spans="1:21" ht="12.75">
      <c r="A360" s="273" t="s">
        <v>820</v>
      </c>
      <c r="B360" s="627"/>
      <c r="C360" s="785"/>
      <c r="D360" s="786"/>
      <c r="E360" s="858"/>
      <c r="F360" s="781"/>
      <c r="G360" s="1508"/>
      <c r="H360" s="1526"/>
      <c r="I360" s="1501" t="str">
        <f t="shared" si="7"/>
        <v/>
      </c>
      <c r="J360" s="1501" t="str">
        <f t="shared" si="6"/>
        <v/>
      </c>
      <c r="K360" s="261"/>
      <c r="L360" s="309"/>
      <c r="M360" s="309"/>
      <c r="N360" s="309"/>
      <c r="O360" s="309"/>
      <c r="P360" s="309"/>
      <c r="Q360" s="309"/>
      <c r="R360" s="309"/>
      <c r="S360" s="309"/>
      <c r="T360" s="309"/>
      <c r="U360" s="309"/>
    </row>
    <row r="361" spans="1:21" ht="12.75">
      <c r="A361" s="337" t="s">
        <v>623</v>
      </c>
      <c r="B361" s="625">
        <v>20</v>
      </c>
      <c r="C361" s="623">
        <v>32.39</v>
      </c>
      <c r="D361" s="792">
        <v>0</v>
      </c>
      <c r="E361" s="624">
        <f>B361*C361</f>
        <v>647.79999999999995</v>
      </c>
      <c r="F361" s="546" t="s">
        <v>624</v>
      </c>
      <c r="G361" s="1509">
        <f>E466/2</f>
        <v>1279.8</v>
      </c>
      <c r="H361" s="1501">
        <v>20</v>
      </c>
      <c r="I361" s="1501" t="str">
        <f t="shared" si="7"/>
        <v/>
      </c>
      <c r="J361" s="1501" t="str">
        <f t="shared" si="6"/>
        <v/>
      </c>
      <c r="K361" s="261"/>
      <c r="L361" s="309"/>
      <c r="M361" s="309"/>
      <c r="N361" s="309"/>
      <c r="O361" s="309"/>
      <c r="P361" s="309"/>
      <c r="Q361" s="309"/>
      <c r="R361" s="309"/>
      <c r="S361" s="309"/>
      <c r="T361" s="309"/>
      <c r="U361" s="309"/>
    </row>
    <row r="362" spans="1:21" ht="12.75">
      <c r="A362" s="273"/>
      <c r="B362" s="627"/>
      <c r="C362" s="785"/>
      <c r="D362" s="786"/>
      <c r="E362" s="858"/>
      <c r="F362" s="781"/>
      <c r="G362" s="1507"/>
      <c r="H362" s="1526"/>
      <c r="I362" s="1501" t="str">
        <f t="shared" si="7"/>
        <v/>
      </c>
      <c r="J362" s="1501" t="str">
        <f t="shared" si="6"/>
        <v/>
      </c>
      <c r="K362" s="261"/>
      <c r="L362" s="309"/>
      <c r="M362" s="309"/>
      <c r="N362" s="309"/>
      <c r="O362" s="309"/>
      <c r="P362" s="309"/>
      <c r="Q362" s="309"/>
      <c r="R362" s="309"/>
      <c r="S362" s="309"/>
      <c r="T362" s="309"/>
      <c r="U362" s="309"/>
    </row>
    <row r="363" spans="1:21" ht="12.75">
      <c r="A363" s="333">
        <v>43896</v>
      </c>
      <c r="B363" s="627"/>
      <c r="C363" s="785"/>
      <c r="D363" s="786"/>
      <c r="E363" s="858"/>
      <c r="F363" s="781"/>
      <c r="G363" s="1507"/>
      <c r="H363" s="1526"/>
      <c r="I363" s="1501" t="str">
        <f t="shared" si="7"/>
        <v/>
      </c>
      <c r="J363" s="1501" t="str">
        <f t="shared" si="6"/>
        <v>HRZN</v>
      </c>
      <c r="K363" s="261"/>
      <c r="L363" s="309"/>
      <c r="M363" s="309"/>
      <c r="N363" s="309"/>
      <c r="O363" s="309"/>
      <c r="P363" s="309"/>
      <c r="Q363" s="309"/>
      <c r="R363" s="309"/>
      <c r="S363" s="309"/>
      <c r="T363" s="309"/>
      <c r="U363" s="309"/>
    </row>
    <row r="364" spans="1:21" ht="12.75">
      <c r="A364" s="273" t="s">
        <v>824</v>
      </c>
      <c r="B364" s="627"/>
      <c r="C364" s="785"/>
      <c r="D364" s="786"/>
      <c r="E364" s="858"/>
      <c r="F364" s="781"/>
      <c r="G364" s="1507"/>
      <c r="H364" s="1526"/>
      <c r="I364" s="1501" t="str">
        <f t="shared" si="7"/>
        <v/>
      </c>
      <c r="J364" s="1501" t="str">
        <f t="shared" si="6"/>
        <v/>
      </c>
      <c r="K364" s="261"/>
      <c r="L364" s="309"/>
      <c r="M364" s="309"/>
      <c r="N364" s="309"/>
      <c r="O364" s="309"/>
      <c r="P364" s="309"/>
      <c r="Q364" s="309"/>
      <c r="R364" s="309"/>
      <c r="S364" s="309"/>
      <c r="T364" s="309"/>
      <c r="U364" s="309"/>
    </row>
    <row r="365" spans="1:21" ht="12.75">
      <c r="A365" s="337" t="s">
        <v>654</v>
      </c>
      <c r="B365" s="625">
        <v>200</v>
      </c>
      <c r="C365" s="623">
        <v>12.5</v>
      </c>
      <c r="D365" s="792">
        <v>0</v>
      </c>
      <c r="E365" s="624">
        <f>B365*C365</f>
        <v>2500</v>
      </c>
      <c r="F365" s="546" t="s">
        <v>655</v>
      </c>
      <c r="G365" s="1507"/>
      <c r="H365" s="1526"/>
      <c r="I365" s="1501" t="str">
        <f t="shared" si="7"/>
        <v>HRZN</v>
      </c>
      <c r="J365" s="1501" t="str">
        <f t="shared" si="6"/>
        <v/>
      </c>
      <c r="K365" s="261"/>
      <c r="L365" s="309"/>
      <c r="M365" s="309"/>
      <c r="N365" s="309"/>
      <c r="O365" s="309"/>
      <c r="P365" s="309"/>
      <c r="Q365" s="309"/>
      <c r="R365" s="309"/>
      <c r="S365" s="309"/>
      <c r="T365" s="309"/>
      <c r="U365" s="309"/>
    </row>
    <row r="366" spans="1:21" ht="12.75">
      <c r="A366" s="273"/>
      <c r="B366" s="627"/>
      <c r="C366" s="785"/>
      <c r="D366" s="786"/>
      <c r="E366" s="858"/>
      <c r="F366" s="781"/>
      <c r="G366" s="1507"/>
      <c r="H366" s="1526"/>
      <c r="I366" s="1501" t="str">
        <f t="shared" si="7"/>
        <v/>
      </c>
      <c r="J366" s="1501" t="str">
        <f t="shared" si="6"/>
        <v/>
      </c>
      <c r="K366" s="261"/>
      <c r="L366" s="309"/>
      <c r="M366" s="309"/>
      <c r="N366" s="309"/>
      <c r="O366" s="309"/>
      <c r="P366" s="309"/>
      <c r="Q366" s="309"/>
      <c r="R366" s="309"/>
      <c r="S366" s="309"/>
      <c r="T366" s="309"/>
      <c r="U366" s="309"/>
    </row>
    <row r="367" spans="1:21" ht="12.75">
      <c r="A367" s="333">
        <v>43896</v>
      </c>
      <c r="B367" s="627"/>
      <c r="C367" s="785"/>
      <c r="D367" s="786"/>
      <c r="E367" s="858"/>
      <c r="F367" s="781"/>
      <c r="G367" s="1507"/>
      <c r="H367" s="1526"/>
      <c r="I367" s="1501" t="str">
        <f t="shared" si="7"/>
        <v/>
      </c>
      <c r="J367" s="1501" t="str">
        <f t="shared" si="6"/>
        <v>TLT</v>
      </c>
      <c r="K367" s="261"/>
      <c r="L367" s="309"/>
      <c r="M367" s="309"/>
      <c r="N367" s="309"/>
      <c r="O367" s="309"/>
      <c r="P367" s="309"/>
      <c r="Q367" s="309"/>
      <c r="R367" s="309"/>
      <c r="S367" s="309"/>
      <c r="T367" s="309"/>
      <c r="U367" s="309"/>
    </row>
    <row r="368" spans="1:21" ht="12.75">
      <c r="A368" s="273" t="s">
        <v>824</v>
      </c>
      <c r="B368" s="627"/>
      <c r="C368" s="785"/>
      <c r="D368" s="786"/>
      <c r="E368" s="858"/>
      <c r="F368" s="781"/>
      <c r="G368" s="1507"/>
      <c r="H368" s="1526"/>
      <c r="I368" s="1501" t="str">
        <f t="shared" si="7"/>
        <v/>
      </c>
      <c r="J368" s="1501" t="str">
        <f t="shared" si="6"/>
        <v/>
      </c>
      <c r="K368" s="261"/>
      <c r="L368" s="309"/>
      <c r="M368" s="309"/>
      <c r="N368" s="309"/>
      <c r="O368" s="309"/>
      <c r="P368" s="309"/>
      <c r="Q368" s="309"/>
      <c r="R368" s="309"/>
      <c r="S368" s="309"/>
      <c r="T368" s="309"/>
      <c r="U368" s="309"/>
    </row>
    <row r="369" spans="1:21" ht="12.75">
      <c r="A369" s="337" t="s">
        <v>662</v>
      </c>
      <c r="B369" s="625">
        <v>30</v>
      </c>
      <c r="C369" s="623">
        <v>167.34</v>
      </c>
      <c r="D369" s="792">
        <v>0</v>
      </c>
      <c r="E369" s="624">
        <f>B369*C369</f>
        <v>5020.2</v>
      </c>
      <c r="F369" s="546" t="s">
        <v>431</v>
      </c>
      <c r="G369" s="1507"/>
      <c r="H369" s="1526"/>
      <c r="I369" s="1501" t="str">
        <f t="shared" si="7"/>
        <v>TLT</v>
      </c>
      <c r="J369" s="1501" t="str">
        <f t="shared" si="6"/>
        <v/>
      </c>
      <c r="K369" s="261"/>
      <c r="L369" s="309"/>
      <c r="M369" s="309"/>
      <c r="N369" s="309"/>
      <c r="O369" s="309"/>
      <c r="P369" s="309"/>
      <c r="Q369" s="309"/>
      <c r="R369" s="309"/>
      <c r="S369" s="309"/>
      <c r="T369" s="309"/>
      <c r="U369" s="309"/>
    </row>
    <row r="370" spans="1:21" ht="12.75">
      <c r="A370" s="273"/>
      <c r="B370" s="627"/>
      <c r="C370" s="785"/>
      <c r="D370" s="786"/>
      <c r="E370" s="858"/>
      <c r="F370" s="781"/>
      <c r="G370" s="1507"/>
      <c r="H370" s="1526"/>
      <c r="I370" s="1501" t="str">
        <f t="shared" si="7"/>
        <v/>
      </c>
      <c r="J370" s="1501" t="str">
        <f t="shared" si="6"/>
        <v/>
      </c>
      <c r="K370" s="261"/>
      <c r="L370" s="309"/>
      <c r="M370" s="309"/>
      <c r="N370" s="309"/>
      <c r="O370" s="309"/>
      <c r="P370" s="309"/>
      <c r="Q370" s="309"/>
      <c r="R370" s="309"/>
      <c r="S370" s="309"/>
      <c r="T370" s="309"/>
      <c r="U370" s="309"/>
    </row>
    <row r="371" spans="1:21" ht="12.75">
      <c r="A371" s="333">
        <v>43896</v>
      </c>
      <c r="B371" s="627"/>
      <c r="C371" s="785"/>
      <c r="D371" s="786"/>
      <c r="E371" s="858"/>
      <c r="F371" s="781"/>
      <c r="G371" s="1507"/>
      <c r="H371" s="1526"/>
      <c r="I371" s="1501" t="str">
        <f t="shared" si="7"/>
        <v/>
      </c>
      <c r="J371" s="1501" t="str">
        <f t="shared" si="6"/>
        <v/>
      </c>
      <c r="K371" s="261"/>
      <c r="L371" s="309"/>
      <c r="M371" s="309"/>
      <c r="N371" s="309"/>
      <c r="O371" s="309"/>
      <c r="P371" s="309"/>
      <c r="Q371" s="309"/>
      <c r="R371" s="309"/>
      <c r="S371" s="309"/>
      <c r="T371" s="309"/>
      <c r="U371" s="309"/>
    </row>
    <row r="372" spans="1:21" ht="12.75">
      <c r="A372" s="273" t="s">
        <v>820</v>
      </c>
      <c r="B372" s="627"/>
      <c r="C372" s="785"/>
      <c r="D372" s="786"/>
      <c r="E372" s="858"/>
      <c r="F372" s="781"/>
      <c r="G372" s="1507"/>
      <c r="H372" s="1526"/>
      <c r="I372" s="1501" t="str">
        <f t="shared" si="7"/>
        <v/>
      </c>
      <c r="J372" s="1501" t="str">
        <f t="shared" si="6"/>
        <v/>
      </c>
      <c r="K372" s="261"/>
      <c r="L372" s="309"/>
      <c r="M372" s="309"/>
      <c r="N372" s="309"/>
      <c r="O372" s="309"/>
      <c r="P372" s="309"/>
      <c r="Q372" s="309"/>
      <c r="R372" s="309"/>
      <c r="S372" s="309"/>
      <c r="T372" s="309"/>
      <c r="U372" s="309"/>
    </row>
    <row r="373" spans="1:21" ht="12.75">
      <c r="A373" s="337" t="s">
        <v>281</v>
      </c>
      <c r="B373" s="625">
        <v>120</v>
      </c>
      <c r="C373" s="623">
        <v>38</v>
      </c>
      <c r="D373" s="792">
        <v>0</v>
      </c>
      <c r="E373" s="624">
        <f>B373*C373</f>
        <v>4560</v>
      </c>
      <c r="F373" s="546" t="s">
        <v>152</v>
      </c>
      <c r="G373" s="1507"/>
      <c r="H373" s="1526"/>
      <c r="I373" s="1501" t="str">
        <f t="shared" si="7"/>
        <v/>
      </c>
      <c r="J373" s="1501" t="str">
        <f t="shared" si="6"/>
        <v/>
      </c>
      <c r="K373" s="261"/>
      <c r="L373" s="309"/>
      <c r="M373" s="309"/>
      <c r="N373" s="309"/>
      <c r="O373" s="309"/>
      <c r="P373" s="309"/>
      <c r="Q373" s="309"/>
      <c r="R373" s="309"/>
      <c r="S373" s="309"/>
      <c r="T373" s="309"/>
      <c r="U373" s="309"/>
    </row>
    <row r="374" spans="1:21" ht="12.75">
      <c r="A374" s="273"/>
      <c r="B374" s="627"/>
      <c r="C374" s="785"/>
      <c r="D374" s="786"/>
      <c r="E374" s="858"/>
      <c r="F374" s="781"/>
      <c r="G374" s="1507"/>
      <c r="H374" s="1526"/>
      <c r="I374" s="1501" t="str">
        <f t="shared" si="7"/>
        <v/>
      </c>
      <c r="J374" s="1501" t="str">
        <f t="shared" si="6"/>
        <v/>
      </c>
      <c r="K374" s="261"/>
      <c r="L374" s="309"/>
      <c r="M374" s="309"/>
      <c r="N374" s="309"/>
      <c r="O374" s="309"/>
      <c r="P374" s="309"/>
      <c r="Q374" s="309"/>
      <c r="R374" s="309"/>
      <c r="S374" s="309"/>
      <c r="T374" s="309"/>
      <c r="U374" s="309"/>
    </row>
    <row r="375" spans="1:21" ht="12.75">
      <c r="A375" s="333">
        <v>43888</v>
      </c>
      <c r="B375" s="627"/>
      <c r="C375" s="785"/>
      <c r="D375" s="786"/>
      <c r="E375" s="858"/>
      <c r="F375" s="781"/>
      <c r="G375" s="1507"/>
      <c r="H375" s="1526"/>
      <c r="I375" s="1501" t="str">
        <f t="shared" si="7"/>
        <v/>
      </c>
      <c r="J375" s="1501" t="str">
        <f t="shared" si="6"/>
        <v/>
      </c>
      <c r="K375" s="261"/>
      <c r="L375" s="309"/>
      <c r="M375" s="309"/>
      <c r="N375" s="309"/>
      <c r="O375" s="309"/>
      <c r="P375" s="309"/>
      <c r="Q375" s="309"/>
      <c r="R375" s="309"/>
      <c r="S375" s="309"/>
      <c r="T375" s="309"/>
      <c r="U375" s="309"/>
    </row>
    <row r="376" spans="1:21" ht="12.75">
      <c r="A376" s="273" t="s">
        <v>820</v>
      </c>
      <c r="B376" s="627"/>
      <c r="C376" s="785"/>
      <c r="D376" s="786"/>
      <c r="E376" s="858"/>
      <c r="F376" s="781"/>
      <c r="G376" s="1507"/>
      <c r="H376" s="1526"/>
      <c r="I376" s="1501" t="str">
        <f t="shared" si="7"/>
        <v/>
      </c>
      <c r="J376" s="1501" t="str">
        <f t="shared" ref="J376:J390" si="8">IF(F378="","",IF(OR(A376="Sell",A377="Sell"),"",F378))</f>
        <v/>
      </c>
      <c r="K376" s="261"/>
      <c r="L376" s="309"/>
      <c r="M376" s="309"/>
      <c r="N376" s="309"/>
      <c r="O376" s="309"/>
      <c r="P376" s="309"/>
      <c r="Q376" s="309"/>
      <c r="R376" s="309"/>
      <c r="S376" s="309"/>
      <c r="T376" s="309"/>
      <c r="U376" s="309"/>
    </row>
    <row r="377" spans="1:21" ht="12.75">
      <c r="A377" s="337" t="s">
        <v>848</v>
      </c>
      <c r="B377" s="625">
        <v>35</v>
      </c>
      <c r="C377" s="623">
        <v>33.3172</v>
      </c>
      <c r="D377" s="792">
        <v>0</v>
      </c>
      <c r="E377" s="624">
        <f>B377*C377</f>
        <v>1166.1020000000001</v>
      </c>
      <c r="F377" s="546" t="s">
        <v>626</v>
      </c>
      <c r="G377" s="1507"/>
      <c r="H377" s="1526"/>
      <c r="I377" s="1501" t="str">
        <f t="shared" si="7"/>
        <v/>
      </c>
      <c r="J377" s="1501" t="str">
        <f t="shared" si="8"/>
        <v/>
      </c>
      <c r="K377" s="261"/>
      <c r="L377" s="309"/>
      <c r="M377" s="309"/>
      <c r="N377" s="309"/>
      <c r="O377" s="309"/>
      <c r="P377" s="309"/>
      <c r="Q377" s="309"/>
      <c r="R377" s="309"/>
      <c r="S377" s="309"/>
      <c r="T377" s="309"/>
      <c r="U377" s="309"/>
    </row>
    <row r="378" spans="1:21" ht="12.75">
      <c r="A378" s="273"/>
      <c r="B378" s="627"/>
      <c r="C378" s="785"/>
      <c r="D378" s="786"/>
      <c r="E378" s="858"/>
      <c r="F378" s="781"/>
      <c r="G378" s="1507"/>
      <c r="H378" s="1526"/>
      <c r="I378" s="1501" t="str">
        <f t="shared" ref="I378:I392" si="9">IF(F378="","",IF(OR(A377="Sell",A378="Sell"),"",F378))</f>
        <v/>
      </c>
      <c r="J378" s="1501" t="str">
        <f t="shared" si="8"/>
        <v/>
      </c>
      <c r="K378" s="261"/>
      <c r="L378" s="309"/>
      <c r="M378" s="309"/>
      <c r="N378" s="309"/>
      <c r="O378" s="309"/>
      <c r="P378" s="309"/>
      <c r="Q378" s="309"/>
      <c r="R378" s="309"/>
      <c r="S378" s="309"/>
      <c r="T378" s="309"/>
      <c r="U378" s="309"/>
    </row>
    <row r="379" spans="1:21" ht="12.75">
      <c r="A379" s="333">
        <v>43886</v>
      </c>
      <c r="B379" s="627"/>
      <c r="C379" s="785"/>
      <c r="D379" s="786"/>
      <c r="E379" s="858"/>
      <c r="F379" s="781"/>
      <c r="G379" s="1507"/>
      <c r="H379" s="1526"/>
      <c r="I379" s="1501" t="str">
        <f t="shared" si="9"/>
        <v/>
      </c>
      <c r="J379" s="1501" t="str">
        <f t="shared" si="8"/>
        <v>VTEB</v>
      </c>
      <c r="K379" s="261"/>
      <c r="L379" s="309"/>
      <c r="M379" s="309"/>
      <c r="N379" s="309"/>
      <c r="O379" s="309"/>
      <c r="P379" s="309"/>
      <c r="Q379" s="309"/>
      <c r="R379" s="309"/>
      <c r="S379" s="309"/>
      <c r="T379" s="309"/>
      <c r="U379" s="309"/>
    </row>
    <row r="380" spans="1:21" ht="12.75">
      <c r="A380" s="273" t="s">
        <v>824</v>
      </c>
      <c r="B380" s="627"/>
      <c r="C380" s="785"/>
      <c r="D380" s="786"/>
      <c r="E380" s="858"/>
      <c r="F380" s="781"/>
      <c r="G380" s="1507"/>
      <c r="H380" s="1526"/>
      <c r="I380" s="1501" t="str">
        <f t="shared" si="9"/>
        <v/>
      </c>
      <c r="J380" s="1501" t="str">
        <f t="shared" si="8"/>
        <v/>
      </c>
      <c r="K380" s="261"/>
      <c r="L380" s="309"/>
      <c r="M380" s="309"/>
      <c r="N380" s="309"/>
      <c r="O380" s="309"/>
      <c r="P380" s="309"/>
      <c r="Q380" s="309"/>
      <c r="R380" s="309"/>
      <c r="S380" s="309"/>
      <c r="T380" s="309"/>
      <c r="U380" s="309"/>
    </row>
    <row r="381" spans="1:21" ht="12.75">
      <c r="A381" s="337" t="s">
        <v>849</v>
      </c>
      <c r="B381" s="625">
        <v>50</v>
      </c>
      <c r="C381" s="623">
        <v>54.945</v>
      </c>
      <c r="D381" s="792">
        <v>0</v>
      </c>
      <c r="E381" s="624">
        <f>B381*C381</f>
        <v>2747.25</v>
      </c>
      <c r="F381" s="546" t="s">
        <v>666</v>
      </c>
      <c r="G381" s="1507"/>
      <c r="H381" s="1526"/>
      <c r="I381" s="1501" t="str">
        <f t="shared" si="9"/>
        <v>VTEB</v>
      </c>
      <c r="J381" s="1501" t="str">
        <f t="shared" si="8"/>
        <v/>
      </c>
      <c r="K381" s="261"/>
      <c r="L381" s="309"/>
      <c r="M381" s="309"/>
      <c r="N381" s="309"/>
      <c r="O381" s="309"/>
      <c r="P381" s="309"/>
      <c r="Q381" s="309"/>
      <c r="R381" s="309"/>
      <c r="S381" s="309"/>
      <c r="T381" s="309"/>
      <c r="U381" s="309"/>
    </row>
    <row r="382" spans="1:21" ht="12.75">
      <c r="A382" s="273"/>
      <c r="B382" s="627"/>
      <c r="C382" s="785"/>
      <c r="D382" s="786"/>
      <c r="E382" s="858"/>
      <c r="F382" s="781"/>
      <c r="G382" s="1507"/>
      <c r="H382" s="1526"/>
      <c r="I382" s="1501" t="str">
        <f t="shared" si="9"/>
        <v/>
      </c>
      <c r="J382" s="1501" t="str">
        <f t="shared" si="8"/>
        <v/>
      </c>
      <c r="K382" s="261"/>
      <c r="L382" s="309"/>
      <c r="M382" s="309"/>
      <c r="N382" s="309"/>
      <c r="O382" s="309"/>
      <c r="P382" s="309"/>
      <c r="Q382" s="309"/>
      <c r="R382" s="309"/>
      <c r="S382" s="309"/>
      <c r="T382" s="309"/>
      <c r="U382" s="309"/>
    </row>
    <row r="383" spans="1:21" ht="12.75">
      <c r="A383" s="333">
        <v>43879</v>
      </c>
      <c r="B383" s="627"/>
      <c r="C383" s="785"/>
      <c r="D383" s="786"/>
      <c r="E383" s="858"/>
      <c r="F383" s="781"/>
      <c r="G383" s="1507"/>
      <c r="H383" s="1526"/>
      <c r="I383" s="1501" t="str">
        <f t="shared" si="9"/>
        <v/>
      </c>
      <c r="J383" s="1501" t="str">
        <f t="shared" si="8"/>
        <v>PENN</v>
      </c>
      <c r="K383" s="261"/>
      <c r="L383" s="309"/>
      <c r="M383" s="309"/>
      <c r="N383" s="309"/>
      <c r="O383" s="309"/>
      <c r="P383" s="309"/>
      <c r="Q383" s="309"/>
      <c r="R383" s="309"/>
      <c r="S383" s="309"/>
      <c r="T383" s="309"/>
      <c r="U383" s="309"/>
    </row>
    <row r="384" spans="1:21" ht="12.75">
      <c r="A384" s="273" t="s">
        <v>824</v>
      </c>
      <c r="B384" s="627"/>
      <c r="C384" s="785"/>
      <c r="D384" s="786"/>
      <c r="E384" s="858"/>
      <c r="F384" s="781"/>
      <c r="G384" s="1507"/>
      <c r="H384" s="1526"/>
      <c r="I384" s="1501" t="str">
        <f t="shared" si="9"/>
        <v/>
      </c>
      <c r="J384" s="1501" t="str">
        <f t="shared" si="8"/>
        <v/>
      </c>
      <c r="K384" s="261"/>
      <c r="L384" s="309"/>
      <c r="M384" s="309"/>
      <c r="N384" s="309"/>
      <c r="O384" s="309"/>
      <c r="P384" s="309"/>
      <c r="Q384" s="309"/>
      <c r="R384" s="309"/>
      <c r="S384" s="309"/>
      <c r="T384" s="309"/>
      <c r="U384" s="309"/>
    </row>
    <row r="385" spans="1:21" ht="12.75">
      <c r="A385" s="337" t="s">
        <v>657</v>
      </c>
      <c r="B385" s="625">
        <v>50</v>
      </c>
      <c r="C385" s="623">
        <v>36.843299999999999</v>
      </c>
      <c r="D385" s="792">
        <v>0</v>
      </c>
      <c r="E385" s="624">
        <f>C385*B385</f>
        <v>1842.165</v>
      </c>
      <c r="F385" s="546" t="s">
        <v>163</v>
      </c>
      <c r="G385" s="1507"/>
      <c r="H385" s="1526"/>
      <c r="I385" s="1501" t="str">
        <f t="shared" si="9"/>
        <v>PENN</v>
      </c>
      <c r="J385" s="1501" t="str">
        <f t="shared" si="8"/>
        <v/>
      </c>
      <c r="K385" s="261"/>
      <c r="L385" s="309"/>
      <c r="M385" s="309"/>
      <c r="N385" s="309"/>
      <c r="O385" s="309"/>
      <c r="P385" s="309"/>
      <c r="Q385" s="309"/>
      <c r="R385" s="309"/>
      <c r="S385" s="309"/>
      <c r="T385" s="309"/>
      <c r="U385" s="309"/>
    </row>
    <row r="386" spans="1:21" ht="12.75">
      <c r="A386" s="337"/>
      <c r="B386" s="625"/>
      <c r="C386" s="623"/>
      <c r="D386" s="792"/>
      <c r="E386" s="624"/>
      <c r="F386" s="546"/>
      <c r="G386" s="1507"/>
      <c r="H386" s="1526"/>
      <c r="I386" s="1501" t="str">
        <f t="shared" si="9"/>
        <v/>
      </c>
      <c r="J386" s="1501" t="str">
        <f t="shared" si="8"/>
        <v/>
      </c>
      <c r="K386" s="261"/>
      <c r="L386" s="309"/>
      <c r="M386" s="309"/>
      <c r="N386" s="309"/>
      <c r="O386" s="309"/>
      <c r="P386" s="309"/>
      <c r="Q386" s="309"/>
      <c r="R386" s="309"/>
      <c r="S386" s="309"/>
      <c r="T386" s="309"/>
      <c r="U386" s="309"/>
    </row>
    <row r="387" spans="1:21" ht="12.75">
      <c r="A387" s="333">
        <v>43859</v>
      </c>
      <c r="B387" s="625"/>
      <c r="C387" s="623"/>
      <c r="D387" s="792"/>
      <c r="E387" s="624"/>
      <c r="F387" s="546"/>
      <c r="G387" s="1507"/>
      <c r="H387" s="1526"/>
      <c r="I387" s="1501" t="str">
        <f t="shared" si="9"/>
        <v/>
      </c>
      <c r="J387" s="1501" t="str">
        <f t="shared" si="8"/>
        <v/>
      </c>
      <c r="K387" s="261"/>
      <c r="L387" s="309"/>
      <c r="M387" s="309"/>
      <c r="N387" s="309"/>
      <c r="O387" s="309"/>
      <c r="P387" s="309"/>
      <c r="Q387" s="309"/>
      <c r="R387" s="309"/>
      <c r="S387" s="309"/>
      <c r="T387" s="309"/>
      <c r="U387" s="309"/>
    </row>
    <row r="388" spans="1:21" ht="12.75">
      <c r="A388" s="273" t="s">
        <v>842</v>
      </c>
      <c r="B388" s="625"/>
      <c r="C388" s="623"/>
      <c r="D388" s="792"/>
      <c r="E388" s="624"/>
      <c r="F388" s="546"/>
      <c r="G388" s="1503"/>
      <c r="H388" s="1526"/>
      <c r="I388" s="1501" t="str">
        <f t="shared" si="9"/>
        <v/>
      </c>
      <c r="J388" s="1501" t="str">
        <f t="shared" si="8"/>
        <v/>
      </c>
      <c r="K388" s="261"/>
      <c r="L388" s="309"/>
      <c r="M388" s="309"/>
      <c r="N388" s="309"/>
      <c r="O388" s="309"/>
      <c r="P388" s="309"/>
      <c r="Q388" s="309"/>
      <c r="R388" s="309"/>
      <c r="S388" s="309"/>
      <c r="T388" s="309"/>
      <c r="U388" s="309"/>
    </row>
    <row r="389" spans="1:21" ht="12.75">
      <c r="A389" s="337" t="s">
        <v>850</v>
      </c>
      <c r="B389" s="625"/>
      <c r="C389" s="623"/>
      <c r="D389" s="792"/>
      <c r="E389" s="624">
        <v>5000</v>
      </c>
      <c r="F389" s="546"/>
      <c r="G389" s="1511"/>
      <c r="H389" s="1526"/>
      <c r="I389" s="1501" t="str">
        <f t="shared" si="9"/>
        <v/>
      </c>
      <c r="J389" s="1501" t="str">
        <f t="shared" si="8"/>
        <v/>
      </c>
      <c r="K389" s="261"/>
      <c r="L389" s="309"/>
      <c r="M389" s="309"/>
      <c r="N389" s="309"/>
      <c r="O389" s="309"/>
      <c r="P389" s="309"/>
      <c r="Q389" s="309"/>
      <c r="R389" s="309"/>
      <c r="S389" s="309"/>
      <c r="T389" s="309"/>
      <c r="U389" s="309"/>
    </row>
    <row r="390" spans="1:21" ht="12.75">
      <c r="A390" s="273"/>
      <c r="B390" s="627"/>
      <c r="C390" s="785"/>
      <c r="D390" s="786"/>
      <c r="E390" s="858"/>
      <c r="F390" s="781"/>
      <c r="G390" s="1507"/>
      <c r="H390" s="1526"/>
      <c r="I390" s="1501" t="str">
        <f t="shared" si="9"/>
        <v/>
      </c>
      <c r="J390" s="1501" t="str">
        <f t="shared" si="8"/>
        <v/>
      </c>
      <c r="K390" s="261"/>
      <c r="L390" s="309"/>
      <c r="M390" s="309"/>
      <c r="N390" s="309"/>
      <c r="O390" s="309"/>
      <c r="P390" s="309"/>
      <c r="Q390" s="309"/>
      <c r="R390" s="309"/>
      <c r="S390" s="309"/>
      <c r="T390" s="309"/>
      <c r="U390" s="309"/>
    </row>
    <row r="391" spans="1:21" ht="12.75">
      <c r="A391" s="333">
        <v>43804</v>
      </c>
      <c r="B391" s="627"/>
      <c r="C391" s="785"/>
      <c r="D391" s="786"/>
      <c r="E391" s="858"/>
      <c r="F391" s="781"/>
      <c r="G391" s="1507"/>
      <c r="H391" s="1526"/>
      <c r="I391" s="1501" t="str">
        <f t="shared" si="9"/>
        <v/>
      </c>
      <c r="J391" s="1501"/>
      <c r="K391" s="261"/>
      <c r="L391" s="309"/>
      <c r="M391" s="309"/>
      <c r="N391" s="309"/>
      <c r="O391" s="309"/>
      <c r="P391" s="309"/>
      <c r="Q391" s="309"/>
      <c r="R391" s="309"/>
      <c r="S391" s="309"/>
      <c r="T391" s="309"/>
      <c r="U391" s="309"/>
    </row>
    <row r="392" spans="1:21" ht="12.75">
      <c r="A392" s="273" t="s">
        <v>824</v>
      </c>
      <c r="B392" s="627"/>
      <c r="C392" s="785"/>
      <c r="D392" s="786"/>
      <c r="E392" s="858"/>
      <c r="F392" s="781"/>
      <c r="G392" s="1507"/>
      <c r="H392" s="1526"/>
      <c r="I392" s="1501" t="str">
        <f t="shared" si="9"/>
        <v/>
      </c>
      <c r="J392" s="1501" t="str">
        <f t="shared" ref="J392:J403" si="10">IF(F394="","",IF(OR(A392="Sell",A393="Sell"),"",F394))</f>
        <v/>
      </c>
      <c r="K392" s="261"/>
      <c r="L392" s="309"/>
      <c r="M392" s="309"/>
      <c r="N392" s="309"/>
      <c r="O392" s="309"/>
      <c r="P392" s="309"/>
      <c r="Q392" s="309"/>
      <c r="R392" s="309"/>
      <c r="S392" s="309"/>
      <c r="T392" s="309"/>
      <c r="U392" s="309"/>
    </row>
    <row r="393" spans="1:21" ht="12.75">
      <c r="A393" s="337" t="s">
        <v>647</v>
      </c>
      <c r="B393" s="625">
        <v>22</v>
      </c>
      <c r="C393" s="623">
        <v>38.215000000000003</v>
      </c>
      <c r="D393" s="792">
        <v>0</v>
      </c>
      <c r="E393" s="624">
        <f>B393*C393</f>
        <v>840.73</v>
      </c>
      <c r="F393" s="546" t="s">
        <v>448</v>
      </c>
      <c r="G393" s="1507"/>
      <c r="H393" s="1526"/>
      <c r="I393" s="1501"/>
      <c r="J393" s="1501" t="str">
        <f t="shared" si="10"/>
        <v/>
      </c>
      <c r="K393" s="261"/>
      <c r="L393" s="309"/>
      <c r="M393" s="309"/>
      <c r="N393" s="309"/>
      <c r="O393" s="309"/>
      <c r="P393" s="309"/>
      <c r="Q393" s="309"/>
      <c r="R393" s="309"/>
      <c r="S393" s="309"/>
      <c r="T393" s="309"/>
      <c r="U393" s="309"/>
    </row>
    <row r="394" spans="1:21" ht="12.75">
      <c r="A394" s="273"/>
      <c r="B394" s="627"/>
      <c r="C394" s="785"/>
      <c r="D394" s="786"/>
      <c r="E394" s="858"/>
      <c r="F394" s="781"/>
      <c r="G394" s="1507"/>
      <c r="H394" s="1526"/>
      <c r="I394" s="1501" t="str">
        <f t="shared" ref="I394:I425" si="11">IF(F394="","",IF(OR(A393="Sell",A394="Sell"),"",F394))</f>
        <v/>
      </c>
      <c r="J394" s="1501" t="str">
        <f t="shared" si="10"/>
        <v/>
      </c>
      <c r="K394" s="261"/>
      <c r="L394" s="309"/>
      <c r="M394" s="309"/>
      <c r="N394" s="309"/>
      <c r="O394" s="309"/>
      <c r="P394" s="309"/>
      <c r="Q394" s="309"/>
      <c r="R394" s="309"/>
      <c r="S394" s="309"/>
      <c r="T394" s="309"/>
      <c r="U394" s="309"/>
    </row>
    <row r="395" spans="1:21" ht="12.75">
      <c r="A395" s="333">
        <v>43802</v>
      </c>
      <c r="B395" s="627"/>
      <c r="C395" s="785"/>
      <c r="D395" s="786"/>
      <c r="E395" s="858"/>
      <c r="F395" s="781"/>
      <c r="G395" s="1507"/>
      <c r="H395" s="1526"/>
      <c r="I395" s="1501" t="str">
        <f t="shared" si="11"/>
        <v/>
      </c>
      <c r="J395" s="1501" t="str">
        <f t="shared" si="10"/>
        <v>SPAB</v>
      </c>
      <c r="K395" s="261"/>
      <c r="L395" s="309"/>
      <c r="M395" s="309"/>
      <c r="N395" s="309"/>
      <c r="O395" s="309"/>
      <c r="P395" s="309"/>
      <c r="Q395" s="309"/>
      <c r="R395" s="309"/>
      <c r="S395" s="309"/>
      <c r="T395" s="309"/>
      <c r="U395" s="309"/>
    </row>
    <row r="396" spans="1:21" ht="12.75">
      <c r="A396" s="273" t="s">
        <v>824</v>
      </c>
      <c r="B396" s="627"/>
      <c r="C396" s="785"/>
      <c r="D396" s="786"/>
      <c r="E396" s="858"/>
      <c r="F396" s="781"/>
      <c r="G396" s="1507"/>
      <c r="H396" s="1526"/>
      <c r="I396" s="1501" t="str">
        <f t="shared" si="11"/>
        <v/>
      </c>
      <c r="J396" s="1501" t="str">
        <f t="shared" si="10"/>
        <v/>
      </c>
      <c r="K396" s="261"/>
      <c r="L396" s="309"/>
      <c r="M396" s="309"/>
      <c r="N396" s="309"/>
      <c r="O396" s="309"/>
      <c r="P396" s="309"/>
      <c r="Q396" s="309"/>
      <c r="R396" s="309"/>
      <c r="S396" s="309"/>
      <c r="T396" s="309"/>
      <c r="U396" s="309"/>
    </row>
    <row r="397" spans="1:21" ht="12.75">
      <c r="A397" s="337" t="s">
        <v>637</v>
      </c>
      <c r="B397" s="625">
        <v>200</v>
      </c>
      <c r="C397" s="623">
        <v>29.548100000000002</v>
      </c>
      <c r="D397" s="792">
        <v>0</v>
      </c>
      <c r="E397" s="624">
        <f>B397*C397</f>
        <v>5909.62</v>
      </c>
      <c r="F397" s="546" t="s">
        <v>638</v>
      </c>
      <c r="G397" s="1507"/>
      <c r="H397" s="1526"/>
      <c r="I397" s="1501" t="str">
        <f t="shared" si="11"/>
        <v>SPAB</v>
      </c>
      <c r="J397" s="1501" t="str">
        <f t="shared" si="10"/>
        <v/>
      </c>
      <c r="K397" s="261"/>
      <c r="L397" s="309"/>
      <c r="M397" s="309"/>
      <c r="N397" s="309"/>
      <c r="O397" s="309"/>
      <c r="P397" s="309"/>
      <c r="Q397" s="309"/>
      <c r="R397" s="309"/>
      <c r="S397" s="309"/>
      <c r="T397" s="309"/>
      <c r="U397" s="309"/>
    </row>
    <row r="398" spans="1:21" ht="12.75">
      <c r="A398" s="273"/>
      <c r="B398" s="627"/>
      <c r="C398" s="785"/>
      <c r="D398" s="786"/>
      <c r="E398" s="858"/>
      <c r="F398" s="781"/>
      <c r="H398" s="1526"/>
      <c r="I398" s="1501" t="str">
        <f t="shared" si="11"/>
        <v/>
      </c>
      <c r="J398" s="1501" t="str">
        <f t="shared" si="10"/>
        <v/>
      </c>
      <c r="K398" s="261"/>
      <c r="L398" s="309"/>
      <c r="M398" s="309"/>
      <c r="N398" s="309"/>
      <c r="O398" s="309"/>
      <c r="P398" s="309"/>
      <c r="Q398" s="309"/>
      <c r="R398" s="309"/>
      <c r="S398" s="309"/>
      <c r="T398" s="309"/>
      <c r="U398" s="309"/>
    </row>
    <row r="399" spans="1:21" ht="13.5" customHeight="1">
      <c r="A399" s="333">
        <v>43802</v>
      </c>
      <c r="B399" s="627"/>
      <c r="C399" s="785"/>
      <c r="D399" s="786"/>
      <c r="E399" s="858"/>
      <c r="F399" s="781"/>
      <c r="G399" s="1507"/>
      <c r="H399" s="1526"/>
      <c r="I399" s="1501" t="str">
        <f t="shared" si="11"/>
        <v/>
      </c>
      <c r="J399" s="1501" t="str">
        <f t="shared" si="10"/>
        <v>DIS</v>
      </c>
      <c r="K399" s="261"/>
      <c r="L399" s="309"/>
      <c r="M399" s="309"/>
      <c r="N399" s="309"/>
      <c r="O399" s="309"/>
      <c r="P399" s="309"/>
      <c r="Q399" s="309"/>
      <c r="R399" s="309"/>
      <c r="S399" s="309"/>
      <c r="T399" s="309"/>
      <c r="U399" s="309"/>
    </row>
    <row r="400" spans="1:21" ht="12.75">
      <c r="A400" s="273" t="s">
        <v>824</v>
      </c>
      <c r="B400" s="627"/>
      <c r="C400" s="785"/>
      <c r="D400" s="786"/>
      <c r="E400" s="858"/>
      <c r="F400" s="781"/>
      <c r="G400" s="1507"/>
      <c r="H400" s="1526"/>
      <c r="I400" s="1501" t="str">
        <f t="shared" si="11"/>
        <v/>
      </c>
      <c r="J400" s="1501" t="str">
        <f t="shared" si="10"/>
        <v/>
      </c>
      <c r="K400" s="261"/>
      <c r="L400" s="309"/>
      <c r="M400" s="309"/>
      <c r="N400" s="309"/>
      <c r="O400" s="309"/>
      <c r="P400" s="309"/>
      <c r="Q400" s="309"/>
      <c r="R400" s="309"/>
      <c r="S400" s="309"/>
      <c r="T400" s="309"/>
      <c r="U400" s="309"/>
    </row>
    <row r="401" spans="1:21" ht="12.75">
      <c r="A401" s="337" t="s">
        <v>846</v>
      </c>
      <c r="B401" s="625">
        <v>17</v>
      </c>
      <c r="C401" s="623">
        <v>148.83000000000001</v>
      </c>
      <c r="D401" s="792">
        <v>0</v>
      </c>
      <c r="E401" s="624">
        <f>B401*C401</f>
        <v>2530.11</v>
      </c>
      <c r="F401" s="546" t="s">
        <v>470</v>
      </c>
      <c r="G401" s="1510">
        <f>G651+E401</f>
        <v>5597.3831</v>
      </c>
      <c r="H401" s="1526"/>
      <c r="I401" s="1501" t="str">
        <f t="shared" si="11"/>
        <v>DIS</v>
      </c>
      <c r="J401" s="1501" t="str">
        <f t="shared" si="10"/>
        <v/>
      </c>
      <c r="K401" s="261"/>
      <c r="L401" s="309"/>
      <c r="M401" s="309"/>
      <c r="N401" s="309"/>
      <c r="O401" s="309"/>
      <c r="P401" s="309"/>
      <c r="Q401" s="309"/>
      <c r="R401" s="309"/>
      <c r="S401" s="309"/>
      <c r="T401" s="309"/>
      <c r="U401" s="309"/>
    </row>
    <row r="402" spans="1:21" ht="12.75">
      <c r="A402" s="273"/>
      <c r="B402" s="627"/>
      <c r="C402" s="785"/>
      <c r="D402" s="786"/>
      <c r="E402" s="858"/>
      <c r="F402" s="781"/>
      <c r="G402" s="1508" t="s">
        <v>851</v>
      </c>
      <c r="H402" s="1526"/>
      <c r="I402" s="1501" t="str">
        <f t="shared" si="11"/>
        <v/>
      </c>
      <c r="J402" s="1501" t="str">
        <f t="shared" si="10"/>
        <v/>
      </c>
      <c r="K402" s="261"/>
      <c r="L402" s="309"/>
      <c r="M402" s="309"/>
      <c r="N402" s="309"/>
      <c r="O402" s="309"/>
      <c r="P402" s="309"/>
      <c r="Q402" s="309"/>
      <c r="R402" s="309"/>
      <c r="S402" s="309"/>
      <c r="T402" s="309"/>
      <c r="U402" s="309"/>
    </row>
    <row r="403" spans="1:21" ht="12.75">
      <c r="A403" s="333">
        <v>43790</v>
      </c>
      <c r="B403" s="627"/>
      <c r="C403" s="785"/>
      <c r="D403" s="786"/>
      <c r="E403" s="858"/>
      <c r="F403" s="781"/>
      <c r="G403" s="1508" t="s">
        <v>852</v>
      </c>
      <c r="H403" s="1526"/>
      <c r="I403" s="1501" t="str">
        <f t="shared" si="11"/>
        <v/>
      </c>
      <c r="J403" s="1501" t="str">
        <f t="shared" si="10"/>
        <v>BMY</v>
      </c>
      <c r="K403" s="261"/>
      <c r="L403" s="309"/>
      <c r="M403" s="309"/>
      <c r="N403" s="309"/>
      <c r="O403" s="309"/>
      <c r="P403" s="309"/>
      <c r="Q403" s="309"/>
      <c r="R403" s="309"/>
      <c r="S403" s="309"/>
      <c r="T403" s="309"/>
      <c r="U403" s="309"/>
    </row>
    <row r="404" spans="1:21" ht="12.75">
      <c r="A404" s="590" t="s">
        <v>853</v>
      </c>
      <c r="B404" s="627"/>
      <c r="C404" s="785"/>
      <c r="D404" s="786"/>
      <c r="E404" s="858"/>
      <c r="F404" s="781"/>
      <c r="G404" s="1507"/>
      <c r="H404" s="1526"/>
      <c r="I404" s="1501" t="str">
        <f t="shared" si="11"/>
        <v/>
      </c>
      <c r="J404" s="1501" t="str">
        <f>IF(F406="","",IF(OR(A403="Sell",A406="Sell"),"",F406))</f>
        <v>CELG</v>
      </c>
      <c r="K404" s="261"/>
      <c r="L404" s="309"/>
      <c r="M404" s="309"/>
      <c r="N404" s="309"/>
      <c r="O404" s="309"/>
      <c r="P404" s="309"/>
      <c r="Q404" s="309"/>
      <c r="R404" s="309"/>
      <c r="S404" s="309"/>
      <c r="T404" s="309"/>
      <c r="U404" s="309"/>
    </row>
    <row r="405" spans="1:21" ht="12.75">
      <c r="A405" s="337" t="s">
        <v>621</v>
      </c>
      <c r="B405" s="625">
        <v>16</v>
      </c>
      <c r="C405" s="623">
        <v>55.9</v>
      </c>
      <c r="D405" s="792">
        <v>0</v>
      </c>
      <c r="E405" s="624">
        <f>C405*B405</f>
        <v>894.4</v>
      </c>
      <c r="F405" s="546" t="s">
        <v>622</v>
      </c>
      <c r="G405" s="1507"/>
      <c r="H405" s="1526"/>
      <c r="I405" s="1501" t="str">
        <f t="shared" si="11"/>
        <v>BMY</v>
      </c>
      <c r="J405" s="1501" t="str">
        <f t="shared" ref="J405:J436" si="12">IF(F407="","",IF(OR(A405="Sell",A406="Sell"),"",F407))</f>
        <v/>
      </c>
      <c r="K405" s="261"/>
      <c r="L405" s="309"/>
      <c r="M405" s="309"/>
      <c r="N405" s="309"/>
      <c r="O405" s="309"/>
      <c r="P405" s="309"/>
      <c r="Q405" s="309"/>
      <c r="R405" s="309"/>
      <c r="S405" s="309"/>
      <c r="T405" s="309"/>
      <c r="U405" s="309"/>
    </row>
    <row r="406" spans="1:21" ht="12.75">
      <c r="A406" s="337" t="s">
        <v>644</v>
      </c>
      <c r="B406" s="625">
        <v>16</v>
      </c>
      <c r="C406" s="623">
        <v>50</v>
      </c>
      <c r="D406" s="792">
        <v>38</v>
      </c>
      <c r="E406" s="624">
        <f>(C406*B406)-D406</f>
        <v>762</v>
      </c>
      <c r="F406" s="546" t="s">
        <v>645</v>
      </c>
      <c r="G406" s="1507"/>
      <c r="H406" s="1526"/>
      <c r="I406" s="1501" t="str">
        <f t="shared" si="11"/>
        <v>CELG</v>
      </c>
      <c r="J406" s="1501" t="str">
        <f t="shared" si="12"/>
        <v/>
      </c>
      <c r="K406" s="261"/>
      <c r="L406" s="309"/>
      <c r="M406" s="309"/>
      <c r="N406" s="309"/>
      <c r="O406" s="309"/>
      <c r="P406" s="309"/>
      <c r="Q406" s="309"/>
      <c r="R406" s="309"/>
      <c r="S406" s="309"/>
      <c r="T406" s="309"/>
      <c r="U406" s="309"/>
    </row>
    <row r="407" spans="1:21" ht="12.75">
      <c r="A407" s="273"/>
      <c r="B407" s="627"/>
      <c r="C407" s="785"/>
      <c r="D407" s="786"/>
      <c r="E407" s="858"/>
      <c r="F407" s="781"/>
      <c r="G407" s="1507"/>
      <c r="H407" s="1526"/>
      <c r="I407" s="1501" t="str">
        <f t="shared" si="11"/>
        <v/>
      </c>
      <c r="J407" s="1501" t="str">
        <f t="shared" si="12"/>
        <v/>
      </c>
      <c r="K407" s="261"/>
      <c r="L407" s="309"/>
      <c r="M407" s="309"/>
      <c r="N407" s="309"/>
      <c r="O407" s="309"/>
      <c r="P407" s="309"/>
      <c r="Q407" s="309"/>
      <c r="R407" s="309"/>
      <c r="S407" s="309"/>
      <c r="T407" s="309"/>
      <c r="U407" s="309"/>
    </row>
    <row r="408" spans="1:21" ht="12.75">
      <c r="A408" s="333">
        <v>43788</v>
      </c>
      <c r="B408" s="627"/>
      <c r="C408" s="785"/>
      <c r="D408" s="786"/>
      <c r="E408" s="858"/>
      <c r="F408" s="781"/>
      <c r="G408" s="1507"/>
      <c r="H408" s="1526"/>
      <c r="I408" s="1501" t="str">
        <f t="shared" si="11"/>
        <v/>
      </c>
      <c r="J408" s="1501" t="str">
        <f t="shared" si="12"/>
        <v>NVDA</v>
      </c>
      <c r="K408" s="261"/>
      <c r="L408" s="309"/>
      <c r="M408" s="309"/>
      <c r="N408" s="309"/>
      <c r="O408" s="309"/>
      <c r="P408" s="309"/>
      <c r="Q408" s="309"/>
      <c r="R408" s="309"/>
      <c r="S408" s="309"/>
      <c r="T408" s="309"/>
      <c r="U408" s="309"/>
    </row>
    <row r="409" spans="1:21" ht="12.75">
      <c r="A409" s="273" t="s">
        <v>824</v>
      </c>
      <c r="B409" s="627"/>
      <c r="C409" s="785"/>
      <c r="D409" s="786"/>
      <c r="E409" s="858"/>
      <c r="F409" s="781"/>
      <c r="G409" s="1507"/>
      <c r="H409" s="1526"/>
      <c r="I409" s="1501" t="str">
        <f t="shared" si="11"/>
        <v/>
      </c>
      <c r="J409" s="1501" t="str">
        <f t="shared" si="12"/>
        <v/>
      </c>
      <c r="K409" s="261"/>
      <c r="L409" s="309"/>
      <c r="M409" s="309"/>
      <c r="N409" s="309"/>
      <c r="O409" s="309"/>
      <c r="P409" s="309"/>
      <c r="Q409" s="309"/>
      <c r="R409" s="309"/>
      <c r="S409" s="309"/>
      <c r="T409" s="309"/>
      <c r="U409" s="309"/>
    </row>
    <row r="410" spans="1:21" ht="12.75">
      <c r="A410" s="337" t="s">
        <v>629</v>
      </c>
      <c r="B410" s="625">
        <v>10</v>
      </c>
      <c r="C410" s="623">
        <v>208.19499999999999</v>
      </c>
      <c r="D410" s="792">
        <v>0</v>
      </c>
      <c r="E410" s="624">
        <f>B410*C410</f>
        <v>2081.9499999999998</v>
      </c>
      <c r="F410" s="546" t="s">
        <v>194</v>
      </c>
      <c r="G410" s="1508" t="s">
        <v>854</v>
      </c>
      <c r="H410" s="1526"/>
      <c r="I410" s="1501" t="str">
        <f t="shared" si="11"/>
        <v>NVDA</v>
      </c>
      <c r="J410" s="1501" t="str">
        <f t="shared" si="12"/>
        <v/>
      </c>
      <c r="K410" s="261"/>
      <c r="L410" s="309"/>
      <c r="M410" s="309"/>
      <c r="N410" s="309"/>
      <c r="O410" s="309"/>
      <c r="P410" s="309"/>
      <c r="Q410" s="309"/>
      <c r="R410" s="309"/>
      <c r="S410" s="309"/>
      <c r="T410" s="309"/>
      <c r="U410" s="309"/>
    </row>
    <row r="411" spans="1:21" ht="12.75">
      <c r="A411" s="273"/>
      <c r="B411" s="627"/>
      <c r="C411" s="785"/>
      <c r="D411" s="786"/>
      <c r="E411" s="858"/>
      <c r="F411" s="781"/>
      <c r="G411" s="1507"/>
      <c r="H411" s="1526"/>
      <c r="I411" s="1501" t="str">
        <f t="shared" si="11"/>
        <v/>
      </c>
      <c r="J411" s="1501" t="str">
        <f t="shared" si="12"/>
        <v/>
      </c>
      <c r="K411" s="261"/>
      <c r="L411" s="309"/>
      <c r="M411" s="309"/>
      <c r="N411" s="309"/>
      <c r="O411" s="309"/>
      <c r="P411" s="309"/>
      <c r="Q411" s="309"/>
      <c r="R411" s="309"/>
      <c r="S411" s="309"/>
      <c r="T411" s="309"/>
      <c r="U411" s="309"/>
    </row>
    <row r="412" spans="1:21" ht="12.75">
      <c r="A412" s="333">
        <v>43788</v>
      </c>
      <c r="B412" s="627"/>
      <c r="C412" s="785"/>
      <c r="D412" s="786"/>
      <c r="E412" s="858"/>
      <c r="F412" s="781"/>
      <c r="G412" s="1507"/>
      <c r="H412" s="1526"/>
      <c r="I412" s="1501" t="str">
        <f t="shared" si="11"/>
        <v/>
      </c>
      <c r="J412" s="1501" t="str">
        <f t="shared" si="12"/>
        <v/>
      </c>
      <c r="K412" s="261"/>
      <c r="L412" s="309"/>
      <c r="M412" s="309"/>
      <c r="N412" s="309"/>
      <c r="O412" s="309"/>
      <c r="P412" s="309"/>
      <c r="Q412" s="309"/>
      <c r="R412" s="309"/>
      <c r="S412" s="309"/>
      <c r="T412" s="309"/>
      <c r="U412" s="309"/>
    </row>
    <row r="413" spans="1:21" ht="12.75">
      <c r="A413" s="273" t="s">
        <v>820</v>
      </c>
      <c r="B413" s="627"/>
      <c r="C413" s="785"/>
      <c r="D413" s="786"/>
      <c r="E413" s="858"/>
      <c r="F413" s="781"/>
      <c r="G413" s="1507"/>
      <c r="H413" s="1526"/>
      <c r="I413" s="1501" t="str">
        <f t="shared" si="11"/>
        <v/>
      </c>
      <c r="J413" s="1501" t="str">
        <f t="shared" si="12"/>
        <v/>
      </c>
      <c r="K413" s="261"/>
      <c r="L413" s="309"/>
      <c r="M413" s="309"/>
      <c r="N413" s="309"/>
      <c r="O413" s="309"/>
      <c r="P413" s="309"/>
      <c r="Q413" s="309"/>
      <c r="R413" s="309"/>
      <c r="S413" s="309"/>
      <c r="T413" s="309"/>
      <c r="U413" s="309"/>
    </row>
    <row r="414" spans="1:21" ht="12.75">
      <c r="A414" s="337" t="s">
        <v>560</v>
      </c>
      <c r="B414" s="625">
        <v>37</v>
      </c>
      <c r="C414" s="623">
        <v>131.9101</v>
      </c>
      <c r="D414" s="792">
        <v>0</v>
      </c>
      <c r="E414" s="624">
        <f>B414*C414</f>
        <v>4880.6737000000003</v>
      </c>
      <c r="F414" s="546" t="s">
        <v>561</v>
      </c>
      <c r="G414" s="1507"/>
      <c r="H414" s="1526"/>
      <c r="I414" s="1501" t="str">
        <f t="shared" si="11"/>
        <v/>
      </c>
      <c r="J414" s="1501" t="str">
        <f t="shared" si="12"/>
        <v/>
      </c>
      <c r="K414" s="261"/>
      <c r="L414" s="309"/>
      <c r="M414" s="309"/>
      <c r="N414" s="309"/>
      <c r="O414" s="309"/>
      <c r="P414" s="309"/>
      <c r="Q414" s="309"/>
      <c r="R414" s="309"/>
      <c r="S414" s="309"/>
      <c r="T414" s="309"/>
      <c r="U414" s="309"/>
    </row>
    <row r="415" spans="1:21" ht="12.75">
      <c r="A415" s="273"/>
      <c r="B415" s="627"/>
      <c r="C415" s="785"/>
      <c r="D415" s="786"/>
      <c r="E415" s="858"/>
      <c r="F415" s="781"/>
      <c r="G415" s="1507"/>
      <c r="H415" s="1526"/>
      <c r="I415" s="1501" t="str">
        <f t="shared" si="11"/>
        <v/>
      </c>
      <c r="J415" s="1501" t="str">
        <f t="shared" si="12"/>
        <v/>
      </c>
      <c r="K415" s="261"/>
      <c r="L415" s="309"/>
      <c r="M415" s="309"/>
      <c r="N415" s="309"/>
      <c r="O415" s="309"/>
      <c r="P415" s="309"/>
      <c r="Q415" s="309"/>
      <c r="R415" s="309"/>
      <c r="S415" s="309"/>
      <c r="T415" s="309"/>
      <c r="U415" s="309"/>
    </row>
    <row r="416" spans="1:21" ht="12.75">
      <c r="A416" s="333">
        <v>43783</v>
      </c>
      <c r="B416" s="627"/>
      <c r="C416" s="785"/>
      <c r="D416" s="786"/>
      <c r="E416" s="858"/>
      <c r="F416" s="781"/>
      <c r="G416" s="1511"/>
      <c r="H416" s="1526"/>
      <c r="I416" s="1501" t="str">
        <f t="shared" si="11"/>
        <v/>
      </c>
      <c r="J416" s="1501" t="str">
        <f t="shared" si="12"/>
        <v>HSY</v>
      </c>
      <c r="K416" s="261"/>
      <c r="L416" s="309"/>
      <c r="M416" s="309"/>
      <c r="N416" s="309"/>
      <c r="O416" s="309"/>
      <c r="P416" s="309"/>
      <c r="Q416" s="309"/>
      <c r="R416" s="309"/>
      <c r="S416" s="309"/>
      <c r="T416" s="309"/>
      <c r="U416" s="309"/>
    </row>
    <row r="417" spans="1:21" ht="12.75">
      <c r="A417" s="273" t="s">
        <v>824</v>
      </c>
      <c r="B417" s="627"/>
      <c r="C417" s="785"/>
      <c r="D417" s="786"/>
      <c r="E417" s="858"/>
      <c r="F417" s="781"/>
      <c r="G417" s="1507"/>
      <c r="H417" s="1526"/>
      <c r="I417" s="1501" t="str">
        <f t="shared" si="11"/>
        <v/>
      </c>
      <c r="J417" s="1501" t="str">
        <f t="shared" si="12"/>
        <v/>
      </c>
      <c r="K417" s="261"/>
      <c r="L417" s="309"/>
      <c r="M417" s="309"/>
      <c r="N417" s="309"/>
      <c r="O417" s="309"/>
      <c r="P417" s="309"/>
      <c r="Q417" s="309"/>
      <c r="R417" s="309"/>
      <c r="S417" s="309"/>
      <c r="T417" s="309"/>
      <c r="U417" s="309"/>
    </row>
    <row r="418" spans="1:21" ht="12.75">
      <c r="A418" s="337" t="s">
        <v>632</v>
      </c>
      <c r="B418" s="625">
        <v>20</v>
      </c>
      <c r="C418" s="623">
        <v>146.41370000000001</v>
      </c>
      <c r="D418" s="792">
        <v>0</v>
      </c>
      <c r="E418" s="624">
        <f>B418*C418</f>
        <v>2928.2740000000003</v>
      </c>
      <c r="F418" s="546" t="s">
        <v>633</v>
      </c>
      <c r="G418" s="1507"/>
      <c r="H418" s="1526"/>
      <c r="I418" s="1501" t="str">
        <f t="shared" si="11"/>
        <v>HSY</v>
      </c>
      <c r="J418" s="1501" t="str">
        <f t="shared" si="12"/>
        <v/>
      </c>
      <c r="K418" s="261"/>
      <c r="L418" s="309"/>
      <c r="M418" s="309"/>
      <c r="N418" s="309"/>
      <c r="O418" s="309"/>
      <c r="P418" s="309"/>
      <c r="Q418" s="309"/>
      <c r="R418" s="309"/>
      <c r="S418" s="309"/>
      <c r="T418" s="309"/>
      <c r="U418" s="309"/>
    </row>
    <row r="419" spans="1:21" ht="12.75">
      <c r="A419" s="273"/>
      <c r="B419" s="627"/>
      <c r="C419" s="785"/>
      <c r="D419" s="786"/>
      <c r="E419" s="858"/>
      <c r="F419" s="781"/>
      <c r="G419" s="1507"/>
      <c r="H419" s="1526"/>
      <c r="I419" s="1501" t="str">
        <f t="shared" si="11"/>
        <v/>
      </c>
      <c r="J419" s="1501" t="str">
        <f t="shared" si="12"/>
        <v/>
      </c>
      <c r="K419" s="261"/>
      <c r="L419" s="309"/>
      <c r="M419" s="309"/>
      <c r="N419" s="309"/>
      <c r="O419" s="309"/>
      <c r="P419" s="309"/>
      <c r="Q419" s="309"/>
      <c r="R419" s="309"/>
      <c r="S419" s="309"/>
      <c r="T419" s="309"/>
      <c r="U419" s="309"/>
    </row>
    <row r="420" spans="1:21" ht="12.75">
      <c r="A420" s="333">
        <v>43783</v>
      </c>
      <c r="B420" s="627"/>
      <c r="C420" s="785"/>
      <c r="D420" s="786"/>
      <c r="E420" s="858"/>
      <c r="F420" s="781"/>
      <c r="G420" s="1507"/>
      <c r="H420" s="1526"/>
      <c r="I420" s="1501" t="str">
        <f t="shared" si="11"/>
        <v/>
      </c>
      <c r="J420" s="1501" t="str">
        <f t="shared" si="12"/>
        <v/>
      </c>
      <c r="K420" s="261"/>
      <c r="L420" s="309"/>
      <c r="M420" s="309"/>
      <c r="N420" s="309"/>
      <c r="O420" s="309"/>
      <c r="P420" s="309"/>
      <c r="Q420" s="309"/>
      <c r="R420" s="309"/>
      <c r="S420" s="309"/>
      <c r="T420" s="309"/>
      <c r="U420" s="309"/>
    </row>
    <row r="421" spans="1:21" ht="12.75">
      <c r="A421" s="273" t="s">
        <v>820</v>
      </c>
      <c r="B421" s="627"/>
      <c r="C421" s="785"/>
      <c r="D421" s="786"/>
      <c r="E421" s="858"/>
      <c r="F421" s="781"/>
      <c r="G421" s="1507"/>
      <c r="H421" s="1526"/>
      <c r="I421" s="1501" t="str">
        <f t="shared" si="11"/>
        <v/>
      </c>
      <c r="J421" s="1501" t="str">
        <f t="shared" si="12"/>
        <v/>
      </c>
      <c r="K421" s="261"/>
      <c r="L421" s="309"/>
      <c r="M421" s="309"/>
      <c r="N421" s="309"/>
      <c r="O421" s="309"/>
      <c r="P421" s="309"/>
      <c r="Q421" s="309"/>
      <c r="R421" s="309"/>
      <c r="S421" s="309"/>
      <c r="T421" s="309"/>
      <c r="U421" s="309"/>
    </row>
    <row r="422" spans="1:21" ht="12.75">
      <c r="A422" s="337" t="s">
        <v>341</v>
      </c>
      <c r="B422" s="625">
        <v>10</v>
      </c>
      <c r="C422" s="623">
        <v>237.755</v>
      </c>
      <c r="D422" s="792">
        <v>0</v>
      </c>
      <c r="E422" s="624">
        <f>B422*C422</f>
        <v>2377.5500000000002</v>
      </c>
      <c r="F422" s="546" t="s">
        <v>342</v>
      </c>
      <c r="G422" s="1507"/>
      <c r="H422" s="1526"/>
      <c r="I422" s="1501" t="str">
        <f t="shared" si="11"/>
        <v/>
      </c>
      <c r="J422" s="1501" t="str">
        <f t="shared" si="12"/>
        <v/>
      </c>
      <c r="K422" s="261"/>
      <c r="L422" s="309"/>
      <c r="M422" s="309"/>
      <c r="N422" s="309"/>
      <c r="O422" s="309"/>
      <c r="P422" s="309"/>
      <c r="Q422" s="309"/>
      <c r="R422" s="309"/>
      <c r="S422" s="309"/>
      <c r="T422" s="309"/>
      <c r="U422" s="309"/>
    </row>
    <row r="423" spans="1:21" ht="12.75">
      <c r="A423" s="273"/>
      <c r="B423" s="627"/>
      <c r="C423" s="785"/>
      <c r="D423" s="786"/>
      <c r="E423" s="858"/>
      <c r="F423" s="781"/>
      <c r="G423" s="1507"/>
      <c r="H423" s="1526"/>
      <c r="I423" s="1501" t="str">
        <f t="shared" si="11"/>
        <v/>
      </c>
      <c r="J423" s="1501" t="str">
        <f t="shared" si="12"/>
        <v/>
      </c>
      <c r="K423" s="261"/>
      <c r="L423" s="309"/>
      <c r="M423" s="309"/>
      <c r="N423" s="309"/>
      <c r="O423" s="309"/>
      <c r="P423" s="309"/>
      <c r="Q423" s="309"/>
      <c r="R423" s="309"/>
      <c r="S423" s="309"/>
      <c r="T423" s="309"/>
      <c r="U423" s="309"/>
    </row>
    <row r="424" spans="1:21" ht="12.75">
      <c r="A424" s="333">
        <v>43781</v>
      </c>
      <c r="B424" s="627"/>
      <c r="C424" s="785"/>
      <c r="D424" s="786"/>
      <c r="E424" s="858"/>
      <c r="F424" s="781"/>
      <c r="G424" s="1507"/>
      <c r="H424" s="1526"/>
      <c r="I424" s="1501" t="str">
        <f t="shared" si="11"/>
        <v/>
      </c>
      <c r="J424" s="1501" t="str">
        <f t="shared" si="12"/>
        <v>HON</v>
      </c>
      <c r="K424" s="261"/>
      <c r="L424" s="309"/>
      <c r="M424" s="309"/>
      <c r="N424" s="309"/>
      <c r="O424" s="309"/>
      <c r="P424" s="309"/>
      <c r="Q424" s="309"/>
      <c r="R424" s="309"/>
      <c r="S424" s="309"/>
      <c r="T424" s="309"/>
      <c r="U424" s="309"/>
    </row>
    <row r="425" spans="1:21" ht="12.75">
      <c r="A425" s="273" t="s">
        <v>824</v>
      </c>
      <c r="B425" s="627"/>
      <c r="C425" s="785"/>
      <c r="D425" s="786"/>
      <c r="E425" s="858"/>
      <c r="F425" s="781"/>
      <c r="G425" s="1507"/>
      <c r="H425" s="1526"/>
      <c r="I425" s="1501" t="str">
        <f t="shared" si="11"/>
        <v/>
      </c>
      <c r="J425" s="1501" t="str">
        <f t="shared" si="12"/>
        <v/>
      </c>
      <c r="K425" s="261"/>
      <c r="L425" s="309"/>
      <c r="M425" s="309"/>
      <c r="N425" s="309"/>
      <c r="O425" s="309"/>
      <c r="P425" s="309"/>
      <c r="Q425" s="309"/>
      <c r="R425" s="309"/>
      <c r="S425" s="309"/>
      <c r="T425" s="309"/>
      <c r="U425" s="309"/>
    </row>
    <row r="426" spans="1:21" ht="12.75">
      <c r="A426" s="337" t="s">
        <v>627</v>
      </c>
      <c r="B426" s="625">
        <v>20</v>
      </c>
      <c r="C426" s="623">
        <v>181.64080000000001</v>
      </c>
      <c r="D426" s="792">
        <v>0</v>
      </c>
      <c r="E426" s="624">
        <f>C426*B426</f>
        <v>3632.8160000000003</v>
      </c>
      <c r="F426" s="546" t="s">
        <v>628</v>
      </c>
      <c r="G426" s="1507"/>
      <c r="H426" s="1526"/>
      <c r="I426" s="1501" t="str">
        <f t="shared" ref="I426:I457" si="13">IF(F426="","",IF(OR(A425="Sell",A426="Sell"),"",F426))</f>
        <v>HON</v>
      </c>
      <c r="J426" s="1501" t="str">
        <f t="shared" si="12"/>
        <v/>
      </c>
      <c r="K426" s="261"/>
      <c r="L426" s="309"/>
      <c r="M426" s="309"/>
      <c r="N426" s="309"/>
      <c r="O426" s="309"/>
      <c r="P426" s="309"/>
      <c r="Q426" s="309"/>
      <c r="R426" s="309"/>
      <c r="S426" s="309"/>
      <c r="T426" s="309"/>
      <c r="U426" s="309"/>
    </row>
    <row r="427" spans="1:21" ht="12.75">
      <c r="A427" s="273"/>
      <c r="B427" s="627"/>
      <c r="C427" s="785"/>
      <c r="D427" s="786"/>
      <c r="E427" s="858"/>
      <c r="F427" s="781"/>
      <c r="G427" s="1507"/>
      <c r="H427" s="1526"/>
      <c r="I427" s="1501" t="str">
        <f t="shared" si="13"/>
        <v/>
      </c>
      <c r="J427" s="1501" t="str">
        <f t="shared" si="12"/>
        <v/>
      </c>
      <c r="K427" s="261"/>
      <c r="L427" s="309"/>
      <c r="M427" s="309"/>
      <c r="N427" s="309"/>
      <c r="O427" s="309"/>
      <c r="P427" s="309"/>
      <c r="Q427" s="309"/>
      <c r="R427" s="309"/>
      <c r="S427" s="309"/>
      <c r="T427" s="309"/>
      <c r="U427" s="309"/>
    </row>
    <row r="428" spans="1:21" ht="12.75">
      <c r="A428" s="333">
        <v>43781</v>
      </c>
      <c r="B428" s="627"/>
      <c r="C428" s="785"/>
      <c r="D428" s="786"/>
      <c r="E428" s="858"/>
      <c r="F428" s="781"/>
      <c r="G428" s="1507"/>
      <c r="H428" s="1526"/>
      <c r="I428" s="1501" t="str">
        <f t="shared" si="13"/>
        <v/>
      </c>
      <c r="J428" s="1501" t="str">
        <f t="shared" si="12"/>
        <v/>
      </c>
      <c r="K428" s="261"/>
      <c r="L428" s="309"/>
      <c r="M428" s="309"/>
      <c r="N428" s="309"/>
      <c r="O428" s="309"/>
      <c r="P428" s="309"/>
      <c r="Q428" s="309"/>
      <c r="R428" s="309"/>
      <c r="S428" s="309"/>
      <c r="T428" s="309"/>
      <c r="U428" s="309"/>
    </row>
    <row r="429" spans="1:21" ht="12.75">
      <c r="A429" s="273" t="s">
        <v>820</v>
      </c>
      <c r="B429" s="627"/>
      <c r="C429" s="785"/>
      <c r="D429" s="786"/>
      <c r="E429" s="858"/>
      <c r="F429" s="781"/>
      <c r="G429" s="1507"/>
      <c r="H429" s="1526"/>
      <c r="I429" s="1501" t="str">
        <f t="shared" si="13"/>
        <v/>
      </c>
      <c r="J429" s="1501" t="str">
        <f t="shared" si="12"/>
        <v/>
      </c>
      <c r="K429" s="261"/>
      <c r="L429" s="309"/>
      <c r="M429" s="309"/>
      <c r="N429" s="309"/>
      <c r="O429" s="309"/>
      <c r="P429" s="309"/>
      <c r="Q429" s="309"/>
      <c r="R429" s="309"/>
      <c r="S429" s="309"/>
      <c r="T429" s="309"/>
      <c r="U429" s="309"/>
    </row>
    <row r="430" spans="1:21" ht="12.75">
      <c r="A430" s="337" t="s">
        <v>553</v>
      </c>
      <c r="B430" s="625">
        <v>18</v>
      </c>
      <c r="C430" s="623">
        <v>119.2804</v>
      </c>
      <c r="D430" s="792">
        <v>0</v>
      </c>
      <c r="E430" s="624">
        <f>C430*B430</f>
        <v>2147.0472</v>
      </c>
      <c r="F430" s="546" t="s">
        <v>554</v>
      </c>
      <c r="G430" s="1507"/>
      <c r="H430" s="1526"/>
      <c r="I430" s="1501" t="str">
        <f t="shared" si="13"/>
        <v/>
      </c>
      <c r="J430" s="1501" t="str">
        <f t="shared" si="12"/>
        <v/>
      </c>
      <c r="K430" s="261"/>
      <c r="L430" s="309"/>
      <c r="M430" s="309"/>
      <c r="N430" s="309"/>
      <c r="O430" s="309"/>
      <c r="P430" s="309"/>
      <c r="Q430" s="309"/>
      <c r="R430" s="309"/>
      <c r="S430" s="309"/>
      <c r="T430" s="309"/>
      <c r="U430" s="309"/>
    </row>
    <row r="431" spans="1:21" ht="12.75">
      <c r="A431" s="273"/>
      <c r="B431" s="627"/>
      <c r="C431" s="785"/>
      <c r="D431" s="786"/>
      <c r="E431" s="858"/>
      <c r="F431" s="781"/>
      <c r="G431" s="1507"/>
      <c r="H431" s="1526"/>
      <c r="I431" s="1501" t="str">
        <f t="shared" si="13"/>
        <v/>
      </c>
      <c r="J431" s="1501" t="str">
        <f t="shared" si="12"/>
        <v/>
      </c>
      <c r="K431" s="261"/>
      <c r="L431" s="309"/>
      <c r="M431" s="309"/>
      <c r="N431" s="309"/>
      <c r="O431" s="309"/>
      <c r="P431" s="309"/>
      <c r="Q431" s="309"/>
      <c r="R431" s="309"/>
      <c r="S431" s="309"/>
      <c r="T431" s="309"/>
      <c r="U431" s="309"/>
    </row>
    <row r="432" spans="1:21" ht="12.75">
      <c r="A432" s="333">
        <v>43781</v>
      </c>
      <c r="B432" s="627"/>
      <c r="C432" s="785"/>
      <c r="D432" s="786"/>
      <c r="E432" s="858"/>
      <c r="F432" s="781"/>
      <c r="G432" s="1507"/>
      <c r="H432" s="1526"/>
      <c r="I432" s="1501" t="str">
        <f t="shared" si="13"/>
        <v/>
      </c>
      <c r="J432" s="1501" t="str">
        <f t="shared" si="12"/>
        <v/>
      </c>
      <c r="K432" s="261"/>
      <c r="L432" s="309"/>
      <c r="M432" s="309"/>
      <c r="N432" s="309"/>
      <c r="O432" s="309"/>
      <c r="P432" s="309"/>
      <c r="Q432" s="309"/>
      <c r="R432" s="309"/>
      <c r="S432" s="309"/>
      <c r="T432" s="309"/>
      <c r="U432" s="309"/>
    </row>
    <row r="433" spans="1:21" ht="12.75">
      <c r="A433" s="273" t="s">
        <v>820</v>
      </c>
      <c r="B433" s="627"/>
      <c r="C433" s="785"/>
      <c r="D433" s="786"/>
      <c r="E433" s="858"/>
      <c r="F433" s="781"/>
      <c r="G433" s="1507"/>
      <c r="H433" s="1526"/>
      <c r="I433" s="1501" t="str">
        <f t="shared" si="13"/>
        <v/>
      </c>
      <c r="J433" s="1501" t="str">
        <f t="shared" si="12"/>
        <v/>
      </c>
      <c r="K433" s="261"/>
      <c r="L433" s="309"/>
      <c r="M433" s="309"/>
      <c r="N433" s="309"/>
      <c r="O433" s="309"/>
      <c r="P433" s="309"/>
      <c r="Q433" s="309"/>
      <c r="R433" s="309"/>
      <c r="S433" s="309"/>
      <c r="T433" s="309"/>
      <c r="U433" s="309"/>
    </row>
    <row r="434" spans="1:21" ht="12.75">
      <c r="A434" s="337" t="s">
        <v>599</v>
      </c>
      <c r="B434" s="625">
        <v>15</v>
      </c>
      <c r="C434" s="623">
        <v>168.2389</v>
      </c>
      <c r="D434" s="792">
        <v>0</v>
      </c>
      <c r="E434" s="624">
        <f>B434*C434</f>
        <v>2523.5835000000002</v>
      </c>
      <c r="F434" s="546" t="s">
        <v>600</v>
      </c>
      <c r="G434" s="1507"/>
      <c r="H434" s="1526"/>
      <c r="I434" s="1501" t="str">
        <f t="shared" si="13"/>
        <v/>
      </c>
      <c r="J434" s="1501" t="str">
        <f t="shared" si="12"/>
        <v/>
      </c>
      <c r="K434" s="261"/>
      <c r="L434" s="309"/>
      <c r="M434" s="309"/>
      <c r="N434" s="309"/>
      <c r="O434" s="309"/>
      <c r="P434" s="309"/>
      <c r="Q434" s="309"/>
      <c r="R434" s="309"/>
      <c r="S434" s="309"/>
      <c r="T434" s="309"/>
      <c r="U434" s="309"/>
    </row>
    <row r="435" spans="1:21" ht="12.75">
      <c r="A435" s="273"/>
      <c r="B435" s="627"/>
      <c r="C435" s="785"/>
      <c r="D435" s="786"/>
      <c r="E435" s="858"/>
      <c r="F435" s="781"/>
      <c r="G435" s="1507"/>
      <c r="H435" s="1526"/>
      <c r="I435" s="1501" t="str">
        <f t="shared" si="13"/>
        <v/>
      </c>
      <c r="J435" s="1501" t="str">
        <f t="shared" si="12"/>
        <v/>
      </c>
      <c r="K435" s="261"/>
      <c r="L435" s="309"/>
      <c r="M435" s="309"/>
      <c r="N435" s="309"/>
      <c r="O435" s="309"/>
      <c r="P435" s="309"/>
      <c r="Q435" s="309"/>
      <c r="R435" s="309"/>
      <c r="S435" s="309"/>
      <c r="T435" s="309"/>
      <c r="U435" s="309"/>
    </row>
    <row r="436" spans="1:21" ht="12.75">
      <c r="A436" s="333">
        <v>43780</v>
      </c>
      <c r="B436" s="627"/>
      <c r="C436" s="785"/>
      <c r="D436" s="786"/>
      <c r="E436" s="858"/>
      <c r="F436" s="781"/>
      <c r="G436" s="1507"/>
      <c r="H436" s="1526"/>
      <c r="I436" s="1501" t="str">
        <f t="shared" si="13"/>
        <v/>
      </c>
      <c r="J436" s="1501" t="str">
        <f t="shared" si="12"/>
        <v/>
      </c>
      <c r="K436" s="261"/>
      <c r="L436" s="309"/>
      <c r="M436" s="309"/>
      <c r="N436" s="309"/>
      <c r="O436" s="309"/>
      <c r="P436" s="309"/>
      <c r="Q436" s="309"/>
      <c r="R436" s="309"/>
      <c r="S436" s="309"/>
      <c r="T436" s="309"/>
      <c r="U436" s="309"/>
    </row>
    <row r="437" spans="1:21" ht="12.75">
      <c r="A437" s="273" t="s">
        <v>820</v>
      </c>
      <c r="B437" s="627"/>
      <c r="C437" s="785"/>
      <c r="D437" s="786"/>
      <c r="E437" s="858"/>
      <c r="F437" s="781"/>
      <c r="G437" s="1507"/>
      <c r="H437" s="1526"/>
      <c r="I437" s="1501" t="str">
        <f t="shared" si="13"/>
        <v/>
      </c>
      <c r="J437" s="1501" t="str">
        <f t="shared" ref="J437:J468" si="14">IF(F439="","",IF(OR(A437="Sell",A438="Sell"),"",F439))</f>
        <v/>
      </c>
      <c r="K437" s="261"/>
      <c r="L437" s="309"/>
      <c r="M437" s="309"/>
      <c r="N437" s="309"/>
      <c r="O437" s="309"/>
      <c r="P437" s="309"/>
      <c r="Q437" s="309"/>
      <c r="R437" s="309"/>
      <c r="S437" s="309"/>
      <c r="T437" s="309"/>
      <c r="U437" s="309"/>
    </row>
    <row r="438" spans="1:21" ht="12.75">
      <c r="A438" s="337" t="s">
        <v>601</v>
      </c>
      <c r="B438" s="625">
        <v>10</v>
      </c>
      <c r="C438" s="623">
        <v>485.76</v>
      </c>
      <c r="D438" s="792">
        <v>0</v>
      </c>
      <c r="E438" s="624">
        <f>C438*B438</f>
        <v>4857.6000000000004</v>
      </c>
      <c r="F438" s="546" t="s">
        <v>602</v>
      </c>
      <c r="G438" s="1507"/>
      <c r="H438" s="1526"/>
      <c r="I438" s="1501" t="str">
        <f t="shared" si="13"/>
        <v/>
      </c>
      <c r="J438" s="1501" t="str">
        <f t="shared" si="14"/>
        <v/>
      </c>
      <c r="K438" s="261"/>
      <c r="L438" s="309"/>
      <c r="M438" s="309"/>
      <c r="N438" s="309"/>
      <c r="O438" s="309"/>
      <c r="P438" s="309"/>
      <c r="Q438" s="309"/>
      <c r="R438" s="309"/>
      <c r="S438" s="309"/>
      <c r="T438" s="309"/>
      <c r="U438" s="309"/>
    </row>
    <row r="439" spans="1:21" ht="12.75">
      <c r="A439" s="273"/>
      <c r="B439" s="627"/>
      <c r="C439" s="785"/>
      <c r="D439" s="786"/>
      <c r="E439" s="858"/>
      <c r="F439" s="781"/>
      <c r="G439" s="1507"/>
      <c r="H439" s="1526"/>
      <c r="I439" s="1501" t="str">
        <f t="shared" si="13"/>
        <v/>
      </c>
      <c r="J439" s="1501" t="str">
        <f t="shared" si="14"/>
        <v/>
      </c>
      <c r="K439" s="261"/>
      <c r="L439" s="309"/>
      <c r="M439" s="309"/>
      <c r="N439" s="309"/>
      <c r="O439" s="309"/>
      <c r="P439" s="309"/>
      <c r="Q439" s="309"/>
      <c r="R439" s="309"/>
      <c r="S439" s="309"/>
      <c r="T439" s="309"/>
      <c r="U439" s="309"/>
    </row>
    <row r="440" spans="1:21" ht="12.75">
      <c r="A440" s="333">
        <v>43776</v>
      </c>
      <c r="B440" s="627"/>
      <c r="C440" s="785"/>
      <c r="D440" s="786"/>
      <c r="E440" s="858"/>
      <c r="F440" s="781"/>
      <c r="G440" s="1507"/>
      <c r="H440" s="1526"/>
      <c r="I440" s="1501" t="str">
        <f t="shared" si="13"/>
        <v/>
      </c>
      <c r="J440" s="1501" t="str">
        <f t="shared" si="14"/>
        <v/>
      </c>
      <c r="K440" s="261"/>
      <c r="L440" s="309"/>
      <c r="M440" s="309"/>
      <c r="N440" s="309"/>
      <c r="O440" s="309"/>
      <c r="P440" s="309"/>
      <c r="Q440" s="309"/>
      <c r="R440" s="309"/>
      <c r="S440" s="309"/>
      <c r="T440" s="309"/>
      <c r="U440" s="309"/>
    </row>
    <row r="441" spans="1:21" ht="12.75">
      <c r="A441" s="273" t="s">
        <v>820</v>
      </c>
      <c r="B441" s="627"/>
      <c r="C441" s="785"/>
      <c r="D441" s="786"/>
      <c r="E441" s="858"/>
      <c r="F441" s="781"/>
      <c r="G441" s="1507"/>
      <c r="H441" s="1526"/>
      <c r="I441" s="1501" t="str">
        <f t="shared" si="13"/>
        <v/>
      </c>
      <c r="J441" s="1501" t="str">
        <f t="shared" si="14"/>
        <v/>
      </c>
      <c r="K441" s="261"/>
      <c r="L441" s="309"/>
      <c r="M441" s="309"/>
      <c r="N441" s="309"/>
      <c r="O441" s="309"/>
      <c r="P441" s="309"/>
      <c r="Q441" s="309"/>
      <c r="R441" s="309"/>
      <c r="S441" s="309"/>
      <c r="T441" s="309"/>
      <c r="U441" s="309"/>
    </row>
    <row r="442" spans="1:21" ht="12.75">
      <c r="A442" s="337" t="s">
        <v>855</v>
      </c>
      <c r="B442" s="625">
        <v>30</v>
      </c>
      <c r="C442" s="623">
        <v>54.395400000000002</v>
      </c>
      <c r="D442" s="792">
        <v>0</v>
      </c>
      <c r="E442" s="624">
        <f>C442*B442</f>
        <v>1631.8620000000001</v>
      </c>
      <c r="F442" s="546" t="s">
        <v>536</v>
      </c>
      <c r="G442" s="1507"/>
      <c r="H442" s="1526"/>
      <c r="I442" s="1501" t="str">
        <f t="shared" si="13"/>
        <v/>
      </c>
      <c r="J442" s="1501" t="str">
        <f t="shared" si="14"/>
        <v/>
      </c>
      <c r="K442" s="261"/>
      <c r="L442" s="309"/>
      <c r="M442" s="309"/>
      <c r="N442" s="309"/>
      <c r="O442" s="309"/>
      <c r="P442" s="309"/>
      <c r="Q442" s="309"/>
      <c r="R442" s="309"/>
      <c r="S442" s="309"/>
      <c r="T442" s="309"/>
      <c r="U442" s="309"/>
    </row>
    <row r="443" spans="1:21" ht="12.75">
      <c r="A443" s="273"/>
      <c r="B443" s="627"/>
      <c r="C443" s="785"/>
      <c r="D443" s="786"/>
      <c r="E443" s="624"/>
      <c r="F443" s="781"/>
      <c r="G443" s="1507"/>
      <c r="H443" s="1526"/>
      <c r="I443" s="1501" t="str">
        <f t="shared" si="13"/>
        <v/>
      </c>
      <c r="J443" s="1501" t="str">
        <f t="shared" si="14"/>
        <v/>
      </c>
      <c r="K443" s="261"/>
      <c r="L443" s="309"/>
      <c r="M443" s="309"/>
      <c r="N443" s="309"/>
      <c r="O443" s="309"/>
      <c r="P443" s="309"/>
      <c r="Q443" s="309"/>
      <c r="R443" s="309"/>
      <c r="S443" s="309"/>
      <c r="T443" s="309"/>
      <c r="U443" s="309"/>
    </row>
    <row r="444" spans="1:21" ht="12.75">
      <c r="A444" s="333">
        <v>43776</v>
      </c>
      <c r="B444" s="627"/>
      <c r="C444" s="785"/>
      <c r="D444" s="786"/>
      <c r="E444" s="624"/>
      <c r="F444" s="781"/>
      <c r="G444" s="1507"/>
      <c r="H444" s="1526"/>
      <c r="I444" s="1501" t="str">
        <f t="shared" si="13"/>
        <v/>
      </c>
      <c r="J444" s="1501" t="str">
        <f t="shared" si="14"/>
        <v>BUD</v>
      </c>
      <c r="K444" s="261"/>
      <c r="L444" s="309"/>
      <c r="M444" s="309"/>
      <c r="N444" s="309"/>
      <c r="O444" s="309"/>
      <c r="P444" s="309"/>
      <c r="Q444" s="309"/>
      <c r="R444" s="309"/>
      <c r="S444" s="309"/>
      <c r="T444" s="309"/>
      <c r="U444" s="309"/>
    </row>
    <row r="445" spans="1:21" ht="12.75">
      <c r="A445" s="273" t="s">
        <v>824</v>
      </c>
      <c r="B445" s="627"/>
      <c r="C445" s="785"/>
      <c r="D445" s="786"/>
      <c r="E445" s="624"/>
      <c r="F445" s="781"/>
      <c r="G445" s="1507"/>
      <c r="H445" s="1526"/>
      <c r="I445" s="1501" t="str">
        <f t="shared" si="13"/>
        <v/>
      </c>
      <c r="J445" s="1501" t="str">
        <f t="shared" si="14"/>
        <v/>
      </c>
      <c r="K445" s="261"/>
      <c r="L445" s="309"/>
      <c r="M445" s="309"/>
      <c r="N445" s="309"/>
      <c r="O445" s="309"/>
      <c r="P445" s="309"/>
      <c r="Q445" s="309"/>
      <c r="R445" s="309"/>
      <c r="S445" s="309"/>
      <c r="T445" s="309"/>
      <c r="U445" s="309"/>
    </row>
    <row r="446" spans="1:21" ht="12.75">
      <c r="A446" s="337" t="s">
        <v>856</v>
      </c>
      <c r="B446" s="625">
        <v>50</v>
      </c>
      <c r="C446" s="623">
        <v>78.239900000000006</v>
      </c>
      <c r="D446" s="792">
        <v>0</v>
      </c>
      <c r="E446" s="624">
        <f>C446*B446</f>
        <v>3911.9950000000003</v>
      </c>
      <c r="F446" s="546" t="s">
        <v>177</v>
      </c>
      <c r="G446" s="1507"/>
      <c r="H446" s="1526"/>
      <c r="I446" s="1501" t="str">
        <f t="shared" si="13"/>
        <v>BUD</v>
      </c>
      <c r="J446" s="1501" t="str">
        <f t="shared" si="14"/>
        <v/>
      </c>
      <c r="K446" s="261"/>
      <c r="L446" s="309"/>
      <c r="M446" s="309"/>
      <c r="N446" s="309"/>
      <c r="O446" s="309"/>
      <c r="P446" s="309"/>
      <c r="Q446" s="309"/>
      <c r="R446" s="309"/>
      <c r="S446" s="309"/>
      <c r="T446" s="309"/>
      <c r="U446" s="309"/>
    </row>
    <row r="447" spans="1:21" ht="12.75">
      <c r="A447" s="273"/>
      <c r="B447" s="627"/>
      <c r="C447" s="623"/>
      <c r="D447" s="786"/>
      <c r="E447" s="624"/>
      <c r="F447" s="781"/>
      <c r="G447" s="1507"/>
      <c r="H447" s="1526"/>
      <c r="I447" s="1501" t="str">
        <f t="shared" si="13"/>
        <v/>
      </c>
      <c r="J447" s="1501" t="str">
        <f t="shared" si="14"/>
        <v/>
      </c>
      <c r="K447" s="261"/>
      <c r="L447" s="309"/>
      <c r="M447" s="309"/>
      <c r="N447" s="309"/>
      <c r="O447" s="309"/>
      <c r="P447" s="309"/>
      <c r="Q447" s="309"/>
      <c r="R447" s="309"/>
      <c r="S447" s="309"/>
      <c r="T447" s="309"/>
      <c r="U447" s="309"/>
    </row>
    <row r="448" spans="1:21" ht="12.75">
      <c r="A448" s="333">
        <v>43776</v>
      </c>
      <c r="B448" s="627"/>
      <c r="C448" s="623"/>
      <c r="D448" s="786"/>
      <c r="E448" s="624"/>
      <c r="F448" s="781"/>
      <c r="G448" s="1507"/>
      <c r="H448" s="1526"/>
      <c r="I448" s="1501" t="str">
        <f t="shared" si="13"/>
        <v/>
      </c>
      <c r="J448" s="1501" t="str">
        <f t="shared" si="14"/>
        <v/>
      </c>
      <c r="K448" s="261"/>
      <c r="L448" s="309"/>
      <c r="M448" s="309"/>
      <c r="N448" s="309"/>
      <c r="O448" s="309"/>
      <c r="P448" s="309"/>
      <c r="Q448" s="309"/>
      <c r="R448" s="309"/>
      <c r="S448" s="309"/>
      <c r="T448" s="309"/>
      <c r="U448" s="309"/>
    </row>
    <row r="449" spans="1:21" ht="12.75">
      <c r="A449" s="273" t="s">
        <v>820</v>
      </c>
      <c r="B449" s="627"/>
      <c r="C449" s="623"/>
      <c r="D449" s="786"/>
      <c r="E449" s="624"/>
      <c r="F449" s="781"/>
      <c r="G449" s="1507"/>
      <c r="H449" s="1526"/>
      <c r="I449" s="1501" t="str">
        <f t="shared" si="13"/>
        <v/>
      </c>
      <c r="J449" s="1501" t="str">
        <f t="shared" si="14"/>
        <v/>
      </c>
      <c r="K449" s="261"/>
      <c r="L449" s="309"/>
      <c r="M449" s="309"/>
      <c r="N449" s="309"/>
      <c r="O449" s="309"/>
      <c r="P449" s="309"/>
      <c r="Q449" s="309"/>
      <c r="R449" s="309"/>
      <c r="S449" s="309"/>
      <c r="T449" s="309"/>
      <c r="U449" s="309"/>
    </row>
    <row r="450" spans="1:21" ht="12.75">
      <c r="A450" s="374" t="s">
        <v>605</v>
      </c>
      <c r="B450" s="625">
        <v>20</v>
      </c>
      <c r="C450" s="623">
        <v>160.00049999999999</v>
      </c>
      <c r="D450" s="792">
        <v>0</v>
      </c>
      <c r="E450" s="624">
        <f>C450*B450</f>
        <v>3200.0099999999998</v>
      </c>
      <c r="F450" s="546" t="s">
        <v>58</v>
      </c>
      <c r="G450" s="1507"/>
      <c r="H450" s="1526"/>
      <c r="I450" s="1501" t="str">
        <f t="shared" si="13"/>
        <v/>
      </c>
      <c r="J450" s="1501" t="str">
        <f t="shared" si="14"/>
        <v/>
      </c>
      <c r="K450" s="261"/>
      <c r="L450" s="309"/>
      <c r="M450" s="309"/>
      <c r="N450" s="309"/>
      <c r="O450" s="309"/>
      <c r="P450" s="309"/>
      <c r="Q450" s="309"/>
      <c r="R450" s="309"/>
      <c r="S450" s="309"/>
      <c r="T450" s="309"/>
      <c r="U450" s="309"/>
    </row>
    <row r="451" spans="1:21" ht="12.75">
      <c r="A451" s="273"/>
      <c r="B451" s="627"/>
      <c r="C451" s="623"/>
      <c r="D451" s="786"/>
      <c r="E451" s="858"/>
      <c r="F451" s="781"/>
      <c r="G451" s="1511"/>
      <c r="H451" s="1526"/>
      <c r="I451" s="1501" t="str">
        <f t="shared" si="13"/>
        <v/>
      </c>
      <c r="J451" s="1501" t="str">
        <f t="shared" si="14"/>
        <v/>
      </c>
      <c r="K451" s="261"/>
      <c r="L451" s="309"/>
      <c r="M451" s="309"/>
      <c r="N451" s="309"/>
      <c r="O451" s="309"/>
      <c r="P451" s="309"/>
      <c r="Q451" s="309"/>
      <c r="R451" s="309"/>
      <c r="S451" s="309"/>
      <c r="T451" s="309"/>
      <c r="U451" s="309"/>
    </row>
    <row r="452" spans="1:21" ht="12.75">
      <c r="A452" s="333">
        <v>43774</v>
      </c>
      <c r="B452" s="627"/>
      <c r="C452" s="785"/>
      <c r="D452" s="786"/>
      <c r="E452" s="858"/>
      <c r="F452" s="781"/>
      <c r="G452" s="1511"/>
      <c r="H452" s="1526"/>
      <c r="I452" s="1501" t="str">
        <f t="shared" si="13"/>
        <v/>
      </c>
      <c r="J452" s="1501" t="str">
        <f t="shared" si="14"/>
        <v/>
      </c>
      <c r="K452" s="261"/>
      <c r="L452" s="309"/>
      <c r="M452" s="309"/>
      <c r="N452" s="309"/>
      <c r="O452" s="309"/>
      <c r="P452" s="309"/>
      <c r="Q452" s="309"/>
      <c r="R452" s="309"/>
      <c r="S452" s="309"/>
      <c r="T452" s="309"/>
      <c r="U452" s="309"/>
    </row>
    <row r="453" spans="1:21" ht="12.75">
      <c r="A453" s="273" t="s">
        <v>820</v>
      </c>
      <c r="B453" s="627"/>
      <c r="C453" s="785"/>
      <c r="D453" s="786"/>
      <c r="E453" s="858"/>
      <c r="F453" s="781"/>
      <c r="G453" s="1507"/>
      <c r="H453" s="1526"/>
      <c r="I453" s="1501" t="str">
        <f t="shared" si="13"/>
        <v/>
      </c>
      <c r="J453" s="1501" t="str">
        <f t="shared" si="14"/>
        <v/>
      </c>
      <c r="K453" s="261"/>
      <c r="L453" s="309"/>
      <c r="M453" s="309"/>
      <c r="N453" s="309"/>
      <c r="O453" s="309"/>
      <c r="P453" s="309"/>
      <c r="Q453" s="309"/>
      <c r="R453" s="309"/>
      <c r="S453" s="309"/>
      <c r="T453" s="309"/>
      <c r="U453" s="309"/>
    </row>
    <row r="454" spans="1:21" ht="12.75">
      <c r="A454" s="337" t="s">
        <v>555</v>
      </c>
      <c r="B454" s="625">
        <v>10</v>
      </c>
      <c r="C454" s="623">
        <v>294.91039999999998</v>
      </c>
      <c r="D454" s="792">
        <v>0</v>
      </c>
      <c r="E454" s="624">
        <f>B454*C454</f>
        <v>2949.1039999999998</v>
      </c>
      <c r="F454" s="546" t="s">
        <v>556</v>
      </c>
      <c r="G454" s="1507"/>
      <c r="H454" s="1526"/>
      <c r="I454" s="1501" t="str">
        <f t="shared" si="13"/>
        <v/>
      </c>
      <c r="J454" s="1501" t="str">
        <f t="shared" si="14"/>
        <v/>
      </c>
      <c r="K454" s="261"/>
      <c r="L454" s="309"/>
      <c r="M454" s="309"/>
      <c r="N454" s="309"/>
      <c r="O454" s="309"/>
      <c r="P454" s="309"/>
      <c r="Q454" s="309"/>
      <c r="R454" s="309"/>
      <c r="S454" s="309"/>
      <c r="T454" s="309"/>
      <c r="U454" s="309"/>
    </row>
    <row r="455" spans="1:21" ht="12.75">
      <c r="A455" s="273"/>
      <c r="B455" s="627"/>
      <c r="C455" s="785"/>
      <c r="D455" s="786"/>
      <c r="E455" s="858"/>
      <c r="F455" s="781"/>
      <c r="G455" s="1507"/>
      <c r="H455" s="1526"/>
      <c r="I455" s="1501" t="str">
        <f t="shared" si="13"/>
        <v/>
      </c>
      <c r="J455" s="1501" t="str">
        <f t="shared" si="14"/>
        <v/>
      </c>
      <c r="K455" s="261"/>
      <c r="L455" s="309"/>
      <c r="M455" s="309"/>
      <c r="N455" s="309"/>
      <c r="O455" s="309"/>
      <c r="P455" s="309"/>
      <c r="Q455" s="309"/>
      <c r="R455" s="309"/>
      <c r="S455" s="309"/>
      <c r="T455" s="309"/>
      <c r="U455" s="309"/>
    </row>
    <row r="456" spans="1:21" ht="12.75">
      <c r="A456" s="333">
        <v>43767</v>
      </c>
      <c r="B456" s="627"/>
      <c r="C456" s="785"/>
      <c r="D456" s="786"/>
      <c r="E456" s="858"/>
      <c r="F456" s="781"/>
      <c r="G456" s="1507"/>
      <c r="H456" s="1526"/>
      <c r="I456" s="1501" t="str">
        <f t="shared" si="13"/>
        <v/>
      </c>
      <c r="J456" s="1501" t="str">
        <f t="shared" si="14"/>
        <v>COF</v>
      </c>
      <c r="K456" s="261"/>
      <c r="L456" s="309"/>
      <c r="M456" s="309"/>
      <c r="N456" s="309"/>
      <c r="O456" s="309"/>
      <c r="P456" s="309"/>
      <c r="Q456" s="309"/>
      <c r="R456" s="309"/>
      <c r="S456" s="309"/>
      <c r="T456" s="309"/>
      <c r="U456" s="309"/>
    </row>
    <row r="457" spans="1:21" ht="12.75">
      <c r="A457" s="273" t="s">
        <v>824</v>
      </c>
      <c r="B457" s="627"/>
      <c r="C457" s="785"/>
      <c r="D457" s="786"/>
      <c r="E457" s="858"/>
      <c r="F457" s="781"/>
      <c r="G457" s="1507"/>
      <c r="H457" s="1526"/>
      <c r="I457" s="1501" t="str">
        <f t="shared" si="13"/>
        <v/>
      </c>
      <c r="J457" s="1501" t="str">
        <f t="shared" si="14"/>
        <v/>
      </c>
      <c r="K457" s="261"/>
      <c r="L457" s="309"/>
      <c r="M457" s="309"/>
      <c r="N457" s="309"/>
      <c r="O457" s="309"/>
      <c r="P457" s="309"/>
      <c r="Q457" s="309"/>
      <c r="R457" s="309"/>
      <c r="S457" s="309"/>
      <c r="T457" s="309"/>
      <c r="U457" s="309"/>
    </row>
    <row r="458" spans="1:21" ht="12.75">
      <c r="A458" s="337" t="s">
        <v>801</v>
      </c>
      <c r="B458" s="625">
        <v>50</v>
      </c>
      <c r="C458" s="623">
        <v>94.2072</v>
      </c>
      <c r="D458" s="792">
        <v>0</v>
      </c>
      <c r="E458" s="624">
        <f>B458*C458</f>
        <v>4710.3599999999997</v>
      </c>
      <c r="F458" s="546" t="s">
        <v>452</v>
      </c>
      <c r="G458" s="1507"/>
      <c r="H458" s="1526"/>
      <c r="I458" s="1501" t="str">
        <f t="shared" ref="I458:I489" si="15">IF(F458="","",IF(OR(A457="Sell",A458="Sell"),"",F458))</f>
        <v>COF</v>
      </c>
      <c r="J458" s="1501" t="str">
        <f t="shared" si="14"/>
        <v/>
      </c>
      <c r="K458" s="261"/>
      <c r="L458" s="309"/>
      <c r="M458" s="309"/>
      <c r="N458" s="309"/>
      <c r="O458" s="309"/>
      <c r="P458" s="309"/>
      <c r="Q458" s="309"/>
      <c r="R458" s="309"/>
      <c r="S458" s="309"/>
      <c r="T458" s="309"/>
      <c r="U458" s="309"/>
    </row>
    <row r="459" spans="1:21" ht="12.75">
      <c r="A459" s="273"/>
      <c r="B459" s="627"/>
      <c r="C459" s="785"/>
      <c r="D459" s="786"/>
      <c r="E459" s="858"/>
      <c r="F459" s="781"/>
      <c r="G459" s="1507"/>
      <c r="H459" s="1526"/>
      <c r="I459" s="1501" t="str">
        <f t="shared" si="15"/>
        <v/>
      </c>
      <c r="J459" s="1501" t="str">
        <f t="shared" si="14"/>
        <v/>
      </c>
      <c r="K459" s="261"/>
      <c r="L459" s="309"/>
      <c r="M459" s="309"/>
      <c r="N459" s="309"/>
      <c r="O459" s="309"/>
      <c r="P459" s="309"/>
      <c r="Q459" s="309"/>
      <c r="R459" s="309"/>
      <c r="S459" s="309"/>
      <c r="T459" s="309"/>
      <c r="U459" s="309"/>
    </row>
    <row r="460" spans="1:21" ht="12.75">
      <c r="A460" s="333">
        <v>43767</v>
      </c>
      <c r="B460" s="627"/>
      <c r="C460" s="785"/>
      <c r="D460" s="786"/>
      <c r="E460" s="858"/>
      <c r="F460" s="781"/>
      <c r="G460" s="1507"/>
      <c r="H460" s="1526"/>
      <c r="I460" s="1501" t="str">
        <f t="shared" si="15"/>
        <v/>
      </c>
      <c r="J460" s="1501" t="str">
        <f t="shared" si="14"/>
        <v/>
      </c>
      <c r="K460" s="261"/>
      <c r="L460" s="309"/>
      <c r="M460" s="309"/>
      <c r="N460" s="309"/>
      <c r="O460" s="309"/>
      <c r="P460" s="309"/>
      <c r="Q460" s="309"/>
      <c r="R460" s="309"/>
      <c r="S460" s="309"/>
      <c r="T460" s="309"/>
      <c r="U460" s="309"/>
    </row>
    <row r="461" spans="1:21" ht="12.75">
      <c r="A461" s="273" t="s">
        <v>820</v>
      </c>
      <c r="B461" s="627"/>
      <c r="C461" s="785"/>
      <c r="D461" s="786"/>
      <c r="E461" s="858"/>
      <c r="F461" s="781"/>
      <c r="G461" s="1507"/>
      <c r="H461" s="1526"/>
      <c r="I461" s="1501" t="str">
        <f t="shared" si="15"/>
        <v/>
      </c>
      <c r="J461" s="1501" t="str">
        <f t="shared" si="14"/>
        <v/>
      </c>
      <c r="K461" s="261"/>
      <c r="L461" s="309"/>
      <c r="M461" s="309"/>
      <c r="N461" s="309"/>
      <c r="O461" s="309"/>
      <c r="P461" s="309"/>
      <c r="Q461" s="309"/>
      <c r="R461" s="309"/>
      <c r="S461" s="309"/>
      <c r="T461" s="309"/>
      <c r="U461" s="309"/>
    </row>
    <row r="462" spans="1:21" ht="12.75">
      <c r="A462" s="337" t="s">
        <v>857</v>
      </c>
      <c r="B462" s="625">
        <v>40</v>
      </c>
      <c r="C462" s="623">
        <v>63.93</v>
      </c>
      <c r="D462" s="792">
        <v>0</v>
      </c>
      <c r="E462" s="624">
        <f>C462*B462</f>
        <v>2557.1999999999998</v>
      </c>
      <c r="F462" s="546" t="s">
        <v>411</v>
      </c>
      <c r="G462" s="1507"/>
      <c r="H462" s="1526"/>
      <c r="I462" s="1501" t="str">
        <f t="shared" si="15"/>
        <v/>
      </c>
      <c r="J462" s="1501" t="str">
        <f t="shared" si="14"/>
        <v/>
      </c>
      <c r="K462" s="261"/>
      <c r="L462" s="309"/>
      <c r="M462" s="309"/>
      <c r="N462" s="309"/>
      <c r="O462" s="309"/>
      <c r="P462" s="309"/>
      <c r="Q462" s="309"/>
      <c r="R462" s="309"/>
      <c r="S462" s="309"/>
      <c r="T462" s="309"/>
      <c r="U462" s="309"/>
    </row>
    <row r="463" spans="1:21" ht="12.75">
      <c r="A463" s="273"/>
      <c r="B463" s="627"/>
      <c r="C463" s="785"/>
      <c r="D463" s="786"/>
      <c r="E463" s="858"/>
      <c r="F463" s="781"/>
      <c r="G463" s="1511"/>
      <c r="H463" s="1526"/>
      <c r="I463" s="1501" t="str">
        <f t="shared" si="15"/>
        <v/>
      </c>
      <c r="J463" s="1501" t="str">
        <f t="shared" si="14"/>
        <v/>
      </c>
      <c r="K463" s="261"/>
      <c r="L463" s="309"/>
      <c r="M463" s="309"/>
      <c r="N463" s="309"/>
      <c r="O463" s="309"/>
      <c r="P463" s="309"/>
      <c r="Q463" s="309"/>
      <c r="R463" s="309"/>
      <c r="S463" s="309"/>
      <c r="T463" s="309"/>
      <c r="U463" s="309"/>
    </row>
    <row r="464" spans="1:21" ht="12.75">
      <c r="A464" s="333">
        <v>43760</v>
      </c>
      <c r="B464" s="627"/>
      <c r="C464" s="785"/>
      <c r="D464" s="786"/>
      <c r="E464" s="858"/>
      <c r="F464" s="781"/>
      <c r="G464" s="1507"/>
      <c r="H464" s="1526"/>
      <c r="I464" s="1501" t="str">
        <f t="shared" si="15"/>
        <v/>
      </c>
      <c r="J464" s="1501" t="str">
        <f t="shared" si="14"/>
        <v>LNG</v>
      </c>
      <c r="K464" s="261"/>
      <c r="L464" s="309"/>
      <c r="M464" s="309"/>
      <c r="N464" s="309"/>
      <c r="O464" s="309"/>
      <c r="P464" s="309"/>
      <c r="Q464" s="309"/>
      <c r="R464" s="309"/>
      <c r="S464" s="309"/>
      <c r="T464" s="309"/>
      <c r="U464" s="309"/>
    </row>
    <row r="465" spans="1:21" ht="12.75">
      <c r="A465" s="273" t="s">
        <v>824</v>
      </c>
      <c r="B465" s="627"/>
      <c r="C465" s="785"/>
      <c r="D465" s="786"/>
      <c r="E465" s="858"/>
      <c r="F465" s="781"/>
      <c r="G465" s="1507"/>
      <c r="H465" s="1526"/>
      <c r="I465" s="1501" t="str">
        <f t="shared" si="15"/>
        <v/>
      </c>
      <c r="J465" s="1501" t="str">
        <f t="shared" si="14"/>
        <v/>
      </c>
      <c r="K465" s="261"/>
      <c r="L465" s="309"/>
      <c r="M465" s="309"/>
      <c r="N465" s="309"/>
      <c r="O465" s="309"/>
      <c r="P465" s="309"/>
      <c r="Q465" s="309"/>
      <c r="R465" s="309"/>
      <c r="S465" s="309"/>
      <c r="T465" s="309"/>
      <c r="U465" s="309"/>
    </row>
    <row r="466" spans="1:21" ht="15.75">
      <c r="A466" s="534" t="s">
        <v>623</v>
      </c>
      <c r="B466" s="625">
        <v>40</v>
      </c>
      <c r="C466" s="623">
        <v>63.99</v>
      </c>
      <c r="D466" s="792">
        <v>0</v>
      </c>
      <c r="E466" s="624">
        <f>B466*C466</f>
        <v>2559.6</v>
      </c>
      <c r="F466" s="546" t="s">
        <v>624</v>
      </c>
      <c r="G466" s="1507"/>
      <c r="H466" s="1526"/>
      <c r="I466" s="1501" t="str">
        <f t="shared" si="15"/>
        <v>LNG</v>
      </c>
      <c r="J466" s="1501" t="str">
        <f t="shared" si="14"/>
        <v/>
      </c>
      <c r="K466" s="261"/>
      <c r="L466" s="309"/>
      <c r="M466" s="309"/>
      <c r="N466" s="309"/>
      <c r="O466" s="309"/>
      <c r="P466" s="309"/>
      <c r="Q466" s="309"/>
      <c r="R466" s="309"/>
      <c r="S466" s="309"/>
      <c r="T466" s="309"/>
      <c r="U466" s="309"/>
    </row>
    <row r="467" spans="1:21" ht="12.75">
      <c r="A467" s="273"/>
      <c r="B467" s="627"/>
      <c r="C467" s="785"/>
      <c r="D467" s="786"/>
      <c r="E467" s="858"/>
      <c r="F467" s="781"/>
      <c r="G467" s="1507"/>
      <c r="H467" s="1526"/>
      <c r="I467" s="1501" t="str">
        <f t="shared" si="15"/>
        <v/>
      </c>
      <c r="J467" s="1501" t="str">
        <f t="shared" si="14"/>
        <v/>
      </c>
      <c r="K467" s="261"/>
      <c r="L467" s="309"/>
      <c r="M467" s="309"/>
      <c r="N467" s="309"/>
      <c r="O467" s="309"/>
      <c r="P467" s="309"/>
      <c r="Q467" s="309"/>
      <c r="R467" s="309"/>
      <c r="S467" s="309"/>
      <c r="T467" s="309"/>
      <c r="U467" s="309"/>
    </row>
    <row r="468" spans="1:21" ht="12.75">
      <c r="A468" s="333">
        <v>43760</v>
      </c>
      <c r="B468" s="627"/>
      <c r="C468" s="785"/>
      <c r="D468" s="786"/>
      <c r="E468" s="858"/>
      <c r="F468" s="781"/>
      <c r="G468" s="1507"/>
      <c r="H468" s="1526"/>
      <c r="I468" s="1501" t="str">
        <f t="shared" si="15"/>
        <v/>
      </c>
      <c r="J468" s="1501" t="str">
        <f t="shared" si="14"/>
        <v>BND</v>
      </c>
      <c r="K468" s="261"/>
      <c r="L468" s="309"/>
      <c r="M468" s="309"/>
      <c r="N468" s="309"/>
      <c r="O468" s="309"/>
      <c r="P468" s="309"/>
      <c r="Q468" s="309"/>
      <c r="R468" s="309"/>
      <c r="S468" s="309"/>
      <c r="T468" s="309"/>
      <c r="U468" s="309"/>
    </row>
    <row r="469" spans="1:21" ht="12.75">
      <c r="A469" s="273" t="s">
        <v>824</v>
      </c>
      <c r="B469" s="627"/>
      <c r="C469" s="785"/>
      <c r="D469" s="786"/>
      <c r="E469" s="858"/>
      <c r="F469" s="781"/>
      <c r="G469" s="1507"/>
      <c r="H469" s="1526"/>
      <c r="I469" s="1501" t="str">
        <f t="shared" si="15"/>
        <v/>
      </c>
      <c r="J469" s="1501" t="str">
        <f t="shared" ref="J469:J500" si="16">IF(F471="","",IF(OR(A469="Sell",A470="Sell"),"",F471))</f>
        <v/>
      </c>
      <c r="K469" s="261"/>
      <c r="L469" s="309"/>
      <c r="M469" s="309"/>
      <c r="N469" s="309"/>
      <c r="O469" s="309"/>
      <c r="P469" s="309"/>
      <c r="Q469" s="309"/>
      <c r="R469" s="309"/>
      <c r="S469" s="309"/>
      <c r="T469" s="309"/>
      <c r="U469" s="309"/>
    </row>
    <row r="470" spans="1:21" ht="15.75">
      <c r="A470" s="534" t="s">
        <v>635</v>
      </c>
      <c r="B470" s="625">
        <v>65</v>
      </c>
      <c r="C470" s="623">
        <v>84.084100000000007</v>
      </c>
      <c r="D470" s="792">
        <v>0</v>
      </c>
      <c r="E470" s="624">
        <f>B470*C470</f>
        <v>5465.4665000000005</v>
      </c>
      <c r="F470" s="546" t="s">
        <v>636</v>
      </c>
      <c r="G470" s="1507"/>
      <c r="H470" s="1526"/>
      <c r="I470" s="1501" t="str">
        <f t="shared" si="15"/>
        <v>BND</v>
      </c>
      <c r="J470" s="1501" t="str">
        <f t="shared" si="16"/>
        <v/>
      </c>
      <c r="K470" s="261"/>
      <c r="L470" s="309"/>
      <c r="M470" s="309"/>
      <c r="N470" s="309"/>
      <c r="O470" s="309"/>
      <c r="P470" s="309"/>
      <c r="Q470" s="309"/>
      <c r="R470" s="309"/>
      <c r="S470" s="309"/>
      <c r="T470" s="309"/>
      <c r="U470" s="309"/>
    </row>
    <row r="471" spans="1:21" ht="12.75">
      <c r="A471" s="273"/>
      <c r="B471" s="627"/>
      <c r="C471" s="785"/>
      <c r="D471" s="786"/>
      <c r="E471" s="858"/>
      <c r="F471" s="781"/>
      <c r="G471" s="1507"/>
      <c r="H471" s="1526"/>
      <c r="I471" s="1501" t="str">
        <f t="shared" si="15"/>
        <v/>
      </c>
      <c r="J471" s="1501" t="str">
        <f t="shared" si="16"/>
        <v/>
      </c>
      <c r="K471" s="261"/>
      <c r="L471" s="309"/>
      <c r="M471" s="309"/>
      <c r="N471" s="309"/>
      <c r="O471" s="309"/>
      <c r="P471" s="309"/>
      <c r="Q471" s="309"/>
      <c r="R471" s="309"/>
      <c r="S471" s="309"/>
      <c r="T471" s="309"/>
      <c r="U471" s="309"/>
    </row>
    <row r="472" spans="1:21" ht="12.75">
      <c r="A472" s="333">
        <v>43760</v>
      </c>
      <c r="B472" s="627"/>
      <c r="C472" s="785"/>
      <c r="D472" s="786"/>
      <c r="E472" s="858"/>
      <c r="F472" s="781"/>
      <c r="G472" s="1507"/>
      <c r="H472" s="1526"/>
      <c r="I472" s="1501" t="str">
        <f t="shared" si="15"/>
        <v/>
      </c>
      <c r="J472" s="1501" t="str">
        <f t="shared" si="16"/>
        <v/>
      </c>
      <c r="K472" s="261"/>
      <c r="L472" s="309"/>
      <c r="M472" s="309"/>
      <c r="N472" s="309"/>
      <c r="O472" s="309"/>
      <c r="P472" s="309"/>
      <c r="Q472" s="309"/>
      <c r="R472" s="309"/>
      <c r="S472" s="309"/>
      <c r="T472" s="309"/>
      <c r="U472" s="309"/>
    </row>
    <row r="473" spans="1:21" ht="12.75">
      <c r="A473" s="273" t="s">
        <v>820</v>
      </c>
      <c r="B473" s="627"/>
      <c r="C473" s="785"/>
      <c r="D473" s="786"/>
      <c r="E473" s="858"/>
      <c r="F473" s="781"/>
      <c r="G473" s="1507"/>
      <c r="H473" s="1526"/>
      <c r="I473" s="1501" t="str">
        <f t="shared" si="15"/>
        <v/>
      </c>
      <c r="J473" s="1501" t="str">
        <f t="shared" si="16"/>
        <v/>
      </c>
      <c r="K473" s="261"/>
      <c r="L473" s="309"/>
      <c r="M473" s="309"/>
      <c r="N473" s="309"/>
      <c r="O473" s="309"/>
      <c r="P473" s="309"/>
      <c r="Q473" s="309"/>
      <c r="R473" s="309"/>
      <c r="S473" s="309"/>
      <c r="T473" s="309"/>
      <c r="U473" s="309"/>
    </row>
    <row r="474" spans="1:21" ht="12.75">
      <c r="A474" s="374" t="s">
        <v>642</v>
      </c>
      <c r="B474" s="625">
        <v>260</v>
      </c>
      <c r="C474" s="623">
        <v>12.795</v>
      </c>
      <c r="D474" s="792">
        <v>0</v>
      </c>
      <c r="E474" s="624">
        <f>B474*C474</f>
        <v>3326.7</v>
      </c>
      <c r="F474" s="546" t="s">
        <v>643</v>
      </c>
      <c r="G474" s="1507"/>
      <c r="H474" s="1526"/>
      <c r="I474" s="1501" t="str">
        <f t="shared" si="15"/>
        <v/>
      </c>
      <c r="J474" s="1501" t="str">
        <f t="shared" si="16"/>
        <v/>
      </c>
      <c r="K474" s="261"/>
      <c r="L474" s="309"/>
      <c r="M474" s="309"/>
      <c r="N474" s="309"/>
      <c r="O474" s="309"/>
      <c r="P474" s="309"/>
      <c r="Q474" s="309"/>
      <c r="R474" s="309"/>
      <c r="S474" s="309"/>
      <c r="T474" s="309"/>
      <c r="U474" s="309"/>
    </row>
    <row r="475" spans="1:21" ht="12.75">
      <c r="A475" s="273"/>
      <c r="B475" s="627"/>
      <c r="C475" s="785"/>
      <c r="D475" s="786"/>
      <c r="E475" s="858"/>
      <c r="F475" s="781"/>
      <c r="G475" s="1511"/>
      <c r="H475" s="1526"/>
      <c r="I475" s="1501" t="str">
        <f t="shared" si="15"/>
        <v/>
      </c>
      <c r="J475" s="1501" t="str">
        <f t="shared" si="16"/>
        <v/>
      </c>
      <c r="K475" s="261"/>
      <c r="L475" s="309"/>
      <c r="M475" s="309"/>
      <c r="N475" s="309"/>
      <c r="O475" s="309"/>
      <c r="P475" s="309"/>
      <c r="Q475" s="309"/>
      <c r="R475" s="309"/>
      <c r="S475" s="309"/>
      <c r="T475" s="309"/>
      <c r="U475" s="309"/>
    </row>
    <row r="476" spans="1:21" ht="12.75">
      <c r="A476" s="333">
        <v>43760</v>
      </c>
      <c r="B476" s="627"/>
      <c r="C476" s="785"/>
      <c r="D476" s="786"/>
      <c r="E476" s="858"/>
      <c r="F476" s="781"/>
      <c r="G476" s="1507"/>
      <c r="H476" s="1526"/>
      <c r="I476" s="1501" t="str">
        <f t="shared" si="15"/>
        <v/>
      </c>
      <c r="J476" s="1501" t="str">
        <f t="shared" si="16"/>
        <v/>
      </c>
      <c r="K476" s="261"/>
      <c r="L476" s="309"/>
      <c r="M476" s="309"/>
      <c r="N476" s="309"/>
      <c r="O476" s="309"/>
      <c r="P476" s="309"/>
      <c r="Q476" s="309"/>
      <c r="R476" s="309"/>
      <c r="S476" s="309"/>
      <c r="T476" s="309"/>
      <c r="U476" s="309"/>
    </row>
    <row r="477" spans="1:21" ht="12.75">
      <c r="A477" s="273" t="s">
        <v>820</v>
      </c>
      <c r="B477" s="627"/>
      <c r="C477" s="785"/>
      <c r="D477" s="786"/>
      <c r="E477" s="858"/>
      <c r="F477" s="781"/>
      <c r="G477" s="1507"/>
      <c r="H477" s="1526"/>
      <c r="I477" s="1501" t="str">
        <f t="shared" si="15"/>
        <v/>
      </c>
      <c r="J477" s="1501" t="str">
        <f t="shared" si="16"/>
        <v/>
      </c>
      <c r="K477" s="261"/>
      <c r="L477" s="309"/>
      <c r="M477" s="309"/>
      <c r="N477" s="309"/>
      <c r="O477" s="309"/>
      <c r="P477" s="309"/>
      <c r="Q477" s="309"/>
      <c r="R477" s="309"/>
      <c r="S477" s="309"/>
      <c r="T477" s="309"/>
      <c r="U477" s="309"/>
    </row>
    <row r="478" spans="1:21" ht="12.75">
      <c r="A478" s="374" t="s">
        <v>426</v>
      </c>
      <c r="B478" s="625">
        <v>54</v>
      </c>
      <c r="C478" s="623">
        <v>50.736600000000003</v>
      </c>
      <c r="D478" s="792">
        <v>0</v>
      </c>
      <c r="E478" s="624">
        <f>B478*C478</f>
        <v>2739.7764000000002</v>
      </c>
      <c r="F478" s="546" t="s">
        <v>310</v>
      </c>
      <c r="G478" s="1507"/>
      <c r="H478" s="1526"/>
      <c r="I478" s="1501" t="str">
        <f t="shared" si="15"/>
        <v/>
      </c>
      <c r="J478" s="1501" t="str">
        <f t="shared" si="16"/>
        <v/>
      </c>
      <c r="K478" s="261"/>
      <c r="L478" s="309"/>
      <c r="M478" s="309"/>
      <c r="N478" s="309"/>
      <c r="O478" s="309"/>
      <c r="P478" s="309"/>
      <c r="Q478" s="309"/>
      <c r="R478" s="309"/>
      <c r="S478" s="309"/>
      <c r="T478" s="309"/>
      <c r="U478" s="309"/>
    </row>
    <row r="479" spans="1:21" ht="12.75">
      <c r="A479" s="273"/>
      <c r="B479" s="627"/>
      <c r="C479" s="785"/>
      <c r="D479" s="786"/>
      <c r="E479" s="858"/>
      <c r="F479" s="781"/>
      <c r="G479" s="1511"/>
      <c r="H479" s="1526"/>
      <c r="I479" s="1501" t="str">
        <f t="shared" si="15"/>
        <v/>
      </c>
      <c r="J479" s="1501" t="str">
        <f t="shared" si="16"/>
        <v/>
      </c>
      <c r="K479" s="261"/>
      <c r="L479" s="309"/>
      <c r="M479" s="309"/>
      <c r="N479" s="309"/>
      <c r="O479" s="309"/>
      <c r="P479" s="309"/>
      <c r="Q479" s="309"/>
      <c r="R479" s="309"/>
      <c r="S479" s="309"/>
      <c r="T479" s="309"/>
      <c r="U479" s="309"/>
    </row>
    <row r="480" spans="1:21" ht="12.75">
      <c r="A480" s="333">
        <v>43755</v>
      </c>
      <c r="B480" s="627"/>
      <c r="C480" s="785"/>
      <c r="D480" s="786"/>
      <c r="E480" s="858"/>
      <c r="F480" s="781"/>
      <c r="G480" s="1507"/>
      <c r="H480" s="1526"/>
      <c r="I480" s="1501" t="str">
        <f t="shared" si="15"/>
        <v/>
      </c>
      <c r="J480" s="1501" t="str">
        <f t="shared" si="16"/>
        <v>AGG</v>
      </c>
      <c r="K480" s="261"/>
      <c r="L480" s="309"/>
      <c r="M480" s="309"/>
      <c r="N480" s="309"/>
      <c r="O480" s="309"/>
      <c r="P480" s="309"/>
      <c r="Q480" s="309"/>
      <c r="R480" s="309"/>
      <c r="S480" s="309"/>
      <c r="T480" s="309"/>
      <c r="U480" s="309"/>
    </row>
    <row r="481" spans="1:21" ht="12.75">
      <c r="A481" s="273" t="s">
        <v>824</v>
      </c>
      <c r="B481" s="627"/>
      <c r="C481" s="785"/>
      <c r="D481" s="786"/>
      <c r="E481" s="858"/>
      <c r="F481" s="781"/>
      <c r="G481" s="1507"/>
      <c r="H481" s="1526"/>
      <c r="I481" s="1501" t="str">
        <f t="shared" si="15"/>
        <v/>
      </c>
      <c r="J481" s="1501" t="str">
        <f t="shared" si="16"/>
        <v/>
      </c>
      <c r="K481" s="261"/>
      <c r="L481" s="309"/>
      <c r="M481" s="309"/>
      <c r="N481" s="309"/>
      <c r="O481" s="309"/>
      <c r="P481" s="309"/>
      <c r="Q481" s="309"/>
      <c r="R481" s="309"/>
      <c r="S481" s="309"/>
      <c r="T481" s="309"/>
      <c r="U481" s="309"/>
    </row>
    <row r="482" spans="1:21" ht="12.75">
      <c r="A482" s="337" t="s">
        <v>634</v>
      </c>
      <c r="B482" s="625">
        <v>80</v>
      </c>
      <c r="C482" s="623">
        <v>112.7593</v>
      </c>
      <c r="D482" s="792">
        <v>0</v>
      </c>
      <c r="E482" s="624">
        <f>B482*C482</f>
        <v>9020.7439999999988</v>
      </c>
      <c r="F482" s="546" t="s">
        <v>358</v>
      </c>
      <c r="G482" s="1507"/>
      <c r="H482" s="1526"/>
      <c r="I482" s="1501" t="str">
        <f t="shared" si="15"/>
        <v>AGG</v>
      </c>
      <c r="J482" s="1501" t="str">
        <f t="shared" si="16"/>
        <v/>
      </c>
      <c r="K482" s="261"/>
      <c r="L482" s="309"/>
      <c r="M482" s="309"/>
      <c r="N482" s="309"/>
      <c r="O482" s="309"/>
      <c r="P482" s="309"/>
      <c r="Q482" s="309"/>
      <c r="R482" s="309"/>
      <c r="S482" s="309"/>
      <c r="T482" s="309"/>
      <c r="U482" s="309"/>
    </row>
    <row r="483" spans="1:21" ht="12.75">
      <c r="A483" s="273"/>
      <c r="B483" s="627"/>
      <c r="C483" s="785"/>
      <c r="D483" s="786"/>
      <c r="E483" s="858"/>
      <c r="F483" s="781"/>
      <c r="G483" s="1511"/>
      <c r="H483" s="1526"/>
      <c r="I483" s="1501" t="str">
        <f t="shared" si="15"/>
        <v/>
      </c>
      <c r="J483" s="1501" t="str">
        <f t="shared" si="16"/>
        <v/>
      </c>
      <c r="K483" s="261"/>
      <c r="L483" s="309"/>
      <c r="M483" s="309"/>
      <c r="N483" s="309"/>
      <c r="O483" s="309"/>
      <c r="P483" s="309"/>
      <c r="Q483" s="309"/>
      <c r="R483" s="309"/>
      <c r="S483" s="309"/>
      <c r="T483" s="309"/>
      <c r="U483" s="309"/>
    </row>
    <row r="484" spans="1:21" ht="12.75">
      <c r="A484" s="333">
        <v>43755</v>
      </c>
      <c r="B484" s="627"/>
      <c r="C484" s="785"/>
      <c r="D484" s="786"/>
      <c r="E484" s="858"/>
      <c r="F484" s="781"/>
      <c r="G484" s="1507"/>
      <c r="H484" s="1526"/>
      <c r="I484" s="1501" t="str">
        <f t="shared" si="15"/>
        <v/>
      </c>
      <c r="J484" s="1501" t="str">
        <f t="shared" si="16"/>
        <v/>
      </c>
      <c r="K484" s="261"/>
      <c r="L484" s="309"/>
      <c r="M484" s="309"/>
      <c r="N484" s="309"/>
      <c r="O484" s="309"/>
      <c r="P484" s="309"/>
      <c r="Q484" s="309"/>
      <c r="R484" s="309"/>
      <c r="S484" s="309"/>
      <c r="T484" s="309"/>
      <c r="U484" s="309"/>
    </row>
    <row r="485" spans="1:21" ht="12.75">
      <c r="A485" s="273" t="s">
        <v>820</v>
      </c>
      <c r="B485" s="627"/>
      <c r="C485" s="785"/>
      <c r="D485" s="786"/>
      <c r="E485" s="858"/>
      <c r="F485" s="781"/>
      <c r="G485" s="1507"/>
      <c r="H485" s="1526"/>
      <c r="I485" s="1501" t="str">
        <f t="shared" si="15"/>
        <v/>
      </c>
      <c r="J485" s="1501" t="str">
        <f t="shared" si="16"/>
        <v/>
      </c>
      <c r="K485" s="261"/>
      <c r="L485" s="309"/>
      <c r="M485" s="309"/>
      <c r="N485" s="309"/>
      <c r="O485" s="309"/>
      <c r="P485" s="309"/>
      <c r="Q485" s="309"/>
      <c r="R485" s="309"/>
      <c r="S485" s="309"/>
      <c r="T485" s="309"/>
      <c r="U485" s="309"/>
    </row>
    <row r="486" spans="1:21" ht="12.75">
      <c r="A486" s="107" t="s">
        <v>568</v>
      </c>
      <c r="B486" s="625">
        <v>400</v>
      </c>
      <c r="C486" s="623">
        <v>23.301500000000001</v>
      </c>
      <c r="D486" s="792">
        <v>0</v>
      </c>
      <c r="E486" s="624">
        <f>B486*C486</f>
        <v>9320.6</v>
      </c>
      <c r="F486" s="546" t="s">
        <v>569</v>
      </c>
      <c r="G486" s="1507"/>
      <c r="H486" s="1526"/>
      <c r="I486" s="1501" t="str">
        <f t="shared" si="15"/>
        <v/>
      </c>
      <c r="J486" s="1501" t="str">
        <f t="shared" si="16"/>
        <v/>
      </c>
      <c r="K486" s="261"/>
      <c r="L486" s="309"/>
      <c r="M486" s="309"/>
      <c r="N486" s="309"/>
      <c r="O486" s="309"/>
      <c r="P486" s="309"/>
      <c r="Q486" s="309"/>
      <c r="R486" s="309"/>
      <c r="S486" s="309"/>
      <c r="T486" s="309"/>
      <c r="U486" s="309"/>
    </row>
    <row r="487" spans="1:21" ht="12.75">
      <c r="A487" s="273"/>
      <c r="B487" s="627"/>
      <c r="C487" s="785"/>
      <c r="D487" s="786"/>
      <c r="E487" s="858"/>
      <c r="F487" s="781"/>
      <c r="G487" s="1507"/>
      <c r="H487" s="1526"/>
      <c r="I487" s="1501" t="str">
        <f t="shared" si="15"/>
        <v/>
      </c>
      <c r="J487" s="1501" t="str">
        <f t="shared" si="16"/>
        <v/>
      </c>
      <c r="K487" s="261"/>
      <c r="L487" s="309"/>
      <c r="M487" s="309"/>
      <c r="N487" s="309"/>
      <c r="O487" s="309"/>
      <c r="P487" s="309"/>
      <c r="Q487" s="309"/>
      <c r="R487" s="309"/>
      <c r="S487" s="309"/>
      <c r="T487" s="309"/>
      <c r="U487" s="309"/>
    </row>
    <row r="488" spans="1:21" ht="12.75">
      <c r="A488" s="333">
        <v>43746</v>
      </c>
      <c r="B488" s="627"/>
      <c r="C488" s="785"/>
      <c r="D488" s="786"/>
      <c r="E488" s="858"/>
      <c r="F488" s="781"/>
      <c r="G488" s="1507"/>
      <c r="H488" s="1526"/>
      <c r="I488" s="1501" t="str">
        <f t="shared" si="15"/>
        <v/>
      </c>
      <c r="J488" s="1501" t="str">
        <f t="shared" si="16"/>
        <v/>
      </c>
      <c r="K488" s="261"/>
      <c r="L488" s="309"/>
      <c r="M488" s="309"/>
      <c r="N488" s="309"/>
      <c r="O488" s="309"/>
      <c r="P488" s="309"/>
      <c r="Q488" s="309"/>
      <c r="R488" s="309"/>
      <c r="S488" s="309"/>
      <c r="T488" s="309"/>
      <c r="U488" s="309"/>
    </row>
    <row r="489" spans="1:21" ht="12.75">
      <c r="A489" s="273" t="s">
        <v>820</v>
      </c>
      <c r="B489" s="627"/>
      <c r="C489" s="785"/>
      <c r="D489" s="786"/>
      <c r="E489" s="858"/>
      <c r="F489" s="781"/>
      <c r="G489" s="1507"/>
      <c r="H489" s="1526"/>
      <c r="I489" s="1501" t="str">
        <f t="shared" si="15"/>
        <v/>
      </c>
      <c r="J489" s="1501" t="str">
        <f t="shared" si="16"/>
        <v/>
      </c>
      <c r="K489" s="261"/>
      <c r="L489" s="309"/>
      <c r="M489" s="309"/>
      <c r="N489" s="309"/>
      <c r="O489" s="309"/>
      <c r="P489" s="309"/>
      <c r="Q489" s="309"/>
      <c r="R489" s="309"/>
      <c r="S489" s="309"/>
      <c r="T489" s="309"/>
      <c r="U489" s="309"/>
    </row>
    <row r="490" spans="1:21" ht="12.75">
      <c r="A490" s="337" t="s">
        <v>603</v>
      </c>
      <c r="B490" s="625">
        <v>9</v>
      </c>
      <c r="C490" s="623">
        <v>147.84</v>
      </c>
      <c r="D490" s="792">
        <v>0</v>
      </c>
      <c r="E490" s="624">
        <f>C490*B490</f>
        <v>1330.56</v>
      </c>
      <c r="F490" s="546" t="s">
        <v>604</v>
      </c>
      <c r="G490" s="1507"/>
      <c r="H490" s="1526"/>
      <c r="I490" s="1501" t="str">
        <f t="shared" ref="I490:I521" si="17">IF(F490="","",IF(OR(A489="Sell",A490="Sell"),"",F490))</f>
        <v/>
      </c>
      <c r="J490" s="1501" t="str">
        <f t="shared" si="16"/>
        <v/>
      </c>
      <c r="K490" s="261"/>
      <c r="L490" s="309"/>
      <c r="M490" s="309"/>
      <c r="N490" s="309"/>
      <c r="O490" s="309"/>
      <c r="P490" s="309"/>
      <c r="Q490" s="309"/>
      <c r="R490" s="309"/>
      <c r="S490" s="309"/>
      <c r="T490" s="309"/>
      <c r="U490" s="309"/>
    </row>
    <row r="491" spans="1:21" ht="12.75">
      <c r="A491" s="273"/>
      <c r="B491" s="627"/>
      <c r="C491" s="785"/>
      <c r="D491" s="786"/>
      <c r="E491" s="858"/>
      <c r="F491" s="781"/>
      <c r="G491" s="1507"/>
      <c r="H491" s="1526"/>
      <c r="I491" s="1501" t="str">
        <f t="shared" si="17"/>
        <v/>
      </c>
      <c r="J491" s="1501" t="str">
        <f t="shared" si="16"/>
        <v/>
      </c>
      <c r="K491" s="261"/>
      <c r="L491" s="309"/>
      <c r="M491" s="309"/>
      <c r="N491" s="309"/>
      <c r="O491" s="309"/>
      <c r="P491" s="309"/>
      <c r="Q491" s="309"/>
      <c r="R491" s="309"/>
      <c r="S491" s="309"/>
      <c r="T491" s="309"/>
      <c r="U491" s="309"/>
    </row>
    <row r="492" spans="1:21" ht="12.75">
      <c r="A492" s="333">
        <v>43746</v>
      </c>
      <c r="B492" s="627"/>
      <c r="C492" s="785"/>
      <c r="D492" s="786"/>
      <c r="E492" s="858"/>
      <c r="F492" s="781"/>
      <c r="G492" s="1507"/>
      <c r="H492" s="1526"/>
      <c r="I492" s="1501" t="str">
        <f t="shared" si="17"/>
        <v/>
      </c>
      <c r="J492" s="1501" t="str">
        <f t="shared" si="16"/>
        <v>NVDA</v>
      </c>
      <c r="K492" s="261"/>
      <c r="L492" s="309"/>
      <c r="M492" s="309"/>
      <c r="N492" s="309"/>
      <c r="O492" s="309"/>
      <c r="P492" s="309"/>
      <c r="Q492" s="309"/>
      <c r="R492" s="309"/>
      <c r="S492" s="309"/>
      <c r="T492" s="309"/>
      <c r="U492" s="309"/>
    </row>
    <row r="493" spans="1:21" ht="12.75">
      <c r="A493" s="273" t="s">
        <v>824</v>
      </c>
      <c r="B493" s="627"/>
      <c r="C493" s="785"/>
      <c r="D493" s="786"/>
      <c r="E493" s="858"/>
      <c r="F493" s="781"/>
      <c r="G493" s="1507"/>
      <c r="H493" s="1526"/>
      <c r="I493" s="1501" t="str">
        <f t="shared" si="17"/>
        <v/>
      </c>
      <c r="J493" s="1501" t="str">
        <f t="shared" si="16"/>
        <v/>
      </c>
      <c r="K493" s="261"/>
      <c r="L493" s="309"/>
      <c r="M493" s="309"/>
      <c r="N493" s="309"/>
      <c r="O493" s="309"/>
      <c r="P493" s="309"/>
      <c r="Q493" s="309"/>
      <c r="R493" s="309"/>
      <c r="S493" s="309"/>
      <c r="T493" s="309"/>
      <c r="U493" s="309"/>
    </row>
    <row r="494" spans="1:21" ht="12.75">
      <c r="A494" s="337" t="s">
        <v>629</v>
      </c>
      <c r="B494" s="625">
        <v>15</v>
      </c>
      <c r="C494" s="623">
        <v>178.31</v>
      </c>
      <c r="D494" s="792">
        <v>0</v>
      </c>
      <c r="E494" s="624">
        <f>B494*C494</f>
        <v>2674.65</v>
      </c>
      <c r="F494" s="546" t="s">
        <v>194</v>
      </c>
      <c r="G494" s="1507"/>
      <c r="H494" s="1526"/>
      <c r="I494" s="1501" t="str">
        <f t="shared" si="17"/>
        <v>NVDA</v>
      </c>
      <c r="J494" s="1501" t="str">
        <f t="shared" si="16"/>
        <v/>
      </c>
      <c r="K494" s="261"/>
      <c r="L494" s="309"/>
      <c r="M494" s="309"/>
      <c r="N494" s="309"/>
      <c r="O494" s="309"/>
      <c r="P494" s="309"/>
      <c r="Q494" s="309"/>
      <c r="R494" s="309"/>
      <c r="S494" s="309"/>
      <c r="T494" s="309"/>
      <c r="U494" s="309"/>
    </row>
    <row r="495" spans="1:21" ht="12.75">
      <c r="A495" s="273"/>
      <c r="B495" s="627"/>
      <c r="C495" s="785"/>
      <c r="D495" s="786"/>
      <c r="E495" s="858"/>
      <c r="F495" s="781"/>
      <c r="G495" s="1507"/>
      <c r="H495" s="1526"/>
      <c r="I495" s="1501" t="str">
        <f t="shared" si="17"/>
        <v/>
      </c>
      <c r="J495" s="1501" t="str">
        <f t="shared" si="16"/>
        <v/>
      </c>
      <c r="K495" s="261"/>
      <c r="L495" s="309"/>
      <c r="M495" s="309"/>
      <c r="N495" s="309"/>
      <c r="O495" s="309"/>
      <c r="P495" s="309"/>
      <c r="Q495" s="309"/>
      <c r="R495" s="309"/>
      <c r="S495" s="309"/>
      <c r="T495" s="309"/>
      <c r="U495" s="309"/>
    </row>
    <row r="496" spans="1:21" ht="12.75">
      <c r="A496" s="333">
        <v>43587</v>
      </c>
      <c r="B496" s="627"/>
      <c r="C496" s="785"/>
      <c r="D496" s="786"/>
      <c r="E496" s="858"/>
      <c r="F496" s="781"/>
      <c r="G496" s="1507"/>
      <c r="H496" s="1526"/>
      <c r="I496" s="1501" t="str">
        <f t="shared" si="17"/>
        <v/>
      </c>
      <c r="J496" s="1501" t="str">
        <f t="shared" si="16"/>
        <v>ET</v>
      </c>
      <c r="K496" s="261"/>
      <c r="L496" s="309"/>
      <c r="M496" s="309"/>
      <c r="N496" s="309"/>
      <c r="O496" s="309"/>
      <c r="P496" s="309"/>
      <c r="Q496" s="309"/>
      <c r="R496" s="309"/>
      <c r="S496" s="309"/>
      <c r="T496" s="309"/>
      <c r="U496" s="309"/>
    </row>
    <row r="497" spans="1:21" ht="12.75">
      <c r="A497" s="273" t="s">
        <v>824</v>
      </c>
      <c r="B497" s="627"/>
      <c r="C497" s="785"/>
      <c r="D497" s="786"/>
      <c r="E497" s="624"/>
      <c r="F497" s="781"/>
      <c r="G497" s="1507"/>
      <c r="H497" s="1526"/>
      <c r="I497" s="1501" t="str">
        <f t="shared" si="17"/>
        <v/>
      </c>
      <c r="J497" s="1501" t="str">
        <f t="shared" si="16"/>
        <v/>
      </c>
      <c r="K497" s="261"/>
      <c r="L497" s="309"/>
      <c r="M497" s="309"/>
      <c r="N497" s="309"/>
      <c r="O497" s="309"/>
      <c r="P497" s="309"/>
      <c r="Q497" s="309"/>
      <c r="R497" s="309"/>
      <c r="S497" s="309"/>
      <c r="T497" s="309"/>
      <c r="U497" s="309"/>
    </row>
    <row r="498" spans="1:21" ht="12.75">
      <c r="A498" s="337" t="s">
        <v>642</v>
      </c>
      <c r="B498" s="625">
        <v>260</v>
      </c>
      <c r="C498" s="623">
        <v>15.38</v>
      </c>
      <c r="D498" s="792">
        <v>6.95</v>
      </c>
      <c r="E498" s="624">
        <f>(B498*C498)+D498</f>
        <v>4005.75</v>
      </c>
      <c r="F498" s="546" t="s">
        <v>643</v>
      </c>
      <c r="G498" s="1507"/>
      <c r="H498" s="1526"/>
      <c r="I498" s="1501" t="str">
        <f t="shared" si="17"/>
        <v>ET</v>
      </c>
      <c r="J498" s="1501" t="str">
        <f t="shared" si="16"/>
        <v/>
      </c>
      <c r="K498" s="261"/>
      <c r="L498" s="309"/>
      <c r="M498" s="309"/>
      <c r="N498" s="309"/>
      <c r="O498" s="309"/>
      <c r="P498" s="309"/>
      <c r="Q498" s="309"/>
      <c r="R498" s="309"/>
      <c r="S498" s="309"/>
      <c r="T498" s="309"/>
      <c r="U498" s="309"/>
    </row>
    <row r="499" spans="1:21" ht="12.75">
      <c r="A499" s="273"/>
      <c r="B499" s="627"/>
      <c r="C499" s="785"/>
      <c r="D499" s="786"/>
      <c r="E499" s="624"/>
      <c r="F499" s="781"/>
      <c r="G499" s="1507"/>
      <c r="H499" s="1526"/>
      <c r="I499" s="1501" t="str">
        <f t="shared" si="17"/>
        <v/>
      </c>
      <c r="J499" s="1501" t="str">
        <f t="shared" si="16"/>
        <v/>
      </c>
      <c r="K499" s="261"/>
      <c r="L499" s="309"/>
      <c r="M499" s="309"/>
      <c r="N499" s="309"/>
      <c r="O499" s="309"/>
      <c r="P499" s="309"/>
      <c r="Q499" s="309"/>
      <c r="R499" s="309"/>
      <c r="S499" s="309"/>
      <c r="T499" s="309"/>
      <c r="U499" s="309"/>
    </row>
    <row r="500" spans="1:21" ht="12.75">
      <c r="A500" s="333">
        <v>43584</v>
      </c>
      <c r="B500" s="627"/>
      <c r="C500" s="785"/>
      <c r="D500" s="786"/>
      <c r="E500" s="624"/>
      <c r="F500" s="781"/>
      <c r="G500" s="1507"/>
      <c r="H500" s="1526"/>
      <c r="I500" s="1501" t="str">
        <f t="shared" si="17"/>
        <v/>
      </c>
      <c r="J500" s="1501" t="str">
        <f t="shared" si="16"/>
        <v>PEAK</v>
      </c>
      <c r="K500" s="261"/>
      <c r="L500" s="309"/>
      <c r="M500" s="309"/>
      <c r="N500" s="309"/>
      <c r="O500" s="309"/>
      <c r="P500" s="309"/>
      <c r="Q500" s="309"/>
      <c r="R500" s="309"/>
      <c r="S500" s="309"/>
      <c r="T500" s="309"/>
      <c r="U500" s="309"/>
    </row>
    <row r="501" spans="1:21" ht="12.75">
      <c r="A501" s="273" t="s">
        <v>824</v>
      </c>
      <c r="B501" s="627"/>
      <c r="C501" s="785"/>
      <c r="D501" s="786"/>
      <c r="E501" s="624"/>
      <c r="F501" s="781"/>
      <c r="G501" s="1507"/>
      <c r="H501" s="1526"/>
      <c r="I501" s="1501" t="str">
        <f t="shared" si="17"/>
        <v/>
      </c>
      <c r="J501" s="1501" t="str">
        <f t="shared" ref="J501:J532" si="18">IF(F503="","",IF(OR(A501="Sell",A502="Sell"),"",F503))</f>
        <v/>
      </c>
      <c r="K501" s="261"/>
      <c r="L501" s="309"/>
      <c r="M501" s="309"/>
      <c r="N501" s="309"/>
      <c r="O501" s="309"/>
      <c r="P501" s="309"/>
      <c r="Q501" s="309"/>
      <c r="R501" s="309"/>
      <c r="S501" s="309"/>
      <c r="T501" s="309"/>
      <c r="U501" s="309"/>
    </row>
    <row r="502" spans="1:21" ht="12.75">
      <c r="A502" s="337" t="s">
        <v>858</v>
      </c>
      <c r="B502" s="625">
        <v>35</v>
      </c>
      <c r="C502" s="623">
        <v>30.12</v>
      </c>
      <c r="D502" s="792">
        <v>6.95</v>
      </c>
      <c r="E502" s="624">
        <f>(B502*C502)+D502</f>
        <v>1061.1500000000001</v>
      </c>
      <c r="F502" s="546" t="s">
        <v>626</v>
      </c>
      <c r="G502" s="1507"/>
      <c r="H502" s="1526"/>
      <c r="I502" s="1501" t="str">
        <f t="shared" si="17"/>
        <v>PEAK</v>
      </c>
      <c r="J502" s="1501" t="str">
        <f t="shared" si="18"/>
        <v/>
      </c>
      <c r="K502" s="261"/>
      <c r="L502" s="309"/>
      <c r="M502" s="309"/>
      <c r="N502" s="309"/>
      <c r="O502" s="309"/>
      <c r="P502" s="309"/>
      <c r="Q502" s="309"/>
      <c r="R502" s="309"/>
      <c r="S502" s="309"/>
      <c r="T502" s="309"/>
      <c r="U502" s="309"/>
    </row>
    <row r="503" spans="1:21" ht="12.75">
      <c r="A503" s="273"/>
      <c r="B503" s="627"/>
      <c r="C503" s="785"/>
      <c r="D503" s="786"/>
      <c r="E503" s="624"/>
      <c r="F503" s="781"/>
      <c r="G503" s="1507"/>
      <c r="H503" s="1526"/>
      <c r="I503" s="1501" t="str">
        <f t="shared" si="17"/>
        <v/>
      </c>
      <c r="J503" s="1501" t="str">
        <f t="shared" si="18"/>
        <v/>
      </c>
      <c r="K503" s="261"/>
      <c r="L503" s="309"/>
      <c r="M503" s="309"/>
      <c r="N503" s="309"/>
      <c r="O503" s="309"/>
      <c r="P503" s="309"/>
      <c r="Q503" s="309"/>
      <c r="R503" s="309"/>
      <c r="S503" s="309"/>
      <c r="T503" s="309"/>
      <c r="U503" s="309"/>
    </row>
    <row r="504" spans="1:21" ht="12.75">
      <c r="A504" s="333">
        <v>43584</v>
      </c>
      <c r="B504" s="627"/>
      <c r="C504" s="785"/>
      <c r="D504" s="786"/>
      <c r="E504" s="624"/>
      <c r="F504" s="781"/>
      <c r="G504" s="1507"/>
      <c r="H504" s="1526"/>
      <c r="I504" s="1501" t="str">
        <f t="shared" si="17"/>
        <v/>
      </c>
      <c r="J504" s="1501" t="str">
        <f t="shared" si="18"/>
        <v/>
      </c>
      <c r="K504" s="261"/>
      <c r="L504" s="309"/>
      <c r="M504" s="309"/>
      <c r="N504" s="309"/>
      <c r="O504" s="309"/>
      <c r="P504" s="309"/>
      <c r="Q504" s="309"/>
      <c r="R504" s="309"/>
      <c r="S504" s="309"/>
      <c r="T504" s="309"/>
      <c r="U504" s="309"/>
    </row>
    <row r="505" spans="1:21" ht="12.75">
      <c r="A505" s="273" t="s">
        <v>820</v>
      </c>
      <c r="B505" s="627"/>
      <c r="C505" s="785"/>
      <c r="D505" s="786"/>
      <c r="E505" s="624"/>
      <c r="F505" s="781"/>
      <c r="G505" s="1507"/>
      <c r="H505" s="1526"/>
      <c r="I505" s="1501" t="str">
        <f t="shared" si="17"/>
        <v/>
      </c>
      <c r="J505" s="1501" t="str">
        <f t="shared" si="18"/>
        <v/>
      </c>
      <c r="K505" s="261"/>
      <c r="L505" s="309"/>
      <c r="M505" s="309"/>
      <c r="N505" s="309"/>
      <c r="O505" s="309"/>
      <c r="P505" s="309"/>
      <c r="Q505" s="309"/>
      <c r="R505" s="309"/>
      <c r="S505" s="309"/>
      <c r="T505" s="309"/>
      <c r="U505" s="309"/>
    </row>
    <row r="506" spans="1:21" ht="12.75">
      <c r="A506" s="337" t="s">
        <v>641</v>
      </c>
      <c r="B506" s="625">
        <v>65</v>
      </c>
      <c r="C506" s="623">
        <v>15.15</v>
      </c>
      <c r="D506" s="792">
        <v>6.98</v>
      </c>
      <c r="E506" s="624">
        <f>(B506*C506)-D506</f>
        <v>977.77</v>
      </c>
      <c r="F506" s="546" t="s">
        <v>559</v>
      </c>
      <c r="G506" s="1507"/>
      <c r="H506" s="1526"/>
      <c r="I506" s="1501" t="str">
        <f t="shared" si="17"/>
        <v/>
      </c>
      <c r="J506" s="1501" t="str">
        <f t="shared" si="18"/>
        <v/>
      </c>
      <c r="K506" s="261"/>
      <c r="L506" s="309"/>
      <c r="M506" s="309"/>
      <c r="N506" s="309"/>
      <c r="O506" s="309"/>
      <c r="P506" s="309"/>
      <c r="Q506" s="309"/>
      <c r="R506" s="309"/>
      <c r="S506" s="309"/>
      <c r="T506" s="309"/>
      <c r="U506" s="309"/>
    </row>
    <row r="507" spans="1:21" ht="12.75">
      <c r="A507" s="273"/>
      <c r="B507" s="627"/>
      <c r="C507" s="785"/>
      <c r="D507" s="786"/>
      <c r="E507" s="624"/>
      <c r="F507" s="781"/>
      <c r="G507" s="1507"/>
      <c r="H507" s="1526"/>
      <c r="I507" s="1501" t="str">
        <f t="shared" si="17"/>
        <v/>
      </c>
      <c r="J507" s="1501" t="str">
        <f t="shared" si="18"/>
        <v/>
      </c>
      <c r="K507" s="261"/>
      <c r="L507" s="309"/>
      <c r="M507" s="309"/>
      <c r="N507" s="309"/>
      <c r="O507" s="309"/>
      <c r="P507" s="309"/>
      <c r="Q507" s="309"/>
      <c r="R507" s="309"/>
      <c r="S507" s="309"/>
      <c r="T507" s="309"/>
      <c r="U507" s="309"/>
    </row>
    <row r="508" spans="1:21" ht="12.75">
      <c r="A508" s="333">
        <v>43577</v>
      </c>
      <c r="B508" s="627"/>
      <c r="C508" s="785"/>
      <c r="D508" s="786"/>
      <c r="E508" s="624"/>
      <c r="F508" s="781"/>
      <c r="G508" s="1507"/>
      <c r="H508" s="1526"/>
      <c r="I508" s="1501" t="str">
        <f t="shared" si="17"/>
        <v/>
      </c>
      <c r="J508" s="1501" t="str">
        <f t="shared" si="18"/>
        <v>TJX</v>
      </c>
      <c r="K508" s="261"/>
      <c r="L508" s="309"/>
      <c r="M508" s="309"/>
      <c r="N508" s="309"/>
      <c r="O508" s="309"/>
      <c r="P508" s="309"/>
      <c r="Q508" s="309"/>
      <c r="R508" s="309"/>
      <c r="S508" s="309"/>
      <c r="T508" s="309"/>
      <c r="U508" s="309"/>
    </row>
    <row r="509" spans="1:21" ht="12.75">
      <c r="A509" s="273" t="s">
        <v>824</v>
      </c>
      <c r="B509" s="627"/>
      <c r="C509" s="785"/>
      <c r="D509" s="786"/>
      <c r="E509" s="624"/>
      <c r="F509" s="781"/>
      <c r="G509" s="1507"/>
      <c r="H509" s="1526"/>
      <c r="I509" s="1501" t="str">
        <f t="shared" si="17"/>
        <v/>
      </c>
      <c r="J509" s="1501" t="str">
        <f t="shared" si="18"/>
        <v/>
      </c>
      <c r="K509" s="261"/>
      <c r="L509" s="309"/>
      <c r="M509" s="309"/>
      <c r="N509" s="309"/>
      <c r="O509" s="309"/>
      <c r="P509" s="309"/>
      <c r="Q509" s="309"/>
      <c r="R509" s="309"/>
      <c r="S509" s="309"/>
      <c r="T509" s="309"/>
      <c r="U509" s="309"/>
    </row>
    <row r="510" spans="1:21" ht="12.75">
      <c r="A510" s="337" t="s">
        <v>630</v>
      </c>
      <c r="B510" s="625">
        <v>43</v>
      </c>
      <c r="C510" s="623">
        <v>54.395000000000003</v>
      </c>
      <c r="D510" s="792">
        <v>6.95</v>
      </c>
      <c r="E510" s="624">
        <f>(B510*C510)+D510</f>
        <v>2345.9349999999999</v>
      </c>
      <c r="F510" s="546" t="s">
        <v>124</v>
      </c>
      <c r="G510" s="1507"/>
      <c r="H510" s="1526"/>
      <c r="I510" s="1501" t="str">
        <f t="shared" si="17"/>
        <v>TJX</v>
      </c>
      <c r="J510" s="1501" t="str">
        <f t="shared" si="18"/>
        <v/>
      </c>
      <c r="K510" s="261"/>
      <c r="L510" s="309"/>
      <c r="M510" s="309"/>
      <c r="N510" s="309"/>
      <c r="O510" s="309"/>
      <c r="P510" s="309"/>
      <c r="Q510" s="309"/>
      <c r="R510" s="309"/>
      <c r="S510" s="309"/>
      <c r="T510" s="309"/>
      <c r="U510" s="309"/>
    </row>
    <row r="511" spans="1:21" ht="12.75">
      <c r="A511" s="273"/>
      <c r="B511" s="627"/>
      <c r="C511" s="785"/>
      <c r="D511" s="786"/>
      <c r="E511" s="624"/>
      <c r="F511" s="781"/>
      <c r="G511" s="1507"/>
      <c r="H511" s="1526"/>
      <c r="I511" s="1501" t="str">
        <f t="shared" si="17"/>
        <v/>
      </c>
      <c r="J511" s="1501" t="str">
        <f t="shared" si="18"/>
        <v/>
      </c>
      <c r="K511" s="261"/>
      <c r="L511" s="309"/>
      <c r="M511" s="309"/>
      <c r="N511" s="309"/>
      <c r="O511" s="309"/>
      <c r="P511" s="309"/>
      <c r="Q511" s="309"/>
      <c r="R511" s="309"/>
      <c r="S511" s="309"/>
      <c r="T511" s="309"/>
      <c r="U511" s="309"/>
    </row>
    <row r="512" spans="1:21" ht="12.75">
      <c r="A512" s="333">
        <v>43577</v>
      </c>
      <c r="B512" s="627"/>
      <c r="C512" s="785"/>
      <c r="D512" s="786"/>
      <c r="E512" s="624"/>
      <c r="F512" s="781"/>
      <c r="G512" s="1507"/>
      <c r="H512" s="1526"/>
      <c r="I512" s="1501" t="str">
        <f t="shared" si="17"/>
        <v/>
      </c>
      <c r="J512" s="1501" t="str">
        <f t="shared" si="18"/>
        <v/>
      </c>
      <c r="K512" s="261"/>
      <c r="L512" s="309"/>
      <c r="M512" s="309"/>
      <c r="N512" s="309"/>
      <c r="O512" s="309"/>
      <c r="P512" s="309"/>
      <c r="Q512" s="309"/>
      <c r="R512" s="309"/>
      <c r="S512" s="309"/>
      <c r="T512" s="309"/>
      <c r="U512" s="309"/>
    </row>
    <row r="513" spans="1:21" ht="12.75">
      <c r="A513" s="273" t="s">
        <v>820</v>
      </c>
      <c r="B513" s="627"/>
      <c r="C513" s="785"/>
      <c r="D513" s="786"/>
      <c r="E513" s="624"/>
      <c r="F513" s="781"/>
      <c r="G513" s="1507"/>
      <c r="H513" s="1526"/>
      <c r="I513" s="1501" t="str">
        <f t="shared" si="17"/>
        <v/>
      </c>
      <c r="J513" s="1501" t="str">
        <f t="shared" si="18"/>
        <v/>
      </c>
      <c r="K513" s="261"/>
      <c r="L513" s="309"/>
      <c r="M513" s="309"/>
      <c r="N513" s="309"/>
      <c r="O513" s="309"/>
      <c r="P513" s="309"/>
      <c r="Q513" s="309"/>
      <c r="R513" s="309"/>
      <c r="S513" s="309"/>
      <c r="T513" s="309"/>
      <c r="U513" s="309"/>
    </row>
    <row r="514" spans="1:21" ht="12.75" customHeight="1">
      <c r="A514" s="273" t="s">
        <v>537</v>
      </c>
      <c r="B514" s="625">
        <v>13</v>
      </c>
      <c r="C514" s="623">
        <v>185.739</v>
      </c>
      <c r="D514" s="792">
        <v>7</v>
      </c>
      <c r="E514" s="624">
        <f>(B514*C514)-D514</f>
        <v>2407.607</v>
      </c>
      <c r="F514" s="546" t="s">
        <v>538</v>
      </c>
      <c r="G514" s="1507"/>
      <c r="H514" s="1526"/>
      <c r="I514" s="1501" t="str">
        <f t="shared" si="17"/>
        <v/>
      </c>
      <c r="J514" s="1501" t="str">
        <f t="shared" si="18"/>
        <v/>
      </c>
      <c r="K514" s="261"/>
      <c r="L514" s="309"/>
      <c r="M514" s="309"/>
      <c r="N514" s="309"/>
      <c r="O514" s="309"/>
      <c r="P514" s="309"/>
      <c r="Q514" s="309"/>
      <c r="R514" s="309"/>
      <c r="S514" s="309"/>
      <c r="T514" s="309"/>
      <c r="U514" s="309"/>
    </row>
    <row r="515" spans="1:21" ht="12.75" customHeight="1">
      <c r="A515" s="273"/>
      <c r="B515" s="627"/>
      <c r="C515" s="785"/>
      <c r="D515" s="786"/>
      <c r="E515" s="858"/>
      <c r="F515" s="781"/>
      <c r="G515" s="1507"/>
      <c r="H515" s="1526"/>
      <c r="I515" s="1501" t="str">
        <f t="shared" si="17"/>
        <v/>
      </c>
      <c r="J515" s="1501" t="str">
        <f t="shared" si="18"/>
        <v/>
      </c>
      <c r="K515" s="261"/>
      <c r="L515" s="309"/>
      <c r="M515" s="309"/>
      <c r="N515" s="309"/>
      <c r="O515" s="309"/>
      <c r="P515" s="309"/>
      <c r="Q515" s="309"/>
      <c r="R515" s="309"/>
      <c r="S515" s="309"/>
      <c r="T515" s="309"/>
      <c r="U515" s="309"/>
    </row>
    <row r="516" spans="1:21" ht="12.75" customHeight="1">
      <c r="A516" s="333">
        <v>43528</v>
      </c>
      <c r="B516" s="627"/>
      <c r="C516" s="785"/>
      <c r="D516" s="786"/>
      <c r="E516" s="858"/>
      <c r="F516" s="781"/>
      <c r="G516" s="1507"/>
      <c r="H516" s="1526"/>
      <c r="I516" s="1501" t="str">
        <f t="shared" si="17"/>
        <v/>
      </c>
      <c r="J516" s="1501" t="str">
        <f t="shared" si="18"/>
        <v/>
      </c>
      <c r="K516" s="261"/>
      <c r="L516" s="309"/>
      <c r="M516" s="309"/>
      <c r="N516" s="309"/>
      <c r="O516" s="309"/>
      <c r="P516" s="309"/>
      <c r="Q516" s="309"/>
      <c r="R516" s="309"/>
      <c r="S516" s="309"/>
      <c r="T516" s="309"/>
      <c r="U516" s="309"/>
    </row>
    <row r="517" spans="1:21" ht="12.75" customHeight="1">
      <c r="A517" s="273" t="s">
        <v>820</v>
      </c>
      <c r="B517" s="627"/>
      <c r="C517" s="785"/>
      <c r="D517" s="786"/>
      <c r="E517" s="858"/>
      <c r="F517" s="781"/>
      <c r="G517" s="1507"/>
      <c r="H517" s="1526"/>
      <c r="I517" s="1501" t="str">
        <f t="shared" si="17"/>
        <v/>
      </c>
      <c r="J517" s="1501" t="str">
        <f t="shared" si="18"/>
        <v/>
      </c>
      <c r="K517" s="261"/>
      <c r="L517" s="309"/>
      <c r="M517" s="309"/>
      <c r="N517" s="309"/>
      <c r="O517" s="309"/>
      <c r="P517" s="309"/>
      <c r="Q517" s="309"/>
      <c r="R517" s="309"/>
      <c r="S517" s="309"/>
      <c r="T517" s="309"/>
      <c r="U517" s="309"/>
    </row>
    <row r="518" spans="1:21" ht="12.75" customHeight="1">
      <c r="A518" s="273" t="s">
        <v>608</v>
      </c>
      <c r="B518" s="625">
        <v>30</v>
      </c>
      <c r="C518" s="623">
        <v>81.92</v>
      </c>
      <c r="D518" s="792">
        <v>6.98</v>
      </c>
      <c r="E518" s="624">
        <f>B518*C518-D518</f>
        <v>2450.62</v>
      </c>
      <c r="F518" s="546" t="s">
        <v>609</v>
      </c>
      <c r="G518" s="1507"/>
      <c r="H518" s="1526"/>
      <c r="I518" s="1501" t="str">
        <f t="shared" si="17"/>
        <v/>
      </c>
      <c r="J518" s="1501" t="str">
        <f t="shared" si="18"/>
        <v/>
      </c>
      <c r="K518" s="261"/>
      <c r="L518" s="309"/>
      <c r="M518" s="309"/>
      <c r="N518" s="309"/>
      <c r="O518" s="309"/>
      <c r="P518" s="309"/>
      <c r="Q518" s="309"/>
      <c r="R518" s="309"/>
      <c r="S518" s="309"/>
      <c r="T518" s="309"/>
      <c r="U518" s="309"/>
    </row>
    <row r="519" spans="1:21" ht="12.75" customHeight="1">
      <c r="A519" s="273"/>
      <c r="B519" s="627"/>
      <c r="C519" s="785"/>
      <c r="D519" s="786"/>
      <c r="E519" s="858"/>
      <c r="F519" s="546"/>
      <c r="G519" s="1507"/>
      <c r="H519" s="1526"/>
      <c r="I519" s="1501" t="str">
        <f t="shared" si="17"/>
        <v/>
      </c>
      <c r="J519" s="1501" t="str">
        <f t="shared" si="18"/>
        <v/>
      </c>
      <c r="K519" s="261"/>
      <c r="L519" s="309"/>
      <c r="M519" s="309"/>
      <c r="N519" s="309"/>
      <c r="O519" s="309"/>
      <c r="P519" s="309"/>
      <c r="Q519" s="309"/>
      <c r="R519" s="309"/>
      <c r="S519" s="309"/>
      <c r="T519" s="309"/>
      <c r="U519" s="309"/>
    </row>
    <row r="520" spans="1:21" ht="12.75" customHeight="1">
      <c r="A520" s="339">
        <v>43507</v>
      </c>
      <c r="B520" s="627"/>
      <c r="C520" s="785"/>
      <c r="D520" s="786"/>
      <c r="E520" s="858"/>
      <c r="F520" s="546"/>
      <c r="G520" s="1507"/>
      <c r="H520" s="1526"/>
      <c r="I520" s="1501" t="str">
        <f t="shared" si="17"/>
        <v/>
      </c>
      <c r="J520" s="1501" t="str">
        <f t="shared" si="18"/>
        <v/>
      </c>
      <c r="K520" s="261"/>
      <c r="L520" s="309"/>
      <c r="M520" s="309"/>
      <c r="N520" s="309"/>
      <c r="O520" s="309"/>
      <c r="P520" s="309"/>
      <c r="Q520" s="309"/>
      <c r="R520" s="309"/>
      <c r="S520" s="309"/>
      <c r="T520" s="309"/>
      <c r="U520" s="309"/>
    </row>
    <row r="521" spans="1:21" ht="12.75" customHeight="1">
      <c r="A521" s="273" t="s">
        <v>820</v>
      </c>
      <c r="B521" s="627"/>
      <c r="C521" s="785"/>
      <c r="D521" s="786"/>
      <c r="E521" s="858"/>
      <c r="F521" s="546"/>
      <c r="G521" s="1507"/>
      <c r="H521" s="1526"/>
      <c r="I521" s="1501" t="str">
        <f t="shared" si="17"/>
        <v/>
      </c>
      <c r="J521" s="1501" t="str">
        <f t="shared" si="18"/>
        <v/>
      </c>
      <c r="K521" s="261"/>
      <c r="L521" s="309"/>
      <c r="M521" s="309"/>
      <c r="N521" s="309"/>
      <c r="O521" s="309"/>
      <c r="P521" s="309"/>
      <c r="Q521" s="309"/>
      <c r="R521" s="309"/>
      <c r="S521" s="309"/>
      <c r="T521" s="309"/>
      <c r="U521" s="309"/>
    </row>
    <row r="522" spans="1:21" ht="12.75" customHeight="1">
      <c r="A522" s="337" t="s">
        <v>859</v>
      </c>
      <c r="B522" s="625">
        <v>32</v>
      </c>
      <c r="C522" s="623">
        <v>37.549999999999997</v>
      </c>
      <c r="D522" s="792">
        <v>6.98</v>
      </c>
      <c r="E522" s="624">
        <f>B522*C522-D522</f>
        <v>1194.6199999999999</v>
      </c>
      <c r="F522" s="546" t="s">
        <v>562</v>
      </c>
      <c r="G522" s="1507"/>
      <c r="H522" s="1526"/>
      <c r="I522" s="1501" t="str">
        <f t="shared" ref="I522:I541" si="19">IF(F522="","",IF(OR(A521="Sell",A522="Sell"),"",F522))</f>
        <v/>
      </c>
      <c r="J522" s="1501" t="str">
        <f t="shared" si="18"/>
        <v/>
      </c>
      <c r="K522" s="261"/>
      <c r="L522" s="309"/>
      <c r="M522" s="309"/>
      <c r="N522" s="309"/>
      <c r="O522" s="309"/>
      <c r="P522" s="309"/>
      <c r="Q522" s="309"/>
      <c r="R522" s="309"/>
      <c r="S522" s="309"/>
      <c r="T522" s="309"/>
      <c r="U522" s="309"/>
    </row>
    <row r="523" spans="1:21" ht="12.75" customHeight="1">
      <c r="A523" s="273"/>
      <c r="B523" s="627"/>
      <c r="C523" s="785"/>
      <c r="D523" s="786"/>
      <c r="E523" s="858"/>
      <c r="F523" s="546"/>
      <c r="G523" s="1507"/>
      <c r="H523" s="1526"/>
      <c r="I523" s="1501" t="str">
        <f t="shared" si="19"/>
        <v/>
      </c>
      <c r="J523" s="1501" t="str">
        <f t="shared" si="18"/>
        <v/>
      </c>
      <c r="K523" s="261"/>
      <c r="L523" s="309"/>
      <c r="M523" s="309"/>
      <c r="N523" s="309"/>
      <c r="O523" s="309"/>
      <c r="P523" s="309"/>
      <c r="Q523" s="309"/>
      <c r="R523" s="309"/>
      <c r="S523" s="309"/>
      <c r="T523" s="309"/>
      <c r="U523" s="309"/>
    </row>
    <row r="524" spans="1:21" ht="12.75" customHeight="1">
      <c r="A524" s="339">
        <v>43507</v>
      </c>
      <c r="B524" s="627"/>
      <c r="C524" s="785"/>
      <c r="D524" s="786"/>
      <c r="E524" s="858"/>
      <c r="F524" s="546"/>
      <c r="G524" s="1508"/>
      <c r="H524" s="1501"/>
      <c r="I524" s="1501" t="str">
        <f t="shared" si="19"/>
        <v/>
      </c>
      <c r="J524" s="1501" t="str">
        <f t="shared" si="18"/>
        <v>CELG</v>
      </c>
      <c r="K524" s="261"/>
      <c r="L524" s="309"/>
      <c r="M524" s="309"/>
      <c r="N524" s="309"/>
      <c r="O524" s="309"/>
      <c r="P524" s="309"/>
      <c r="Q524" s="309"/>
      <c r="R524" s="309"/>
      <c r="S524" s="309"/>
      <c r="T524" s="309"/>
      <c r="U524" s="309"/>
    </row>
    <row r="525" spans="1:21" ht="12.75" customHeight="1">
      <c r="A525" s="273" t="s">
        <v>824</v>
      </c>
      <c r="B525" s="627"/>
      <c r="C525" s="785"/>
      <c r="D525" s="786"/>
      <c r="E525" s="858"/>
      <c r="F525" s="546"/>
      <c r="G525" s="1508"/>
      <c r="H525" s="1501"/>
      <c r="I525" s="1501" t="str">
        <f t="shared" si="19"/>
        <v/>
      </c>
      <c r="J525" s="1501" t="str">
        <f t="shared" si="18"/>
        <v/>
      </c>
      <c r="K525" s="261"/>
      <c r="L525" s="309"/>
      <c r="M525" s="309"/>
      <c r="N525" s="309"/>
      <c r="O525" s="309"/>
      <c r="P525" s="309"/>
      <c r="Q525" s="309"/>
      <c r="R525" s="309"/>
      <c r="S525" s="309"/>
      <c r="T525" s="309"/>
      <c r="U525" s="309"/>
    </row>
    <row r="526" spans="1:21" ht="12.75" customHeight="1">
      <c r="A526" s="337" t="s">
        <v>860</v>
      </c>
      <c r="B526" s="625">
        <v>16</v>
      </c>
      <c r="C526" s="623">
        <v>87.54</v>
      </c>
      <c r="D526" s="792">
        <v>6.95</v>
      </c>
      <c r="E526" s="624">
        <f>B526*C526+D526</f>
        <v>1407.5900000000001</v>
      </c>
      <c r="F526" s="546" t="s">
        <v>645</v>
      </c>
      <c r="G526" s="1508"/>
      <c r="H526" s="1501"/>
      <c r="I526" s="1501" t="str">
        <f t="shared" si="19"/>
        <v>CELG</v>
      </c>
      <c r="J526" s="1501" t="str">
        <f t="shared" si="18"/>
        <v/>
      </c>
      <c r="K526" s="261"/>
      <c r="L526" s="309"/>
      <c r="M526" s="309"/>
      <c r="N526" s="309"/>
      <c r="O526" s="309"/>
      <c r="P526" s="309"/>
      <c r="Q526" s="309"/>
      <c r="R526" s="309"/>
      <c r="S526" s="309"/>
      <c r="T526" s="309"/>
      <c r="U526" s="309"/>
    </row>
    <row r="527" spans="1:21" ht="12.75" customHeight="1">
      <c r="A527" s="273"/>
      <c r="B527" s="625"/>
      <c r="C527" s="623"/>
      <c r="D527" s="792"/>
      <c r="E527" s="624"/>
      <c r="F527" s="546"/>
      <c r="G527" s="1508"/>
      <c r="H527" s="1501"/>
      <c r="I527" s="1501" t="str">
        <f t="shared" si="19"/>
        <v/>
      </c>
      <c r="J527" s="1501" t="str">
        <f t="shared" si="18"/>
        <v/>
      </c>
      <c r="K527" s="261"/>
      <c r="L527" s="309"/>
      <c r="M527" s="309"/>
      <c r="N527" s="309"/>
      <c r="O527" s="309"/>
      <c r="P527" s="309"/>
      <c r="Q527" s="309"/>
      <c r="R527" s="309"/>
      <c r="S527" s="309"/>
      <c r="T527" s="309"/>
      <c r="U527" s="309"/>
    </row>
    <row r="528" spans="1:21" ht="12.75" customHeight="1">
      <c r="A528" s="310">
        <v>43458</v>
      </c>
      <c r="B528" s="625"/>
      <c r="C528" s="623"/>
      <c r="D528" s="792"/>
      <c r="E528" s="624"/>
      <c r="F528" s="546"/>
      <c r="G528" s="1508"/>
      <c r="H528" s="1501"/>
      <c r="I528" s="1501" t="str">
        <f t="shared" si="19"/>
        <v/>
      </c>
      <c r="J528" s="1501" t="str">
        <f t="shared" si="18"/>
        <v>CI</v>
      </c>
      <c r="K528" s="261"/>
      <c r="L528" s="309"/>
      <c r="M528" s="309"/>
      <c r="N528" s="309"/>
      <c r="O528" s="309"/>
      <c r="P528" s="309"/>
      <c r="Q528" s="309"/>
      <c r="R528" s="309"/>
      <c r="S528" s="309"/>
      <c r="T528" s="309"/>
      <c r="U528" s="309"/>
    </row>
    <row r="529" spans="1:21" ht="12.75" customHeight="1">
      <c r="A529" s="262" t="s">
        <v>824</v>
      </c>
      <c r="B529" s="625"/>
      <c r="C529" s="623"/>
      <c r="D529" s="792"/>
      <c r="E529" s="624"/>
      <c r="F529" s="546"/>
      <c r="G529" s="1508"/>
      <c r="H529" s="1501"/>
      <c r="I529" s="1501" t="str">
        <f t="shared" si="19"/>
        <v/>
      </c>
      <c r="J529" s="1501" t="str">
        <f t="shared" si="18"/>
        <v/>
      </c>
      <c r="K529" s="261"/>
      <c r="L529" s="309"/>
      <c r="M529" s="309"/>
      <c r="N529" s="309"/>
      <c r="O529" s="309"/>
      <c r="P529" s="309"/>
      <c r="Q529" s="309"/>
      <c r="R529" s="309"/>
      <c r="S529" s="309"/>
      <c r="T529" s="309"/>
      <c r="U529" s="309"/>
    </row>
    <row r="530" spans="1:21" ht="12.75" customHeight="1">
      <c r="A530" s="377" t="s">
        <v>861</v>
      </c>
      <c r="B530" s="625">
        <v>9</v>
      </c>
      <c r="C530" s="821">
        <v>180.52</v>
      </c>
      <c r="D530" s="792"/>
      <c r="E530" s="624">
        <f>B530*C530</f>
        <v>1624.68</v>
      </c>
      <c r="F530" s="546" t="s">
        <v>604</v>
      </c>
      <c r="G530" s="1508"/>
      <c r="H530" s="1501"/>
      <c r="I530" s="1501" t="str">
        <f t="shared" si="19"/>
        <v>CI</v>
      </c>
      <c r="J530" s="1501" t="str">
        <f t="shared" si="18"/>
        <v/>
      </c>
      <c r="K530" s="261"/>
      <c r="L530" s="309"/>
      <c r="M530" s="309"/>
      <c r="N530" s="309"/>
      <c r="O530" s="309"/>
      <c r="P530" s="309"/>
      <c r="Q530" s="309"/>
      <c r="R530" s="309"/>
      <c r="S530" s="309"/>
      <c r="T530" s="309"/>
      <c r="U530" s="309"/>
    </row>
    <row r="531" spans="1:21" ht="12.75" customHeight="1">
      <c r="A531" s="377"/>
      <c r="B531" s="625"/>
      <c r="C531" s="821"/>
      <c r="D531" s="792"/>
      <c r="E531" s="624"/>
      <c r="F531" s="546"/>
      <c r="G531" s="1508"/>
      <c r="H531" s="1501"/>
      <c r="I531" s="1501" t="str">
        <f t="shared" si="19"/>
        <v/>
      </c>
      <c r="J531" s="1501" t="str">
        <f t="shared" si="18"/>
        <v/>
      </c>
      <c r="K531" s="261"/>
      <c r="L531" s="309"/>
      <c r="M531" s="309"/>
      <c r="N531" s="309"/>
      <c r="O531" s="309"/>
      <c r="P531" s="309"/>
      <c r="Q531" s="309"/>
      <c r="R531" s="309"/>
      <c r="S531" s="309"/>
      <c r="T531" s="309"/>
      <c r="U531" s="309"/>
    </row>
    <row r="532" spans="1:21" ht="12.75" customHeight="1">
      <c r="A532" s="310">
        <v>43458</v>
      </c>
      <c r="B532" s="625"/>
      <c r="C532" s="821"/>
      <c r="D532" s="792"/>
      <c r="E532" s="624"/>
      <c r="F532" s="546"/>
      <c r="G532" s="1508"/>
      <c r="H532" s="1501"/>
      <c r="I532" s="1501" t="str">
        <f t="shared" si="19"/>
        <v/>
      </c>
      <c r="J532" s="1501" t="str">
        <f t="shared" si="18"/>
        <v/>
      </c>
      <c r="K532" s="261"/>
      <c r="L532" s="309"/>
      <c r="M532" s="309"/>
      <c r="N532" s="309"/>
      <c r="O532" s="309"/>
      <c r="P532" s="309"/>
      <c r="Q532" s="309"/>
      <c r="R532" s="309"/>
      <c r="S532" s="309"/>
      <c r="T532" s="309"/>
      <c r="U532" s="309"/>
    </row>
    <row r="533" spans="1:21" ht="12.75" customHeight="1">
      <c r="A533" s="262" t="s">
        <v>820</v>
      </c>
      <c r="B533" s="625"/>
      <c r="C533" s="821"/>
      <c r="D533" s="792"/>
      <c r="E533" s="624"/>
      <c r="F533" s="546"/>
      <c r="G533" s="1508"/>
      <c r="H533" s="1501"/>
      <c r="I533" s="1501" t="str">
        <f t="shared" si="19"/>
        <v/>
      </c>
      <c r="J533" s="1501" t="str">
        <f t="shared" ref="J533:J539" si="20">IF(F535="","",IF(OR(A533="Sell",A534="Sell"),"",F535))</f>
        <v/>
      </c>
      <c r="K533" s="261"/>
      <c r="L533" s="309"/>
      <c r="M533" s="309"/>
      <c r="N533" s="309"/>
      <c r="O533" s="309"/>
      <c r="P533" s="309"/>
      <c r="Q533" s="309"/>
      <c r="R533" s="309"/>
      <c r="S533" s="309"/>
      <c r="T533" s="309"/>
      <c r="U533" s="309"/>
    </row>
    <row r="534" spans="1:21" ht="12.75" customHeight="1">
      <c r="A534" s="377" t="s">
        <v>343</v>
      </c>
      <c r="B534" s="625">
        <v>38</v>
      </c>
      <c r="C534" s="821">
        <v>48.75</v>
      </c>
      <c r="D534" s="792">
        <v>0</v>
      </c>
      <c r="E534" s="624">
        <f>B534*C534</f>
        <v>1852.5</v>
      </c>
      <c r="F534" s="546" t="s">
        <v>344</v>
      </c>
      <c r="G534" s="1508"/>
      <c r="H534" s="1501"/>
      <c r="I534" s="1501" t="str">
        <f t="shared" si="19"/>
        <v/>
      </c>
      <c r="J534" s="1501" t="str">
        <f t="shared" si="20"/>
        <v/>
      </c>
      <c r="K534" s="261"/>
      <c r="L534" s="309"/>
      <c r="M534" s="309"/>
      <c r="N534" s="309"/>
      <c r="O534" s="309"/>
      <c r="P534" s="309"/>
      <c r="Q534" s="309"/>
      <c r="R534" s="309"/>
      <c r="S534" s="309"/>
      <c r="T534" s="309"/>
      <c r="U534" s="309"/>
    </row>
    <row r="535" spans="1:21" ht="12.75" customHeight="1">
      <c r="A535" s="377"/>
      <c r="B535" s="625"/>
      <c r="C535" s="821"/>
      <c r="D535" s="792"/>
      <c r="E535" s="624"/>
      <c r="F535" s="546"/>
      <c r="G535" s="1508"/>
      <c r="H535" s="1501"/>
      <c r="I535" s="1501" t="str">
        <f t="shared" si="19"/>
        <v/>
      </c>
      <c r="J535" s="1501" t="str">
        <f t="shared" si="20"/>
        <v/>
      </c>
      <c r="K535" s="261"/>
      <c r="L535" s="309"/>
      <c r="M535" s="309"/>
      <c r="N535" s="309"/>
      <c r="O535" s="309"/>
      <c r="P535" s="309"/>
      <c r="Q535" s="309"/>
      <c r="R535" s="309"/>
      <c r="S535" s="309"/>
      <c r="T535" s="309"/>
      <c r="U535" s="309"/>
    </row>
    <row r="536" spans="1:21" ht="12.75" customHeight="1">
      <c r="A536" s="310">
        <v>43415</v>
      </c>
      <c r="B536" s="625"/>
      <c r="C536" s="821"/>
      <c r="D536" s="792"/>
      <c r="E536" s="624"/>
      <c r="F536" s="546"/>
      <c r="G536" s="1508"/>
      <c r="H536" s="1501"/>
      <c r="I536" s="1501" t="str">
        <f t="shared" si="19"/>
        <v/>
      </c>
      <c r="J536" s="1501" t="str">
        <f t="shared" si="20"/>
        <v/>
      </c>
      <c r="K536" s="261"/>
      <c r="L536" s="309"/>
      <c r="M536" s="309"/>
      <c r="N536" s="309"/>
      <c r="O536" s="309"/>
      <c r="P536" s="309"/>
      <c r="Q536" s="309"/>
      <c r="R536" s="309"/>
      <c r="S536" s="309"/>
      <c r="T536" s="309"/>
      <c r="U536" s="309"/>
    </row>
    <row r="537" spans="1:21" ht="12.75" customHeight="1">
      <c r="A537" s="376" t="s">
        <v>820</v>
      </c>
      <c r="B537" s="625"/>
      <c r="C537" s="821"/>
      <c r="D537" s="792"/>
      <c r="E537" s="624"/>
      <c r="F537" s="546"/>
      <c r="G537" s="1508"/>
      <c r="H537" s="1501"/>
      <c r="I537" s="1501" t="str">
        <f t="shared" si="19"/>
        <v/>
      </c>
      <c r="J537" s="1501" t="str">
        <f t="shared" si="20"/>
        <v/>
      </c>
      <c r="K537" s="261"/>
      <c r="L537" s="309"/>
      <c r="M537" s="309"/>
      <c r="N537" s="309"/>
      <c r="O537" s="309"/>
      <c r="P537" s="309"/>
      <c r="Q537" s="309"/>
      <c r="R537" s="309"/>
      <c r="S537" s="309"/>
      <c r="T537" s="309"/>
      <c r="U537" s="309"/>
    </row>
    <row r="538" spans="1:21" ht="12.75" customHeight="1">
      <c r="A538" s="377" t="s">
        <v>451</v>
      </c>
      <c r="B538" s="625">
        <v>25</v>
      </c>
      <c r="C538" s="821">
        <v>89.9</v>
      </c>
      <c r="D538" s="792">
        <v>6.98</v>
      </c>
      <c r="E538" s="624">
        <f>B538*C538</f>
        <v>2247.5</v>
      </c>
      <c r="F538" s="546" t="s">
        <v>452</v>
      </c>
      <c r="G538" s="1508"/>
      <c r="H538" s="1501"/>
      <c r="I538" s="1501" t="str">
        <f t="shared" si="19"/>
        <v/>
      </c>
      <c r="J538" s="1501" t="str">
        <f t="shared" si="20"/>
        <v/>
      </c>
      <c r="K538" s="261"/>
      <c r="L538" s="309"/>
      <c r="M538" s="309"/>
      <c r="N538" s="309"/>
      <c r="O538" s="309"/>
      <c r="P538" s="309"/>
      <c r="Q538" s="309"/>
      <c r="R538" s="309"/>
      <c r="S538" s="309"/>
      <c r="T538" s="309"/>
      <c r="U538" s="309"/>
    </row>
    <row r="539" spans="1:21" ht="12.75" customHeight="1">
      <c r="A539" s="377"/>
      <c r="B539" s="625"/>
      <c r="C539" s="821"/>
      <c r="D539" s="792"/>
      <c r="E539" s="624"/>
      <c r="F539" s="546"/>
      <c r="G539" s="1508"/>
      <c r="H539" s="1501"/>
      <c r="I539" s="1501" t="str">
        <f t="shared" si="19"/>
        <v/>
      </c>
      <c r="J539" s="1501" t="str">
        <f t="shared" si="20"/>
        <v/>
      </c>
      <c r="K539" s="261"/>
      <c r="L539" s="309"/>
      <c r="M539" s="309"/>
      <c r="N539" s="309"/>
      <c r="O539" s="309"/>
      <c r="P539" s="309"/>
      <c r="Q539" s="309"/>
      <c r="R539" s="309"/>
      <c r="S539" s="309"/>
      <c r="T539" s="309"/>
      <c r="U539" s="309"/>
    </row>
    <row r="540" spans="1:21" ht="12.75" customHeight="1">
      <c r="A540" s="310">
        <v>43266</v>
      </c>
      <c r="B540" s="625"/>
      <c r="C540" s="821"/>
      <c r="D540" s="792"/>
      <c r="E540" s="624"/>
      <c r="F540" s="546"/>
      <c r="G540" s="1508"/>
      <c r="H540" s="1501"/>
      <c r="I540" s="1501" t="str">
        <f t="shared" si="19"/>
        <v/>
      </c>
      <c r="J540" s="1501"/>
      <c r="K540" s="261"/>
      <c r="L540" s="309"/>
      <c r="M540" s="309"/>
      <c r="N540" s="309"/>
      <c r="O540" s="309"/>
      <c r="P540" s="309"/>
      <c r="Q540" s="309"/>
      <c r="R540" s="309"/>
      <c r="S540" s="309"/>
      <c r="T540" s="309"/>
      <c r="U540" s="309"/>
    </row>
    <row r="541" spans="1:21" ht="12.75" customHeight="1">
      <c r="A541" s="376" t="s">
        <v>824</v>
      </c>
      <c r="B541" s="625"/>
      <c r="C541" s="821"/>
      <c r="D541" s="792"/>
      <c r="E541" s="624"/>
      <c r="F541" s="546"/>
      <c r="G541" s="1508"/>
      <c r="H541" s="1501"/>
      <c r="I541" s="1501" t="str">
        <f t="shared" si="19"/>
        <v/>
      </c>
      <c r="J541" s="1501" t="str">
        <f t="shared" ref="J541:J572" si="21">IF(F543="","",IF(OR(A541="Sell",A542="Sell"),"",F543))</f>
        <v/>
      </c>
      <c r="K541" s="261"/>
      <c r="L541" s="309"/>
      <c r="M541" s="309"/>
      <c r="N541" s="309"/>
      <c r="O541" s="309"/>
      <c r="P541" s="309"/>
      <c r="Q541" s="309"/>
      <c r="R541" s="309"/>
      <c r="S541" s="309"/>
      <c r="T541" s="309"/>
      <c r="U541" s="309"/>
    </row>
    <row r="542" spans="1:21" ht="12.75" customHeight="1">
      <c r="A542" s="377" t="s">
        <v>862</v>
      </c>
      <c r="B542" s="625">
        <v>78</v>
      </c>
      <c r="C542" s="821">
        <f>((50*33.27)+(28*32.11))/78</f>
        <v>32.853589743589744</v>
      </c>
      <c r="D542" s="792">
        <v>9.99</v>
      </c>
      <c r="E542" s="624">
        <f>C542*B542+D542</f>
        <v>2572.5699999999997</v>
      </c>
      <c r="F542" s="546" t="s">
        <v>448</v>
      </c>
      <c r="G542" s="1508"/>
      <c r="H542" s="1501"/>
      <c r="I542" s="1501"/>
      <c r="J542" s="1501" t="str">
        <f t="shared" si="21"/>
        <v/>
      </c>
      <c r="K542" s="261"/>
      <c r="L542" s="309"/>
      <c r="M542" s="309"/>
      <c r="N542" s="309"/>
      <c r="O542" s="309"/>
      <c r="P542" s="309"/>
      <c r="Q542" s="309"/>
      <c r="R542" s="309"/>
      <c r="S542" s="309"/>
      <c r="T542" s="309"/>
      <c r="U542" s="309"/>
    </row>
    <row r="543" spans="1:21" ht="12.75" customHeight="1">
      <c r="A543" s="377"/>
      <c r="B543" s="625"/>
      <c r="C543" s="821"/>
      <c r="D543" s="792"/>
      <c r="E543" s="624"/>
      <c r="F543" s="546"/>
      <c r="G543" s="1508"/>
      <c r="H543" s="1501"/>
      <c r="I543" s="1501" t="str">
        <f t="shared" ref="I543:I574" si="22">IF(F543="","",IF(OR(A542="Sell",A543="Sell"),"",F543))</f>
        <v/>
      </c>
      <c r="J543" s="1501" t="str">
        <f t="shared" si="21"/>
        <v/>
      </c>
      <c r="K543" s="261"/>
      <c r="L543" s="309"/>
      <c r="M543" s="309"/>
      <c r="N543" s="309"/>
      <c r="O543" s="309"/>
      <c r="P543" s="309"/>
      <c r="Q543" s="309"/>
      <c r="R543" s="309"/>
      <c r="S543" s="309"/>
      <c r="T543" s="309"/>
      <c r="U543" s="309"/>
    </row>
    <row r="544" spans="1:21" ht="12.75" customHeight="1">
      <c r="A544" s="310">
        <v>43266</v>
      </c>
      <c r="B544" s="625"/>
      <c r="C544" s="821"/>
      <c r="D544" s="792"/>
      <c r="E544" s="624"/>
      <c r="F544" s="546"/>
      <c r="G544" s="1508"/>
      <c r="H544" s="1501"/>
      <c r="I544" s="1501" t="str">
        <f t="shared" si="22"/>
        <v/>
      </c>
      <c r="J544" s="1501" t="str">
        <f t="shared" si="21"/>
        <v/>
      </c>
      <c r="K544" s="261"/>
      <c r="L544" s="309"/>
      <c r="M544" s="309"/>
      <c r="N544" s="309"/>
      <c r="O544" s="309"/>
      <c r="P544" s="309"/>
      <c r="Q544" s="309"/>
      <c r="R544" s="309"/>
      <c r="S544" s="309"/>
      <c r="T544" s="309"/>
      <c r="U544" s="309"/>
    </row>
    <row r="545" spans="1:21" ht="12.75" customHeight="1">
      <c r="A545" s="262" t="s">
        <v>820</v>
      </c>
      <c r="B545" s="625"/>
      <c r="C545" s="821"/>
      <c r="D545" s="792"/>
      <c r="E545" s="624"/>
      <c r="F545" s="546"/>
      <c r="G545" s="1508"/>
      <c r="H545" s="1501"/>
      <c r="I545" s="1501" t="str">
        <f t="shared" si="22"/>
        <v/>
      </c>
      <c r="J545" s="1501" t="str">
        <f t="shared" si="21"/>
        <v/>
      </c>
      <c r="K545" s="261"/>
      <c r="L545" s="309"/>
      <c r="M545" s="309"/>
      <c r="N545" s="309"/>
      <c r="O545" s="309"/>
      <c r="P545" s="309"/>
      <c r="Q545" s="309"/>
      <c r="R545" s="309"/>
      <c r="S545" s="309"/>
      <c r="T545" s="309"/>
      <c r="U545" s="309"/>
    </row>
    <row r="546" spans="1:21" ht="12.75" customHeight="1">
      <c r="A546" s="377" t="s">
        <v>613</v>
      </c>
      <c r="B546" s="625">
        <v>20</v>
      </c>
      <c r="C546" s="821">
        <v>53.75</v>
      </c>
      <c r="D546" s="792">
        <v>0</v>
      </c>
      <c r="E546" s="624">
        <f>B546*C546</f>
        <v>1075</v>
      </c>
      <c r="F546" s="546" t="s">
        <v>614</v>
      </c>
      <c r="G546" s="1507"/>
      <c r="H546" s="1526"/>
      <c r="I546" s="1501" t="str">
        <f t="shared" si="22"/>
        <v/>
      </c>
      <c r="J546" s="1501" t="str">
        <f t="shared" si="21"/>
        <v/>
      </c>
      <c r="K546" s="261"/>
      <c r="L546" s="309"/>
      <c r="M546" s="309"/>
      <c r="N546" s="309"/>
      <c r="O546" s="309"/>
      <c r="P546" s="309"/>
      <c r="Q546" s="309"/>
      <c r="R546" s="309"/>
      <c r="S546" s="309"/>
      <c r="T546" s="309"/>
      <c r="U546" s="309"/>
    </row>
    <row r="547" spans="1:21" ht="12.75" customHeight="1">
      <c r="A547" s="377"/>
      <c r="B547" s="625"/>
      <c r="C547" s="623"/>
      <c r="D547" s="792"/>
      <c r="E547" s="624"/>
      <c r="F547" s="546"/>
      <c r="G547" s="1507"/>
      <c r="H547" s="1526"/>
      <c r="I547" s="1501" t="str">
        <f t="shared" si="22"/>
        <v/>
      </c>
      <c r="J547" s="1501" t="str">
        <f t="shared" si="21"/>
        <v/>
      </c>
      <c r="K547" s="261"/>
      <c r="L547" s="309"/>
      <c r="M547" s="309"/>
      <c r="N547" s="309"/>
      <c r="O547" s="309"/>
      <c r="P547" s="309"/>
      <c r="Q547" s="309"/>
      <c r="R547" s="309"/>
      <c r="S547" s="309"/>
      <c r="T547" s="309"/>
      <c r="U547" s="309"/>
    </row>
    <row r="548" spans="1:21" ht="12.75" customHeight="1">
      <c r="A548" s="339">
        <v>43220</v>
      </c>
      <c r="B548" s="625"/>
      <c r="C548" s="623"/>
      <c r="D548" s="792"/>
      <c r="E548" s="624"/>
      <c r="F548" s="546"/>
      <c r="G548" s="1507"/>
      <c r="H548" s="1526"/>
      <c r="I548" s="1501" t="str">
        <f t="shared" si="22"/>
        <v/>
      </c>
      <c r="J548" s="1501" t="str">
        <f t="shared" si="21"/>
        <v>SMG</v>
      </c>
      <c r="K548" s="261"/>
      <c r="L548" s="309"/>
      <c r="M548" s="309"/>
      <c r="N548" s="309"/>
      <c r="O548" s="309"/>
      <c r="P548" s="309"/>
      <c r="Q548" s="309"/>
      <c r="R548" s="309"/>
      <c r="S548" s="309"/>
      <c r="T548" s="309"/>
      <c r="U548" s="309"/>
    </row>
    <row r="549" spans="1:21" ht="12.75" customHeight="1">
      <c r="A549" s="273" t="s">
        <v>824</v>
      </c>
      <c r="B549" s="625"/>
      <c r="C549" s="623"/>
      <c r="D549" s="792"/>
      <c r="E549" s="624"/>
      <c r="F549" s="546"/>
      <c r="G549" s="1507"/>
      <c r="H549" s="1526"/>
      <c r="I549" s="1501" t="str">
        <f t="shared" si="22"/>
        <v/>
      </c>
      <c r="J549" s="1501" t="str">
        <f t="shared" si="21"/>
        <v/>
      </c>
      <c r="K549" s="261"/>
      <c r="L549" s="309"/>
      <c r="M549" s="309"/>
      <c r="N549" s="309"/>
      <c r="O549" s="309"/>
      <c r="P549" s="309"/>
      <c r="Q549" s="309"/>
      <c r="R549" s="309"/>
      <c r="S549" s="309"/>
      <c r="T549" s="309"/>
      <c r="U549" s="309"/>
    </row>
    <row r="550" spans="1:21" ht="12.75" customHeight="1">
      <c r="A550" s="337" t="s">
        <v>608</v>
      </c>
      <c r="B550" s="625">
        <v>30</v>
      </c>
      <c r="C550" s="623">
        <f>((20*83.499)+(10*83.4535))/30</f>
        <v>83.483833333333351</v>
      </c>
      <c r="D550" s="792">
        <v>6.95</v>
      </c>
      <c r="E550" s="624">
        <f>B550*C550</f>
        <v>2504.5150000000003</v>
      </c>
      <c r="F550" s="546" t="s">
        <v>609</v>
      </c>
      <c r="G550" s="1507"/>
      <c r="H550" s="1526"/>
      <c r="I550" s="1501" t="str">
        <f t="shared" si="22"/>
        <v>SMG</v>
      </c>
      <c r="J550" s="1501" t="str">
        <f t="shared" si="21"/>
        <v/>
      </c>
      <c r="K550" s="261"/>
      <c r="L550" s="309"/>
      <c r="M550" s="309"/>
      <c r="N550" s="309"/>
      <c r="O550" s="309"/>
      <c r="P550" s="309"/>
      <c r="Q550" s="309"/>
      <c r="R550" s="309"/>
      <c r="S550" s="309"/>
      <c r="T550" s="309"/>
      <c r="U550" s="309"/>
    </row>
    <row r="551" spans="1:21" ht="12.75" customHeight="1">
      <c r="A551" s="337"/>
      <c r="B551" s="625"/>
      <c r="C551" s="623"/>
      <c r="D551" s="792"/>
      <c r="E551" s="624"/>
      <c r="F551" s="546"/>
      <c r="G551" s="1507"/>
      <c r="H551" s="1526"/>
      <c r="I551" s="1501" t="str">
        <f t="shared" si="22"/>
        <v/>
      </c>
      <c r="J551" s="1501" t="str">
        <f t="shared" si="21"/>
        <v/>
      </c>
      <c r="K551" s="261"/>
      <c r="L551" s="309"/>
      <c r="M551" s="309"/>
      <c r="N551" s="309"/>
      <c r="O551" s="309"/>
      <c r="P551" s="309"/>
      <c r="Q551" s="309"/>
      <c r="R551" s="309"/>
      <c r="S551" s="309"/>
      <c r="T551" s="309"/>
      <c r="U551" s="309"/>
    </row>
    <row r="552" spans="1:21" ht="12.75" customHeight="1">
      <c r="A552" s="339">
        <v>43217</v>
      </c>
      <c r="B552" s="625"/>
      <c r="C552" s="623"/>
      <c r="D552" s="792"/>
      <c r="E552" s="624"/>
      <c r="F552" s="546"/>
      <c r="G552" s="1507"/>
      <c r="H552" s="1526"/>
      <c r="I552" s="1501" t="str">
        <f t="shared" si="22"/>
        <v/>
      </c>
      <c r="J552" s="1501" t="str">
        <f t="shared" si="21"/>
        <v>TRP</v>
      </c>
      <c r="K552" s="261"/>
      <c r="L552" s="309"/>
      <c r="M552" s="309"/>
      <c r="N552" s="309"/>
      <c r="O552" s="309"/>
      <c r="P552" s="309"/>
      <c r="Q552" s="309"/>
      <c r="R552" s="309"/>
      <c r="S552" s="309"/>
      <c r="T552" s="309"/>
      <c r="U552" s="309"/>
    </row>
    <row r="553" spans="1:21" ht="12.75" customHeight="1">
      <c r="A553" s="273" t="s">
        <v>824</v>
      </c>
      <c r="B553" s="625"/>
      <c r="C553" s="623"/>
      <c r="D553" s="792"/>
      <c r="E553" s="624"/>
      <c r="F553" s="546"/>
      <c r="G553" s="1507"/>
      <c r="H553" s="1526"/>
      <c r="I553" s="1501" t="str">
        <f t="shared" si="22"/>
        <v/>
      </c>
      <c r="J553" s="1501" t="str">
        <f t="shared" si="21"/>
        <v/>
      </c>
      <c r="K553" s="261"/>
      <c r="L553" s="309"/>
      <c r="M553" s="309"/>
      <c r="N553" s="309"/>
      <c r="O553" s="309"/>
      <c r="P553" s="309"/>
      <c r="Q553" s="309"/>
      <c r="R553" s="309"/>
      <c r="S553" s="309"/>
      <c r="T553" s="309"/>
      <c r="U553" s="309"/>
    </row>
    <row r="554" spans="1:21" ht="12.75" customHeight="1">
      <c r="A554" s="337" t="s">
        <v>610</v>
      </c>
      <c r="B554" s="625">
        <v>94</v>
      </c>
      <c r="C554" s="623">
        <v>42.82</v>
      </c>
      <c r="D554" s="792">
        <v>6.95</v>
      </c>
      <c r="E554" s="624">
        <f>B554*C554</f>
        <v>4025.08</v>
      </c>
      <c r="F554" s="546" t="s">
        <v>611</v>
      </c>
      <c r="G554" s="1507"/>
      <c r="H554" s="1526"/>
      <c r="I554" s="1501" t="str">
        <f t="shared" si="22"/>
        <v>TRP</v>
      </c>
      <c r="J554" s="1501" t="str">
        <f t="shared" si="21"/>
        <v/>
      </c>
      <c r="K554" s="261"/>
      <c r="L554" s="309"/>
      <c r="M554" s="309"/>
      <c r="N554" s="309"/>
      <c r="O554" s="309"/>
      <c r="P554" s="309"/>
      <c r="Q554" s="309"/>
      <c r="R554" s="309"/>
      <c r="S554" s="309"/>
      <c r="T554" s="309"/>
      <c r="U554" s="309"/>
    </row>
    <row r="555" spans="1:21" ht="12.75" customHeight="1">
      <c r="A555" s="337"/>
      <c r="B555" s="625"/>
      <c r="C555" s="623"/>
      <c r="D555" s="792"/>
      <c r="E555" s="624"/>
      <c r="F555" s="546"/>
      <c r="G555" s="1507"/>
      <c r="H555" s="1526"/>
      <c r="I555" s="1501" t="str">
        <f t="shared" si="22"/>
        <v/>
      </c>
      <c r="J555" s="1501" t="str">
        <f t="shared" si="21"/>
        <v/>
      </c>
      <c r="K555" s="261"/>
      <c r="L555" s="309"/>
      <c r="M555" s="309"/>
      <c r="N555" s="309"/>
      <c r="O555" s="309"/>
      <c r="P555" s="309"/>
      <c r="Q555" s="309"/>
      <c r="R555" s="309"/>
      <c r="S555" s="309"/>
      <c r="T555" s="309"/>
      <c r="U555" s="309"/>
    </row>
    <row r="556" spans="1:21" ht="12.75" customHeight="1">
      <c r="A556" s="339">
        <v>43213</v>
      </c>
      <c r="B556" s="625"/>
      <c r="C556" s="623"/>
      <c r="D556" s="792"/>
      <c r="E556" s="624"/>
      <c r="F556" s="546"/>
      <c r="G556" s="1507"/>
      <c r="H556" s="1526"/>
      <c r="I556" s="1501" t="str">
        <f t="shared" si="22"/>
        <v/>
      </c>
      <c r="J556" s="1501" t="str">
        <f t="shared" si="21"/>
        <v>ALGT</v>
      </c>
      <c r="K556" s="261"/>
      <c r="L556" s="309"/>
      <c r="M556" s="309"/>
      <c r="N556" s="309"/>
      <c r="O556" s="309"/>
      <c r="P556" s="309"/>
      <c r="Q556" s="309"/>
      <c r="R556" s="309"/>
      <c r="S556" s="309"/>
      <c r="T556" s="309"/>
      <c r="U556" s="309"/>
    </row>
    <row r="557" spans="1:21" ht="12.75" customHeight="1">
      <c r="A557" s="273" t="s">
        <v>824</v>
      </c>
      <c r="B557" s="625"/>
      <c r="C557" s="623"/>
      <c r="D557" s="792"/>
      <c r="E557" s="624"/>
      <c r="F557" s="546"/>
      <c r="G557" s="1507"/>
      <c r="H557" s="1526"/>
      <c r="I557" s="1501" t="str">
        <f t="shared" si="22"/>
        <v/>
      </c>
      <c r="J557" s="1501" t="str">
        <f t="shared" si="21"/>
        <v/>
      </c>
      <c r="K557" s="261"/>
      <c r="L557" s="309"/>
      <c r="M557" s="309"/>
      <c r="N557" s="309"/>
      <c r="O557" s="309"/>
      <c r="P557" s="309"/>
      <c r="Q557" s="309"/>
      <c r="R557" s="309"/>
      <c r="S557" s="309"/>
      <c r="T557" s="309"/>
      <c r="U557" s="309"/>
    </row>
    <row r="558" spans="1:21" ht="12.75" customHeight="1">
      <c r="A558" s="337" t="s">
        <v>599</v>
      </c>
      <c r="B558" s="625">
        <v>15</v>
      </c>
      <c r="C558" s="623">
        <v>142.27449999999999</v>
      </c>
      <c r="D558" s="792">
        <v>6.95</v>
      </c>
      <c r="E558" s="624">
        <f>B558*C558</f>
        <v>2134.1174999999998</v>
      </c>
      <c r="F558" s="546" t="s">
        <v>600</v>
      </c>
      <c r="G558" s="1507"/>
      <c r="H558" s="1526"/>
      <c r="I558" s="1501" t="str">
        <f t="shared" si="22"/>
        <v>ALGT</v>
      </c>
      <c r="J558" s="1501" t="str">
        <f t="shared" si="21"/>
        <v/>
      </c>
      <c r="K558" s="261"/>
      <c r="L558" s="309"/>
      <c r="M558" s="309"/>
      <c r="N558" s="309"/>
      <c r="O558" s="309"/>
      <c r="P558" s="309"/>
      <c r="Q558" s="309"/>
      <c r="R558" s="309"/>
      <c r="S558" s="309"/>
      <c r="T558" s="309"/>
      <c r="U558" s="309"/>
    </row>
    <row r="559" spans="1:21" ht="12.75" customHeight="1">
      <c r="A559" s="337"/>
      <c r="B559" s="625"/>
      <c r="C559" s="623"/>
      <c r="D559" s="792"/>
      <c r="E559" s="624"/>
      <c r="F559" s="546"/>
      <c r="G559" s="1507"/>
      <c r="H559" s="1526"/>
      <c r="I559" s="1501" t="str">
        <f t="shared" si="22"/>
        <v/>
      </c>
      <c r="J559" s="1501" t="str">
        <f t="shared" si="21"/>
        <v/>
      </c>
      <c r="K559" s="261"/>
      <c r="L559" s="309"/>
      <c r="M559" s="309"/>
      <c r="N559" s="309"/>
      <c r="O559" s="309"/>
      <c r="P559" s="309"/>
      <c r="Q559" s="309"/>
      <c r="R559" s="309"/>
      <c r="S559" s="309"/>
      <c r="T559" s="309"/>
      <c r="U559" s="309"/>
    </row>
    <row r="560" spans="1:21" ht="12.75" customHeight="1">
      <c r="A560" s="333">
        <v>43199</v>
      </c>
      <c r="B560" s="627"/>
      <c r="C560" s="785"/>
      <c r="D560" s="786"/>
      <c r="E560" s="858"/>
      <c r="F560" s="781"/>
      <c r="G560" s="1507"/>
      <c r="H560" s="1526"/>
      <c r="I560" s="1501" t="str">
        <f t="shared" si="22"/>
        <v/>
      </c>
      <c r="J560" s="1501" t="str">
        <f t="shared" si="21"/>
        <v>D</v>
      </c>
      <c r="K560" s="261"/>
      <c r="L560" s="309"/>
      <c r="M560" s="309"/>
      <c r="N560" s="309"/>
      <c r="O560" s="309"/>
      <c r="P560" s="309"/>
      <c r="Q560" s="309"/>
      <c r="R560" s="309"/>
      <c r="S560" s="309"/>
      <c r="T560" s="309"/>
      <c r="U560" s="309"/>
    </row>
    <row r="561" spans="1:21" ht="12.75" customHeight="1">
      <c r="A561" s="273" t="s">
        <v>824</v>
      </c>
      <c r="B561" s="627"/>
      <c r="C561" s="785"/>
      <c r="D561" s="786"/>
      <c r="E561" s="858"/>
      <c r="F561" s="781"/>
      <c r="G561" s="1507"/>
      <c r="H561" s="1526"/>
      <c r="I561" s="1501" t="str">
        <f t="shared" si="22"/>
        <v/>
      </c>
      <c r="J561" s="1501" t="str">
        <f t="shared" si="21"/>
        <v/>
      </c>
      <c r="K561" s="261"/>
      <c r="L561" s="309"/>
      <c r="M561" s="309"/>
      <c r="N561" s="309"/>
      <c r="O561" s="309"/>
      <c r="P561" s="309"/>
      <c r="Q561" s="309"/>
      <c r="R561" s="309"/>
      <c r="S561" s="309"/>
      <c r="T561" s="309"/>
      <c r="U561" s="309"/>
    </row>
    <row r="562" spans="1:21" ht="12.75" customHeight="1">
      <c r="A562" s="337" t="s">
        <v>650</v>
      </c>
      <c r="B562" s="625">
        <v>30</v>
      </c>
      <c r="C562" s="623">
        <v>66.604500000000002</v>
      </c>
      <c r="D562" s="792">
        <v>6.95</v>
      </c>
      <c r="E562" s="624">
        <f>B562*C562</f>
        <v>1998.135</v>
      </c>
      <c r="F562" s="546" t="s">
        <v>607</v>
      </c>
      <c r="G562" s="1507"/>
      <c r="H562" s="1526"/>
      <c r="I562" s="1501" t="str">
        <f t="shared" si="22"/>
        <v>D</v>
      </c>
      <c r="J562" s="1501" t="str">
        <f t="shared" si="21"/>
        <v/>
      </c>
      <c r="K562" s="261"/>
      <c r="L562" s="309"/>
      <c r="M562" s="309"/>
      <c r="N562" s="309"/>
      <c r="O562" s="309"/>
      <c r="P562" s="309"/>
      <c r="Q562" s="309"/>
      <c r="R562" s="309"/>
      <c r="S562" s="309"/>
      <c r="T562" s="309"/>
      <c r="U562" s="309"/>
    </row>
    <row r="563" spans="1:21" ht="12.75" customHeight="1">
      <c r="A563" s="273"/>
      <c r="B563" s="627"/>
      <c r="C563" s="785"/>
      <c r="D563" s="786"/>
      <c r="E563" s="624"/>
      <c r="F563" s="781"/>
      <c r="G563" s="1507"/>
      <c r="H563" s="1526"/>
      <c r="I563" s="1501" t="str">
        <f t="shared" si="22"/>
        <v/>
      </c>
      <c r="J563" s="1501" t="str">
        <f t="shared" si="21"/>
        <v/>
      </c>
      <c r="K563" s="261"/>
      <c r="L563" s="309"/>
      <c r="M563" s="309"/>
      <c r="N563" s="309"/>
      <c r="O563" s="309"/>
      <c r="P563" s="309"/>
      <c r="Q563" s="309"/>
      <c r="R563" s="309"/>
      <c r="S563" s="309"/>
      <c r="T563" s="309"/>
      <c r="U563" s="309"/>
    </row>
    <row r="564" spans="1:21" ht="12.75" customHeight="1">
      <c r="A564" s="273"/>
      <c r="B564" s="627"/>
      <c r="C564" s="785"/>
      <c r="D564" s="786"/>
      <c r="E564" s="624"/>
      <c r="F564" s="781"/>
      <c r="G564" s="1507"/>
      <c r="H564" s="1526"/>
      <c r="I564" s="1501" t="str">
        <f t="shared" si="22"/>
        <v/>
      </c>
      <c r="J564" s="1501" t="str">
        <f t="shared" si="21"/>
        <v/>
      </c>
      <c r="K564" s="261"/>
      <c r="L564" s="309"/>
      <c r="M564" s="309"/>
      <c r="N564" s="309"/>
      <c r="O564" s="309"/>
      <c r="P564" s="309"/>
      <c r="Q564" s="309"/>
      <c r="R564" s="309"/>
      <c r="S564" s="309"/>
      <c r="T564" s="309"/>
      <c r="U564" s="309"/>
    </row>
    <row r="565" spans="1:21" ht="12.75" customHeight="1">
      <c r="A565" s="333">
        <v>43185</v>
      </c>
      <c r="B565" s="627"/>
      <c r="C565" s="785"/>
      <c r="D565" s="786"/>
      <c r="E565" s="624"/>
      <c r="F565" s="781"/>
      <c r="G565" s="1507"/>
      <c r="H565" s="1526"/>
      <c r="I565" s="1501" t="str">
        <f t="shared" si="22"/>
        <v/>
      </c>
      <c r="J565" s="1501" t="str">
        <f t="shared" si="21"/>
        <v>BLK</v>
      </c>
      <c r="K565" s="261"/>
      <c r="L565" s="309"/>
      <c r="M565" s="309"/>
      <c r="N565" s="309"/>
      <c r="O565" s="309"/>
      <c r="P565" s="309"/>
      <c r="Q565" s="309"/>
      <c r="R565" s="309"/>
      <c r="S565" s="309"/>
      <c r="T565" s="309"/>
      <c r="U565" s="309"/>
    </row>
    <row r="566" spans="1:21" ht="12.75" customHeight="1">
      <c r="A566" s="273" t="s">
        <v>824</v>
      </c>
      <c r="B566" s="627"/>
      <c r="C566" s="785"/>
      <c r="D566" s="786"/>
      <c r="E566" s="624"/>
      <c r="F566" s="781"/>
      <c r="G566" s="1507"/>
      <c r="H566" s="1526"/>
      <c r="I566" s="1501" t="str">
        <f t="shared" si="22"/>
        <v/>
      </c>
      <c r="J566" s="1501" t="str">
        <f t="shared" si="21"/>
        <v/>
      </c>
      <c r="K566" s="261"/>
      <c r="L566" s="309"/>
      <c r="M566" s="309"/>
      <c r="N566" s="309"/>
      <c r="O566" s="309"/>
      <c r="P566" s="309"/>
      <c r="Q566" s="309"/>
      <c r="R566" s="309"/>
      <c r="S566" s="309"/>
      <c r="T566" s="309"/>
      <c r="U566" s="309"/>
    </row>
    <row r="567" spans="1:21" ht="12.75" customHeight="1">
      <c r="A567" s="337" t="s">
        <v>863</v>
      </c>
      <c r="B567" s="625">
        <v>10</v>
      </c>
      <c r="C567" s="623">
        <v>540.92039999999997</v>
      </c>
      <c r="D567" s="792">
        <v>6.95</v>
      </c>
      <c r="E567" s="624">
        <f>B567*C567</f>
        <v>5409.2039999999997</v>
      </c>
      <c r="F567" s="546" t="s">
        <v>602</v>
      </c>
      <c r="G567" s="1507"/>
      <c r="H567" s="1526"/>
      <c r="I567" s="1501" t="str">
        <f t="shared" si="22"/>
        <v>BLK</v>
      </c>
      <c r="J567" s="1501" t="str">
        <f t="shared" si="21"/>
        <v/>
      </c>
      <c r="K567" s="261"/>
      <c r="L567" s="309"/>
      <c r="M567" s="309"/>
      <c r="N567" s="309"/>
      <c r="O567" s="309"/>
      <c r="P567" s="309"/>
      <c r="Q567" s="309"/>
      <c r="R567" s="309"/>
      <c r="S567" s="309"/>
      <c r="T567" s="309"/>
      <c r="U567" s="309"/>
    </row>
    <row r="568" spans="1:21" ht="12.75" customHeight="1">
      <c r="A568" s="273"/>
      <c r="B568" s="627"/>
      <c r="C568" s="785"/>
      <c r="D568" s="786"/>
      <c r="E568" s="858"/>
      <c r="F568" s="781"/>
      <c r="G568" s="1507"/>
      <c r="H568" s="1526"/>
      <c r="I568" s="1501" t="str">
        <f t="shared" si="22"/>
        <v/>
      </c>
      <c r="J568" s="1501" t="str">
        <f t="shared" si="21"/>
        <v/>
      </c>
      <c r="K568" s="261"/>
      <c r="L568" s="309"/>
      <c r="M568" s="309"/>
      <c r="N568" s="309"/>
      <c r="O568" s="309"/>
      <c r="P568" s="309"/>
      <c r="Q568" s="309"/>
      <c r="R568" s="309"/>
      <c r="S568" s="309"/>
      <c r="T568" s="309"/>
      <c r="U568" s="309"/>
    </row>
    <row r="569" spans="1:21" ht="12.75" customHeight="1">
      <c r="A569" s="333">
        <v>43166</v>
      </c>
      <c r="B569" s="627"/>
      <c r="C569" s="785"/>
      <c r="D569" s="786"/>
      <c r="E569" s="858"/>
      <c r="F569" s="781"/>
      <c r="G569" s="1507"/>
      <c r="H569" s="1526"/>
      <c r="I569" s="1501" t="str">
        <f t="shared" si="22"/>
        <v/>
      </c>
      <c r="J569" s="1501" t="str">
        <f t="shared" si="21"/>
        <v>DEO</v>
      </c>
      <c r="K569" s="261"/>
      <c r="L569" s="309"/>
      <c r="M569" s="309"/>
      <c r="N569" s="309"/>
      <c r="O569" s="309"/>
      <c r="P569" s="309"/>
      <c r="Q569" s="309"/>
      <c r="R569" s="309"/>
      <c r="S569" s="309"/>
      <c r="T569" s="309"/>
      <c r="U569" s="309"/>
    </row>
    <row r="570" spans="1:21" ht="12.75" customHeight="1">
      <c r="A570" s="273" t="s">
        <v>824</v>
      </c>
      <c r="B570" s="627"/>
      <c r="C570" s="785"/>
      <c r="D570" s="786"/>
      <c r="E570" s="858"/>
      <c r="F570" s="781"/>
      <c r="G570" s="1507"/>
      <c r="H570" s="1526"/>
      <c r="I570" s="1501" t="str">
        <f t="shared" si="22"/>
        <v/>
      </c>
      <c r="J570" s="1501" t="str">
        <f t="shared" si="21"/>
        <v/>
      </c>
      <c r="K570" s="261"/>
      <c r="L570" s="309"/>
      <c r="M570" s="309"/>
      <c r="N570" s="309"/>
      <c r="O570" s="309"/>
      <c r="P570" s="309"/>
      <c r="Q570" s="309"/>
      <c r="R570" s="309"/>
      <c r="S570" s="309"/>
      <c r="T570" s="309"/>
      <c r="U570" s="309"/>
    </row>
    <row r="571" spans="1:21" ht="12.75" customHeight="1">
      <c r="A571" s="337" t="s">
        <v>864</v>
      </c>
      <c r="B571" s="625">
        <v>20</v>
      </c>
      <c r="C571" s="623">
        <v>134.41999999999999</v>
      </c>
      <c r="D571" s="792">
        <v>6.95</v>
      </c>
      <c r="E571" s="624">
        <f>C571*B571</f>
        <v>2688.3999999999996</v>
      </c>
      <c r="F571" s="546" t="s">
        <v>58</v>
      </c>
      <c r="G571" s="1507"/>
      <c r="H571" s="1526"/>
      <c r="I571" s="1501" t="str">
        <f t="shared" si="22"/>
        <v>DEO</v>
      </c>
      <c r="J571" s="1501" t="str">
        <f t="shared" si="21"/>
        <v/>
      </c>
      <c r="K571" s="261"/>
      <c r="L571" s="309"/>
      <c r="M571" s="309"/>
      <c r="N571" s="309"/>
      <c r="O571" s="309"/>
      <c r="P571" s="309"/>
      <c r="Q571" s="309"/>
      <c r="R571" s="309"/>
      <c r="S571" s="309"/>
      <c r="T571" s="309"/>
      <c r="U571" s="309"/>
    </row>
    <row r="572" spans="1:21" ht="12.75" customHeight="1">
      <c r="A572" s="273"/>
      <c r="B572" s="627"/>
      <c r="C572" s="785"/>
      <c r="D572" s="786"/>
      <c r="E572" s="858"/>
      <c r="F572" s="781"/>
      <c r="G572" s="1507"/>
      <c r="H572" s="1526"/>
      <c r="I572" s="1501" t="str">
        <f t="shared" si="22"/>
        <v/>
      </c>
      <c r="J572" s="1501" t="str">
        <f t="shared" si="21"/>
        <v/>
      </c>
      <c r="K572" s="261"/>
      <c r="L572" s="309"/>
      <c r="M572" s="309"/>
      <c r="N572" s="309"/>
      <c r="O572" s="309"/>
      <c r="P572" s="309"/>
      <c r="Q572" s="309"/>
      <c r="R572" s="309"/>
      <c r="S572" s="309"/>
      <c r="T572" s="309"/>
      <c r="U572" s="309"/>
    </row>
    <row r="573" spans="1:21" ht="12.75" customHeight="1">
      <c r="A573" s="333">
        <v>43165</v>
      </c>
      <c r="B573" s="627"/>
      <c r="C573" s="785"/>
      <c r="D573" s="786"/>
      <c r="E573" s="858"/>
      <c r="F573" s="781"/>
      <c r="G573" s="1507"/>
      <c r="H573" s="1526"/>
      <c r="I573" s="1501" t="str">
        <f t="shared" si="22"/>
        <v/>
      </c>
      <c r="J573" s="1501" t="str">
        <f t="shared" ref="J573:J598" si="23">IF(F575="","",IF(OR(A573="Sell",A574="Sell"),"",F575))</f>
        <v/>
      </c>
      <c r="K573" s="261"/>
      <c r="L573" s="309"/>
      <c r="M573" s="309"/>
      <c r="N573" s="309"/>
      <c r="O573" s="309"/>
      <c r="P573" s="309"/>
      <c r="Q573" s="309"/>
      <c r="R573" s="309"/>
      <c r="S573" s="309"/>
      <c r="T573" s="309"/>
      <c r="U573" s="309"/>
    </row>
    <row r="574" spans="1:21" ht="12.75" customHeight="1">
      <c r="A574" s="273" t="s">
        <v>820</v>
      </c>
      <c r="B574" s="627"/>
      <c r="C574" s="785"/>
      <c r="D574" s="786"/>
      <c r="E574" s="858"/>
      <c r="F574" s="781"/>
      <c r="G574" s="1507"/>
      <c r="H574" s="1526"/>
      <c r="I574" s="1501" t="str">
        <f t="shared" si="22"/>
        <v/>
      </c>
      <c r="J574" s="1501" t="str">
        <f t="shared" si="23"/>
        <v/>
      </c>
      <c r="K574" s="261"/>
      <c r="L574" s="309"/>
      <c r="M574" s="309"/>
      <c r="N574" s="309"/>
      <c r="O574" s="309"/>
      <c r="P574" s="309"/>
      <c r="Q574" s="309"/>
      <c r="R574" s="309"/>
      <c r="S574" s="309"/>
      <c r="T574" s="309"/>
      <c r="U574" s="309"/>
    </row>
    <row r="575" spans="1:21" ht="12.75" customHeight="1">
      <c r="A575" t="s">
        <v>557</v>
      </c>
      <c r="B575" s="625">
        <v>60</v>
      </c>
      <c r="C575" s="623">
        <v>28.845500000000001</v>
      </c>
      <c r="D575" s="792">
        <v>6.95</v>
      </c>
      <c r="E575" s="624">
        <f>B575*C575-D575</f>
        <v>1723.78</v>
      </c>
      <c r="F575" s="546" t="s">
        <v>462</v>
      </c>
      <c r="G575" s="1507"/>
      <c r="H575" s="1526"/>
      <c r="I575" s="1501" t="str">
        <f t="shared" ref="I575:I599" si="24">IF(F575="","",IF(OR(A574="Sell",A575="Sell"),"",F575))</f>
        <v/>
      </c>
      <c r="J575" s="1501" t="str">
        <f t="shared" si="23"/>
        <v/>
      </c>
      <c r="K575" s="261"/>
      <c r="L575" s="309"/>
      <c r="M575" s="309"/>
      <c r="N575" s="309"/>
      <c r="O575" s="309"/>
      <c r="P575" s="309"/>
      <c r="Q575" s="309"/>
      <c r="R575" s="309"/>
      <c r="S575" s="309"/>
      <c r="T575" s="309"/>
      <c r="U575" s="309"/>
    </row>
    <row r="576" spans="1:21" ht="12.75" customHeight="1">
      <c r="A576" s="273"/>
      <c r="B576" s="627"/>
      <c r="C576" s="785"/>
      <c r="D576" s="786"/>
      <c r="E576" s="624"/>
      <c r="F576" s="781"/>
      <c r="G576" s="1507"/>
      <c r="H576" s="1526"/>
      <c r="I576" s="1501" t="str">
        <f t="shared" si="24"/>
        <v/>
      </c>
      <c r="J576" s="1501" t="str">
        <f t="shared" si="23"/>
        <v/>
      </c>
      <c r="K576" s="261"/>
      <c r="L576" s="309"/>
      <c r="M576" s="309"/>
      <c r="N576" s="309"/>
      <c r="O576" s="309"/>
      <c r="P576" s="309"/>
      <c r="Q576" s="309"/>
      <c r="R576" s="309"/>
      <c r="S576" s="309"/>
      <c r="T576" s="309"/>
      <c r="U576" s="309"/>
    </row>
    <row r="577" spans="1:21" ht="12.75" customHeight="1">
      <c r="A577" s="260">
        <v>43144</v>
      </c>
      <c r="B577" s="627"/>
      <c r="C577" s="785"/>
      <c r="D577" s="786"/>
      <c r="E577" s="624"/>
      <c r="F577" s="781"/>
      <c r="G577" s="1507"/>
      <c r="H577" s="1526"/>
      <c r="I577" s="1501" t="str">
        <f t="shared" si="24"/>
        <v/>
      </c>
      <c r="J577" s="1501" t="str">
        <f t="shared" si="23"/>
        <v>TWX</v>
      </c>
      <c r="K577" s="261"/>
      <c r="L577" s="309"/>
      <c r="M577" s="309"/>
      <c r="N577" s="309"/>
      <c r="O577" s="309"/>
      <c r="P577" s="309"/>
      <c r="Q577" s="309"/>
      <c r="R577" s="309"/>
      <c r="S577" s="309"/>
      <c r="T577" s="309"/>
      <c r="U577" s="309"/>
    </row>
    <row r="578" spans="1:21" ht="12.75" customHeight="1">
      <c r="A578" s="260" t="s">
        <v>824</v>
      </c>
      <c r="B578" s="627"/>
      <c r="C578" s="785"/>
      <c r="D578" s="786"/>
      <c r="E578" s="624"/>
      <c r="F578" s="781"/>
      <c r="G578" s="1507"/>
      <c r="H578" s="1526"/>
      <c r="I578" s="1501" t="str">
        <f t="shared" si="24"/>
        <v/>
      </c>
      <c r="J578" s="1501" t="str">
        <f t="shared" si="23"/>
        <v/>
      </c>
      <c r="K578" s="261"/>
      <c r="L578" s="309"/>
      <c r="M578" s="309"/>
      <c r="N578" s="309"/>
      <c r="O578" s="309"/>
      <c r="P578" s="309"/>
      <c r="Q578" s="309"/>
      <c r="R578" s="309"/>
      <c r="S578" s="309"/>
      <c r="T578" s="309"/>
      <c r="U578" s="309"/>
    </row>
    <row r="579" spans="1:21" ht="12.75" customHeight="1">
      <c r="A579" t="s">
        <v>865</v>
      </c>
      <c r="B579" s="625">
        <v>20</v>
      </c>
      <c r="C579" s="623">
        <v>93.31</v>
      </c>
      <c r="D579" s="792">
        <v>6.95</v>
      </c>
      <c r="E579" s="624">
        <f>B579*C579+D579</f>
        <v>1873.15</v>
      </c>
      <c r="F579" s="546" t="s">
        <v>614</v>
      </c>
      <c r="G579" s="1507"/>
      <c r="H579" s="1526"/>
      <c r="I579" s="1501" t="str">
        <f t="shared" si="24"/>
        <v>TWX</v>
      </c>
      <c r="J579" s="1501" t="str">
        <f t="shared" si="23"/>
        <v/>
      </c>
      <c r="K579" s="261"/>
      <c r="L579" s="309"/>
      <c r="M579" s="309"/>
      <c r="N579" s="309"/>
      <c r="O579" s="309"/>
      <c r="P579" s="309"/>
      <c r="Q579" s="309"/>
      <c r="R579" s="309"/>
      <c r="S579" s="309"/>
      <c r="T579" s="309"/>
      <c r="U579" s="309"/>
    </row>
    <row r="580" spans="1:21" ht="12.75" customHeight="1">
      <c r="A580" s="260"/>
      <c r="B580" s="625"/>
      <c r="C580" s="623"/>
      <c r="D580" s="792"/>
      <c r="E580" s="624"/>
      <c r="F580" s="546"/>
      <c r="G580" s="1507"/>
      <c r="H580" s="1526"/>
      <c r="I580" s="1501" t="str">
        <f t="shared" si="24"/>
        <v/>
      </c>
      <c r="J580" s="1501" t="str">
        <f t="shared" si="23"/>
        <v/>
      </c>
      <c r="K580" s="261"/>
      <c r="L580" s="309"/>
      <c r="M580" s="309"/>
      <c r="N580" s="309"/>
      <c r="O580" s="309"/>
      <c r="P580" s="309"/>
      <c r="Q580" s="309"/>
      <c r="R580" s="309"/>
      <c r="S580" s="309"/>
      <c r="T580" s="309"/>
      <c r="U580" s="309"/>
    </row>
    <row r="581" spans="1:21" ht="12.75" customHeight="1">
      <c r="A581" s="260">
        <v>43144</v>
      </c>
      <c r="B581" s="625"/>
      <c r="C581" s="623"/>
      <c r="D581" s="792"/>
      <c r="E581" s="624"/>
      <c r="F581" s="546"/>
      <c r="G581" s="1507"/>
      <c r="H581" s="1526"/>
      <c r="I581" s="1501" t="str">
        <f t="shared" si="24"/>
        <v/>
      </c>
      <c r="J581" s="1501" t="str">
        <f t="shared" si="23"/>
        <v/>
      </c>
      <c r="K581" s="261"/>
      <c r="L581" s="309"/>
      <c r="M581" s="309"/>
      <c r="N581" s="309"/>
      <c r="O581" s="309"/>
      <c r="P581" s="309"/>
      <c r="Q581" s="309"/>
      <c r="R581" s="309"/>
      <c r="S581" s="309"/>
      <c r="T581" s="309"/>
      <c r="U581" s="309"/>
    </row>
    <row r="582" spans="1:21" ht="12.75" customHeight="1">
      <c r="A582" s="260" t="s">
        <v>820</v>
      </c>
      <c r="B582" s="625"/>
      <c r="C582" s="623"/>
      <c r="D582" s="792"/>
      <c r="E582" s="624"/>
      <c r="F582" s="546"/>
      <c r="G582" s="1507"/>
      <c r="H582" s="1526"/>
      <c r="I582" s="1501" t="str">
        <f t="shared" si="24"/>
        <v/>
      </c>
      <c r="J582" s="1501" t="str">
        <f t="shared" si="23"/>
        <v/>
      </c>
      <c r="K582" s="261"/>
      <c r="L582" s="309"/>
      <c r="M582" s="309"/>
      <c r="N582" s="309"/>
      <c r="O582" s="309"/>
      <c r="P582" s="309"/>
      <c r="Q582" s="309"/>
      <c r="R582" s="309"/>
      <c r="S582" s="309"/>
      <c r="T582" s="309"/>
      <c r="U582" s="309"/>
    </row>
    <row r="583" spans="1:21" ht="12.75" customHeight="1">
      <c r="A583" s="310" t="s">
        <v>565</v>
      </c>
      <c r="B583" s="625">
        <v>37.798999999999999</v>
      </c>
      <c r="C583" s="623">
        <v>246.28</v>
      </c>
      <c r="D583" s="792">
        <v>49.99</v>
      </c>
      <c r="E583" s="624">
        <f>B583*C583-D583</f>
        <v>9259.1477200000008</v>
      </c>
      <c r="F583" s="546" t="s">
        <v>566</v>
      </c>
      <c r="G583" s="1507"/>
      <c r="H583" s="1526"/>
      <c r="I583" s="1501" t="str">
        <f t="shared" si="24"/>
        <v/>
      </c>
      <c r="J583" s="1501" t="str">
        <f t="shared" si="23"/>
        <v/>
      </c>
      <c r="K583" s="261"/>
      <c r="L583" s="309"/>
      <c r="M583" s="309"/>
      <c r="N583" s="309"/>
      <c r="O583" s="309"/>
      <c r="P583" s="309"/>
      <c r="Q583" s="309"/>
      <c r="R583" s="309"/>
      <c r="S583" s="309"/>
      <c r="T583" s="309"/>
      <c r="U583" s="309"/>
    </row>
    <row r="584" spans="1:21" ht="12.75" customHeight="1">
      <c r="A584" s="260"/>
      <c r="B584" s="627"/>
      <c r="C584" s="785"/>
      <c r="D584" s="786"/>
      <c r="E584" s="624"/>
      <c r="F584" s="781"/>
      <c r="G584" s="1507"/>
      <c r="H584" s="1526"/>
      <c r="I584" s="1501" t="str">
        <f t="shared" si="24"/>
        <v/>
      </c>
      <c r="J584" s="1501" t="str">
        <f t="shared" si="23"/>
        <v/>
      </c>
      <c r="K584" s="261"/>
      <c r="L584" s="309"/>
      <c r="M584" s="309"/>
      <c r="N584" s="309"/>
      <c r="O584" s="309"/>
      <c r="P584" s="309"/>
      <c r="Q584" s="309"/>
      <c r="R584" s="309"/>
      <c r="S584" s="309"/>
      <c r="T584" s="309"/>
      <c r="U584" s="309"/>
    </row>
    <row r="585" spans="1:21" ht="12.75" customHeight="1">
      <c r="A585" s="260">
        <v>43084</v>
      </c>
      <c r="B585" s="627"/>
      <c r="C585" s="785"/>
      <c r="D585" s="786"/>
      <c r="E585" s="624"/>
      <c r="F585" s="781"/>
      <c r="G585" s="1507"/>
      <c r="H585" s="1526"/>
      <c r="I585" s="1501" t="str">
        <f t="shared" si="24"/>
        <v/>
      </c>
      <c r="J585" s="1501" t="str">
        <f t="shared" si="23"/>
        <v>VFINX</v>
      </c>
      <c r="K585" s="261"/>
      <c r="L585" s="309"/>
      <c r="M585" s="309"/>
      <c r="N585" s="309"/>
      <c r="O585" s="309"/>
      <c r="P585" s="309"/>
      <c r="Q585" s="309"/>
      <c r="R585" s="309"/>
      <c r="S585" s="309"/>
      <c r="T585" s="309"/>
      <c r="U585" s="309"/>
    </row>
    <row r="586" spans="1:21" ht="12.75" customHeight="1">
      <c r="A586" s="262" t="s">
        <v>824</v>
      </c>
      <c r="B586" s="627"/>
      <c r="C586" s="785"/>
      <c r="D586" s="786"/>
      <c r="E586" s="624"/>
      <c r="F586" s="781"/>
      <c r="G586" s="1507"/>
      <c r="H586" s="1526"/>
      <c r="I586" s="1501" t="str">
        <f t="shared" si="24"/>
        <v/>
      </c>
      <c r="J586" s="1501" t="str">
        <f t="shared" si="23"/>
        <v/>
      </c>
      <c r="K586" s="261"/>
      <c r="L586" s="309"/>
      <c r="M586" s="309"/>
      <c r="N586" s="309"/>
      <c r="O586" s="309"/>
      <c r="P586" s="309"/>
      <c r="Q586" s="309"/>
      <c r="R586" s="309"/>
      <c r="S586" s="309"/>
      <c r="T586" s="309"/>
      <c r="U586" s="309"/>
    </row>
    <row r="587" spans="1:21" ht="12.75" customHeight="1">
      <c r="A587" s="334" t="s">
        <v>565</v>
      </c>
      <c r="B587" s="805">
        <v>37.798999999999999</v>
      </c>
      <c r="C587" s="623">
        <v>248.48</v>
      </c>
      <c r="D587" s="792">
        <v>6.95</v>
      </c>
      <c r="E587" s="624">
        <f>B587*C587</f>
        <v>9392.2955199999997</v>
      </c>
      <c r="F587" s="546" t="s">
        <v>566</v>
      </c>
      <c r="G587" s="1507"/>
      <c r="H587" s="1526"/>
      <c r="I587" s="1501" t="str">
        <f t="shared" si="24"/>
        <v>VFINX</v>
      </c>
      <c r="J587" s="1501" t="str">
        <f t="shared" si="23"/>
        <v/>
      </c>
      <c r="K587" s="261"/>
      <c r="L587" s="309"/>
      <c r="M587" s="309"/>
      <c r="N587" s="309"/>
      <c r="O587" s="309"/>
      <c r="P587" s="309"/>
      <c r="Q587" s="309"/>
      <c r="R587" s="309"/>
      <c r="S587" s="309"/>
      <c r="T587" s="309"/>
      <c r="U587" s="309"/>
    </row>
    <row r="588" spans="1:21" ht="12.75" customHeight="1">
      <c r="A588" s="260"/>
      <c r="B588" s="627"/>
      <c r="C588" s="785"/>
      <c r="D588" s="786"/>
      <c r="E588" s="858"/>
      <c r="F588" s="781"/>
      <c r="G588" s="1507"/>
      <c r="H588" s="1526"/>
      <c r="I588" s="1501" t="str">
        <f t="shared" si="24"/>
        <v/>
      </c>
      <c r="J588" s="1501" t="str">
        <f t="shared" si="23"/>
        <v/>
      </c>
      <c r="K588" s="261"/>
      <c r="L588" s="309"/>
      <c r="M588" s="309"/>
      <c r="N588" s="309"/>
      <c r="O588" s="309"/>
      <c r="P588" s="309"/>
      <c r="Q588" s="309"/>
      <c r="R588" s="309"/>
      <c r="S588" s="309"/>
      <c r="T588" s="309"/>
      <c r="U588" s="309"/>
    </row>
    <row r="589" spans="1:21" ht="12.75" customHeight="1">
      <c r="A589" s="260">
        <v>43082</v>
      </c>
      <c r="B589" s="627"/>
      <c r="C589" s="785"/>
      <c r="D589" s="786"/>
      <c r="E589" s="858"/>
      <c r="F589" s="781"/>
      <c r="G589" s="1507"/>
      <c r="H589" s="1526"/>
      <c r="I589" s="1501" t="str">
        <f t="shared" si="24"/>
        <v/>
      </c>
      <c r="J589" s="1501" t="str">
        <f t="shared" si="23"/>
        <v/>
      </c>
      <c r="K589" s="261"/>
      <c r="L589" s="309"/>
      <c r="M589" s="309"/>
      <c r="N589" s="309"/>
      <c r="O589" s="309"/>
      <c r="P589" s="309"/>
      <c r="Q589" s="309"/>
      <c r="R589" s="309"/>
      <c r="S589" s="309"/>
      <c r="T589" s="309"/>
      <c r="U589" s="309"/>
    </row>
    <row r="590" spans="1:21" ht="12.75" customHeight="1">
      <c r="A590" s="262" t="s">
        <v>820</v>
      </c>
      <c r="B590" s="627"/>
      <c r="C590" s="785"/>
      <c r="D590" s="786"/>
      <c r="E590" s="858"/>
      <c r="F590" s="781"/>
      <c r="G590" s="1507"/>
      <c r="H590" s="1526"/>
      <c r="I590" s="1501" t="str">
        <f t="shared" si="24"/>
        <v/>
      </c>
      <c r="J590" s="1501" t="str">
        <f t="shared" si="23"/>
        <v/>
      </c>
      <c r="K590" s="261"/>
      <c r="L590" s="309"/>
      <c r="M590" s="309"/>
      <c r="N590" s="309"/>
      <c r="O590" s="309"/>
      <c r="P590" s="309"/>
      <c r="Q590" s="309"/>
      <c r="R590" s="309"/>
      <c r="S590" s="309"/>
      <c r="T590" s="309"/>
      <c r="U590" s="309"/>
    </row>
    <row r="591" spans="1:21" ht="12.75" customHeight="1">
      <c r="A591" s="334" t="s">
        <v>465</v>
      </c>
      <c r="B591" s="625">
        <v>22</v>
      </c>
      <c r="C591" s="623">
        <v>53.09</v>
      </c>
      <c r="D591" s="792">
        <v>6.95</v>
      </c>
      <c r="E591" s="624">
        <f>B591*C591-D591</f>
        <v>1161.03</v>
      </c>
      <c r="F591" s="546" t="s">
        <v>466</v>
      </c>
      <c r="G591" s="1507"/>
      <c r="H591" s="1526"/>
      <c r="I591" s="1501" t="str">
        <f t="shared" si="24"/>
        <v/>
      </c>
      <c r="J591" s="1501" t="str">
        <f t="shared" si="23"/>
        <v/>
      </c>
      <c r="K591" s="261"/>
      <c r="L591" s="1020"/>
      <c r="M591" s="1020"/>
      <c r="N591" s="1020"/>
      <c r="O591" s="1020"/>
      <c r="P591" s="1020"/>
      <c r="Q591" s="1020"/>
      <c r="R591" s="1020"/>
      <c r="S591" s="1020"/>
      <c r="T591" s="1020"/>
      <c r="U591" s="1020"/>
    </row>
    <row r="592" spans="1:21" ht="12.75" customHeight="1">
      <c r="A592" s="260"/>
      <c r="B592" s="627"/>
      <c r="C592" s="785"/>
      <c r="D592" s="786"/>
      <c r="E592" s="858"/>
      <c r="F592" s="781"/>
      <c r="G592" s="1507"/>
      <c r="H592" s="1526"/>
      <c r="I592" s="1501" t="str">
        <f t="shared" si="24"/>
        <v/>
      </c>
      <c r="J592" s="1501" t="str">
        <f t="shared" si="23"/>
        <v/>
      </c>
      <c r="K592" s="267"/>
      <c r="L592" s="1020"/>
      <c r="M592" s="1020"/>
      <c r="N592" s="1020"/>
      <c r="O592" s="1020"/>
      <c r="P592" s="1020"/>
      <c r="Q592" s="1020"/>
      <c r="R592" s="1020"/>
      <c r="S592" s="1020"/>
      <c r="T592" s="1020"/>
      <c r="U592" s="1020"/>
    </row>
    <row r="593" spans="1:21" ht="12.75" customHeight="1">
      <c r="A593" s="260">
        <v>43069</v>
      </c>
      <c r="B593" s="627"/>
      <c r="C593" s="785"/>
      <c r="D593" s="786"/>
      <c r="E593" s="858"/>
      <c r="F593" s="781"/>
      <c r="G593" s="1507"/>
      <c r="H593" s="1526"/>
      <c r="I593" s="1501" t="str">
        <f t="shared" si="24"/>
        <v/>
      </c>
      <c r="J593" s="1501" t="str">
        <f t="shared" si="23"/>
        <v>HYEM</v>
      </c>
      <c r="K593" s="267"/>
      <c r="L593" s="1020"/>
      <c r="M593" s="1020"/>
      <c r="N593" s="1020"/>
      <c r="O593" s="1020"/>
      <c r="P593" s="1020"/>
      <c r="Q593" s="1020"/>
      <c r="R593" s="1020"/>
      <c r="S593" s="1020"/>
      <c r="T593" s="1020"/>
      <c r="U593" s="1020"/>
    </row>
    <row r="594" spans="1:21" ht="12.75" customHeight="1">
      <c r="A594" s="264" t="s">
        <v>824</v>
      </c>
      <c r="B594" s="627"/>
      <c r="C594" s="785"/>
      <c r="D594" s="786"/>
      <c r="E594" s="858"/>
      <c r="F594" s="781"/>
      <c r="G594" s="1507"/>
      <c r="H594" s="1526"/>
      <c r="I594" s="1501" t="str">
        <f t="shared" si="24"/>
        <v/>
      </c>
      <c r="J594" s="1501" t="str">
        <f t="shared" si="23"/>
        <v/>
      </c>
      <c r="K594" s="267"/>
      <c r="L594" s="1020"/>
      <c r="M594" s="1020"/>
      <c r="N594" s="1020"/>
      <c r="O594" s="1020"/>
      <c r="P594" s="1020"/>
      <c r="Q594" s="1020"/>
      <c r="R594" s="1020"/>
      <c r="S594" s="1020"/>
      <c r="T594" s="1020"/>
      <c r="U594" s="1020"/>
    </row>
    <row r="595" spans="1:21" ht="12.75" customHeight="1">
      <c r="A595" s="160" t="s">
        <v>568</v>
      </c>
      <c r="B595" s="625">
        <v>400</v>
      </c>
      <c r="C595" s="623">
        <v>24.5898</v>
      </c>
      <c r="D595" s="792">
        <v>9.99</v>
      </c>
      <c r="E595" s="624">
        <f>B595*C595+D595</f>
        <v>9845.91</v>
      </c>
      <c r="F595" s="547" t="s">
        <v>569</v>
      </c>
      <c r="G595" s="1507"/>
      <c r="H595" s="1526"/>
      <c r="I595" s="1501" t="str">
        <f t="shared" si="24"/>
        <v>HYEM</v>
      </c>
      <c r="J595" s="1501" t="str">
        <f t="shared" si="23"/>
        <v/>
      </c>
      <c r="K595" s="267"/>
      <c r="L595" s="309"/>
      <c r="M595" s="309"/>
      <c r="N595" s="309"/>
      <c r="O595" s="309"/>
      <c r="P595" s="309"/>
      <c r="Q595" s="309"/>
      <c r="R595" s="309"/>
      <c r="S595" s="309"/>
      <c r="T595" s="309"/>
      <c r="U595" s="309"/>
    </row>
    <row r="596" spans="1:21" ht="12.75" customHeight="1">
      <c r="A596" s="260"/>
      <c r="B596" s="625"/>
      <c r="C596" s="623"/>
      <c r="D596" s="792"/>
      <c r="E596" s="624"/>
      <c r="F596" s="546"/>
      <c r="G596" s="1507"/>
      <c r="H596" s="1526"/>
      <c r="I596" s="1501" t="str">
        <f t="shared" si="24"/>
        <v/>
      </c>
      <c r="J596" s="1501" t="str">
        <f t="shared" si="23"/>
        <v/>
      </c>
      <c r="K596" s="261"/>
      <c r="L596" s="309"/>
      <c r="M596" s="309"/>
      <c r="N596" s="309"/>
      <c r="O596" s="309"/>
      <c r="P596" s="309"/>
      <c r="Q596" s="309"/>
      <c r="R596" s="309"/>
      <c r="S596" s="309"/>
      <c r="T596" s="309"/>
      <c r="U596" s="309"/>
    </row>
    <row r="597" spans="1:21" ht="12.75" customHeight="1">
      <c r="A597" s="260">
        <v>43069</v>
      </c>
      <c r="B597" s="625"/>
      <c r="C597" s="623"/>
      <c r="D597" s="792"/>
      <c r="E597" s="624"/>
      <c r="F597" s="546"/>
      <c r="G597" s="1512"/>
      <c r="H597" s="1528"/>
      <c r="I597" s="1501" t="str">
        <f t="shared" si="24"/>
        <v/>
      </c>
      <c r="J597" s="1501" t="str">
        <f t="shared" si="23"/>
        <v/>
      </c>
      <c r="K597" s="261"/>
      <c r="L597" s="309"/>
      <c r="M597" s="309"/>
      <c r="N597" s="309"/>
      <c r="O597" s="309"/>
      <c r="P597" s="309"/>
      <c r="Q597" s="309"/>
      <c r="R597" s="309"/>
      <c r="S597" s="309"/>
      <c r="T597" s="309"/>
      <c r="U597" s="309"/>
    </row>
    <row r="598" spans="1:21" ht="12.75" customHeight="1">
      <c r="A598" s="273" t="s">
        <v>820</v>
      </c>
      <c r="B598" s="625"/>
      <c r="C598" s="623"/>
      <c r="D598" s="792"/>
      <c r="E598" s="624"/>
      <c r="F598" s="546"/>
      <c r="G598" s="1512"/>
      <c r="H598" s="1528"/>
      <c r="I598" s="1501" t="str">
        <f t="shared" si="24"/>
        <v/>
      </c>
      <c r="J598" s="1501" t="str">
        <f t="shared" si="23"/>
        <v/>
      </c>
      <c r="K598" s="261"/>
      <c r="L598" s="309"/>
      <c r="M598" s="309"/>
      <c r="N598" s="309"/>
      <c r="O598" s="309"/>
      <c r="P598" s="309"/>
      <c r="Q598" s="309"/>
      <c r="R598" s="309"/>
      <c r="S598" s="309"/>
      <c r="T598" s="309"/>
      <c r="U598" s="309"/>
    </row>
    <row r="599" spans="1:21" ht="12.75" customHeight="1">
      <c r="A599" s="266" t="s">
        <v>583</v>
      </c>
      <c r="B599" s="806">
        <v>150</v>
      </c>
      <c r="C599" s="822">
        <v>52.615099999999998</v>
      </c>
      <c r="D599" s="840">
        <v>9.99</v>
      </c>
      <c r="E599" s="859">
        <f>B599*C599+D599</f>
        <v>7902.2549999999992</v>
      </c>
      <c r="F599" s="1496" t="s">
        <v>505</v>
      </c>
      <c r="G599" s="1512"/>
      <c r="H599" s="1528"/>
      <c r="I599" s="1501" t="str">
        <f t="shared" si="24"/>
        <v/>
      </c>
      <c r="J599" s="1501" t="str">
        <f>IF(F601="","",IF(OR(A597="Sell",A598="Sell"),"",F601))</f>
        <v/>
      </c>
      <c r="K599" s="261"/>
      <c r="L599" s="309"/>
      <c r="M599" s="309"/>
      <c r="N599" s="309"/>
      <c r="O599" s="309"/>
      <c r="P599" s="309"/>
      <c r="Q599" s="309"/>
      <c r="R599" s="309"/>
      <c r="S599" s="309"/>
      <c r="T599" s="309"/>
      <c r="U599" s="309"/>
    </row>
    <row r="600" spans="1:21" ht="12.75" customHeight="1">
      <c r="A600" s="268" t="s">
        <v>506</v>
      </c>
      <c r="B600" s="806">
        <v>450</v>
      </c>
      <c r="C600" s="822">
        <v>30</v>
      </c>
      <c r="D600" s="840">
        <v>9.99</v>
      </c>
      <c r="E600" s="859">
        <f>B600*C600+D600</f>
        <v>13509.99</v>
      </c>
      <c r="F600" s="1496" t="s">
        <v>585</v>
      </c>
      <c r="G600" s="1507"/>
      <c r="H600" s="1526"/>
      <c r="I600" s="1501" t="str">
        <f>IF(F600="","",IF(OR(A597="Sell",A598="Sell"),"",F600))</f>
        <v/>
      </c>
      <c r="J600" s="1501" t="str">
        <f>IF(F602="","",IF(OR(A597="Sell",A598="Sell"),"",F602))</f>
        <v/>
      </c>
      <c r="K600" s="261"/>
      <c r="L600" s="309"/>
      <c r="M600" s="309"/>
      <c r="N600" s="309"/>
      <c r="O600" s="309"/>
      <c r="P600" s="309"/>
      <c r="Q600" s="309"/>
      <c r="R600" s="309"/>
      <c r="S600" s="309"/>
      <c r="T600" s="309"/>
      <c r="U600" s="309"/>
    </row>
    <row r="601" spans="1:21" ht="12.75" customHeight="1">
      <c r="A601" s="268" t="s">
        <v>586</v>
      </c>
      <c r="B601" s="806">
        <v>32</v>
      </c>
      <c r="C601" s="822">
        <v>68.894999999999996</v>
      </c>
      <c r="D601" s="840">
        <v>9.99</v>
      </c>
      <c r="E601" s="859">
        <f>B601*C601+D601</f>
        <v>2214.6299999999997</v>
      </c>
      <c r="F601" s="1496" t="s">
        <v>587</v>
      </c>
      <c r="G601" s="1507"/>
      <c r="H601" s="1526"/>
      <c r="I601" s="1501" t="str">
        <f>IF(F601="","",IF(OR(A597="Sell",A598="Sell"),"",F601))</f>
        <v/>
      </c>
      <c r="J601" s="1501" t="str">
        <f t="shared" ref="J601:J632" si="25">IF(F603="","",IF(OR(A601="Sell",A602="Sell"),"",F603))</f>
        <v/>
      </c>
      <c r="K601" s="261"/>
      <c r="L601" s="309"/>
      <c r="M601" s="309"/>
      <c r="N601" s="309"/>
      <c r="O601" s="309"/>
      <c r="P601" s="309"/>
      <c r="Q601" s="309"/>
      <c r="R601" s="309"/>
      <c r="S601" s="309"/>
      <c r="T601" s="309"/>
      <c r="U601" s="309"/>
    </row>
    <row r="602" spans="1:21" ht="12.75" customHeight="1">
      <c r="A602" s="269" t="s">
        <v>473</v>
      </c>
      <c r="B602" s="806">
        <v>440.14499999999998</v>
      </c>
      <c r="C602" s="823">
        <v>10.33</v>
      </c>
      <c r="D602" s="840">
        <v>9.99</v>
      </c>
      <c r="E602" s="859">
        <f>B602*C602+D602</f>
        <v>4556.6878499999993</v>
      </c>
      <c r="F602" s="1496" t="s">
        <v>474</v>
      </c>
      <c r="G602" s="1507"/>
      <c r="H602" s="1526"/>
      <c r="I602" s="1501" t="str">
        <f>IF(F602="","",IF(OR(A597="Sell",A598="Sell"),"",F602))</f>
        <v/>
      </c>
      <c r="J602" s="1501" t="str">
        <f t="shared" si="25"/>
        <v/>
      </c>
      <c r="K602" s="261"/>
      <c r="L602" s="309"/>
      <c r="M602" s="309"/>
      <c r="N602" s="309"/>
      <c r="O602" s="309"/>
      <c r="P602" s="309"/>
      <c r="Q602" s="309"/>
      <c r="R602" s="309"/>
      <c r="S602" s="309"/>
      <c r="T602" s="309"/>
      <c r="U602" s="309"/>
    </row>
    <row r="603" spans="1:21" ht="12.75" customHeight="1">
      <c r="A603" s="260"/>
      <c r="B603" s="627"/>
      <c r="C603" s="785"/>
      <c r="D603" s="786"/>
      <c r="E603" s="858"/>
      <c r="F603" s="781"/>
      <c r="G603" s="1507"/>
      <c r="H603" s="1526"/>
      <c r="I603" s="1501" t="str">
        <f t="shared" ref="I603:I634" si="26">IF(F603="","",IF(OR(A602="Sell",A603="Sell"),"",F603))</f>
        <v/>
      </c>
      <c r="J603" s="1501" t="str">
        <f t="shared" si="25"/>
        <v/>
      </c>
      <c r="K603" s="261"/>
      <c r="L603" s="309"/>
      <c r="M603" s="309"/>
      <c r="N603" s="309"/>
      <c r="O603" s="309"/>
      <c r="P603" s="309"/>
      <c r="Q603" s="309"/>
      <c r="R603" s="309"/>
      <c r="S603" s="309"/>
      <c r="T603" s="309"/>
      <c r="U603" s="309"/>
    </row>
    <row r="604" spans="1:21" ht="12.75" customHeight="1">
      <c r="A604" s="270">
        <v>43067</v>
      </c>
      <c r="B604" s="627"/>
      <c r="C604" s="785"/>
      <c r="D604" s="786"/>
      <c r="E604" s="858"/>
      <c r="F604" s="781"/>
      <c r="G604" s="1507"/>
      <c r="H604" s="1526"/>
      <c r="I604" s="1501" t="str">
        <f t="shared" si="26"/>
        <v/>
      </c>
      <c r="J604" s="1501" t="str">
        <f t="shared" si="25"/>
        <v/>
      </c>
      <c r="K604" s="261"/>
      <c r="L604" s="309"/>
      <c r="M604" s="309"/>
      <c r="N604" s="309"/>
      <c r="O604" s="309"/>
      <c r="P604" s="309"/>
      <c r="Q604" s="309"/>
      <c r="R604" s="309"/>
      <c r="S604" s="309"/>
      <c r="T604" s="309"/>
      <c r="U604" s="309"/>
    </row>
    <row r="605" spans="1:21" ht="12.75" customHeight="1">
      <c r="A605" s="265" t="s">
        <v>820</v>
      </c>
      <c r="B605" s="627"/>
      <c r="C605" s="785"/>
      <c r="D605" s="786"/>
      <c r="E605" s="858"/>
      <c r="F605" s="781"/>
      <c r="G605" s="1507"/>
      <c r="H605" s="1526"/>
      <c r="I605" s="1501" t="str">
        <f t="shared" si="26"/>
        <v/>
      </c>
      <c r="J605" s="1501" t="str">
        <f t="shared" si="25"/>
        <v/>
      </c>
      <c r="K605" s="261"/>
      <c r="L605" s="309"/>
      <c r="M605" s="309"/>
      <c r="N605" s="309"/>
      <c r="O605" s="309"/>
      <c r="P605" s="309"/>
      <c r="Q605" s="309"/>
      <c r="R605" s="309"/>
      <c r="S605" s="309"/>
      <c r="T605" s="309"/>
      <c r="U605" s="309"/>
    </row>
    <row r="606" spans="1:21" ht="12.75" customHeight="1">
      <c r="A606" s="334" t="s">
        <v>580</v>
      </c>
      <c r="B606" s="625">
        <v>17</v>
      </c>
      <c r="C606" s="824">
        <v>142.465</v>
      </c>
      <c r="D606" s="792">
        <v>9.99</v>
      </c>
      <c r="E606" s="624">
        <f>B606*C606+D606</f>
        <v>2431.895</v>
      </c>
      <c r="F606" s="546" t="s">
        <v>581</v>
      </c>
      <c r="G606" s="1508"/>
      <c r="H606" s="1526"/>
      <c r="I606" s="1501" t="str">
        <f t="shared" si="26"/>
        <v/>
      </c>
      <c r="J606" s="1501" t="str">
        <f t="shared" si="25"/>
        <v/>
      </c>
      <c r="K606" s="261"/>
      <c r="L606" s="309"/>
      <c r="M606" s="309"/>
      <c r="N606" s="309"/>
      <c r="O606" s="309"/>
      <c r="P606" s="309"/>
      <c r="Q606" s="309"/>
      <c r="R606" s="309"/>
      <c r="S606" s="309"/>
      <c r="T606" s="309"/>
      <c r="U606" s="309"/>
    </row>
    <row r="607" spans="1:21" ht="12.75" customHeight="1">
      <c r="A607" s="260"/>
      <c r="B607" s="627"/>
      <c r="C607" s="785"/>
      <c r="D607" s="786"/>
      <c r="E607" s="858"/>
      <c r="F607" s="781"/>
      <c r="G607" s="1508"/>
      <c r="H607" s="1526"/>
      <c r="I607" s="1501" t="str">
        <f t="shared" si="26"/>
        <v/>
      </c>
      <c r="J607" s="1501" t="str">
        <f t="shared" si="25"/>
        <v/>
      </c>
      <c r="K607" s="261"/>
      <c r="L607" s="309"/>
      <c r="M607" s="309"/>
      <c r="N607" s="309"/>
      <c r="O607" s="309"/>
      <c r="P607" s="309"/>
      <c r="Q607" s="309"/>
      <c r="R607" s="309"/>
      <c r="S607" s="309"/>
      <c r="T607" s="309"/>
      <c r="U607" s="309"/>
    </row>
    <row r="608" spans="1:21" ht="12.75" customHeight="1">
      <c r="A608" s="270">
        <v>43060</v>
      </c>
      <c r="B608" s="627"/>
      <c r="C608" s="785"/>
      <c r="D608" s="786"/>
      <c r="E608" s="858"/>
      <c r="F608" s="781"/>
      <c r="G608" s="1508"/>
      <c r="H608" s="1526"/>
      <c r="I608" s="1501" t="str">
        <f t="shared" si="26"/>
        <v/>
      </c>
      <c r="J608" s="1501" t="str">
        <f t="shared" si="25"/>
        <v>MLM</v>
      </c>
      <c r="K608" s="261"/>
      <c r="L608" s="309"/>
      <c r="M608" s="309"/>
      <c r="N608" s="309"/>
      <c r="O608" s="309"/>
      <c r="P608" s="309"/>
      <c r="Q608" s="309"/>
      <c r="R608" s="309"/>
      <c r="S608" s="309"/>
      <c r="T608" s="309"/>
      <c r="U608" s="309"/>
    </row>
    <row r="609" spans="1:21" ht="12.75" customHeight="1">
      <c r="A609" s="264" t="s">
        <v>824</v>
      </c>
      <c r="D609" s="792"/>
      <c r="E609" s="624"/>
      <c r="F609" s="546"/>
      <c r="G609" s="1508"/>
      <c r="H609" s="1526"/>
      <c r="I609" s="1501" t="str">
        <f t="shared" si="26"/>
        <v/>
      </c>
      <c r="J609" s="1501" t="str">
        <f t="shared" si="25"/>
        <v/>
      </c>
      <c r="K609" s="261"/>
      <c r="L609" s="309"/>
      <c r="M609" s="309"/>
      <c r="N609" s="309"/>
      <c r="O609" s="309"/>
      <c r="P609" s="309"/>
      <c r="Q609" s="309"/>
      <c r="R609" s="309"/>
      <c r="S609" s="309"/>
      <c r="T609" s="309"/>
      <c r="U609" s="309"/>
    </row>
    <row r="610" spans="1:21" ht="12.75" customHeight="1">
      <c r="A610" s="272" t="s">
        <v>551</v>
      </c>
      <c r="B610" s="625">
        <v>7</v>
      </c>
      <c r="C610" s="623">
        <v>210.42</v>
      </c>
      <c r="D610" s="792">
        <v>9.99</v>
      </c>
      <c r="E610" s="624">
        <f>C610*B610+D610</f>
        <v>1482.9299999999998</v>
      </c>
      <c r="F610" s="546" t="s">
        <v>552</v>
      </c>
      <c r="G610" s="1508"/>
      <c r="H610" s="1526"/>
      <c r="I610" s="1501" t="str">
        <f t="shared" si="26"/>
        <v>MLM</v>
      </c>
      <c r="J610" s="1501" t="str">
        <f t="shared" si="25"/>
        <v/>
      </c>
      <c r="K610" s="275"/>
      <c r="L610" s="309"/>
      <c r="M610" s="309"/>
      <c r="N610" s="309"/>
      <c r="O610" s="309"/>
      <c r="P610" s="309"/>
      <c r="Q610" s="309"/>
      <c r="R610" s="309"/>
      <c r="S610" s="309"/>
      <c r="T610" s="309"/>
      <c r="U610" s="309"/>
    </row>
    <row r="611" spans="1:21" ht="12.75" customHeight="1">
      <c r="A611" s="273"/>
      <c r="B611" s="625"/>
      <c r="C611" s="623"/>
      <c r="D611" s="792"/>
      <c r="E611" s="624"/>
      <c r="F611" s="546"/>
      <c r="I611" s="1501" t="str">
        <f t="shared" si="26"/>
        <v/>
      </c>
      <c r="J611" s="1501" t="str">
        <f t="shared" si="25"/>
        <v/>
      </c>
      <c r="K611" s="261"/>
      <c r="L611" s="309"/>
      <c r="M611" s="309"/>
      <c r="N611" s="309"/>
      <c r="O611" s="309"/>
      <c r="P611" s="309"/>
      <c r="Q611" s="309"/>
      <c r="R611" s="309"/>
      <c r="S611" s="309"/>
      <c r="T611" s="309"/>
      <c r="U611" s="309"/>
    </row>
    <row r="612" spans="1:21" ht="12.75" customHeight="1">
      <c r="A612" s="270">
        <v>43048</v>
      </c>
      <c r="B612" s="625"/>
      <c r="C612" s="623"/>
      <c r="D612" s="792"/>
      <c r="E612" s="624"/>
      <c r="F612" s="546"/>
      <c r="G612" s="1508"/>
      <c r="H612" s="1526"/>
      <c r="I612" s="1501" t="str">
        <f t="shared" si="26"/>
        <v/>
      </c>
      <c r="J612" s="1501" t="str">
        <f t="shared" si="25"/>
        <v>VSM</v>
      </c>
      <c r="K612" s="261"/>
      <c r="L612" s="309"/>
      <c r="M612" s="309"/>
      <c r="N612" s="309"/>
      <c r="O612" s="309"/>
      <c r="P612" s="309"/>
      <c r="Q612" s="309"/>
      <c r="R612" s="309"/>
      <c r="S612" s="309"/>
      <c r="T612" s="309"/>
      <c r="U612" s="309"/>
    </row>
    <row r="613" spans="1:21" ht="12.75" customHeight="1">
      <c r="A613" s="264" t="s">
        <v>824</v>
      </c>
      <c r="B613" s="625"/>
      <c r="C613" s="623"/>
      <c r="D613" s="792"/>
      <c r="E613" s="624"/>
      <c r="F613" s="546"/>
      <c r="G613" s="1508"/>
      <c r="H613" s="1526"/>
      <c r="I613" s="1501" t="str">
        <f t="shared" si="26"/>
        <v/>
      </c>
      <c r="J613" s="1501" t="str">
        <f t="shared" si="25"/>
        <v/>
      </c>
      <c r="K613" s="261"/>
      <c r="L613" s="309"/>
      <c r="M613" s="309"/>
      <c r="N613" s="309"/>
      <c r="O613" s="309"/>
      <c r="P613" s="309"/>
      <c r="Q613" s="309"/>
      <c r="R613" s="309"/>
      <c r="S613" s="309"/>
      <c r="T613" s="309"/>
      <c r="U613" s="309"/>
    </row>
    <row r="614" spans="1:21" ht="12.75" customHeight="1">
      <c r="A614" s="273" t="s">
        <v>866</v>
      </c>
      <c r="B614" s="625">
        <v>32</v>
      </c>
      <c r="C614" s="623">
        <v>38.44</v>
      </c>
      <c r="D614" s="792">
        <v>9.99</v>
      </c>
      <c r="E614" s="624">
        <f>C614*B614+D614</f>
        <v>1240.07</v>
      </c>
      <c r="F614" s="546" t="s">
        <v>562</v>
      </c>
      <c r="G614" s="1513">
        <f>H614*C614</f>
        <v>1037.8799999999999</v>
      </c>
      <c r="H614" s="1526">
        <v>27</v>
      </c>
      <c r="I614" s="1501" t="str">
        <f t="shared" si="26"/>
        <v>VSM</v>
      </c>
      <c r="J614" s="1501" t="str">
        <f t="shared" si="25"/>
        <v/>
      </c>
      <c r="K614" s="261"/>
      <c r="L614" s="309"/>
      <c r="M614" s="309"/>
      <c r="N614" s="309"/>
      <c r="O614" s="309"/>
      <c r="P614" s="309"/>
      <c r="Q614" s="309"/>
      <c r="R614" s="309"/>
      <c r="S614" s="309"/>
      <c r="T614" s="309"/>
      <c r="U614" s="309"/>
    </row>
    <row r="615" spans="1:21" ht="12.75" customHeight="1">
      <c r="A615" s="260"/>
      <c r="B615" s="625"/>
      <c r="C615" s="623"/>
      <c r="D615" s="792"/>
      <c r="E615" s="624"/>
      <c r="F615" s="546"/>
      <c r="G615" s="1508"/>
      <c r="H615" s="1526"/>
      <c r="I615" s="1501" t="str">
        <f t="shared" si="26"/>
        <v/>
      </c>
      <c r="J615" s="1501" t="str">
        <f t="shared" si="25"/>
        <v/>
      </c>
      <c r="K615" s="261"/>
      <c r="L615" s="309"/>
      <c r="M615" s="309"/>
      <c r="N615" s="309"/>
      <c r="O615" s="309"/>
      <c r="P615" s="309"/>
      <c r="Q615" s="309"/>
      <c r="R615" s="309"/>
      <c r="S615" s="309"/>
      <c r="T615" s="309"/>
      <c r="U615" s="309"/>
    </row>
    <row r="616" spans="1:21" ht="12.75" customHeight="1">
      <c r="A616" s="270">
        <v>43045</v>
      </c>
      <c r="B616" s="625"/>
      <c r="C616" s="623"/>
      <c r="D616" s="792"/>
      <c r="E616" s="624"/>
      <c r="F616" s="546"/>
      <c r="G616" s="1508"/>
      <c r="H616" s="1526"/>
      <c r="I616" s="1501" t="str">
        <f t="shared" si="26"/>
        <v/>
      </c>
      <c r="J616" s="1501" t="str">
        <f t="shared" si="25"/>
        <v>BABA</v>
      </c>
      <c r="K616" s="261"/>
      <c r="L616" s="309"/>
      <c r="M616" s="309"/>
      <c r="N616" s="309"/>
      <c r="O616" s="309"/>
      <c r="P616" s="309"/>
      <c r="Q616" s="309"/>
      <c r="R616" s="309"/>
      <c r="S616" s="309"/>
      <c r="T616" s="309"/>
      <c r="U616" s="309"/>
    </row>
    <row r="617" spans="1:21" ht="12.75" customHeight="1">
      <c r="A617" s="264" t="s">
        <v>824</v>
      </c>
      <c r="B617" s="625"/>
      <c r="C617" s="623"/>
      <c r="D617" s="792"/>
      <c r="E617" s="624"/>
      <c r="F617" s="546"/>
      <c r="G617" s="1508"/>
      <c r="H617" s="1526"/>
      <c r="I617" s="1501" t="str">
        <f t="shared" si="26"/>
        <v/>
      </c>
      <c r="J617" s="1501" t="str">
        <f t="shared" si="25"/>
        <v/>
      </c>
      <c r="K617" s="261"/>
      <c r="L617" s="309"/>
      <c r="M617" s="309"/>
      <c r="N617" s="309"/>
      <c r="O617" s="309"/>
      <c r="P617" s="309"/>
      <c r="Q617" s="309"/>
      <c r="R617" s="309"/>
      <c r="S617" s="309"/>
      <c r="T617" s="309"/>
      <c r="U617" s="309"/>
    </row>
    <row r="618" spans="1:21" ht="12.75" customHeight="1">
      <c r="A618" s="274" t="s">
        <v>537</v>
      </c>
      <c r="B618" s="625">
        <v>13</v>
      </c>
      <c r="C618" s="623">
        <v>188.61</v>
      </c>
      <c r="D618" s="792">
        <v>9.99</v>
      </c>
      <c r="E618" s="624">
        <f>C618*B618+D618</f>
        <v>2461.92</v>
      </c>
      <c r="F618" s="546" t="s">
        <v>538</v>
      </c>
      <c r="G618" s="1508"/>
      <c r="H618" s="1526"/>
      <c r="I618" s="1501" t="str">
        <f t="shared" si="26"/>
        <v>BABA</v>
      </c>
      <c r="J618" s="1501" t="str">
        <f t="shared" si="25"/>
        <v/>
      </c>
      <c r="K618" s="261"/>
      <c r="L618" s="309"/>
      <c r="M618" s="309"/>
      <c r="N618" s="309"/>
      <c r="O618" s="276"/>
      <c r="P618" s="309"/>
      <c r="Q618" s="309"/>
      <c r="R618" s="309"/>
      <c r="S618" s="309"/>
      <c r="T618" s="309"/>
      <c r="U618" s="309"/>
    </row>
    <row r="619" spans="1:21" ht="12.75" customHeight="1">
      <c r="A619" s="273"/>
      <c r="B619" s="625"/>
      <c r="C619" s="623"/>
      <c r="D619" s="792"/>
      <c r="E619" s="624"/>
      <c r="F619" s="546"/>
      <c r="G619" s="1508"/>
      <c r="H619" s="1526"/>
      <c r="I619" s="1501" t="str">
        <f t="shared" si="26"/>
        <v/>
      </c>
      <c r="J619" s="1501" t="str">
        <f t="shared" si="25"/>
        <v/>
      </c>
      <c r="K619" s="261"/>
      <c r="L619" s="309"/>
      <c r="M619" s="309"/>
      <c r="N619" s="309"/>
      <c r="O619" s="309"/>
      <c r="P619" s="309"/>
      <c r="Q619" s="309"/>
      <c r="R619" s="309"/>
      <c r="S619" s="309"/>
      <c r="T619" s="309"/>
      <c r="U619" s="309"/>
    </row>
    <row r="620" spans="1:21" ht="12.75" customHeight="1">
      <c r="A620" s="270">
        <v>43040</v>
      </c>
      <c r="B620" s="625"/>
      <c r="C620" s="623"/>
      <c r="D620" s="792"/>
      <c r="E620" s="624"/>
      <c r="F620" s="546"/>
      <c r="G620" s="1507"/>
      <c r="H620" s="1526"/>
      <c r="I620" s="1501" t="str">
        <f t="shared" si="26"/>
        <v/>
      </c>
      <c r="J620" s="1501" t="str">
        <f t="shared" si="25"/>
        <v>NTES</v>
      </c>
      <c r="K620" s="261"/>
      <c r="L620" s="309"/>
      <c r="M620" s="309"/>
      <c r="N620" s="309"/>
      <c r="O620" s="309"/>
      <c r="P620" s="309"/>
      <c r="Q620" s="309"/>
      <c r="R620" s="309"/>
      <c r="S620" s="309"/>
      <c r="T620" s="309"/>
      <c r="U620" s="309"/>
    </row>
    <row r="621" spans="1:21" ht="12.75" customHeight="1">
      <c r="A621" s="264" t="s">
        <v>824</v>
      </c>
      <c r="B621" s="625"/>
      <c r="C621" s="623"/>
      <c r="D621" s="792"/>
      <c r="E621" s="624"/>
      <c r="F621" s="546"/>
      <c r="G621" s="1507"/>
      <c r="H621" s="1526"/>
      <c r="I621" s="1501" t="str">
        <f t="shared" si="26"/>
        <v/>
      </c>
      <c r="J621" s="1501" t="str">
        <f t="shared" si="25"/>
        <v/>
      </c>
      <c r="K621" s="261"/>
      <c r="L621" s="309"/>
      <c r="M621" s="309"/>
      <c r="N621" s="309"/>
      <c r="O621" s="309"/>
      <c r="P621" s="309"/>
      <c r="Q621" s="309"/>
      <c r="R621" s="309"/>
      <c r="S621" s="309"/>
      <c r="T621" s="309"/>
      <c r="U621" s="309"/>
    </row>
    <row r="622" spans="1:21" ht="12.75" customHeight="1">
      <c r="A622" s="273" t="s">
        <v>555</v>
      </c>
      <c r="B622" s="625">
        <v>10</v>
      </c>
      <c r="C622" s="623">
        <v>277.3</v>
      </c>
      <c r="D622" s="792">
        <v>9.99</v>
      </c>
      <c r="E622" s="624">
        <f>C622*B622+D622</f>
        <v>2782.99</v>
      </c>
      <c r="F622" s="546" t="s">
        <v>556</v>
      </c>
      <c r="G622" s="1507"/>
      <c r="H622" s="1526"/>
      <c r="I622" s="1501" t="str">
        <f t="shared" si="26"/>
        <v>NTES</v>
      </c>
      <c r="J622" s="1501" t="str">
        <f t="shared" si="25"/>
        <v/>
      </c>
      <c r="K622" s="261"/>
      <c r="L622" s="309"/>
      <c r="M622" s="309"/>
      <c r="N622" s="309"/>
      <c r="O622" s="309"/>
      <c r="P622" s="309"/>
      <c r="Q622" s="309"/>
      <c r="R622" s="309"/>
      <c r="S622" s="309"/>
      <c r="T622" s="309"/>
      <c r="U622" s="309"/>
    </row>
    <row r="623" spans="1:21" ht="12.75" customHeight="1">
      <c r="A623" s="273"/>
      <c r="B623" s="627"/>
      <c r="C623" s="785"/>
      <c r="D623" s="786"/>
      <c r="E623" s="858"/>
      <c r="F623" s="781"/>
      <c r="G623" s="1507"/>
      <c r="H623" s="1526"/>
      <c r="I623" s="1501" t="str">
        <f t="shared" si="26"/>
        <v/>
      </c>
      <c r="J623" s="1501" t="str">
        <f t="shared" si="25"/>
        <v/>
      </c>
      <c r="K623" s="261"/>
      <c r="L623" s="309"/>
      <c r="M623" s="309"/>
      <c r="N623" s="309"/>
      <c r="O623" s="309"/>
      <c r="P623" s="309"/>
      <c r="Q623" s="309"/>
      <c r="R623" s="309"/>
      <c r="S623" s="309"/>
      <c r="T623" s="309"/>
      <c r="U623" s="309"/>
    </row>
    <row r="624" spans="1:21" ht="12.75" customHeight="1">
      <c r="A624" s="1357">
        <v>43038</v>
      </c>
      <c r="B624" s="627"/>
      <c r="C624" s="785"/>
      <c r="D624" s="786"/>
      <c r="E624" s="858"/>
      <c r="F624" s="781"/>
      <c r="G624" s="1507"/>
      <c r="H624" s="1526"/>
      <c r="I624" s="1501" t="str">
        <f t="shared" si="26"/>
        <v/>
      </c>
      <c r="J624" s="1501" t="str">
        <f t="shared" si="25"/>
        <v>JNJ</v>
      </c>
      <c r="K624" s="261"/>
      <c r="L624" s="309"/>
      <c r="M624" s="309"/>
      <c r="N624" s="309"/>
      <c r="O624" s="309"/>
      <c r="P624" s="309"/>
      <c r="Q624" s="309"/>
      <c r="R624" s="309"/>
      <c r="S624" s="309"/>
      <c r="T624" s="309"/>
      <c r="U624" s="309"/>
    </row>
    <row r="625" spans="1:21" ht="12.75" customHeight="1">
      <c r="A625" s="264" t="s">
        <v>824</v>
      </c>
      <c r="B625" s="627"/>
      <c r="C625" s="785"/>
      <c r="D625" s="786"/>
      <c r="E625" s="858"/>
      <c r="F625" s="781"/>
      <c r="G625" s="1507"/>
      <c r="H625" s="1526"/>
      <c r="I625" s="1501" t="str">
        <f t="shared" si="26"/>
        <v/>
      </c>
      <c r="J625" s="1501" t="str">
        <f t="shared" si="25"/>
        <v/>
      </c>
      <c r="K625" s="261"/>
      <c r="L625" s="309"/>
      <c r="M625" s="309"/>
      <c r="N625" s="309"/>
      <c r="O625" s="309"/>
      <c r="P625" s="309"/>
      <c r="Q625" s="309"/>
      <c r="R625" s="309"/>
      <c r="S625" s="309"/>
      <c r="T625" s="309"/>
      <c r="U625" s="309"/>
    </row>
    <row r="626" spans="1:21" ht="12.75" customHeight="1">
      <c r="A626" s="273" t="s">
        <v>867</v>
      </c>
      <c r="B626" s="625">
        <v>15</v>
      </c>
      <c r="C626" s="623">
        <v>140.55000000000001</v>
      </c>
      <c r="D626" s="792">
        <v>9.99</v>
      </c>
      <c r="E626" s="624">
        <f>C626*B626+D626</f>
        <v>2118.2399999999998</v>
      </c>
      <c r="F626" s="546" t="s">
        <v>548</v>
      </c>
      <c r="G626" s="1507"/>
      <c r="H626" s="1526"/>
      <c r="I626" s="1501" t="str">
        <f t="shared" si="26"/>
        <v>JNJ</v>
      </c>
      <c r="J626" s="1501" t="str">
        <f t="shared" si="25"/>
        <v/>
      </c>
      <c r="K626" s="261"/>
      <c r="L626" s="309"/>
      <c r="M626" s="309"/>
      <c r="N626" s="309"/>
      <c r="O626" s="309"/>
      <c r="P626" s="309"/>
      <c r="Q626" s="309"/>
      <c r="R626" s="309"/>
      <c r="S626" s="309"/>
      <c r="T626" s="309"/>
      <c r="U626" s="309"/>
    </row>
    <row r="627" spans="1:21" ht="12.75" customHeight="1">
      <c r="A627" s="273"/>
      <c r="B627" s="627"/>
      <c r="C627" s="785"/>
      <c r="D627" s="786"/>
      <c r="E627" s="858"/>
      <c r="F627" s="781"/>
      <c r="G627" s="1507"/>
      <c r="H627" s="1526"/>
      <c r="I627" s="1501" t="str">
        <f t="shared" si="26"/>
        <v/>
      </c>
      <c r="J627" s="1501" t="str">
        <f t="shared" si="25"/>
        <v/>
      </c>
      <c r="K627" s="261"/>
      <c r="L627" s="309"/>
      <c r="M627" s="309"/>
      <c r="N627" s="309"/>
      <c r="O627" s="309"/>
      <c r="P627" s="309"/>
      <c r="Q627" s="309"/>
      <c r="R627" s="309"/>
      <c r="S627" s="309"/>
      <c r="T627" s="309"/>
      <c r="U627" s="309"/>
    </row>
    <row r="628" spans="1:21" ht="13.5" customHeight="1">
      <c r="A628" s="1357">
        <v>42860</v>
      </c>
      <c r="B628" s="627"/>
      <c r="C628" s="785"/>
      <c r="D628" s="786"/>
      <c r="E628" s="858"/>
      <c r="F628" s="781"/>
      <c r="G628" s="1507"/>
      <c r="H628" s="1526"/>
      <c r="I628" s="1501" t="str">
        <f t="shared" si="26"/>
        <v/>
      </c>
      <c r="J628" s="1501" t="str">
        <f t="shared" si="25"/>
        <v>APTS</v>
      </c>
      <c r="K628" s="261"/>
      <c r="L628" s="309"/>
      <c r="M628" s="309"/>
      <c r="N628" s="309"/>
      <c r="O628" s="309"/>
      <c r="P628" s="309"/>
      <c r="Q628" s="309"/>
      <c r="R628" s="309"/>
      <c r="S628" s="309"/>
      <c r="T628" s="309"/>
      <c r="U628" s="309"/>
    </row>
    <row r="629" spans="1:21" ht="12.75" customHeight="1">
      <c r="A629" s="264" t="s">
        <v>868</v>
      </c>
      <c r="B629" s="627"/>
      <c r="C629" s="785"/>
      <c r="D629" s="786"/>
      <c r="E629" s="858"/>
      <c r="F629" s="781"/>
      <c r="G629" s="1507"/>
      <c r="H629" s="1526"/>
      <c r="I629" s="1501" t="str">
        <f t="shared" si="26"/>
        <v/>
      </c>
      <c r="J629" s="1501" t="str">
        <f t="shared" si="25"/>
        <v/>
      </c>
      <c r="K629" s="261"/>
      <c r="L629" s="309"/>
      <c r="M629" s="309"/>
      <c r="N629" s="309"/>
      <c r="O629" s="309"/>
      <c r="P629" s="309"/>
      <c r="Q629" s="309"/>
      <c r="R629" s="309"/>
      <c r="S629" s="309"/>
      <c r="T629" s="309"/>
      <c r="U629" s="309"/>
    </row>
    <row r="630" spans="1:21" ht="12.75" customHeight="1">
      <c r="A630" s="339" t="s">
        <v>558</v>
      </c>
      <c r="B630" s="625">
        <v>65</v>
      </c>
      <c r="C630" s="623">
        <v>15.45</v>
      </c>
      <c r="D630" s="792">
        <v>9.99</v>
      </c>
      <c r="E630" s="624">
        <f>B630*C630+D630</f>
        <v>1014.24</v>
      </c>
      <c r="F630" s="546" t="s">
        <v>559</v>
      </c>
      <c r="G630" s="1507"/>
      <c r="H630" s="1526"/>
      <c r="I630" s="1501" t="str">
        <f t="shared" si="26"/>
        <v>APTS</v>
      </c>
      <c r="J630" s="1501" t="str">
        <f t="shared" si="25"/>
        <v/>
      </c>
      <c r="K630" s="261"/>
      <c r="L630" s="309"/>
      <c r="M630" s="309"/>
      <c r="N630" s="276"/>
      <c r="O630" s="309"/>
      <c r="P630" s="309"/>
      <c r="Q630" s="309"/>
      <c r="R630" s="309"/>
      <c r="S630" s="309"/>
      <c r="T630" s="309"/>
      <c r="U630" s="309"/>
    </row>
    <row r="631" spans="1:21" ht="13.5" customHeight="1">
      <c r="A631" s="333"/>
      <c r="B631" s="627"/>
      <c r="C631" s="785"/>
      <c r="D631" s="786"/>
      <c r="E631" s="858"/>
      <c r="F631" s="781"/>
      <c r="G631" s="1507"/>
      <c r="H631" s="1526"/>
      <c r="I631" s="1501" t="str">
        <f t="shared" si="26"/>
        <v/>
      </c>
      <c r="J631" s="1501" t="str">
        <f t="shared" si="25"/>
        <v/>
      </c>
      <c r="K631" s="261"/>
      <c r="L631" s="309"/>
      <c r="M631" s="309"/>
      <c r="N631" s="309"/>
      <c r="O631" s="309"/>
      <c r="P631" s="309"/>
      <c r="Q631" s="309"/>
      <c r="R631" s="309"/>
      <c r="S631" s="309"/>
      <c r="T631" s="309"/>
      <c r="U631" s="309"/>
    </row>
    <row r="632" spans="1:21" ht="12.75" customHeight="1">
      <c r="A632" s="273"/>
      <c r="B632" s="627"/>
      <c r="C632" s="785"/>
      <c r="D632" s="786"/>
      <c r="E632" s="858"/>
      <c r="F632" s="781"/>
      <c r="G632" s="1507"/>
      <c r="H632" s="1526"/>
      <c r="I632" s="1501" t="str">
        <f t="shared" si="26"/>
        <v/>
      </c>
      <c r="J632" s="1501" t="str">
        <f t="shared" si="25"/>
        <v/>
      </c>
      <c r="K632" s="261"/>
      <c r="L632" s="309"/>
      <c r="M632" s="309"/>
      <c r="N632" s="309"/>
      <c r="O632" s="309"/>
      <c r="P632" s="309"/>
      <c r="Q632" s="309"/>
      <c r="R632" s="309"/>
      <c r="S632" s="309"/>
      <c r="T632" s="309"/>
      <c r="U632" s="309"/>
    </row>
    <row r="633" spans="1:21" ht="12.75" customHeight="1">
      <c r="A633" s="1357">
        <v>42852</v>
      </c>
      <c r="B633" s="627"/>
      <c r="C633" s="785"/>
      <c r="D633" s="786"/>
      <c r="E633" s="858"/>
      <c r="F633" s="781"/>
      <c r="G633" s="1507"/>
      <c r="H633" s="1526"/>
      <c r="I633" s="1501" t="str">
        <f t="shared" si="26"/>
        <v/>
      </c>
      <c r="J633" s="1501" t="str">
        <f t="shared" ref="J633:J664" si="27">IF(F635="","",IF(OR(A633="Sell",A634="Sell"),"",F635))</f>
        <v>FB</v>
      </c>
      <c r="K633" s="261"/>
      <c r="L633" s="309"/>
      <c r="M633" s="309"/>
      <c r="N633" s="309"/>
      <c r="O633" s="309"/>
      <c r="P633" s="309"/>
      <c r="Q633" s="309"/>
      <c r="R633" s="309"/>
      <c r="S633" s="309"/>
      <c r="T633" s="309"/>
      <c r="U633" s="309"/>
    </row>
    <row r="634" spans="1:21" ht="12.75" customHeight="1">
      <c r="A634" s="264" t="s">
        <v>824</v>
      </c>
      <c r="B634" s="627"/>
      <c r="C634" s="785"/>
      <c r="D634" s="786"/>
      <c r="E634" s="858"/>
      <c r="F634" s="781"/>
      <c r="G634" s="1508"/>
      <c r="H634" s="1501"/>
      <c r="I634" s="1501" t="str">
        <f t="shared" si="26"/>
        <v/>
      </c>
      <c r="J634" s="1501" t="str">
        <f t="shared" si="27"/>
        <v/>
      </c>
      <c r="K634" s="261"/>
      <c r="L634" s="309"/>
      <c r="M634" s="309"/>
      <c r="N634" s="309"/>
      <c r="O634" s="309"/>
      <c r="P634" s="309"/>
      <c r="Q634" s="309"/>
      <c r="R634" s="309"/>
      <c r="S634" s="309"/>
      <c r="T634" s="309"/>
      <c r="U634" s="309"/>
    </row>
    <row r="635" spans="1:21" ht="12.75" customHeight="1">
      <c r="A635" s="334" t="s">
        <v>869</v>
      </c>
      <c r="B635" s="625">
        <v>17</v>
      </c>
      <c r="C635" s="623">
        <v>147.96</v>
      </c>
      <c r="D635" s="792">
        <v>9.99</v>
      </c>
      <c r="E635" s="624">
        <f>B635*C635+D635</f>
        <v>2525.31</v>
      </c>
      <c r="F635" s="546" t="s">
        <v>544</v>
      </c>
      <c r="G635" s="1508"/>
      <c r="H635" s="1501"/>
      <c r="I635" s="1501" t="str">
        <f t="shared" ref="I635:I666" si="28">IF(F635="","",IF(OR(A634="Sell",A635="Sell"),"",F635))</f>
        <v>FB</v>
      </c>
      <c r="J635" s="1501" t="str">
        <f t="shared" si="27"/>
        <v/>
      </c>
      <c r="K635" s="261"/>
      <c r="L635" s="309"/>
      <c r="M635" s="309"/>
      <c r="N635" s="309"/>
      <c r="O635" s="309"/>
      <c r="P635" s="309"/>
      <c r="Q635" s="309"/>
      <c r="R635" s="309"/>
      <c r="S635" s="309"/>
      <c r="T635" s="309"/>
      <c r="U635" s="309"/>
    </row>
    <row r="636" spans="1:21" ht="12.75" customHeight="1">
      <c r="A636" s="273"/>
      <c r="B636" s="627"/>
      <c r="C636" s="785"/>
      <c r="D636" s="786"/>
      <c r="E636" s="858"/>
      <c r="F636" s="781"/>
      <c r="G636" s="1508"/>
      <c r="H636" s="1501"/>
      <c r="I636" s="1501" t="str">
        <f t="shared" si="28"/>
        <v/>
      </c>
      <c r="J636" s="1501" t="str">
        <f t="shared" si="27"/>
        <v/>
      </c>
      <c r="K636" s="261"/>
      <c r="L636" s="309"/>
      <c r="M636" s="309"/>
      <c r="N636" s="309"/>
      <c r="O636" s="309"/>
      <c r="P636" s="309"/>
      <c r="Q636" s="309"/>
      <c r="R636" s="309"/>
      <c r="S636" s="309"/>
      <c r="T636" s="309"/>
      <c r="U636" s="309"/>
    </row>
    <row r="637" spans="1:21" ht="12.75" customHeight="1">
      <c r="A637" s="1357">
        <v>42853</v>
      </c>
      <c r="B637" s="625"/>
      <c r="C637" s="623"/>
      <c r="D637" s="792"/>
      <c r="E637" s="624"/>
      <c r="F637" s="546"/>
      <c r="G637" s="1508"/>
      <c r="H637" s="1501"/>
      <c r="I637" s="1501" t="str">
        <f t="shared" si="28"/>
        <v/>
      </c>
      <c r="J637" s="1501" t="str">
        <f t="shared" si="27"/>
        <v>ESRX</v>
      </c>
      <c r="K637" s="261"/>
      <c r="L637" s="309"/>
      <c r="M637" s="309"/>
      <c r="N637" s="309"/>
      <c r="O637" s="309"/>
      <c r="P637" s="309"/>
      <c r="Q637" s="309"/>
      <c r="R637" s="309"/>
      <c r="S637" s="309"/>
      <c r="T637" s="309"/>
      <c r="U637" s="309"/>
    </row>
    <row r="638" spans="1:21" ht="12.75" customHeight="1">
      <c r="A638" s="1358" t="s">
        <v>824</v>
      </c>
      <c r="B638" s="625"/>
      <c r="C638" s="623"/>
      <c r="D638" s="792"/>
      <c r="E638" s="624"/>
      <c r="F638" s="546"/>
      <c r="G638" s="1508"/>
      <c r="H638" s="1501"/>
      <c r="I638" s="1501" t="str">
        <f t="shared" si="28"/>
        <v/>
      </c>
      <c r="J638" s="1501" t="str">
        <f t="shared" si="27"/>
        <v/>
      </c>
      <c r="K638" s="261"/>
      <c r="L638" s="309"/>
      <c r="M638" s="309"/>
      <c r="N638" s="309"/>
      <c r="O638" s="309"/>
      <c r="P638" s="309"/>
      <c r="Q638" s="309"/>
      <c r="R638" s="309"/>
      <c r="S638" s="309"/>
      <c r="T638" s="309"/>
      <c r="U638" s="309"/>
    </row>
    <row r="639" spans="1:21" ht="12.75" customHeight="1">
      <c r="A639" s="334" t="s">
        <v>870</v>
      </c>
      <c r="B639" s="625">
        <v>38</v>
      </c>
      <c r="C639" s="623">
        <v>60.12</v>
      </c>
      <c r="D639" s="792">
        <v>9.99</v>
      </c>
      <c r="E639" s="624">
        <f>(C639*B639)+D639</f>
        <v>2294.5499999999997</v>
      </c>
      <c r="F639" s="546" t="s">
        <v>344</v>
      </c>
      <c r="G639" s="1508"/>
      <c r="H639" s="1501"/>
      <c r="I639" s="1501" t="str">
        <f t="shared" si="28"/>
        <v>ESRX</v>
      </c>
      <c r="J639" s="1501" t="str">
        <f t="shared" si="27"/>
        <v/>
      </c>
      <c r="K639" s="261"/>
      <c r="L639" s="309"/>
      <c r="M639" s="309"/>
      <c r="N639" s="309"/>
      <c r="O639" s="309"/>
      <c r="P639" s="309"/>
      <c r="Q639" s="309"/>
      <c r="R639" s="309"/>
      <c r="S639" s="309"/>
      <c r="T639" s="309"/>
      <c r="U639" s="309"/>
    </row>
    <row r="640" spans="1:21" ht="12.75" customHeight="1">
      <c r="A640" s="1357">
        <v>42853</v>
      </c>
      <c r="B640" s="625"/>
      <c r="C640" s="623"/>
      <c r="D640" s="792"/>
      <c r="E640" s="624"/>
      <c r="F640" s="546"/>
      <c r="G640" s="1508"/>
      <c r="H640" s="624"/>
      <c r="I640" s="1501" t="str">
        <f t="shared" si="28"/>
        <v/>
      </c>
      <c r="J640" s="1501" t="str">
        <f t="shared" si="27"/>
        <v>MIDD</v>
      </c>
      <c r="K640" s="261"/>
      <c r="L640" s="309"/>
      <c r="M640" s="309"/>
      <c r="N640" s="309"/>
      <c r="O640" s="309"/>
      <c r="P640" s="309"/>
      <c r="Q640" s="309"/>
      <c r="R640" s="309"/>
      <c r="S640" s="309"/>
      <c r="T640" s="309"/>
      <c r="U640" s="309"/>
    </row>
    <row r="641" spans="1:21" ht="12.75" customHeight="1">
      <c r="A641" s="333" t="s">
        <v>824</v>
      </c>
      <c r="B641" s="625"/>
      <c r="C641" s="623"/>
      <c r="D641" s="792"/>
      <c r="E641" s="624"/>
      <c r="F641" s="546"/>
      <c r="G641" s="1508"/>
      <c r="H641" s="1501"/>
      <c r="I641" s="1501" t="str">
        <f t="shared" si="28"/>
        <v/>
      </c>
      <c r="J641" s="1501" t="str">
        <f t="shared" si="27"/>
        <v/>
      </c>
      <c r="K641" s="261"/>
      <c r="L641" s="309"/>
      <c r="M641" s="309"/>
      <c r="N641" s="309"/>
      <c r="O641" s="309"/>
      <c r="P641" s="309"/>
      <c r="Q641" s="309"/>
      <c r="R641" s="309"/>
      <c r="S641" s="309"/>
      <c r="T641" s="309"/>
      <c r="U641" s="309"/>
    </row>
    <row r="642" spans="1:21" ht="12.75" customHeight="1">
      <c r="A642" s="334" t="s">
        <v>553</v>
      </c>
      <c r="B642" s="625">
        <v>18</v>
      </c>
      <c r="C642" s="623">
        <v>139.93</v>
      </c>
      <c r="D642" s="792">
        <v>9.99</v>
      </c>
      <c r="E642" s="624">
        <f>(C642*B642)+D642</f>
        <v>2528.73</v>
      </c>
      <c r="F642" s="546" t="s">
        <v>554</v>
      </c>
      <c r="G642" s="1510">
        <f>E645+E938</f>
        <v>2754.6</v>
      </c>
      <c r="H642" s="1501">
        <v>54</v>
      </c>
      <c r="I642" s="1501" t="str">
        <f t="shared" si="28"/>
        <v>MIDD</v>
      </c>
      <c r="J642" s="1501" t="str">
        <f t="shared" si="27"/>
        <v/>
      </c>
      <c r="K642" s="261"/>
      <c r="L642" s="309"/>
      <c r="M642" s="309"/>
      <c r="N642" s="309"/>
      <c r="O642" s="309"/>
      <c r="P642" s="309"/>
      <c r="Q642" s="309"/>
      <c r="R642" s="309"/>
      <c r="S642" s="309"/>
      <c r="T642" s="309"/>
      <c r="U642" s="309"/>
    </row>
    <row r="643" spans="1:21" ht="12.75" customHeight="1">
      <c r="A643" s="1357">
        <v>42850</v>
      </c>
      <c r="B643" s="625"/>
      <c r="C643" s="623"/>
      <c r="D643" s="792"/>
      <c r="E643" s="624"/>
      <c r="F643" s="546"/>
      <c r="G643" s="1511"/>
      <c r="H643" s="1526"/>
      <c r="I643" s="1501" t="str">
        <f t="shared" si="28"/>
        <v/>
      </c>
      <c r="J643" s="1501" t="str">
        <f t="shared" si="27"/>
        <v>WFC</v>
      </c>
      <c r="K643" s="271"/>
      <c r="L643" s="309"/>
      <c r="M643" s="309"/>
      <c r="N643" s="309"/>
      <c r="O643" s="309"/>
      <c r="P643" s="309"/>
      <c r="Q643" s="309"/>
      <c r="R643" s="309"/>
      <c r="S643" s="309"/>
      <c r="T643" s="309"/>
      <c r="U643" s="309"/>
    </row>
    <row r="644" spans="1:21" ht="12.75" customHeight="1">
      <c r="A644" s="1358" t="s">
        <v>824</v>
      </c>
      <c r="B644" s="625"/>
      <c r="C644" s="623"/>
      <c r="D644" s="792"/>
      <c r="E644" s="624"/>
      <c r="F644" s="546"/>
      <c r="G644" s="1511"/>
      <c r="H644" s="1526"/>
      <c r="I644" s="1501" t="str">
        <f t="shared" si="28"/>
        <v/>
      </c>
      <c r="J644" s="1501" t="str">
        <f t="shared" si="27"/>
        <v/>
      </c>
      <c r="K644" s="261"/>
      <c r="L644" s="309"/>
      <c r="M644" s="309"/>
      <c r="N644" s="309"/>
      <c r="O644" s="309"/>
      <c r="P644" s="309"/>
      <c r="Q644" s="309"/>
      <c r="R644" s="309"/>
      <c r="S644" s="309"/>
      <c r="T644" s="309"/>
      <c r="U644" s="309"/>
    </row>
    <row r="645" spans="1:21" ht="12.75" customHeight="1">
      <c r="A645" s="334" t="s">
        <v>871</v>
      </c>
      <c r="B645" s="625">
        <v>24</v>
      </c>
      <c r="C645" s="623">
        <v>53.4</v>
      </c>
      <c r="D645" s="792">
        <v>9.99</v>
      </c>
      <c r="E645" s="624">
        <f>(C645*B645)+D645</f>
        <v>1291.5899999999999</v>
      </c>
      <c r="F645" s="546" t="s">
        <v>310</v>
      </c>
      <c r="G645" s="1511"/>
      <c r="H645" s="1526"/>
      <c r="I645" s="1501" t="str">
        <f t="shared" si="28"/>
        <v>WFC</v>
      </c>
      <c r="J645" s="1501" t="str">
        <f t="shared" si="27"/>
        <v/>
      </c>
      <c r="K645" s="261"/>
      <c r="L645" s="309"/>
      <c r="M645" s="309"/>
      <c r="N645" s="309"/>
      <c r="O645" s="309"/>
      <c r="P645" s="309"/>
      <c r="Q645" s="309"/>
      <c r="R645" s="309"/>
      <c r="S645" s="309"/>
      <c r="T645" s="309"/>
      <c r="U645" s="309"/>
    </row>
    <row r="646" spans="1:21" ht="12.75" customHeight="1">
      <c r="A646" s="1357">
        <v>42850</v>
      </c>
      <c r="B646" s="627"/>
      <c r="C646" s="785"/>
      <c r="D646" s="786"/>
      <c r="E646" s="858"/>
      <c r="F646" s="781"/>
      <c r="G646" s="1511"/>
      <c r="H646" s="1526"/>
      <c r="I646" s="1501" t="str">
        <f t="shared" si="28"/>
        <v/>
      </c>
      <c r="J646" s="1501" t="str">
        <f t="shared" si="27"/>
        <v>VDC</v>
      </c>
      <c r="K646" s="271"/>
      <c r="L646" s="309"/>
      <c r="M646" s="309"/>
      <c r="N646" s="309"/>
      <c r="O646" s="309"/>
      <c r="P646" s="309"/>
      <c r="Q646" s="309"/>
      <c r="R646" s="309"/>
      <c r="S646" s="309"/>
      <c r="T646" s="309"/>
      <c r="U646" s="309"/>
    </row>
    <row r="647" spans="1:21" ht="12.75" customHeight="1">
      <c r="A647" s="333" t="s">
        <v>824</v>
      </c>
      <c r="B647" s="627"/>
      <c r="C647" s="785"/>
      <c r="D647" s="786"/>
      <c r="E647" s="858"/>
      <c r="F647" s="781"/>
      <c r="G647" s="1511"/>
      <c r="H647" s="1526"/>
      <c r="I647" s="1501" t="str">
        <f t="shared" si="28"/>
        <v/>
      </c>
      <c r="J647" s="1501" t="str">
        <f t="shared" si="27"/>
        <v/>
      </c>
      <c r="K647" s="271"/>
      <c r="L647" s="309"/>
      <c r="M647" s="309"/>
      <c r="N647" s="309"/>
      <c r="O647" s="309"/>
      <c r="P647" s="309"/>
      <c r="Q647" s="309"/>
      <c r="R647" s="309"/>
      <c r="S647" s="309"/>
      <c r="T647" s="309"/>
      <c r="U647" s="309"/>
    </row>
    <row r="648" spans="1:21" ht="12.75" customHeight="1">
      <c r="A648" s="334" t="s">
        <v>580</v>
      </c>
      <c r="B648" s="625">
        <v>17</v>
      </c>
      <c r="C648" s="623">
        <v>140.86000000000001</v>
      </c>
      <c r="D648" s="792">
        <v>9.99</v>
      </c>
      <c r="E648" s="624">
        <f>(C648*B648)+D648</f>
        <v>2404.61</v>
      </c>
      <c r="F648" s="546" t="s">
        <v>581</v>
      </c>
      <c r="I648" s="1501" t="str">
        <f t="shared" si="28"/>
        <v>VDC</v>
      </c>
      <c r="J648" s="1501" t="str">
        <f t="shared" si="27"/>
        <v/>
      </c>
      <c r="K648" s="271"/>
      <c r="L648" s="309"/>
      <c r="M648" s="309"/>
      <c r="N648" s="309"/>
      <c r="O648" s="309"/>
      <c r="P648" s="309"/>
      <c r="Q648" s="309"/>
      <c r="R648" s="309"/>
      <c r="S648" s="309"/>
      <c r="T648" s="309"/>
      <c r="U648" s="309"/>
    </row>
    <row r="649" spans="1:21" ht="12.75" customHeight="1">
      <c r="A649" s="1357">
        <v>42850</v>
      </c>
      <c r="B649" s="627"/>
      <c r="C649" s="785"/>
      <c r="D649" s="786"/>
      <c r="E649" s="858"/>
      <c r="F649" s="781"/>
      <c r="G649" s="1507"/>
      <c r="H649" s="1526"/>
      <c r="I649" s="1501" t="str">
        <f t="shared" si="28"/>
        <v/>
      </c>
      <c r="J649" s="1501" t="str">
        <f t="shared" si="27"/>
        <v>DIS</v>
      </c>
      <c r="K649" s="271"/>
      <c r="L649" s="309"/>
      <c r="M649" s="309"/>
      <c r="N649" s="309"/>
      <c r="O649" s="309"/>
      <c r="P649" s="309"/>
      <c r="Q649" s="309"/>
      <c r="R649" s="309"/>
      <c r="S649" s="309"/>
      <c r="T649" s="309"/>
      <c r="U649" s="309"/>
    </row>
    <row r="650" spans="1:21" ht="17.25" customHeight="1">
      <c r="A650" s="1358" t="s">
        <v>824</v>
      </c>
      <c r="B650" s="627"/>
      <c r="C650" s="785"/>
      <c r="D650" s="786"/>
      <c r="E650" s="858"/>
      <c r="F650" s="781"/>
      <c r="G650" s="1507"/>
      <c r="H650" s="1526"/>
      <c r="I650" s="1501" t="str">
        <f t="shared" si="28"/>
        <v/>
      </c>
      <c r="J650" s="1501" t="str">
        <f t="shared" si="27"/>
        <v/>
      </c>
      <c r="K650" s="271"/>
      <c r="L650" s="309"/>
      <c r="M650" s="309"/>
      <c r="N650" s="309"/>
      <c r="O650" s="309"/>
      <c r="P650" s="309"/>
      <c r="Q650" s="309"/>
      <c r="R650" s="309"/>
      <c r="S650" s="309"/>
      <c r="T650" s="309"/>
      <c r="U650" s="309"/>
    </row>
    <row r="651" spans="1:21" ht="12.75" customHeight="1">
      <c r="A651" s="334" t="s">
        <v>872</v>
      </c>
      <c r="B651" s="625">
        <v>9</v>
      </c>
      <c r="C651" s="623">
        <v>114.705</v>
      </c>
      <c r="D651" s="792">
        <v>9.99</v>
      </c>
      <c r="E651" s="624">
        <f>(C651*B651)+D651</f>
        <v>1042.335</v>
      </c>
      <c r="F651" s="609" t="s">
        <v>470</v>
      </c>
      <c r="G651" s="1510">
        <f>E651+E849</f>
        <v>3067.2730999999999</v>
      </c>
      <c r="H651" s="1501">
        <v>28</v>
      </c>
      <c r="I651" s="1501" t="str">
        <f t="shared" si="28"/>
        <v>DIS</v>
      </c>
      <c r="J651" s="1501" t="str">
        <f t="shared" si="27"/>
        <v/>
      </c>
      <c r="K651" s="271"/>
      <c r="L651" s="309"/>
      <c r="M651" s="309"/>
      <c r="N651" s="309"/>
      <c r="O651" s="309"/>
      <c r="P651" s="309"/>
      <c r="Q651" s="309"/>
      <c r="R651" s="309"/>
      <c r="S651" s="309"/>
      <c r="T651" s="309"/>
      <c r="U651" s="309"/>
    </row>
    <row r="652" spans="1:21" ht="16.5" customHeight="1">
      <c r="A652" s="1357">
        <v>42846</v>
      </c>
      <c r="B652" s="627"/>
      <c r="C652" s="785"/>
      <c r="D652" s="786"/>
      <c r="E652" s="858"/>
      <c r="F652" s="781"/>
      <c r="G652" s="1507"/>
      <c r="H652" s="1526"/>
      <c r="I652" s="1501" t="str">
        <f t="shared" si="28"/>
        <v/>
      </c>
      <c r="J652" s="1501" t="str">
        <f t="shared" si="27"/>
        <v>FNV</v>
      </c>
      <c r="K652" s="271"/>
      <c r="L652" s="309"/>
      <c r="M652" s="309"/>
      <c r="N652" s="309"/>
      <c r="O652" s="309"/>
      <c r="P652" s="309"/>
      <c r="Q652" s="309"/>
      <c r="R652" s="309"/>
      <c r="S652" s="309"/>
      <c r="T652" s="309"/>
      <c r="U652" s="309"/>
    </row>
    <row r="653" spans="1:21" ht="12.75" customHeight="1">
      <c r="A653" s="1358" t="s">
        <v>824</v>
      </c>
      <c r="B653" s="627"/>
      <c r="C653" s="785"/>
      <c r="D653" s="786"/>
      <c r="E653" s="858"/>
      <c r="F653" s="781"/>
      <c r="G653" s="1507"/>
      <c r="H653" s="1526"/>
      <c r="I653" s="1501" t="str">
        <f t="shared" si="28"/>
        <v/>
      </c>
      <c r="J653" s="1501" t="str">
        <f t="shared" si="27"/>
        <v/>
      </c>
      <c r="K653" s="271"/>
      <c r="L653" s="309"/>
      <c r="M653" s="309"/>
      <c r="N653" s="309"/>
      <c r="O653" s="309"/>
      <c r="P653" s="309"/>
      <c r="Q653" s="309"/>
      <c r="R653" s="309"/>
      <c r="S653" s="309"/>
      <c r="T653" s="309"/>
      <c r="U653" s="309"/>
    </row>
    <row r="654" spans="1:21" ht="12.75" customHeight="1">
      <c r="A654" s="334" t="s">
        <v>873</v>
      </c>
      <c r="B654" s="625">
        <v>57</v>
      </c>
      <c r="C654" s="623">
        <v>69.86</v>
      </c>
      <c r="D654" s="792">
        <v>9.99</v>
      </c>
      <c r="E654" s="624">
        <f>(C654*B654)+D654</f>
        <v>3992.0099999999998</v>
      </c>
      <c r="F654" s="609" t="s">
        <v>546</v>
      </c>
      <c r="G654" s="1511">
        <f>E654/57*H257</f>
        <v>1540.7757894736842</v>
      </c>
      <c r="H654" s="1526" t="s">
        <v>874</v>
      </c>
      <c r="I654" s="1501" t="str">
        <f t="shared" si="28"/>
        <v>FNV</v>
      </c>
      <c r="J654" s="1501" t="str">
        <f t="shared" si="27"/>
        <v/>
      </c>
      <c r="K654" s="271"/>
      <c r="L654" s="309"/>
      <c r="M654" s="309"/>
      <c r="N654" s="309"/>
      <c r="O654" s="309"/>
      <c r="P654" s="309"/>
      <c r="Q654" s="309"/>
      <c r="R654" s="309"/>
      <c r="S654" s="309"/>
      <c r="T654" s="309"/>
      <c r="U654" s="309"/>
    </row>
    <row r="655" spans="1:21" ht="12.75" customHeight="1">
      <c r="A655" s="1357">
        <v>42842</v>
      </c>
      <c r="B655" s="625"/>
      <c r="C655" s="623"/>
      <c r="D655" s="792"/>
      <c r="E655" s="624"/>
      <c r="F655" s="546"/>
      <c r="G655" s="1507"/>
      <c r="H655" s="1526"/>
      <c r="I655" s="1501" t="str">
        <f t="shared" si="28"/>
        <v/>
      </c>
      <c r="J655" s="1501" t="str">
        <f t="shared" si="27"/>
        <v>LMT</v>
      </c>
      <c r="K655" s="271"/>
      <c r="L655" s="309"/>
      <c r="M655" s="309"/>
      <c r="N655" s="309"/>
      <c r="O655" s="309"/>
      <c r="P655" s="309"/>
      <c r="Q655" s="309"/>
      <c r="R655" s="309"/>
      <c r="S655" s="309"/>
      <c r="T655" s="309"/>
      <c r="U655" s="309"/>
    </row>
    <row r="656" spans="1:21" ht="12.75" customHeight="1">
      <c r="A656" s="1358" t="s">
        <v>824</v>
      </c>
      <c r="B656" s="625"/>
      <c r="C656" s="623"/>
      <c r="D656" s="792"/>
      <c r="E656" s="624"/>
      <c r="F656" s="546"/>
      <c r="G656" s="1507"/>
      <c r="H656" s="1526"/>
      <c r="I656" s="1501" t="str">
        <f t="shared" si="28"/>
        <v/>
      </c>
      <c r="J656" s="1501" t="str">
        <f t="shared" si="27"/>
        <v/>
      </c>
      <c r="K656" s="271"/>
      <c r="L656" s="309"/>
      <c r="M656" s="309"/>
      <c r="N656" s="309"/>
      <c r="O656" s="309"/>
      <c r="P656" s="309"/>
      <c r="Q656" s="309"/>
      <c r="R656" s="309"/>
      <c r="S656" s="309"/>
      <c r="T656" s="309"/>
      <c r="U656" s="309"/>
    </row>
    <row r="657" spans="1:21" ht="12.75" customHeight="1">
      <c r="A657" s="334" t="s">
        <v>549</v>
      </c>
      <c r="B657" s="625">
        <v>9</v>
      </c>
      <c r="C657" s="623">
        <v>270.57</v>
      </c>
      <c r="D657" s="792">
        <v>9.99</v>
      </c>
      <c r="E657" s="624">
        <f>(C657*B657)+D657</f>
        <v>2445.12</v>
      </c>
      <c r="F657" s="609" t="s">
        <v>550</v>
      </c>
      <c r="G657" s="1507"/>
      <c r="H657" s="1526"/>
      <c r="I657" s="1501" t="str">
        <f t="shared" si="28"/>
        <v>LMT</v>
      </c>
      <c r="J657" s="1501" t="str">
        <f t="shared" si="27"/>
        <v/>
      </c>
      <c r="K657" s="271"/>
      <c r="L657" s="309"/>
      <c r="M657" s="309"/>
      <c r="N657" s="309"/>
      <c r="O657" s="309"/>
      <c r="P657" s="309"/>
      <c r="Q657" s="309"/>
      <c r="R657" s="309"/>
      <c r="S657" s="309"/>
      <c r="T657" s="309"/>
      <c r="U657" s="309"/>
    </row>
    <row r="658" spans="1:21" ht="12.75" customHeight="1">
      <c r="A658" s="1357">
        <v>42837</v>
      </c>
      <c r="B658" s="625"/>
      <c r="C658" s="623"/>
      <c r="D658" s="792"/>
      <c r="E658" s="624"/>
      <c r="F658" s="546"/>
      <c r="G658" s="1507"/>
      <c r="H658" s="1526"/>
      <c r="I658" s="1501" t="str">
        <f t="shared" si="28"/>
        <v/>
      </c>
      <c r="J658" s="1501" t="str">
        <f t="shared" si="27"/>
        <v/>
      </c>
      <c r="K658" s="271"/>
      <c r="L658" s="309"/>
      <c r="M658" s="309"/>
      <c r="N658" s="309"/>
      <c r="O658" s="309"/>
      <c r="P658" s="309"/>
      <c r="Q658" s="309"/>
      <c r="R658" s="309"/>
      <c r="S658" s="309"/>
      <c r="T658" s="309"/>
      <c r="U658" s="309"/>
    </row>
    <row r="659" spans="1:21" ht="12.75" customHeight="1">
      <c r="A659" s="1359" t="s">
        <v>820</v>
      </c>
      <c r="B659" s="625"/>
      <c r="C659" s="623"/>
      <c r="D659" s="792"/>
      <c r="E659" s="624"/>
      <c r="F659" s="546"/>
      <c r="G659" s="1507"/>
      <c r="H659" s="1526"/>
      <c r="I659" s="1501" t="str">
        <f t="shared" si="28"/>
        <v/>
      </c>
      <c r="J659" s="1501" t="str">
        <f t="shared" si="27"/>
        <v/>
      </c>
      <c r="K659" s="271"/>
      <c r="L659" s="309"/>
      <c r="M659" s="309"/>
      <c r="N659" s="309"/>
      <c r="O659" s="309"/>
      <c r="P659" s="309"/>
      <c r="Q659" s="309"/>
      <c r="R659" s="309"/>
      <c r="S659" s="309"/>
      <c r="T659" s="309"/>
      <c r="U659" s="309"/>
    </row>
    <row r="660" spans="1:21" ht="12.75" customHeight="1">
      <c r="A660" s="334" t="s">
        <v>578</v>
      </c>
      <c r="B660" s="625">
        <v>22</v>
      </c>
      <c r="C660" s="623">
        <v>56.25</v>
      </c>
      <c r="D660" s="792">
        <v>9.99</v>
      </c>
      <c r="E660" s="624">
        <f>(C660*B660)-D660</f>
        <v>1227.51</v>
      </c>
      <c r="F660" s="609" t="s">
        <v>472</v>
      </c>
      <c r="G660" s="1507"/>
      <c r="H660" s="1526"/>
      <c r="I660" s="1501" t="str">
        <f t="shared" si="28"/>
        <v/>
      </c>
      <c r="J660" s="1501" t="str">
        <f t="shared" si="27"/>
        <v/>
      </c>
      <c r="K660" s="271"/>
      <c r="L660" s="309"/>
      <c r="M660" s="309"/>
      <c r="N660" s="309"/>
      <c r="O660" s="309"/>
      <c r="P660" s="309"/>
      <c r="Q660" s="309"/>
      <c r="R660" s="309"/>
      <c r="S660" s="309"/>
      <c r="T660" s="309"/>
      <c r="U660" s="309"/>
    </row>
    <row r="661" spans="1:21" ht="12.75" customHeight="1">
      <c r="A661" s="1357">
        <v>42832</v>
      </c>
      <c r="B661" s="625"/>
      <c r="C661" s="623"/>
      <c r="D661" s="792"/>
      <c r="E661" s="624"/>
      <c r="F661" s="546"/>
      <c r="G661" s="1507"/>
      <c r="H661" s="1526"/>
      <c r="I661" s="1501" t="str">
        <f t="shared" si="28"/>
        <v/>
      </c>
      <c r="J661" s="1501" t="str">
        <f t="shared" si="27"/>
        <v/>
      </c>
      <c r="K661" s="271"/>
      <c r="L661" s="309"/>
      <c r="M661" s="309"/>
      <c r="N661" s="309"/>
      <c r="O661" s="309"/>
      <c r="P661" s="309"/>
      <c r="Q661" s="309"/>
      <c r="R661" s="309"/>
      <c r="S661" s="309"/>
      <c r="T661" s="309"/>
      <c r="U661" s="309"/>
    </row>
    <row r="662" spans="1:21" ht="12.75" customHeight="1">
      <c r="A662" s="1359" t="s">
        <v>820</v>
      </c>
      <c r="B662" s="625"/>
      <c r="C662" s="623"/>
      <c r="D662" s="792"/>
      <c r="E662" s="624"/>
      <c r="F662" s="546"/>
      <c r="G662" s="1507"/>
      <c r="H662" s="1526"/>
      <c r="I662" s="1501" t="str">
        <f t="shared" si="28"/>
        <v/>
      </c>
      <c r="J662" s="1501" t="str">
        <f t="shared" si="27"/>
        <v/>
      </c>
      <c r="K662" s="271"/>
      <c r="L662" s="309"/>
      <c r="M662" s="309"/>
      <c r="N662" s="309"/>
      <c r="O662" s="309"/>
      <c r="P662" s="309"/>
      <c r="Q662" s="309"/>
      <c r="R662" s="309"/>
      <c r="S662" s="309"/>
      <c r="T662" s="309"/>
      <c r="U662" s="309"/>
    </row>
    <row r="663" spans="1:21" ht="12.75" customHeight="1">
      <c r="A663" s="334" t="s">
        <v>577</v>
      </c>
      <c r="B663" s="625">
        <v>120</v>
      </c>
      <c r="C663" s="623">
        <v>21.11</v>
      </c>
      <c r="D663" s="792">
        <v>9.99</v>
      </c>
      <c r="E663" s="624">
        <f>(C663*B663)-D663</f>
        <v>2523.21</v>
      </c>
      <c r="F663" s="609" t="s">
        <v>460</v>
      </c>
      <c r="G663" s="1507"/>
      <c r="H663" s="1526"/>
      <c r="I663" s="1501" t="str">
        <f t="shared" si="28"/>
        <v/>
      </c>
      <c r="J663" s="1501" t="str">
        <f t="shared" si="27"/>
        <v/>
      </c>
      <c r="K663" s="271"/>
      <c r="L663" s="309"/>
      <c r="M663" s="309"/>
      <c r="N663" s="309"/>
      <c r="O663" s="309"/>
      <c r="P663" s="309"/>
      <c r="Q663" s="309"/>
      <c r="R663" s="309"/>
      <c r="S663" s="309"/>
      <c r="T663" s="309"/>
      <c r="U663" s="309"/>
    </row>
    <row r="664" spans="1:21" ht="12.75" customHeight="1">
      <c r="A664" s="1357">
        <v>42832</v>
      </c>
      <c r="B664" s="625"/>
      <c r="C664" s="623"/>
      <c r="D664" s="792"/>
      <c r="E664" s="624"/>
      <c r="F664" s="546"/>
      <c r="G664" s="1507"/>
      <c r="H664" s="1526"/>
      <c r="I664" s="1501" t="str">
        <f t="shared" si="28"/>
        <v/>
      </c>
      <c r="J664" s="1501" t="str">
        <f t="shared" si="27"/>
        <v/>
      </c>
      <c r="K664" s="271"/>
      <c r="L664" s="309"/>
      <c r="M664" s="309"/>
      <c r="N664" s="309"/>
      <c r="O664" s="309"/>
      <c r="P664" s="309"/>
      <c r="Q664" s="309"/>
      <c r="R664" s="309"/>
      <c r="S664" s="309"/>
      <c r="T664" s="309"/>
      <c r="U664" s="309"/>
    </row>
    <row r="665" spans="1:21" ht="12.75" customHeight="1">
      <c r="A665" s="1359" t="s">
        <v>820</v>
      </c>
      <c r="B665" s="625"/>
      <c r="C665" s="623"/>
      <c r="D665" s="792"/>
      <c r="E665" s="624"/>
      <c r="F665" s="546"/>
      <c r="G665" s="1507"/>
      <c r="H665" s="1526"/>
      <c r="I665" s="1501" t="str">
        <f t="shared" si="28"/>
        <v/>
      </c>
      <c r="J665" s="1501" t="str">
        <f t="shared" ref="J665:J696" si="29">IF(F667="","",IF(OR(A665="Sell",A666="Sell"),"",F667))</f>
        <v/>
      </c>
      <c r="K665" s="271"/>
      <c r="L665" s="309"/>
      <c r="M665" s="309"/>
      <c r="N665" s="309"/>
      <c r="O665" s="309"/>
      <c r="P665" s="309"/>
      <c r="Q665" s="309"/>
      <c r="R665" s="309"/>
      <c r="S665" s="309"/>
      <c r="T665" s="309"/>
      <c r="U665" s="309"/>
    </row>
    <row r="666" spans="1:21" ht="12.75" customHeight="1">
      <c r="A666" s="334" t="s">
        <v>576</v>
      </c>
      <c r="B666" s="625">
        <v>12</v>
      </c>
      <c r="C666" s="623">
        <v>77.739999999999995</v>
      </c>
      <c r="D666" s="792">
        <v>9.99</v>
      </c>
      <c r="E666" s="624">
        <f>(C666*B666)-D666</f>
        <v>922.88999999999987</v>
      </c>
      <c r="F666" s="546" t="s">
        <v>456</v>
      </c>
      <c r="I666" s="1501" t="str">
        <f t="shared" si="28"/>
        <v/>
      </c>
      <c r="J666" s="1501" t="str">
        <f t="shared" si="29"/>
        <v/>
      </c>
      <c r="K666" s="271"/>
      <c r="L666" s="309"/>
      <c r="M666" s="309"/>
      <c r="N666" s="309"/>
      <c r="O666" s="309"/>
      <c r="P666" s="309"/>
      <c r="Q666" s="309"/>
      <c r="R666" s="309"/>
      <c r="S666" s="309"/>
      <c r="T666" s="309"/>
      <c r="U666" s="309"/>
    </row>
    <row r="667" spans="1:21" ht="12.75" customHeight="1">
      <c r="A667" s="1357">
        <v>42832</v>
      </c>
      <c r="B667" s="625"/>
      <c r="C667" s="623"/>
      <c r="D667" s="792"/>
      <c r="E667" s="624"/>
      <c r="F667" s="546"/>
      <c r="G667" s="1507"/>
      <c r="H667" s="1526"/>
      <c r="I667" s="1501" t="str">
        <f t="shared" ref="I667:I703" si="30">IF(F667="","",IF(OR(A666="Sell",A667="Sell"),"",F667))</f>
        <v/>
      </c>
      <c r="J667" s="1501" t="str">
        <f t="shared" si="29"/>
        <v/>
      </c>
      <c r="K667" s="271"/>
      <c r="L667" s="309"/>
      <c r="M667" s="309"/>
      <c r="N667" s="309"/>
      <c r="O667" s="309"/>
      <c r="P667" s="309"/>
      <c r="Q667" s="309"/>
      <c r="R667" s="309"/>
      <c r="S667" s="309"/>
      <c r="T667" s="309"/>
      <c r="U667" s="309"/>
    </row>
    <row r="668" spans="1:21" ht="12.75" customHeight="1">
      <c r="A668" s="1359" t="s">
        <v>820</v>
      </c>
      <c r="B668" s="625"/>
      <c r="C668" s="623"/>
      <c r="D668" s="792"/>
      <c r="E668" s="624"/>
      <c r="F668" s="546"/>
      <c r="G668" s="1507"/>
      <c r="H668" s="1526"/>
      <c r="I668" s="1501" t="str">
        <f t="shared" si="30"/>
        <v/>
      </c>
      <c r="J668" s="1501" t="str">
        <f t="shared" si="29"/>
        <v/>
      </c>
      <c r="K668" s="271"/>
      <c r="L668" s="309"/>
      <c r="M668" s="309"/>
      <c r="N668" s="309"/>
      <c r="O668" s="309"/>
      <c r="P668" s="309"/>
      <c r="Q668" s="309"/>
      <c r="R668" s="309"/>
      <c r="S668" s="309"/>
      <c r="T668" s="309"/>
      <c r="U668" s="309"/>
    </row>
    <row r="669" spans="1:21" ht="12.75" customHeight="1">
      <c r="A669" s="334" t="s">
        <v>574</v>
      </c>
      <c r="B669" s="625">
        <v>20</v>
      </c>
      <c r="C669" s="623">
        <v>165.03</v>
      </c>
      <c r="D669" s="792">
        <v>9.99</v>
      </c>
      <c r="E669" s="624">
        <f>(C669*B669)-D669</f>
        <v>3290.61</v>
      </c>
      <c r="F669" s="546" t="s">
        <v>173</v>
      </c>
      <c r="G669" s="1514">
        <f>40*C1058</f>
        <v>2347.1999999999998</v>
      </c>
      <c r="H669" s="1526">
        <v>40</v>
      </c>
      <c r="I669" s="1501" t="str">
        <f t="shared" si="30"/>
        <v/>
      </c>
      <c r="J669" s="1501" t="str">
        <f t="shared" si="29"/>
        <v/>
      </c>
      <c r="K669" s="271"/>
      <c r="L669" s="309"/>
      <c r="M669" s="309"/>
      <c r="N669" s="309"/>
      <c r="O669" s="309"/>
      <c r="P669" s="309"/>
      <c r="Q669" s="309"/>
      <c r="R669" s="309"/>
      <c r="S669" s="309"/>
      <c r="T669" s="309"/>
      <c r="U669" s="309"/>
    </row>
    <row r="670" spans="1:21" ht="12.75" customHeight="1">
      <c r="A670" s="1357">
        <v>42808</v>
      </c>
      <c r="B670" s="625"/>
      <c r="C670" s="623"/>
      <c r="D670" s="792"/>
      <c r="E670" s="624"/>
      <c r="F670" s="546"/>
      <c r="G670" s="1507"/>
      <c r="H670" s="1526"/>
      <c r="I670" s="1501" t="str">
        <f t="shared" si="30"/>
        <v/>
      </c>
      <c r="J670" s="1501" t="str">
        <f t="shared" si="29"/>
        <v>PRI</v>
      </c>
      <c r="K670" s="263"/>
      <c r="L670" s="309"/>
      <c r="M670" s="309"/>
      <c r="N670" s="309"/>
      <c r="O670" s="309"/>
      <c r="P670" s="309"/>
      <c r="Q670" s="309"/>
      <c r="R670" s="309"/>
      <c r="S670" s="309"/>
      <c r="T670" s="309"/>
      <c r="U670" s="309"/>
    </row>
    <row r="671" spans="1:21" ht="12.75" customHeight="1">
      <c r="A671" s="1358" t="s">
        <v>824</v>
      </c>
      <c r="B671" s="625"/>
      <c r="C671" s="623"/>
      <c r="D671" s="792"/>
      <c r="E671" s="624"/>
      <c r="F671" s="546"/>
      <c r="G671" s="1507"/>
      <c r="H671" s="1526"/>
      <c r="I671" s="1501" t="str">
        <f t="shared" si="30"/>
        <v/>
      </c>
      <c r="J671" s="1501" t="str">
        <f t="shared" si="29"/>
        <v/>
      </c>
      <c r="K671" s="263"/>
      <c r="L671" s="309"/>
      <c r="M671" s="309"/>
      <c r="N671" s="309"/>
      <c r="O671" s="309"/>
      <c r="P671" s="309"/>
      <c r="Q671" s="309"/>
      <c r="R671" s="309"/>
      <c r="S671" s="309"/>
      <c r="T671" s="309"/>
      <c r="U671" s="309"/>
    </row>
    <row r="672" spans="1:21" ht="12.75" customHeight="1">
      <c r="A672" s="334" t="s">
        <v>875</v>
      </c>
      <c r="B672" s="625">
        <v>37</v>
      </c>
      <c r="C672" s="623">
        <v>80.78</v>
      </c>
      <c r="D672" s="792">
        <v>9.99</v>
      </c>
      <c r="E672" s="624">
        <f>(C672*B672)+D672</f>
        <v>2998.85</v>
      </c>
      <c r="F672" s="546" t="s">
        <v>561</v>
      </c>
      <c r="G672" s="1507"/>
      <c r="H672" s="1526"/>
      <c r="I672" s="1501" t="str">
        <f t="shared" si="30"/>
        <v>PRI</v>
      </c>
      <c r="J672" s="1501" t="str">
        <f t="shared" si="29"/>
        <v/>
      </c>
      <c r="K672" s="261"/>
      <c r="L672" s="309"/>
      <c r="M672" s="309"/>
      <c r="N672" s="309"/>
      <c r="O672" s="309"/>
      <c r="P672" s="309"/>
      <c r="Q672" s="309"/>
      <c r="R672" s="309"/>
      <c r="S672" s="309"/>
      <c r="T672" s="309"/>
      <c r="U672" s="309"/>
    </row>
    <row r="673" spans="1:21" ht="12.75" customHeight="1">
      <c r="A673" s="1357">
        <v>42800</v>
      </c>
      <c r="B673" s="625"/>
      <c r="C673" s="623"/>
      <c r="D673" s="792"/>
      <c r="E673" s="624"/>
      <c r="F673" s="546"/>
      <c r="G673" s="1507"/>
      <c r="H673" s="1526"/>
      <c r="I673" s="1501" t="str">
        <f t="shared" si="30"/>
        <v/>
      </c>
      <c r="J673" s="1501" t="str">
        <f t="shared" si="29"/>
        <v>XLE</v>
      </c>
      <c r="K673" s="261"/>
      <c r="L673" s="309"/>
      <c r="M673" s="309"/>
      <c r="N673" s="309"/>
      <c r="O673" s="309"/>
      <c r="P673" s="309"/>
      <c r="Q673" s="309"/>
      <c r="R673" s="309"/>
      <c r="S673" s="309"/>
      <c r="T673" s="309"/>
      <c r="U673" s="309"/>
    </row>
    <row r="674" spans="1:21" ht="12.75" customHeight="1">
      <c r="A674" s="1358" t="s">
        <v>824</v>
      </c>
      <c r="B674" s="625"/>
      <c r="C674" s="623"/>
      <c r="D674" s="792"/>
      <c r="E674" s="624"/>
      <c r="F674" s="546"/>
      <c r="G674" s="1507"/>
      <c r="H674" s="1526"/>
      <c r="I674" s="1501" t="str">
        <f t="shared" si="30"/>
        <v/>
      </c>
      <c r="J674" s="1501" t="str">
        <f t="shared" si="29"/>
        <v/>
      </c>
      <c r="K674" s="263"/>
      <c r="L674" s="309"/>
      <c r="M674" s="309"/>
      <c r="N674" s="309"/>
      <c r="O674" s="309"/>
      <c r="P674" s="309"/>
      <c r="Q674" s="309"/>
      <c r="R674" s="309"/>
      <c r="S674" s="309"/>
      <c r="T674" s="309"/>
      <c r="U674" s="309"/>
    </row>
    <row r="675" spans="1:21" ht="12.75" customHeight="1">
      <c r="A675" s="334" t="s">
        <v>586</v>
      </c>
      <c r="B675" s="625">
        <v>32</v>
      </c>
      <c r="C675" s="623">
        <v>71.805000000000007</v>
      </c>
      <c r="D675" s="792">
        <v>9.99</v>
      </c>
      <c r="E675" s="624">
        <f>(C675*B675)+D675</f>
        <v>2307.75</v>
      </c>
      <c r="F675" s="546" t="s">
        <v>587</v>
      </c>
      <c r="G675" s="1507"/>
      <c r="H675" s="1526"/>
      <c r="I675" s="1501" t="str">
        <f t="shared" si="30"/>
        <v>XLE</v>
      </c>
      <c r="J675" s="1501" t="str">
        <f t="shared" si="29"/>
        <v/>
      </c>
      <c r="K675" s="263"/>
      <c r="L675" s="309"/>
      <c r="M675" s="309"/>
      <c r="N675" s="309"/>
      <c r="O675" s="309"/>
      <c r="P675" s="309"/>
      <c r="Q675" s="309"/>
      <c r="R675" s="309"/>
      <c r="S675" s="309"/>
      <c r="T675" s="309"/>
      <c r="U675" s="309"/>
    </row>
    <row r="676" spans="1:21" ht="12.75" customHeight="1">
      <c r="A676" s="1357">
        <v>42797</v>
      </c>
      <c r="B676" s="627"/>
      <c r="C676" s="785"/>
      <c r="D676" s="786"/>
      <c r="E676" s="858"/>
      <c r="F676" s="781"/>
      <c r="G676" s="1507"/>
      <c r="H676" s="1526"/>
      <c r="I676" s="1501" t="str">
        <f t="shared" si="30"/>
        <v/>
      </c>
      <c r="J676" s="1501" t="str">
        <f t="shared" si="29"/>
        <v/>
      </c>
      <c r="K676" s="263"/>
      <c r="L676" s="309"/>
      <c r="M676" s="309"/>
      <c r="N676" s="309"/>
      <c r="O676" s="309"/>
      <c r="P676" s="309"/>
      <c r="Q676" s="309"/>
      <c r="R676" s="309"/>
      <c r="S676" s="309"/>
      <c r="T676" s="309"/>
      <c r="U676" s="309"/>
    </row>
    <row r="677" spans="1:21" ht="12.75" customHeight="1">
      <c r="A677" s="1359" t="s">
        <v>820</v>
      </c>
      <c r="B677" s="627"/>
      <c r="C677" s="785"/>
      <c r="D677" s="786"/>
      <c r="E677" s="858"/>
      <c r="F677" s="781"/>
      <c r="G677" s="1507"/>
      <c r="H677" s="1526"/>
      <c r="I677" s="1501" t="str">
        <f t="shared" si="30"/>
        <v/>
      </c>
      <c r="J677" s="1501" t="str">
        <f t="shared" si="29"/>
        <v/>
      </c>
      <c r="K677" s="263"/>
      <c r="L677" s="309"/>
      <c r="M677" s="309"/>
      <c r="N677" s="309"/>
      <c r="O677" s="309"/>
      <c r="P677" s="309"/>
      <c r="Q677" s="309"/>
      <c r="R677" s="309"/>
      <c r="S677" s="309"/>
      <c r="T677" s="309"/>
      <c r="U677" s="309"/>
    </row>
    <row r="678" spans="1:21" ht="12.75" customHeight="1">
      <c r="A678" s="334" t="s">
        <v>571</v>
      </c>
      <c r="B678" s="625">
        <v>28</v>
      </c>
      <c r="C678" s="623">
        <v>83.53</v>
      </c>
      <c r="D678" s="792">
        <v>9.99</v>
      </c>
      <c r="E678" s="624">
        <f>(C678*B678)-D678</f>
        <v>2328.8500000000004</v>
      </c>
      <c r="F678" s="546" t="s">
        <v>285</v>
      </c>
      <c r="G678" s="1507"/>
      <c r="H678" s="1526"/>
      <c r="I678" s="1501" t="str">
        <f t="shared" si="30"/>
        <v/>
      </c>
      <c r="J678" s="1501" t="str">
        <f t="shared" si="29"/>
        <v/>
      </c>
      <c r="K678" s="263"/>
      <c r="L678" s="309"/>
      <c r="M678" s="309"/>
      <c r="N678" s="309"/>
      <c r="O678" s="309"/>
      <c r="P678" s="309"/>
      <c r="Q678" s="309"/>
      <c r="R678" s="309"/>
      <c r="S678" s="309"/>
      <c r="T678" s="309"/>
      <c r="U678" s="309"/>
    </row>
    <row r="679" spans="1:21" ht="12.75" customHeight="1">
      <c r="A679" s="323"/>
      <c r="B679" s="625"/>
      <c r="C679" s="623"/>
      <c r="D679" s="792"/>
      <c r="E679" s="624"/>
      <c r="F679" s="546"/>
      <c r="I679" s="1501" t="str">
        <f t="shared" si="30"/>
        <v/>
      </c>
      <c r="J679" s="1501" t="str">
        <f t="shared" si="29"/>
        <v/>
      </c>
      <c r="O679" s="309"/>
      <c r="P679" s="309"/>
      <c r="Q679" s="309"/>
      <c r="R679" s="309"/>
      <c r="S679" s="309"/>
      <c r="T679" s="309"/>
      <c r="U679" s="309"/>
    </row>
    <row r="680" spans="1:21" ht="12.75" customHeight="1">
      <c r="A680" s="277">
        <v>42712</v>
      </c>
      <c r="B680" s="627"/>
      <c r="C680" s="785"/>
      <c r="D680" s="786"/>
      <c r="E680" s="858"/>
      <c r="F680" s="781"/>
      <c r="G680" s="1507"/>
      <c r="H680" s="1526"/>
      <c r="I680" s="1501" t="str">
        <f t="shared" si="30"/>
        <v/>
      </c>
      <c r="J680" s="1501" t="str">
        <f t="shared" si="29"/>
        <v>SPHD</v>
      </c>
      <c r="K680" s="263"/>
      <c r="L680" s="309"/>
      <c r="M680" s="309"/>
      <c r="N680" s="309"/>
      <c r="O680" s="309"/>
      <c r="P680" s="309"/>
      <c r="Q680" s="309"/>
      <c r="R680" s="309"/>
      <c r="S680" s="309"/>
      <c r="T680" s="309"/>
      <c r="U680" s="309"/>
    </row>
    <row r="681" spans="1:21" ht="12.75" customHeight="1">
      <c r="A681" s="333" t="s">
        <v>824</v>
      </c>
      <c r="B681" s="627"/>
      <c r="C681" s="785"/>
      <c r="D681" s="786"/>
      <c r="E681" s="858"/>
      <c r="F681" s="781"/>
      <c r="G681" s="1507"/>
      <c r="H681" s="1526"/>
      <c r="I681" s="1501" t="str">
        <f t="shared" si="30"/>
        <v/>
      </c>
      <c r="J681" s="1501" t="str">
        <f t="shared" si="29"/>
        <v/>
      </c>
      <c r="K681" s="271"/>
      <c r="L681" s="309"/>
      <c r="M681" s="309"/>
      <c r="N681" s="309"/>
      <c r="O681" s="309"/>
      <c r="P681" s="309"/>
      <c r="Q681" s="309"/>
      <c r="R681" s="309"/>
      <c r="S681" s="309"/>
      <c r="T681" s="309"/>
      <c r="U681" s="309"/>
    </row>
    <row r="682" spans="1:21" ht="12.75" customHeight="1">
      <c r="A682" s="334" t="s">
        <v>367</v>
      </c>
      <c r="B682" s="625">
        <v>76</v>
      </c>
      <c r="C682" s="623">
        <v>39.799999999999997</v>
      </c>
      <c r="D682" s="792">
        <v>9.99</v>
      </c>
      <c r="E682" s="624">
        <f>(C682*B682)+D682</f>
        <v>3034.7899999999995</v>
      </c>
      <c r="F682" s="546" t="s">
        <v>368</v>
      </c>
      <c r="G682" s="1511">
        <f>E682+E965</f>
        <v>8697.66</v>
      </c>
      <c r="H682" s="1526">
        <v>254</v>
      </c>
      <c r="I682" s="1501" t="str">
        <f t="shared" si="30"/>
        <v>SPHD</v>
      </c>
      <c r="J682" s="1501" t="str">
        <f t="shared" si="29"/>
        <v/>
      </c>
      <c r="K682" s="263"/>
      <c r="L682" s="309"/>
      <c r="M682" s="328">
        <f>(31.87+C682)/2</f>
        <v>35.835000000000001</v>
      </c>
      <c r="N682" s="309"/>
      <c r="O682" s="309"/>
      <c r="P682" s="309"/>
      <c r="Q682" s="309"/>
      <c r="R682" s="309"/>
      <c r="S682" s="309"/>
      <c r="T682" s="309"/>
      <c r="U682" s="309"/>
    </row>
    <row r="683" spans="1:21" ht="12.75" customHeight="1">
      <c r="A683" s="323"/>
      <c r="B683" s="625"/>
      <c r="C683" s="623"/>
      <c r="D683" s="792"/>
      <c r="E683" s="624"/>
      <c r="F683" s="546"/>
      <c r="G683" s="1507"/>
      <c r="H683" s="1526"/>
      <c r="I683" s="1501" t="str">
        <f t="shared" si="30"/>
        <v/>
      </c>
      <c r="J683" s="1501" t="str">
        <f t="shared" si="29"/>
        <v/>
      </c>
      <c r="K683" s="271"/>
      <c r="L683" s="309"/>
      <c r="M683" s="309"/>
      <c r="N683" s="309"/>
      <c r="O683" s="309"/>
      <c r="P683" s="309"/>
      <c r="Q683" s="309"/>
      <c r="R683" s="309"/>
      <c r="S683" s="309"/>
      <c r="T683" s="309"/>
      <c r="U683" s="309"/>
    </row>
    <row r="684" spans="1:21" ht="12.75" customHeight="1">
      <c r="A684" s="277">
        <v>42712</v>
      </c>
      <c r="B684" s="625"/>
      <c r="C684" s="623"/>
      <c r="D684" s="792"/>
      <c r="E684" s="624"/>
      <c r="F684" s="546"/>
      <c r="G684" s="1507"/>
      <c r="H684" s="1526"/>
      <c r="I684" s="1501" t="str">
        <f t="shared" si="30"/>
        <v/>
      </c>
      <c r="J684" s="1501" t="str">
        <f t="shared" si="29"/>
        <v/>
      </c>
      <c r="K684" s="271"/>
      <c r="L684" s="309"/>
      <c r="M684" s="309"/>
      <c r="N684" s="309"/>
      <c r="O684" s="309"/>
      <c r="P684" s="309"/>
      <c r="Q684" s="309"/>
      <c r="R684" s="309"/>
      <c r="S684" s="309"/>
      <c r="T684" s="309"/>
      <c r="U684" s="309"/>
    </row>
    <row r="685" spans="1:21" ht="12.75" customHeight="1">
      <c r="A685" s="1359" t="s">
        <v>820</v>
      </c>
      <c r="B685" s="625"/>
      <c r="C685" s="623"/>
      <c r="D685" s="792"/>
      <c r="E685" s="624"/>
      <c r="F685" s="546"/>
      <c r="G685" s="1507"/>
      <c r="H685" s="1526"/>
      <c r="I685" s="1501" t="str">
        <f t="shared" si="30"/>
        <v/>
      </c>
      <c r="J685" s="1501" t="str">
        <f t="shared" si="29"/>
        <v/>
      </c>
      <c r="K685" s="271"/>
      <c r="L685" s="309"/>
      <c r="M685" s="309"/>
      <c r="N685" s="309"/>
      <c r="O685" s="309"/>
      <c r="P685" s="309"/>
      <c r="Q685" s="309"/>
      <c r="R685" s="309"/>
      <c r="S685" s="309"/>
      <c r="T685" s="309"/>
      <c r="U685" s="309"/>
    </row>
    <row r="686" spans="1:21" ht="12.75" customHeight="1">
      <c r="A686" s="334" t="s">
        <v>373</v>
      </c>
      <c r="B686" s="625">
        <v>38</v>
      </c>
      <c r="C686" s="623">
        <v>79.62</v>
      </c>
      <c r="D686" s="792">
        <v>9.99</v>
      </c>
      <c r="E686" s="624">
        <f>(C686*B686)-D686</f>
        <v>3015.5700000000006</v>
      </c>
      <c r="F686" s="546" t="s">
        <v>374</v>
      </c>
      <c r="G686" s="1507"/>
      <c r="H686" s="1526"/>
      <c r="I686" s="1501" t="str">
        <f t="shared" si="30"/>
        <v/>
      </c>
      <c r="J686" s="1501" t="str">
        <f t="shared" si="29"/>
        <v/>
      </c>
      <c r="K686" s="271"/>
      <c r="L686" s="309"/>
      <c r="M686" s="309"/>
      <c r="N686" s="309"/>
      <c r="O686" s="309"/>
      <c r="P686" s="309"/>
      <c r="Q686" s="309"/>
      <c r="R686" s="309"/>
      <c r="S686" s="309"/>
      <c r="T686" s="309"/>
      <c r="U686" s="309"/>
    </row>
    <row r="687" spans="1:21" ht="12.75" customHeight="1">
      <c r="A687" s="1360" t="s">
        <v>530</v>
      </c>
      <c r="B687" s="625">
        <v>140</v>
      </c>
      <c r="C687" s="623">
        <v>35.74</v>
      </c>
      <c r="D687" s="792">
        <v>9.99</v>
      </c>
      <c r="E687" s="624">
        <f>(C687*B687)-D687</f>
        <v>4993.6100000000006</v>
      </c>
      <c r="F687" s="546" t="s">
        <v>110</v>
      </c>
      <c r="G687" s="1507"/>
      <c r="H687" s="1526"/>
      <c r="I687" s="1501" t="str">
        <f t="shared" si="30"/>
        <v>INTC</v>
      </c>
      <c r="J687" s="1501" t="str">
        <f t="shared" si="29"/>
        <v/>
      </c>
      <c r="K687" s="271"/>
      <c r="L687" s="309"/>
      <c r="M687" s="309"/>
      <c r="N687" s="309"/>
      <c r="O687" s="309"/>
      <c r="P687" s="309"/>
      <c r="Q687" s="309"/>
      <c r="R687" s="309"/>
      <c r="S687" s="309"/>
      <c r="T687" s="309"/>
      <c r="U687" s="309"/>
    </row>
    <row r="688" spans="1:21" ht="12.75" customHeight="1">
      <c r="A688" s="1360"/>
      <c r="B688" s="625"/>
      <c r="C688" s="623"/>
      <c r="D688" s="792"/>
      <c r="E688" s="624"/>
      <c r="F688" s="546"/>
      <c r="G688" s="1507"/>
      <c r="H688" s="1526"/>
      <c r="I688" s="1501" t="str">
        <f t="shared" si="30"/>
        <v/>
      </c>
      <c r="J688" s="1501" t="str">
        <f t="shared" si="29"/>
        <v/>
      </c>
      <c r="K688" s="271"/>
      <c r="L688" s="309"/>
      <c r="M688" s="309"/>
      <c r="N688" s="309"/>
      <c r="O688" s="309"/>
      <c r="P688" s="309"/>
      <c r="Q688" s="309"/>
      <c r="R688" s="309"/>
      <c r="S688" s="309"/>
      <c r="T688" s="309"/>
      <c r="U688" s="309"/>
    </row>
    <row r="689" spans="1:21" ht="12.75" customHeight="1">
      <c r="A689" s="277">
        <v>42710</v>
      </c>
      <c r="B689" s="625"/>
      <c r="C689" s="623"/>
      <c r="D689" s="792"/>
      <c r="E689" s="624"/>
      <c r="F689" s="546"/>
      <c r="G689" s="1507"/>
      <c r="H689" s="1526"/>
      <c r="I689" s="1501" t="str">
        <f t="shared" si="30"/>
        <v/>
      </c>
      <c r="J689" s="1501" t="str">
        <f t="shared" si="29"/>
        <v/>
      </c>
      <c r="K689" s="271"/>
      <c r="L689" s="309"/>
      <c r="M689" s="309"/>
      <c r="N689" s="309"/>
      <c r="O689" s="309"/>
      <c r="P689" s="309"/>
      <c r="Q689" s="309"/>
      <c r="R689" s="309"/>
      <c r="S689" s="309"/>
      <c r="T689" s="309"/>
      <c r="U689" s="309"/>
    </row>
    <row r="690" spans="1:21" ht="12.75" customHeight="1">
      <c r="A690" s="1359" t="s">
        <v>820</v>
      </c>
      <c r="B690" s="625"/>
      <c r="C690" s="623"/>
      <c r="D690" s="792"/>
      <c r="E690" s="624"/>
      <c r="F690" s="546"/>
      <c r="G690" s="1507"/>
      <c r="H690" s="1526"/>
      <c r="I690" s="1501" t="str">
        <f t="shared" si="30"/>
        <v/>
      </c>
      <c r="J690" s="1501" t="str">
        <f t="shared" si="29"/>
        <v/>
      </c>
      <c r="K690" s="271"/>
      <c r="L690" s="309"/>
      <c r="M690" s="309"/>
      <c r="N690" s="309"/>
      <c r="O690" s="309"/>
      <c r="P690" s="309"/>
      <c r="Q690" s="309"/>
      <c r="R690" s="309"/>
      <c r="S690" s="309"/>
      <c r="T690" s="309"/>
      <c r="U690" s="309"/>
    </row>
    <row r="691" spans="1:21" ht="12.75" customHeight="1">
      <c r="A691" s="1360" t="s">
        <v>527</v>
      </c>
      <c r="B691" s="625">
        <v>15</v>
      </c>
      <c r="C691" s="623">
        <v>193.02</v>
      </c>
      <c r="D691" s="792">
        <v>9.99</v>
      </c>
      <c r="E691" s="624">
        <f>(C691*B691)-D691</f>
        <v>2885.3100000000004</v>
      </c>
      <c r="F691" s="546" t="s">
        <v>320</v>
      </c>
      <c r="G691" s="1507"/>
      <c r="H691" s="1526"/>
      <c r="I691" s="1501" t="str">
        <f t="shared" si="30"/>
        <v/>
      </c>
      <c r="J691" s="1501" t="str">
        <f t="shared" si="29"/>
        <v/>
      </c>
      <c r="K691" s="271"/>
      <c r="L691" s="309"/>
      <c r="M691" s="309"/>
      <c r="N691" s="309"/>
      <c r="O691" s="309"/>
      <c r="P691" s="309"/>
      <c r="Q691" s="309"/>
      <c r="R691" s="309"/>
      <c r="S691" s="309"/>
      <c r="T691" s="309"/>
      <c r="U691" s="309"/>
    </row>
    <row r="692" spans="1:21" ht="12.75" customHeight="1">
      <c r="A692" s="1360"/>
      <c r="B692" s="625"/>
      <c r="C692" s="623"/>
      <c r="D692" s="792"/>
      <c r="E692" s="624"/>
      <c r="F692" s="546"/>
      <c r="G692" s="1507"/>
      <c r="H692" s="1526"/>
      <c r="I692" s="1501" t="str">
        <f t="shared" si="30"/>
        <v/>
      </c>
      <c r="J692" s="1501" t="str">
        <f t="shared" si="29"/>
        <v/>
      </c>
      <c r="K692" s="261"/>
      <c r="L692" s="309"/>
      <c r="M692" s="309"/>
      <c r="N692" s="309"/>
      <c r="O692" s="309"/>
      <c r="P692" s="309"/>
      <c r="Q692" s="309"/>
      <c r="R692" s="309"/>
      <c r="S692" s="309"/>
      <c r="T692" s="309"/>
      <c r="U692" s="309"/>
    </row>
    <row r="693" spans="1:21" ht="12.75" customHeight="1">
      <c r="A693" s="277">
        <v>42703</v>
      </c>
      <c r="B693" s="625"/>
      <c r="C693" s="623"/>
      <c r="D693" s="792"/>
      <c r="E693" s="624"/>
      <c r="F693" s="546"/>
      <c r="G693" s="1507"/>
      <c r="H693" s="1526"/>
      <c r="I693" s="1501" t="str">
        <f t="shared" si="30"/>
        <v/>
      </c>
      <c r="J693" s="1501" t="str">
        <f t="shared" si="29"/>
        <v>BAC</v>
      </c>
      <c r="K693" s="261"/>
      <c r="L693" s="309"/>
      <c r="M693" s="309"/>
      <c r="N693" s="309"/>
      <c r="O693" s="309"/>
      <c r="P693" s="309"/>
      <c r="Q693" s="309"/>
      <c r="R693" s="309"/>
      <c r="S693" s="309"/>
      <c r="T693" s="309"/>
      <c r="U693" s="309"/>
    </row>
    <row r="694" spans="1:21" ht="12.75" customHeight="1">
      <c r="A694" s="277" t="s">
        <v>824</v>
      </c>
      <c r="B694" s="625"/>
      <c r="C694" s="623"/>
      <c r="D694" s="792"/>
      <c r="E694" s="624"/>
      <c r="F694" s="546"/>
      <c r="G694" s="1507"/>
      <c r="H694" s="1526"/>
      <c r="I694" s="1501" t="str">
        <f t="shared" si="30"/>
        <v/>
      </c>
      <c r="J694" s="1501" t="str">
        <f t="shared" si="29"/>
        <v/>
      </c>
      <c r="K694" s="261"/>
      <c r="L694" s="309"/>
      <c r="M694" s="309"/>
      <c r="N694" s="309"/>
      <c r="O694" s="309"/>
      <c r="P694" s="309"/>
      <c r="Q694" s="309"/>
      <c r="R694" s="309"/>
      <c r="S694" s="309"/>
      <c r="T694" s="309"/>
      <c r="U694" s="309"/>
    </row>
    <row r="695" spans="1:21" ht="12.75" customHeight="1">
      <c r="A695" s="1360" t="s">
        <v>22</v>
      </c>
      <c r="B695" s="625">
        <v>148</v>
      </c>
      <c r="C695" s="623">
        <v>20.350000000000001</v>
      </c>
      <c r="D695" s="792">
        <v>9.99</v>
      </c>
      <c r="E695" s="624">
        <f>(C695*B695)+D695</f>
        <v>3021.79</v>
      </c>
      <c r="F695" s="546" t="s">
        <v>23</v>
      </c>
      <c r="G695" s="1507"/>
      <c r="H695" s="1526"/>
      <c r="I695" s="1501" t="str">
        <f t="shared" si="30"/>
        <v>BAC</v>
      </c>
      <c r="J695" s="1501" t="str">
        <f t="shared" si="29"/>
        <v/>
      </c>
      <c r="K695" s="261"/>
      <c r="L695" s="309"/>
      <c r="M695" s="309"/>
      <c r="N695" s="309"/>
      <c r="O695" s="309"/>
      <c r="P695" s="309"/>
      <c r="Q695" s="309"/>
      <c r="R695" s="309"/>
      <c r="S695" s="309"/>
      <c r="T695" s="309"/>
      <c r="U695" s="309"/>
    </row>
    <row r="696" spans="1:21" ht="12.75" customHeight="1">
      <c r="A696" s="1360"/>
      <c r="B696" s="625"/>
      <c r="C696" s="623"/>
      <c r="D696" s="792"/>
      <c r="E696" s="624"/>
      <c r="F696" s="546"/>
      <c r="G696" s="1507"/>
      <c r="H696" s="1526"/>
      <c r="I696" s="1501" t="str">
        <f t="shared" si="30"/>
        <v/>
      </c>
      <c r="J696" s="1501" t="str">
        <f t="shared" si="29"/>
        <v/>
      </c>
      <c r="K696" s="261"/>
      <c r="L696" s="309"/>
      <c r="M696" s="309"/>
      <c r="N696" s="309"/>
      <c r="O696" s="309"/>
      <c r="P696" s="309"/>
      <c r="Q696" s="309"/>
      <c r="R696" s="309"/>
      <c r="S696" s="309"/>
      <c r="T696" s="309"/>
      <c r="U696" s="309"/>
    </row>
    <row r="697" spans="1:21" ht="12.75" customHeight="1">
      <c r="A697" s="277">
        <v>42703</v>
      </c>
      <c r="B697" s="625"/>
      <c r="C697" s="623"/>
      <c r="D697" s="792"/>
      <c r="E697" s="624"/>
      <c r="F697" s="546"/>
      <c r="G697" s="1507"/>
      <c r="H697" s="1526"/>
      <c r="I697" s="1501" t="str">
        <f t="shared" si="30"/>
        <v/>
      </c>
      <c r="J697" s="1501" t="str">
        <f t="shared" ref="J697:J702" si="31">IF(F699="","",IF(OR(A697="Sell",A698="Sell"),"",F699))</f>
        <v/>
      </c>
      <c r="K697" s="261"/>
      <c r="L697" s="309"/>
      <c r="M697" s="309"/>
      <c r="N697" s="309"/>
      <c r="O697" s="309"/>
      <c r="P697" s="309"/>
      <c r="Q697" s="309"/>
      <c r="R697" s="309"/>
      <c r="S697" s="309"/>
      <c r="T697" s="309"/>
      <c r="U697" s="309"/>
    </row>
    <row r="698" spans="1:21" ht="12.75" customHeight="1">
      <c r="A698" s="1359" t="s">
        <v>820</v>
      </c>
      <c r="B698" s="625"/>
      <c r="C698" s="623"/>
      <c r="D698" s="792"/>
      <c r="E698" s="624"/>
      <c r="F698" s="546"/>
      <c r="G698" s="1507"/>
      <c r="H698" s="1526"/>
      <c r="I698" s="1501" t="str">
        <f t="shared" si="30"/>
        <v/>
      </c>
      <c r="J698" s="1501" t="str">
        <f t="shared" si="31"/>
        <v/>
      </c>
      <c r="K698" s="261"/>
      <c r="L698" s="309"/>
      <c r="M698" s="309"/>
      <c r="N698" s="309"/>
      <c r="O698" s="309"/>
      <c r="P698" s="309"/>
      <c r="Q698" s="309"/>
      <c r="R698" s="309"/>
      <c r="S698" s="309"/>
      <c r="T698" s="309"/>
      <c r="U698" s="309"/>
    </row>
    <row r="699" spans="1:21" ht="12.75" customHeight="1">
      <c r="A699" s="1360" t="s">
        <v>525</v>
      </c>
      <c r="B699" s="625">
        <v>50</v>
      </c>
      <c r="C699" s="623">
        <v>46.97</v>
      </c>
      <c r="D699" s="792">
        <v>9.99</v>
      </c>
      <c r="E699" s="624">
        <f>(C699*B699)-D699</f>
        <v>2338.5100000000002</v>
      </c>
      <c r="F699" s="546" t="s">
        <v>450</v>
      </c>
      <c r="G699" s="1507"/>
      <c r="H699" s="1526"/>
      <c r="I699" s="1501" t="str">
        <f t="shared" si="30"/>
        <v/>
      </c>
      <c r="J699" s="1501" t="str">
        <f t="shared" si="31"/>
        <v/>
      </c>
      <c r="K699" s="261"/>
      <c r="L699" s="309"/>
      <c r="M699" s="309"/>
      <c r="N699" s="309"/>
      <c r="O699" s="309"/>
      <c r="P699" s="309"/>
      <c r="Q699" s="309"/>
      <c r="R699" s="309"/>
      <c r="S699" s="309"/>
      <c r="T699" s="309"/>
      <c r="U699" s="309"/>
    </row>
    <row r="700" spans="1:21" ht="12.75" customHeight="1">
      <c r="A700" s="1360"/>
      <c r="B700" s="627"/>
      <c r="C700" s="785"/>
      <c r="D700" s="786"/>
      <c r="E700" s="858"/>
      <c r="F700" s="781"/>
      <c r="G700" s="1507"/>
      <c r="H700" s="1526"/>
      <c r="I700" s="1501" t="str">
        <f t="shared" si="30"/>
        <v/>
      </c>
      <c r="J700" s="1501" t="str">
        <f t="shared" si="31"/>
        <v/>
      </c>
      <c r="K700" s="261"/>
      <c r="L700" s="309"/>
      <c r="M700" s="309"/>
      <c r="N700" s="309"/>
      <c r="O700" s="309"/>
      <c r="P700" s="309"/>
      <c r="Q700" s="309"/>
      <c r="R700" s="309"/>
      <c r="S700" s="309"/>
      <c r="T700" s="309"/>
      <c r="U700" s="309"/>
    </row>
    <row r="701" spans="1:21" ht="12.75" customHeight="1">
      <c r="A701" s="277">
        <v>42691</v>
      </c>
      <c r="B701" s="627"/>
      <c r="C701" s="785"/>
      <c r="D701" s="786"/>
      <c r="E701" s="858"/>
      <c r="F701" s="781"/>
      <c r="G701" s="1507"/>
      <c r="H701" s="1526"/>
      <c r="I701" s="1501" t="str">
        <f t="shared" si="30"/>
        <v/>
      </c>
      <c r="J701" s="1501" t="str">
        <f t="shared" si="31"/>
        <v/>
      </c>
      <c r="K701" s="261"/>
      <c r="L701" s="309"/>
      <c r="M701" s="309"/>
      <c r="N701" s="309"/>
      <c r="O701" s="309"/>
      <c r="P701" s="309"/>
      <c r="Q701" s="309"/>
      <c r="R701" s="309"/>
      <c r="S701" s="309"/>
      <c r="T701" s="309"/>
      <c r="U701" s="309"/>
    </row>
    <row r="702" spans="1:21" ht="12.75" customHeight="1">
      <c r="A702" s="277" t="s">
        <v>820</v>
      </c>
      <c r="B702" s="627"/>
      <c r="C702" s="785"/>
      <c r="D702" s="786"/>
      <c r="E702" s="858"/>
      <c r="F702" s="781"/>
      <c r="G702" s="1507"/>
      <c r="H702" s="1526"/>
      <c r="I702" s="1501" t="str">
        <f t="shared" si="30"/>
        <v/>
      </c>
      <c r="J702" s="1501" t="str">
        <f t="shared" si="31"/>
        <v/>
      </c>
      <c r="K702" s="261"/>
      <c r="L702" s="309"/>
      <c r="M702" s="309"/>
      <c r="N702" s="309"/>
      <c r="O702" s="309"/>
      <c r="P702" s="309"/>
      <c r="Q702" s="309"/>
      <c r="R702" s="309"/>
      <c r="S702" s="309"/>
      <c r="T702" s="309"/>
      <c r="U702" s="309"/>
    </row>
    <row r="703" spans="1:21" ht="12.75" customHeight="1">
      <c r="A703" s="1360" t="s">
        <v>522</v>
      </c>
      <c r="B703" s="625">
        <v>25</v>
      </c>
      <c r="C703" s="623">
        <v>56.59</v>
      </c>
      <c r="D703" s="792">
        <v>9.99</v>
      </c>
      <c r="E703" s="624">
        <f>C703*B703-D703</f>
        <v>1404.76</v>
      </c>
      <c r="F703" s="546" t="s">
        <v>424</v>
      </c>
      <c r="G703" s="1507"/>
      <c r="H703" s="1526"/>
      <c r="I703" s="1501" t="str">
        <f t="shared" si="30"/>
        <v/>
      </c>
      <c r="J703" s="1501" t="str">
        <f>IF(F705="","",IF(OR(A702="Sell",A701="Sell"),"",F705))</f>
        <v/>
      </c>
      <c r="K703" s="261"/>
      <c r="L703" s="309"/>
      <c r="M703" s="309"/>
      <c r="N703" s="309"/>
      <c r="O703" s="309"/>
      <c r="P703" s="309"/>
      <c r="Q703" s="309"/>
      <c r="R703" s="309"/>
      <c r="S703" s="309"/>
      <c r="T703" s="309"/>
      <c r="U703" s="309"/>
    </row>
    <row r="704" spans="1:21" ht="12.75" customHeight="1">
      <c r="A704" s="1360" t="s">
        <v>524</v>
      </c>
      <c r="B704" s="625">
        <v>100</v>
      </c>
      <c r="C704" s="623">
        <v>67.87</v>
      </c>
      <c r="D704" s="792">
        <v>9.99</v>
      </c>
      <c r="E704" s="624">
        <f>C704*B704-D704</f>
        <v>6777.01</v>
      </c>
      <c r="F704" s="546" t="s">
        <v>291</v>
      </c>
      <c r="G704" s="1507"/>
      <c r="H704" s="1526"/>
      <c r="I704" s="1501" t="str">
        <f>IF(F704="","",IF(OR(A702="Sell",A704="Sell"),"",F704))</f>
        <v/>
      </c>
      <c r="J704" s="1501" t="str">
        <f>IF(F706="","",IF(OR(A704="Sell",A705="Sell"),"",F706))</f>
        <v/>
      </c>
      <c r="K704" s="261"/>
      <c r="L704" s="309"/>
      <c r="M704" s="309"/>
      <c r="N704" s="309"/>
      <c r="O704" s="309"/>
      <c r="P704" s="309"/>
      <c r="Q704" s="309"/>
      <c r="R704" s="309"/>
      <c r="S704" s="309"/>
      <c r="T704" s="309"/>
      <c r="U704" s="309"/>
    </row>
    <row r="705" spans="1:21" ht="12.75" customHeight="1">
      <c r="A705" s="1360" t="s">
        <v>407</v>
      </c>
      <c r="B705" s="625">
        <v>6</v>
      </c>
      <c r="C705" s="623">
        <v>405.33</v>
      </c>
      <c r="D705" s="792">
        <v>9.99</v>
      </c>
      <c r="E705" s="624">
        <f>C705*B705-D705</f>
        <v>2421.9900000000002</v>
      </c>
      <c r="F705" s="546" t="s">
        <v>408</v>
      </c>
      <c r="G705" s="1507"/>
      <c r="H705" s="1526"/>
      <c r="I705" s="1501" t="str">
        <f>IF(F705="","",IF(OR(A702="Sell",A705="Sell"),"",F705))</f>
        <v/>
      </c>
      <c r="J705" s="1501" t="str">
        <f>IF(F707="","",IF(OR(A705="Sell",A706="Sell"),"",F707))</f>
        <v/>
      </c>
      <c r="K705" s="261"/>
      <c r="L705" s="309"/>
      <c r="M705" s="309"/>
      <c r="N705" s="309"/>
      <c r="O705" s="309"/>
      <c r="P705" s="309"/>
      <c r="Q705" s="309"/>
      <c r="R705" s="309"/>
      <c r="S705" s="309"/>
      <c r="T705" s="309"/>
      <c r="U705" s="309"/>
    </row>
    <row r="706" spans="1:21" ht="12.75" customHeight="1">
      <c r="A706" s="278"/>
      <c r="B706" s="621"/>
      <c r="C706" s="623"/>
      <c r="D706" s="792"/>
      <c r="E706" s="624"/>
      <c r="F706" s="546"/>
      <c r="G706" s="1507"/>
      <c r="H706" s="1526"/>
      <c r="I706" s="1501" t="str">
        <f>IF(F706="","",IF(OR(A705="Sell",A706="Sell"),"",F706))</f>
        <v/>
      </c>
      <c r="J706" s="1501" t="str">
        <f>IF(F708="","",IF(OR(A706="Sell",A707="Sell"),"",F708))</f>
        <v/>
      </c>
      <c r="K706" s="271"/>
      <c r="L706" s="309"/>
      <c r="M706" s="309"/>
      <c r="N706" s="309"/>
      <c r="O706" s="309"/>
      <c r="P706" s="309"/>
      <c r="Q706" s="309"/>
      <c r="R706" s="309"/>
      <c r="S706" s="309"/>
      <c r="T706" s="309"/>
      <c r="U706" s="309"/>
    </row>
    <row r="707" spans="1:21" ht="12.75" customHeight="1">
      <c r="A707" s="277">
        <v>42691</v>
      </c>
      <c r="B707" s="627"/>
      <c r="C707" s="785"/>
      <c r="D707" s="786"/>
      <c r="E707" s="858"/>
      <c r="F707" s="781"/>
      <c r="I707" s="1501" t="str">
        <f>IF(F707="","",IF(OR(A706="Sell",A707="Sell"),"",F707))</f>
        <v/>
      </c>
      <c r="J707" s="1501" t="str">
        <f>IF(F709="","",IF(OR(A707="Sell",A708="Sell"),"",F709))</f>
        <v>PG</v>
      </c>
      <c r="K707" s="261"/>
      <c r="L707" s="309"/>
      <c r="M707" s="309"/>
      <c r="N707" s="309"/>
      <c r="O707" s="309"/>
      <c r="P707" s="309"/>
      <c r="Q707" s="309"/>
      <c r="R707" s="309"/>
      <c r="S707" s="309"/>
      <c r="T707" s="309"/>
      <c r="U707" s="309"/>
    </row>
    <row r="708" spans="1:21" ht="12.75" customHeight="1">
      <c r="A708" s="277" t="s">
        <v>824</v>
      </c>
      <c r="B708" s="627"/>
      <c r="C708" s="785"/>
      <c r="D708" s="786"/>
      <c r="E708" s="858"/>
      <c r="F708" s="781"/>
      <c r="G708" s="1507"/>
      <c r="H708" s="1526"/>
      <c r="I708" s="1501" t="str">
        <f>IF(F708="","",IF(OR(A707="Sell",A708="Sell"),"",F708))</f>
        <v/>
      </c>
      <c r="J708" s="1501"/>
      <c r="K708" s="261"/>
      <c r="L708" s="309"/>
      <c r="M708" s="309"/>
      <c r="N708" s="309"/>
      <c r="O708" s="309"/>
      <c r="P708" s="309"/>
      <c r="Q708" s="309"/>
      <c r="R708" s="309"/>
      <c r="S708" s="309"/>
      <c r="T708" s="309"/>
      <c r="U708" s="309"/>
    </row>
    <row r="709" spans="1:21" ht="12.75" customHeight="1">
      <c r="A709" s="1360" t="s">
        <v>876</v>
      </c>
      <c r="B709" s="625">
        <v>40</v>
      </c>
      <c r="C709" s="623">
        <v>76.16</v>
      </c>
      <c r="D709" s="792">
        <v>9.99</v>
      </c>
      <c r="E709" s="624">
        <f>C709*B709+D709</f>
        <v>3056.3899999999994</v>
      </c>
      <c r="F709" s="546" t="s">
        <v>257</v>
      </c>
      <c r="G709" s="1507"/>
      <c r="H709" s="1526"/>
      <c r="I709" s="1501" t="str">
        <f>IF(F709="","",IF(OR(A708="Sell",A709="Sell"),"",F709))</f>
        <v>PG</v>
      </c>
      <c r="J709" s="1501" t="str">
        <f t="shared" ref="J709:J740" si="32">IF(F711="","",IF(OR(A709="Sell",A710="Sell"),"",F711))</f>
        <v/>
      </c>
      <c r="K709" s="261"/>
      <c r="L709" s="309"/>
      <c r="M709" s="309"/>
      <c r="N709" s="309"/>
      <c r="O709" s="309"/>
      <c r="P709" s="309"/>
      <c r="Q709" s="309"/>
      <c r="R709" s="309"/>
      <c r="S709" s="309"/>
      <c r="T709" s="309"/>
      <c r="U709" s="309"/>
    </row>
    <row r="710" spans="1:21" ht="12.75" customHeight="1">
      <c r="A710" s="1360" t="s">
        <v>502</v>
      </c>
      <c r="B710" s="625">
        <v>1</v>
      </c>
      <c r="C710" s="623">
        <v>755.33</v>
      </c>
      <c r="D710" s="792">
        <v>9.99</v>
      </c>
      <c r="E710" s="624">
        <f>C710*B710+D710</f>
        <v>765.32</v>
      </c>
      <c r="F710" s="546" t="s">
        <v>540</v>
      </c>
      <c r="G710" s="1510">
        <f>E710+E742</f>
        <v>4835.7299999999996</v>
      </c>
      <c r="H710" s="1501">
        <v>8</v>
      </c>
      <c r="I710" s="1501"/>
      <c r="J710" s="1501" t="str">
        <f t="shared" si="32"/>
        <v/>
      </c>
      <c r="K710" s="271"/>
      <c r="L710" s="309"/>
      <c r="M710" s="309"/>
      <c r="N710" s="309"/>
      <c r="O710" s="309"/>
      <c r="P710" s="309"/>
      <c r="Q710" s="309"/>
      <c r="R710" s="309"/>
      <c r="S710" s="309"/>
      <c r="T710" s="309"/>
      <c r="U710" s="309"/>
    </row>
    <row r="711" spans="1:21" ht="12.75" customHeight="1">
      <c r="A711" s="1360"/>
      <c r="B711" s="625"/>
      <c r="C711" s="623"/>
      <c r="D711" s="792"/>
      <c r="E711" s="624"/>
      <c r="F711" s="546"/>
      <c r="G711" s="1511">
        <f>G710/Transactions!H710*Transactions!H253</f>
        <v>3022.3312499999997</v>
      </c>
      <c r="H711" s="1526" t="s">
        <v>877</v>
      </c>
      <c r="I711" s="1501" t="str">
        <f t="shared" ref="I711:I742" si="33">IF(F711="","",IF(OR(A710="Sell",A711="Sell"),"",F711))</f>
        <v/>
      </c>
      <c r="J711" s="1501" t="str">
        <f t="shared" si="32"/>
        <v/>
      </c>
      <c r="K711" s="261"/>
      <c r="L711" s="309"/>
      <c r="M711" s="309"/>
      <c r="N711" s="309"/>
      <c r="O711" s="309"/>
      <c r="P711" s="309"/>
      <c r="Q711" s="309"/>
      <c r="R711" s="309"/>
      <c r="S711" s="309"/>
      <c r="T711" s="309"/>
      <c r="U711" s="309"/>
    </row>
    <row r="712" spans="1:21" ht="12.75" customHeight="1">
      <c r="A712" s="277">
        <v>42669</v>
      </c>
      <c r="B712" s="627"/>
      <c r="C712" s="785"/>
      <c r="D712" s="786"/>
      <c r="E712" s="858"/>
      <c r="F712" s="781"/>
      <c r="G712" s="1507"/>
      <c r="H712" s="1526"/>
      <c r="I712" s="1501" t="str">
        <f t="shared" si="33"/>
        <v/>
      </c>
      <c r="J712" s="1501" t="str">
        <f t="shared" si="32"/>
        <v/>
      </c>
      <c r="K712" s="261"/>
      <c r="L712" s="309"/>
      <c r="M712" s="309"/>
      <c r="N712" s="309"/>
      <c r="O712" s="309"/>
      <c r="P712" s="309"/>
      <c r="Q712" s="309"/>
      <c r="R712" s="309"/>
      <c r="S712" s="309"/>
      <c r="T712" s="309"/>
      <c r="U712" s="309"/>
    </row>
    <row r="713" spans="1:21" ht="12.75" customHeight="1">
      <c r="A713" s="1359" t="s">
        <v>820</v>
      </c>
      <c r="B713" s="627"/>
      <c r="C713" s="785"/>
      <c r="D713" s="786"/>
      <c r="E713" s="858"/>
      <c r="F713" s="781"/>
      <c r="G713" s="1507"/>
      <c r="H713" s="1526"/>
      <c r="I713" s="1501" t="str">
        <f t="shared" si="33"/>
        <v/>
      </c>
      <c r="J713" s="1501" t="str">
        <f t="shared" si="32"/>
        <v/>
      </c>
      <c r="K713" s="261"/>
      <c r="L713" s="309"/>
      <c r="M713" s="309"/>
      <c r="N713" s="309"/>
      <c r="O713" s="309"/>
      <c r="P713" s="309"/>
      <c r="Q713" s="309"/>
      <c r="R713" s="309"/>
      <c r="S713" s="309"/>
      <c r="T713" s="309"/>
      <c r="U713" s="309"/>
    </row>
    <row r="714" spans="1:21" ht="12.75" customHeight="1">
      <c r="A714" s="1360" t="s">
        <v>520</v>
      </c>
      <c r="B714" s="625">
        <v>1</v>
      </c>
      <c r="C714" s="623">
        <v>27.3354</v>
      </c>
      <c r="D714" s="792">
        <v>9.99</v>
      </c>
      <c r="E714" s="624">
        <f>C714*B714-D714</f>
        <v>17.345399999999998</v>
      </c>
      <c r="F714" s="546" t="s">
        <v>464</v>
      </c>
      <c r="G714" s="1507"/>
      <c r="H714" s="1526"/>
      <c r="I714" s="1501" t="str">
        <f t="shared" si="33"/>
        <v/>
      </c>
      <c r="J714" s="1501" t="str">
        <f t="shared" si="32"/>
        <v/>
      </c>
      <c r="K714" s="261"/>
      <c r="L714" s="309"/>
      <c r="M714" s="309"/>
      <c r="N714" s="309"/>
      <c r="O714" s="309"/>
      <c r="P714" s="309"/>
      <c r="Q714" s="309"/>
      <c r="R714" s="309"/>
      <c r="S714" s="309"/>
      <c r="T714" s="309"/>
      <c r="U714" s="309"/>
    </row>
    <row r="715" spans="1:21" ht="12.75" customHeight="1">
      <c r="A715" s="277"/>
      <c r="B715" s="627"/>
      <c r="C715" s="785"/>
      <c r="D715" s="786"/>
      <c r="E715" s="858"/>
      <c r="F715" s="781"/>
      <c r="G715" s="1507"/>
      <c r="H715" s="1526"/>
      <c r="I715" s="1501" t="str">
        <f t="shared" si="33"/>
        <v/>
      </c>
      <c r="J715" s="1501" t="str">
        <f t="shared" si="32"/>
        <v/>
      </c>
      <c r="K715" s="261"/>
      <c r="L715" s="309"/>
      <c r="M715" s="309"/>
      <c r="N715" s="309"/>
      <c r="O715" s="309"/>
      <c r="P715" s="309"/>
      <c r="Q715" s="309"/>
      <c r="R715" s="309"/>
      <c r="S715" s="309"/>
      <c r="T715" s="309"/>
      <c r="U715" s="309"/>
    </row>
    <row r="716" spans="1:21" ht="12.75" customHeight="1">
      <c r="A716" s="277">
        <v>42653</v>
      </c>
      <c r="B716" s="627"/>
      <c r="C716" s="785"/>
      <c r="D716" s="786"/>
      <c r="E716" s="858"/>
      <c r="F716" s="781"/>
      <c r="G716" s="1507"/>
      <c r="H716" s="1526"/>
      <c r="I716" s="1501" t="str">
        <f t="shared" si="33"/>
        <v/>
      </c>
      <c r="J716" s="1501" t="str">
        <f t="shared" si="32"/>
        <v/>
      </c>
      <c r="K716" s="261"/>
      <c r="L716" s="309"/>
      <c r="M716" s="309"/>
      <c r="N716" s="309"/>
      <c r="O716" s="309"/>
      <c r="P716" s="309"/>
      <c r="Q716" s="309"/>
      <c r="R716" s="309"/>
      <c r="S716" s="309"/>
      <c r="T716" s="309"/>
      <c r="U716" s="309"/>
    </row>
    <row r="717" spans="1:21" ht="12.75" customHeight="1">
      <c r="A717" s="1359" t="s">
        <v>820</v>
      </c>
      <c r="B717" s="627"/>
      <c r="C717" s="785"/>
      <c r="D717" s="786"/>
      <c r="E717" s="858"/>
      <c r="F717" s="781"/>
      <c r="G717" s="1507"/>
      <c r="H717" s="1526"/>
      <c r="I717" s="1501" t="str">
        <f t="shared" si="33"/>
        <v/>
      </c>
      <c r="J717" s="1501" t="str">
        <f t="shared" si="32"/>
        <v/>
      </c>
      <c r="K717" s="261"/>
      <c r="L717" s="309"/>
      <c r="M717" s="309"/>
      <c r="N717" s="309"/>
      <c r="O717" s="309"/>
      <c r="P717" s="309"/>
      <c r="Q717" s="309"/>
      <c r="R717" s="309"/>
      <c r="S717" s="309"/>
      <c r="T717" s="309"/>
      <c r="U717" s="309"/>
    </row>
    <row r="718" spans="1:21" ht="12.75" customHeight="1">
      <c r="A718" s="1361" t="s">
        <v>430</v>
      </c>
      <c r="B718" s="625">
        <v>15</v>
      </c>
      <c r="C718" s="623">
        <v>133.93</v>
      </c>
      <c r="D718" s="792">
        <v>9.99</v>
      </c>
      <c r="E718" s="624">
        <f>C718*B718-D718</f>
        <v>1998.96</v>
      </c>
      <c r="F718" s="546" t="s">
        <v>431</v>
      </c>
      <c r="G718" s="1507"/>
      <c r="H718" s="1526"/>
      <c r="I718" s="1501" t="str">
        <f t="shared" si="33"/>
        <v/>
      </c>
      <c r="J718" s="1501" t="str">
        <f t="shared" si="32"/>
        <v/>
      </c>
      <c r="K718" s="271"/>
      <c r="L718" s="309"/>
      <c r="M718" s="309"/>
      <c r="N718" s="309"/>
      <c r="O718" s="309"/>
      <c r="P718" s="309"/>
      <c r="Q718" s="309"/>
      <c r="R718" s="309"/>
      <c r="S718" s="309"/>
      <c r="T718" s="309"/>
      <c r="U718" s="309"/>
    </row>
    <row r="719" spans="1:21" ht="12.75" customHeight="1">
      <c r="A719" s="309"/>
      <c r="B719" s="627"/>
      <c r="C719" s="785"/>
      <c r="D719" s="786"/>
      <c r="E719" s="858"/>
      <c r="F719" s="781"/>
      <c r="G719" s="1507"/>
      <c r="H719" s="1526"/>
      <c r="I719" s="1501" t="str">
        <f t="shared" si="33"/>
        <v/>
      </c>
      <c r="J719" s="1501" t="str">
        <f t="shared" si="32"/>
        <v/>
      </c>
      <c r="K719" s="261"/>
      <c r="L719" s="309"/>
      <c r="M719" s="309"/>
      <c r="N719" s="309"/>
      <c r="O719" s="309"/>
      <c r="P719" s="309"/>
      <c r="Q719" s="309"/>
      <c r="R719" s="309"/>
      <c r="S719" s="309"/>
      <c r="T719" s="309"/>
      <c r="U719" s="309"/>
    </row>
    <row r="720" spans="1:21" ht="12.75" customHeight="1">
      <c r="A720" s="279">
        <v>42646</v>
      </c>
      <c r="B720" s="627"/>
      <c r="C720" s="785"/>
      <c r="D720" s="786"/>
      <c r="E720" s="858"/>
      <c r="F720" s="781"/>
      <c r="G720" s="1507"/>
      <c r="H720" s="1526"/>
      <c r="I720" s="1501" t="str">
        <f t="shared" si="33"/>
        <v/>
      </c>
      <c r="J720" s="1501" t="str">
        <f t="shared" si="32"/>
        <v>VSM</v>
      </c>
      <c r="K720" s="261"/>
      <c r="L720" s="309"/>
      <c r="M720" s="309"/>
      <c r="N720" s="309"/>
      <c r="O720" s="309"/>
      <c r="P720" s="309"/>
      <c r="Q720" s="309"/>
      <c r="R720" s="309"/>
      <c r="S720" s="309"/>
      <c r="T720" s="309"/>
      <c r="U720" s="309"/>
    </row>
    <row r="721" spans="1:21" ht="12.75" customHeight="1">
      <c r="A721" s="309" t="s">
        <v>878</v>
      </c>
      <c r="B721" s="627"/>
      <c r="C721" s="785"/>
      <c r="D721" s="786"/>
      <c r="E721" s="858"/>
      <c r="F721" s="781"/>
      <c r="G721" s="1507"/>
      <c r="H721" s="1526"/>
      <c r="I721" s="1501" t="str">
        <f t="shared" si="33"/>
        <v/>
      </c>
      <c r="J721" s="1501" t="str">
        <f t="shared" si="32"/>
        <v/>
      </c>
      <c r="K721" s="261"/>
      <c r="L721" s="309"/>
      <c r="M721" s="309"/>
      <c r="N721" s="309"/>
      <c r="O721" s="309"/>
      <c r="P721" s="309"/>
      <c r="Q721" s="309"/>
      <c r="R721" s="309"/>
      <c r="S721" s="309"/>
      <c r="T721" s="309"/>
      <c r="U721" s="309"/>
    </row>
    <row r="722" spans="1:21" ht="12.75" customHeight="1">
      <c r="A722" s="309" t="s">
        <v>503</v>
      </c>
      <c r="B722" s="625">
        <v>5</v>
      </c>
      <c r="C722" s="623">
        <v>28</v>
      </c>
      <c r="D722" s="786"/>
      <c r="E722" s="858"/>
      <c r="F722" s="546" t="s">
        <v>562</v>
      </c>
      <c r="G722" s="1507"/>
      <c r="H722" s="1526"/>
      <c r="I722" s="1501" t="str">
        <f t="shared" si="33"/>
        <v>VSM</v>
      </c>
      <c r="J722" s="1501" t="str">
        <f t="shared" si="32"/>
        <v/>
      </c>
      <c r="K722" s="261"/>
      <c r="L722" s="309"/>
      <c r="M722" s="309"/>
      <c r="N722" s="309"/>
      <c r="O722" s="309"/>
      <c r="P722" s="309"/>
      <c r="Q722" s="309"/>
      <c r="R722" s="309"/>
      <c r="S722" s="309"/>
      <c r="T722" s="309"/>
      <c r="U722" s="309"/>
    </row>
    <row r="723" spans="1:21" ht="12.75" customHeight="1">
      <c r="A723" s="309"/>
      <c r="B723" s="627"/>
      <c r="C723" s="785"/>
      <c r="D723" s="786"/>
      <c r="E723" s="858"/>
      <c r="F723" s="781"/>
      <c r="G723" s="1507"/>
      <c r="H723" s="1526"/>
      <c r="I723" s="1501" t="str">
        <f t="shared" si="33"/>
        <v/>
      </c>
      <c r="J723" s="1501" t="str">
        <f t="shared" si="32"/>
        <v/>
      </c>
      <c r="K723" s="261"/>
      <c r="L723" s="309"/>
      <c r="M723" s="309"/>
      <c r="N723" s="309"/>
      <c r="O723" s="309"/>
      <c r="P723" s="309"/>
      <c r="Q723" s="309"/>
      <c r="R723" s="309"/>
      <c r="S723" s="309"/>
      <c r="T723" s="309"/>
      <c r="U723" s="309"/>
    </row>
    <row r="724" spans="1:21" ht="12.75" customHeight="1">
      <c r="A724" s="279">
        <v>42643</v>
      </c>
      <c r="B724" s="627"/>
      <c r="C724" s="785"/>
      <c r="D724" s="786"/>
      <c r="E724" s="858"/>
      <c r="F724" s="781"/>
      <c r="G724" s="1507"/>
      <c r="H724" s="1526"/>
      <c r="I724" s="1501" t="str">
        <f t="shared" si="33"/>
        <v/>
      </c>
      <c r="J724" s="1501" t="str">
        <f t="shared" si="32"/>
        <v/>
      </c>
      <c r="K724" s="261"/>
      <c r="L724" s="309"/>
      <c r="M724" s="309"/>
      <c r="N724" s="309"/>
      <c r="O724" s="309"/>
      <c r="P724" s="309"/>
      <c r="Q724" s="309"/>
      <c r="R724" s="309"/>
      <c r="S724" s="309"/>
      <c r="T724" s="309"/>
      <c r="U724" s="309"/>
    </row>
    <row r="725" spans="1:21" ht="12.75" customHeight="1">
      <c r="A725" s="1359" t="s">
        <v>820</v>
      </c>
      <c r="B725" s="627"/>
      <c r="C725" s="785"/>
      <c r="D725" s="786"/>
      <c r="E725" s="858"/>
      <c r="F725" s="781"/>
      <c r="G725" s="1507"/>
      <c r="H725" s="1526"/>
      <c r="I725" s="1501" t="str">
        <f t="shared" si="33"/>
        <v/>
      </c>
      <c r="J725" s="1501" t="str">
        <f t="shared" si="32"/>
        <v/>
      </c>
      <c r="K725" s="261"/>
      <c r="L725" s="309"/>
      <c r="M725" s="309"/>
      <c r="N725" s="309"/>
      <c r="O725" s="309"/>
      <c r="P725" s="309"/>
      <c r="Q725" s="309"/>
      <c r="R725" s="309"/>
      <c r="S725" s="309"/>
      <c r="T725" s="309"/>
      <c r="U725" s="309"/>
    </row>
    <row r="726" spans="1:21" ht="12.75" customHeight="1">
      <c r="A726" s="1361" t="s">
        <v>433</v>
      </c>
      <c r="B726" s="625">
        <v>281</v>
      </c>
      <c r="C726" s="623">
        <v>11.1</v>
      </c>
      <c r="D726" s="792">
        <v>49.99</v>
      </c>
      <c r="E726" s="624">
        <f>C726*B726-D726</f>
        <v>3069.11</v>
      </c>
      <c r="F726" s="546" t="s">
        <v>434</v>
      </c>
      <c r="G726" s="1507"/>
      <c r="H726" s="1526"/>
      <c r="I726" s="1501" t="str">
        <f t="shared" si="33"/>
        <v/>
      </c>
      <c r="J726" s="1501" t="str">
        <f t="shared" si="32"/>
        <v/>
      </c>
      <c r="K726" s="261"/>
      <c r="L726" s="309"/>
      <c r="M726" s="309"/>
      <c r="N726" s="309"/>
      <c r="O726" s="309"/>
      <c r="P726" s="309"/>
      <c r="Q726" s="309"/>
      <c r="R726" s="309"/>
      <c r="S726" s="309"/>
      <c r="T726" s="309"/>
      <c r="U726" s="309"/>
    </row>
    <row r="727" spans="1:21" ht="12.75" customHeight="1">
      <c r="A727" s="309"/>
      <c r="B727" s="627"/>
      <c r="C727" s="785"/>
      <c r="D727" s="786"/>
      <c r="E727" s="858"/>
      <c r="F727" s="781"/>
      <c r="G727" s="1507"/>
      <c r="H727" s="1526"/>
      <c r="I727" s="1501" t="str">
        <f t="shared" si="33"/>
        <v/>
      </c>
      <c r="J727" s="1501" t="str">
        <f t="shared" si="32"/>
        <v/>
      </c>
      <c r="K727" s="261"/>
      <c r="L727" s="309"/>
      <c r="M727" s="309"/>
      <c r="N727" s="309"/>
      <c r="O727" s="309"/>
      <c r="P727" s="309"/>
      <c r="Q727" s="309"/>
      <c r="R727" s="309"/>
      <c r="S727" s="309"/>
      <c r="T727" s="309"/>
      <c r="U727" s="309"/>
    </row>
    <row r="728" spans="1:21" ht="12.75" customHeight="1">
      <c r="A728" s="279">
        <v>42489</v>
      </c>
      <c r="B728" s="627"/>
      <c r="C728" s="785"/>
      <c r="D728" s="786"/>
      <c r="E728" s="858"/>
      <c r="F728" s="781"/>
      <c r="G728" s="1507"/>
      <c r="H728" s="1526"/>
      <c r="I728" s="1501" t="str">
        <f t="shared" si="33"/>
        <v/>
      </c>
      <c r="J728" s="1501" t="str">
        <f t="shared" si="32"/>
        <v>SST (later changed to SPTS)</v>
      </c>
      <c r="K728" s="261"/>
      <c r="L728" s="309"/>
      <c r="M728" s="309"/>
      <c r="N728" s="309"/>
      <c r="O728" s="309"/>
      <c r="P728" s="309"/>
      <c r="Q728" s="309"/>
      <c r="R728" s="309"/>
      <c r="S728" s="309"/>
      <c r="T728" s="309"/>
      <c r="U728" s="309"/>
    </row>
    <row r="729" spans="1:21" ht="12.75" customHeight="1">
      <c r="A729" s="1363" t="s">
        <v>824</v>
      </c>
      <c r="B729" s="784"/>
      <c r="C729" s="785"/>
      <c r="D729" s="786"/>
      <c r="E729" s="858"/>
      <c r="F729" s="781"/>
      <c r="G729" s="1507"/>
      <c r="H729" s="1526"/>
      <c r="I729" s="1501" t="str">
        <f t="shared" si="33"/>
        <v/>
      </c>
      <c r="J729" s="1501" t="str">
        <f t="shared" si="32"/>
        <v/>
      </c>
      <c r="K729" s="261"/>
      <c r="L729" s="309"/>
      <c r="M729" s="309"/>
      <c r="N729" s="309"/>
      <c r="O729" s="309"/>
      <c r="P729" s="309"/>
      <c r="Q729" s="309"/>
      <c r="R729" s="309"/>
      <c r="S729" s="309"/>
      <c r="T729" s="309"/>
      <c r="U729" s="309"/>
    </row>
    <row r="730" spans="1:21" ht="12.75" customHeight="1">
      <c r="A730" s="1361" t="s">
        <v>506</v>
      </c>
      <c r="B730" s="621">
        <v>450</v>
      </c>
      <c r="C730" s="623">
        <v>30.34</v>
      </c>
      <c r="D730" s="792">
        <v>9.99</v>
      </c>
      <c r="E730" s="624">
        <f>(C730*B730)+D730</f>
        <v>13662.99</v>
      </c>
      <c r="F730" s="546" t="s">
        <v>879</v>
      </c>
      <c r="G730" s="1507"/>
      <c r="H730" s="1526"/>
      <c r="I730" s="1501" t="str">
        <f t="shared" si="33"/>
        <v>SST (later changed to SPTS)</v>
      </c>
      <c r="J730" s="1501" t="str">
        <f t="shared" si="32"/>
        <v/>
      </c>
      <c r="K730" s="261"/>
      <c r="L730" s="309"/>
      <c r="M730" s="309"/>
      <c r="N730" s="309"/>
      <c r="O730" s="309"/>
      <c r="P730" s="309"/>
      <c r="Q730" s="309"/>
      <c r="R730" s="309"/>
      <c r="S730" s="309"/>
      <c r="T730" s="309"/>
      <c r="U730" s="309"/>
    </row>
    <row r="731" spans="1:21" ht="12.75" customHeight="1">
      <c r="A731" s="18"/>
      <c r="B731" s="621"/>
      <c r="C731" s="623"/>
      <c r="D731" s="792"/>
      <c r="E731" s="624"/>
      <c r="F731" s="546"/>
      <c r="G731" s="1507"/>
      <c r="H731" s="1526"/>
      <c r="I731" s="1501" t="str">
        <f t="shared" si="33"/>
        <v/>
      </c>
      <c r="J731" s="1501" t="str">
        <f t="shared" si="32"/>
        <v/>
      </c>
      <c r="K731" s="261"/>
      <c r="L731" s="309"/>
      <c r="M731" s="309"/>
      <c r="N731" s="309"/>
      <c r="O731" s="309"/>
      <c r="P731" s="309"/>
      <c r="Q731" s="309"/>
      <c r="R731" s="309"/>
      <c r="S731" s="309"/>
      <c r="T731" s="309"/>
      <c r="U731" s="309"/>
    </row>
    <row r="732" spans="1:21" ht="12.75" customHeight="1">
      <c r="A732" s="279">
        <v>42482</v>
      </c>
      <c r="B732" s="621"/>
      <c r="C732" s="623"/>
      <c r="D732" s="792"/>
      <c r="E732" s="624"/>
      <c r="F732" s="546"/>
      <c r="G732" s="1507"/>
      <c r="H732" s="1526"/>
      <c r="I732" s="1501" t="str">
        <f t="shared" si="33"/>
        <v/>
      </c>
      <c r="J732" s="1501" t="str">
        <f t="shared" si="32"/>
        <v/>
      </c>
      <c r="K732" s="261"/>
      <c r="L732" s="309"/>
      <c r="M732" s="309"/>
      <c r="N732" s="309"/>
      <c r="O732" s="309"/>
      <c r="P732" s="309"/>
      <c r="Q732" s="309"/>
      <c r="R732" s="309"/>
      <c r="S732" s="309"/>
      <c r="T732" s="309"/>
      <c r="U732" s="309"/>
    </row>
    <row r="733" spans="1:21" ht="12.75" customHeight="1">
      <c r="A733" s="1362" t="s">
        <v>820</v>
      </c>
      <c r="B733" s="621"/>
      <c r="C733" s="623"/>
      <c r="D733" s="792"/>
      <c r="E733" s="624"/>
      <c r="F733" s="546"/>
      <c r="G733" s="1507"/>
      <c r="H733" s="1526"/>
      <c r="I733" s="1501" t="str">
        <f t="shared" si="33"/>
        <v/>
      </c>
      <c r="J733" s="1501" t="str">
        <f t="shared" si="32"/>
        <v/>
      </c>
      <c r="K733" s="261"/>
      <c r="L733" s="309"/>
      <c r="M733" s="309"/>
      <c r="N733" s="309"/>
      <c r="O733" s="309"/>
      <c r="P733" s="309"/>
      <c r="Q733" s="309"/>
      <c r="R733" s="309"/>
      <c r="S733" s="309"/>
      <c r="T733" s="309"/>
      <c r="U733" s="309"/>
    </row>
    <row r="734" spans="1:21" ht="12.75" customHeight="1">
      <c r="A734" s="1361" t="s">
        <v>880</v>
      </c>
      <c r="B734" s="621">
        <v>55</v>
      </c>
      <c r="C734" s="623">
        <v>27.95</v>
      </c>
      <c r="D734" s="792">
        <v>10.029999999999999</v>
      </c>
      <c r="E734" s="624">
        <f>(C734*B734)-D734</f>
        <v>1527.22</v>
      </c>
      <c r="F734" s="546" t="s">
        <v>454</v>
      </c>
      <c r="G734" s="1507"/>
      <c r="H734" s="1526"/>
      <c r="I734" s="1501" t="str">
        <f t="shared" si="33"/>
        <v/>
      </c>
      <c r="J734" s="1501" t="str">
        <f t="shared" si="32"/>
        <v/>
      </c>
      <c r="K734" s="261"/>
      <c r="L734" s="309"/>
      <c r="M734" s="309"/>
      <c r="N734" s="309"/>
      <c r="O734" s="309"/>
      <c r="P734" s="309"/>
      <c r="Q734" s="309"/>
      <c r="R734" s="309"/>
      <c r="S734" s="309"/>
      <c r="T734" s="309"/>
      <c r="U734" s="309"/>
    </row>
    <row r="735" spans="1:21" ht="12.75" customHeight="1">
      <c r="A735" s="280"/>
      <c r="B735" s="627"/>
      <c r="C735" s="785"/>
      <c r="D735" s="786"/>
      <c r="E735" s="858"/>
      <c r="F735" s="781"/>
      <c r="G735" s="1507"/>
      <c r="H735" s="1526"/>
      <c r="I735" s="1501" t="str">
        <f t="shared" si="33"/>
        <v/>
      </c>
      <c r="J735" s="1501" t="str">
        <f t="shared" si="32"/>
        <v/>
      </c>
      <c r="K735" s="261"/>
      <c r="L735" s="309"/>
      <c r="M735" s="309"/>
      <c r="N735" s="309"/>
      <c r="O735" s="309"/>
      <c r="P735" s="309"/>
      <c r="Q735" s="309"/>
      <c r="R735" s="309"/>
      <c r="S735" s="309"/>
      <c r="T735" s="309"/>
      <c r="U735" s="309"/>
    </row>
    <row r="736" spans="1:21" ht="12.75" customHeight="1">
      <c r="A736" s="279">
        <v>42458</v>
      </c>
      <c r="B736" s="627"/>
      <c r="C736" s="785"/>
      <c r="D736" s="786"/>
      <c r="E736" s="624"/>
      <c r="F736" s="781"/>
      <c r="G736" s="1507"/>
      <c r="H736" s="1526"/>
      <c r="I736" s="1501" t="str">
        <f t="shared" si="33"/>
        <v/>
      </c>
      <c r="J736" s="1501" t="str">
        <f t="shared" si="32"/>
        <v/>
      </c>
      <c r="K736" s="261"/>
      <c r="L736" s="309"/>
      <c r="M736" s="309"/>
      <c r="N736" s="309"/>
      <c r="O736" s="309"/>
      <c r="P736" s="309"/>
      <c r="Q736" s="309"/>
      <c r="R736" s="309"/>
      <c r="S736" s="309"/>
      <c r="T736" s="309"/>
      <c r="U736" s="309"/>
    </row>
    <row r="737" spans="1:21" ht="12.75" customHeight="1">
      <c r="A737" s="1364" t="s">
        <v>820</v>
      </c>
      <c r="B737" s="627"/>
      <c r="C737" s="785"/>
      <c r="D737" s="786"/>
      <c r="E737" s="624"/>
      <c r="F737" s="781"/>
      <c r="G737" s="1507"/>
      <c r="H737" s="1526"/>
      <c r="I737" s="1501" t="str">
        <f t="shared" si="33"/>
        <v/>
      </c>
      <c r="J737" s="1501" t="str">
        <f t="shared" si="32"/>
        <v/>
      </c>
      <c r="K737" s="261"/>
      <c r="L737" s="309"/>
      <c r="M737" s="309"/>
      <c r="N737" s="309"/>
      <c r="O737" s="309"/>
      <c r="P737" s="309"/>
      <c r="Q737" s="309"/>
      <c r="R737" s="309"/>
      <c r="S737" s="309"/>
      <c r="T737" s="309"/>
      <c r="U737" s="309"/>
    </row>
    <row r="738" spans="1:21" ht="12.75" customHeight="1">
      <c r="A738" s="138" t="s">
        <v>494</v>
      </c>
      <c r="B738" s="625">
        <v>35</v>
      </c>
      <c r="C738" s="623">
        <v>72.34</v>
      </c>
      <c r="D738" s="792">
        <v>9.99</v>
      </c>
      <c r="E738" s="624">
        <f>(C738*B738)-D738</f>
        <v>2521.9100000000003</v>
      </c>
      <c r="F738" s="546" t="s">
        <v>293</v>
      </c>
      <c r="G738" s="1507"/>
      <c r="H738" s="1526"/>
      <c r="I738" s="1501" t="str">
        <f t="shared" si="33"/>
        <v/>
      </c>
      <c r="J738" s="1501" t="str">
        <f t="shared" si="32"/>
        <v/>
      </c>
      <c r="K738" s="261"/>
      <c r="L738" s="309"/>
      <c r="M738" s="309"/>
      <c r="N738" s="309"/>
      <c r="O738" s="309"/>
      <c r="P738" s="309"/>
      <c r="Q738" s="309"/>
      <c r="R738" s="309"/>
      <c r="S738" s="309"/>
      <c r="T738" s="309"/>
      <c r="U738" s="309"/>
    </row>
    <row r="739" spans="1:21" ht="12.75" customHeight="1">
      <c r="A739" s="280"/>
      <c r="B739" s="625"/>
      <c r="C739" s="623"/>
      <c r="D739" s="792"/>
      <c r="E739" s="624"/>
      <c r="F739" s="546"/>
      <c r="G739" s="1507"/>
      <c r="H739" s="1526"/>
      <c r="I739" s="1501" t="str">
        <f t="shared" si="33"/>
        <v/>
      </c>
      <c r="J739" s="1501" t="str">
        <f t="shared" si="32"/>
        <v/>
      </c>
      <c r="K739" s="261"/>
      <c r="L739" s="309"/>
      <c r="M739" s="309"/>
      <c r="N739" s="309"/>
      <c r="O739" s="309"/>
      <c r="P739" s="309"/>
      <c r="Q739" s="309"/>
      <c r="R739" s="309"/>
      <c r="S739" s="309"/>
      <c r="T739" s="309"/>
      <c r="U739" s="309"/>
    </row>
    <row r="740" spans="1:21" ht="12.75" customHeight="1">
      <c r="A740" s="279">
        <v>42453</v>
      </c>
      <c r="B740" s="625"/>
      <c r="C740" s="623"/>
      <c r="D740" s="792"/>
      <c r="E740" s="624"/>
      <c r="F740" s="546"/>
      <c r="G740" s="1507"/>
      <c r="H740" s="1526"/>
      <c r="I740" s="1501" t="str">
        <f t="shared" si="33"/>
        <v/>
      </c>
      <c r="J740" s="1501" t="str">
        <f t="shared" si="32"/>
        <v>AMZN</v>
      </c>
      <c r="K740" s="261"/>
      <c r="L740" s="309"/>
      <c r="M740" s="309"/>
      <c r="N740" s="309"/>
      <c r="O740" s="309"/>
      <c r="P740" s="309"/>
      <c r="Q740" s="309"/>
      <c r="R740" s="309"/>
      <c r="S740" s="309"/>
      <c r="T740" s="309"/>
      <c r="U740" s="309"/>
    </row>
    <row r="741" spans="1:21" ht="12.75" customHeight="1">
      <c r="A741" s="1365" t="s">
        <v>824</v>
      </c>
      <c r="B741" s="625"/>
      <c r="C741" s="623"/>
      <c r="D741" s="792"/>
      <c r="E741" s="624"/>
      <c r="F741" s="546"/>
      <c r="G741" s="1507"/>
      <c r="H741" s="1526"/>
      <c r="I741" s="1501" t="str">
        <f t="shared" si="33"/>
        <v/>
      </c>
      <c r="J741" s="1501" t="str">
        <f t="shared" ref="J741:J769" si="34">IF(F743="","",IF(OR(A741="Sell",A742="Sell"),"",F743))</f>
        <v/>
      </c>
      <c r="K741" s="261"/>
      <c r="L741" s="309"/>
      <c r="M741" s="309"/>
      <c r="N741" s="309"/>
      <c r="O741" s="309"/>
      <c r="P741" s="309"/>
      <c r="Q741" s="309"/>
      <c r="R741" s="309"/>
      <c r="S741" s="309"/>
      <c r="T741" s="309"/>
      <c r="U741" s="309"/>
    </row>
    <row r="742" spans="1:21" ht="12.75" customHeight="1">
      <c r="A742" s="138" t="s">
        <v>502</v>
      </c>
      <c r="B742" s="625">
        <v>7</v>
      </c>
      <c r="C742" s="623">
        <v>580.05999999999995</v>
      </c>
      <c r="D742" s="792">
        <v>9.99</v>
      </c>
      <c r="E742" s="624">
        <f>(C742*B742)+D742</f>
        <v>4070.4099999999994</v>
      </c>
      <c r="F742" s="546" t="s">
        <v>540</v>
      </c>
      <c r="G742" s="1507" t="s">
        <v>1264</v>
      </c>
      <c r="H742" s="1526"/>
      <c r="I742" s="1501" t="str">
        <f t="shared" si="33"/>
        <v>AMZN</v>
      </c>
      <c r="J742" s="1501" t="str">
        <f t="shared" si="34"/>
        <v/>
      </c>
      <c r="K742" s="261"/>
      <c r="L742" s="309"/>
      <c r="M742" s="309"/>
      <c r="N742" s="309"/>
      <c r="O742" s="309"/>
      <c r="P742" s="309"/>
      <c r="Q742" s="309"/>
      <c r="R742" s="309"/>
      <c r="S742" s="309"/>
      <c r="T742" s="309"/>
      <c r="U742" s="309"/>
    </row>
    <row r="743" spans="1:21" ht="12.75" customHeight="1">
      <c r="A743" s="280"/>
      <c r="B743" s="625"/>
      <c r="C743" s="623">
        <v>29.003</v>
      </c>
      <c r="D743" s="792"/>
      <c r="E743" s="624"/>
      <c r="F743" s="546"/>
      <c r="G743" s="1507" t="s">
        <v>1265</v>
      </c>
      <c r="H743" s="1526"/>
      <c r="I743" s="1501" t="str">
        <f t="shared" ref="I743:I770" si="35">IF(F743="","",IF(OR(A742="Sell",A743="Sell"),"",F743))</f>
        <v/>
      </c>
      <c r="J743" s="1501" t="str">
        <f t="shared" si="34"/>
        <v/>
      </c>
      <c r="K743" s="261"/>
      <c r="L743" s="309"/>
      <c r="M743" s="309"/>
      <c r="N743" s="309"/>
      <c r="O743" s="309"/>
      <c r="P743" s="309"/>
      <c r="Q743" s="309"/>
      <c r="R743" s="309"/>
      <c r="S743" s="309"/>
      <c r="T743" s="309"/>
      <c r="U743" s="309"/>
    </row>
    <row r="744" spans="1:21" ht="12.75" customHeight="1">
      <c r="A744" s="279">
        <v>42445</v>
      </c>
      <c r="B744" s="625"/>
      <c r="C744" s="623"/>
      <c r="D744" s="792"/>
      <c r="E744" s="624"/>
      <c r="F744" s="546"/>
      <c r="G744" s="1507"/>
      <c r="H744" s="1526"/>
      <c r="I744" s="1501" t="str">
        <f t="shared" si="35"/>
        <v/>
      </c>
      <c r="J744" s="1501" t="str">
        <f t="shared" si="34"/>
        <v/>
      </c>
      <c r="K744" s="261"/>
      <c r="L744" s="309"/>
      <c r="M744" s="309"/>
      <c r="N744" s="309"/>
      <c r="O744" s="309"/>
      <c r="P744" s="309"/>
      <c r="Q744" s="309"/>
      <c r="R744" s="309"/>
      <c r="S744" s="309"/>
      <c r="T744" s="309"/>
      <c r="U744" s="309"/>
    </row>
    <row r="745" spans="1:21" ht="12.75" customHeight="1">
      <c r="A745" s="1364" t="s">
        <v>820</v>
      </c>
      <c r="B745" s="625"/>
      <c r="C745" s="623"/>
      <c r="D745" s="792"/>
      <c r="E745" s="624"/>
      <c r="F745" s="546"/>
      <c r="G745" s="1507"/>
      <c r="H745" s="1526"/>
      <c r="I745" s="1501" t="str">
        <f t="shared" si="35"/>
        <v/>
      </c>
      <c r="J745" s="1501" t="str">
        <f t="shared" si="34"/>
        <v/>
      </c>
      <c r="K745" s="261"/>
      <c r="L745" s="309"/>
      <c r="M745" s="309"/>
      <c r="N745" s="309"/>
      <c r="O745" s="309"/>
      <c r="P745" s="309"/>
      <c r="Q745" s="309"/>
      <c r="R745" s="309"/>
      <c r="S745" s="309"/>
      <c r="T745" s="309"/>
      <c r="U745" s="309"/>
    </row>
    <row r="746" spans="1:21" ht="12.75" customHeight="1">
      <c r="A746" s="138" t="s">
        <v>416</v>
      </c>
      <c r="B746" s="625">
        <v>40</v>
      </c>
      <c r="C746" s="623">
        <v>78.45</v>
      </c>
      <c r="D746" s="792">
        <v>9.99</v>
      </c>
      <c r="E746" s="624">
        <f>(C746*B746)-D746</f>
        <v>3128.01</v>
      </c>
      <c r="F746" s="546" t="s">
        <v>417</v>
      </c>
      <c r="G746" s="1507"/>
      <c r="H746" s="1526"/>
      <c r="I746" s="1501" t="str">
        <f t="shared" si="35"/>
        <v/>
      </c>
      <c r="J746" s="1501" t="str">
        <f t="shared" si="34"/>
        <v/>
      </c>
      <c r="K746" s="261"/>
      <c r="L746" s="309"/>
      <c r="M746" s="309"/>
      <c r="N746" s="309"/>
      <c r="O746" s="309"/>
      <c r="P746" s="309"/>
      <c r="Q746" s="309"/>
      <c r="R746" s="309"/>
      <c r="S746" s="309"/>
      <c r="T746" s="309"/>
      <c r="U746" s="309"/>
    </row>
    <row r="747" spans="1:21" ht="12.75" customHeight="1">
      <c r="A747" s="280"/>
      <c r="B747" s="625"/>
      <c r="C747" s="623"/>
      <c r="D747" s="792"/>
      <c r="E747" s="624"/>
      <c r="F747" s="546"/>
      <c r="G747" s="1507"/>
      <c r="H747" s="1526"/>
      <c r="I747" s="1501" t="str">
        <f t="shared" si="35"/>
        <v/>
      </c>
      <c r="J747" s="1501" t="str">
        <f t="shared" si="34"/>
        <v/>
      </c>
      <c r="K747" s="261"/>
      <c r="L747" s="309"/>
      <c r="M747" s="309"/>
      <c r="N747" s="309"/>
      <c r="O747" s="309"/>
      <c r="P747" s="309"/>
      <c r="Q747" s="309"/>
      <c r="R747" s="309"/>
      <c r="S747" s="309"/>
      <c r="T747" s="309"/>
      <c r="U747" s="309"/>
    </row>
    <row r="748" spans="1:21" ht="12.75" customHeight="1">
      <c r="A748" s="279">
        <v>42432</v>
      </c>
      <c r="B748" s="625"/>
      <c r="C748" s="623"/>
      <c r="D748" s="792"/>
      <c r="E748" s="624"/>
      <c r="F748" s="546"/>
      <c r="G748" s="1507"/>
      <c r="H748" s="1526"/>
      <c r="I748" s="1501" t="str">
        <f t="shared" si="35"/>
        <v/>
      </c>
      <c r="J748" s="1501" t="str">
        <f t="shared" si="34"/>
        <v/>
      </c>
      <c r="K748" s="261"/>
      <c r="L748" s="309"/>
      <c r="M748" s="309"/>
      <c r="N748" s="309"/>
      <c r="O748" s="309"/>
      <c r="P748" s="309"/>
      <c r="Q748" s="309"/>
      <c r="R748" s="309"/>
      <c r="S748" s="309"/>
      <c r="T748" s="309"/>
      <c r="U748" s="309"/>
    </row>
    <row r="749" spans="1:21" ht="12.75" customHeight="1">
      <c r="A749" s="1364" t="s">
        <v>820</v>
      </c>
      <c r="B749" s="625"/>
      <c r="C749" s="623"/>
      <c r="D749" s="792"/>
      <c r="E749" s="624"/>
      <c r="F749" s="546"/>
      <c r="G749" s="1507"/>
      <c r="H749" s="1526"/>
      <c r="I749" s="1501" t="str">
        <f t="shared" si="35"/>
        <v/>
      </c>
      <c r="J749" s="1501" t="str">
        <f t="shared" si="34"/>
        <v/>
      </c>
      <c r="K749" s="261"/>
      <c r="L749" s="309"/>
      <c r="M749" s="309"/>
      <c r="N749" s="309"/>
      <c r="O749" s="309"/>
      <c r="P749" s="309"/>
      <c r="Q749" s="309"/>
      <c r="R749" s="309"/>
      <c r="S749" s="309"/>
      <c r="T749" s="309"/>
      <c r="U749" s="309"/>
    </row>
    <row r="750" spans="1:21" ht="12.75" customHeight="1">
      <c r="A750" s="138" t="s">
        <v>511</v>
      </c>
      <c r="B750" s="625">
        <v>60</v>
      </c>
      <c r="C750" s="623">
        <v>95.2</v>
      </c>
      <c r="D750" s="792">
        <v>9.99</v>
      </c>
      <c r="E750" s="624">
        <f>(C750*B750)-D750</f>
        <v>5702.01</v>
      </c>
      <c r="F750" s="546" t="s">
        <v>25</v>
      </c>
      <c r="G750" s="1507"/>
      <c r="H750" s="1526"/>
      <c r="I750" s="1501" t="str">
        <f t="shared" si="35"/>
        <v/>
      </c>
      <c r="J750" s="1501" t="str">
        <f t="shared" si="34"/>
        <v/>
      </c>
      <c r="K750" s="261"/>
      <c r="L750" s="309"/>
      <c r="M750" s="309"/>
      <c r="N750" s="309"/>
      <c r="O750" s="309"/>
      <c r="P750" s="309"/>
      <c r="Q750" s="309"/>
      <c r="R750" s="309"/>
      <c r="S750" s="309"/>
      <c r="T750" s="309"/>
      <c r="U750" s="309"/>
    </row>
    <row r="751" spans="1:21" ht="12.75" customHeight="1">
      <c r="A751" s="280"/>
      <c r="B751" s="625"/>
      <c r="C751" s="623"/>
      <c r="D751" s="792"/>
      <c r="E751" s="624"/>
      <c r="F751" s="546"/>
      <c r="G751" s="1507"/>
      <c r="H751" s="1526"/>
      <c r="I751" s="1501" t="str">
        <f t="shared" si="35"/>
        <v/>
      </c>
      <c r="J751" s="1501" t="str">
        <f t="shared" si="34"/>
        <v/>
      </c>
      <c r="K751" s="261"/>
      <c r="L751" s="309"/>
      <c r="M751" s="309"/>
      <c r="N751" s="309"/>
      <c r="O751" s="309"/>
      <c r="P751" s="309"/>
      <c r="Q751" s="309"/>
      <c r="R751" s="309"/>
      <c r="S751" s="309"/>
      <c r="T751" s="309"/>
      <c r="U751" s="309"/>
    </row>
    <row r="752" spans="1:21" ht="12.75" customHeight="1">
      <c r="A752" s="279">
        <v>42418</v>
      </c>
      <c r="B752" s="625"/>
      <c r="C752" s="623"/>
      <c r="D752" s="792"/>
      <c r="E752" s="624"/>
      <c r="F752" s="546"/>
      <c r="G752" s="1507"/>
      <c r="H752" s="1526"/>
      <c r="I752" s="1501" t="str">
        <f t="shared" si="35"/>
        <v/>
      </c>
      <c r="J752" s="1501" t="str">
        <f t="shared" si="34"/>
        <v>VMBS</v>
      </c>
      <c r="K752" s="261"/>
      <c r="L752" s="309"/>
      <c r="M752" s="309"/>
      <c r="N752" s="309"/>
      <c r="O752" s="309"/>
      <c r="P752" s="309"/>
      <c r="Q752" s="309"/>
      <c r="R752" s="309"/>
      <c r="S752" s="309"/>
      <c r="T752" s="309"/>
      <c r="U752" s="309"/>
    </row>
    <row r="753" spans="1:21" ht="12.75" customHeight="1">
      <c r="A753" s="1365" t="s">
        <v>824</v>
      </c>
      <c r="B753" s="625"/>
      <c r="C753" s="623"/>
      <c r="D753" s="792"/>
      <c r="E753" s="624"/>
      <c r="F753" s="546"/>
      <c r="G753" s="1507"/>
      <c r="H753" s="1526"/>
      <c r="I753" s="1501" t="str">
        <f t="shared" si="35"/>
        <v/>
      </c>
      <c r="J753" s="1501" t="str">
        <f t="shared" si="34"/>
        <v/>
      </c>
      <c r="K753" s="261"/>
      <c r="L753" s="309"/>
      <c r="M753" s="309"/>
      <c r="N753" s="309"/>
      <c r="O753" s="309"/>
      <c r="P753" s="309"/>
      <c r="Q753" s="309"/>
      <c r="R753" s="309"/>
      <c r="S753" s="309"/>
      <c r="T753" s="309"/>
      <c r="U753" s="309"/>
    </row>
    <row r="754" spans="1:21" ht="12.75" customHeight="1">
      <c r="A754" s="138" t="s">
        <v>504</v>
      </c>
      <c r="B754" s="625">
        <v>150</v>
      </c>
      <c r="C754" s="623">
        <v>53.49</v>
      </c>
      <c r="D754" s="792">
        <v>9.99</v>
      </c>
      <c r="E754" s="624">
        <f>(C754*B754)+D754</f>
        <v>8033.49</v>
      </c>
      <c r="F754" s="546" t="s">
        <v>505</v>
      </c>
      <c r="G754" s="1507"/>
      <c r="H754" s="1526"/>
      <c r="I754" s="1501" t="str">
        <f t="shared" si="35"/>
        <v>VMBS</v>
      </c>
      <c r="J754" s="1501" t="str">
        <f t="shared" si="34"/>
        <v/>
      </c>
      <c r="K754" s="261"/>
      <c r="L754" s="309"/>
      <c r="M754" s="309"/>
      <c r="N754" s="309"/>
      <c r="O754" s="309"/>
      <c r="P754" s="309"/>
      <c r="Q754" s="309"/>
      <c r="R754" s="309"/>
      <c r="S754" s="309"/>
      <c r="T754" s="309"/>
      <c r="U754" s="309"/>
    </row>
    <row r="755" spans="1:21" ht="12.75" customHeight="1">
      <c r="A755" s="280"/>
      <c r="B755" s="625"/>
      <c r="C755" s="623"/>
      <c r="D755" s="792"/>
      <c r="E755" s="624"/>
      <c r="F755" s="546"/>
      <c r="G755" s="1507"/>
      <c r="H755" s="1526"/>
      <c r="I755" s="1501" t="str">
        <f t="shared" si="35"/>
        <v/>
      </c>
      <c r="J755" s="1501" t="str">
        <f t="shared" si="34"/>
        <v/>
      </c>
      <c r="K755" s="261"/>
      <c r="L755" s="309"/>
      <c r="M755" s="309"/>
      <c r="N755" s="309"/>
      <c r="O755" s="309"/>
      <c r="P755" s="309"/>
      <c r="Q755" s="309"/>
      <c r="R755" s="309"/>
      <c r="S755" s="309"/>
      <c r="T755" s="309"/>
      <c r="U755" s="309"/>
    </row>
    <row r="756" spans="1:21" ht="12.75" customHeight="1">
      <c r="A756" s="279">
        <v>42408</v>
      </c>
      <c r="B756" s="625"/>
      <c r="C756" s="623"/>
      <c r="D756" s="792"/>
      <c r="E756" s="624"/>
      <c r="F756" s="546"/>
      <c r="G756" s="1507"/>
      <c r="H756" s="1526"/>
      <c r="I756" s="1501" t="str">
        <f t="shared" si="35"/>
        <v/>
      </c>
      <c r="J756" s="1501" t="str">
        <f t="shared" si="34"/>
        <v>CMG</v>
      </c>
      <c r="K756" s="261"/>
      <c r="L756" s="309"/>
      <c r="M756" s="309"/>
      <c r="N756" s="309"/>
      <c r="O756" s="309"/>
      <c r="P756" s="309"/>
      <c r="Q756" s="309"/>
      <c r="R756" s="309"/>
      <c r="S756" s="309"/>
      <c r="T756" s="309"/>
      <c r="U756" s="309"/>
    </row>
    <row r="757" spans="1:21" ht="12.75" customHeight="1">
      <c r="A757" s="1365" t="s">
        <v>824</v>
      </c>
      <c r="B757" s="625"/>
      <c r="C757" s="623"/>
      <c r="D757" s="792"/>
      <c r="E757" s="624"/>
      <c r="F757" s="546"/>
      <c r="G757" s="1507"/>
      <c r="H757" s="1526"/>
      <c r="I757" s="1501" t="str">
        <f t="shared" si="35"/>
        <v/>
      </c>
      <c r="J757" s="1501" t="str">
        <f t="shared" si="34"/>
        <v/>
      </c>
      <c r="K757" s="261"/>
      <c r="L757" s="309"/>
      <c r="M757" s="309"/>
      <c r="N757" s="309"/>
      <c r="O757" s="309"/>
      <c r="P757" s="309"/>
      <c r="Q757" s="309"/>
      <c r="R757" s="309"/>
      <c r="S757" s="309"/>
      <c r="T757" s="309"/>
      <c r="U757" s="309"/>
    </row>
    <row r="758" spans="1:21" ht="12.75" customHeight="1">
      <c r="A758" s="138" t="s">
        <v>407</v>
      </c>
      <c r="B758" s="625">
        <v>3</v>
      </c>
      <c r="C758" s="623">
        <v>440</v>
      </c>
      <c r="D758" s="792">
        <v>9.99</v>
      </c>
      <c r="E758" s="624">
        <f>(C758*B758)+D758</f>
        <v>1329.99</v>
      </c>
      <c r="F758" s="546" t="s">
        <v>408</v>
      </c>
      <c r="G758" s="1507"/>
      <c r="H758" s="1526"/>
      <c r="I758" s="1501" t="str">
        <f t="shared" si="35"/>
        <v>CMG</v>
      </c>
      <c r="J758" s="1501" t="str">
        <f t="shared" si="34"/>
        <v/>
      </c>
      <c r="K758" s="261"/>
      <c r="L758" s="309"/>
      <c r="M758" s="309"/>
      <c r="N758" s="309"/>
      <c r="O758" s="309"/>
      <c r="P758" s="309"/>
      <c r="Q758" s="309"/>
      <c r="R758" s="309"/>
      <c r="S758" s="309"/>
      <c r="T758" s="309"/>
      <c r="U758" s="309"/>
    </row>
    <row r="759" spans="1:21" ht="12.75" customHeight="1">
      <c r="A759" s="280"/>
      <c r="B759" s="625"/>
      <c r="C759" s="623"/>
      <c r="D759" s="792"/>
      <c r="E759" s="624"/>
      <c r="F759" s="546"/>
      <c r="G759" s="1507"/>
      <c r="H759" s="1526"/>
      <c r="I759" s="1501" t="str">
        <f t="shared" si="35"/>
        <v/>
      </c>
      <c r="J759" s="1501" t="str">
        <f t="shared" si="34"/>
        <v/>
      </c>
      <c r="K759" s="261"/>
      <c r="L759" s="309"/>
      <c r="M759" s="309"/>
      <c r="N759" s="309"/>
      <c r="O759" s="309"/>
      <c r="P759" s="309"/>
      <c r="Q759" s="309"/>
      <c r="R759" s="309"/>
      <c r="S759" s="309"/>
      <c r="T759" s="309"/>
      <c r="U759" s="309"/>
    </row>
    <row r="760" spans="1:21" ht="12.75" customHeight="1">
      <c r="A760" s="279">
        <v>42405</v>
      </c>
      <c r="B760" s="625"/>
      <c r="C760" s="623"/>
      <c r="D760" s="792"/>
      <c r="E760" s="624"/>
      <c r="F760" s="546"/>
      <c r="G760" s="1507"/>
      <c r="H760" s="1526"/>
      <c r="I760" s="1501" t="str">
        <f t="shared" si="35"/>
        <v/>
      </c>
      <c r="J760" s="1501" t="str">
        <f t="shared" si="34"/>
        <v/>
      </c>
      <c r="K760" s="261"/>
      <c r="L760" s="309"/>
      <c r="M760" s="309"/>
      <c r="N760" s="309"/>
      <c r="O760" s="309"/>
      <c r="P760" s="309"/>
      <c r="Q760" s="309"/>
      <c r="R760" s="309"/>
      <c r="S760" s="309"/>
      <c r="T760" s="309"/>
      <c r="U760" s="309"/>
    </row>
    <row r="761" spans="1:21" ht="12.75" customHeight="1">
      <c r="A761" s="1364" t="s">
        <v>820</v>
      </c>
      <c r="B761" s="625"/>
      <c r="C761" s="623"/>
      <c r="D761" s="792"/>
      <c r="E761" s="624"/>
      <c r="F761" s="546"/>
      <c r="G761" s="1507"/>
      <c r="H761" s="1526"/>
      <c r="I761" s="1501" t="str">
        <f t="shared" si="35"/>
        <v/>
      </c>
      <c r="J761" s="1501" t="str">
        <f t="shared" si="34"/>
        <v/>
      </c>
      <c r="K761" s="261"/>
      <c r="L761" s="309"/>
      <c r="M761" s="309"/>
      <c r="N761" s="309"/>
      <c r="O761" s="309"/>
      <c r="P761" s="309"/>
      <c r="Q761" s="309"/>
      <c r="R761" s="309"/>
      <c r="S761" s="309"/>
      <c r="T761" s="309"/>
      <c r="U761" s="309"/>
    </row>
    <row r="762" spans="1:21" ht="12.75" customHeight="1">
      <c r="A762" s="138" t="s">
        <v>509</v>
      </c>
      <c r="B762" s="625">
        <v>81</v>
      </c>
      <c r="C762" s="623">
        <v>15.53</v>
      </c>
      <c r="D762" s="792">
        <v>9.99</v>
      </c>
      <c r="E762" s="624">
        <f>(C762*B762)-D762</f>
        <v>1247.9399999999998</v>
      </c>
      <c r="F762" s="546" t="s">
        <v>458</v>
      </c>
      <c r="G762" s="1507"/>
      <c r="H762" s="1526"/>
      <c r="I762" s="1501" t="str">
        <f t="shared" si="35"/>
        <v/>
      </c>
      <c r="J762" s="1501" t="str">
        <f t="shared" si="34"/>
        <v/>
      </c>
      <c r="K762" s="261"/>
      <c r="L762" s="309"/>
      <c r="M762" s="309"/>
      <c r="N762" s="309"/>
      <c r="O762" s="309"/>
      <c r="P762" s="309"/>
      <c r="Q762" s="309"/>
      <c r="R762" s="309"/>
      <c r="S762" s="309"/>
      <c r="T762" s="309"/>
      <c r="U762" s="309"/>
    </row>
    <row r="763" spans="1:21" ht="12.75" customHeight="1">
      <c r="A763" s="280"/>
      <c r="B763" s="625"/>
      <c r="C763" s="623"/>
      <c r="D763" s="792"/>
      <c r="E763" s="624"/>
      <c r="F763" s="546"/>
      <c r="G763" s="1507"/>
      <c r="H763" s="1526"/>
      <c r="I763" s="1501" t="str">
        <f t="shared" si="35"/>
        <v/>
      </c>
      <c r="J763" s="1501" t="str">
        <f t="shared" si="34"/>
        <v/>
      </c>
      <c r="K763" s="261"/>
      <c r="L763" s="309"/>
      <c r="M763" s="309"/>
      <c r="N763" s="309"/>
      <c r="O763" s="309"/>
      <c r="P763" s="309"/>
      <c r="Q763" s="309"/>
      <c r="R763" s="309"/>
      <c r="S763" s="309"/>
      <c r="T763" s="309"/>
      <c r="U763" s="309"/>
    </row>
    <row r="764" spans="1:21" ht="12.75" customHeight="1">
      <c r="A764" s="279">
        <v>42376</v>
      </c>
      <c r="B764" s="625"/>
      <c r="C764" s="623"/>
      <c r="D764" s="792"/>
      <c r="E764" s="624"/>
      <c r="F764" s="546"/>
      <c r="G764" s="1507"/>
      <c r="H764" s="1526"/>
      <c r="I764" s="1501" t="str">
        <f t="shared" si="35"/>
        <v/>
      </c>
      <c r="J764" s="1501" t="str">
        <f t="shared" si="34"/>
        <v>ATVI</v>
      </c>
      <c r="K764" s="261"/>
      <c r="L764" s="309"/>
      <c r="M764" s="309"/>
      <c r="N764" s="309"/>
      <c r="O764" s="309"/>
      <c r="P764" s="309"/>
      <c r="Q764" s="309"/>
      <c r="R764" s="309"/>
      <c r="S764" s="309"/>
      <c r="T764" s="309"/>
      <c r="U764" s="309"/>
    </row>
    <row r="765" spans="1:21" ht="12.75" customHeight="1">
      <c r="A765" s="1365" t="s">
        <v>824</v>
      </c>
      <c r="B765" s="625"/>
      <c r="C765" s="623"/>
      <c r="D765" s="792"/>
      <c r="E765" s="624"/>
      <c r="F765" s="546"/>
      <c r="G765" s="1507"/>
      <c r="H765" s="1526"/>
      <c r="I765" s="1501" t="str">
        <f t="shared" si="35"/>
        <v/>
      </c>
      <c r="J765" s="1501" t="str">
        <f t="shared" si="34"/>
        <v/>
      </c>
      <c r="K765" s="261"/>
      <c r="L765" s="309"/>
      <c r="M765" s="309"/>
      <c r="N765" s="309"/>
      <c r="O765" s="309"/>
      <c r="P765" s="309"/>
      <c r="Q765" s="309"/>
      <c r="R765" s="309"/>
      <c r="S765" s="309"/>
      <c r="T765" s="309"/>
      <c r="U765" s="309"/>
    </row>
    <row r="766" spans="1:21" ht="12.75" customHeight="1">
      <c r="A766" s="138" t="s">
        <v>501</v>
      </c>
      <c r="B766" s="625">
        <v>30</v>
      </c>
      <c r="C766" s="623">
        <v>36.119999999999997</v>
      </c>
      <c r="D766" s="792">
        <v>9.99</v>
      </c>
      <c r="E766" s="624">
        <f>(C766*B766)+D766</f>
        <v>1093.5899999999999</v>
      </c>
      <c r="F766" s="546" t="s">
        <v>536</v>
      </c>
      <c r="G766" s="1507"/>
      <c r="H766" s="1526"/>
      <c r="I766" s="1501" t="str">
        <f t="shared" si="35"/>
        <v>ATVI</v>
      </c>
      <c r="J766" s="1501" t="str">
        <f t="shared" si="34"/>
        <v/>
      </c>
      <c r="K766" s="261"/>
      <c r="L766" s="309"/>
      <c r="M766" s="309"/>
      <c r="N766" s="309"/>
      <c r="O766" s="309"/>
      <c r="P766" s="309"/>
      <c r="Q766" s="309"/>
      <c r="R766" s="309"/>
      <c r="S766" s="309"/>
      <c r="T766" s="309"/>
      <c r="U766" s="309"/>
    </row>
    <row r="767" spans="1:21" ht="12.75" customHeight="1">
      <c r="A767" s="280"/>
      <c r="B767" s="625"/>
      <c r="C767" s="623"/>
      <c r="D767" s="792"/>
      <c r="E767" s="624"/>
      <c r="F767" s="546"/>
      <c r="G767" s="1507"/>
      <c r="H767" s="1526"/>
      <c r="I767" s="1501" t="str">
        <f t="shared" si="35"/>
        <v/>
      </c>
      <c r="J767" s="1501" t="str">
        <f t="shared" si="34"/>
        <v/>
      </c>
      <c r="K767" s="261"/>
      <c r="L767" s="309"/>
      <c r="M767" s="309"/>
      <c r="N767" s="309"/>
      <c r="O767" s="309"/>
      <c r="P767" s="309"/>
      <c r="Q767" s="309"/>
      <c r="R767" s="309"/>
      <c r="S767" s="309"/>
      <c r="T767" s="309"/>
      <c r="U767" s="309"/>
    </row>
    <row r="768" spans="1:21" ht="12.75" customHeight="1">
      <c r="A768" s="1366">
        <v>42346</v>
      </c>
      <c r="B768" s="625"/>
      <c r="C768" s="623"/>
      <c r="D768" s="792"/>
      <c r="E768" s="624"/>
      <c r="F768" s="546"/>
      <c r="G768" s="1507"/>
      <c r="H768" s="1526"/>
      <c r="I768" s="1501" t="str">
        <f t="shared" si="35"/>
        <v/>
      </c>
      <c r="J768" s="1501" t="str">
        <f t="shared" si="34"/>
        <v/>
      </c>
      <c r="K768" s="261"/>
      <c r="L768" s="309"/>
      <c r="M768" s="309"/>
      <c r="N768" s="309"/>
      <c r="O768" s="309"/>
      <c r="P768" s="309"/>
      <c r="Q768" s="309"/>
      <c r="R768" s="309"/>
      <c r="S768" s="309"/>
      <c r="T768" s="309"/>
      <c r="U768" s="309"/>
    </row>
    <row r="769" spans="1:21" ht="12.75" customHeight="1">
      <c r="A769" s="1365" t="s">
        <v>820</v>
      </c>
      <c r="B769" s="625"/>
      <c r="C769" s="623"/>
      <c r="D769" s="792"/>
      <c r="E769" s="624"/>
      <c r="F769" s="546"/>
      <c r="G769" s="1507"/>
      <c r="H769" s="1526"/>
      <c r="I769" s="1501" t="str">
        <f t="shared" si="35"/>
        <v/>
      </c>
      <c r="J769" s="1501" t="str">
        <f t="shared" si="34"/>
        <v/>
      </c>
      <c r="K769" s="261"/>
      <c r="L769" s="309"/>
      <c r="M769" s="309"/>
      <c r="N769" s="309"/>
      <c r="O769" s="309"/>
      <c r="P769" s="309"/>
      <c r="Q769" s="309"/>
      <c r="R769" s="309"/>
      <c r="S769" s="309"/>
      <c r="T769" s="309"/>
      <c r="U769" s="309"/>
    </row>
    <row r="770" spans="1:21" ht="12.75" customHeight="1">
      <c r="A770" s="138" t="s">
        <v>494</v>
      </c>
      <c r="B770" s="625">
        <v>30</v>
      </c>
      <c r="C770" s="623">
        <v>85.03</v>
      </c>
      <c r="D770" s="792">
        <v>9.99</v>
      </c>
      <c r="E770" s="624">
        <f>(C770*B770)-D770</f>
        <v>2540.9100000000003</v>
      </c>
      <c r="F770" s="546" t="s">
        <v>293</v>
      </c>
      <c r="G770" s="1507"/>
      <c r="H770" s="1526"/>
      <c r="I770" s="1501" t="str">
        <f t="shared" si="35"/>
        <v/>
      </c>
      <c r="J770" s="1501" t="str">
        <f>IF(F772="","",IF(OR(A768="Sell",A769="Sell"),"",F772))</f>
        <v/>
      </c>
      <c r="K770" s="261"/>
      <c r="L770" s="309"/>
      <c r="M770" s="309"/>
      <c r="N770" s="309"/>
      <c r="O770" s="309"/>
      <c r="P770" s="309"/>
      <c r="Q770" s="309"/>
      <c r="R770" s="309"/>
      <c r="S770" s="309"/>
      <c r="T770" s="309"/>
      <c r="U770" s="309"/>
    </row>
    <row r="771" spans="1:21" ht="12.75" customHeight="1">
      <c r="A771" s="138" t="s">
        <v>413</v>
      </c>
      <c r="B771" s="625">
        <v>35</v>
      </c>
      <c r="C771" s="623">
        <v>39.380000000000003</v>
      </c>
      <c r="D771" s="792">
        <v>9.99</v>
      </c>
      <c r="E771" s="624">
        <f>(C771*B771)-D771</f>
        <v>1368.3100000000002</v>
      </c>
      <c r="F771" s="546" t="s">
        <v>414</v>
      </c>
      <c r="G771" s="1507"/>
      <c r="H771" s="1526"/>
      <c r="I771" s="1501" t="str">
        <f>IF(F771="","",IF(OR(A769="Sell",A771="Sell"),"",F771))</f>
        <v/>
      </c>
      <c r="J771" s="1501" t="str">
        <f t="shared" ref="J771:J802" si="36">IF(F773="","",IF(OR(A771="Sell",A772="Sell"),"",F773))</f>
        <v/>
      </c>
      <c r="K771" s="261"/>
      <c r="L771" s="309"/>
      <c r="M771" s="309"/>
      <c r="N771" s="309"/>
      <c r="O771" s="309"/>
      <c r="P771" s="309"/>
      <c r="Q771" s="309"/>
      <c r="R771" s="309"/>
      <c r="S771" s="309"/>
      <c r="T771" s="309"/>
      <c r="U771" s="309"/>
    </row>
    <row r="772" spans="1:21" ht="12.75" customHeight="1">
      <c r="A772" s="138" t="s">
        <v>496</v>
      </c>
      <c r="B772" s="625">
        <v>120</v>
      </c>
      <c r="C772" s="623">
        <v>30.29</v>
      </c>
      <c r="D772" s="792">
        <v>9.99</v>
      </c>
      <c r="E772" s="624">
        <f>(C772*B772)-D772</f>
        <v>3624.81</v>
      </c>
      <c r="F772" s="546" t="s">
        <v>35</v>
      </c>
      <c r="G772" s="1507"/>
      <c r="H772" s="1526"/>
      <c r="I772" s="1501" t="str">
        <f>IF(F772="","",IF(OR(A769="Sell",A772="Sell"),"",F772))</f>
        <v/>
      </c>
      <c r="J772" s="1501" t="str">
        <f t="shared" si="36"/>
        <v/>
      </c>
      <c r="K772" s="261"/>
      <c r="L772" s="309"/>
      <c r="M772" s="309"/>
      <c r="N772" s="309"/>
      <c r="O772" s="309"/>
      <c r="P772" s="309"/>
      <c r="Q772" s="309"/>
      <c r="R772" s="309"/>
      <c r="S772" s="309"/>
      <c r="T772" s="309"/>
      <c r="U772" s="309"/>
    </row>
    <row r="773" spans="1:21" ht="12.75" customHeight="1">
      <c r="A773" s="138"/>
      <c r="B773" s="625"/>
      <c r="C773" s="623"/>
      <c r="D773" s="792"/>
      <c r="E773" s="624"/>
      <c r="F773" s="546"/>
      <c r="G773" s="1507"/>
      <c r="H773" s="1526"/>
      <c r="I773" s="1501" t="str">
        <f>IF(F773="","",IF(OR(A772="Sell",A773="Sell"),"",F773))</f>
        <v/>
      </c>
      <c r="J773" s="1501" t="str">
        <f t="shared" si="36"/>
        <v/>
      </c>
      <c r="K773" s="261"/>
      <c r="L773" s="309"/>
      <c r="M773" s="309"/>
      <c r="N773" s="309"/>
      <c r="O773" s="309"/>
      <c r="P773" s="309"/>
      <c r="Q773" s="309"/>
      <c r="R773" s="309"/>
      <c r="S773" s="309"/>
      <c r="T773" s="309"/>
      <c r="U773" s="309"/>
    </row>
    <row r="774" spans="1:21" ht="12.75" customHeight="1">
      <c r="A774" s="1366">
        <v>42345</v>
      </c>
      <c r="B774" s="625"/>
      <c r="C774" s="623"/>
      <c r="D774" s="792"/>
      <c r="E774" s="624"/>
      <c r="F774" s="546"/>
      <c r="G774" s="1507"/>
      <c r="H774" s="1526"/>
      <c r="I774" s="1501" t="str">
        <f>IF(F774="","",IF(OR(A773="Sell",A774="Sell"),"",F774))</f>
        <v/>
      </c>
      <c r="J774" s="1501" t="str">
        <f t="shared" si="36"/>
        <v/>
      </c>
      <c r="K774" s="261"/>
      <c r="L774" s="309"/>
      <c r="M774" s="309"/>
      <c r="N774" s="309"/>
      <c r="O774" s="309"/>
      <c r="P774" s="309"/>
      <c r="Q774" s="309"/>
      <c r="R774" s="309"/>
      <c r="S774" s="309"/>
      <c r="T774" s="309"/>
      <c r="U774" s="309"/>
    </row>
    <row r="775" spans="1:21" ht="12.75" customHeight="1">
      <c r="A775" s="1365" t="s">
        <v>820</v>
      </c>
      <c r="B775" s="625"/>
      <c r="C775" s="623"/>
      <c r="D775" s="792"/>
      <c r="E775" s="624"/>
      <c r="F775" s="546"/>
      <c r="G775" s="1507"/>
      <c r="H775" s="1526"/>
      <c r="I775" s="1501" t="str">
        <f>IF(F775="","",IF(OR(A774="Sell",A775="Sell"),"",F775))</f>
        <v/>
      </c>
      <c r="J775" s="1501" t="str">
        <f t="shared" si="36"/>
        <v/>
      </c>
      <c r="K775" s="261"/>
      <c r="L775" s="309"/>
      <c r="M775" s="309"/>
      <c r="N775" s="309"/>
      <c r="O775" s="309"/>
      <c r="P775" s="309"/>
      <c r="Q775" s="309"/>
      <c r="R775" s="309"/>
      <c r="S775" s="309"/>
      <c r="T775" s="309"/>
      <c r="U775" s="309"/>
    </row>
    <row r="776" spans="1:21" ht="12.75" customHeight="1">
      <c r="A776" s="138" t="s">
        <v>881</v>
      </c>
      <c r="B776" s="625">
        <v>208</v>
      </c>
      <c r="C776" s="623">
        <v>22.78</v>
      </c>
      <c r="D776" s="792">
        <v>9.99</v>
      </c>
      <c r="E776" s="624">
        <f>(C776*B776)-D776</f>
        <v>4728.25</v>
      </c>
      <c r="F776" s="546" t="s">
        <v>382</v>
      </c>
      <c r="G776" s="1507"/>
      <c r="H776" s="1526"/>
      <c r="I776" s="1501" t="str">
        <f>IF(F776="","",IF(OR(A775="Sell",A776="Sell"),"",F776))</f>
        <v/>
      </c>
      <c r="J776" s="1501" t="str">
        <f t="shared" si="36"/>
        <v/>
      </c>
      <c r="K776" s="261"/>
      <c r="L776" s="309"/>
      <c r="M776" s="309"/>
      <c r="N776" s="309"/>
      <c r="O776" s="309"/>
      <c r="P776" s="309"/>
      <c r="Q776" s="309"/>
      <c r="R776" s="309"/>
      <c r="S776" s="309"/>
      <c r="T776" s="309"/>
      <c r="U776" s="309"/>
    </row>
    <row r="777" spans="1:21" ht="12.75" customHeight="1">
      <c r="A777" s="138" t="s">
        <v>493</v>
      </c>
      <c r="B777" s="625">
        <v>55</v>
      </c>
      <c r="C777" s="623">
        <v>82.33</v>
      </c>
      <c r="D777" s="792">
        <v>9.99</v>
      </c>
      <c r="E777" s="624">
        <f>(C777*B777)-D777</f>
        <v>4518.16</v>
      </c>
      <c r="F777" s="546" t="s">
        <v>428</v>
      </c>
      <c r="G777" s="1507"/>
      <c r="H777" s="1526"/>
      <c r="I777" s="1501" t="str">
        <f>IF(F777="","",IF(OR(A775="Sell",A777="Sell"),"",F777))</f>
        <v/>
      </c>
      <c r="J777" s="1501" t="str">
        <f t="shared" si="36"/>
        <v/>
      </c>
      <c r="K777" s="261"/>
      <c r="L777" s="309"/>
      <c r="M777" s="309"/>
      <c r="N777" s="309"/>
      <c r="O777" s="309"/>
      <c r="P777" s="309"/>
      <c r="Q777" s="309"/>
      <c r="R777" s="309"/>
      <c r="S777" s="309"/>
      <c r="T777" s="309"/>
      <c r="U777" s="309"/>
    </row>
    <row r="778" spans="1:21" ht="12.75" customHeight="1">
      <c r="A778" s="138"/>
      <c r="B778" s="625"/>
      <c r="C778" s="623"/>
      <c r="D778" s="792"/>
      <c r="E778" s="624"/>
      <c r="F778" s="546"/>
      <c r="G778" s="1507"/>
      <c r="H778" s="1526"/>
      <c r="I778" s="1501" t="str">
        <f t="shared" ref="I778:I809" si="37">IF(F778="","",IF(OR(A777="Sell",A778="Sell"),"",F778))</f>
        <v/>
      </c>
      <c r="J778" s="1501" t="str">
        <f t="shared" si="36"/>
        <v/>
      </c>
      <c r="K778" s="261"/>
      <c r="L778" s="309"/>
      <c r="M778" s="309"/>
      <c r="N778" s="309"/>
      <c r="O778" s="309"/>
      <c r="P778" s="309"/>
      <c r="Q778" s="309"/>
      <c r="R778" s="309"/>
      <c r="S778" s="309"/>
      <c r="T778" s="309"/>
      <c r="U778" s="309"/>
    </row>
    <row r="779" spans="1:21" ht="12.75" customHeight="1">
      <c r="A779" s="1366">
        <v>42333</v>
      </c>
      <c r="B779" s="625"/>
      <c r="C779" s="623"/>
      <c r="D779" s="792"/>
      <c r="E779" s="624"/>
      <c r="F779" s="546"/>
      <c r="G779" s="1507"/>
      <c r="H779" s="1526"/>
      <c r="I779" s="1501" t="str">
        <f t="shared" si="37"/>
        <v/>
      </c>
      <c r="J779" s="1501" t="str">
        <f t="shared" si="36"/>
        <v/>
      </c>
      <c r="K779" s="261"/>
      <c r="L779" s="309"/>
      <c r="M779" s="309"/>
      <c r="N779" s="309"/>
      <c r="O779" s="309"/>
      <c r="P779" s="309"/>
      <c r="Q779" s="309"/>
      <c r="R779" s="309"/>
      <c r="S779" s="309"/>
      <c r="T779" s="309"/>
      <c r="U779" s="309"/>
    </row>
    <row r="780" spans="1:21" ht="12.75" customHeight="1">
      <c r="A780" s="1365" t="s">
        <v>820</v>
      </c>
      <c r="B780" s="625"/>
      <c r="C780" s="623"/>
      <c r="D780" s="792"/>
      <c r="E780" s="624"/>
      <c r="F780" s="546"/>
      <c r="G780" s="1507"/>
      <c r="H780" s="1526"/>
      <c r="I780" s="1501" t="str">
        <f t="shared" si="37"/>
        <v/>
      </c>
      <c r="J780" s="1501" t="str">
        <f t="shared" si="36"/>
        <v/>
      </c>
      <c r="K780" s="261"/>
      <c r="L780" s="309"/>
      <c r="M780" s="309"/>
      <c r="N780" s="309"/>
      <c r="O780" s="309"/>
      <c r="P780" s="309"/>
      <c r="Q780" s="309"/>
      <c r="R780" s="309"/>
      <c r="S780" s="309"/>
      <c r="T780" s="309"/>
      <c r="U780" s="309"/>
    </row>
    <row r="781" spans="1:21" ht="12.75" customHeight="1">
      <c r="A781" s="138" t="s">
        <v>488</v>
      </c>
      <c r="B781" s="625">
        <v>15</v>
      </c>
      <c r="C781" s="623">
        <v>138.37</v>
      </c>
      <c r="D781" s="792">
        <v>9.99</v>
      </c>
      <c r="E781" s="624">
        <f>(C781*B781)-D781</f>
        <v>2065.5600000000004</v>
      </c>
      <c r="F781" s="546" t="s">
        <v>489</v>
      </c>
      <c r="G781" s="1507"/>
      <c r="H781" s="1526"/>
      <c r="I781" s="1501" t="str">
        <f t="shared" si="37"/>
        <v/>
      </c>
      <c r="J781" s="1501" t="str">
        <f t="shared" si="36"/>
        <v/>
      </c>
      <c r="K781" s="261"/>
      <c r="L781" s="309"/>
      <c r="M781" s="309"/>
      <c r="N781" s="309"/>
      <c r="O781" s="309"/>
      <c r="P781" s="309"/>
      <c r="Q781" s="309"/>
      <c r="R781" s="309"/>
      <c r="S781" s="309"/>
      <c r="T781" s="309"/>
      <c r="U781" s="309"/>
    </row>
    <row r="782" spans="1:21" ht="12.75" customHeight="1">
      <c r="A782" s="280"/>
      <c r="B782" s="625"/>
      <c r="C782" s="623"/>
      <c r="D782" s="792"/>
      <c r="E782" s="624"/>
      <c r="F782" s="546"/>
      <c r="G782" s="1507"/>
      <c r="H782" s="1526"/>
      <c r="I782" s="1501" t="str">
        <f t="shared" si="37"/>
        <v/>
      </c>
      <c r="J782" s="1501" t="str">
        <f t="shared" si="36"/>
        <v/>
      </c>
      <c r="K782" s="261"/>
      <c r="L782" s="309"/>
      <c r="M782" s="309"/>
      <c r="N782" s="309"/>
      <c r="O782" s="309"/>
      <c r="P782" s="309"/>
      <c r="Q782" s="309"/>
      <c r="R782" s="309"/>
      <c r="S782" s="309"/>
      <c r="T782" s="309"/>
      <c r="U782" s="309"/>
    </row>
    <row r="783" spans="1:21" ht="12.75" customHeight="1">
      <c r="A783" s="1366">
        <v>42321</v>
      </c>
      <c r="B783" s="625"/>
      <c r="C783" s="623"/>
      <c r="D783" s="792"/>
      <c r="E783" s="624"/>
      <c r="F783" s="546"/>
      <c r="G783" s="1507"/>
      <c r="H783" s="1526"/>
      <c r="I783" s="1501" t="str">
        <f t="shared" si="37"/>
        <v/>
      </c>
      <c r="J783" s="1501" t="str">
        <f t="shared" si="36"/>
        <v/>
      </c>
      <c r="K783" s="261"/>
      <c r="L783" s="309"/>
      <c r="M783" s="309"/>
      <c r="N783" s="309"/>
      <c r="O783" s="309"/>
      <c r="P783" s="309"/>
      <c r="Q783" s="309"/>
      <c r="R783" s="309"/>
      <c r="S783" s="309"/>
      <c r="T783" s="309"/>
      <c r="U783" s="309"/>
    </row>
    <row r="784" spans="1:21" ht="12.75" customHeight="1">
      <c r="A784" s="1365" t="s">
        <v>820</v>
      </c>
      <c r="B784" s="625"/>
      <c r="C784" s="623"/>
      <c r="D784" s="792"/>
      <c r="E784" s="624"/>
      <c r="F784" s="546"/>
      <c r="G784" s="1507"/>
      <c r="H784" s="1526"/>
      <c r="I784" s="1501" t="str">
        <f t="shared" si="37"/>
        <v/>
      </c>
      <c r="J784" s="1501" t="str">
        <f t="shared" si="36"/>
        <v/>
      </c>
      <c r="K784" s="261"/>
      <c r="L784" s="309"/>
      <c r="M784" s="309"/>
      <c r="N784" s="309"/>
      <c r="O784" s="309"/>
      <c r="P784" s="309"/>
      <c r="Q784" s="309"/>
      <c r="R784" s="309"/>
      <c r="S784" s="309"/>
      <c r="T784" s="309"/>
      <c r="U784" s="309"/>
    </row>
    <row r="785" spans="1:21" ht="12.75" customHeight="1">
      <c r="A785" s="138" t="s">
        <v>486</v>
      </c>
      <c r="B785" s="625">
        <v>34</v>
      </c>
      <c r="C785" s="623">
        <v>75.73</v>
      </c>
      <c r="D785" s="792">
        <v>9.99</v>
      </c>
      <c r="E785" s="624">
        <f>(C785*B785)-D785</f>
        <v>2564.8300000000004</v>
      </c>
      <c r="F785" s="546" t="s">
        <v>370</v>
      </c>
      <c r="G785" s="1507"/>
      <c r="H785" s="1526"/>
      <c r="I785" s="1501" t="str">
        <f t="shared" si="37"/>
        <v/>
      </c>
      <c r="J785" s="1501" t="str">
        <f t="shared" si="36"/>
        <v/>
      </c>
      <c r="K785" s="261"/>
      <c r="L785" s="309"/>
      <c r="M785" s="309"/>
      <c r="N785" s="309"/>
      <c r="O785" s="309"/>
      <c r="P785" s="309"/>
      <c r="Q785" s="309"/>
      <c r="R785" s="309"/>
      <c r="S785" s="309"/>
      <c r="T785" s="309"/>
      <c r="U785" s="309"/>
    </row>
    <row r="786" spans="1:21" ht="12.75" customHeight="1">
      <c r="A786" s="280"/>
      <c r="B786" s="625"/>
      <c r="C786" s="623"/>
      <c r="D786" s="792"/>
      <c r="E786" s="624"/>
      <c r="F786" s="546"/>
      <c r="G786" s="1507"/>
      <c r="H786" s="1526"/>
      <c r="I786" s="1501" t="str">
        <f t="shared" si="37"/>
        <v/>
      </c>
      <c r="J786" s="1501" t="str">
        <f t="shared" si="36"/>
        <v/>
      </c>
      <c r="K786" s="261"/>
      <c r="L786" s="309"/>
      <c r="M786" s="309"/>
      <c r="N786" s="309"/>
      <c r="O786" s="309"/>
      <c r="P786" s="309"/>
      <c r="Q786" s="309"/>
      <c r="R786" s="309"/>
      <c r="S786" s="309"/>
      <c r="T786" s="309"/>
      <c r="U786" s="309"/>
    </row>
    <row r="787" spans="1:21" ht="12.75" customHeight="1">
      <c r="A787" s="1366">
        <v>42313</v>
      </c>
      <c r="B787" s="625"/>
      <c r="C787" s="623"/>
      <c r="D787" s="792"/>
      <c r="E787" s="624"/>
      <c r="F787" s="546"/>
      <c r="G787" s="1507"/>
      <c r="H787" s="1526"/>
      <c r="I787" s="1501" t="str">
        <f t="shared" si="37"/>
        <v/>
      </c>
      <c r="J787" s="1501" t="str">
        <f t="shared" si="36"/>
        <v>LCI</v>
      </c>
      <c r="K787" s="261"/>
      <c r="L787" s="309"/>
      <c r="M787" s="309"/>
      <c r="N787" s="309"/>
      <c r="O787" s="309"/>
      <c r="P787" s="309"/>
      <c r="Q787" s="309"/>
      <c r="R787" s="309"/>
      <c r="S787" s="309"/>
      <c r="T787" s="309"/>
      <c r="U787" s="309"/>
    </row>
    <row r="788" spans="1:21" ht="12.75" customHeight="1">
      <c r="A788" s="1365" t="s">
        <v>824</v>
      </c>
      <c r="B788" s="625"/>
      <c r="C788" s="623"/>
      <c r="D788" s="792"/>
      <c r="E788" s="624"/>
      <c r="F788" s="546"/>
      <c r="G788" s="1507"/>
      <c r="H788" s="1526"/>
      <c r="I788" s="1501" t="str">
        <f t="shared" si="37"/>
        <v/>
      </c>
      <c r="J788" s="1501" t="str">
        <f t="shared" si="36"/>
        <v/>
      </c>
      <c r="K788" s="261"/>
      <c r="L788" s="309"/>
      <c r="M788" s="309"/>
      <c r="N788" s="309"/>
      <c r="O788" s="309"/>
      <c r="P788" s="309"/>
      <c r="Q788" s="309"/>
      <c r="R788" s="309"/>
      <c r="S788" s="309"/>
      <c r="T788" s="309"/>
      <c r="U788" s="309"/>
    </row>
    <row r="789" spans="1:21" ht="12.75" customHeight="1">
      <c r="A789" s="138" t="s">
        <v>882</v>
      </c>
      <c r="B789" s="625">
        <v>120</v>
      </c>
      <c r="C789" s="623">
        <v>38.619999999999997</v>
      </c>
      <c r="D789" s="792">
        <v>9.99</v>
      </c>
      <c r="E789" s="624">
        <f>(C789*B789)+D789</f>
        <v>4644.3899999999994</v>
      </c>
      <c r="F789" s="546" t="s">
        <v>460</v>
      </c>
      <c r="G789" s="1507"/>
      <c r="H789" s="1526"/>
      <c r="I789" s="1501" t="str">
        <f t="shared" si="37"/>
        <v>LCI</v>
      </c>
      <c r="J789" s="1501" t="str">
        <f t="shared" si="36"/>
        <v/>
      </c>
      <c r="K789" s="261"/>
      <c r="L789" s="309"/>
      <c r="M789" s="309"/>
      <c r="N789" s="309"/>
      <c r="O789" s="309"/>
      <c r="P789" s="309"/>
      <c r="Q789" s="309"/>
      <c r="R789" s="309"/>
      <c r="S789" s="309"/>
      <c r="T789" s="309"/>
      <c r="U789" s="309"/>
    </row>
    <row r="790" spans="1:21" ht="12.75" customHeight="1">
      <c r="A790" s="280"/>
      <c r="B790" s="625"/>
      <c r="C790" s="623"/>
      <c r="D790" s="792"/>
      <c r="E790" s="624"/>
      <c r="F790" s="546"/>
      <c r="I790" s="1501" t="str">
        <f t="shared" si="37"/>
        <v/>
      </c>
      <c r="J790" s="1501" t="str">
        <f t="shared" si="36"/>
        <v/>
      </c>
      <c r="K790" s="261"/>
      <c r="L790" s="309"/>
      <c r="M790" s="309"/>
      <c r="N790" s="309"/>
      <c r="O790" s="309"/>
      <c r="P790" s="309"/>
      <c r="Q790" s="309"/>
      <c r="R790" s="309"/>
      <c r="S790" s="309"/>
      <c r="T790" s="309"/>
      <c r="U790" s="309"/>
    </row>
    <row r="791" spans="1:21" ht="12.75" customHeight="1">
      <c r="A791" s="1366">
        <v>42313</v>
      </c>
      <c r="B791" s="625"/>
      <c r="C791" s="623"/>
      <c r="D791" s="792"/>
      <c r="E791" s="624"/>
      <c r="F791" s="546"/>
      <c r="G791" s="1507"/>
      <c r="H791" s="1526"/>
      <c r="I791" s="1501" t="str">
        <f t="shared" si="37"/>
        <v/>
      </c>
      <c r="J791" s="1501" t="str">
        <f t="shared" si="36"/>
        <v>AMGN</v>
      </c>
      <c r="K791" s="261"/>
      <c r="L791" s="309"/>
      <c r="M791" s="309"/>
      <c r="N791" s="309"/>
      <c r="O791" s="309"/>
      <c r="P791" s="309"/>
      <c r="Q791" s="309"/>
      <c r="R791" s="309"/>
      <c r="S791" s="309"/>
      <c r="T791" s="309"/>
      <c r="U791" s="309"/>
    </row>
    <row r="792" spans="1:21" ht="12.75" customHeight="1">
      <c r="A792" s="1365" t="s">
        <v>824</v>
      </c>
      <c r="B792" s="625"/>
      <c r="C792" s="623"/>
      <c r="D792" s="792"/>
      <c r="E792" s="624"/>
      <c r="F792" s="546"/>
      <c r="G792" s="1507"/>
      <c r="H792" s="1526"/>
      <c r="I792" s="1501" t="str">
        <f t="shared" si="37"/>
        <v/>
      </c>
      <c r="J792" s="1501" t="str">
        <f t="shared" si="36"/>
        <v/>
      </c>
      <c r="K792" s="261"/>
      <c r="L792" s="309"/>
      <c r="M792" s="309"/>
      <c r="N792" s="309"/>
      <c r="O792" s="309"/>
      <c r="P792" s="309"/>
      <c r="Q792" s="309"/>
      <c r="R792" s="309"/>
      <c r="S792" s="309"/>
      <c r="T792" s="309"/>
      <c r="U792" s="309"/>
    </row>
    <row r="793" spans="1:21" ht="12.75" customHeight="1">
      <c r="A793" s="138" t="s">
        <v>883</v>
      </c>
      <c r="B793" s="625">
        <v>6</v>
      </c>
      <c r="C793" s="623">
        <v>160</v>
      </c>
      <c r="D793" s="792">
        <v>9.99</v>
      </c>
      <c r="E793" s="624">
        <f>(C793*B793)+D793</f>
        <v>969.99</v>
      </c>
      <c r="F793" s="546" t="s">
        <v>402</v>
      </c>
      <c r="G793" s="1511">
        <f>(E793+E897)</f>
        <v>3394.05</v>
      </c>
      <c r="H793" s="1526">
        <f>B793+B897</f>
        <v>21</v>
      </c>
      <c r="I793" s="1501" t="str">
        <f t="shared" si="37"/>
        <v>AMGN</v>
      </c>
      <c r="J793" s="1501" t="str">
        <f t="shared" si="36"/>
        <v/>
      </c>
      <c r="K793" s="261"/>
      <c r="L793" s="309"/>
      <c r="M793" s="309"/>
      <c r="N793" s="309"/>
      <c r="O793" s="309"/>
      <c r="P793" s="309"/>
      <c r="Q793" s="309"/>
      <c r="R793" s="309"/>
      <c r="S793" s="309"/>
      <c r="T793" s="309"/>
      <c r="U793" s="309"/>
    </row>
    <row r="794" spans="1:21" ht="12.75" customHeight="1">
      <c r="A794" s="280"/>
      <c r="B794" s="625"/>
      <c r="C794" s="623"/>
      <c r="D794" s="792"/>
      <c r="E794" s="624"/>
      <c r="F794" s="546"/>
      <c r="G794" s="1507"/>
      <c r="H794" s="1526"/>
      <c r="I794" s="1501" t="str">
        <f t="shared" si="37"/>
        <v/>
      </c>
      <c r="J794" s="1501" t="str">
        <f t="shared" si="36"/>
        <v/>
      </c>
      <c r="K794" s="261"/>
      <c r="L794" s="309"/>
      <c r="M794" s="309"/>
      <c r="N794" s="309"/>
      <c r="O794" s="309"/>
      <c r="P794" s="309"/>
      <c r="Q794" s="309"/>
      <c r="R794" s="309"/>
      <c r="S794" s="309"/>
      <c r="T794" s="309"/>
      <c r="U794" s="309"/>
    </row>
    <row r="795" spans="1:21" ht="12.75" customHeight="1">
      <c r="A795" s="1366">
        <v>42285</v>
      </c>
      <c r="B795" s="625"/>
      <c r="C795" s="623"/>
      <c r="D795" s="792"/>
      <c r="E795" s="624"/>
      <c r="F795" s="546"/>
      <c r="G795" s="1507"/>
      <c r="H795" s="1526"/>
      <c r="I795" s="1501" t="str">
        <f t="shared" si="37"/>
        <v/>
      </c>
      <c r="J795" s="1501" t="str">
        <f t="shared" si="36"/>
        <v>OHI</v>
      </c>
      <c r="K795" s="261"/>
      <c r="L795" s="309"/>
      <c r="M795" s="309"/>
      <c r="N795" s="309"/>
      <c r="O795" s="309"/>
      <c r="P795" s="309"/>
      <c r="Q795" s="309"/>
      <c r="R795" s="309"/>
      <c r="S795" s="309"/>
      <c r="T795" s="309"/>
      <c r="U795" s="309"/>
    </row>
    <row r="796" spans="1:21" ht="12.75" customHeight="1">
      <c r="A796" s="1365" t="s">
        <v>824</v>
      </c>
      <c r="B796" s="625"/>
      <c r="C796" s="623"/>
      <c r="D796" s="792"/>
      <c r="E796" s="624"/>
      <c r="F796" s="546"/>
      <c r="G796" s="1507"/>
      <c r="H796" s="1526"/>
      <c r="I796" s="1501" t="str">
        <f t="shared" si="37"/>
        <v/>
      </c>
      <c r="J796" s="1501" t="str">
        <f t="shared" si="36"/>
        <v/>
      </c>
      <c r="K796" s="261"/>
      <c r="L796" s="309"/>
      <c r="M796" s="309"/>
      <c r="N796" s="309"/>
      <c r="O796" s="309"/>
      <c r="P796" s="309"/>
      <c r="Q796" s="309"/>
      <c r="R796" s="309"/>
      <c r="S796" s="309"/>
      <c r="T796" s="309"/>
      <c r="U796" s="309"/>
    </row>
    <row r="797" spans="1:21" ht="12.75" customHeight="1">
      <c r="A797" s="138" t="s">
        <v>461</v>
      </c>
      <c r="B797" s="625">
        <v>60</v>
      </c>
      <c r="C797" s="623">
        <v>35.549999999999997</v>
      </c>
      <c r="D797" s="792">
        <v>9.99</v>
      </c>
      <c r="E797" s="624">
        <f>(C797*B797)+D797</f>
        <v>2142.9899999999998</v>
      </c>
      <c r="F797" s="546" t="s">
        <v>462</v>
      </c>
      <c r="G797" s="1507"/>
      <c r="H797" s="1526"/>
      <c r="I797" s="1501" t="str">
        <f t="shared" si="37"/>
        <v>OHI</v>
      </c>
      <c r="J797" s="1501" t="str">
        <f t="shared" si="36"/>
        <v/>
      </c>
      <c r="K797" s="261"/>
      <c r="L797" s="309"/>
      <c r="M797" s="309"/>
      <c r="N797" s="309"/>
      <c r="O797" s="309"/>
      <c r="P797" s="309"/>
      <c r="Q797" s="309"/>
      <c r="R797" s="309"/>
      <c r="S797" s="309"/>
      <c r="T797" s="309"/>
      <c r="U797" s="309"/>
    </row>
    <row r="798" spans="1:21" ht="12.75" customHeight="1">
      <c r="A798" s="280"/>
      <c r="B798" s="627"/>
      <c r="C798" s="785"/>
      <c r="D798" s="786"/>
      <c r="E798" s="624"/>
      <c r="F798" s="781"/>
      <c r="G798" s="1507"/>
      <c r="H798" s="1526"/>
      <c r="I798" s="1501" t="str">
        <f t="shared" si="37"/>
        <v/>
      </c>
      <c r="J798" s="1501" t="str">
        <f t="shared" si="36"/>
        <v/>
      </c>
      <c r="K798" s="261"/>
      <c r="L798" s="309"/>
      <c r="M798" s="309"/>
      <c r="N798" s="309"/>
      <c r="O798" s="309"/>
      <c r="P798" s="309"/>
      <c r="Q798" s="309"/>
      <c r="R798" s="309"/>
      <c r="S798" s="309"/>
      <c r="T798" s="309"/>
      <c r="U798" s="309"/>
    </row>
    <row r="799" spans="1:21" ht="12.75" customHeight="1">
      <c r="A799" s="1366">
        <v>42281</v>
      </c>
      <c r="B799" s="627"/>
      <c r="C799" s="785"/>
      <c r="D799" s="786"/>
      <c r="E799" s="624"/>
      <c r="F799" s="781"/>
      <c r="G799" s="1507"/>
      <c r="H799" s="1526"/>
      <c r="I799" s="1501" t="str">
        <f t="shared" si="37"/>
        <v/>
      </c>
      <c r="J799" s="1501" t="str">
        <f t="shared" si="36"/>
        <v>COF</v>
      </c>
      <c r="K799" s="261"/>
      <c r="L799" s="309"/>
      <c r="M799" s="309"/>
      <c r="N799" s="309"/>
      <c r="O799" s="309"/>
      <c r="P799" s="309"/>
      <c r="Q799" s="309"/>
      <c r="R799" s="309"/>
      <c r="S799" s="309"/>
      <c r="T799" s="309"/>
      <c r="U799" s="309"/>
    </row>
    <row r="800" spans="1:21" ht="12.75" customHeight="1">
      <c r="A800" s="1365" t="s">
        <v>824</v>
      </c>
      <c r="B800" s="627"/>
      <c r="C800" s="785"/>
      <c r="D800" s="786"/>
      <c r="E800" s="624"/>
      <c r="F800" s="781"/>
      <c r="G800" s="1507"/>
      <c r="H800" s="1526"/>
      <c r="I800" s="1501" t="str">
        <f t="shared" si="37"/>
        <v/>
      </c>
      <c r="J800" s="1501" t="str">
        <f t="shared" si="36"/>
        <v/>
      </c>
      <c r="K800" s="261"/>
      <c r="L800" s="309"/>
      <c r="M800" s="309"/>
      <c r="N800" s="309"/>
      <c r="O800" s="309"/>
      <c r="P800" s="309"/>
      <c r="Q800" s="309"/>
      <c r="R800" s="309"/>
      <c r="S800" s="309"/>
      <c r="T800" s="309"/>
      <c r="U800" s="309"/>
    </row>
    <row r="801" spans="1:21" ht="12.75" customHeight="1">
      <c r="A801" s="138" t="s">
        <v>542</v>
      </c>
      <c r="B801" s="625">
        <v>25</v>
      </c>
      <c r="C801" s="623">
        <v>71.84</v>
      </c>
      <c r="D801" s="792">
        <v>9.99</v>
      </c>
      <c r="E801" s="624">
        <f>(C801*B801)+D801</f>
        <v>1805.99</v>
      </c>
      <c r="F801" s="546" t="s">
        <v>452</v>
      </c>
      <c r="G801" s="1507"/>
      <c r="H801" s="1526"/>
      <c r="I801" s="1501" t="str">
        <f t="shared" si="37"/>
        <v>COF</v>
      </c>
      <c r="J801" s="1501" t="str">
        <f t="shared" si="36"/>
        <v/>
      </c>
      <c r="K801" s="261"/>
      <c r="L801" s="309"/>
      <c r="M801" s="309"/>
      <c r="N801" s="309"/>
      <c r="O801" s="309"/>
      <c r="P801" s="309"/>
      <c r="Q801" s="309"/>
      <c r="R801" s="309"/>
      <c r="S801" s="309"/>
      <c r="T801" s="309"/>
      <c r="U801" s="309"/>
    </row>
    <row r="802" spans="1:21" ht="12.75" customHeight="1">
      <c r="A802" s="138"/>
      <c r="B802" s="625"/>
      <c r="C802" s="623"/>
      <c r="D802" s="792"/>
      <c r="E802" s="624"/>
      <c r="F802" s="546"/>
      <c r="G802" s="1507"/>
      <c r="H802" s="1526"/>
      <c r="I802" s="1501" t="str">
        <f t="shared" si="37"/>
        <v/>
      </c>
      <c r="J802" s="1501" t="str">
        <f t="shared" si="36"/>
        <v/>
      </c>
      <c r="K802" s="261"/>
      <c r="L802" s="309"/>
      <c r="M802" s="309"/>
      <c r="N802" s="309"/>
      <c r="O802" s="309"/>
      <c r="P802" s="309"/>
      <c r="Q802" s="309"/>
      <c r="R802" s="309"/>
      <c r="S802" s="309"/>
      <c r="T802" s="309"/>
      <c r="U802" s="309"/>
    </row>
    <row r="803" spans="1:21" ht="12.75" customHeight="1">
      <c r="A803" s="1366">
        <v>42278</v>
      </c>
      <c r="B803" s="625"/>
      <c r="C803" s="623"/>
      <c r="D803" s="792"/>
      <c r="E803" s="624"/>
      <c r="F803" s="546"/>
      <c r="G803" s="1507"/>
      <c r="H803" s="1526"/>
      <c r="I803" s="1501" t="str">
        <f t="shared" si="37"/>
        <v/>
      </c>
      <c r="J803" s="1501" t="str">
        <f t="shared" ref="J803:J834" si="38">IF(F805="","",IF(OR(A803="Sell",A804="Sell"),"",F805))</f>
        <v>PJT</v>
      </c>
      <c r="K803" s="261"/>
      <c r="L803" s="309"/>
      <c r="M803" s="309"/>
      <c r="N803" s="309"/>
      <c r="O803" s="309"/>
      <c r="P803" s="309"/>
      <c r="Q803" s="309"/>
      <c r="R803" s="309"/>
      <c r="S803" s="309"/>
      <c r="T803" s="309"/>
      <c r="U803" s="309"/>
    </row>
    <row r="804" spans="1:21" ht="12.75" customHeight="1">
      <c r="A804" s="1365" t="s">
        <v>884</v>
      </c>
      <c r="B804" s="625"/>
      <c r="C804" s="623"/>
      <c r="D804" s="792"/>
      <c r="E804" s="624"/>
      <c r="F804" s="546"/>
      <c r="G804" s="1507"/>
      <c r="H804" s="1526"/>
      <c r="I804" s="1501" t="str">
        <f t="shared" si="37"/>
        <v/>
      </c>
      <c r="J804" s="1501" t="str">
        <f t="shared" si="38"/>
        <v/>
      </c>
      <c r="K804" s="261"/>
      <c r="L804" s="309"/>
      <c r="M804" s="309"/>
      <c r="N804" s="309"/>
      <c r="O804" s="309"/>
      <c r="P804" s="309"/>
      <c r="Q804" s="309"/>
      <c r="R804" s="309"/>
      <c r="S804" s="309"/>
      <c r="T804" s="309"/>
      <c r="U804" s="309"/>
    </row>
    <row r="805" spans="1:21" ht="12.75" customHeight="1">
      <c r="A805" s="138" t="s">
        <v>885</v>
      </c>
      <c r="B805" s="625">
        <v>1</v>
      </c>
      <c r="C805" s="623">
        <v>21</v>
      </c>
      <c r="D805" s="792">
        <v>0</v>
      </c>
      <c r="E805" s="624">
        <f>(C805*B805)-D805</f>
        <v>21</v>
      </c>
      <c r="F805" s="546" t="s">
        <v>464</v>
      </c>
      <c r="G805" s="1507"/>
      <c r="H805" s="1526"/>
      <c r="I805" s="1501" t="str">
        <f t="shared" si="37"/>
        <v>PJT</v>
      </c>
      <c r="J805" s="1501" t="str">
        <f t="shared" si="38"/>
        <v/>
      </c>
      <c r="K805" s="261"/>
      <c r="L805" s="309"/>
      <c r="M805" s="309"/>
      <c r="N805" s="309"/>
      <c r="O805" s="309"/>
      <c r="P805" s="309"/>
      <c r="Q805" s="309"/>
      <c r="R805" s="309"/>
      <c r="S805" s="309"/>
      <c r="T805" s="309"/>
      <c r="U805" s="309"/>
    </row>
    <row r="806" spans="1:21" ht="12.75" customHeight="1">
      <c r="A806" s="138"/>
      <c r="B806" s="627"/>
      <c r="C806" s="785"/>
      <c r="D806" s="786"/>
      <c r="E806" s="624"/>
      <c r="F806" s="781"/>
      <c r="G806" s="1507"/>
      <c r="H806" s="1526"/>
      <c r="I806" s="1501" t="str">
        <f t="shared" si="37"/>
        <v/>
      </c>
      <c r="J806" s="1501" t="str">
        <f t="shared" si="38"/>
        <v/>
      </c>
      <c r="K806" s="261"/>
      <c r="L806" s="309"/>
      <c r="M806" s="309"/>
      <c r="N806" s="309"/>
      <c r="O806" s="309"/>
      <c r="P806" s="309"/>
      <c r="Q806" s="309"/>
      <c r="R806" s="309"/>
      <c r="S806" s="309"/>
      <c r="T806" s="309"/>
      <c r="U806" s="309"/>
    </row>
    <row r="807" spans="1:21" ht="12.75" customHeight="1">
      <c r="A807" s="1366">
        <v>42271</v>
      </c>
      <c r="B807" s="627"/>
      <c r="C807" s="785"/>
      <c r="D807" s="786"/>
      <c r="E807" s="624"/>
      <c r="F807" s="781"/>
      <c r="G807" s="1507"/>
      <c r="H807" s="1526"/>
      <c r="I807" s="1501" t="str">
        <f t="shared" si="37"/>
        <v/>
      </c>
      <c r="J807" s="1501" t="str">
        <f t="shared" si="38"/>
        <v/>
      </c>
      <c r="K807" s="261"/>
      <c r="L807" s="309"/>
      <c r="M807" s="309"/>
      <c r="N807" s="309"/>
      <c r="O807" s="309"/>
      <c r="P807" s="309"/>
      <c r="Q807" s="309"/>
      <c r="R807" s="309"/>
      <c r="S807" s="309"/>
      <c r="T807" s="309"/>
      <c r="U807" s="309"/>
    </row>
    <row r="808" spans="1:21" ht="12.75" customHeight="1">
      <c r="A808" s="1365" t="s">
        <v>820</v>
      </c>
      <c r="B808" s="784"/>
      <c r="C808" s="785"/>
      <c r="D808" s="786"/>
      <c r="E808" s="624"/>
      <c r="F808" s="781"/>
      <c r="G808" s="1507"/>
      <c r="H808" s="1526"/>
      <c r="I808" s="1501" t="str">
        <f t="shared" si="37"/>
        <v/>
      </c>
      <c r="J808" s="1501" t="str">
        <f t="shared" si="38"/>
        <v/>
      </c>
      <c r="K808" s="261"/>
      <c r="L808" s="309"/>
      <c r="M808" s="309"/>
      <c r="N808" s="309"/>
      <c r="O808" s="309"/>
      <c r="P808" s="309"/>
      <c r="Q808" s="309"/>
      <c r="R808" s="309"/>
      <c r="S808" s="309"/>
      <c r="T808" s="309"/>
      <c r="U808" s="309"/>
    </row>
    <row r="809" spans="1:21" ht="12.75" customHeight="1">
      <c r="A809" s="138" t="s">
        <v>483</v>
      </c>
      <c r="B809" s="621">
        <v>136</v>
      </c>
      <c r="C809" s="623">
        <v>11.78</v>
      </c>
      <c r="D809" s="841">
        <f>9.99</f>
        <v>9.99</v>
      </c>
      <c r="E809" s="624">
        <f>(C809*B809)-D809</f>
        <v>1592.09</v>
      </c>
      <c r="F809" s="546" t="s">
        <v>484</v>
      </c>
      <c r="G809" s="1507"/>
      <c r="H809" s="1526"/>
      <c r="I809" s="1501" t="str">
        <f t="shared" si="37"/>
        <v/>
      </c>
      <c r="J809" s="1501" t="str">
        <f t="shared" si="38"/>
        <v/>
      </c>
      <c r="K809" s="261"/>
      <c r="L809" s="309"/>
      <c r="M809" s="309"/>
      <c r="N809" s="309"/>
      <c r="O809" s="309"/>
      <c r="P809" s="309"/>
      <c r="Q809" s="309"/>
      <c r="R809" s="309"/>
      <c r="S809" s="309"/>
      <c r="T809" s="309"/>
      <c r="U809" s="309"/>
    </row>
    <row r="810" spans="1:21" ht="12.75" customHeight="1">
      <c r="A810" s="138"/>
      <c r="B810" s="621"/>
      <c r="C810" s="623"/>
      <c r="D810" s="841"/>
      <c r="E810" s="624"/>
      <c r="F810" s="546"/>
      <c r="G810" s="1507"/>
      <c r="H810" s="1526"/>
      <c r="I810" s="1501" t="str">
        <f t="shared" ref="I810:I841" si="39">IF(F810="","",IF(OR(A809="Sell",A810="Sell"),"",F810))</f>
        <v/>
      </c>
      <c r="J810" s="1501" t="str">
        <f t="shared" si="38"/>
        <v/>
      </c>
      <c r="K810" s="261"/>
      <c r="L810" s="309"/>
      <c r="M810" s="309"/>
      <c r="N810" s="309"/>
      <c r="O810" s="309"/>
      <c r="P810" s="309"/>
      <c r="Q810" s="309"/>
      <c r="R810" s="309"/>
      <c r="S810" s="309"/>
      <c r="T810" s="309"/>
      <c r="U810" s="309"/>
    </row>
    <row r="811" spans="1:21" ht="12.75" customHeight="1">
      <c r="A811" s="1366">
        <v>42264</v>
      </c>
      <c r="B811" s="621"/>
      <c r="C811" s="623"/>
      <c r="D811" s="841"/>
      <c r="E811" s="624"/>
      <c r="F811" s="546"/>
      <c r="G811" s="1507"/>
      <c r="H811" s="1526"/>
      <c r="I811" s="1501" t="str">
        <f t="shared" si="39"/>
        <v/>
      </c>
      <c r="J811" s="1501" t="str">
        <f t="shared" si="38"/>
        <v>T</v>
      </c>
      <c r="K811" s="261"/>
      <c r="L811" s="309"/>
      <c r="M811" s="309"/>
      <c r="N811" s="309"/>
      <c r="O811" s="309"/>
      <c r="P811" s="309"/>
      <c r="Q811" s="309"/>
      <c r="R811" s="309"/>
      <c r="S811" s="309"/>
      <c r="T811" s="309"/>
      <c r="U811" s="309"/>
    </row>
    <row r="812" spans="1:21" ht="12.75" customHeight="1">
      <c r="A812" s="1365" t="s">
        <v>824</v>
      </c>
      <c r="B812" s="621"/>
      <c r="C812" s="623"/>
      <c r="D812" s="841"/>
      <c r="E812" s="624"/>
      <c r="F812" s="546"/>
      <c r="G812" s="1507"/>
      <c r="H812" s="1526"/>
      <c r="I812" s="1501" t="str">
        <f t="shared" si="39"/>
        <v/>
      </c>
      <c r="J812" s="1501" t="str">
        <f t="shared" si="38"/>
        <v/>
      </c>
      <c r="K812" s="261"/>
      <c r="L812" s="309"/>
      <c r="M812" s="309"/>
      <c r="N812" s="309"/>
      <c r="O812" s="309"/>
      <c r="P812" s="309"/>
      <c r="Q812" s="309"/>
      <c r="R812" s="309"/>
      <c r="S812" s="309"/>
      <c r="T812" s="309"/>
      <c r="U812" s="309"/>
    </row>
    <row r="813" spans="1:21" ht="12.75" customHeight="1">
      <c r="A813" s="138" t="s">
        <v>647</v>
      </c>
      <c r="B813" s="625">
        <v>50</v>
      </c>
      <c r="C813" s="623">
        <v>33.270000000000003</v>
      </c>
      <c r="D813" s="792">
        <v>9.99</v>
      </c>
      <c r="E813" s="624">
        <f>(C813*B813)+D813</f>
        <v>1673.4900000000002</v>
      </c>
      <c r="F813" s="546" t="s">
        <v>448</v>
      </c>
      <c r="G813" s="1507"/>
      <c r="H813" s="1526"/>
      <c r="I813" s="1501" t="str">
        <f t="shared" si="39"/>
        <v>T</v>
      </c>
      <c r="J813" s="1501" t="str">
        <f t="shared" si="38"/>
        <v/>
      </c>
      <c r="K813" s="261"/>
      <c r="L813" s="309"/>
      <c r="M813" s="309"/>
      <c r="N813" s="309"/>
      <c r="O813" s="309"/>
      <c r="P813" s="309"/>
      <c r="Q813" s="309"/>
      <c r="R813" s="309"/>
      <c r="S813" s="309"/>
      <c r="T813" s="309"/>
      <c r="U813" s="309"/>
    </row>
    <row r="814" spans="1:21" ht="12.75" customHeight="1">
      <c r="A814" s="138"/>
      <c r="B814" s="625"/>
      <c r="C814" s="623"/>
      <c r="D814" s="792"/>
      <c r="E814" s="624"/>
      <c r="F814" s="546"/>
      <c r="G814" s="1515"/>
      <c r="H814" s="1529"/>
      <c r="I814" s="1501" t="str">
        <f t="shared" si="39"/>
        <v/>
      </c>
      <c r="J814" s="1501" t="str">
        <f t="shared" si="38"/>
        <v/>
      </c>
      <c r="K814" s="261"/>
      <c r="L814" s="309"/>
      <c r="M814" s="309"/>
      <c r="N814" s="309"/>
      <c r="O814" s="309"/>
      <c r="P814" s="309"/>
      <c r="Q814" s="309"/>
      <c r="R814" s="309"/>
      <c r="S814" s="309"/>
      <c r="T814" s="309"/>
      <c r="U814" s="309"/>
    </row>
    <row r="815" spans="1:21" ht="12.75" customHeight="1">
      <c r="A815" s="1366">
        <v>42124</v>
      </c>
      <c r="B815" s="627"/>
      <c r="C815" s="785"/>
      <c r="D815" s="786"/>
      <c r="E815" s="624"/>
      <c r="F815" s="781"/>
      <c r="G815" s="1515"/>
      <c r="H815" s="1529"/>
      <c r="I815" s="1501" t="str">
        <f t="shared" si="39"/>
        <v/>
      </c>
      <c r="J815" s="1501" t="str">
        <f t="shared" si="38"/>
        <v>TCP</v>
      </c>
      <c r="K815" s="261"/>
      <c r="L815" s="309"/>
      <c r="M815" s="309"/>
      <c r="N815" s="309"/>
      <c r="O815" s="309"/>
      <c r="P815" s="309"/>
      <c r="Q815" s="309"/>
      <c r="R815" s="309"/>
      <c r="S815" s="309"/>
      <c r="T815" s="309"/>
      <c r="U815" s="309"/>
    </row>
    <row r="816" spans="1:21" ht="12.75" customHeight="1">
      <c r="A816" s="1178" t="s">
        <v>824</v>
      </c>
      <c r="B816" s="627"/>
      <c r="C816" s="785"/>
      <c r="D816" s="786"/>
      <c r="E816" s="624"/>
      <c r="F816" s="781"/>
      <c r="G816" s="1507"/>
      <c r="H816" s="1526"/>
      <c r="I816" s="1501" t="str">
        <f t="shared" si="39"/>
        <v/>
      </c>
      <c r="J816" s="1501" t="str">
        <f t="shared" si="38"/>
        <v/>
      </c>
      <c r="K816" s="261"/>
      <c r="L816" s="309"/>
      <c r="M816" s="309"/>
      <c r="N816" s="309"/>
      <c r="O816" s="309"/>
      <c r="P816" s="309"/>
      <c r="Q816" s="309"/>
      <c r="R816" s="309"/>
      <c r="S816" s="309"/>
      <c r="T816" s="309"/>
      <c r="U816" s="309"/>
    </row>
    <row r="817" spans="1:21" ht="12.75" customHeight="1">
      <c r="A817" s="1361" t="s">
        <v>465</v>
      </c>
      <c r="B817" s="807">
        <v>22</v>
      </c>
      <c r="C817" s="826">
        <v>68.349999999999994</v>
      </c>
      <c r="D817" s="841">
        <f>9.99</f>
        <v>9.99</v>
      </c>
      <c r="E817" s="624">
        <f>(C817*B817)+D817</f>
        <v>1513.6899999999998</v>
      </c>
      <c r="F817" s="1497" t="s">
        <v>466</v>
      </c>
      <c r="G817" s="1507"/>
      <c r="H817" s="1526"/>
      <c r="I817" s="1501" t="str">
        <f t="shared" si="39"/>
        <v>TCP</v>
      </c>
      <c r="J817" s="1501" t="str">
        <f t="shared" si="38"/>
        <v/>
      </c>
      <c r="K817" s="261"/>
      <c r="L817" s="309"/>
      <c r="M817" s="309"/>
      <c r="N817" s="309"/>
      <c r="O817" s="309"/>
      <c r="P817" s="309"/>
      <c r="Q817" s="309"/>
      <c r="R817" s="309"/>
      <c r="S817" s="309"/>
      <c r="T817" s="309"/>
      <c r="U817" s="309"/>
    </row>
    <row r="818" spans="1:21" ht="12.75" customHeight="1">
      <c r="A818" s="69"/>
      <c r="B818" s="807"/>
      <c r="C818" s="826"/>
      <c r="D818" s="841"/>
      <c r="E818" s="624"/>
      <c r="F818" s="547"/>
      <c r="G818" s="1515"/>
      <c r="H818" s="1529"/>
      <c r="I818" s="1501" t="str">
        <f t="shared" si="39"/>
        <v/>
      </c>
      <c r="J818" s="1501" t="str">
        <f t="shared" si="38"/>
        <v/>
      </c>
      <c r="K818" s="261"/>
      <c r="L818" s="309"/>
      <c r="M818" s="309"/>
      <c r="N818" s="309"/>
      <c r="O818" s="309"/>
      <c r="P818" s="309"/>
      <c r="Q818" s="309"/>
      <c r="R818" s="309"/>
      <c r="S818" s="309"/>
      <c r="T818" s="309"/>
      <c r="U818" s="309"/>
    </row>
    <row r="819" spans="1:21" ht="12.75" customHeight="1">
      <c r="A819" s="1366"/>
      <c r="B819" s="627"/>
      <c r="C819" s="785"/>
      <c r="D819" s="786"/>
      <c r="E819" s="624"/>
      <c r="F819" s="781"/>
      <c r="G819" s="1515"/>
      <c r="H819" s="1529"/>
      <c r="I819" s="1501" t="str">
        <f t="shared" si="39"/>
        <v/>
      </c>
      <c r="J819" s="1501" t="str">
        <f t="shared" si="38"/>
        <v>BX</v>
      </c>
      <c r="K819" s="261"/>
      <c r="L819" s="309"/>
      <c r="M819" s="309"/>
      <c r="N819" s="309"/>
      <c r="O819" s="309"/>
      <c r="P819" s="309"/>
      <c r="Q819" s="309"/>
      <c r="R819" s="309"/>
      <c r="S819" s="309"/>
      <c r="T819" s="309"/>
      <c r="U819" s="309"/>
    </row>
    <row r="820" spans="1:21" ht="12.75" customHeight="1">
      <c r="A820" s="1178" t="s">
        <v>824</v>
      </c>
      <c r="B820" s="627"/>
      <c r="C820" s="785"/>
      <c r="D820" s="786"/>
      <c r="E820" s="624"/>
      <c r="F820" s="781"/>
      <c r="G820" s="1507"/>
      <c r="H820" s="1526"/>
      <c r="I820" s="1501" t="str">
        <f t="shared" si="39"/>
        <v/>
      </c>
      <c r="J820" s="1501" t="str">
        <f t="shared" si="38"/>
        <v>GE</v>
      </c>
      <c r="K820" s="261"/>
      <c r="L820" s="309"/>
      <c r="M820" s="309"/>
      <c r="N820" s="309"/>
      <c r="O820" s="309"/>
      <c r="P820" s="309"/>
      <c r="Q820" s="309"/>
      <c r="R820" s="309"/>
      <c r="S820" s="309"/>
      <c r="T820" s="309"/>
      <c r="U820" s="309"/>
    </row>
    <row r="821" spans="1:21" ht="12.75" customHeight="1">
      <c r="A821" s="1361" t="s">
        <v>453</v>
      </c>
      <c r="B821" s="807">
        <v>55</v>
      </c>
      <c r="C821" s="826">
        <v>41.698500000000003</v>
      </c>
      <c r="D821" s="841">
        <v>9.99</v>
      </c>
      <c r="E821" s="624">
        <f>(C821*B821)+D821</f>
        <v>2303.4074999999998</v>
      </c>
      <c r="F821" s="1497" t="s">
        <v>454</v>
      </c>
      <c r="G821" s="1507"/>
      <c r="H821" s="1526"/>
      <c r="I821" s="1501" t="str">
        <f t="shared" si="39"/>
        <v>BX</v>
      </c>
      <c r="J821" s="1501" t="str">
        <f t="shared" si="38"/>
        <v/>
      </c>
      <c r="K821" s="261"/>
      <c r="L821" s="309"/>
      <c r="M821" s="309"/>
      <c r="N821" s="309"/>
      <c r="O821" s="309"/>
      <c r="P821" s="309"/>
      <c r="Q821" s="309"/>
      <c r="R821" s="309"/>
      <c r="S821" s="309"/>
      <c r="T821" s="309"/>
      <c r="U821" s="309"/>
    </row>
    <row r="822" spans="1:21" ht="12.75" customHeight="1">
      <c r="A822" s="1361" t="s">
        <v>34</v>
      </c>
      <c r="B822" s="807">
        <v>120</v>
      </c>
      <c r="C822" s="826">
        <v>26.906199999999998</v>
      </c>
      <c r="D822" s="841">
        <f>9.99</f>
        <v>9.99</v>
      </c>
      <c r="E822" s="624">
        <f>(C822*B822)+D822</f>
        <v>3238.7339999999995</v>
      </c>
      <c r="F822" s="1497" t="s">
        <v>35</v>
      </c>
      <c r="G822" s="1507"/>
      <c r="H822" s="1526"/>
      <c r="I822" s="1501" t="str">
        <f t="shared" si="39"/>
        <v>GE</v>
      </c>
      <c r="J822" s="1501" t="str">
        <f t="shared" si="38"/>
        <v/>
      </c>
      <c r="K822" s="261"/>
      <c r="L822" s="309"/>
      <c r="M822" s="309"/>
      <c r="N822" s="309"/>
      <c r="O822" s="309"/>
      <c r="P822" s="309"/>
      <c r="Q822" s="309"/>
      <c r="R822" s="309"/>
      <c r="S822" s="309"/>
      <c r="T822" s="309"/>
      <c r="U822" s="309"/>
    </row>
    <row r="823" spans="1:21" ht="12.75" customHeight="1">
      <c r="A823" s="1366"/>
      <c r="B823" s="627"/>
      <c r="C823" s="785"/>
      <c r="D823" s="786"/>
      <c r="E823" s="624"/>
      <c r="F823" s="781"/>
      <c r="G823" s="1515"/>
      <c r="H823" s="1529"/>
      <c r="I823" s="1501" t="str">
        <f t="shared" si="39"/>
        <v/>
      </c>
      <c r="J823" s="1501" t="str">
        <f t="shared" si="38"/>
        <v/>
      </c>
      <c r="K823" s="261"/>
      <c r="L823" s="309"/>
      <c r="M823" s="309"/>
      <c r="N823" s="309"/>
      <c r="O823" s="309"/>
      <c r="P823" s="309"/>
      <c r="Q823" s="309"/>
      <c r="R823" s="309"/>
      <c r="S823" s="309"/>
      <c r="T823" s="309"/>
      <c r="U823" s="309"/>
    </row>
    <row r="824" spans="1:21" ht="12.75" customHeight="1">
      <c r="A824" s="1366">
        <v>42116</v>
      </c>
      <c r="B824" s="627"/>
      <c r="C824" s="785"/>
      <c r="D824" s="786"/>
      <c r="E824" s="624"/>
      <c r="F824" s="781"/>
      <c r="G824" s="1515"/>
      <c r="H824" s="1529"/>
      <c r="I824" s="1501" t="str">
        <f t="shared" si="39"/>
        <v/>
      </c>
      <c r="J824" s="1501" t="str">
        <f t="shared" si="38"/>
        <v>CVS</v>
      </c>
      <c r="K824" s="271"/>
      <c r="L824" s="309"/>
      <c r="M824" s="309"/>
      <c r="N824" s="309"/>
      <c r="O824" s="309"/>
      <c r="P824" s="309"/>
      <c r="Q824" s="309"/>
      <c r="R824" s="309"/>
      <c r="S824" s="309"/>
      <c r="T824" s="309"/>
      <c r="U824" s="309"/>
    </row>
    <row r="825" spans="1:21" ht="12.75" customHeight="1">
      <c r="A825" s="1178" t="s">
        <v>824</v>
      </c>
      <c r="B825" s="627"/>
      <c r="C825" s="785"/>
      <c r="D825" s="786"/>
      <c r="E825" s="624"/>
      <c r="F825" s="781"/>
      <c r="G825" s="1507"/>
      <c r="H825" s="1526"/>
      <c r="I825" s="1501" t="str">
        <f t="shared" si="39"/>
        <v/>
      </c>
      <c r="J825" s="1501" t="str">
        <f t="shared" si="38"/>
        <v>IBM</v>
      </c>
      <c r="K825" s="261"/>
      <c r="L825" s="309"/>
      <c r="M825" s="309"/>
      <c r="N825" s="309"/>
      <c r="O825" s="309"/>
      <c r="P825" s="309"/>
      <c r="Q825" s="309"/>
      <c r="R825" s="309"/>
      <c r="S825" s="309"/>
      <c r="T825" s="309"/>
      <c r="U825" s="309"/>
    </row>
    <row r="826" spans="1:21" ht="12.75" customHeight="1">
      <c r="A826" s="1361" t="s">
        <v>455</v>
      </c>
      <c r="B826" s="807">
        <v>12</v>
      </c>
      <c r="C826" s="826">
        <v>101.47790000000001</v>
      </c>
      <c r="D826" s="841">
        <f>9.99</f>
        <v>9.99</v>
      </c>
      <c r="E826" s="624">
        <f>(C826*B826)+D826</f>
        <v>1227.7248000000002</v>
      </c>
      <c r="F826" s="1497" t="s">
        <v>456</v>
      </c>
      <c r="G826" s="1507"/>
      <c r="H826" s="1526"/>
      <c r="I826" s="1501" t="str">
        <f t="shared" si="39"/>
        <v>CVS</v>
      </c>
      <c r="J826" s="1501" t="str">
        <f t="shared" si="38"/>
        <v/>
      </c>
      <c r="K826" s="261"/>
      <c r="L826" s="309"/>
      <c r="M826" s="309"/>
      <c r="N826" s="309"/>
      <c r="O826" s="309"/>
      <c r="P826" s="309"/>
      <c r="Q826" s="309"/>
      <c r="R826" s="309"/>
      <c r="S826" s="309"/>
      <c r="T826" s="309"/>
      <c r="U826" s="309"/>
    </row>
    <row r="827" spans="1:21" ht="12.75" customHeight="1">
      <c r="A827" s="69" t="s">
        <v>886</v>
      </c>
      <c r="B827" s="807">
        <v>15</v>
      </c>
      <c r="C827" s="826">
        <v>164.0899</v>
      </c>
      <c r="D827" s="841">
        <f>9.99</f>
        <v>9.99</v>
      </c>
      <c r="E827" s="624">
        <f>(C827*B827)+D827</f>
        <v>2471.3384999999998</v>
      </c>
      <c r="F827" s="547" t="s">
        <v>489</v>
      </c>
      <c r="G827" s="1507"/>
      <c r="H827" s="1526"/>
      <c r="I827" s="1501" t="str">
        <f t="shared" si="39"/>
        <v>IBM</v>
      </c>
      <c r="J827" s="1501" t="str">
        <f t="shared" si="38"/>
        <v/>
      </c>
      <c r="K827" s="261"/>
      <c r="L827" s="309"/>
      <c r="M827" s="309"/>
      <c r="N827" s="309"/>
      <c r="O827" s="309"/>
      <c r="P827" s="309"/>
      <c r="Q827" s="309"/>
      <c r="R827" s="309"/>
      <c r="S827" s="309"/>
      <c r="T827" s="309"/>
      <c r="U827" s="309"/>
    </row>
    <row r="828" spans="1:21" ht="12.75" customHeight="1">
      <c r="A828" s="1363"/>
      <c r="B828" s="627"/>
      <c r="C828" s="785"/>
      <c r="D828" s="786"/>
      <c r="E828" s="624"/>
      <c r="F828" s="781"/>
      <c r="G828" s="1515"/>
      <c r="H828" s="1529"/>
      <c r="I828" s="1501" t="str">
        <f t="shared" si="39"/>
        <v/>
      </c>
      <c r="J828" s="1501" t="str">
        <f t="shared" si="38"/>
        <v/>
      </c>
      <c r="K828" s="261"/>
      <c r="L828" s="309"/>
      <c r="M828" s="309"/>
      <c r="N828" s="309"/>
      <c r="O828" s="309"/>
      <c r="P828" s="309"/>
      <c r="Q828" s="309"/>
      <c r="R828" s="309"/>
      <c r="S828" s="309"/>
      <c r="T828" s="309"/>
      <c r="U828" s="309"/>
    </row>
    <row r="829" spans="1:21" ht="12.75" customHeight="1">
      <c r="A829" s="1366">
        <v>42108</v>
      </c>
      <c r="B829" s="627"/>
      <c r="C829" s="785"/>
      <c r="D829" s="786"/>
      <c r="E829" s="624"/>
      <c r="F829" s="781"/>
      <c r="G829" s="1507"/>
      <c r="H829" s="1526"/>
      <c r="I829" s="1501" t="str">
        <f t="shared" si="39"/>
        <v/>
      </c>
      <c r="J829" s="1501" t="str">
        <f t="shared" si="38"/>
        <v>FSBIX</v>
      </c>
      <c r="K829" s="261"/>
      <c r="L829" s="309"/>
      <c r="M829" s="309"/>
      <c r="N829" s="309"/>
      <c r="O829" s="309"/>
      <c r="P829" s="309"/>
      <c r="Q829" s="309"/>
      <c r="R829" s="309"/>
      <c r="S829" s="309"/>
      <c r="T829" s="309"/>
      <c r="U829" s="309"/>
    </row>
    <row r="830" spans="1:21" ht="12.75" customHeight="1">
      <c r="A830" s="1178" t="s">
        <v>824</v>
      </c>
      <c r="B830" s="627"/>
      <c r="C830" s="785"/>
      <c r="D830" s="786"/>
      <c r="E830" s="624"/>
      <c r="F830" s="781"/>
      <c r="G830" s="1515"/>
      <c r="H830" s="1529"/>
      <c r="I830" s="1501" t="str">
        <f t="shared" si="39"/>
        <v/>
      </c>
      <c r="J830" s="1501" t="str">
        <f t="shared" si="38"/>
        <v/>
      </c>
      <c r="K830" s="271"/>
      <c r="L830" s="309"/>
      <c r="M830" s="309"/>
      <c r="N830" s="309"/>
      <c r="O830" s="309"/>
      <c r="P830" s="309"/>
      <c r="Q830" s="309"/>
      <c r="R830" s="309"/>
      <c r="S830" s="309"/>
      <c r="T830" s="309"/>
      <c r="U830" s="309"/>
    </row>
    <row r="831" spans="1:21" ht="10.5" customHeight="1">
      <c r="A831" s="69" t="s">
        <v>887</v>
      </c>
      <c r="B831" s="807">
        <f>E831/C831</f>
        <v>428.97998093422308</v>
      </c>
      <c r="C831" s="826">
        <v>10.49</v>
      </c>
      <c r="D831" s="841">
        <f>9.99</f>
        <v>9.99</v>
      </c>
      <c r="E831" s="624">
        <v>4500</v>
      </c>
      <c r="F831" s="1497" t="s">
        <v>474</v>
      </c>
      <c r="G831" s="1507"/>
      <c r="H831" s="1526"/>
      <c r="I831" s="1501" t="str">
        <f t="shared" si="39"/>
        <v>FSBIX</v>
      </c>
      <c r="J831" s="1501" t="str">
        <f t="shared" si="38"/>
        <v/>
      </c>
      <c r="K831" s="261"/>
      <c r="L831" s="309"/>
      <c r="M831" s="309"/>
      <c r="N831" s="309"/>
      <c r="O831" s="309"/>
      <c r="P831" s="309"/>
      <c r="Q831" s="309"/>
      <c r="R831" s="309"/>
      <c r="S831" s="309"/>
      <c r="T831" s="309"/>
      <c r="U831" s="309"/>
    </row>
    <row r="832" spans="1:21" ht="12.75" customHeight="1">
      <c r="A832" s="1365" t="s">
        <v>820</v>
      </c>
      <c r="B832" s="625"/>
      <c r="C832" s="623"/>
      <c r="D832" s="792"/>
      <c r="E832" s="624"/>
      <c r="F832" s="546"/>
      <c r="G832" s="1507"/>
      <c r="H832" s="1526"/>
      <c r="I832" s="1501" t="str">
        <f t="shared" si="39"/>
        <v/>
      </c>
      <c r="J832" s="1501" t="str">
        <f t="shared" si="38"/>
        <v/>
      </c>
      <c r="K832" s="261"/>
      <c r="L832" s="309"/>
      <c r="M832" s="309"/>
      <c r="N832" s="309"/>
      <c r="O832" s="309"/>
      <c r="P832" s="309"/>
      <c r="Q832" s="309"/>
      <c r="R832" s="309"/>
      <c r="S832" s="309"/>
      <c r="T832" s="309"/>
      <c r="U832" s="309"/>
    </row>
    <row r="833" spans="1:21" ht="12.75" customHeight="1">
      <c r="A833" s="69" t="s">
        <v>252</v>
      </c>
      <c r="B833" s="807">
        <v>30</v>
      </c>
      <c r="C833" s="826">
        <v>58.43</v>
      </c>
      <c r="D833" s="841">
        <f>9.99*2</f>
        <v>19.98</v>
      </c>
      <c r="E833" s="624">
        <f>(C833*B833)-D833</f>
        <v>1732.92</v>
      </c>
      <c r="F833" s="547" t="s">
        <v>253</v>
      </c>
      <c r="G833" s="1507"/>
      <c r="H833" s="1526"/>
      <c r="I833" s="1501" t="str">
        <f t="shared" si="39"/>
        <v/>
      </c>
      <c r="J833" s="1501" t="str">
        <f t="shared" si="38"/>
        <v/>
      </c>
      <c r="K833" s="261"/>
      <c r="L833" s="309"/>
      <c r="M833" s="309"/>
      <c r="N833" s="309"/>
      <c r="O833" s="309"/>
      <c r="P833" s="309"/>
      <c r="Q833" s="309"/>
      <c r="R833" s="309"/>
      <c r="S833" s="309"/>
      <c r="T833" s="309"/>
      <c r="U833" s="309"/>
    </row>
    <row r="834" spans="1:21" ht="12.75" customHeight="1">
      <c r="A834" s="1363"/>
      <c r="B834" s="627"/>
      <c r="C834" s="785"/>
      <c r="D834" s="786"/>
      <c r="E834" s="624"/>
      <c r="F834" s="781"/>
      <c r="G834" s="1515"/>
      <c r="H834" s="1529"/>
      <c r="I834" s="1501" t="str">
        <f t="shared" si="39"/>
        <v/>
      </c>
      <c r="J834" s="1501" t="str">
        <f t="shared" si="38"/>
        <v/>
      </c>
      <c r="K834" s="261"/>
      <c r="L834" s="309"/>
      <c r="M834" s="309"/>
      <c r="N834" s="309"/>
      <c r="O834" s="309"/>
      <c r="P834" s="309"/>
      <c r="Q834" s="309"/>
      <c r="R834" s="309"/>
      <c r="S834" s="309"/>
      <c r="T834" s="309"/>
      <c r="U834" s="309"/>
    </row>
    <row r="835" spans="1:21" ht="12.75" customHeight="1">
      <c r="A835" s="1366">
        <v>42103</v>
      </c>
      <c r="B835" s="627"/>
      <c r="C835" s="785"/>
      <c r="D835" s="786"/>
      <c r="E835" s="624"/>
      <c r="F835" s="781"/>
      <c r="G835" s="1507"/>
      <c r="H835" s="1526"/>
      <c r="I835" s="1501" t="str">
        <f t="shared" si="39"/>
        <v/>
      </c>
      <c r="J835" s="1501" t="str">
        <f t="shared" ref="J835:J866" si="40">IF(F837="","",IF(OR(A835="Sell",A836="Sell"),"",F837))</f>
        <v>SEM</v>
      </c>
      <c r="K835" s="261"/>
      <c r="L835" s="309"/>
      <c r="M835" s="309"/>
      <c r="N835" s="309"/>
      <c r="O835" s="309"/>
      <c r="P835" s="309"/>
      <c r="Q835" s="309"/>
      <c r="R835" s="309"/>
      <c r="S835" s="309"/>
      <c r="T835" s="309"/>
      <c r="U835" s="309"/>
    </row>
    <row r="836" spans="1:21" ht="12.75" customHeight="1">
      <c r="A836" s="1178" t="s">
        <v>824</v>
      </c>
      <c r="B836" s="627"/>
      <c r="C836" s="785"/>
      <c r="D836" s="786"/>
      <c r="E836" s="624"/>
      <c r="F836" s="781"/>
      <c r="G836" s="1515"/>
      <c r="H836" s="1529"/>
      <c r="I836" s="1501" t="str">
        <f t="shared" si="39"/>
        <v/>
      </c>
      <c r="J836" s="1501" t="str">
        <f t="shared" si="40"/>
        <v/>
      </c>
      <c r="K836" s="271"/>
      <c r="L836" s="309"/>
      <c r="M836" s="309"/>
      <c r="N836" s="309"/>
      <c r="O836" s="309"/>
      <c r="P836" s="309"/>
      <c r="Q836" s="309"/>
      <c r="R836" s="309"/>
      <c r="S836" s="309"/>
      <c r="T836" s="309"/>
      <c r="U836" s="309"/>
    </row>
    <row r="837" spans="1:21" ht="12.75" customHeight="1">
      <c r="A837" s="1361" t="s">
        <v>888</v>
      </c>
      <c r="B837" s="807">
        <v>136</v>
      </c>
      <c r="C837" s="826">
        <v>14.5862</v>
      </c>
      <c r="D837" s="841">
        <f>9.99</f>
        <v>9.99</v>
      </c>
      <c r="E837" s="624">
        <f>(C837*B837)+D837</f>
        <v>1993.7131999999999</v>
      </c>
      <c r="F837" s="1497" t="s">
        <v>484</v>
      </c>
      <c r="G837" s="1507"/>
      <c r="H837" s="1526"/>
      <c r="I837" s="1501" t="str">
        <f t="shared" si="39"/>
        <v>SEM</v>
      </c>
      <c r="J837" s="1501" t="str">
        <f t="shared" si="40"/>
        <v/>
      </c>
      <c r="K837" s="261"/>
      <c r="L837" s="309"/>
      <c r="M837" s="309"/>
      <c r="N837" s="309"/>
      <c r="O837" s="309"/>
      <c r="P837" s="309"/>
      <c r="Q837" s="309"/>
      <c r="R837" s="309"/>
      <c r="S837" s="309"/>
      <c r="T837" s="309"/>
      <c r="U837" s="309"/>
    </row>
    <row r="838" spans="1:21" ht="12.75" customHeight="1">
      <c r="A838" s="1365" t="s">
        <v>820</v>
      </c>
      <c r="B838" s="625"/>
      <c r="C838" s="623"/>
      <c r="D838" s="792"/>
      <c r="E838" s="624"/>
      <c r="F838" s="546"/>
      <c r="G838" s="1507"/>
      <c r="H838" s="1526"/>
      <c r="I838" s="1501" t="str">
        <f t="shared" si="39"/>
        <v/>
      </c>
      <c r="J838" s="1501" t="str">
        <f t="shared" si="40"/>
        <v/>
      </c>
      <c r="K838" s="261"/>
      <c r="L838" s="309"/>
      <c r="M838" s="309"/>
      <c r="N838" s="309"/>
      <c r="O838" s="309"/>
      <c r="P838" s="309"/>
      <c r="Q838" s="309"/>
      <c r="R838" s="309"/>
      <c r="S838" s="309"/>
      <c r="T838" s="309"/>
      <c r="U838" s="309"/>
    </row>
    <row r="839" spans="1:21" ht="12.75" customHeight="1">
      <c r="A839" s="69" t="s">
        <v>480</v>
      </c>
      <c r="B839" s="807">
        <v>40</v>
      </c>
      <c r="C839" s="826">
        <v>47.061500000000002</v>
      </c>
      <c r="D839" s="841">
        <f>9.99</f>
        <v>9.99</v>
      </c>
      <c r="E839" s="624">
        <f>(C839*B839)-D839</f>
        <v>1872.47</v>
      </c>
      <c r="F839" s="547" t="s">
        <v>277</v>
      </c>
      <c r="G839" s="1507"/>
      <c r="H839" s="1526"/>
      <c r="I839" s="1501" t="str">
        <f t="shared" si="39"/>
        <v/>
      </c>
      <c r="J839" s="1501" t="str">
        <f t="shared" si="40"/>
        <v/>
      </c>
      <c r="K839" s="261"/>
      <c r="L839" s="309"/>
      <c r="M839" s="309"/>
      <c r="N839" s="309"/>
      <c r="O839" s="309"/>
      <c r="P839" s="309"/>
      <c r="Q839" s="309"/>
      <c r="R839" s="309"/>
      <c r="S839" s="309"/>
      <c r="T839" s="309"/>
      <c r="U839" s="309"/>
    </row>
    <row r="840" spans="1:21" ht="12.75" customHeight="1">
      <c r="A840" s="1363"/>
      <c r="B840" s="627"/>
      <c r="C840" s="785"/>
      <c r="D840" s="786"/>
      <c r="E840" s="624"/>
      <c r="F840" s="781"/>
      <c r="G840" s="1515"/>
      <c r="H840" s="1529"/>
      <c r="I840" s="1501" t="str">
        <f t="shared" si="39"/>
        <v/>
      </c>
      <c r="J840" s="1501" t="str">
        <f t="shared" si="40"/>
        <v/>
      </c>
      <c r="K840" s="261"/>
      <c r="L840" s="309"/>
      <c r="M840" s="309"/>
      <c r="N840" s="309"/>
      <c r="O840" s="309"/>
      <c r="P840" s="309"/>
      <c r="Q840" s="309"/>
      <c r="R840" s="309"/>
      <c r="S840" s="309"/>
      <c r="T840" s="309"/>
      <c r="U840" s="309"/>
    </row>
    <row r="841" spans="1:21" ht="12.75" customHeight="1">
      <c r="A841" s="1366">
        <v>42102</v>
      </c>
      <c r="B841" s="627"/>
      <c r="C841" s="785"/>
      <c r="D841" s="786"/>
      <c r="E841" s="624"/>
      <c r="F841" s="781"/>
      <c r="G841" s="1507"/>
      <c r="H841" s="1526"/>
      <c r="I841" s="1501" t="str">
        <f t="shared" si="39"/>
        <v/>
      </c>
      <c r="J841" s="1501" t="str">
        <f t="shared" si="40"/>
        <v>WWAV</v>
      </c>
      <c r="K841" s="261"/>
      <c r="L841" s="309"/>
      <c r="M841" s="309"/>
      <c r="N841" s="309"/>
      <c r="O841" s="309"/>
      <c r="P841" s="309"/>
      <c r="Q841" s="309"/>
      <c r="R841" s="309"/>
      <c r="S841" s="309"/>
      <c r="T841" s="309"/>
      <c r="U841" s="309"/>
    </row>
    <row r="842" spans="1:21" ht="12.75" customHeight="1">
      <c r="A842" s="1178" t="s">
        <v>824</v>
      </c>
      <c r="B842" s="627"/>
      <c r="C842" s="785"/>
      <c r="D842" s="786"/>
      <c r="E842" s="624"/>
      <c r="F842" s="781"/>
      <c r="G842" s="1515"/>
      <c r="H842" s="1529"/>
      <c r="I842" s="1501" t="str">
        <f t="shared" ref="I842:I869" si="41">IF(F842="","",IF(OR(A841="Sell",A842="Sell"),"",F842))</f>
        <v/>
      </c>
      <c r="J842" s="1501" t="str">
        <f t="shared" si="40"/>
        <v/>
      </c>
      <c r="K842" s="261"/>
      <c r="L842" s="309"/>
      <c r="M842" s="309"/>
      <c r="N842" s="309"/>
      <c r="O842" s="309"/>
      <c r="P842" s="309"/>
      <c r="Q842" s="309"/>
      <c r="R842" s="309"/>
      <c r="S842" s="309"/>
      <c r="T842" s="309"/>
      <c r="U842" s="309"/>
    </row>
    <row r="843" spans="1:21" ht="12.75" customHeight="1">
      <c r="A843" s="1361" t="s">
        <v>471</v>
      </c>
      <c r="B843" s="807">
        <v>22</v>
      </c>
      <c r="C843" s="826">
        <v>45.2</v>
      </c>
      <c r="D843" s="841">
        <f>9.99</f>
        <v>9.99</v>
      </c>
      <c r="E843" s="624">
        <f>(C843*B843)+D843</f>
        <v>1004.3900000000001</v>
      </c>
      <c r="F843" s="1497" t="s">
        <v>472</v>
      </c>
      <c r="G843" s="1507"/>
      <c r="H843" s="1526"/>
      <c r="I843" s="1501" t="str">
        <f t="shared" si="41"/>
        <v>WWAV</v>
      </c>
      <c r="J843" s="1501" t="str">
        <f t="shared" si="40"/>
        <v/>
      </c>
      <c r="K843" s="261"/>
      <c r="L843" s="309"/>
      <c r="M843" s="309"/>
      <c r="N843" s="309"/>
      <c r="O843" s="309"/>
      <c r="P843" s="309"/>
      <c r="Q843" s="309"/>
      <c r="R843" s="309"/>
      <c r="S843" s="309"/>
      <c r="T843" s="309"/>
      <c r="U843" s="309"/>
    </row>
    <row r="844" spans="1:21" ht="12.75" customHeight="1">
      <c r="A844" s="1178" t="s">
        <v>820</v>
      </c>
      <c r="B844" s="625"/>
      <c r="C844" s="623"/>
      <c r="D844" s="792"/>
      <c r="E844" s="624"/>
      <c r="F844" s="546"/>
      <c r="G844" s="1507"/>
      <c r="H844" s="1526"/>
      <c r="I844" s="1501" t="str">
        <f t="shared" si="41"/>
        <v/>
      </c>
      <c r="J844" s="1501" t="str">
        <f t="shared" si="40"/>
        <v/>
      </c>
      <c r="K844" s="261"/>
      <c r="L844" s="309"/>
      <c r="M844" s="309"/>
      <c r="N844" s="309"/>
      <c r="O844" s="309"/>
      <c r="P844" s="309"/>
      <c r="Q844" s="309"/>
      <c r="R844" s="309"/>
      <c r="S844" s="309"/>
      <c r="T844" s="309"/>
      <c r="U844" s="309"/>
    </row>
    <row r="845" spans="1:21" ht="12.75" customHeight="1">
      <c r="A845" s="69" t="s">
        <v>419</v>
      </c>
      <c r="B845" s="807">
        <v>30</v>
      </c>
      <c r="C845" s="826">
        <v>41.44</v>
      </c>
      <c r="D845" s="841">
        <f>9.99</f>
        <v>9.99</v>
      </c>
      <c r="E845" s="624">
        <f>(C845*B845)-D845</f>
        <v>1233.2099999999998</v>
      </c>
      <c r="F845" s="547" t="s">
        <v>420</v>
      </c>
      <c r="G845" s="1507"/>
      <c r="H845" s="1526"/>
      <c r="I845" s="1501" t="str">
        <f t="shared" si="41"/>
        <v/>
      </c>
      <c r="J845" s="1501" t="str">
        <f t="shared" si="40"/>
        <v/>
      </c>
      <c r="K845" s="261"/>
      <c r="L845" s="309"/>
      <c r="M845" s="309"/>
      <c r="N845" s="309"/>
      <c r="O845" s="309"/>
      <c r="P845" s="309"/>
      <c r="Q845" s="309"/>
      <c r="R845" s="309"/>
      <c r="S845" s="309"/>
      <c r="T845" s="309"/>
      <c r="U845" s="309"/>
    </row>
    <row r="846" spans="1:21" ht="12.75" customHeight="1">
      <c r="A846" s="1363"/>
      <c r="B846" s="627"/>
      <c r="C846" s="785"/>
      <c r="D846" s="786"/>
      <c r="E846" s="624"/>
      <c r="F846" s="781"/>
      <c r="G846" s="1515"/>
      <c r="H846" s="1529"/>
      <c r="I846" s="1501" t="str">
        <f t="shared" si="41"/>
        <v/>
      </c>
      <c r="J846" s="1501" t="str">
        <f t="shared" si="40"/>
        <v/>
      </c>
      <c r="K846" s="261"/>
      <c r="L846" s="309"/>
      <c r="M846" s="309"/>
      <c r="N846" s="309"/>
      <c r="O846" s="309"/>
      <c r="P846" s="309"/>
      <c r="Q846" s="309"/>
      <c r="R846" s="309"/>
      <c r="S846" s="309"/>
      <c r="T846" s="309"/>
      <c r="U846" s="309"/>
    </row>
    <row r="847" spans="1:21" ht="12.75" customHeight="1">
      <c r="A847" s="1366">
        <v>42096</v>
      </c>
      <c r="B847" s="627"/>
      <c r="C847" s="785"/>
      <c r="D847" s="786"/>
      <c r="E847" s="624"/>
      <c r="F847" s="781"/>
      <c r="G847" s="1515"/>
      <c r="H847" s="1529"/>
      <c r="I847" s="1501" t="str">
        <f t="shared" si="41"/>
        <v/>
      </c>
      <c r="J847" s="1501" t="str">
        <f t="shared" si="40"/>
        <v>DIS</v>
      </c>
      <c r="K847" s="261"/>
      <c r="L847" s="309"/>
      <c r="M847" s="309"/>
      <c r="N847" s="309"/>
      <c r="O847" s="309"/>
      <c r="P847" s="309"/>
      <c r="Q847" s="309"/>
      <c r="R847" s="309"/>
      <c r="S847" s="309"/>
      <c r="T847" s="309"/>
      <c r="U847" s="309"/>
    </row>
    <row r="848" spans="1:21" ht="12.75" customHeight="1">
      <c r="A848" s="1178" t="s">
        <v>824</v>
      </c>
      <c r="B848" s="627"/>
      <c r="C848" s="785"/>
      <c r="D848" s="786"/>
      <c r="E848" s="624"/>
      <c r="F848" s="781"/>
      <c r="G848" s="1507"/>
      <c r="H848" s="1526"/>
      <c r="I848" s="1501" t="str">
        <f t="shared" si="41"/>
        <v/>
      </c>
      <c r="J848" s="1501" t="str">
        <f t="shared" si="40"/>
        <v/>
      </c>
      <c r="K848" s="261"/>
      <c r="L848" s="309"/>
      <c r="M848" s="309"/>
      <c r="N848" s="309"/>
      <c r="O848" s="309"/>
      <c r="P848" s="309"/>
      <c r="Q848" s="309"/>
      <c r="R848" s="309"/>
      <c r="S848" s="309"/>
      <c r="T848" s="309"/>
      <c r="U848" s="309"/>
    </row>
    <row r="849" spans="1:21" ht="12.75" customHeight="1">
      <c r="A849" s="1361" t="s">
        <v>846</v>
      </c>
      <c r="B849" s="807">
        <v>19</v>
      </c>
      <c r="C849" s="826">
        <v>106.04989999999999</v>
      </c>
      <c r="D849" s="841">
        <v>9.99</v>
      </c>
      <c r="E849" s="624">
        <f>(C849*B849)+D849</f>
        <v>2024.9380999999998</v>
      </c>
      <c r="F849" s="1497" t="s">
        <v>470</v>
      </c>
      <c r="G849" s="1507"/>
      <c r="H849" s="1526"/>
      <c r="I849" s="1501" t="str">
        <f t="shared" si="41"/>
        <v>DIS</v>
      </c>
      <c r="J849" s="1501" t="str">
        <f t="shared" si="40"/>
        <v/>
      </c>
      <c r="K849" s="261"/>
      <c r="L849" s="309"/>
      <c r="M849" s="309"/>
      <c r="N849" s="309"/>
      <c r="O849" s="309"/>
      <c r="P849" s="309"/>
      <c r="Q849" s="309"/>
      <c r="R849" s="309"/>
      <c r="S849" s="309"/>
      <c r="T849" s="309"/>
      <c r="U849" s="309"/>
    </row>
    <row r="850" spans="1:21" ht="12.75" customHeight="1">
      <c r="A850" s="1361"/>
      <c r="B850" s="807"/>
      <c r="C850" s="826"/>
      <c r="D850" s="841"/>
      <c r="E850" s="624"/>
      <c r="F850" s="547"/>
      <c r="G850" s="1515"/>
      <c r="H850" s="1529"/>
      <c r="I850" s="1501" t="str">
        <f t="shared" si="41"/>
        <v/>
      </c>
      <c r="J850" s="1501" t="str">
        <f t="shared" si="40"/>
        <v/>
      </c>
      <c r="K850" s="261"/>
      <c r="L850" s="309"/>
      <c r="M850" s="309"/>
      <c r="N850" s="309"/>
      <c r="O850" s="309"/>
      <c r="P850" s="309"/>
      <c r="Q850" s="309"/>
      <c r="R850" s="309"/>
      <c r="S850" s="309"/>
      <c r="T850" s="309"/>
      <c r="U850" s="309"/>
    </row>
    <row r="851" spans="1:21" ht="12.75" customHeight="1">
      <c r="A851" s="1366">
        <v>42095</v>
      </c>
      <c r="B851" s="627"/>
      <c r="C851" s="785"/>
      <c r="D851" s="786"/>
      <c r="E851" s="624"/>
      <c r="F851" s="781"/>
      <c r="G851" s="1515"/>
      <c r="H851" s="1529"/>
      <c r="I851" s="1501" t="str">
        <f t="shared" si="41"/>
        <v/>
      </c>
      <c r="J851" s="1501" t="str">
        <f t="shared" si="40"/>
        <v>V</v>
      </c>
      <c r="K851" s="261"/>
      <c r="L851" s="309"/>
      <c r="M851" s="309"/>
      <c r="N851" s="309"/>
      <c r="O851" s="309"/>
      <c r="P851" s="309"/>
      <c r="Q851" s="309"/>
      <c r="R851" s="309"/>
      <c r="S851" s="309"/>
      <c r="T851" s="309"/>
      <c r="U851" s="309"/>
    </row>
    <row r="852" spans="1:21" ht="12.75" customHeight="1">
      <c r="A852" s="1178" t="s">
        <v>824</v>
      </c>
      <c r="B852" s="627"/>
      <c r="C852" s="785"/>
      <c r="D852" s="786"/>
      <c r="E852" s="624"/>
      <c r="F852" s="781"/>
      <c r="G852" s="1507"/>
      <c r="H852" s="1526"/>
      <c r="I852" s="1501" t="str">
        <f t="shared" si="41"/>
        <v/>
      </c>
      <c r="J852" s="1501" t="str">
        <f t="shared" si="40"/>
        <v/>
      </c>
      <c r="K852" s="261"/>
      <c r="L852" s="309"/>
      <c r="M852" s="309"/>
      <c r="N852" s="309"/>
      <c r="O852" s="309"/>
      <c r="P852" s="309"/>
      <c r="Q852" s="309"/>
      <c r="R852" s="309"/>
      <c r="S852" s="309"/>
      <c r="T852" s="309"/>
      <c r="U852" s="309"/>
    </row>
    <row r="853" spans="1:21" ht="12.75" customHeight="1">
      <c r="A853" s="1361" t="s">
        <v>467</v>
      </c>
      <c r="B853" s="807">
        <v>40</v>
      </c>
      <c r="C853" s="826">
        <v>65.650000000000006</v>
      </c>
      <c r="D853" s="841">
        <v>9.99</v>
      </c>
      <c r="E853" s="624">
        <f>(C853*B853)+D853</f>
        <v>2635.99</v>
      </c>
      <c r="F853" s="1497" t="s">
        <v>468</v>
      </c>
      <c r="G853" s="1507"/>
      <c r="H853" s="1526"/>
      <c r="I853" s="1501" t="str">
        <f t="shared" si="41"/>
        <v>V</v>
      </c>
      <c r="J853" s="1501" t="str">
        <f t="shared" si="40"/>
        <v/>
      </c>
      <c r="K853" s="261"/>
      <c r="L853" s="309"/>
      <c r="M853" s="309"/>
      <c r="N853" s="309"/>
      <c r="O853" s="309"/>
      <c r="P853" s="309"/>
      <c r="Q853" s="309"/>
      <c r="R853" s="309"/>
      <c r="S853" s="309"/>
      <c r="T853" s="309"/>
      <c r="U853" s="309"/>
    </row>
    <row r="854" spans="1:21" ht="12.75" customHeight="1">
      <c r="A854" s="1361"/>
      <c r="B854" s="807"/>
      <c r="C854" s="826"/>
      <c r="D854" s="841"/>
      <c r="E854" s="624"/>
      <c r="F854" s="547"/>
      <c r="G854" s="1515"/>
      <c r="H854" s="1529"/>
      <c r="I854" s="1501" t="str">
        <f t="shared" si="41"/>
        <v/>
      </c>
      <c r="J854" s="1501" t="str">
        <f t="shared" si="40"/>
        <v/>
      </c>
      <c r="K854" s="261"/>
      <c r="L854" s="309"/>
      <c r="M854" s="309"/>
      <c r="N854" s="309"/>
      <c r="O854" s="309"/>
      <c r="P854" s="309"/>
      <c r="Q854" s="309"/>
      <c r="R854" s="309"/>
      <c r="S854" s="309"/>
      <c r="T854" s="309"/>
      <c r="U854" s="309"/>
    </row>
    <row r="855" spans="1:21" ht="12.75" customHeight="1">
      <c r="A855" s="1366">
        <v>42089</v>
      </c>
      <c r="B855" s="627"/>
      <c r="C855" s="785"/>
      <c r="D855" s="786"/>
      <c r="E855" s="624"/>
      <c r="F855" s="781"/>
      <c r="G855" s="1515"/>
      <c r="H855" s="1529"/>
      <c r="I855" s="1501" t="str">
        <f t="shared" si="41"/>
        <v/>
      </c>
      <c r="J855" s="1501" t="str">
        <f t="shared" si="40"/>
        <v>OZRK</v>
      </c>
      <c r="K855" s="261"/>
      <c r="L855" s="309"/>
      <c r="M855" s="309"/>
      <c r="N855" s="309"/>
      <c r="O855" s="309"/>
      <c r="P855" s="309"/>
      <c r="Q855" s="309"/>
      <c r="R855" s="309"/>
      <c r="S855" s="309"/>
      <c r="T855" s="309"/>
      <c r="U855" s="309"/>
    </row>
    <row r="856" spans="1:21" ht="12.75" customHeight="1">
      <c r="A856" s="1178" t="s">
        <v>824</v>
      </c>
      <c r="B856" s="627"/>
      <c r="C856" s="785"/>
      <c r="D856" s="786"/>
      <c r="E856" s="624"/>
      <c r="F856" s="781"/>
      <c r="G856" s="1507"/>
      <c r="H856" s="1526"/>
      <c r="I856" s="1501" t="str">
        <f t="shared" si="41"/>
        <v/>
      </c>
      <c r="J856" s="1501" t="str">
        <f t="shared" si="40"/>
        <v/>
      </c>
      <c r="K856" s="261"/>
      <c r="L856" s="309"/>
      <c r="M856" s="309"/>
      <c r="N856" s="309"/>
      <c r="O856" s="309"/>
      <c r="P856" s="309"/>
      <c r="Q856" s="309"/>
      <c r="R856" s="309"/>
      <c r="S856" s="309"/>
      <c r="T856" s="309"/>
      <c r="U856" s="309"/>
    </row>
    <row r="857" spans="1:21" ht="12.75" customHeight="1">
      <c r="A857" s="1361" t="s">
        <v>449</v>
      </c>
      <c r="B857" s="807">
        <v>50</v>
      </c>
      <c r="C857" s="826">
        <v>36.529699999999998</v>
      </c>
      <c r="D857" s="841">
        <v>9.99</v>
      </c>
      <c r="E857" s="624">
        <f>(C857*B857)+D857</f>
        <v>1836.4749999999999</v>
      </c>
      <c r="F857" s="1497" t="s">
        <v>450</v>
      </c>
      <c r="G857" s="1507"/>
      <c r="H857" s="1526"/>
      <c r="I857" s="1501" t="str">
        <f t="shared" si="41"/>
        <v>OZRK</v>
      </c>
      <c r="J857" s="1501" t="str">
        <f t="shared" si="40"/>
        <v/>
      </c>
      <c r="K857" s="261"/>
      <c r="L857" s="309"/>
      <c r="M857" s="309"/>
      <c r="N857" s="309"/>
      <c r="O857" s="309"/>
      <c r="P857" s="309"/>
      <c r="Q857" s="309"/>
      <c r="R857" s="309"/>
      <c r="S857" s="309"/>
      <c r="T857" s="309"/>
      <c r="U857" s="309"/>
    </row>
    <row r="858" spans="1:21" ht="12.75" customHeight="1">
      <c r="A858" s="1361"/>
      <c r="B858" s="807"/>
      <c r="C858" s="826"/>
      <c r="D858" s="841"/>
      <c r="E858" s="624"/>
      <c r="F858" s="547"/>
      <c r="G858" s="1515"/>
      <c r="H858" s="1529"/>
      <c r="I858" s="1501" t="str">
        <f t="shared" si="41"/>
        <v/>
      </c>
      <c r="J858" s="1501" t="str">
        <f t="shared" si="40"/>
        <v/>
      </c>
      <c r="K858" s="261"/>
      <c r="L858" s="309"/>
      <c r="M858" s="309"/>
      <c r="N858" s="309"/>
      <c r="O858" s="309"/>
      <c r="P858" s="309"/>
      <c r="Q858" s="309"/>
      <c r="R858" s="309"/>
      <c r="S858" s="309"/>
      <c r="T858" s="309"/>
      <c r="U858" s="309"/>
    </row>
    <row r="859" spans="1:21" ht="12.75" customHeight="1">
      <c r="A859" s="1366">
        <v>42074</v>
      </c>
      <c r="B859" s="627"/>
      <c r="C859" s="785"/>
      <c r="D859" s="786"/>
      <c r="E859" s="624"/>
      <c r="F859" s="781"/>
      <c r="G859" s="1515"/>
      <c r="H859" s="1529"/>
      <c r="I859" s="1501" t="str">
        <f t="shared" si="41"/>
        <v/>
      </c>
      <c r="J859" s="1501" t="str">
        <f t="shared" si="40"/>
        <v>PETM</v>
      </c>
      <c r="K859" s="261"/>
      <c r="L859" s="309"/>
      <c r="M859" s="309"/>
      <c r="N859" s="309"/>
      <c r="O859" s="309"/>
      <c r="P859" s="309"/>
      <c r="Q859" s="309"/>
      <c r="R859" s="309"/>
      <c r="S859" s="309"/>
      <c r="T859" s="309"/>
      <c r="U859" s="309"/>
    </row>
    <row r="860" spans="1:21" ht="12.75" customHeight="1">
      <c r="A860" s="1178" t="s">
        <v>889</v>
      </c>
      <c r="B860" s="627"/>
      <c r="C860" s="785"/>
      <c r="D860" s="786"/>
      <c r="E860" s="624"/>
      <c r="F860" s="781"/>
      <c r="G860" s="1507"/>
      <c r="H860" s="1526"/>
      <c r="I860" s="1501" t="str">
        <f t="shared" si="41"/>
        <v/>
      </c>
      <c r="J860" s="1501" t="str">
        <f t="shared" si="40"/>
        <v/>
      </c>
      <c r="K860" s="261"/>
      <c r="L860" s="309"/>
      <c r="M860" s="309"/>
      <c r="N860" s="309"/>
      <c r="O860" s="309"/>
      <c r="P860" s="309"/>
      <c r="Q860" s="309"/>
      <c r="R860" s="309"/>
      <c r="S860" s="309"/>
      <c r="T860" s="309"/>
      <c r="U860" s="309"/>
    </row>
    <row r="861" spans="1:21" ht="12.75" customHeight="1">
      <c r="A861" s="1361" t="s">
        <v>477</v>
      </c>
      <c r="B861" s="807">
        <v>20</v>
      </c>
      <c r="C861" s="826">
        <v>83</v>
      </c>
      <c r="D861" s="841">
        <v>9.99</v>
      </c>
      <c r="E861" s="624">
        <f>(C861*B861)-D861</f>
        <v>1650.01</v>
      </c>
      <c r="F861" s="1497" t="s">
        <v>442</v>
      </c>
      <c r="G861" s="1507"/>
      <c r="H861" s="1526"/>
      <c r="I861" s="1501" t="str">
        <f t="shared" si="41"/>
        <v>PETM</v>
      </c>
      <c r="J861" s="1501" t="str">
        <f t="shared" si="40"/>
        <v/>
      </c>
      <c r="K861" s="261"/>
      <c r="L861" s="309"/>
      <c r="M861" s="309"/>
      <c r="N861" s="309"/>
      <c r="O861" s="309"/>
      <c r="P861" s="309"/>
      <c r="Q861" s="309"/>
      <c r="R861" s="309"/>
      <c r="S861" s="309"/>
      <c r="T861" s="309"/>
      <c r="U861" s="309"/>
    </row>
    <row r="862" spans="1:21" ht="12.75" customHeight="1">
      <c r="A862" s="1361"/>
      <c r="B862" s="807"/>
      <c r="C862" s="826"/>
      <c r="D862" s="841"/>
      <c r="E862" s="624"/>
      <c r="F862" s="547"/>
      <c r="G862" s="1515"/>
      <c r="H862" s="1529"/>
      <c r="I862" s="1501" t="str">
        <f t="shared" si="41"/>
        <v/>
      </c>
      <c r="J862" s="1501" t="str">
        <f t="shared" si="40"/>
        <v/>
      </c>
      <c r="K862" s="261"/>
      <c r="L862" s="309"/>
      <c r="M862" s="309"/>
      <c r="N862" s="309"/>
      <c r="O862" s="309"/>
      <c r="P862" s="309"/>
      <c r="Q862" s="309"/>
      <c r="R862" s="309"/>
      <c r="S862" s="309"/>
      <c r="T862" s="309"/>
      <c r="U862" s="309"/>
    </row>
    <row r="863" spans="1:21" ht="12.75" customHeight="1">
      <c r="A863" s="1366">
        <v>42047</v>
      </c>
      <c r="B863" s="627"/>
      <c r="C863" s="785"/>
      <c r="D863" s="786"/>
      <c r="E863" s="624"/>
      <c r="F863" s="781"/>
      <c r="G863" s="1515"/>
      <c r="H863" s="1529"/>
      <c r="I863" s="1501" t="str">
        <f t="shared" si="41"/>
        <v/>
      </c>
      <c r="J863" s="1501" t="str">
        <f t="shared" si="40"/>
        <v/>
      </c>
      <c r="K863" s="271"/>
      <c r="L863" s="309"/>
      <c r="M863" s="309"/>
      <c r="N863" s="309"/>
      <c r="O863" s="309"/>
      <c r="P863" s="309"/>
      <c r="Q863" s="309"/>
      <c r="R863" s="309"/>
      <c r="S863" s="309"/>
      <c r="T863" s="309"/>
      <c r="U863" s="309"/>
    </row>
    <row r="864" spans="1:21" ht="12.75" customHeight="1">
      <c r="A864" s="1178" t="s">
        <v>820</v>
      </c>
      <c r="B864" s="627"/>
      <c r="C864" s="785"/>
      <c r="D864" s="786"/>
      <c r="E864" s="624"/>
      <c r="F864" s="781"/>
      <c r="G864" s="1507"/>
      <c r="H864" s="1526"/>
      <c r="I864" s="1501" t="str">
        <f t="shared" si="41"/>
        <v/>
      </c>
      <c r="J864" s="1501" t="str">
        <f t="shared" si="40"/>
        <v/>
      </c>
      <c r="K864" s="261"/>
      <c r="L864" s="309"/>
      <c r="M864" s="309"/>
      <c r="N864" s="309"/>
      <c r="O864" s="309"/>
      <c r="P864" s="309"/>
      <c r="Q864" s="309"/>
      <c r="R864" s="309"/>
      <c r="S864" s="309"/>
      <c r="T864" s="309"/>
      <c r="U864" s="309"/>
    </row>
    <row r="865" spans="1:21" ht="12.75" customHeight="1">
      <c r="A865" s="1361" t="s">
        <v>475</v>
      </c>
      <c r="B865" s="807">
        <v>40</v>
      </c>
      <c r="C865" s="826">
        <v>44.49</v>
      </c>
      <c r="D865" s="841">
        <v>9.99</v>
      </c>
      <c r="E865" s="624">
        <f>(C865*B865)-D865</f>
        <v>1769.6100000000001</v>
      </c>
      <c r="F865" s="1497" t="s">
        <v>346</v>
      </c>
      <c r="G865" s="1507"/>
      <c r="H865" s="1526"/>
      <c r="I865" s="1501" t="str">
        <f t="shared" si="41"/>
        <v/>
      </c>
      <c r="J865" s="1501" t="str">
        <f t="shared" si="40"/>
        <v/>
      </c>
      <c r="K865" s="261"/>
      <c r="L865" s="309"/>
      <c r="M865" s="309"/>
      <c r="N865" s="309"/>
      <c r="O865" s="309"/>
      <c r="P865" s="309"/>
      <c r="Q865" s="309"/>
      <c r="R865" s="309"/>
      <c r="S865" s="309"/>
      <c r="T865" s="309"/>
      <c r="U865" s="309"/>
    </row>
    <row r="866" spans="1:21" ht="12.75" customHeight="1">
      <c r="A866" s="1361"/>
      <c r="B866" s="807"/>
      <c r="C866" s="826"/>
      <c r="D866" s="841"/>
      <c r="E866" s="624"/>
      <c r="F866" s="547"/>
      <c r="G866" s="1515"/>
      <c r="H866" s="1529"/>
      <c r="I866" s="1501" t="str">
        <f t="shared" si="41"/>
        <v/>
      </c>
      <c r="J866" s="1501" t="str">
        <f t="shared" si="40"/>
        <v/>
      </c>
      <c r="K866" s="261"/>
      <c r="L866" s="309"/>
      <c r="M866" s="309"/>
      <c r="N866" s="309"/>
      <c r="O866" s="309"/>
      <c r="P866" s="309"/>
      <c r="Q866" s="309"/>
      <c r="R866" s="309"/>
      <c r="S866" s="309"/>
      <c r="T866" s="309"/>
      <c r="U866" s="309"/>
    </row>
    <row r="867" spans="1:21" ht="12.75" customHeight="1">
      <c r="A867" s="1366">
        <v>42003</v>
      </c>
      <c r="B867" s="627"/>
      <c r="C867" s="785"/>
      <c r="D867" s="786"/>
      <c r="E867" s="624"/>
      <c r="F867" s="781"/>
      <c r="G867" s="1515"/>
      <c r="H867" s="1529"/>
      <c r="I867" s="1501" t="str">
        <f t="shared" si="41"/>
        <v/>
      </c>
      <c r="J867" s="1501" t="str">
        <f>IF(F869="","",IF(OR(A867="Sell",A868="Sell"),"",F869))</f>
        <v>TLT</v>
      </c>
      <c r="K867" s="261"/>
      <c r="L867" s="309"/>
      <c r="M867" s="309"/>
      <c r="N867" s="309"/>
      <c r="O867" s="309"/>
      <c r="P867" s="309"/>
      <c r="Q867" s="309"/>
      <c r="R867" s="309"/>
      <c r="S867" s="309"/>
      <c r="T867" s="309"/>
      <c r="U867" s="309"/>
    </row>
    <row r="868" spans="1:21" ht="12.75" customHeight="1">
      <c r="A868" s="1178" t="s">
        <v>824</v>
      </c>
      <c r="B868" s="627"/>
      <c r="C868" s="785"/>
      <c r="D868" s="786"/>
      <c r="E868" s="624"/>
      <c r="F868" s="781"/>
      <c r="G868" s="1507"/>
      <c r="H868" s="1526"/>
      <c r="I868" s="1501" t="str">
        <f t="shared" si="41"/>
        <v/>
      </c>
      <c r="J868" s="1501" t="str">
        <f>IF(F870="","",IF(OR(A867="Sell",A868="Sell"),"",F870))</f>
        <v>VBMFX</v>
      </c>
      <c r="K868" s="261"/>
      <c r="L868" s="309"/>
      <c r="M868" s="309"/>
      <c r="N868" s="309"/>
      <c r="O868" s="309"/>
      <c r="P868" s="309"/>
      <c r="Q868" s="309"/>
      <c r="R868" s="309"/>
      <c r="S868" s="309"/>
      <c r="T868" s="309"/>
      <c r="U868" s="309"/>
    </row>
    <row r="869" spans="1:21" ht="12.75" customHeight="1">
      <c r="A869" s="1361" t="s">
        <v>430</v>
      </c>
      <c r="B869" s="807">
        <v>15</v>
      </c>
      <c r="C869" s="826">
        <v>126</v>
      </c>
      <c r="D869" s="841">
        <f>9.99*2</f>
        <v>19.98</v>
      </c>
      <c r="E869" s="624">
        <f>(C869*B869)+D869</f>
        <v>1909.98</v>
      </c>
      <c r="F869" s="1497" t="s">
        <v>431</v>
      </c>
      <c r="G869" s="1515"/>
      <c r="H869" s="1529"/>
      <c r="I869" s="1501" t="str">
        <f t="shared" si="41"/>
        <v>TLT</v>
      </c>
      <c r="J869" s="1501" t="str">
        <f t="shared" ref="J869:J894" si="42">IF(F871="","",IF(OR(A869="Sell",A870="Sell"),"",F871))</f>
        <v/>
      </c>
      <c r="K869" s="261"/>
      <c r="L869" s="309"/>
      <c r="M869" s="309"/>
      <c r="N869" s="309"/>
      <c r="O869" s="309"/>
      <c r="P869" s="309"/>
      <c r="Q869" s="309"/>
      <c r="R869" s="309"/>
      <c r="S869" s="309"/>
      <c r="T869" s="309"/>
      <c r="U869" s="309"/>
    </row>
    <row r="870" spans="1:21" ht="12.75" customHeight="1">
      <c r="A870" s="1361" t="s">
        <v>433</v>
      </c>
      <c r="B870" s="808">
        <f>E870/C870</f>
        <v>275.11520737327191</v>
      </c>
      <c r="C870" s="826">
        <v>10.85</v>
      </c>
      <c r="D870" s="841">
        <v>9.99</v>
      </c>
      <c r="E870" s="624">
        <v>2985</v>
      </c>
      <c r="F870" s="1497" t="s">
        <v>434</v>
      </c>
      <c r="G870" s="1507"/>
      <c r="H870" s="1526"/>
      <c r="I870" s="1501" t="str">
        <f>IF(F870="","",IF(OR(A868="Sell",A870="Sell"),"",F870))</f>
        <v>VBMFX</v>
      </c>
      <c r="J870" s="1501" t="str">
        <f t="shared" si="42"/>
        <v/>
      </c>
      <c r="K870" s="261"/>
      <c r="L870" s="309"/>
      <c r="M870" s="309"/>
      <c r="N870" s="309"/>
      <c r="O870" s="309"/>
      <c r="P870" s="309"/>
      <c r="Q870" s="309"/>
      <c r="R870" s="309"/>
      <c r="S870" s="309"/>
      <c r="T870" s="309"/>
      <c r="U870" s="309"/>
    </row>
    <row r="871" spans="1:21" ht="12.75" customHeight="1">
      <c r="A871" s="1178" t="s">
        <v>820</v>
      </c>
      <c r="B871" s="625"/>
      <c r="C871" s="623"/>
      <c r="D871" s="792"/>
      <c r="E871" s="624"/>
      <c r="F871" s="546"/>
      <c r="G871" s="1507"/>
      <c r="H871" s="1526"/>
      <c r="I871" s="1501" t="str">
        <f t="shared" ref="I871:I896" si="43">IF(F871="","",IF(OR(A870="Sell",A871="Sell"),"",F871))</f>
        <v/>
      </c>
      <c r="J871" s="1501" t="str">
        <f t="shared" si="42"/>
        <v/>
      </c>
      <c r="K871" s="261"/>
      <c r="L871" s="309"/>
      <c r="M871" s="309"/>
      <c r="N871" s="309"/>
      <c r="O871" s="309"/>
      <c r="P871" s="309"/>
      <c r="Q871" s="309"/>
      <c r="R871" s="309"/>
      <c r="S871" s="309"/>
      <c r="T871" s="309"/>
      <c r="U871" s="309"/>
    </row>
    <row r="872" spans="1:21" ht="12.75" customHeight="1">
      <c r="A872" s="69" t="s">
        <v>890</v>
      </c>
      <c r="B872" s="807">
        <v>200</v>
      </c>
      <c r="C872" s="826">
        <v>24.22</v>
      </c>
      <c r="D872" s="841">
        <f>9.99*2</f>
        <v>19.98</v>
      </c>
      <c r="E872" s="624">
        <f>(C872*B872)-D872</f>
        <v>4824.0200000000004</v>
      </c>
      <c r="F872" s="547" t="s">
        <v>378</v>
      </c>
      <c r="G872" s="1507"/>
      <c r="H872" s="1526"/>
      <c r="I872" s="1501" t="str">
        <f t="shared" si="43"/>
        <v/>
      </c>
      <c r="J872" s="1501" t="str">
        <f t="shared" si="42"/>
        <v/>
      </c>
      <c r="K872" s="261"/>
      <c r="L872" s="309"/>
      <c r="M872" s="309"/>
      <c r="N872" s="309"/>
      <c r="O872" s="309"/>
      <c r="P872" s="309"/>
      <c r="Q872" s="309"/>
      <c r="R872" s="309"/>
      <c r="S872" s="309"/>
      <c r="T872" s="309"/>
      <c r="U872" s="309"/>
    </row>
    <row r="873" spans="1:21" ht="12.75" customHeight="1">
      <c r="A873" s="1363"/>
      <c r="B873" s="627"/>
      <c r="C873" s="785"/>
      <c r="D873" s="786"/>
      <c r="E873" s="624"/>
      <c r="F873" s="781"/>
      <c r="G873" s="1515"/>
      <c r="H873" s="1529"/>
      <c r="I873" s="1501" t="str">
        <f t="shared" si="43"/>
        <v/>
      </c>
      <c r="J873" s="1501" t="str">
        <f t="shared" si="42"/>
        <v/>
      </c>
      <c r="K873" s="261"/>
      <c r="L873" s="309"/>
      <c r="M873" s="309"/>
      <c r="N873" s="309"/>
      <c r="O873" s="309"/>
      <c r="P873" s="309"/>
      <c r="Q873" s="309"/>
      <c r="R873" s="309"/>
      <c r="S873" s="309"/>
      <c r="T873" s="309"/>
      <c r="U873" s="309"/>
    </row>
    <row r="874" spans="1:21" ht="12.75" customHeight="1">
      <c r="A874" s="1366">
        <v>41988</v>
      </c>
      <c r="B874" s="627"/>
      <c r="C874" s="785"/>
      <c r="D874" s="786"/>
      <c r="E874" s="624"/>
      <c r="F874" s="781"/>
      <c r="G874" s="1507"/>
      <c r="H874" s="1526"/>
      <c r="I874" s="1501" t="str">
        <f t="shared" si="43"/>
        <v/>
      </c>
      <c r="J874" s="1501" t="str">
        <f t="shared" si="42"/>
        <v/>
      </c>
      <c r="K874" s="261"/>
      <c r="L874" s="309"/>
      <c r="M874" s="309"/>
      <c r="N874" s="309"/>
      <c r="O874" s="309"/>
      <c r="P874" s="309"/>
      <c r="Q874" s="309"/>
      <c r="R874" s="309"/>
      <c r="S874" s="309"/>
      <c r="T874" s="309"/>
      <c r="U874" s="309"/>
    </row>
    <row r="875" spans="1:21" ht="12.75" customHeight="1">
      <c r="A875" s="1178" t="s">
        <v>820</v>
      </c>
      <c r="B875" s="627"/>
      <c r="C875" s="785"/>
      <c r="D875" s="786"/>
      <c r="E875" s="624"/>
      <c r="F875" s="781"/>
      <c r="G875" s="1507"/>
      <c r="H875" s="1526"/>
      <c r="I875" s="1501" t="str">
        <f t="shared" si="43"/>
        <v/>
      </c>
      <c r="J875" s="1501" t="str">
        <f t="shared" si="42"/>
        <v/>
      </c>
      <c r="K875" s="261"/>
      <c r="L875" s="309"/>
      <c r="M875" s="309"/>
      <c r="N875" s="309"/>
      <c r="O875" s="309"/>
      <c r="P875" s="309"/>
      <c r="Q875" s="309"/>
      <c r="R875" s="309"/>
      <c r="S875" s="309"/>
      <c r="T875" s="309"/>
      <c r="U875" s="309"/>
    </row>
    <row r="876" spans="1:21" ht="12.75" customHeight="1">
      <c r="A876" s="1361" t="s">
        <v>441</v>
      </c>
      <c r="B876" s="807">
        <v>20</v>
      </c>
      <c r="C876" s="826">
        <v>83</v>
      </c>
      <c r="D876" s="841">
        <v>9.99</v>
      </c>
      <c r="E876" s="624">
        <f>(C876*B876)-D876</f>
        <v>1650.01</v>
      </c>
      <c r="F876" s="1497" t="s">
        <v>442</v>
      </c>
      <c r="G876" s="1507"/>
      <c r="H876" s="1526"/>
      <c r="I876" s="1501" t="str">
        <f t="shared" si="43"/>
        <v/>
      </c>
      <c r="J876" s="1501" t="str">
        <f t="shared" si="42"/>
        <v/>
      </c>
      <c r="K876" s="261"/>
      <c r="L876" s="309"/>
      <c r="M876" s="309"/>
      <c r="N876" s="309"/>
      <c r="O876" s="309"/>
      <c r="P876" s="309"/>
      <c r="Q876" s="309"/>
      <c r="R876" s="309"/>
      <c r="S876" s="309"/>
      <c r="T876" s="309"/>
      <c r="U876" s="309"/>
    </row>
    <row r="877" spans="1:21" ht="12.75" customHeight="1">
      <c r="A877" s="1363"/>
      <c r="B877" s="627"/>
      <c r="C877" s="785"/>
      <c r="D877" s="786"/>
      <c r="E877" s="624"/>
      <c r="F877" s="781"/>
      <c r="G877" s="1515"/>
      <c r="H877" s="1529"/>
      <c r="I877" s="1501" t="str">
        <f t="shared" si="43"/>
        <v/>
      </c>
      <c r="J877" s="1501" t="str">
        <f t="shared" si="42"/>
        <v/>
      </c>
      <c r="K877" s="261"/>
      <c r="L877" s="309"/>
      <c r="M877" s="309"/>
      <c r="N877" s="309"/>
      <c r="O877" s="309"/>
      <c r="P877" s="309"/>
      <c r="Q877" s="309"/>
      <c r="R877" s="309"/>
      <c r="S877" s="309"/>
      <c r="T877" s="309"/>
      <c r="U877" s="309"/>
    </row>
    <row r="878" spans="1:21" ht="12.75" customHeight="1">
      <c r="A878" s="1366">
        <v>41977</v>
      </c>
      <c r="B878" s="627"/>
      <c r="C878" s="785"/>
      <c r="D878" s="786"/>
      <c r="E878" s="624"/>
      <c r="F878" s="781"/>
      <c r="G878" s="1515"/>
      <c r="H878" s="1529"/>
      <c r="I878" s="1501" t="str">
        <f t="shared" si="43"/>
        <v/>
      </c>
      <c r="J878" s="1501" t="str">
        <f t="shared" si="42"/>
        <v>IP</v>
      </c>
      <c r="K878" s="261"/>
      <c r="L878" s="309"/>
      <c r="M878" s="309"/>
      <c r="N878" s="309"/>
      <c r="O878" s="309"/>
      <c r="P878" s="309"/>
      <c r="Q878" s="309"/>
      <c r="R878" s="309"/>
      <c r="S878" s="309"/>
      <c r="T878" s="309"/>
      <c r="U878" s="309"/>
    </row>
    <row r="879" spans="1:21" ht="12.75" customHeight="1">
      <c r="A879" s="1178" t="s">
        <v>824</v>
      </c>
      <c r="B879" s="627"/>
      <c r="C879" s="785"/>
      <c r="D879" s="786"/>
      <c r="E879" s="624"/>
      <c r="F879" s="781"/>
      <c r="G879" s="1507"/>
      <c r="H879" s="1526"/>
      <c r="I879" s="1501" t="str">
        <f t="shared" si="43"/>
        <v/>
      </c>
      <c r="J879" s="1501" t="str">
        <f t="shared" si="42"/>
        <v/>
      </c>
      <c r="K879" s="261"/>
      <c r="L879" s="309"/>
      <c r="M879" s="309"/>
      <c r="N879" s="309"/>
      <c r="O879" s="309"/>
      <c r="P879" s="309"/>
      <c r="Q879" s="309"/>
      <c r="R879" s="309"/>
      <c r="S879" s="309"/>
      <c r="T879" s="309"/>
      <c r="U879" s="309"/>
    </row>
    <row r="880" spans="1:21" ht="12.75" customHeight="1">
      <c r="A880" s="1361" t="s">
        <v>413</v>
      </c>
      <c r="B880" s="807">
        <v>40</v>
      </c>
      <c r="C880" s="826">
        <v>54.81</v>
      </c>
      <c r="D880" s="841">
        <v>9.99</v>
      </c>
      <c r="E880" s="624">
        <f>(C880*B880)-D880</f>
        <v>2182.4100000000003</v>
      </c>
      <c r="F880" s="1497" t="s">
        <v>414</v>
      </c>
      <c r="G880" s="1507"/>
      <c r="H880" s="1526"/>
      <c r="I880" s="1501" t="str">
        <f t="shared" si="43"/>
        <v>IP</v>
      </c>
      <c r="J880" s="1501" t="str">
        <f t="shared" si="42"/>
        <v/>
      </c>
      <c r="K880" s="261"/>
      <c r="L880" s="309"/>
      <c r="M880" s="309"/>
      <c r="N880" s="309"/>
      <c r="O880" s="309"/>
      <c r="P880" s="309"/>
      <c r="Q880" s="309"/>
      <c r="R880" s="309"/>
      <c r="S880" s="309"/>
      <c r="T880" s="309"/>
      <c r="U880" s="309"/>
    </row>
    <row r="881" spans="1:21" ht="12.75" customHeight="1">
      <c r="A881" s="1361"/>
      <c r="B881" s="807"/>
      <c r="C881" s="826"/>
      <c r="D881" s="841"/>
      <c r="E881" s="624"/>
      <c r="F881" s="547"/>
      <c r="G881" s="1515"/>
      <c r="H881" s="1529"/>
      <c r="I881" s="1501" t="str">
        <f t="shared" si="43"/>
        <v/>
      </c>
      <c r="J881" s="1501" t="str">
        <f t="shared" si="42"/>
        <v/>
      </c>
      <c r="K881" s="261"/>
      <c r="L881" s="309"/>
      <c r="M881" s="309"/>
      <c r="N881" s="309"/>
      <c r="O881" s="309"/>
      <c r="P881" s="309"/>
      <c r="Q881" s="309"/>
      <c r="R881" s="309"/>
      <c r="S881" s="309"/>
      <c r="T881" s="309"/>
      <c r="U881" s="309"/>
    </row>
    <row r="882" spans="1:21" ht="12.75" customHeight="1">
      <c r="A882" s="1366">
        <v>41975</v>
      </c>
      <c r="B882" s="627"/>
      <c r="C882" s="785"/>
      <c r="D882" s="786"/>
      <c r="E882" s="624"/>
      <c r="F882" s="781"/>
      <c r="G882" s="1515"/>
      <c r="H882" s="1529"/>
      <c r="I882" s="1501" t="str">
        <f t="shared" si="43"/>
        <v/>
      </c>
      <c r="J882" s="1501" t="str">
        <f t="shared" si="42"/>
        <v>AMT</v>
      </c>
      <c r="K882" s="261"/>
      <c r="L882" s="309"/>
      <c r="M882" s="309"/>
      <c r="N882" s="309"/>
      <c r="O882" s="309"/>
      <c r="P882" s="309"/>
      <c r="Q882" s="309"/>
      <c r="R882" s="309"/>
      <c r="S882" s="309"/>
      <c r="T882" s="309"/>
      <c r="U882" s="309"/>
    </row>
    <row r="883" spans="1:21" ht="12.75" customHeight="1">
      <c r="A883" s="1178" t="s">
        <v>824</v>
      </c>
      <c r="B883" s="627"/>
      <c r="C883" s="785"/>
      <c r="D883" s="786"/>
      <c r="E883" s="624"/>
      <c r="F883" s="781"/>
      <c r="G883" s="1507"/>
      <c r="H883" s="1526"/>
      <c r="I883" s="1501" t="str">
        <f t="shared" si="43"/>
        <v/>
      </c>
      <c r="J883" s="1501" t="str">
        <f t="shared" si="42"/>
        <v/>
      </c>
      <c r="K883" s="261"/>
      <c r="L883" s="309"/>
      <c r="M883" s="309"/>
      <c r="N883" s="309"/>
      <c r="O883" s="309"/>
      <c r="P883" s="309"/>
      <c r="Q883" s="309"/>
      <c r="R883" s="309"/>
      <c r="S883" s="309"/>
      <c r="T883" s="309"/>
      <c r="U883" s="309"/>
    </row>
    <row r="884" spans="1:21" ht="12.75" customHeight="1">
      <c r="A884" s="1361" t="s">
        <v>891</v>
      </c>
      <c r="B884" s="807">
        <v>20</v>
      </c>
      <c r="C884" s="826">
        <v>102.53</v>
      </c>
      <c r="D884" s="841">
        <v>9.99</v>
      </c>
      <c r="E884" s="624">
        <f>(C884*B884)-D884</f>
        <v>2040.61</v>
      </c>
      <c r="F884" s="1497" t="s">
        <v>399</v>
      </c>
      <c r="G884" s="1507"/>
      <c r="H884" s="1526"/>
      <c r="I884" s="1501" t="str">
        <f t="shared" si="43"/>
        <v>AMT</v>
      </c>
      <c r="J884" s="1501" t="str">
        <f t="shared" si="42"/>
        <v/>
      </c>
      <c r="K884" s="261"/>
      <c r="L884" s="309"/>
      <c r="M884" s="309"/>
      <c r="N884" s="309"/>
      <c r="O884" s="309"/>
      <c r="P884" s="309"/>
      <c r="Q884" s="309"/>
      <c r="R884" s="309"/>
      <c r="S884" s="309"/>
      <c r="T884" s="309"/>
      <c r="U884" s="309"/>
    </row>
    <row r="885" spans="1:21" ht="12.75" customHeight="1">
      <c r="A885" s="1361"/>
      <c r="B885" s="807"/>
      <c r="C885" s="826"/>
      <c r="D885" s="841"/>
      <c r="E885" s="624"/>
      <c r="F885" s="547"/>
      <c r="G885" s="1515"/>
      <c r="H885" s="1529"/>
      <c r="I885" s="1501" t="str">
        <f t="shared" si="43"/>
        <v/>
      </c>
      <c r="J885" s="1501" t="str">
        <f t="shared" si="42"/>
        <v/>
      </c>
      <c r="K885" s="261"/>
      <c r="L885" s="309"/>
      <c r="M885" s="309"/>
      <c r="N885" s="309"/>
      <c r="O885" s="309"/>
      <c r="P885" s="309"/>
      <c r="Q885" s="309"/>
      <c r="R885" s="309"/>
      <c r="S885" s="309"/>
      <c r="T885" s="309"/>
      <c r="U885" s="309"/>
    </row>
    <row r="886" spans="1:21" ht="12.75" customHeight="1">
      <c r="A886" s="1366">
        <v>41968</v>
      </c>
      <c r="B886" s="627"/>
      <c r="C886" s="785"/>
      <c r="D886" s="786"/>
      <c r="E886" s="624"/>
      <c r="F886" s="781"/>
      <c r="G886" s="1515"/>
      <c r="H886" s="1529"/>
      <c r="I886" s="1501" t="str">
        <f t="shared" si="43"/>
        <v/>
      </c>
      <c r="J886" s="1501" t="str">
        <f t="shared" si="42"/>
        <v>NXPI</v>
      </c>
      <c r="K886" s="261"/>
      <c r="L886" s="309"/>
      <c r="M886" s="309"/>
      <c r="N886" s="309"/>
      <c r="O886" s="309"/>
      <c r="P886" s="309"/>
      <c r="Q886" s="309"/>
      <c r="R886" s="309"/>
      <c r="S886" s="309"/>
      <c r="T886" s="309"/>
      <c r="U886" s="309"/>
    </row>
    <row r="887" spans="1:21" ht="12.75" customHeight="1">
      <c r="A887" s="1178" t="s">
        <v>824</v>
      </c>
      <c r="B887" s="627"/>
      <c r="C887" s="785"/>
      <c r="D887" s="786"/>
      <c r="E887" s="624"/>
      <c r="F887" s="781"/>
      <c r="G887" s="1507"/>
      <c r="H887" s="1526"/>
      <c r="I887" s="1501" t="str">
        <f t="shared" si="43"/>
        <v/>
      </c>
      <c r="J887" s="1501" t="str">
        <f t="shared" si="42"/>
        <v/>
      </c>
      <c r="K887" s="261"/>
      <c r="L887" s="309"/>
      <c r="M887" s="309"/>
      <c r="N887" s="309"/>
      <c r="O887" s="309"/>
      <c r="P887" s="309"/>
      <c r="Q887" s="309"/>
      <c r="R887" s="309"/>
      <c r="S887" s="309"/>
      <c r="T887" s="309"/>
      <c r="U887" s="309"/>
    </row>
    <row r="888" spans="1:21" ht="12.75" customHeight="1">
      <c r="A888" s="1361" t="s">
        <v>416</v>
      </c>
      <c r="B888" s="807">
        <v>40</v>
      </c>
      <c r="C888" s="826">
        <v>76.278000000000006</v>
      </c>
      <c r="D888" s="841">
        <v>9.99</v>
      </c>
      <c r="E888" s="624">
        <f>(C888*B888)-D888</f>
        <v>3041.1300000000006</v>
      </c>
      <c r="F888" s="1497" t="s">
        <v>417</v>
      </c>
      <c r="G888" s="1507"/>
      <c r="H888" s="1526"/>
      <c r="I888" s="1501" t="str">
        <f t="shared" si="43"/>
        <v>NXPI</v>
      </c>
      <c r="J888" s="1501" t="str">
        <f t="shared" si="42"/>
        <v/>
      </c>
      <c r="K888" s="261"/>
      <c r="L888" s="309"/>
      <c r="M888" s="309"/>
      <c r="N888" s="309"/>
      <c r="O888" s="309"/>
      <c r="P888" s="309"/>
      <c r="Q888" s="309"/>
      <c r="R888" s="309"/>
      <c r="S888" s="309"/>
      <c r="T888" s="309"/>
      <c r="U888" s="309"/>
    </row>
    <row r="889" spans="1:21" ht="12.75" customHeight="1">
      <c r="A889" s="1361"/>
      <c r="B889" s="807"/>
      <c r="C889" s="826"/>
      <c r="D889" s="841"/>
      <c r="E889" s="624"/>
      <c r="F889" s="547"/>
      <c r="G889" s="1515"/>
      <c r="H889" s="1529"/>
      <c r="I889" s="1501" t="str">
        <f t="shared" si="43"/>
        <v/>
      </c>
      <c r="J889" s="1501" t="str">
        <f t="shared" si="42"/>
        <v/>
      </c>
      <c r="K889" s="261"/>
      <c r="L889" s="309"/>
      <c r="M889" s="309"/>
      <c r="N889" s="309"/>
      <c r="O889" s="309"/>
      <c r="P889" s="309"/>
      <c r="Q889" s="309"/>
      <c r="R889" s="309"/>
      <c r="S889" s="309"/>
      <c r="T889" s="309"/>
      <c r="U889" s="309"/>
    </row>
    <row r="890" spans="1:21" ht="12.75" customHeight="1">
      <c r="A890" s="1366">
        <v>41956</v>
      </c>
      <c r="B890" s="627"/>
      <c r="C890" s="785"/>
      <c r="D890" s="786"/>
      <c r="E890" s="624"/>
      <c r="F890" s="781"/>
      <c r="G890" s="1515"/>
      <c r="H890" s="1529"/>
      <c r="I890" s="1501" t="str">
        <f t="shared" si="43"/>
        <v/>
      </c>
      <c r="J890" s="1501" t="str">
        <f t="shared" si="42"/>
        <v>CMG</v>
      </c>
      <c r="K890" s="261"/>
      <c r="L890" s="309"/>
      <c r="M890" s="309"/>
      <c r="N890" s="309"/>
      <c r="O890" s="309"/>
      <c r="P890" s="309"/>
      <c r="Q890" s="309"/>
      <c r="R890" s="309"/>
      <c r="S890" s="309"/>
      <c r="T890" s="309"/>
      <c r="U890" s="309"/>
    </row>
    <row r="891" spans="1:21" ht="12.75" customHeight="1">
      <c r="A891" s="1178" t="s">
        <v>824</v>
      </c>
      <c r="B891" s="627"/>
      <c r="C891" s="785"/>
      <c r="D891" s="786"/>
      <c r="E891" s="624"/>
      <c r="F891" s="781"/>
      <c r="G891" s="1507"/>
      <c r="H891" s="1526"/>
      <c r="I891" s="1501" t="str">
        <f t="shared" si="43"/>
        <v/>
      </c>
      <c r="J891" s="1501" t="str">
        <f t="shared" si="42"/>
        <v/>
      </c>
      <c r="K891" s="261"/>
      <c r="L891" s="309"/>
      <c r="M891" s="309"/>
      <c r="N891" s="309"/>
      <c r="O891" s="309"/>
      <c r="P891" s="309"/>
      <c r="Q891" s="309"/>
      <c r="R891" s="309"/>
      <c r="S891" s="309"/>
      <c r="T891" s="309"/>
      <c r="U891" s="309"/>
    </row>
    <row r="892" spans="1:21" ht="12.75" customHeight="1">
      <c r="A892" s="1361" t="s">
        <v>407</v>
      </c>
      <c r="B892" s="807">
        <v>3</v>
      </c>
      <c r="C892" s="826">
        <v>670.04989999999998</v>
      </c>
      <c r="D892" s="841">
        <v>9.99</v>
      </c>
      <c r="E892" s="624">
        <f>(C892*B892)-D892</f>
        <v>2000.1596999999999</v>
      </c>
      <c r="F892" s="1497" t="s">
        <v>408</v>
      </c>
      <c r="G892" s="1507"/>
      <c r="H892" s="1526"/>
      <c r="I892" s="1501" t="str">
        <f t="shared" si="43"/>
        <v>CMG</v>
      </c>
      <c r="J892" s="1501" t="str">
        <f t="shared" si="42"/>
        <v/>
      </c>
      <c r="K892" s="261"/>
      <c r="L892" s="309"/>
      <c r="M892" s="309"/>
      <c r="N892" s="309"/>
      <c r="O892" s="309"/>
      <c r="P892" s="309"/>
      <c r="Q892" s="309"/>
      <c r="R892" s="309"/>
      <c r="S892" s="309"/>
      <c r="T892" s="309"/>
      <c r="U892" s="309"/>
    </row>
    <row r="893" spans="1:21" ht="12.75" customHeight="1">
      <c r="A893" s="1361"/>
      <c r="B893" s="807"/>
      <c r="C893" s="826"/>
      <c r="D893" s="841"/>
      <c r="E893" s="624"/>
      <c r="F893" s="547"/>
      <c r="G893" s="1515"/>
      <c r="H893" s="1529"/>
      <c r="I893" s="1501" t="str">
        <f t="shared" si="43"/>
        <v/>
      </c>
      <c r="J893" s="1501" t="str">
        <f t="shared" si="42"/>
        <v/>
      </c>
      <c r="K893" s="261"/>
      <c r="L893" s="309"/>
      <c r="M893" s="309"/>
      <c r="N893" s="309"/>
      <c r="O893" s="309"/>
      <c r="P893" s="309"/>
      <c r="Q893" s="309"/>
      <c r="R893" s="309"/>
      <c r="S893" s="309"/>
      <c r="T893" s="309"/>
      <c r="U893" s="309"/>
    </row>
    <row r="894" spans="1:21" ht="12.75" customHeight="1">
      <c r="A894" s="1366">
        <v>41955</v>
      </c>
      <c r="B894" s="627"/>
      <c r="C894" s="785"/>
      <c r="D894" s="786"/>
      <c r="E894" s="624"/>
      <c r="F894" s="781"/>
      <c r="G894" s="1515"/>
      <c r="H894" s="1529"/>
      <c r="I894" s="1501" t="str">
        <f t="shared" si="43"/>
        <v/>
      </c>
      <c r="J894" s="1501" t="str">
        <f t="shared" si="42"/>
        <v>HYG</v>
      </c>
      <c r="K894" s="261"/>
      <c r="L894" s="309"/>
      <c r="M894" s="309"/>
      <c r="N894" s="309"/>
      <c r="O894" s="309"/>
      <c r="P894" s="309"/>
      <c r="Q894" s="309"/>
      <c r="R894" s="309"/>
      <c r="S894" s="309"/>
      <c r="T894" s="309"/>
      <c r="U894" s="309"/>
    </row>
    <row r="895" spans="1:21" ht="12.75" customHeight="1">
      <c r="A895" s="1178" t="s">
        <v>824</v>
      </c>
      <c r="B895" s="627"/>
      <c r="C895" s="785"/>
      <c r="D895" s="786"/>
      <c r="E895" s="624"/>
      <c r="F895" s="781"/>
      <c r="G895" s="1507"/>
      <c r="H895" s="1526"/>
      <c r="I895" s="1501" t="str">
        <f t="shared" si="43"/>
        <v/>
      </c>
      <c r="J895" s="1501" t="str">
        <f>IF(F897="","",IF(OR(A894="Sell",A895="Sell"),"",F897))</f>
        <v>AMGN</v>
      </c>
      <c r="K895" s="261"/>
      <c r="L895" s="309"/>
      <c r="M895" s="309"/>
      <c r="N895" s="309"/>
      <c r="O895" s="309"/>
      <c r="P895" s="309"/>
      <c r="Q895" s="309"/>
      <c r="R895" s="309"/>
      <c r="S895" s="309"/>
      <c r="T895" s="309"/>
      <c r="U895" s="309"/>
    </row>
    <row r="896" spans="1:21" ht="12.75" customHeight="1">
      <c r="A896" s="281" t="s">
        <v>427</v>
      </c>
      <c r="B896" s="807">
        <v>55</v>
      </c>
      <c r="C896" s="826">
        <v>92.48</v>
      </c>
      <c r="D896" s="841">
        <v>9.99</v>
      </c>
      <c r="E896" s="624">
        <f>(C896*B896)-D896</f>
        <v>5076.4100000000008</v>
      </c>
      <c r="F896" s="1497" t="s">
        <v>428</v>
      </c>
      <c r="G896" s="1515"/>
      <c r="H896" s="1529"/>
      <c r="I896" s="1501" t="str">
        <f t="shared" si="43"/>
        <v>HYG</v>
      </c>
      <c r="J896" s="1501" t="str">
        <f>IF(F899="","",IF(OR(A896="Sell",A897="Sell"),"",F899))</f>
        <v/>
      </c>
      <c r="K896" s="261"/>
      <c r="L896" s="309"/>
      <c r="M896" s="309"/>
      <c r="N896" s="309"/>
      <c r="O896" s="309"/>
      <c r="P896" s="309"/>
      <c r="Q896" s="309"/>
      <c r="R896" s="309"/>
      <c r="S896" s="309"/>
      <c r="T896" s="309"/>
      <c r="U896" s="309"/>
    </row>
    <row r="897" spans="1:21" ht="12.75" customHeight="1">
      <c r="A897" s="1361" t="s">
        <v>883</v>
      </c>
      <c r="B897" s="807">
        <v>15</v>
      </c>
      <c r="C897" s="826">
        <v>162.27000000000001</v>
      </c>
      <c r="D897" s="841">
        <v>9.99</v>
      </c>
      <c r="E897" s="624">
        <f>(C897*B897)-D897</f>
        <v>2424.0600000000004</v>
      </c>
      <c r="F897" s="547" t="s">
        <v>402</v>
      </c>
      <c r="G897" s="1515"/>
      <c r="H897" s="1529"/>
      <c r="I897" s="1501" t="str">
        <f>IF(F897="","",IF(OR(A895="Sell",A897="Sell"),"",F897))</f>
        <v>AMGN</v>
      </c>
      <c r="J897" s="1501" t="str">
        <f>IF(F900="","",IF(OR(A897="Sell",A899="Sell"),"",F900))</f>
        <v/>
      </c>
      <c r="K897" s="271"/>
      <c r="L897" s="309"/>
      <c r="M897" s="309"/>
      <c r="N897" s="309"/>
      <c r="O897" s="309"/>
      <c r="P897" s="309"/>
      <c r="Q897" s="309"/>
      <c r="R897" s="309"/>
      <c r="S897" s="309"/>
      <c r="T897" s="309"/>
      <c r="U897" s="309"/>
    </row>
    <row r="898" spans="1:21" ht="12.75" customHeight="1">
      <c r="A898" s="1361"/>
      <c r="B898" s="807"/>
      <c r="C898" s="826"/>
      <c r="D898" s="841"/>
      <c r="E898" s="624"/>
      <c r="F898" s="547"/>
      <c r="G898" s="1515"/>
      <c r="H898" s="1529"/>
      <c r="I898" s="1501"/>
      <c r="J898" s="1501"/>
      <c r="K898" s="271"/>
      <c r="L898" s="309"/>
      <c r="M898" s="309"/>
      <c r="N898" s="309"/>
      <c r="O898" s="309"/>
      <c r="P898" s="309"/>
      <c r="Q898" s="309"/>
      <c r="R898" s="309"/>
      <c r="S898" s="309"/>
      <c r="T898" s="309"/>
      <c r="U898" s="309"/>
    </row>
    <row r="899" spans="1:21" ht="12.75" customHeight="1">
      <c r="A899" s="1178" t="s">
        <v>820</v>
      </c>
      <c r="B899" s="627"/>
      <c r="C899" s="785"/>
      <c r="D899" s="786"/>
      <c r="E899" s="624"/>
      <c r="F899" s="781"/>
      <c r="G899" s="1507"/>
      <c r="H899" s="1526"/>
      <c r="I899" s="1501" t="str">
        <f>IF(F899="","",IF(OR(A897="Sell",A899="Sell"),"",F899))</f>
        <v/>
      </c>
      <c r="J899" s="1501" t="str">
        <f>IF(F901="","",IF(OR(A899="Sell",A900="Sell"),"",F901))</f>
        <v/>
      </c>
      <c r="K899" s="261"/>
      <c r="L899" s="309"/>
      <c r="M899" s="309"/>
      <c r="N899" s="309"/>
      <c r="O899" s="309"/>
      <c r="P899" s="309"/>
      <c r="Q899" s="309"/>
      <c r="R899" s="309"/>
      <c r="S899" s="309"/>
      <c r="T899" s="309"/>
      <c r="U899" s="309"/>
    </row>
    <row r="900" spans="1:21" ht="12.75" customHeight="1">
      <c r="A900" s="281" t="s">
        <v>892</v>
      </c>
      <c r="B900" s="807">
        <v>84</v>
      </c>
      <c r="C900" s="826">
        <v>52.82</v>
      </c>
      <c r="D900" s="841">
        <v>9.99</v>
      </c>
      <c r="E900" s="624">
        <f>(C900*B900)-D900</f>
        <v>4426.8900000000003</v>
      </c>
      <c r="F900" s="1497" t="s">
        <v>380</v>
      </c>
      <c r="G900" s="1507"/>
      <c r="H900" s="1526"/>
      <c r="I900" s="1501" t="str">
        <f>IF(F900="","",IF(OR(A899="Sell",A900="Sell"),"",F900))</f>
        <v/>
      </c>
      <c r="J900" s="1501" t="str">
        <f>IF(F902="","",IF(OR(A900="Sell",A901="Sell"),"",F902))</f>
        <v/>
      </c>
      <c r="K900" s="261"/>
      <c r="L900" s="309"/>
      <c r="M900" s="309"/>
      <c r="N900" s="309"/>
      <c r="O900" s="309"/>
      <c r="P900" s="309"/>
      <c r="Q900" s="309"/>
      <c r="R900" s="309"/>
      <c r="S900" s="309"/>
      <c r="T900" s="309"/>
      <c r="U900" s="309"/>
    </row>
    <row r="901" spans="1:21" ht="12.75" customHeight="1">
      <c r="A901" s="281" t="s">
        <v>892</v>
      </c>
      <c r="B901" s="807">
        <v>5</v>
      </c>
      <c r="C901" s="826">
        <v>53</v>
      </c>
      <c r="D901" s="841">
        <v>9.99</v>
      </c>
      <c r="E901" s="624">
        <f>(C901*B901)-D901</f>
        <v>255.01</v>
      </c>
      <c r="F901" s="547" t="s">
        <v>380</v>
      </c>
      <c r="G901" s="1507"/>
      <c r="H901" s="1526"/>
      <c r="I901" s="1501" t="str">
        <f>IF(F901="","",IF(OR(A899="Sell",A900="Sell"),"",F901))</f>
        <v/>
      </c>
      <c r="J901" s="1501" t="str">
        <f>IF(F903="","",IF(OR(A901="Sell",A902="Sell"),"",F903))</f>
        <v/>
      </c>
      <c r="K901" s="261"/>
      <c r="L901" s="309"/>
      <c r="M901" s="309"/>
      <c r="N901" s="309"/>
      <c r="O901" s="309"/>
      <c r="P901" s="309"/>
      <c r="Q901" s="309"/>
      <c r="R901" s="309"/>
      <c r="S901" s="309"/>
      <c r="T901" s="309"/>
      <c r="U901" s="309"/>
    </row>
    <row r="902" spans="1:21" ht="12.75" customHeight="1">
      <c r="A902" s="1363"/>
      <c r="B902" s="627"/>
      <c r="C902" s="785"/>
      <c r="D902" s="786"/>
      <c r="E902" s="624"/>
      <c r="F902" s="781"/>
      <c r="G902" s="1515"/>
      <c r="H902" s="1529"/>
      <c r="I902" s="1501" t="str">
        <f>IF(F902="","",IF(OR(A901="Sell",A902="Sell"),"",F902))</f>
        <v/>
      </c>
      <c r="J902" s="1501" t="str">
        <f>IF(F904="","",IF(OR(A902="Sell",A903="Sell"),"",F904))</f>
        <v/>
      </c>
      <c r="K902" s="261"/>
      <c r="L902" s="309"/>
      <c r="M902" s="309"/>
      <c r="N902" s="309"/>
      <c r="O902" s="309"/>
      <c r="P902" s="309"/>
      <c r="Q902" s="309"/>
      <c r="R902" s="309"/>
      <c r="S902" s="309"/>
      <c r="T902" s="309"/>
      <c r="U902" s="309"/>
    </row>
    <row r="903" spans="1:21" ht="12.75" customHeight="1">
      <c r="A903" s="1366">
        <v>41949</v>
      </c>
      <c r="B903" s="627"/>
      <c r="C903" s="785"/>
      <c r="D903" s="786"/>
      <c r="E903" s="624"/>
      <c r="F903" s="781"/>
      <c r="G903" s="1507"/>
      <c r="H903" s="1526"/>
      <c r="I903" s="1501" t="str">
        <f>IF(F903="","",IF(OR(A902="Sell",A903="Sell"),"",F903))</f>
        <v/>
      </c>
      <c r="J903" s="1501" t="str">
        <f>IF(F905="","",IF(OR(A903="Sell",A904="Sell"),"",F905))</f>
        <v>LUV</v>
      </c>
      <c r="K903" s="261"/>
      <c r="L903" s="309"/>
      <c r="M903" s="309"/>
      <c r="N903" s="309"/>
      <c r="O903" s="309"/>
      <c r="P903" s="309"/>
      <c r="Q903" s="309"/>
      <c r="R903" s="309"/>
      <c r="S903" s="309"/>
      <c r="T903" s="309"/>
      <c r="U903" s="309"/>
    </row>
    <row r="904" spans="1:21" ht="12.75" customHeight="1">
      <c r="A904" s="1178" t="s">
        <v>824</v>
      </c>
      <c r="B904" s="627"/>
      <c r="C904" s="785"/>
      <c r="D904" s="786"/>
      <c r="E904" s="624"/>
      <c r="F904" s="781"/>
      <c r="G904" s="1515"/>
      <c r="H904" s="1529"/>
      <c r="I904" s="1501" t="str">
        <f>IF(F904="","",IF(OR(A903="Sell",A904="Sell"),"",F904))</f>
        <v/>
      </c>
      <c r="J904" s="1501" t="str">
        <f>IF(F907="","",IF(OR(A904="Sell",A905="Sell"),"",F907))</f>
        <v/>
      </c>
      <c r="K904" s="261"/>
      <c r="L904" s="309"/>
      <c r="M904" s="309"/>
      <c r="N904" s="309"/>
      <c r="O904" s="309"/>
      <c r="P904" s="309"/>
      <c r="Q904" s="309"/>
      <c r="R904" s="309"/>
      <c r="S904" s="309"/>
      <c r="T904" s="309"/>
      <c r="U904" s="309"/>
    </row>
    <row r="905" spans="1:21" ht="12.75" customHeight="1">
      <c r="A905" s="1361" t="s">
        <v>419</v>
      </c>
      <c r="B905" s="807">
        <v>30</v>
      </c>
      <c r="C905" s="826">
        <v>37.835999999999999</v>
      </c>
      <c r="D905" s="841">
        <v>9.99</v>
      </c>
      <c r="E905" s="624">
        <f>(C905*B905)-D905</f>
        <v>1125.0899999999999</v>
      </c>
      <c r="F905" s="1497" t="s">
        <v>420</v>
      </c>
      <c r="G905" s="1507"/>
      <c r="H905" s="1526"/>
      <c r="I905" s="1501" t="str">
        <f>IF(F905="","",IF(OR(A904="Sell",A905="Sell"),"",F905))</f>
        <v>LUV</v>
      </c>
      <c r="J905" s="1501" t="str">
        <f>IF(F908="","",IF(OR(A905="Sell",A907="Sell"),"",F908))</f>
        <v/>
      </c>
      <c r="K905" s="261"/>
      <c r="L905" s="309"/>
      <c r="M905" s="309"/>
      <c r="N905" s="309"/>
      <c r="O905" s="309"/>
      <c r="P905" s="309"/>
      <c r="Q905" s="309"/>
      <c r="R905" s="309"/>
      <c r="S905" s="309"/>
      <c r="T905" s="309"/>
      <c r="U905" s="309"/>
    </row>
    <row r="906" spans="1:21" ht="12.75" customHeight="1">
      <c r="A906" s="1361"/>
      <c r="B906" s="807"/>
      <c r="C906" s="826"/>
      <c r="D906" s="841"/>
      <c r="E906" s="624"/>
      <c r="F906" s="1497"/>
      <c r="G906" s="1507"/>
      <c r="H906" s="1526"/>
      <c r="I906" s="1501"/>
      <c r="J906" s="1501"/>
      <c r="K906" s="261"/>
      <c r="L906" s="309"/>
      <c r="M906" s="309"/>
      <c r="N906" s="309"/>
      <c r="O906" s="309"/>
      <c r="P906" s="309"/>
      <c r="Q906" s="309"/>
      <c r="R906" s="309"/>
      <c r="S906" s="309"/>
      <c r="T906" s="309"/>
      <c r="U906" s="309"/>
    </row>
    <row r="907" spans="1:21" ht="12.75" customHeight="1">
      <c r="A907" s="1178" t="s">
        <v>820</v>
      </c>
      <c r="B907" s="625"/>
      <c r="C907" s="623"/>
      <c r="D907" s="792"/>
      <c r="E907" s="624"/>
      <c r="F907" s="546"/>
      <c r="G907" s="1507"/>
      <c r="H907" s="1526"/>
      <c r="I907" s="1501" t="str">
        <f>IF(F907="","",IF(OR(A905="Sell",A907="Sell"),"",F907))</f>
        <v/>
      </c>
      <c r="J907" s="1501" t="str">
        <f t="shared" ref="J907:J935" si="44">IF(F909="","",IF(OR(A907="Sell",A908="Sell"),"",F909))</f>
        <v/>
      </c>
      <c r="K907" s="261"/>
      <c r="L907" s="309"/>
      <c r="M907" s="309"/>
      <c r="N907" s="309"/>
      <c r="O907" s="309"/>
      <c r="P907" s="309"/>
      <c r="Q907" s="309"/>
      <c r="R907" s="309"/>
      <c r="S907" s="309"/>
      <c r="T907" s="309"/>
      <c r="U907" s="309"/>
    </row>
    <row r="908" spans="1:21" ht="12.75" customHeight="1">
      <c r="A908" s="1361" t="s">
        <v>893</v>
      </c>
      <c r="B908" s="807">
        <v>54</v>
      </c>
      <c r="C908" s="826">
        <v>73.161000000000001</v>
      </c>
      <c r="D908" s="841">
        <v>9.99</v>
      </c>
      <c r="E908" s="624">
        <f>(C908*B908)-D908</f>
        <v>3940.7040000000002</v>
      </c>
      <c r="F908" s="547" t="s">
        <v>51</v>
      </c>
      <c r="G908" s="1507"/>
      <c r="H908" s="1526"/>
      <c r="I908" s="1501" t="str">
        <f t="shared" ref="I908:I916" si="45">IF(F908="","",IF(OR(A907="Sell",A908="Sell"),"",F908))</f>
        <v/>
      </c>
      <c r="J908" s="1501" t="str">
        <f t="shared" si="44"/>
        <v/>
      </c>
      <c r="K908" s="261"/>
      <c r="L908" s="309"/>
      <c r="M908" s="309"/>
      <c r="N908" s="309"/>
      <c r="O908" s="309"/>
      <c r="P908" s="309"/>
      <c r="Q908" s="309"/>
      <c r="R908" s="309"/>
      <c r="S908" s="309"/>
      <c r="T908" s="309"/>
      <c r="U908" s="309"/>
    </row>
    <row r="909" spans="1:21" ht="12.75" customHeight="1">
      <c r="A909" s="1363"/>
      <c r="B909" s="627"/>
      <c r="C909" s="785"/>
      <c r="D909" s="786"/>
      <c r="E909" s="624"/>
      <c r="F909" s="781"/>
      <c r="G909" s="1515"/>
      <c r="H909" s="1529"/>
      <c r="I909" s="1501" t="str">
        <f t="shared" si="45"/>
        <v/>
      </c>
      <c r="J909" s="1501" t="str">
        <f t="shared" si="44"/>
        <v/>
      </c>
      <c r="K909" s="261"/>
      <c r="L909" s="309"/>
      <c r="M909" s="309"/>
      <c r="N909" s="309"/>
      <c r="O909" s="309"/>
      <c r="P909" s="309"/>
      <c r="Q909" s="309"/>
      <c r="R909" s="309"/>
      <c r="S909" s="309"/>
      <c r="T909" s="309"/>
      <c r="U909" s="309"/>
    </row>
    <row r="910" spans="1:21" ht="12.75" customHeight="1">
      <c r="A910" s="1366">
        <v>41948</v>
      </c>
      <c r="B910" s="627"/>
      <c r="C910" s="785"/>
      <c r="D910" s="786"/>
      <c r="E910" s="624"/>
      <c r="F910" s="781"/>
      <c r="G910" s="1507"/>
      <c r="H910" s="1526"/>
      <c r="I910" s="1501" t="str">
        <f t="shared" si="45"/>
        <v/>
      </c>
      <c r="J910" s="1501" t="str">
        <f t="shared" si="44"/>
        <v>VFC</v>
      </c>
      <c r="K910" s="261"/>
      <c r="L910" s="309"/>
      <c r="M910" s="309"/>
      <c r="N910" s="309"/>
      <c r="O910" s="309"/>
      <c r="P910" s="309"/>
      <c r="Q910" s="309"/>
      <c r="R910" s="309"/>
      <c r="S910" s="309"/>
      <c r="T910" s="309"/>
      <c r="U910" s="309"/>
    </row>
    <row r="911" spans="1:21" ht="12.75" customHeight="1">
      <c r="A911" s="1178" t="s">
        <v>824</v>
      </c>
      <c r="B911" s="627"/>
      <c r="C911" s="785"/>
      <c r="D911" s="786"/>
      <c r="E911" s="624"/>
      <c r="F911" s="781"/>
      <c r="G911" s="1507"/>
      <c r="H911" s="1526"/>
      <c r="I911" s="1501" t="str">
        <f t="shared" si="45"/>
        <v/>
      </c>
      <c r="J911" s="1501" t="str">
        <f t="shared" si="44"/>
        <v/>
      </c>
      <c r="K911" s="261"/>
      <c r="L911" s="309"/>
      <c r="M911" s="309"/>
      <c r="N911" s="309"/>
      <c r="O911" s="309"/>
      <c r="P911" s="309"/>
      <c r="Q911" s="309"/>
      <c r="R911" s="309"/>
      <c r="S911" s="309"/>
      <c r="T911" s="309"/>
      <c r="U911" s="309"/>
    </row>
    <row r="912" spans="1:21" ht="12.75" customHeight="1">
      <c r="A912" s="1361" t="s">
        <v>423</v>
      </c>
      <c r="B912" s="807">
        <v>35</v>
      </c>
      <c r="C912" s="826">
        <v>68.430000000000007</v>
      </c>
      <c r="D912" s="841">
        <v>9.99</v>
      </c>
      <c r="E912" s="624">
        <f>(C912*B912)-D912</f>
        <v>2385.0600000000004</v>
      </c>
      <c r="F912" s="1497" t="s">
        <v>424</v>
      </c>
      <c r="G912" s="1507"/>
      <c r="H912" s="1526"/>
      <c r="I912" s="1501" t="str">
        <f t="shared" si="45"/>
        <v>VFC</v>
      </c>
      <c r="J912" s="1501" t="str">
        <f t="shared" si="44"/>
        <v/>
      </c>
      <c r="K912" s="261"/>
      <c r="L912" s="309"/>
      <c r="M912" s="309"/>
      <c r="N912" s="309"/>
      <c r="O912" s="309"/>
      <c r="P912" s="309"/>
      <c r="Q912" s="309"/>
      <c r="R912" s="309"/>
      <c r="S912" s="309"/>
      <c r="T912" s="309"/>
      <c r="U912" s="309"/>
    </row>
    <row r="913" spans="1:21" ht="12.75" customHeight="1">
      <c r="A913" s="1363"/>
      <c r="B913" s="627"/>
      <c r="C913" s="785"/>
      <c r="D913" s="786"/>
      <c r="E913" s="624"/>
      <c r="F913" s="781"/>
      <c r="G913" s="1515"/>
      <c r="H913" s="1529"/>
      <c r="I913" s="1501" t="str">
        <f t="shared" si="45"/>
        <v/>
      </c>
      <c r="J913" s="1501" t="str">
        <f t="shared" si="44"/>
        <v/>
      </c>
      <c r="K913" s="261"/>
      <c r="L913" s="309"/>
      <c r="M913" s="309"/>
      <c r="N913" s="309"/>
      <c r="O913" s="309"/>
      <c r="P913" s="309"/>
      <c r="Q913" s="309"/>
      <c r="R913" s="309"/>
      <c r="S913" s="309"/>
      <c r="T913" s="309"/>
      <c r="U913" s="309"/>
    </row>
    <row r="914" spans="1:21" ht="12.75" customHeight="1">
      <c r="A914" s="1368" t="s">
        <v>894</v>
      </c>
      <c r="B914" s="627"/>
      <c r="C914" s="785"/>
      <c r="D914" s="786"/>
      <c r="E914" s="624"/>
      <c r="F914" s="781"/>
      <c r="G914" s="1515"/>
      <c r="H914" s="1529"/>
      <c r="I914" s="1501" t="str">
        <f t="shared" si="45"/>
        <v/>
      </c>
      <c r="J914" s="1501" t="str">
        <f t="shared" si="44"/>
        <v/>
      </c>
      <c r="K914" s="261"/>
      <c r="L914" s="309"/>
      <c r="M914" s="309"/>
      <c r="N914" s="309"/>
      <c r="O914" s="309"/>
      <c r="P914" s="309"/>
      <c r="Q914" s="309"/>
      <c r="R914" s="309"/>
      <c r="S914" s="309"/>
      <c r="T914" s="309"/>
      <c r="U914" s="309"/>
    </row>
    <row r="915" spans="1:21" ht="12.75" customHeight="1">
      <c r="A915" s="1178" t="s">
        <v>820</v>
      </c>
      <c r="B915" s="627"/>
      <c r="C915" s="785"/>
      <c r="D915" s="786"/>
      <c r="E915" s="624"/>
      <c r="F915" s="781"/>
      <c r="G915" s="1507"/>
      <c r="H915" s="1526"/>
      <c r="I915" s="1501" t="str">
        <f t="shared" si="45"/>
        <v/>
      </c>
      <c r="J915" s="1501" t="str">
        <f t="shared" si="44"/>
        <v/>
      </c>
      <c r="K915" s="261"/>
      <c r="L915" s="309"/>
      <c r="M915" s="309"/>
      <c r="N915" s="309"/>
      <c r="O915" s="309"/>
      <c r="P915" s="309"/>
      <c r="Q915" s="309"/>
      <c r="R915" s="309"/>
      <c r="S915" s="309"/>
      <c r="T915" s="309"/>
      <c r="U915" s="309"/>
    </row>
    <row r="916" spans="1:21" ht="12.75" customHeight="1">
      <c r="A916" s="1361" t="s">
        <v>343</v>
      </c>
      <c r="B916" s="807">
        <v>35</v>
      </c>
      <c r="C916" s="826">
        <v>70.34</v>
      </c>
      <c r="D916" s="841">
        <v>9.99</v>
      </c>
      <c r="E916" s="624">
        <f>(C916*B916)-D916</f>
        <v>2451.9100000000003</v>
      </c>
      <c r="F916" s="1497" t="s">
        <v>344</v>
      </c>
      <c r="G916" s="1507"/>
      <c r="H916" s="1526"/>
      <c r="I916" s="1501" t="str">
        <f t="shared" si="45"/>
        <v/>
      </c>
      <c r="J916" s="1501" t="str">
        <f t="shared" si="44"/>
        <v/>
      </c>
      <c r="K916" s="261"/>
      <c r="L916" s="309"/>
      <c r="M916" s="309"/>
      <c r="N916" s="309"/>
      <c r="O916" s="309"/>
      <c r="P916" s="309"/>
      <c r="Q916" s="309"/>
      <c r="R916" s="309"/>
      <c r="S916" s="309"/>
      <c r="T916" s="309"/>
      <c r="U916" s="309"/>
    </row>
    <row r="917" spans="1:21" ht="12.75" customHeight="1">
      <c r="A917" s="1361" t="s">
        <v>895</v>
      </c>
      <c r="B917" s="807">
        <v>76</v>
      </c>
      <c r="C917" s="826">
        <v>49.06</v>
      </c>
      <c r="D917" s="841">
        <v>9.99</v>
      </c>
      <c r="E917" s="624">
        <f>(C917*B917)-D917</f>
        <v>3718.5700000000006</v>
      </c>
      <c r="F917" s="547" t="s">
        <v>297</v>
      </c>
      <c r="G917" s="1507"/>
      <c r="H917" s="1526"/>
      <c r="I917" s="1501" t="str">
        <f>IF(F917="","",IF(OR(A915="Sell",A917="Sell"),"",F917))</f>
        <v/>
      </c>
      <c r="J917" s="1501" t="str">
        <f t="shared" si="44"/>
        <v/>
      </c>
      <c r="K917" s="261"/>
      <c r="L917" s="309"/>
      <c r="M917" s="309"/>
      <c r="N917" s="309"/>
      <c r="O917" s="309"/>
      <c r="P917" s="309"/>
      <c r="Q917" s="309"/>
      <c r="R917" s="309"/>
      <c r="S917" s="309"/>
      <c r="T917" s="309"/>
      <c r="U917" s="309"/>
    </row>
    <row r="918" spans="1:21" ht="12.75" customHeight="1">
      <c r="A918" s="1363"/>
      <c r="B918" s="627"/>
      <c r="C918" s="785"/>
      <c r="D918" s="786"/>
      <c r="E918" s="624"/>
      <c r="F918" s="781"/>
      <c r="G918" s="1507"/>
      <c r="H918" s="1526"/>
      <c r="I918" s="1501" t="str">
        <f t="shared" ref="I918:I937" si="46">IF(F918="","",IF(OR(A917="Sell",A918="Sell"),"",F918))</f>
        <v/>
      </c>
      <c r="J918" s="1501" t="str">
        <f t="shared" si="44"/>
        <v/>
      </c>
      <c r="K918" s="261"/>
      <c r="L918" s="309"/>
      <c r="M918" s="309"/>
      <c r="N918" s="309"/>
      <c r="O918" s="309"/>
      <c r="P918" s="309"/>
      <c r="Q918" s="309"/>
      <c r="R918" s="309"/>
      <c r="S918" s="309"/>
      <c r="T918" s="309"/>
      <c r="U918" s="309"/>
    </row>
    <row r="919" spans="1:21" ht="12.75" customHeight="1">
      <c r="A919" s="1369">
        <v>41919</v>
      </c>
      <c r="B919" s="627"/>
      <c r="C919" s="785"/>
      <c r="D919" s="786"/>
      <c r="E919" s="858"/>
      <c r="F919" s="781"/>
      <c r="G919" s="1507"/>
      <c r="H919" s="1526"/>
      <c r="I919" s="1501" t="str">
        <f t="shared" si="46"/>
        <v/>
      </c>
      <c r="J919" s="1501" t="str">
        <f t="shared" si="44"/>
        <v>CERN</v>
      </c>
      <c r="K919" s="261"/>
      <c r="L919" s="309"/>
      <c r="M919" s="309"/>
      <c r="N919" s="309"/>
      <c r="O919" s="309"/>
      <c r="P919" s="309"/>
      <c r="Q919" s="309"/>
      <c r="R919" s="309"/>
      <c r="S919" s="309"/>
      <c r="T919" s="309"/>
      <c r="U919" s="309"/>
    </row>
    <row r="920" spans="1:21" ht="12.75" customHeight="1">
      <c r="A920" s="1370" t="s">
        <v>824</v>
      </c>
      <c r="B920" s="627"/>
      <c r="C920" s="785"/>
      <c r="D920" s="786"/>
      <c r="E920" s="858"/>
      <c r="F920" s="781"/>
      <c r="G920" s="1507"/>
      <c r="H920" s="1526"/>
      <c r="I920" s="1501" t="str">
        <f t="shared" si="46"/>
        <v/>
      </c>
      <c r="J920" s="1501" t="str">
        <f t="shared" si="44"/>
        <v/>
      </c>
      <c r="K920" s="261"/>
      <c r="L920" s="309"/>
      <c r="M920" s="309"/>
      <c r="N920" s="309"/>
      <c r="O920" s="309"/>
      <c r="P920" s="309"/>
      <c r="Q920" s="309"/>
      <c r="R920" s="309"/>
      <c r="S920" s="309"/>
      <c r="T920" s="309"/>
      <c r="U920" s="309"/>
    </row>
    <row r="921" spans="1:21" ht="12.75" customHeight="1">
      <c r="A921" s="985" t="s">
        <v>896</v>
      </c>
      <c r="B921" s="625">
        <v>50</v>
      </c>
      <c r="C921" s="623">
        <v>58.42</v>
      </c>
      <c r="D921" s="792">
        <v>9.99</v>
      </c>
      <c r="E921" s="624">
        <f>(B921*C921)-D921</f>
        <v>2911.01</v>
      </c>
      <c r="F921" s="546" t="s">
        <v>405</v>
      </c>
      <c r="G921" s="1507"/>
      <c r="H921" s="1526"/>
      <c r="I921" s="1501" t="str">
        <f t="shared" si="46"/>
        <v>CERN</v>
      </c>
      <c r="J921" s="1501" t="str">
        <f t="shared" si="44"/>
        <v/>
      </c>
      <c r="K921" s="261"/>
      <c r="L921" s="309"/>
      <c r="M921" s="309"/>
      <c r="N921" s="309"/>
      <c r="O921" s="309"/>
      <c r="P921" s="309"/>
      <c r="Q921" s="309"/>
      <c r="R921" s="309"/>
      <c r="S921" s="309"/>
      <c r="T921" s="309"/>
      <c r="U921" s="309"/>
    </row>
    <row r="922" spans="1:21" ht="12.75" customHeight="1">
      <c r="A922" s="282"/>
      <c r="B922" s="627"/>
      <c r="C922" s="785"/>
      <c r="D922" s="786"/>
      <c r="E922" s="858"/>
      <c r="F922" s="781"/>
      <c r="G922" s="1507"/>
      <c r="H922" s="1526"/>
      <c r="I922" s="1501" t="str">
        <f t="shared" si="46"/>
        <v/>
      </c>
      <c r="J922" s="1501" t="str">
        <f t="shared" si="44"/>
        <v/>
      </c>
      <c r="K922" s="261"/>
      <c r="L922" s="309"/>
      <c r="M922" s="309"/>
      <c r="N922" s="309"/>
      <c r="O922" s="309"/>
      <c r="P922" s="309"/>
      <c r="Q922" s="309"/>
      <c r="R922" s="309"/>
      <c r="S922" s="309"/>
      <c r="T922" s="309"/>
      <c r="U922" s="309"/>
    </row>
    <row r="923" spans="1:21" ht="12.75" customHeight="1">
      <c r="A923" s="1369" t="s">
        <v>897</v>
      </c>
      <c r="B923" s="627"/>
      <c r="C923" s="785"/>
      <c r="D923" s="786"/>
      <c r="E923" s="858"/>
      <c r="F923" s="781"/>
      <c r="G923" s="1507"/>
      <c r="H923" s="1526"/>
      <c r="I923" s="1501" t="str">
        <f t="shared" si="46"/>
        <v/>
      </c>
      <c r="J923" s="1501" t="str">
        <f t="shared" si="44"/>
        <v>PETM</v>
      </c>
      <c r="K923" s="261"/>
      <c r="L923" s="309"/>
      <c r="M923" s="309"/>
      <c r="N923" s="309"/>
      <c r="O923" s="309"/>
      <c r="P923" s="309"/>
      <c r="Q923" s="309"/>
      <c r="R923" s="309"/>
      <c r="S923" s="309"/>
      <c r="T923" s="309"/>
      <c r="U923" s="309"/>
    </row>
    <row r="924" spans="1:21" ht="12.75" customHeight="1">
      <c r="A924" s="1365" t="s">
        <v>824</v>
      </c>
      <c r="B924" s="627"/>
      <c r="C924" s="785"/>
      <c r="D924" s="786"/>
      <c r="E924" s="858"/>
      <c r="F924" s="781"/>
      <c r="G924" s="1507"/>
      <c r="H924" s="1526"/>
      <c r="I924" s="1501" t="str">
        <f t="shared" si="46"/>
        <v/>
      </c>
      <c r="J924" s="1501" t="str">
        <f t="shared" si="44"/>
        <v/>
      </c>
      <c r="K924" s="261"/>
      <c r="L924" s="309"/>
      <c r="M924" s="309"/>
      <c r="N924" s="309"/>
      <c r="O924" s="309"/>
      <c r="P924" s="309"/>
      <c r="Q924" s="309"/>
      <c r="R924" s="309"/>
      <c r="S924" s="309"/>
      <c r="T924" s="309"/>
      <c r="U924" s="309"/>
    </row>
    <row r="925" spans="1:21" ht="12.75" customHeight="1">
      <c r="A925" s="1361" t="s">
        <v>441</v>
      </c>
      <c r="B925" s="625">
        <v>20</v>
      </c>
      <c r="C925" s="623">
        <v>66.929900000000004</v>
      </c>
      <c r="D925" s="792">
        <v>9.99</v>
      </c>
      <c r="E925" s="624">
        <f>(B925*C925)-D925</f>
        <v>1328.6079999999999</v>
      </c>
      <c r="F925" s="546" t="s">
        <v>442</v>
      </c>
      <c r="G925" s="1507"/>
      <c r="H925" s="1526"/>
      <c r="I925" s="1501" t="str">
        <f t="shared" si="46"/>
        <v>PETM</v>
      </c>
      <c r="J925" s="1501" t="str">
        <f t="shared" si="44"/>
        <v/>
      </c>
      <c r="K925" s="261"/>
      <c r="L925" s="309"/>
      <c r="M925" s="309"/>
      <c r="N925" s="309"/>
      <c r="O925" s="309"/>
      <c r="P925" s="309"/>
      <c r="Q925" s="309"/>
      <c r="R925" s="309"/>
      <c r="S925" s="309"/>
      <c r="T925" s="309"/>
      <c r="U925" s="309"/>
    </row>
    <row r="926" spans="1:21" ht="12.75" customHeight="1">
      <c r="A926" s="1363" t="s">
        <v>820</v>
      </c>
      <c r="B926" s="627"/>
      <c r="C926" s="785"/>
      <c r="D926" s="786"/>
      <c r="E926" s="858"/>
      <c r="F926" s="781"/>
      <c r="G926" s="1507"/>
      <c r="H926" s="1526"/>
      <c r="I926" s="1501" t="str">
        <f t="shared" si="46"/>
        <v/>
      </c>
      <c r="J926" s="1501" t="str">
        <f t="shared" si="44"/>
        <v/>
      </c>
      <c r="K926" s="261"/>
      <c r="L926" s="309"/>
      <c r="M926" s="309"/>
      <c r="N926" s="309"/>
      <c r="O926" s="309"/>
      <c r="P926" s="309"/>
      <c r="Q926" s="309"/>
      <c r="R926" s="309"/>
      <c r="S926" s="309"/>
      <c r="T926" s="309"/>
      <c r="U926" s="309"/>
    </row>
    <row r="927" spans="1:21" ht="12.75" customHeight="1">
      <c r="A927" s="1361" t="s">
        <v>298</v>
      </c>
      <c r="B927" s="625">
        <v>35</v>
      </c>
      <c r="C927" s="623">
        <v>64.653999999999996</v>
      </c>
      <c r="D927" s="792">
        <v>9.99</v>
      </c>
      <c r="E927" s="624">
        <f>(B927*C927)-D927</f>
        <v>2252.9</v>
      </c>
      <c r="F927" s="546" t="s">
        <v>299</v>
      </c>
      <c r="G927" s="1507"/>
      <c r="H927" s="1526"/>
      <c r="I927" s="1501" t="str">
        <f t="shared" si="46"/>
        <v/>
      </c>
      <c r="J927" s="1501" t="str">
        <f t="shared" si="44"/>
        <v/>
      </c>
      <c r="K927" s="261"/>
      <c r="L927" s="309"/>
      <c r="M927" s="309"/>
      <c r="N927" s="309"/>
      <c r="O927" s="309"/>
      <c r="P927" s="309"/>
      <c r="Q927" s="309"/>
      <c r="R927" s="309"/>
      <c r="S927" s="309"/>
      <c r="T927" s="309"/>
      <c r="U927" s="309"/>
    </row>
    <row r="928" spans="1:21" ht="12.75" customHeight="1">
      <c r="A928" s="280"/>
      <c r="B928" s="627"/>
      <c r="C928" s="785"/>
      <c r="D928" s="786"/>
      <c r="E928" s="858"/>
      <c r="F928" s="781"/>
      <c r="G928" s="1507"/>
      <c r="H928" s="1526"/>
      <c r="I928" s="1501" t="str">
        <f t="shared" si="46"/>
        <v/>
      </c>
      <c r="J928" s="1501" t="str">
        <f t="shared" si="44"/>
        <v/>
      </c>
      <c r="K928" s="261"/>
      <c r="L928" s="309"/>
      <c r="M928" s="309"/>
      <c r="N928" s="309"/>
      <c r="O928" s="309"/>
      <c r="P928" s="309"/>
      <c r="Q928" s="309"/>
      <c r="R928" s="309"/>
      <c r="S928" s="309"/>
      <c r="T928" s="309"/>
      <c r="U928" s="309"/>
    </row>
    <row r="929" spans="1:21" ht="12.75" customHeight="1">
      <c r="A929" s="1369" t="s">
        <v>898</v>
      </c>
      <c r="B929" s="627"/>
      <c r="C929" s="785"/>
      <c r="D929" s="786"/>
      <c r="E929" s="858"/>
      <c r="F929" s="781"/>
      <c r="G929" s="1507"/>
      <c r="H929" s="1526"/>
      <c r="I929" s="1501" t="str">
        <f t="shared" si="46"/>
        <v/>
      </c>
      <c r="J929" s="1501" t="str">
        <f t="shared" si="44"/>
        <v>GILD</v>
      </c>
      <c r="K929" s="261"/>
      <c r="L929" s="309"/>
      <c r="M929" s="309"/>
      <c r="N929" s="309"/>
      <c r="O929" s="309"/>
      <c r="P929" s="309"/>
      <c r="Q929" s="309"/>
      <c r="R929" s="309"/>
      <c r="S929" s="309"/>
      <c r="T929" s="309"/>
      <c r="U929" s="309"/>
    </row>
    <row r="930" spans="1:21" ht="12.75" customHeight="1">
      <c r="A930" s="1178" t="s">
        <v>824</v>
      </c>
      <c r="B930" s="627"/>
      <c r="C930" s="785"/>
      <c r="D930" s="786"/>
      <c r="E930" s="858"/>
      <c r="F930" s="781"/>
      <c r="G930" s="1507"/>
      <c r="H930" s="1526"/>
      <c r="I930" s="1501" t="str">
        <f t="shared" si="46"/>
        <v/>
      </c>
      <c r="J930" s="1501" t="str">
        <f t="shared" si="44"/>
        <v/>
      </c>
      <c r="K930" s="261"/>
      <c r="L930" s="309"/>
      <c r="M930" s="309"/>
      <c r="N930" s="309"/>
      <c r="O930" s="309"/>
      <c r="P930" s="309"/>
      <c r="Q930" s="309"/>
      <c r="R930" s="309"/>
      <c r="S930" s="309"/>
      <c r="T930" s="309"/>
      <c r="U930" s="309"/>
    </row>
    <row r="931" spans="1:21" ht="12.75" customHeight="1">
      <c r="A931" s="335" t="s">
        <v>410</v>
      </c>
      <c r="B931" s="625">
        <v>40</v>
      </c>
      <c r="C931" s="623">
        <v>75.39</v>
      </c>
      <c r="D931" s="792">
        <v>9.99</v>
      </c>
      <c r="E931" s="624">
        <f>(C931*B931)-D931</f>
        <v>3005.61</v>
      </c>
      <c r="F931" s="546" t="s">
        <v>411</v>
      </c>
      <c r="G931" s="1507"/>
      <c r="H931" s="1526"/>
      <c r="I931" s="1501" t="str">
        <f t="shared" si="46"/>
        <v>GILD</v>
      </c>
      <c r="J931" s="1501" t="str">
        <f t="shared" si="44"/>
        <v/>
      </c>
      <c r="K931" s="261"/>
      <c r="L931" s="323"/>
      <c r="M931" s="323"/>
      <c r="N931" s="323"/>
      <c r="O931" s="323"/>
      <c r="P931" s="323"/>
      <c r="Q931" s="323"/>
      <c r="R931" s="323"/>
      <c r="S931" s="323"/>
      <c r="T931" s="323"/>
      <c r="U931" s="323"/>
    </row>
    <row r="932" spans="1:21" ht="12.75" customHeight="1">
      <c r="A932" s="1178" t="s">
        <v>820</v>
      </c>
      <c r="B932" s="625"/>
      <c r="C932" s="623"/>
      <c r="D932" s="792"/>
      <c r="E932" s="624"/>
      <c r="F932" s="546"/>
      <c r="G932" s="1507"/>
      <c r="H932" s="1526"/>
      <c r="I932" s="1501" t="str">
        <f t="shared" si="46"/>
        <v/>
      </c>
      <c r="J932" s="1501" t="str">
        <f t="shared" si="44"/>
        <v/>
      </c>
      <c r="K932" s="1367"/>
      <c r="L932" s="323"/>
      <c r="M932" s="323"/>
      <c r="N932" s="323"/>
      <c r="O932" s="323"/>
      <c r="P932" s="323"/>
      <c r="Q932" s="323"/>
      <c r="R932" s="323"/>
      <c r="S932" s="323"/>
      <c r="T932" s="323"/>
      <c r="U932" s="323"/>
    </row>
    <row r="933" spans="1:21" ht="12.75" customHeight="1">
      <c r="A933" s="335" t="s">
        <v>673</v>
      </c>
      <c r="B933" s="625">
        <v>40</v>
      </c>
      <c r="C933" s="623">
        <v>49.850099999999998</v>
      </c>
      <c r="D933" s="792">
        <v>9.99</v>
      </c>
      <c r="E933" s="624">
        <f>(C933*B933)-D933</f>
        <v>1984.0139999999999</v>
      </c>
      <c r="F933" s="546" t="s">
        <v>362</v>
      </c>
      <c r="G933" s="1507"/>
      <c r="H933" s="1526"/>
      <c r="I933" s="1501" t="str">
        <f t="shared" si="46"/>
        <v/>
      </c>
      <c r="J933" s="1501" t="str">
        <f t="shared" si="44"/>
        <v/>
      </c>
      <c r="K933" s="1367"/>
      <c r="L933" s="323"/>
      <c r="M933" s="323"/>
      <c r="N933" s="323"/>
      <c r="O933" s="323"/>
      <c r="P933" s="323"/>
      <c r="Q933" s="323"/>
      <c r="R933" s="323"/>
      <c r="S933" s="323"/>
      <c r="T933" s="323"/>
      <c r="U933" s="323"/>
    </row>
    <row r="934" spans="1:21" ht="12.75" customHeight="1">
      <c r="A934" s="280"/>
      <c r="B934" s="627"/>
      <c r="C934" s="785"/>
      <c r="D934" s="786"/>
      <c r="E934" s="624"/>
      <c r="F934" s="781"/>
      <c r="G934" s="1515"/>
      <c r="H934" s="1529"/>
      <c r="I934" s="1501" t="str">
        <f t="shared" si="46"/>
        <v/>
      </c>
      <c r="J934" s="1501" t="str">
        <f t="shared" si="44"/>
        <v/>
      </c>
      <c r="K934" s="1367"/>
      <c r="L934" s="323"/>
      <c r="M934" s="323"/>
      <c r="N934" s="323"/>
      <c r="O934" s="323"/>
      <c r="P934" s="323"/>
      <c r="Q934" s="323"/>
      <c r="R934" s="323"/>
      <c r="S934" s="323"/>
      <c r="T934" s="323"/>
      <c r="U934" s="323"/>
    </row>
    <row r="935" spans="1:21" ht="12.75" customHeight="1">
      <c r="A935" s="1366">
        <v>41745</v>
      </c>
      <c r="B935" s="627"/>
      <c r="C935" s="785"/>
      <c r="D935" s="786"/>
      <c r="E935" s="624"/>
      <c r="F935" s="781"/>
      <c r="G935" s="1515"/>
      <c r="H935" s="1529"/>
      <c r="I935" s="1501" t="str">
        <f t="shared" si="46"/>
        <v/>
      </c>
      <c r="J935" s="1501" t="str">
        <f t="shared" si="44"/>
        <v>ACN</v>
      </c>
      <c r="K935" s="1367"/>
      <c r="L935" s="323"/>
      <c r="M935" s="323"/>
      <c r="N935" s="323"/>
      <c r="O935" s="323"/>
      <c r="P935" s="323"/>
      <c r="Q935" s="323"/>
      <c r="R935" s="323"/>
      <c r="S935" s="323"/>
      <c r="T935" s="323"/>
      <c r="U935" s="323"/>
    </row>
    <row r="936" spans="1:21" ht="12.75" customHeight="1">
      <c r="A936" s="1178" t="s">
        <v>824</v>
      </c>
      <c r="B936" s="627"/>
      <c r="C936" s="785"/>
      <c r="D936" s="786"/>
      <c r="E936" s="624"/>
      <c r="F936" s="781"/>
      <c r="G936" s="1507"/>
      <c r="H936" s="1526"/>
      <c r="I936" s="1501" t="str">
        <f t="shared" si="46"/>
        <v/>
      </c>
      <c r="J936" s="1501" t="str">
        <f>IF(F938="","",IF(OR(A935="Sell",A936="Sell"),"",F938))</f>
        <v>WFC</v>
      </c>
      <c r="K936" s="1367"/>
      <c r="L936" s="323"/>
      <c r="M936" s="323"/>
      <c r="N936" s="323"/>
      <c r="O936" s="323"/>
      <c r="P936" s="323"/>
      <c r="Q936" s="323"/>
      <c r="R936" s="323"/>
      <c r="S936" s="323"/>
      <c r="T936" s="323"/>
      <c r="U936" s="323"/>
    </row>
    <row r="937" spans="1:21" ht="12.75" customHeight="1">
      <c r="A937" s="1361" t="s">
        <v>395</v>
      </c>
      <c r="B937" s="807">
        <v>40</v>
      </c>
      <c r="C937" s="826">
        <v>79.790000000000006</v>
      </c>
      <c r="D937" s="841">
        <v>9.99</v>
      </c>
      <c r="E937" s="624">
        <f>(C937*B937)-D937</f>
        <v>3181.6100000000006</v>
      </c>
      <c r="F937" s="1497" t="s">
        <v>396</v>
      </c>
      <c r="G937" s="1515"/>
      <c r="H937" s="1529"/>
      <c r="I937" s="1501" t="str">
        <f t="shared" si="46"/>
        <v>ACN</v>
      </c>
      <c r="J937" s="1501" t="str">
        <f t="shared" ref="J937:J975" si="47">IF(F939="","",IF(OR(A937="Sell",A938="Sell"),"",F939))</f>
        <v/>
      </c>
      <c r="K937" s="1367"/>
      <c r="L937" s="323"/>
      <c r="M937" s="323"/>
      <c r="N937" s="323"/>
      <c r="O937" s="323"/>
      <c r="P937" s="323"/>
      <c r="Q937" s="323"/>
      <c r="R937" s="323"/>
      <c r="S937" s="323"/>
      <c r="T937" s="323"/>
      <c r="U937" s="323"/>
    </row>
    <row r="938" spans="1:21" ht="12.75" customHeight="1">
      <c r="A938" s="1361" t="s">
        <v>426</v>
      </c>
      <c r="B938" s="807">
        <v>30</v>
      </c>
      <c r="C938" s="826">
        <v>49.1</v>
      </c>
      <c r="D938" s="841">
        <v>9.99</v>
      </c>
      <c r="E938" s="624">
        <f>(C938*B938)-D938</f>
        <v>1463.01</v>
      </c>
      <c r="F938" s="547" t="s">
        <v>310</v>
      </c>
      <c r="G938" s="1515"/>
      <c r="H938" s="1529"/>
      <c r="I938" s="1501" t="str">
        <f>IF(F938="","",IF(OR(A936="Sell",A938="Sell"),"",F938))</f>
        <v>WFC</v>
      </c>
      <c r="J938" s="1501" t="str">
        <f t="shared" si="47"/>
        <v/>
      </c>
      <c r="K938" s="1367"/>
      <c r="L938" s="309"/>
      <c r="M938" s="309"/>
      <c r="N938" s="309"/>
      <c r="O938" s="309"/>
      <c r="P938" s="309"/>
      <c r="Q938" s="309"/>
      <c r="R938" s="309"/>
      <c r="S938" s="309"/>
      <c r="T938" s="309"/>
      <c r="U938" s="309"/>
    </row>
    <row r="939" spans="1:21" ht="12.75" customHeight="1">
      <c r="A939" s="1363"/>
      <c r="B939" s="627"/>
      <c r="C939" s="785"/>
      <c r="D939" s="786"/>
      <c r="E939" s="624"/>
      <c r="F939" s="781"/>
      <c r="G939" s="1515"/>
      <c r="H939" s="1529"/>
      <c r="I939" s="1501" t="str">
        <f t="shared" ref="I939:I961" si="48">IF(F939="","",IF(OR(A938="Sell",A939="Sell"),"",F939))</f>
        <v/>
      </c>
      <c r="J939" s="1501" t="str">
        <f t="shared" si="47"/>
        <v/>
      </c>
      <c r="K939" s="1371"/>
      <c r="L939" s="323"/>
      <c r="M939" s="323"/>
      <c r="N939" s="323"/>
      <c r="O939" s="323"/>
      <c r="P939" s="323"/>
      <c r="Q939" s="323"/>
      <c r="R939" s="323"/>
      <c r="S939" s="323"/>
      <c r="T939" s="323"/>
      <c r="U939" s="323"/>
    </row>
    <row r="940" spans="1:21" ht="12.75" customHeight="1">
      <c r="A940" s="1372">
        <v>41620</v>
      </c>
      <c r="B940" s="809"/>
      <c r="C940" s="827"/>
      <c r="D940" s="842"/>
      <c r="E940" s="624"/>
      <c r="F940" s="544"/>
      <c r="G940" s="1515"/>
      <c r="H940" s="1529"/>
      <c r="I940" s="1501" t="str">
        <f t="shared" si="48"/>
        <v/>
      </c>
      <c r="J940" s="1501" t="str">
        <f t="shared" si="47"/>
        <v>KMI</v>
      </c>
      <c r="K940" s="1367"/>
      <c r="L940" s="323"/>
      <c r="M940" s="323"/>
      <c r="N940" s="323"/>
      <c r="O940" s="323"/>
      <c r="P940" s="323"/>
      <c r="Q940" s="323"/>
      <c r="R940" s="323"/>
      <c r="S940" s="323"/>
      <c r="T940" s="323"/>
      <c r="U940" s="323"/>
    </row>
    <row r="941" spans="1:21" ht="12.75" customHeight="1">
      <c r="A941" s="1373" t="s">
        <v>824</v>
      </c>
      <c r="B941" s="809"/>
      <c r="C941" s="827"/>
      <c r="D941" s="842"/>
      <c r="E941" s="624"/>
      <c r="F941" s="544"/>
      <c r="G941" s="1515"/>
      <c r="H941" s="1529"/>
      <c r="I941" s="1501" t="str">
        <f t="shared" si="48"/>
        <v/>
      </c>
      <c r="J941" s="1501" t="str">
        <f t="shared" si="47"/>
        <v/>
      </c>
      <c r="K941" s="1367"/>
      <c r="L941" s="323"/>
      <c r="M941" s="323"/>
      <c r="N941" s="323"/>
      <c r="O941" s="323"/>
      <c r="P941" s="323"/>
      <c r="Q941" s="323"/>
      <c r="R941" s="323"/>
      <c r="S941" s="323"/>
      <c r="T941" s="323"/>
      <c r="U941" s="323"/>
    </row>
    <row r="942" spans="1:21" ht="12.75" customHeight="1">
      <c r="A942" s="1374" t="s">
        <v>363</v>
      </c>
      <c r="B942" s="807">
        <v>37</v>
      </c>
      <c r="C942" s="826">
        <v>80.540000000000006</v>
      </c>
      <c r="D942" s="841">
        <v>9.99</v>
      </c>
      <c r="E942" s="624">
        <f>(C942*B942)-D942</f>
        <v>2969.9900000000002</v>
      </c>
      <c r="F942" s="547" t="s">
        <v>458</v>
      </c>
      <c r="G942" s="1515"/>
      <c r="H942" s="1529"/>
      <c r="I942" s="1501" t="str">
        <f t="shared" si="48"/>
        <v>KMI</v>
      </c>
      <c r="J942" s="1501" t="str">
        <f t="shared" si="47"/>
        <v/>
      </c>
      <c r="K942" s="1367"/>
      <c r="L942" s="323"/>
      <c r="M942" s="323"/>
      <c r="N942" s="323"/>
      <c r="O942" s="323"/>
      <c r="P942" s="323"/>
      <c r="Q942" s="323"/>
      <c r="R942" s="323"/>
      <c r="S942" s="323"/>
      <c r="T942" s="323"/>
      <c r="U942" s="323"/>
    </row>
    <row r="943" spans="1:21" ht="12.75" customHeight="1">
      <c r="A943" s="1373"/>
      <c r="B943" s="810"/>
      <c r="C943" s="828"/>
      <c r="D943" s="843" t="s">
        <v>899</v>
      </c>
      <c r="E943" s="624"/>
      <c r="F943" s="544"/>
      <c r="G943" s="1515"/>
      <c r="H943" s="1529"/>
      <c r="I943" s="1501" t="str">
        <f t="shared" si="48"/>
        <v/>
      </c>
      <c r="J943" s="1501" t="str">
        <f t="shared" si="47"/>
        <v/>
      </c>
      <c r="K943" s="1367"/>
      <c r="L943" s="323"/>
      <c r="M943" s="323"/>
      <c r="N943" s="323"/>
      <c r="O943" s="323"/>
      <c r="P943" s="323"/>
      <c r="Q943" s="323"/>
      <c r="R943" s="323"/>
      <c r="S943" s="323"/>
      <c r="T943" s="323"/>
      <c r="U943" s="323"/>
    </row>
    <row r="944" spans="1:21" ht="12.75" customHeight="1">
      <c r="A944" s="283">
        <v>41620</v>
      </c>
      <c r="B944" s="809"/>
      <c r="C944" s="828"/>
      <c r="D944" s="842"/>
      <c r="E944" s="624"/>
      <c r="F944" s="544"/>
      <c r="G944" s="1516"/>
      <c r="H944" s="1530"/>
      <c r="I944" s="1501" t="str">
        <f t="shared" si="48"/>
        <v/>
      </c>
      <c r="J944" s="1501" t="str">
        <f t="shared" si="47"/>
        <v/>
      </c>
      <c r="K944" s="1367"/>
      <c r="L944" s="323"/>
      <c r="M944" s="323"/>
      <c r="N944" s="323"/>
      <c r="O944" s="323"/>
      <c r="P944" s="323"/>
      <c r="Q944" s="323"/>
      <c r="R944" s="323"/>
      <c r="S944" s="323"/>
      <c r="T944" s="323"/>
      <c r="U944" s="323"/>
    </row>
    <row r="945" spans="1:21" ht="12.75" customHeight="1">
      <c r="A945" s="1375" t="s">
        <v>820</v>
      </c>
      <c r="B945" s="809"/>
      <c r="C945" s="827"/>
      <c r="D945" s="842"/>
      <c r="E945" s="624"/>
      <c r="F945" s="544"/>
      <c r="G945" s="1515"/>
      <c r="H945" s="1529"/>
      <c r="I945" s="1501" t="str">
        <f t="shared" si="48"/>
        <v/>
      </c>
      <c r="J945" s="1501" t="str">
        <f t="shared" si="47"/>
        <v/>
      </c>
      <c r="K945" s="1367"/>
      <c r="L945" s="323"/>
      <c r="M945" s="323"/>
      <c r="N945" s="323"/>
      <c r="O945" s="323"/>
      <c r="P945" s="323"/>
      <c r="Q945" s="323"/>
      <c r="R945" s="323"/>
      <c r="S945" s="323"/>
      <c r="T945" s="323"/>
      <c r="U945" s="323"/>
    </row>
    <row r="946" spans="1:21" ht="12.75" customHeight="1">
      <c r="A946" s="1374" t="s">
        <v>252</v>
      </c>
      <c r="B946" s="807">
        <v>20</v>
      </c>
      <c r="C946" s="826">
        <v>52.71</v>
      </c>
      <c r="D946" s="841">
        <v>9.99</v>
      </c>
      <c r="E946" s="624">
        <f>(C946*B946)-D946</f>
        <v>1044.21</v>
      </c>
      <c r="F946" s="547" t="s">
        <v>253</v>
      </c>
      <c r="G946" s="1515"/>
      <c r="H946" s="1529"/>
      <c r="I946" s="1501" t="str">
        <f t="shared" si="48"/>
        <v/>
      </c>
      <c r="J946" s="1501" t="str">
        <f t="shared" si="47"/>
        <v/>
      </c>
      <c r="K946" s="1367"/>
      <c r="L946" s="323"/>
      <c r="M946" s="323"/>
      <c r="N946" s="323"/>
      <c r="O946" s="323"/>
      <c r="P946" s="323"/>
      <c r="Q946" s="323"/>
      <c r="R946" s="323"/>
      <c r="S946" s="323"/>
      <c r="T946" s="323"/>
      <c r="U946" s="323"/>
    </row>
    <row r="947" spans="1:21" ht="12.75" customHeight="1">
      <c r="A947" s="408"/>
      <c r="B947" s="811"/>
      <c r="C947" s="829"/>
      <c r="D947" s="844"/>
      <c r="E947" s="624"/>
      <c r="F947" s="359"/>
      <c r="G947" s="1515"/>
      <c r="H947" s="1529"/>
      <c r="I947" s="1501" t="str">
        <f t="shared" si="48"/>
        <v/>
      </c>
      <c r="J947" s="1501" t="str">
        <f t="shared" si="47"/>
        <v/>
      </c>
      <c r="K947" s="1367"/>
      <c r="L947" s="323"/>
      <c r="M947" s="323"/>
      <c r="N947" s="323"/>
      <c r="O947" s="323"/>
      <c r="P947" s="323"/>
      <c r="Q947" s="323"/>
      <c r="R947" s="323"/>
      <c r="S947" s="323"/>
      <c r="T947" s="323"/>
      <c r="U947" s="323"/>
    </row>
    <row r="948" spans="1:21" ht="12.75" customHeight="1">
      <c r="A948" s="284">
        <v>41612</v>
      </c>
      <c r="B948" s="807"/>
      <c r="C948" s="826"/>
      <c r="D948" s="841"/>
      <c r="E948" s="624"/>
      <c r="F948" s="547"/>
      <c r="G948" s="1515"/>
      <c r="H948" s="1529"/>
      <c r="I948" s="1501" t="str">
        <f t="shared" si="48"/>
        <v/>
      </c>
      <c r="J948" s="1501" t="str">
        <f t="shared" si="47"/>
        <v/>
      </c>
      <c r="K948" s="1367"/>
      <c r="L948" s="323"/>
      <c r="M948" s="323"/>
      <c r="N948" s="323"/>
      <c r="O948" s="323"/>
      <c r="P948" s="323"/>
      <c r="Q948" s="323"/>
      <c r="R948" s="323"/>
      <c r="S948" s="323"/>
      <c r="T948" s="323"/>
      <c r="U948" s="323"/>
    </row>
    <row r="949" spans="1:21" ht="12.75" customHeight="1">
      <c r="A949" s="1374" t="s">
        <v>900</v>
      </c>
      <c r="B949" s="807"/>
      <c r="C949" s="826"/>
      <c r="D949" s="841"/>
      <c r="E949" s="624"/>
      <c r="F949" s="547"/>
      <c r="G949" s="1515"/>
      <c r="H949" s="1529"/>
      <c r="I949" s="1501" t="str">
        <f t="shared" si="48"/>
        <v/>
      </c>
      <c r="J949" s="1501" t="str">
        <f t="shared" si="47"/>
        <v/>
      </c>
      <c r="K949" s="1367"/>
      <c r="L949" s="323"/>
      <c r="M949" s="323"/>
      <c r="N949" s="323"/>
      <c r="O949" s="323"/>
      <c r="P949" s="323"/>
      <c r="Q949" s="323"/>
      <c r="R949" s="323"/>
      <c r="S949" s="323"/>
      <c r="T949" s="323"/>
      <c r="U949" s="323"/>
    </row>
    <row r="950" spans="1:21" ht="12.75" customHeight="1">
      <c r="A950" s="285"/>
      <c r="B950" s="809"/>
      <c r="C950" s="827"/>
      <c r="D950" s="842"/>
      <c r="E950" s="624"/>
      <c r="F950" s="544"/>
      <c r="G950" s="1515"/>
      <c r="H950" s="1529"/>
      <c r="I950" s="1501" t="str">
        <f t="shared" si="48"/>
        <v/>
      </c>
      <c r="J950" s="1501" t="str">
        <f t="shared" si="47"/>
        <v/>
      </c>
      <c r="K950" s="1367"/>
      <c r="L950" s="323"/>
      <c r="M950" s="323"/>
      <c r="N950" s="323"/>
      <c r="O950" s="323"/>
      <c r="P950" s="323"/>
      <c r="Q950" s="323"/>
      <c r="R950" s="323"/>
      <c r="S950" s="323"/>
      <c r="T950" s="323"/>
      <c r="U950" s="323"/>
    </row>
    <row r="951" spans="1:21" ht="12.75" customHeight="1">
      <c r="A951" s="286">
        <v>41611</v>
      </c>
      <c r="B951" s="809"/>
      <c r="C951" s="827"/>
      <c r="D951" s="842"/>
      <c r="E951" s="624"/>
      <c r="F951" s="544"/>
      <c r="G951" s="1515"/>
      <c r="H951" s="1529"/>
      <c r="I951" s="1501" t="str">
        <f t="shared" si="48"/>
        <v/>
      </c>
      <c r="J951" s="1501" t="str">
        <f t="shared" si="47"/>
        <v>PEG</v>
      </c>
      <c r="K951" s="1367"/>
      <c r="L951" s="323"/>
      <c r="M951" s="323"/>
      <c r="N951" s="323"/>
      <c r="O951" s="323"/>
      <c r="P951" s="323"/>
      <c r="Q951" s="323"/>
      <c r="R951" s="323"/>
      <c r="S951" s="323"/>
      <c r="T951" s="323"/>
      <c r="U951" s="323"/>
    </row>
    <row r="952" spans="1:21" ht="12.75" customHeight="1">
      <c r="A952" s="1373" t="s">
        <v>824</v>
      </c>
      <c r="B952" s="807"/>
      <c r="C952" s="826"/>
      <c r="D952" s="841"/>
      <c r="E952" s="624"/>
      <c r="F952" s="547"/>
      <c r="G952" s="1515"/>
      <c r="H952" s="1529"/>
      <c r="I952" s="1501" t="str">
        <f t="shared" si="48"/>
        <v/>
      </c>
      <c r="J952" s="1501" t="str">
        <f t="shared" si="47"/>
        <v/>
      </c>
      <c r="K952" s="1367"/>
      <c r="L952" s="323"/>
      <c r="M952" s="323"/>
      <c r="N952" s="323"/>
      <c r="O952" s="323"/>
      <c r="P952" s="323"/>
      <c r="Q952" s="323"/>
      <c r="R952" s="323"/>
      <c r="S952" s="323"/>
      <c r="T952" s="323"/>
      <c r="U952" s="323"/>
    </row>
    <row r="953" spans="1:21" ht="12.75" customHeight="1">
      <c r="A953" s="1177" t="s">
        <v>365</v>
      </c>
      <c r="B953" s="807">
        <v>60</v>
      </c>
      <c r="C953" s="826">
        <v>33.18</v>
      </c>
      <c r="D953" s="841">
        <v>9.99</v>
      </c>
      <c r="E953" s="624">
        <f>(C953*B953)-D953</f>
        <v>1980.81</v>
      </c>
      <c r="F953" s="547" t="s">
        <v>80</v>
      </c>
      <c r="G953" s="1515"/>
      <c r="H953" s="1529"/>
      <c r="I953" s="1501" t="str">
        <f t="shared" si="48"/>
        <v>PEG</v>
      </c>
      <c r="J953" s="1501" t="str">
        <f t="shared" si="47"/>
        <v/>
      </c>
      <c r="K953" s="1367"/>
      <c r="L953" s="323"/>
      <c r="M953" s="323"/>
      <c r="N953" s="323"/>
      <c r="O953" s="323"/>
      <c r="P953" s="323"/>
      <c r="Q953" s="323"/>
      <c r="R953" s="323"/>
      <c r="S953" s="323"/>
      <c r="T953" s="323"/>
      <c r="U953" s="323"/>
    </row>
    <row r="954" spans="1:21" ht="12.75" customHeight="1">
      <c r="A954" s="287"/>
      <c r="B954" s="807"/>
      <c r="C954" s="826"/>
      <c r="D954" s="841"/>
      <c r="E954" s="624"/>
      <c r="F954" s="547"/>
      <c r="G954" s="1515"/>
      <c r="H954" s="1529"/>
      <c r="I954" s="1501" t="str">
        <f t="shared" si="48"/>
        <v/>
      </c>
      <c r="J954" s="1501" t="str">
        <f t="shared" si="47"/>
        <v/>
      </c>
      <c r="K954" s="1367"/>
      <c r="L954" s="323"/>
      <c r="M954" s="323"/>
      <c r="N954" s="323"/>
      <c r="O954" s="323"/>
      <c r="P954" s="323"/>
      <c r="Q954" s="323"/>
      <c r="R954" s="323"/>
      <c r="S954" s="323"/>
      <c r="T954" s="323"/>
      <c r="U954" s="323"/>
    </row>
    <row r="955" spans="1:21" ht="12.75" customHeight="1">
      <c r="A955" s="286">
        <v>41599</v>
      </c>
      <c r="B955" s="809"/>
      <c r="C955" s="827"/>
      <c r="D955" s="842"/>
      <c r="E955" s="624"/>
      <c r="F955" s="544"/>
      <c r="G955" s="1515"/>
      <c r="H955" s="1529"/>
      <c r="I955" s="1501" t="str">
        <f t="shared" si="48"/>
        <v/>
      </c>
      <c r="J955" s="1501" t="str">
        <f t="shared" si="47"/>
        <v/>
      </c>
      <c r="K955" s="1367"/>
      <c r="L955" s="323"/>
      <c r="M955" s="323"/>
      <c r="N955" s="323"/>
      <c r="O955" s="323"/>
      <c r="P955" s="323"/>
      <c r="Q955" s="323"/>
      <c r="R955" s="323"/>
      <c r="S955" s="323"/>
      <c r="T955" s="323"/>
      <c r="U955" s="323"/>
    </row>
    <row r="956" spans="1:21" ht="12.75" customHeight="1">
      <c r="A956" s="1373" t="s">
        <v>820</v>
      </c>
      <c r="B956" s="807"/>
      <c r="C956" s="826"/>
      <c r="D956" s="841"/>
      <c r="E956" s="624"/>
      <c r="F956" s="547"/>
      <c r="G956" s="1515"/>
      <c r="H956" s="1529"/>
      <c r="I956" s="1501" t="str">
        <f t="shared" si="48"/>
        <v/>
      </c>
      <c r="J956" s="1501" t="str">
        <f t="shared" si="47"/>
        <v/>
      </c>
      <c r="K956" s="1367"/>
      <c r="L956" s="323"/>
      <c r="M956" s="323"/>
      <c r="N956" s="323"/>
      <c r="O956" s="323"/>
      <c r="P956" s="323"/>
      <c r="Q956" s="323"/>
      <c r="R956" s="323"/>
      <c r="S956" s="323"/>
      <c r="T956" s="323"/>
      <c r="U956" s="323"/>
    </row>
    <row r="957" spans="1:21" ht="12.75" customHeight="1">
      <c r="A957" s="1374" t="s">
        <v>280</v>
      </c>
      <c r="B957" s="807">
        <v>30</v>
      </c>
      <c r="C957" s="826">
        <v>52.45</v>
      </c>
      <c r="D957" s="841">
        <v>9.99</v>
      </c>
      <c r="E957" s="624">
        <f>(C957*B957)-D957</f>
        <v>1563.51</v>
      </c>
      <c r="F957" s="547" t="s">
        <v>251</v>
      </c>
      <c r="G957" s="1515"/>
      <c r="H957" s="1529"/>
      <c r="I957" s="1501" t="str">
        <f t="shared" si="48"/>
        <v/>
      </c>
      <c r="J957" s="1501" t="str">
        <f t="shared" si="47"/>
        <v/>
      </c>
      <c r="K957" s="1367"/>
      <c r="L957" s="323"/>
      <c r="M957" s="323"/>
      <c r="N957" s="323"/>
      <c r="O957" s="323"/>
      <c r="P957" s="323"/>
      <c r="Q957" s="323"/>
      <c r="R957" s="323"/>
      <c r="S957" s="323"/>
      <c r="T957" s="323"/>
      <c r="U957" s="323"/>
    </row>
    <row r="958" spans="1:21" ht="12.75" customHeight="1">
      <c r="A958" s="1374"/>
      <c r="B958" s="807"/>
      <c r="C958" s="826"/>
      <c r="D958" s="841"/>
      <c r="E958" s="624"/>
      <c r="F958" s="547"/>
      <c r="G958" s="1515"/>
      <c r="H958" s="1529"/>
      <c r="I958" s="1501" t="str">
        <f t="shared" si="48"/>
        <v/>
      </c>
      <c r="J958" s="1501" t="str">
        <f t="shared" si="47"/>
        <v/>
      </c>
      <c r="K958" s="1367"/>
      <c r="L958" s="323"/>
      <c r="M958" s="323"/>
      <c r="N958" s="323"/>
      <c r="O958" s="323"/>
      <c r="P958" s="323"/>
      <c r="Q958" s="323"/>
      <c r="R958" s="323"/>
      <c r="S958" s="323"/>
      <c r="T958" s="323"/>
      <c r="U958" s="323"/>
    </row>
    <row r="959" spans="1:21" ht="12.75" customHeight="1">
      <c r="A959" s="283">
        <v>41599</v>
      </c>
      <c r="B959" s="807"/>
      <c r="C959" s="826"/>
      <c r="D959" s="841"/>
      <c r="E959" s="624"/>
      <c r="F959" s="547"/>
      <c r="G959" s="1515"/>
      <c r="H959" s="1529"/>
      <c r="I959" s="1501" t="str">
        <f t="shared" si="48"/>
        <v/>
      </c>
      <c r="J959" s="1501" t="str">
        <f t="shared" si="47"/>
        <v>VYM</v>
      </c>
      <c r="K959" s="1367"/>
      <c r="L959" s="323"/>
      <c r="M959" s="323"/>
      <c r="N959" s="323"/>
      <c r="O959" s="323"/>
      <c r="P959" s="323"/>
      <c r="Q959" s="323"/>
      <c r="R959" s="323"/>
      <c r="S959" s="323"/>
      <c r="T959" s="323"/>
      <c r="U959" s="323"/>
    </row>
    <row r="960" spans="1:21" ht="12.75" customHeight="1">
      <c r="A960" s="1373" t="s">
        <v>824</v>
      </c>
      <c r="B960" s="807"/>
      <c r="C960" s="826"/>
      <c r="D960" s="841"/>
      <c r="E960" s="624"/>
      <c r="F960" s="547"/>
      <c r="G960" s="1515"/>
      <c r="H960" s="1529"/>
      <c r="I960" s="1501" t="str">
        <f t="shared" si="48"/>
        <v/>
      </c>
      <c r="J960" s="1501" t="str">
        <f t="shared" si="47"/>
        <v>DSUM</v>
      </c>
      <c r="K960" s="1367"/>
      <c r="L960" s="309"/>
      <c r="M960" s="309"/>
      <c r="N960" s="309"/>
      <c r="O960" s="309"/>
      <c r="P960" s="309"/>
      <c r="Q960" s="309"/>
      <c r="R960" s="309"/>
      <c r="S960" s="309"/>
      <c r="T960" s="309"/>
      <c r="U960" s="309"/>
    </row>
    <row r="961" spans="1:21" ht="12.75" customHeight="1">
      <c r="A961" s="323" t="s">
        <v>371</v>
      </c>
      <c r="B961" s="807">
        <v>81</v>
      </c>
      <c r="C961" s="826">
        <v>61.62</v>
      </c>
      <c r="D961" s="841">
        <v>9.99</v>
      </c>
      <c r="E961" s="624">
        <f>(C961*B961)-D961</f>
        <v>4981.2299999999996</v>
      </c>
      <c r="F961" s="547" t="s">
        <v>372</v>
      </c>
      <c r="G961" s="1507"/>
      <c r="H961" s="1526"/>
      <c r="I961" s="1501" t="str">
        <f t="shared" si="48"/>
        <v>VYM</v>
      </c>
      <c r="J961" s="1501" t="str">
        <f t="shared" si="47"/>
        <v>HYXU</v>
      </c>
      <c r="K961" s="261"/>
      <c r="L961" s="309"/>
      <c r="M961" s="309"/>
      <c r="N961" s="309"/>
      <c r="O961" s="309"/>
      <c r="P961" s="309"/>
      <c r="Q961" s="309"/>
      <c r="R961" s="309"/>
      <c r="S961" s="309"/>
      <c r="T961" s="309"/>
      <c r="U961" s="309"/>
    </row>
    <row r="962" spans="1:21" ht="12.75" customHeight="1">
      <c r="A962" s="39" t="s">
        <v>377</v>
      </c>
      <c r="B962" s="807">
        <v>200</v>
      </c>
      <c r="C962" s="826">
        <v>25.8</v>
      </c>
      <c r="D962" s="841">
        <v>9.99</v>
      </c>
      <c r="E962" s="624">
        <f t="shared" ref="E962:E967" si="49">(C962*B962)-D962</f>
        <v>5150.01</v>
      </c>
      <c r="F962" s="547" t="s">
        <v>378</v>
      </c>
      <c r="G962" s="1515"/>
      <c r="H962" s="1529"/>
      <c r="I962" s="1501" t="str">
        <f>IF(F962="","",IF(OR(A960="Sell",A962="Sell"),"",F962))</f>
        <v>DSUM</v>
      </c>
      <c r="J962" s="1501" t="str">
        <f t="shared" si="47"/>
        <v>BKLN</v>
      </c>
      <c r="K962" s="261"/>
      <c r="L962" s="309"/>
      <c r="M962" s="309"/>
      <c r="N962" s="309"/>
      <c r="O962" s="309"/>
      <c r="P962" s="309"/>
      <c r="Q962" s="309"/>
      <c r="R962" s="309"/>
      <c r="S962" s="309"/>
      <c r="T962" s="309"/>
      <c r="U962" s="309"/>
    </row>
    <row r="963" spans="1:21" ht="12.75" customHeight="1">
      <c r="A963" s="1374" t="s">
        <v>901</v>
      </c>
      <c r="B963" s="807">
        <v>89</v>
      </c>
      <c r="C963" s="826">
        <v>56.8</v>
      </c>
      <c r="D963" s="841">
        <v>9.99</v>
      </c>
      <c r="E963" s="624">
        <f t="shared" si="49"/>
        <v>5045.21</v>
      </c>
      <c r="F963" s="547" t="s">
        <v>380</v>
      </c>
      <c r="G963" s="1515"/>
      <c r="H963" s="1529"/>
      <c r="I963" s="1501" t="str">
        <f>IF(F963="","",IF(OR(A960="Sell",A963="Sell"),"",F963))</f>
        <v>HYXU</v>
      </c>
      <c r="J963" s="1501" t="str">
        <f t="shared" si="47"/>
        <v>SPHD</v>
      </c>
      <c r="K963" s="261"/>
      <c r="L963" s="309"/>
      <c r="M963" s="309"/>
      <c r="N963" s="309"/>
      <c r="O963" s="309"/>
      <c r="P963" s="309"/>
      <c r="Q963" s="309"/>
      <c r="R963" s="309"/>
      <c r="S963" s="309"/>
      <c r="T963" s="309"/>
      <c r="U963" s="309"/>
    </row>
    <row r="964" spans="1:21" ht="12.75" customHeight="1">
      <c r="A964" s="1374" t="s">
        <v>491</v>
      </c>
      <c r="B964" s="807">
        <v>208</v>
      </c>
      <c r="C964" s="826">
        <v>24.81</v>
      </c>
      <c r="D964" s="841">
        <v>9.99</v>
      </c>
      <c r="E964" s="624">
        <f t="shared" si="49"/>
        <v>5150.49</v>
      </c>
      <c r="F964" s="547" t="s">
        <v>382</v>
      </c>
      <c r="G964" s="1515"/>
      <c r="H964" s="1529"/>
      <c r="I964" s="1501" t="str">
        <f>IF(F964="","",IF(OR(A960="Sell",A964="Sell"),"",F964))</f>
        <v>BKLN</v>
      </c>
      <c r="J964" s="1501" t="str">
        <f t="shared" si="47"/>
        <v>DLN</v>
      </c>
      <c r="K964" s="261"/>
      <c r="L964" s="309"/>
      <c r="M964" s="309"/>
      <c r="N964" s="309"/>
      <c r="O964" s="309"/>
      <c r="P964" s="309"/>
      <c r="Q964" s="309"/>
      <c r="R964" s="309"/>
      <c r="S964" s="309"/>
      <c r="T964" s="309"/>
      <c r="U964" s="309"/>
    </row>
    <row r="965" spans="1:21" ht="12.75" customHeight="1">
      <c r="A965" s="39" t="s">
        <v>902</v>
      </c>
      <c r="B965" s="807">
        <v>178</v>
      </c>
      <c r="C965" s="826">
        <v>31.87</v>
      </c>
      <c r="D965" s="841">
        <v>9.99</v>
      </c>
      <c r="E965" s="624">
        <f t="shared" si="49"/>
        <v>5662.8700000000008</v>
      </c>
      <c r="F965" s="547" t="s">
        <v>368</v>
      </c>
      <c r="G965" s="1515"/>
      <c r="H965" s="1529"/>
      <c r="I965" s="1501" t="str">
        <f>IF(F965="","",IF(OR(A960="Sell",A965="Sell"),"",F965))</f>
        <v>SPHD</v>
      </c>
      <c r="J965" s="1501" t="str">
        <f t="shared" si="47"/>
        <v>SDY</v>
      </c>
      <c r="K965" s="261"/>
      <c r="L965" s="309"/>
      <c r="M965" s="309"/>
      <c r="N965" s="309"/>
      <c r="O965" s="309"/>
      <c r="P965" s="309"/>
      <c r="Q965" s="309"/>
      <c r="R965" s="309"/>
      <c r="S965" s="309"/>
      <c r="T965" s="309"/>
      <c r="U965" s="309"/>
    </row>
    <row r="966" spans="1:21" ht="12.75" customHeight="1">
      <c r="A966" s="1374" t="s">
        <v>373</v>
      </c>
      <c r="B966" s="807">
        <v>38</v>
      </c>
      <c r="C966" s="826">
        <v>65.23</v>
      </c>
      <c r="D966" s="841">
        <v>9.99</v>
      </c>
      <c r="E966" s="624">
        <f t="shared" si="49"/>
        <v>2468.7500000000005</v>
      </c>
      <c r="F966" s="547" t="s">
        <v>374</v>
      </c>
      <c r="G966" s="1515"/>
      <c r="H966" s="1529"/>
      <c r="I966" s="1501" t="str">
        <f>IF(F966="","",IF(OR(A960="Sell",A966="Sell"),"",F966))</f>
        <v>DLN</v>
      </c>
      <c r="J966" s="1501" t="str">
        <f t="shared" si="47"/>
        <v/>
      </c>
      <c r="K966" s="261"/>
      <c r="L966" s="309"/>
      <c r="M966" s="309"/>
      <c r="N966" s="309"/>
      <c r="O966" s="309"/>
      <c r="P966" s="309"/>
      <c r="Q966" s="309"/>
      <c r="R966" s="309"/>
      <c r="S966" s="309"/>
      <c r="T966" s="309"/>
      <c r="U966" s="309"/>
    </row>
    <row r="967" spans="1:21" ht="12.75" customHeight="1">
      <c r="A967" s="323" t="s">
        <v>903</v>
      </c>
      <c r="B967" s="807">
        <v>34</v>
      </c>
      <c r="C967" s="826">
        <v>73.06</v>
      </c>
      <c r="D967" s="841">
        <v>9.99</v>
      </c>
      <c r="E967" s="624">
        <f t="shared" si="49"/>
        <v>2474.0500000000002</v>
      </c>
      <c r="F967" s="547" t="s">
        <v>370</v>
      </c>
      <c r="G967" s="1507"/>
      <c r="H967" s="1526"/>
      <c r="I967" s="1501" t="str">
        <f>IF(F967="","",IF(OR(A960="Sell",A967="Sell"),"",F967))</f>
        <v>SDY</v>
      </c>
      <c r="J967" s="1501" t="str">
        <f t="shared" si="47"/>
        <v/>
      </c>
      <c r="K967" s="261"/>
      <c r="L967" s="309"/>
      <c r="M967" s="309"/>
      <c r="N967" s="309"/>
      <c r="O967" s="309"/>
      <c r="P967" s="309"/>
      <c r="Q967" s="309"/>
      <c r="R967" s="309"/>
      <c r="S967" s="309"/>
      <c r="T967" s="309"/>
      <c r="U967" s="309"/>
    </row>
    <row r="968" spans="1:21" ht="12.75" customHeight="1">
      <c r="A968" s="323"/>
      <c r="B968" s="807"/>
      <c r="C968" s="826"/>
      <c r="D968" s="841"/>
      <c r="E968" s="860"/>
      <c r="F968" s="547"/>
      <c r="G968" s="1507"/>
      <c r="H968" s="1526"/>
      <c r="I968" s="1501" t="str">
        <f>IF(F968="","",IF(OR(A961="Sell",A968="Sell"),"",F968))</f>
        <v/>
      </c>
      <c r="J968" s="1501" t="str">
        <f t="shared" si="47"/>
        <v/>
      </c>
      <c r="K968" s="261"/>
      <c r="L968" s="309"/>
      <c r="M968" s="309"/>
      <c r="N968" s="309"/>
      <c r="O968" s="309"/>
      <c r="P968" s="309"/>
      <c r="Q968" s="309"/>
      <c r="R968" s="309"/>
      <c r="S968" s="309"/>
      <c r="T968" s="309"/>
      <c r="U968" s="309"/>
    </row>
    <row r="969" spans="1:21" ht="12.75" customHeight="1">
      <c r="A969" s="288" t="s">
        <v>904</v>
      </c>
      <c r="B969" s="627"/>
      <c r="C969" s="785"/>
      <c r="D969" s="786"/>
      <c r="E969" s="858"/>
      <c r="F969" s="781"/>
      <c r="G969" s="1507"/>
      <c r="H969" s="1526"/>
      <c r="I969" s="1501" t="str">
        <f>IF(F969="","",IF(OR(A968="Sell",A969="Sell"),"",F969))</f>
        <v/>
      </c>
      <c r="J969" s="1501" t="str">
        <f t="shared" si="47"/>
        <v/>
      </c>
      <c r="K969" s="261"/>
      <c r="L969" s="309"/>
      <c r="M969" s="309"/>
      <c r="N969" s="309"/>
      <c r="O969" s="309"/>
      <c r="P969" s="309"/>
      <c r="Q969" s="309"/>
      <c r="R969" s="309"/>
      <c r="S969" s="309"/>
      <c r="T969" s="309"/>
      <c r="U969" s="309"/>
    </row>
    <row r="970" spans="1:21" ht="12.75" customHeight="1">
      <c r="A970" s="1363" t="s">
        <v>820</v>
      </c>
      <c r="B970" s="627"/>
      <c r="C970" s="785"/>
      <c r="D970" s="786"/>
      <c r="E970" s="858"/>
      <c r="F970" s="781"/>
      <c r="G970" s="1507"/>
      <c r="H970" s="1526"/>
      <c r="I970" s="1501" t="str">
        <f>IF(F970="","",IF(OR(A969="Sell",A970="Sell"),"",F970))</f>
        <v/>
      </c>
      <c r="J970" s="1501" t="str">
        <f t="shared" si="47"/>
        <v/>
      </c>
      <c r="K970" s="261"/>
      <c r="L970" s="309"/>
      <c r="M970" s="309"/>
      <c r="N970" s="309"/>
      <c r="O970" s="309"/>
      <c r="P970" s="309"/>
      <c r="Q970" s="309"/>
      <c r="R970" s="309"/>
      <c r="S970" s="309"/>
      <c r="T970" s="309"/>
      <c r="U970" s="309"/>
    </row>
    <row r="971" spans="1:21" ht="12.75" customHeight="1">
      <c r="A971" s="1361" t="s">
        <v>386</v>
      </c>
      <c r="B971" s="812">
        <v>130</v>
      </c>
      <c r="C971" s="830">
        <v>21.831</v>
      </c>
      <c r="D971" s="792">
        <v>9.99</v>
      </c>
      <c r="E971" s="624">
        <f>(B971*C971)-D971</f>
        <v>2828.04</v>
      </c>
      <c r="F971" s="323" t="s">
        <v>387</v>
      </c>
      <c r="G971" s="1507"/>
      <c r="H971" s="1526"/>
      <c r="I971" s="1501" t="str">
        <f>IF(F971="","",IF(OR(A970="Sell",A971="Sell"),"",F971))</f>
        <v/>
      </c>
      <c r="J971" s="1501" t="str">
        <f t="shared" si="47"/>
        <v/>
      </c>
      <c r="K971" s="261"/>
      <c r="L971" s="309"/>
      <c r="M971" s="309"/>
      <c r="N971" s="309"/>
      <c r="O971" s="309"/>
      <c r="P971" s="309"/>
      <c r="Q971" s="309"/>
      <c r="R971" s="309"/>
      <c r="S971" s="309"/>
      <c r="T971" s="309"/>
      <c r="U971" s="309"/>
    </row>
    <row r="972" spans="1:21" ht="12.75" customHeight="1">
      <c r="A972" s="1361" t="s">
        <v>388</v>
      </c>
      <c r="B972" s="812">
        <v>200</v>
      </c>
      <c r="C972" s="830">
        <v>22.701000000000001</v>
      </c>
      <c r="D972" s="792">
        <v>9.99</v>
      </c>
      <c r="E972" s="624">
        <f>(B972*C972)-D972</f>
        <v>4530.21</v>
      </c>
      <c r="F972" s="323" t="s">
        <v>389</v>
      </c>
      <c r="G972" s="1507"/>
      <c r="H972" s="1526"/>
      <c r="I972" s="1501" t="str">
        <f>IF(F972="","",IF(OR(A970="Sell",A972="Sell"),"",F972))</f>
        <v/>
      </c>
      <c r="J972" s="1501" t="str">
        <f t="shared" si="47"/>
        <v/>
      </c>
      <c r="K972" s="261"/>
      <c r="L972" s="309"/>
      <c r="M972" s="309"/>
      <c r="N972" s="309"/>
      <c r="O972" s="309"/>
      <c r="P972" s="309"/>
      <c r="Q972" s="309"/>
      <c r="R972" s="309"/>
      <c r="S972" s="309"/>
      <c r="T972" s="309"/>
      <c r="U972" s="309"/>
    </row>
    <row r="973" spans="1:21" ht="12.75" customHeight="1">
      <c r="A973" s="280"/>
      <c r="B973" s="627"/>
      <c r="C973" s="785"/>
      <c r="D973" s="786"/>
      <c r="E973" s="858"/>
      <c r="F973" s="781"/>
      <c r="G973" s="1507"/>
      <c r="H973" s="1526"/>
      <c r="I973" s="1501" t="str">
        <f>IF(F973="","",IF(OR(A972="Sell",A973="Sell"),"",F973))</f>
        <v/>
      </c>
      <c r="J973" s="1501" t="str">
        <f t="shared" si="47"/>
        <v/>
      </c>
      <c r="K973" s="261"/>
      <c r="L973" s="309"/>
      <c r="M973" s="309"/>
      <c r="N973" s="309"/>
      <c r="O973" s="309"/>
      <c r="P973" s="309"/>
      <c r="Q973" s="309"/>
      <c r="R973" s="309"/>
      <c r="S973" s="309"/>
      <c r="T973" s="309"/>
      <c r="U973" s="309"/>
    </row>
    <row r="974" spans="1:21" ht="12.75" customHeight="1">
      <c r="A974" s="1369" t="s">
        <v>905</v>
      </c>
      <c r="B974" s="812"/>
      <c r="C974" s="830"/>
      <c r="D974" s="792"/>
      <c r="E974" s="624"/>
      <c r="F974" s="323"/>
      <c r="G974" s="1507"/>
      <c r="H974" s="1526"/>
      <c r="I974" s="1501" t="str">
        <f>IF(F974="","",IF(OR(A973="Sell",A974="Sell"),"",F974))</f>
        <v/>
      </c>
      <c r="J974" s="1501" t="str">
        <f t="shared" si="47"/>
        <v/>
      </c>
      <c r="K974" s="261"/>
      <c r="L974" s="309"/>
      <c r="M974" s="309"/>
      <c r="N974" s="309"/>
      <c r="O974" s="309"/>
      <c r="P974" s="309"/>
      <c r="Q974" s="309"/>
      <c r="R974" s="309"/>
      <c r="S974" s="309"/>
      <c r="T974" s="309"/>
      <c r="U974" s="309"/>
    </row>
    <row r="975" spans="1:21" ht="12.75" customHeight="1">
      <c r="A975" s="1363" t="s">
        <v>820</v>
      </c>
      <c r="B975" s="812"/>
      <c r="C975" s="830"/>
      <c r="D975" s="792"/>
      <c r="E975" s="624"/>
      <c r="F975" s="323"/>
      <c r="G975" s="1507"/>
      <c r="H975" s="1526"/>
      <c r="I975" s="1501" t="str">
        <f>IF(F975="","",IF(OR(A974="Sell",A975="Sell"),"",F975))</f>
        <v/>
      </c>
      <c r="J975" s="1501" t="str">
        <f t="shared" si="47"/>
        <v/>
      </c>
      <c r="K975" s="261"/>
      <c r="L975" s="309"/>
      <c r="M975" s="309"/>
      <c r="N975" s="309"/>
      <c r="O975" s="309"/>
      <c r="P975" s="309"/>
      <c r="Q975" s="309"/>
      <c r="R975" s="309"/>
      <c r="S975" s="309"/>
      <c r="T975" s="309"/>
      <c r="U975" s="309"/>
    </row>
    <row r="976" spans="1:21" ht="12.75" customHeight="1">
      <c r="A976" s="1376" t="s">
        <v>348</v>
      </c>
      <c r="B976" s="812">
        <v>395</v>
      </c>
      <c r="C976" s="830">
        <v>12.76</v>
      </c>
      <c r="D976" s="792">
        <v>9.99</v>
      </c>
      <c r="E976" s="624">
        <f>(B976*C976)-D976</f>
        <v>5030.21</v>
      </c>
      <c r="F976" s="323" t="s">
        <v>349</v>
      </c>
      <c r="G976" s="1507"/>
      <c r="H976" s="1526"/>
      <c r="I976" s="1501" t="str">
        <f>IF(F976="","",IF(OR(A975="Sell",A976="Sell"),"",F976))</f>
        <v/>
      </c>
      <c r="J976" s="1501" t="str">
        <f>IF(F978="","",IF(OR(A975="Sell",A977="Sell"),"",F978))</f>
        <v/>
      </c>
      <c r="K976" s="261"/>
      <c r="L976" s="309"/>
      <c r="M976" s="309"/>
      <c r="N976" s="309"/>
      <c r="O976" s="309"/>
      <c r="P976" s="309"/>
      <c r="Q976" s="309"/>
      <c r="R976" s="309"/>
      <c r="S976" s="309"/>
      <c r="T976" s="309"/>
      <c r="U976" s="309"/>
    </row>
    <row r="977" spans="1:21" ht="12.75" customHeight="1">
      <c r="A977" s="1177" t="s">
        <v>381</v>
      </c>
      <c r="B977" s="812">
        <v>140</v>
      </c>
      <c r="C977" s="830">
        <v>24.72</v>
      </c>
      <c r="D977" s="792">
        <v>9.99</v>
      </c>
      <c r="E977" s="624">
        <f>(B977*C977)-D977</f>
        <v>3450.81</v>
      </c>
      <c r="F977" s="323" t="s">
        <v>382</v>
      </c>
      <c r="G977" s="1507"/>
      <c r="H977" s="1526"/>
      <c r="I977" s="1501" t="str">
        <f>IF(F977="","",IF(OR(A975="Sell",A977="Sell"),"",F977))</f>
        <v/>
      </c>
      <c r="J977" s="1501" t="str">
        <f t="shared" ref="J977:J1005" si="50">IF(F979="","",IF(OR(A977="Sell",A978="Sell"),"",F979))</f>
        <v/>
      </c>
      <c r="K977" s="261"/>
      <c r="L977" s="309"/>
      <c r="M977" s="309"/>
      <c r="N977" s="309"/>
      <c r="O977" s="309"/>
      <c r="P977" s="309"/>
      <c r="Q977" s="309"/>
      <c r="R977" s="309"/>
      <c r="S977" s="309"/>
      <c r="T977" s="309"/>
      <c r="U977" s="309"/>
    </row>
    <row r="978" spans="1:21" ht="12" customHeight="1">
      <c r="A978" s="1376" t="s">
        <v>352</v>
      </c>
      <c r="B978" s="812">
        <v>40</v>
      </c>
      <c r="C978" s="830">
        <v>80.459999999999994</v>
      </c>
      <c r="D978" s="792">
        <v>9.99</v>
      </c>
      <c r="E978" s="624">
        <f>(B978*C978)-D978</f>
        <v>3208.41</v>
      </c>
      <c r="F978" s="323" t="s">
        <v>353</v>
      </c>
      <c r="G978" s="1507"/>
      <c r="H978" s="1526"/>
      <c r="I978" s="1501" t="str">
        <f>IF(F978="","",IF(OR(A975="Sell",A978="Sell"),"",F978))</f>
        <v/>
      </c>
      <c r="J978" s="1501" t="str">
        <f t="shared" si="50"/>
        <v/>
      </c>
      <c r="K978" s="261"/>
      <c r="L978" s="309"/>
      <c r="M978" s="309"/>
      <c r="N978" s="309"/>
      <c r="O978" s="309"/>
      <c r="P978" s="309"/>
      <c r="Q978" s="309"/>
      <c r="R978" s="309"/>
      <c r="S978" s="309"/>
      <c r="T978" s="309"/>
      <c r="U978" s="309"/>
    </row>
    <row r="979" spans="1:21" ht="12.75" customHeight="1">
      <c r="A979" s="280"/>
      <c r="B979" s="627"/>
      <c r="C979" s="785"/>
      <c r="D979" s="786"/>
      <c r="E979" s="858"/>
      <c r="F979" s="781"/>
      <c r="G979" s="1507"/>
      <c r="H979" s="1526"/>
      <c r="I979" s="1501" t="str">
        <f t="shared" ref="I979:I1006" si="51">IF(F979="","",IF(OR(A978="Sell",A979="Sell"),"",F979))</f>
        <v/>
      </c>
      <c r="J979" s="1501" t="str">
        <f t="shared" si="50"/>
        <v/>
      </c>
      <c r="K979" s="261"/>
      <c r="L979" s="309"/>
      <c r="M979" s="309"/>
      <c r="N979" s="309"/>
      <c r="O979" s="309"/>
      <c r="P979" s="309"/>
      <c r="Q979" s="309"/>
      <c r="R979" s="309"/>
      <c r="S979" s="309"/>
      <c r="T979" s="309"/>
      <c r="U979" s="309"/>
    </row>
    <row r="980" spans="1:21" ht="12.75" customHeight="1">
      <c r="A980" s="284">
        <v>41404</v>
      </c>
      <c r="B980" s="627"/>
      <c r="C980" s="785"/>
      <c r="D980" s="786"/>
      <c r="E980" s="858"/>
      <c r="F980" s="781"/>
      <c r="G980" s="1507"/>
      <c r="H980" s="1526"/>
      <c r="I980" s="1501" t="str">
        <f t="shared" si="51"/>
        <v/>
      </c>
      <c r="J980" s="1501" t="str">
        <f t="shared" si="50"/>
        <v/>
      </c>
      <c r="K980" s="261"/>
      <c r="L980" s="309"/>
      <c r="M980" s="309"/>
      <c r="N980" s="309"/>
      <c r="O980" s="309"/>
      <c r="P980" s="309"/>
      <c r="Q980" s="309"/>
      <c r="R980" s="309"/>
      <c r="S980" s="309"/>
      <c r="T980" s="309"/>
      <c r="U980" s="309"/>
    </row>
    <row r="981" spans="1:21" ht="12.75" customHeight="1">
      <c r="A981" s="870" t="s">
        <v>820</v>
      </c>
      <c r="B981" s="627"/>
      <c r="C981" s="785"/>
      <c r="D981" s="786"/>
      <c r="E981" s="858"/>
      <c r="F981" s="781"/>
      <c r="G981" s="1507"/>
      <c r="H981" s="1526"/>
      <c r="I981" s="1501" t="str">
        <f t="shared" si="51"/>
        <v/>
      </c>
      <c r="J981" s="1501" t="str">
        <f t="shared" si="50"/>
        <v/>
      </c>
      <c r="K981" s="261"/>
      <c r="L981" s="309"/>
      <c r="M981" s="309"/>
      <c r="N981" s="309"/>
      <c r="O981" s="309"/>
      <c r="P981" s="309"/>
      <c r="Q981" s="309"/>
      <c r="R981" s="309"/>
      <c r="S981" s="309"/>
      <c r="T981" s="309"/>
      <c r="U981" s="309"/>
    </row>
    <row r="982" spans="1:21" ht="12.75" customHeight="1">
      <c r="A982" s="134" t="s">
        <v>315</v>
      </c>
      <c r="B982" s="625">
        <v>200</v>
      </c>
      <c r="C982" s="623">
        <v>15.19</v>
      </c>
      <c r="D982" s="792">
        <v>9.99</v>
      </c>
      <c r="E982" s="624">
        <f>B982*C982-D982</f>
        <v>3028.01</v>
      </c>
      <c r="F982" s="546" t="s">
        <v>316</v>
      </c>
      <c r="G982" s="1507"/>
      <c r="H982" s="1526"/>
      <c r="I982" s="1501" t="str">
        <f t="shared" si="51"/>
        <v/>
      </c>
      <c r="J982" s="1501" t="str">
        <f t="shared" si="50"/>
        <v/>
      </c>
      <c r="K982" s="261"/>
      <c r="L982" s="309"/>
      <c r="M982" s="309"/>
      <c r="N982" s="309"/>
      <c r="O982" s="309"/>
      <c r="P982" s="309"/>
      <c r="Q982" s="309"/>
      <c r="R982" s="309"/>
      <c r="S982" s="309"/>
      <c r="T982" s="309"/>
      <c r="U982" s="309"/>
    </row>
    <row r="983" spans="1:21" ht="12.75" customHeight="1">
      <c r="A983" s="1363"/>
      <c r="B983" s="627"/>
      <c r="C983" s="785"/>
      <c r="D983" s="786"/>
      <c r="E983" s="858"/>
      <c r="F983" s="781"/>
      <c r="G983" s="1507"/>
      <c r="H983" s="1526"/>
      <c r="I983" s="1501" t="str">
        <f t="shared" si="51"/>
        <v/>
      </c>
      <c r="J983" s="1501" t="str">
        <f t="shared" si="50"/>
        <v/>
      </c>
      <c r="K983" s="261"/>
      <c r="L983" s="309"/>
      <c r="M983" s="309"/>
      <c r="N983" s="309"/>
      <c r="O983" s="309"/>
      <c r="P983" s="309"/>
      <c r="Q983" s="309"/>
      <c r="R983" s="309"/>
      <c r="S983" s="309"/>
      <c r="T983" s="309"/>
      <c r="U983" s="309"/>
    </row>
    <row r="984" spans="1:21" ht="12.75" customHeight="1">
      <c r="A984" s="289">
        <v>41380</v>
      </c>
      <c r="B984" s="625"/>
      <c r="C984" s="623"/>
      <c r="D984" s="792"/>
      <c r="E984" s="624"/>
      <c r="F984" s="546"/>
      <c r="G984" s="1507"/>
      <c r="H984" s="1526"/>
      <c r="I984" s="1501" t="str">
        <f t="shared" si="51"/>
        <v/>
      </c>
      <c r="J984" s="1501" t="str">
        <f t="shared" si="50"/>
        <v/>
      </c>
      <c r="K984" s="261"/>
      <c r="L984" s="309"/>
      <c r="M984" s="309"/>
      <c r="N984" s="309"/>
      <c r="O984" s="309"/>
      <c r="P984" s="309"/>
      <c r="Q984" s="309"/>
      <c r="R984" s="309"/>
      <c r="S984" s="309"/>
      <c r="T984" s="309"/>
      <c r="U984" s="309"/>
    </row>
    <row r="985" spans="1:21" ht="12.75" customHeight="1">
      <c r="A985" s="345" t="s">
        <v>820</v>
      </c>
      <c r="B985" s="625"/>
      <c r="C985" s="623"/>
      <c r="D985" s="792"/>
      <c r="E985" s="624"/>
      <c r="F985" s="546"/>
      <c r="G985" s="1507"/>
      <c r="H985" s="1526"/>
      <c r="I985" s="1501" t="str">
        <f t="shared" si="51"/>
        <v/>
      </c>
      <c r="J985" s="1501" t="str">
        <f t="shared" si="50"/>
        <v/>
      </c>
      <c r="K985" s="261"/>
      <c r="L985" s="309"/>
      <c r="M985" s="309"/>
      <c r="N985" s="309"/>
      <c r="O985" s="309"/>
      <c r="P985" s="309"/>
      <c r="Q985" s="309"/>
      <c r="R985" s="309"/>
      <c r="S985" s="309"/>
      <c r="T985" s="309"/>
      <c r="U985" s="309"/>
    </row>
    <row r="986" spans="1:21" ht="12.75" customHeight="1">
      <c r="A986" s="134" t="s">
        <v>348</v>
      </c>
      <c r="B986" s="625">
        <v>210</v>
      </c>
      <c r="C986" s="623">
        <v>13.27</v>
      </c>
      <c r="D986" s="792">
        <v>9.99</v>
      </c>
      <c r="E986" s="624">
        <f>B986*C986-D986</f>
        <v>2776.71</v>
      </c>
      <c r="F986" s="546" t="s">
        <v>349</v>
      </c>
      <c r="G986" s="1507"/>
      <c r="H986" s="1526"/>
      <c r="I986" s="1501" t="str">
        <f t="shared" si="51"/>
        <v/>
      </c>
      <c r="J986" s="1501" t="str">
        <f t="shared" si="50"/>
        <v/>
      </c>
      <c r="K986" s="261"/>
      <c r="L986" s="309"/>
      <c r="M986" s="309"/>
      <c r="N986" s="309"/>
      <c r="O986" s="309"/>
      <c r="P986" s="309"/>
      <c r="Q986" s="309"/>
      <c r="R986" s="309"/>
      <c r="S986" s="309"/>
      <c r="T986" s="309"/>
      <c r="U986" s="309"/>
    </row>
    <row r="987" spans="1:21" ht="12.75" customHeight="1" thickBot="1">
      <c r="A987" s="309"/>
      <c r="B987" s="625"/>
      <c r="C987" s="623"/>
      <c r="D987" s="792"/>
      <c r="E987" s="624"/>
      <c r="F987" s="546"/>
      <c r="G987" s="1507"/>
      <c r="H987" s="1526"/>
      <c r="I987" s="1501" t="str">
        <f t="shared" si="51"/>
        <v/>
      </c>
      <c r="J987" s="1501" t="str">
        <f t="shared" si="50"/>
        <v/>
      </c>
      <c r="K987" s="261"/>
      <c r="L987" s="309"/>
      <c r="M987" s="309"/>
      <c r="N987" s="309"/>
      <c r="O987" s="309"/>
      <c r="P987" s="309"/>
      <c r="Q987" s="309"/>
      <c r="R987" s="309"/>
      <c r="S987" s="309"/>
      <c r="T987" s="309"/>
      <c r="U987" s="309"/>
    </row>
    <row r="988" spans="1:21" ht="12.75" customHeight="1">
      <c r="A988" s="290" t="s">
        <v>906</v>
      </c>
      <c r="B988" s="627"/>
      <c r="C988" s="785"/>
      <c r="D988" s="786"/>
      <c r="E988" s="858"/>
      <c r="F988" s="781"/>
      <c r="G988" s="1507"/>
      <c r="H988" s="1526"/>
      <c r="I988" s="1501" t="str">
        <f t="shared" si="51"/>
        <v/>
      </c>
      <c r="J988" s="1501" t="str">
        <f t="shared" si="50"/>
        <v>BSCF</v>
      </c>
      <c r="K988" s="261"/>
      <c r="L988" s="309"/>
      <c r="M988" s="309"/>
      <c r="N988" s="309"/>
      <c r="O988" s="309"/>
      <c r="P988" s="309"/>
      <c r="Q988" s="309"/>
      <c r="R988" s="309"/>
      <c r="S988" s="309"/>
      <c r="T988" s="309"/>
      <c r="U988" s="309"/>
    </row>
    <row r="989" spans="1:21" ht="12.75" customHeight="1">
      <c r="A989" s="1363" t="s">
        <v>907</v>
      </c>
      <c r="B989" s="627"/>
      <c r="C989" s="785"/>
      <c r="D989" s="786"/>
      <c r="E989" s="858"/>
      <c r="F989" s="781"/>
      <c r="G989" s="1507"/>
      <c r="H989" s="1526"/>
      <c r="I989" s="1501" t="str">
        <f t="shared" si="51"/>
        <v/>
      </c>
      <c r="J989" s="1501" t="str">
        <f t="shared" si="50"/>
        <v>BSCH</v>
      </c>
      <c r="K989" s="261"/>
      <c r="L989" s="309"/>
      <c r="M989" s="309"/>
      <c r="N989" s="309"/>
      <c r="O989" s="309"/>
      <c r="P989" s="309"/>
      <c r="Q989" s="309"/>
      <c r="R989" s="309"/>
      <c r="S989" s="309"/>
      <c r="T989" s="309"/>
      <c r="U989" s="309"/>
    </row>
    <row r="990" spans="1:21" ht="12.75" customHeight="1">
      <c r="A990" s="1361" t="s">
        <v>386</v>
      </c>
      <c r="B990" s="625">
        <v>130</v>
      </c>
      <c r="C990" s="623">
        <v>21.875800000000002</v>
      </c>
      <c r="D990" s="792">
        <v>9.99</v>
      </c>
      <c r="E990" s="624">
        <f>B990*C990-D990</f>
        <v>2833.8640000000005</v>
      </c>
      <c r="F990" s="546" t="s">
        <v>387</v>
      </c>
      <c r="G990" s="1507"/>
      <c r="H990" s="1526"/>
      <c r="I990" s="1501" t="str">
        <f t="shared" si="51"/>
        <v>BSCF</v>
      </c>
      <c r="J990" s="1501" t="str">
        <f t="shared" si="50"/>
        <v/>
      </c>
      <c r="K990" s="261"/>
      <c r="L990" s="309"/>
      <c r="M990" s="309"/>
      <c r="N990" s="309"/>
      <c r="O990" s="309"/>
      <c r="P990" s="309"/>
      <c r="Q990" s="309"/>
      <c r="R990" s="309"/>
      <c r="S990" s="309"/>
      <c r="T990" s="309"/>
      <c r="U990" s="309"/>
    </row>
    <row r="991" spans="1:21" ht="12.75" customHeight="1">
      <c r="A991" s="1361" t="s">
        <v>388</v>
      </c>
      <c r="B991" s="625">
        <v>200</v>
      </c>
      <c r="C991" s="623">
        <v>22.969899999999999</v>
      </c>
      <c r="D991" s="792">
        <v>9.99</v>
      </c>
      <c r="E991" s="624">
        <f>B991*C991-D991</f>
        <v>4583.99</v>
      </c>
      <c r="F991" s="546" t="s">
        <v>389</v>
      </c>
      <c r="G991" s="1507"/>
      <c r="H991" s="1526"/>
      <c r="I991" s="1501" t="str">
        <f t="shared" si="51"/>
        <v>BSCH</v>
      </c>
      <c r="J991" s="1501" t="str">
        <f t="shared" si="50"/>
        <v/>
      </c>
      <c r="K991" s="261"/>
      <c r="L991" s="309"/>
      <c r="M991" s="309"/>
      <c r="N991" s="309"/>
      <c r="O991" s="309"/>
      <c r="P991" s="309"/>
      <c r="Q991" s="309"/>
      <c r="R991" s="309"/>
      <c r="S991" s="309"/>
      <c r="T991" s="309"/>
      <c r="U991" s="309"/>
    </row>
    <row r="992" spans="1:21" ht="12.75" customHeight="1">
      <c r="A992" s="1363"/>
      <c r="B992" s="627"/>
      <c r="C992" s="785"/>
      <c r="D992" s="786"/>
      <c r="E992" s="858"/>
      <c r="F992" s="781"/>
      <c r="G992" s="1507"/>
      <c r="H992" s="1526"/>
      <c r="I992" s="1501" t="str">
        <f t="shared" si="51"/>
        <v/>
      </c>
      <c r="J992" s="1501" t="str">
        <f t="shared" si="50"/>
        <v/>
      </c>
      <c r="K992" s="261"/>
      <c r="L992" s="309"/>
      <c r="M992" s="309"/>
      <c r="N992" s="309"/>
      <c r="O992" s="309"/>
      <c r="P992" s="309"/>
      <c r="Q992" s="309"/>
      <c r="R992" s="309"/>
      <c r="S992" s="309"/>
      <c r="T992" s="309"/>
      <c r="U992" s="309"/>
    </row>
    <row r="993" spans="1:21" ht="12.75" customHeight="1">
      <c r="A993" s="289">
        <v>41361</v>
      </c>
      <c r="B993" s="627"/>
      <c r="C993" s="785"/>
      <c r="D993" s="786"/>
      <c r="E993" s="858"/>
      <c r="F993" s="781"/>
      <c r="G993" s="1507"/>
      <c r="H993" s="1526"/>
      <c r="I993" s="1501" t="str">
        <f t="shared" si="51"/>
        <v/>
      </c>
      <c r="J993" s="1501" t="str">
        <f t="shared" si="50"/>
        <v>IAU</v>
      </c>
      <c r="K993" s="261"/>
      <c r="L993" s="309"/>
      <c r="M993" s="309"/>
      <c r="N993" s="309"/>
      <c r="O993" s="309"/>
      <c r="P993" s="309"/>
      <c r="Q993" s="309"/>
      <c r="R993" s="309"/>
      <c r="S993" s="309"/>
      <c r="T993" s="309"/>
      <c r="U993" s="309"/>
    </row>
    <row r="994" spans="1:21" ht="12.75" customHeight="1">
      <c r="A994" s="1377" t="s">
        <v>824</v>
      </c>
      <c r="B994" s="625"/>
      <c r="C994" s="623"/>
      <c r="D994" s="792"/>
      <c r="E994" s="624"/>
      <c r="F994" s="546"/>
      <c r="G994" s="1507"/>
      <c r="H994" s="1526"/>
      <c r="I994" s="1501" t="str">
        <f t="shared" si="51"/>
        <v/>
      </c>
      <c r="J994" s="1501" t="str">
        <f t="shared" si="50"/>
        <v>BKLN</v>
      </c>
      <c r="K994" s="261"/>
      <c r="L994" s="309"/>
      <c r="M994" s="309"/>
      <c r="N994" s="309"/>
      <c r="O994" s="309"/>
      <c r="P994" s="309"/>
      <c r="Q994" s="309"/>
      <c r="R994" s="309"/>
      <c r="S994" s="309"/>
      <c r="T994" s="309"/>
      <c r="U994" s="309"/>
    </row>
    <row r="995" spans="1:21" ht="12.75" customHeight="1">
      <c r="A995" s="134" t="s">
        <v>348</v>
      </c>
      <c r="B995" s="625">
        <v>340</v>
      </c>
      <c r="C995" s="623">
        <v>15.53</v>
      </c>
      <c r="D995" s="792">
        <v>9.99</v>
      </c>
      <c r="E995" s="624">
        <f>B995*C995-D995</f>
        <v>5270.21</v>
      </c>
      <c r="F995" s="546" t="s">
        <v>349</v>
      </c>
      <c r="G995" s="1507"/>
      <c r="H995" s="1526"/>
      <c r="I995" s="1501" t="str">
        <f t="shared" si="51"/>
        <v>IAU</v>
      </c>
      <c r="J995" s="1501" t="str">
        <f t="shared" si="50"/>
        <v/>
      </c>
      <c r="K995" s="261"/>
      <c r="L995" s="309"/>
      <c r="M995" s="309"/>
      <c r="N995" s="309"/>
      <c r="O995" s="309"/>
      <c r="P995" s="309"/>
      <c r="Q995" s="309"/>
      <c r="R995" s="309"/>
      <c r="S995" s="309"/>
      <c r="T995" s="309"/>
      <c r="U995" s="309"/>
    </row>
    <row r="996" spans="1:21" ht="12.75" customHeight="1">
      <c r="A996" s="134" t="s">
        <v>381</v>
      </c>
      <c r="B996" s="625">
        <v>140</v>
      </c>
      <c r="C996" s="831">
        <v>25.1</v>
      </c>
      <c r="D996" s="792">
        <v>9.99</v>
      </c>
      <c r="E996" s="624">
        <f>B996*C996-D996</f>
        <v>3504.01</v>
      </c>
      <c r="F996" s="309" t="s">
        <v>382</v>
      </c>
      <c r="G996" s="1507"/>
      <c r="H996" s="1526"/>
      <c r="I996" s="1501" t="str">
        <f t="shared" si="51"/>
        <v>BKLN</v>
      </c>
      <c r="J996" s="1501" t="str">
        <f t="shared" si="50"/>
        <v/>
      </c>
      <c r="K996" s="261"/>
      <c r="L996" s="309"/>
      <c r="M996" s="309"/>
      <c r="N996" s="309"/>
      <c r="O996" s="309"/>
      <c r="P996" s="309"/>
      <c r="Q996" s="309"/>
      <c r="R996" s="309"/>
      <c r="S996" s="309"/>
      <c r="T996" s="309"/>
      <c r="U996" s="309"/>
    </row>
    <row r="997" spans="1:21" ht="12.75" customHeight="1">
      <c r="A997" s="1377" t="s">
        <v>820</v>
      </c>
      <c r="B997" s="813"/>
      <c r="C997" s="831"/>
      <c r="D997" s="845"/>
      <c r="E997" s="861"/>
      <c r="F997" s="309"/>
      <c r="G997" s="1507"/>
      <c r="H997" s="1526"/>
      <c r="I997" s="1501" t="str">
        <f t="shared" si="51"/>
        <v/>
      </c>
      <c r="J997" s="1501" t="str">
        <f t="shared" si="50"/>
        <v/>
      </c>
      <c r="K997" s="261"/>
      <c r="L997" s="309"/>
      <c r="M997" s="309"/>
      <c r="N997" s="309"/>
      <c r="O997" s="309"/>
      <c r="P997" s="309"/>
      <c r="Q997" s="309"/>
      <c r="R997" s="309"/>
      <c r="S997" s="309"/>
      <c r="T997" s="309"/>
      <c r="U997" s="309"/>
    </row>
    <row r="998" spans="1:21" ht="12.75" customHeight="1">
      <c r="A998" s="134" t="s">
        <v>908</v>
      </c>
      <c r="B998" s="625">
        <v>55</v>
      </c>
      <c r="C998" s="623">
        <v>61.9</v>
      </c>
      <c r="D998" s="792">
        <v>9.99</v>
      </c>
      <c r="E998" s="624">
        <f>B998*C998-D998</f>
        <v>3394.51</v>
      </c>
      <c r="F998" s="546" t="s">
        <v>351</v>
      </c>
      <c r="G998" s="1507"/>
      <c r="H998" s="1526"/>
      <c r="I998" s="1501" t="str">
        <f t="shared" si="51"/>
        <v/>
      </c>
      <c r="J998" s="1501" t="str">
        <f t="shared" si="50"/>
        <v/>
      </c>
      <c r="K998" s="261"/>
      <c r="L998" s="309"/>
      <c r="M998" s="309"/>
      <c r="N998" s="309"/>
      <c r="O998" s="309"/>
      <c r="P998" s="309"/>
      <c r="Q998" s="309"/>
      <c r="R998" s="309"/>
      <c r="S998" s="309"/>
      <c r="T998" s="309"/>
      <c r="U998" s="309"/>
    </row>
    <row r="999" spans="1:21" ht="12.75" customHeight="1">
      <c r="A999" s="280"/>
      <c r="B999" s="627"/>
      <c r="C999" s="785"/>
      <c r="D999" s="786"/>
      <c r="E999" s="858"/>
      <c r="F999" s="781"/>
      <c r="G999" s="1507"/>
      <c r="H999" s="1526"/>
      <c r="I999" s="1501" t="str">
        <f t="shared" si="51"/>
        <v/>
      </c>
      <c r="J999" s="1501" t="str">
        <f t="shared" si="50"/>
        <v/>
      </c>
      <c r="K999" s="261"/>
      <c r="L999" s="309"/>
      <c r="M999" s="309"/>
      <c r="N999" s="309"/>
      <c r="O999" s="309"/>
      <c r="P999" s="309"/>
      <c r="Q999" s="309"/>
      <c r="R999" s="309"/>
      <c r="S999" s="309"/>
      <c r="T999" s="309"/>
      <c r="U999" s="309"/>
    </row>
    <row r="1000" spans="1:21" ht="12.75" customHeight="1">
      <c r="A1000" s="289">
        <v>41347</v>
      </c>
      <c r="B1000" s="625"/>
      <c r="C1000" s="623"/>
      <c r="D1000" s="792"/>
      <c r="E1000" s="624"/>
      <c r="F1000" s="546"/>
      <c r="G1000" s="1507"/>
      <c r="H1000" s="1526"/>
      <c r="I1000" s="1501" t="str">
        <f t="shared" si="51"/>
        <v/>
      </c>
      <c r="J1000" s="1501" t="str">
        <f t="shared" si="50"/>
        <v/>
      </c>
      <c r="K1000" s="261"/>
      <c r="L1000" s="309"/>
      <c r="M1000" s="309"/>
      <c r="N1000" s="309"/>
      <c r="O1000" s="309"/>
      <c r="P1000" s="309"/>
      <c r="Q1000" s="309"/>
      <c r="R1000" s="309"/>
      <c r="S1000" s="309"/>
      <c r="T1000" s="309"/>
      <c r="U1000" s="309"/>
    </row>
    <row r="1001" spans="1:21" ht="12.75" customHeight="1">
      <c r="A1001" s="345" t="s">
        <v>820</v>
      </c>
      <c r="B1001" s="625"/>
      <c r="C1001" s="623"/>
      <c r="D1001" s="792"/>
      <c r="E1001" s="624"/>
      <c r="F1001" s="546"/>
      <c r="G1001" s="1507"/>
      <c r="H1001" s="1526"/>
      <c r="I1001" s="1501" t="str">
        <f t="shared" si="51"/>
        <v/>
      </c>
      <c r="J1001" s="1501" t="str">
        <f t="shared" si="50"/>
        <v/>
      </c>
      <c r="K1001" s="261"/>
      <c r="L1001" s="309"/>
      <c r="M1001" s="309"/>
      <c r="N1001" s="309"/>
      <c r="O1001" s="309"/>
      <c r="P1001" s="309"/>
      <c r="Q1001" s="309"/>
      <c r="R1001" s="309"/>
      <c r="S1001" s="309"/>
      <c r="T1001" s="309"/>
      <c r="U1001" s="309"/>
    </row>
    <row r="1002" spans="1:21" ht="12.75" customHeight="1">
      <c r="A1002" s="134" t="s">
        <v>240</v>
      </c>
      <c r="B1002" s="625">
        <v>75</v>
      </c>
      <c r="C1002" s="623">
        <v>37.729999999999997</v>
      </c>
      <c r="D1002" s="792">
        <v>9.99</v>
      </c>
      <c r="E1002" s="624">
        <f>(C1002*B1002)-D1002</f>
        <v>2819.7599999999998</v>
      </c>
      <c r="F1002" s="546" t="s">
        <v>264</v>
      </c>
      <c r="G1002" s="1507"/>
      <c r="H1002" s="1526"/>
      <c r="I1002" s="1501" t="str">
        <f t="shared" si="51"/>
        <v/>
      </c>
      <c r="J1002" s="1501" t="str">
        <f t="shared" si="50"/>
        <v/>
      </c>
      <c r="K1002" s="261"/>
      <c r="L1002" s="309"/>
      <c r="M1002" s="309"/>
      <c r="N1002" s="309"/>
      <c r="O1002" s="309"/>
      <c r="P1002" s="309"/>
      <c r="Q1002" s="309"/>
      <c r="R1002" s="309"/>
      <c r="S1002" s="309"/>
      <c r="T1002" s="309"/>
      <c r="U1002" s="309"/>
    </row>
    <row r="1003" spans="1:21" ht="12.75" customHeight="1">
      <c r="A1003" s="280"/>
      <c r="B1003" s="627"/>
      <c r="C1003" s="785"/>
      <c r="D1003" s="786"/>
      <c r="E1003" s="858"/>
      <c r="F1003" s="781"/>
      <c r="G1003" s="1517"/>
      <c r="H1003" s="1531"/>
      <c r="I1003" s="1501" t="str">
        <f t="shared" si="51"/>
        <v/>
      </c>
      <c r="J1003" s="1501" t="str">
        <f t="shared" si="50"/>
        <v/>
      </c>
      <c r="K1003" s="261"/>
      <c r="L1003" s="309"/>
      <c r="M1003" s="309"/>
      <c r="N1003" s="309"/>
      <c r="O1003" s="309"/>
      <c r="P1003" s="309"/>
      <c r="Q1003" s="309"/>
      <c r="R1003" s="309"/>
      <c r="S1003" s="309"/>
      <c r="T1003" s="309"/>
      <c r="U1003" s="309"/>
    </row>
    <row r="1004" spans="1:21" ht="12.75" customHeight="1">
      <c r="A1004" s="291">
        <v>41326</v>
      </c>
      <c r="B1004" s="625"/>
      <c r="C1004" s="623"/>
      <c r="D1004" s="792"/>
      <c r="E1004" s="624"/>
      <c r="F1004" s="546"/>
      <c r="G1004" s="1517"/>
      <c r="H1004" s="1531"/>
      <c r="I1004" s="1501" t="str">
        <f t="shared" si="51"/>
        <v/>
      </c>
      <c r="J1004" s="1501" t="str">
        <f t="shared" si="50"/>
        <v/>
      </c>
      <c r="K1004" s="261"/>
      <c r="L1004" s="309"/>
      <c r="M1004" s="309"/>
      <c r="N1004" s="309"/>
      <c r="O1004" s="309"/>
      <c r="P1004" s="309"/>
      <c r="Q1004" s="309"/>
      <c r="R1004" s="309"/>
      <c r="S1004" s="309"/>
      <c r="T1004" s="309"/>
      <c r="U1004" s="309"/>
    </row>
    <row r="1005" spans="1:21" ht="12.75" customHeight="1">
      <c r="A1005" s="1378" t="s">
        <v>820</v>
      </c>
      <c r="B1005" s="625"/>
      <c r="C1005" s="623"/>
      <c r="D1005" s="792"/>
      <c r="E1005" s="624"/>
      <c r="F1005" s="546"/>
      <c r="G1005" s="1517"/>
      <c r="H1005" s="1531"/>
      <c r="I1005" s="1501" t="str">
        <f t="shared" si="51"/>
        <v/>
      </c>
      <c r="J1005" s="1501" t="str">
        <f t="shared" si="50"/>
        <v/>
      </c>
      <c r="K1005" s="261"/>
      <c r="L1005" s="309"/>
      <c r="M1005" s="309"/>
      <c r="N1005" s="309"/>
      <c r="O1005" s="309"/>
      <c r="P1005" s="309"/>
      <c r="Q1005" s="309"/>
      <c r="R1005" s="309"/>
      <c r="S1005" s="309"/>
      <c r="T1005" s="309"/>
      <c r="U1005" s="309"/>
    </row>
    <row r="1006" spans="1:21" ht="12.75" customHeight="1">
      <c r="A1006" s="292" t="s">
        <v>909</v>
      </c>
      <c r="B1006" s="625">
        <v>111</v>
      </c>
      <c r="C1006" s="623">
        <v>45.72</v>
      </c>
      <c r="D1006" s="792">
        <v>9.99</v>
      </c>
      <c r="E1006" s="624">
        <f>(B1006*C1006)-D1006</f>
        <v>5064.93</v>
      </c>
      <c r="F1006" s="546" t="s">
        <v>331</v>
      </c>
      <c r="G1006" s="1507"/>
      <c r="H1006" s="1526"/>
      <c r="I1006" s="1501" t="str">
        <f t="shared" si="51"/>
        <v/>
      </c>
      <c r="J1006" s="1501" t="str">
        <f>IF(F1008="","",IF(OR(A1005="Sell",A1007="Sell"),"",F1008))</f>
        <v/>
      </c>
      <c r="K1006" s="261"/>
      <c r="L1006" s="309"/>
      <c r="M1006" s="309"/>
      <c r="N1006" s="309"/>
      <c r="O1006" s="309"/>
      <c r="P1006" s="309"/>
      <c r="Q1006" s="309"/>
      <c r="R1006" s="309"/>
      <c r="S1006" s="309"/>
      <c r="T1006" s="309"/>
      <c r="U1006" s="309"/>
    </row>
    <row r="1007" spans="1:21" ht="12.75" customHeight="1">
      <c r="A1007" s="292" t="s">
        <v>910</v>
      </c>
      <c r="B1007" s="625">
        <v>44</v>
      </c>
      <c r="C1007" s="623">
        <v>78.319999999999993</v>
      </c>
      <c r="D1007" s="792">
        <v>9.99</v>
      </c>
      <c r="E1007" s="624">
        <f>(B1007*C1007)-D1007</f>
        <v>3436.09</v>
      </c>
      <c r="F1007" s="546" t="s">
        <v>261</v>
      </c>
      <c r="G1007" s="1507"/>
      <c r="H1007" s="1526"/>
      <c r="I1007" s="1501" t="str">
        <f>IF(F1007="","",IF(OR(A1005="Sell",A1007="Sell"),"",F1007))</f>
        <v/>
      </c>
      <c r="J1007" s="1501" t="str">
        <f t="shared" ref="J1007:J1017" si="52">IF(F1009="","",IF(OR(A1007="Sell",A1008="Sell"),"",F1009))</f>
        <v/>
      </c>
      <c r="K1007" s="261"/>
      <c r="L1007" s="309"/>
      <c r="M1007" s="309"/>
      <c r="N1007" s="309"/>
      <c r="O1007" s="309"/>
      <c r="P1007" s="309"/>
      <c r="Q1007" s="309"/>
      <c r="R1007" s="309"/>
      <c r="S1007" s="309"/>
      <c r="T1007" s="309"/>
      <c r="U1007" s="309"/>
    </row>
    <row r="1008" spans="1:21" ht="12.75" customHeight="1">
      <c r="A1008" s="292" t="s">
        <v>911</v>
      </c>
      <c r="B1008" s="625">
        <v>220</v>
      </c>
      <c r="C1008" s="623">
        <v>12.42</v>
      </c>
      <c r="D1008" s="792">
        <v>9.99</v>
      </c>
      <c r="E1008" s="624">
        <f>(B1008*C1008)-D1008</f>
        <v>2722.4100000000003</v>
      </c>
      <c r="F1008" s="546" t="s">
        <v>322</v>
      </c>
      <c r="G1008" s="1507"/>
      <c r="H1008" s="1526"/>
      <c r="I1008" s="1501" t="str">
        <f>IF(F1008="","",IF(OR(A1005="Sell",A1008="Sell"),"",F1008))</f>
        <v/>
      </c>
      <c r="J1008" s="1501" t="str">
        <f t="shared" si="52"/>
        <v/>
      </c>
      <c r="K1008" s="261"/>
      <c r="L1008" s="309"/>
      <c r="M1008" s="309"/>
      <c r="N1008" s="309"/>
      <c r="O1008" s="309"/>
      <c r="P1008" s="309"/>
      <c r="Q1008" s="309"/>
      <c r="R1008" s="309"/>
      <c r="S1008" s="309"/>
      <c r="T1008" s="309"/>
      <c r="U1008" s="309"/>
    </row>
    <row r="1009" spans="1:21" ht="12.75" customHeight="1">
      <c r="A1009" s="293"/>
      <c r="B1009" s="814"/>
      <c r="C1009" s="832"/>
      <c r="D1009" s="846"/>
      <c r="E1009" s="862"/>
      <c r="F1009" s="963"/>
      <c r="G1009" s="1507"/>
      <c r="H1009" s="1526"/>
      <c r="I1009" s="1501" t="str">
        <f t="shared" ref="I1009:I1041" si="53">IF(F1009="","",IF(OR(A1008="Sell",A1009="Sell"),"",F1009))</f>
        <v/>
      </c>
      <c r="J1009" s="1501" t="str">
        <f t="shared" si="52"/>
        <v/>
      </c>
      <c r="K1009" s="261"/>
      <c r="L1009" s="309"/>
      <c r="M1009" s="309"/>
      <c r="N1009" s="309"/>
      <c r="O1009" s="309"/>
      <c r="P1009" s="309"/>
      <c r="Q1009" s="309"/>
      <c r="R1009" s="309"/>
      <c r="S1009" s="309"/>
      <c r="T1009" s="309"/>
      <c r="U1009" s="309"/>
    </row>
    <row r="1010" spans="1:21" ht="12.75" customHeight="1">
      <c r="A1010" s="291">
        <v>41313</v>
      </c>
      <c r="B1010" s="625"/>
      <c r="C1010" s="623"/>
      <c r="D1010" s="792"/>
      <c r="E1010" s="624"/>
      <c r="F1010" s="546"/>
      <c r="G1010" s="1507"/>
      <c r="H1010" s="1526"/>
      <c r="I1010" s="1501" t="str">
        <f t="shared" si="53"/>
        <v/>
      </c>
      <c r="J1010" s="1501" t="str">
        <f t="shared" si="52"/>
        <v/>
      </c>
      <c r="K1010" s="261"/>
      <c r="L1010" s="309"/>
      <c r="M1010" s="309"/>
      <c r="N1010" s="309"/>
      <c r="O1010" s="309"/>
      <c r="P1010" s="309"/>
      <c r="Q1010" s="309"/>
      <c r="R1010" s="309"/>
      <c r="S1010" s="309"/>
      <c r="T1010" s="309"/>
      <c r="U1010" s="309"/>
    </row>
    <row r="1011" spans="1:21" ht="12.75" customHeight="1">
      <c r="A1011" s="345" t="s">
        <v>820</v>
      </c>
      <c r="B1011" s="625"/>
      <c r="C1011" s="623"/>
      <c r="D1011" s="792"/>
      <c r="E1011" s="624"/>
      <c r="F1011" s="546"/>
      <c r="G1011" s="1507"/>
      <c r="H1011" s="1526"/>
      <c r="I1011" s="1501" t="str">
        <f t="shared" si="53"/>
        <v/>
      </c>
      <c r="J1011" s="1501" t="str">
        <f t="shared" si="52"/>
        <v/>
      </c>
      <c r="K1011" s="261"/>
      <c r="L1011" s="309"/>
      <c r="M1011" s="309"/>
      <c r="N1011" s="309"/>
      <c r="O1011" s="309"/>
      <c r="P1011" s="309"/>
      <c r="Q1011" s="309"/>
      <c r="R1011" s="309"/>
      <c r="S1011" s="309"/>
      <c r="T1011" s="309"/>
      <c r="U1011" s="309"/>
    </row>
    <row r="1012" spans="1:21" ht="12.75" customHeight="1">
      <c r="A1012" s="294" t="s">
        <v>912</v>
      </c>
      <c r="B1012" s="625">
        <v>75</v>
      </c>
      <c r="C1012" s="623">
        <v>30.88</v>
      </c>
      <c r="D1012" s="792">
        <v>9.99</v>
      </c>
      <c r="E1012" s="624">
        <f>(B1012*C1012)-D1012</f>
        <v>2306.0100000000002</v>
      </c>
      <c r="F1012" s="546" t="s">
        <v>283</v>
      </c>
      <c r="G1012" s="1507"/>
      <c r="H1012" s="1526"/>
      <c r="I1012" s="1501" t="str">
        <f t="shared" si="53"/>
        <v/>
      </c>
      <c r="J1012" s="1501" t="str">
        <f t="shared" si="52"/>
        <v/>
      </c>
      <c r="K1012" s="261"/>
      <c r="L1012" s="309"/>
      <c r="M1012" s="309"/>
      <c r="N1012" s="309"/>
      <c r="O1012" s="309"/>
      <c r="P1012" s="309"/>
      <c r="Q1012" s="309"/>
      <c r="R1012" s="309"/>
      <c r="S1012" s="309"/>
      <c r="T1012" s="309"/>
      <c r="U1012" s="309"/>
    </row>
    <row r="1013" spans="1:21" ht="12.75" customHeight="1">
      <c r="A1013" s="345" t="s">
        <v>820</v>
      </c>
      <c r="B1013" s="625"/>
      <c r="C1013" s="623"/>
      <c r="D1013" s="792"/>
      <c r="E1013" s="624"/>
      <c r="F1013" s="546"/>
      <c r="G1013" s="1507"/>
      <c r="H1013" s="1526"/>
      <c r="I1013" s="1501" t="str">
        <f t="shared" si="53"/>
        <v/>
      </c>
      <c r="J1013" s="1501" t="str">
        <f t="shared" si="52"/>
        <v/>
      </c>
      <c r="K1013" s="261"/>
      <c r="L1013" s="309"/>
      <c r="M1013" s="309"/>
      <c r="N1013" s="309"/>
      <c r="O1013" s="309"/>
      <c r="P1013" s="309"/>
      <c r="Q1013" s="309"/>
      <c r="R1013" s="309"/>
      <c r="S1013" s="309"/>
      <c r="T1013" s="309"/>
      <c r="U1013" s="309"/>
    </row>
    <row r="1014" spans="1:21" ht="12.75" customHeight="1">
      <c r="A1014" s="134" t="s">
        <v>913</v>
      </c>
      <c r="B1014" s="625">
        <v>25</v>
      </c>
      <c r="C1014" s="623">
        <v>48.64</v>
      </c>
      <c r="D1014" s="792">
        <v>9.99</v>
      </c>
      <c r="E1014" s="624">
        <f>(B1014*C1014)-D1014</f>
        <v>1206.01</v>
      </c>
      <c r="F1014" s="546" t="s">
        <v>318</v>
      </c>
      <c r="G1014" s="1507"/>
      <c r="H1014" s="1526"/>
      <c r="I1014" s="1501" t="str">
        <f t="shared" si="53"/>
        <v/>
      </c>
      <c r="J1014" s="1501" t="str">
        <f t="shared" si="52"/>
        <v/>
      </c>
      <c r="K1014" s="261"/>
      <c r="L1014" s="309"/>
      <c r="M1014" s="309"/>
      <c r="N1014" s="309"/>
      <c r="O1014" s="309"/>
      <c r="P1014" s="309"/>
      <c r="Q1014" s="309"/>
      <c r="R1014" s="309"/>
      <c r="S1014" s="309"/>
      <c r="T1014" s="309"/>
      <c r="U1014" s="309"/>
    </row>
    <row r="1015" spans="1:21" ht="12.75" customHeight="1">
      <c r="A1015" s="280"/>
      <c r="B1015" s="627"/>
      <c r="C1015" s="785"/>
      <c r="D1015" s="786"/>
      <c r="E1015" s="858"/>
      <c r="F1015" s="781"/>
      <c r="G1015" s="1507"/>
      <c r="H1015" s="1526"/>
      <c r="I1015" s="1501" t="str">
        <f t="shared" si="53"/>
        <v/>
      </c>
      <c r="J1015" s="1501" t="str">
        <f t="shared" si="52"/>
        <v/>
      </c>
      <c r="K1015" s="261"/>
      <c r="L1015" s="309"/>
      <c r="M1015" s="309"/>
      <c r="N1015" s="309"/>
      <c r="O1015" s="309"/>
      <c r="P1015" s="309"/>
      <c r="Q1015" s="309"/>
      <c r="R1015" s="309"/>
      <c r="S1015" s="309"/>
      <c r="T1015" s="309"/>
      <c r="U1015" s="309"/>
    </row>
    <row r="1016" spans="1:21" ht="12.75" customHeight="1">
      <c r="A1016" s="1366">
        <v>41248</v>
      </c>
      <c r="B1016" s="627"/>
      <c r="C1016" s="785"/>
      <c r="D1016" s="786"/>
      <c r="E1016" s="858"/>
      <c r="F1016" s="781"/>
      <c r="G1016" s="1507"/>
      <c r="H1016" s="1526"/>
      <c r="I1016" s="1501" t="str">
        <f t="shared" si="53"/>
        <v/>
      </c>
      <c r="J1016" s="1501" t="str">
        <f t="shared" si="52"/>
        <v/>
      </c>
      <c r="K1016" s="261"/>
      <c r="L1016" s="309"/>
      <c r="M1016" s="309"/>
      <c r="N1016" s="309"/>
      <c r="O1016" s="309"/>
      <c r="P1016" s="309"/>
      <c r="Q1016" s="309"/>
      <c r="R1016" s="309"/>
      <c r="S1016" s="309"/>
      <c r="T1016" s="309"/>
      <c r="U1016" s="309"/>
    </row>
    <row r="1017" spans="1:21" ht="12.75" customHeight="1">
      <c r="A1017" s="1365" t="s">
        <v>820</v>
      </c>
      <c r="B1017" s="627"/>
      <c r="C1017" s="785"/>
      <c r="D1017" s="786"/>
      <c r="E1017" s="858"/>
      <c r="F1017" s="781"/>
      <c r="G1017" s="1507"/>
      <c r="H1017" s="1526"/>
      <c r="I1017" s="1501" t="str">
        <f t="shared" si="53"/>
        <v/>
      </c>
      <c r="J1017" s="1501" t="str">
        <f t="shared" si="52"/>
        <v/>
      </c>
      <c r="K1017" s="261"/>
      <c r="L1017" s="309"/>
      <c r="M1017" s="309"/>
      <c r="N1017" s="309"/>
      <c r="O1017" s="309"/>
      <c r="P1017" s="309"/>
      <c r="Q1017" s="309"/>
      <c r="R1017" s="309"/>
      <c r="S1017" s="309"/>
      <c r="T1017" s="309"/>
      <c r="U1017" s="309"/>
    </row>
    <row r="1018" spans="1:21" ht="12.75" customHeight="1">
      <c r="A1018" s="1376" t="s">
        <v>357</v>
      </c>
      <c r="B1018" s="625">
        <v>30</v>
      </c>
      <c r="C1018" s="623">
        <v>111.7201</v>
      </c>
      <c r="D1018" s="792">
        <v>10.07</v>
      </c>
      <c r="E1018" s="624">
        <f>B1018*C1018-D1018</f>
        <v>3341.5329999999999</v>
      </c>
      <c r="F1018" s="546" t="s">
        <v>358</v>
      </c>
      <c r="G1018" s="1507"/>
      <c r="H1018" s="1526"/>
      <c r="I1018" s="1501" t="str">
        <f t="shared" si="53"/>
        <v/>
      </c>
      <c r="J1018" s="1501" t="str">
        <f>IF(F1020="","",IF(OR(A1016="Sell",A1019="Sell"),"",F1020))</f>
        <v>WIP</v>
      </c>
      <c r="K1018" s="261"/>
      <c r="L1018" s="309"/>
      <c r="M1018" s="309"/>
      <c r="N1018" s="309"/>
      <c r="O1018" s="309"/>
      <c r="P1018" s="309"/>
      <c r="Q1018" s="309"/>
      <c r="R1018" s="309"/>
      <c r="S1018" s="309"/>
      <c r="T1018" s="309"/>
      <c r="U1018" s="309"/>
    </row>
    <row r="1019" spans="1:21" ht="12.75" customHeight="1">
      <c r="A1019" s="1379" t="s">
        <v>824</v>
      </c>
      <c r="B1019" s="625"/>
      <c r="C1019" s="623"/>
      <c r="D1019" s="792"/>
      <c r="E1019" s="624"/>
      <c r="F1019" s="546"/>
      <c r="G1019" s="1507"/>
      <c r="H1019" s="1526"/>
      <c r="I1019" s="1501" t="str">
        <f t="shared" si="53"/>
        <v/>
      </c>
      <c r="J1019" s="1501" t="str">
        <f>IF(F1021="","",IF(OR(A1016="Sell",A1019="Sell"),"",F1021))</f>
        <v>BSV</v>
      </c>
      <c r="K1019" s="261"/>
      <c r="L1019" s="309"/>
      <c r="M1019" s="309"/>
      <c r="N1019" s="309"/>
      <c r="O1019" s="309"/>
      <c r="P1019" s="309"/>
      <c r="Q1019" s="309"/>
      <c r="R1019" s="309"/>
      <c r="S1019" s="309"/>
      <c r="T1019" s="309"/>
      <c r="U1019" s="309"/>
    </row>
    <row r="1020" spans="1:21" ht="12.75" customHeight="1">
      <c r="A1020" s="1376" t="s">
        <v>385</v>
      </c>
      <c r="B1020" s="625">
        <v>55</v>
      </c>
      <c r="C1020" s="623">
        <v>63.009900000000002</v>
      </c>
      <c r="D1020" s="792">
        <v>9.99</v>
      </c>
      <c r="E1020" s="624">
        <f>B1020*C1020-D1020</f>
        <v>3455.5545000000002</v>
      </c>
      <c r="F1020" s="546" t="s">
        <v>351</v>
      </c>
      <c r="G1020" s="1507"/>
      <c r="H1020" s="1526"/>
      <c r="I1020" s="1501" t="str">
        <f t="shared" si="53"/>
        <v>WIP</v>
      </c>
      <c r="J1020" s="1501" t="str">
        <f>IF(F1022="","",IF(OR(A1020="Sell",A1021="Sell"),"",F1022))</f>
        <v/>
      </c>
      <c r="K1020" s="261"/>
      <c r="L1020" s="309"/>
      <c r="M1020" s="309"/>
      <c r="N1020" s="309"/>
      <c r="O1020" s="309"/>
      <c r="P1020" s="309"/>
      <c r="Q1020" s="309"/>
      <c r="R1020" s="309"/>
      <c r="S1020" s="309"/>
      <c r="T1020" s="309"/>
      <c r="U1020" s="309"/>
    </row>
    <row r="1021" spans="1:21" ht="12.75" customHeight="1">
      <c r="A1021" s="1376" t="s">
        <v>914</v>
      </c>
      <c r="B1021" s="625">
        <v>40</v>
      </c>
      <c r="C1021" s="623">
        <v>81.319900000000004</v>
      </c>
      <c r="D1021" s="792">
        <v>9.99</v>
      </c>
      <c r="E1021" s="624">
        <f>B1021*C1021-D1021</f>
        <v>3242.8060000000005</v>
      </c>
      <c r="F1021" s="546" t="s">
        <v>353</v>
      </c>
      <c r="I1021" s="1501" t="str">
        <f t="shared" si="53"/>
        <v>BSV</v>
      </c>
      <c r="J1021" s="1501" t="str">
        <f>IF(F1023="","",IF(OR(A1021="Sell",A1022="Sell"),"",F1023))</f>
        <v/>
      </c>
      <c r="K1021" s="261"/>
      <c r="L1021" s="309"/>
      <c r="M1021" s="309"/>
      <c r="N1021" s="309"/>
      <c r="O1021" s="309"/>
      <c r="P1021" s="309"/>
      <c r="Q1021" s="309"/>
      <c r="R1021" s="309"/>
      <c r="S1021" s="309"/>
      <c r="T1021" s="309"/>
      <c r="U1021" s="309"/>
    </row>
    <row r="1022" spans="1:21" ht="12.75" customHeight="1">
      <c r="A1022" s="280"/>
      <c r="B1022" s="625"/>
      <c r="C1022" s="623"/>
      <c r="D1022" s="792"/>
      <c r="E1022" s="858"/>
      <c r="F1022" s="781"/>
      <c r="I1022" s="1501" t="str">
        <f t="shared" si="53"/>
        <v/>
      </c>
      <c r="J1022" s="1501" t="str">
        <f>IF(F1024="","",IF(OR(A1023="Sell",A1024="Sell"),"",F1024))</f>
        <v/>
      </c>
      <c r="K1022" s="261"/>
      <c r="L1022" s="309"/>
      <c r="M1022" s="309"/>
      <c r="N1022" s="309"/>
      <c r="O1022" s="309"/>
      <c r="P1022" s="309"/>
      <c r="Q1022" s="309"/>
      <c r="R1022" s="309"/>
      <c r="S1022" s="309"/>
      <c r="T1022" s="309"/>
      <c r="U1022" s="309"/>
    </row>
    <row r="1023" spans="1:21" ht="12.75" customHeight="1">
      <c r="A1023" s="1366">
        <v>41246</v>
      </c>
      <c r="B1023" s="627"/>
      <c r="C1023" s="785"/>
      <c r="D1023" s="786"/>
      <c r="E1023" s="858"/>
      <c r="F1023" s="781"/>
      <c r="G1023" s="1507"/>
      <c r="H1023" s="1526"/>
      <c r="I1023" s="1501" t="str">
        <f t="shared" si="53"/>
        <v/>
      </c>
      <c r="J1023" s="1501" t="str">
        <f t="shared" ref="J1023:J1086" si="54">IF(F1025="","",IF(OR(A1023="Sell",A1024="Sell"),"",F1025))</f>
        <v/>
      </c>
      <c r="K1023" s="261"/>
      <c r="L1023" s="309"/>
      <c r="M1023" s="309"/>
      <c r="N1023" s="309"/>
      <c r="O1023" s="309"/>
      <c r="P1023" s="309"/>
      <c r="Q1023" s="309"/>
      <c r="R1023" s="309"/>
      <c r="S1023" s="309"/>
      <c r="T1023" s="309"/>
      <c r="U1023" s="309"/>
    </row>
    <row r="1024" spans="1:21" ht="12.75" customHeight="1">
      <c r="A1024" s="1363" t="s">
        <v>820</v>
      </c>
      <c r="B1024" s="625">
        <v>6</v>
      </c>
      <c r="C1024" s="623">
        <v>586.14009999999996</v>
      </c>
      <c r="D1024" s="792">
        <v>10.07</v>
      </c>
      <c r="E1024" s="624">
        <f>B1024*C1024-D1024</f>
        <v>3506.7705999999994</v>
      </c>
      <c r="F1024" s="546" t="s">
        <v>207</v>
      </c>
      <c r="G1024" s="1518">
        <f>((H1134-B1024)*C1431)</f>
        <v>1062</v>
      </c>
      <c r="H1024" s="1532">
        <f>(H1134-B1024)</f>
        <v>6</v>
      </c>
      <c r="I1024" s="1501" t="str">
        <f t="shared" si="53"/>
        <v/>
      </c>
      <c r="J1024" s="1501" t="str">
        <f t="shared" si="54"/>
        <v/>
      </c>
      <c r="K1024" s="261"/>
      <c r="L1024" s="309"/>
      <c r="M1024" s="309"/>
      <c r="N1024" s="309"/>
      <c r="O1024" s="309"/>
      <c r="P1024" s="309"/>
      <c r="Q1024" s="309"/>
      <c r="R1024" s="309"/>
      <c r="S1024" s="309"/>
      <c r="T1024" s="309"/>
      <c r="U1024" s="309"/>
    </row>
    <row r="1025" spans="1:21" ht="12.75" customHeight="1">
      <c r="A1025" s="1361" t="s">
        <v>335</v>
      </c>
      <c r="B1025" s="627"/>
      <c r="C1025" s="785"/>
      <c r="D1025" s="847" t="s">
        <v>915</v>
      </c>
      <c r="E1025" s="858"/>
      <c r="F1025" s="781"/>
      <c r="G1025" s="1507" t="s">
        <v>916</v>
      </c>
      <c r="H1025" s="1526"/>
      <c r="I1025" s="1501" t="str">
        <f t="shared" si="53"/>
        <v/>
      </c>
      <c r="J1025" s="1501" t="str">
        <f t="shared" si="54"/>
        <v/>
      </c>
      <c r="K1025" s="261"/>
      <c r="L1025" s="309"/>
      <c r="M1025" s="309"/>
      <c r="N1025" s="309"/>
      <c r="O1025" s="309"/>
      <c r="P1025" s="309"/>
      <c r="Q1025" s="309"/>
      <c r="R1025" s="309"/>
      <c r="S1025" s="309"/>
      <c r="T1025" s="309"/>
      <c r="U1025" s="309"/>
    </row>
    <row r="1026" spans="1:21" ht="12.75" customHeight="1">
      <c r="A1026" s="280"/>
      <c r="B1026" s="627"/>
      <c r="C1026" s="785"/>
      <c r="D1026" s="786"/>
      <c r="E1026" s="858"/>
      <c r="F1026" s="781"/>
      <c r="G1026" s="1518">
        <f>G1024/168*H241</f>
        <v>745.92857142857144</v>
      </c>
      <c r="H1026" s="1526" t="s">
        <v>917</v>
      </c>
      <c r="I1026" s="1501" t="str">
        <f t="shared" si="53"/>
        <v/>
      </c>
      <c r="J1026" s="1501" t="str">
        <f t="shared" si="54"/>
        <v/>
      </c>
      <c r="K1026" s="261"/>
      <c r="L1026" s="309"/>
      <c r="M1026" s="309"/>
      <c r="N1026" s="309"/>
      <c r="O1026" s="309"/>
      <c r="P1026" s="309"/>
      <c r="Q1026" s="309"/>
      <c r="R1026" s="309"/>
      <c r="S1026" s="309"/>
      <c r="T1026" s="309"/>
      <c r="U1026" s="309"/>
    </row>
    <row r="1027" spans="1:21" ht="12.75" customHeight="1">
      <c r="A1027" s="1366">
        <v>41240</v>
      </c>
      <c r="B1027" s="627"/>
      <c r="C1027" s="785"/>
      <c r="D1027" s="786"/>
      <c r="E1027" s="858"/>
      <c r="F1027" s="781"/>
      <c r="G1027" s="1507"/>
      <c r="H1027" s="1526"/>
      <c r="I1027" s="1501" t="str">
        <f t="shared" si="53"/>
        <v/>
      </c>
      <c r="J1027" s="1501" t="str">
        <f t="shared" si="54"/>
        <v>IAU</v>
      </c>
      <c r="K1027" s="261"/>
      <c r="L1027" s="309"/>
      <c r="M1027" s="309"/>
      <c r="N1027" s="309"/>
      <c r="O1027" s="309"/>
      <c r="P1027" s="309"/>
      <c r="Q1027" s="309"/>
      <c r="R1027" s="309"/>
      <c r="S1027" s="309"/>
      <c r="T1027" s="309"/>
      <c r="U1027" s="309"/>
    </row>
    <row r="1028" spans="1:21" ht="12.75" customHeight="1">
      <c r="A1028" s="1365" t="s">
        <v>824</v>
      </c>
      <c r="B1028" s="627"/>
      <c r="C1028" s="785"/>
      <c r="D1028" s="786"/>
      <c r="E1028" s="858"/>
      <c r="F1028" s="781"/>
      <c r="G1028" s="1507"/>
      <c r="H1028" s="1526"/>
      <c r="I1028" s="1501" t="str">
        <f t="shared" si="53"/>
        <v/>
      </c>
      <c r="J1028" s="1501" t="str">
        <f t="shared" si="54"/>
        <v/>
      </c>
      <c r="K1028" s="261"/>
      <c r="L1028" s="309"/>
      <c r="M1028" s="309"/>
      <c r="N1028" s="309"/>
      <c r="O1028" s="309"/>
      <c r="P1028" s="309"/>
      <c r="Q1028" s="309"/>
      <c r="R1028" s="309"/>
      <c r="S1028" s="309"/>
      <c r="T1028" s="309"/>
      <c r="U1028" s="309"/>
    </row>
    <row r="1029" spans="1:21" ht="12.75" customHeight="1">
      <c r="A1029" s="1361" t="s">
        <v>348</v>
      </c>
      <c r="B1029" s="625">
        <v>265</v>
      </c>
      <c r="C1029" s="623">
        <v>16.95</v>
      </c>
      <c r="D1029" s="792">
        <v>9.99</v>
      </c>
      <c r="E1029" s="624">
        <f>B1029*C1029-D1029</f>
        <v>4481.76</v>
      </c>
      <c r="F1029" s="546" t="s">
        <v>349</v>
      </c>
      <c r="G1029" s="1507"/>
      <c r="H1029" s="1526"/>
      <c r="I1029" s="1501" t="str">
        <f t="shared" si="53"/>
        <v>IAU</v>
      </c>
      <c r="J1029" s="1501" t="str">
        <f t="shared" si="54"/>
        <v/>
      </c>
      <c r="K1029" s="261"/>
      <c r="L1029" s="309"/>
      <c r="M1029" s="309"/>
      <c r="N1029" s="309"/>
      <c r="O1029" s="309"/>
      <c r="P1029" s="309"/>
      <c r="Q1029" s="309"/>
      <c r="R1029" s="309"/>
      <c r="S1029" s="309"/>
      <c r="T1029" s="309"/>
      <c r="U1029" s="309"/>
    </row>
    <row r="1030" spans="1:21" ht="12.75" customHeight="1">
      <c r="A1030" s="1363" t="s">
        <v>820</v>
      </c>
      <c r="B1030" s="625"/>
      <c r="C1030" s="623"/>
      <c r="D1030" s="792"/>
      <c r="E1030" s="624"/>
      <c r="F1030" s="546"/>
      <c r="G1030" s="1507"/>
      <c r="H1030" s="1526"/>
      <c r="I1030" s="1501" t="str">
        <f t="shared" si="53"/>
        <v/>
      </c>
      <c r="J1030" s="1501" t="str">
        <f t="shared" si="54"/>
        <v/>
      </c>
      <c r="K1030" s="261"/>
      <c r="L1030" s="309"/>
      <c r="M1030" s="309"/>
      <c r="N1030" s="309"/>
      <c r="O1030" s="309"/>
      <c r="P1030" s="309"/>
      <c r="Q1030" s="309"/>
      <c r="R1030" s="309"/>
      <c r="S1030" s="309"/>
      <c r="T1030" s="309"/>
      <c r="U1030" s="309"/>
    </row>
    <row r="1031" spans="1:21" ht="12.75" customHeight="1">
      <c r="A1031" s="1361" t="s">
        <v>357</v>
      </c>
      <c r="B1031" s="625">
        <v>40</v>
      </c>
      <c r="C1031" s="623">
        <v>112.15</v>
      </c>
      <c r="D1031" s="792">
        <v>9.99</v>
      </c>
      <c r="E1031" s="624">
        <f>B1031*C1031-D1031</f>
        <v>4476.01</v>
      </c>
      <c r="F1031" s="546" t="s">
        <v>358</v>
      </c>
      <c r="G1031" s="1507"/>
      <c r="H1031" s="1526"/>
      <c r="I1031" s="1501" t="str">
        <f t="shared" si="53"/>
        <v/>
      </c>
      <c r="J1031" s="1501" t="str">
        <f t="shared" si="54"/>
        <v/>
      </c>
      <c r="K1031" s="261"/>
      <c r="L1031" s="309"/>
      <c r="M1031" s="309"/>
      <c r="N1031" s="309"/>
      <c r="O1031" s="309"/>
      <c r="P1031" s="309"/>
      <c r="Q1031" s="309"/>
      <c r="R1031" s="309"/>
      <c r="S1031" s="309"/>
      <c r="T1031" s="309"/>
      <c r="U1031" s="309"/>
    </row>
    <row r="1032" spans="1:21" ht="12.75" customHeight="1">
      <c r="A1032" s="1363"/>
      <c r="B1032" s="627"/>
      <c r="C1032" s="785"/>
      <c r="D1032" s="786"/>
      <c r="E1032" s="858"/>
      <c r="F1032" s="781"/>
      <c r="G1032" s="1507"/>
      <c r="H1032" s="1526"/>
      <c r="I1032" s="1501" t="str">
        <f t="shared" si="53"/>
        <v/>
      </c>
      <c r="J1032" s="1501" t="str">
        <f t="shared" si="54"/>
        <v/>
      </c>
      <c r="K1032" s="261"/>
      <c r="L1032" s="309"/>
      <c r="M1032" s="309"/>
      <c r="N1032" s="309"/>
      <c r="O1032" s="309"/>
      <c r="P1032" s="309"/>
      <c r="Q1032" s="309"/>
      <c r="R1032" s="309"/>
      <c r="S1032" s="309"/>
      <c r="T1032" s="309"/>
      <c r="U1032" s="309"/>
    </row>
    <row r="1033" spans="1:21" ht="12.75" customHeight="1">
      <c r="A1033" s="1366">
        <v>41225</v>
      </c>
      <c r="B1033" s="627"/>
      <c r="C1033" s="785"/>
      <c r="D1033" s="786"/>
      <c r="E1033" s="858"/>
      <c r="F1033" s="781"/>
      <c r="G1033" s="1507"/>
      <c r="H1033" s="1526"/>
      <c r="I1033" s="1501" t="str">
        <f t="shared" si="53"/>
        <v/>
      </c>
      <c r="J1033" s="1501" t="str">
        <f t="shared" si="54"/>
        <v>ESRX</v>
      </c>
      <c r="K1033" s="261"/>
      <c r="L1033" s="309"/>
      <c r="M1033" s="309"/>
      <c r="N1033" s="309"/>
      <c r="O1033" s="309"/>
      <c r="P1033" s="309"/>
      <c r="Q1033" s="309"/>
      <c r="R1033" s="309"/>
      <c r="S1033" s="309"/>
      <c r="T1033" s="309"/>
      <c r="U1033" s="309"/>
    </row>
    <row r="1034" spans="1:21" ht="12.75" customHeight="1">
      <c r="A1034" s="1365" t="s">
        <v>824</v>
      </c>
      <c r="B1034" s="627"/>
      <c r="C1034" s="785"/>
      <c r="D1034" s="786"/>
      <c r="E1034" s="858"/>
      <c r="F1034" s="781"/>
      <c r="G1034" s="1507"/>
      <c r="H1034" s="1526"/>
      <c r="I1034" s="1501" t="str">
        <f t="shared" si="53"/>
        <v/>
      </c>
      <c r="J1034" s="1501" t="str">
        <f t="shared" si="54"/>
        <v/>
      </c>
      <c r="K1034" s="261"/>
      <c r="L1034" s="309"/>
      <c r="M1034" s="309"/>
      <c r="N1034" s="309"/>
      <c r="O1034" s="309"/>
      <c r="P1034" s="309"/>
      <c r="Q1034" s="309"/>
      <c r="R1034" s="309"/>
      <c r="S1034" s="309"/>
      <c r="T1034" s="309"/>
      <c r="U1034" s="309"/>
    </row>
    <row r="1035" spans="1:21" ht="12.75" customHeight="1">
      <c r="A1035" s="1361" t="s">
        <v>343</v>
      </c>
      <c r="B1035" s="625">
        <v>35</v>
      </c>
      <c r="C1035" s="623">
        <v>51.99</v>
      </c>
      <c r="D1035" s="792">
        <v>9.99</v>
      </c>
      <c r="E1035" s="624">
        <f>B1035*C1035-D1035</f>
        <v>1809.66</v>
      </c>
      <c r="F1035" s="546" t="s">
        <v>344</v>
      </c>
      <c r="G1035" s="1507"/>
      <c r="H1035" s="1526"/>
      <c r="I1035" s="1501" t="str">
        <f t="shared" si="53"/>
        <v>ESRX</v>
      </c>
      <c r="J1035" s="1501" t="str">
        <f t="shared" si="54"/>
        <v/>
      </c>
      <c r="K1035" s="261"/>
      <c r="L1035" s="309"/>
      <c r="M1035" s="309"/>
      <c r="N1035" s="309"/>
      <c r="O1035" s="309"/>
      <c r="P1035" s="309"/>
      <c r="Q1035" s="309"/>
      <c r="R1035" s="309"/>
      <c r="S1035" s="309"/>
      <c r="T1035" s="309"/>
      <c r="U1035" s="309"/>
    </row>
    <row r="1036" spans="1:21" ht="12.75" customHeight="1">
      <c r="A1036" s="345" t="s">
        <v>820</v>
      </c>
      <c r="B1036" s="625"/>
      <c r="C1036" s="623"/>
      <c r="D1036" s="792"/>
      <c r="E1036" s="624"/>
      <c r="F1036" s="546"/>
      <c r="G1036" s="1507"/>
      <c r="H1036" s="1526"/>
      <c r="I1036" s="1501" t="str">
        <f t="shared" si="53"/>
        <v/>
      </c>
      <c r="J1036" s="1501" t="str">
        <f t="shared" si="54"/>
        <v/>
      </c>
      <c r="K1036" s="261"/>
      <c r="L1036" s="309"/>
      <c r="M1036" s="309"/>
      <c r="N1036" s="309"/>
      <c r="O1036" s="309"/>
      <c r="P1036" s="309"/>
      <c r="Q1036" s="309"/>
      <c r="R1036" s="309"/>
      <c r="S1036" s="309"/>
      <c r="T1036" s="309"/>
      <c r="U1036" s="309"/>
    </row>
    <row r="1037" spans="1:21" ht="12.75" customHeight="1">
      <c r="A1037" s="309" t="s">
        <v>918</v>
      </c>
      <c r="B1037" s="625">
        <v>65</v>
      </c>
      <c r="C1037" s="623">
        <v>26.51</v>
      </c>
      <c r="D1037" s="792">
        <v>9.99</v>
      </c>
      <c r="E1037" s="624">
        <f>(B1037*C1037)-D1037</f>
        <v>1713.16</v>
      </c>
      <c r="F1037" s="546" t="s">
        <v>327</v>
      </c>
      <c r="G1037" s="1507"/>
      <c r="H1037" s="1526"/>
      <c r="I1037" s="1501" t="str">
        <f t="shared" si="53"/>
        <v/>
      </c>
      <c r="J1037" s="1501" t="str">
        <f t="shared" si="54"/>
        <v/>
      </c>
      <c r="K1037" s="261"/>
      <c r="L1037" s="309"/>
      <c r="M1037" s="309"/>
      <c r="N1037" s="309"/>
      <c r="O1037" s="309"/>
      <c r="P1037" s="309"/>
      <c r="Q1037" s="309"/>
      <c r="R1037" s="309"/>
      <c r="S1037" s="309"/>
      <c r="T1037" s="309"/>
      <c r="U1037" s="309"/>
    </row>
    <row r="1038" spans="1:21" ht="12.75" customHeight="1">
      <c r="A1038" s="1361"/>
      <c r="B1038" s="625"/>
      <c r="C1038" s="623"/>
      <c r="D1038" s="792"/>
      <c r="E1038" s="624"/>
      <c r="F1038" s="546"/>
      <c r="G1038" s="1507"/>
      <c r="H1038" s="1526"/>
      <c r="I1038" s="1501" t="str">
        <f t="shared" si="53"/>
        <v/>
      </c>
      <c r="J1038" s="1501" t="str">
        <f t="shared" si="54"/>
        <v/>
      </c>
      <c r="K1038" s="261"/>
      <c r="L1038" s="309"/>
      <c r="M1038" s="309"/>
      <c r="N1038" s="309"/>
      <c r="O1038" s="309"/>
      <c r="P1038" s="309"/>
      <c r="Q1038" s="309"/>
      <c r="R1038" s="309"/>
      <c r="S1038" s="309"/>
      <c r="T1038" s="309"/>
      <c r="U1038" s="309"/>
    </row>
    <row r="1039" spans="1:21" ht="12.75" customHeight="1">
      <c r="A1039" s="295" t="s">
        <v>919</v>
      </c>
      <c r="B1039" s="625"/>
      <c r="C1039" s="623"/>
      <c r="D1039" s="792"/>
      <c r="E1039" s="624"/>
      <c r="F1039" s="546"/>
      <c r="I1039" s="1501" t="str">
        <f t="shared" si="53"/>
        <v/>
      </c>
      <c r="J1039" s="1501" t="str">
        <f t="shared" si="54"/>
        <v/>
      </c>
      <c r="K1039" s="261"/>
      <c r="L1039" s="309"/>
      <c r="M1039" s="309"/>
      <c r="N1039" s="309"/>
      <c r="O1039" s="309"/>
      <c r="P1039" s="309"/>
      <c r="Q1039" s="309"/>
      <c r="R1039" s="309"/>
      <c r="S1039" s="309"/>
      <c r="T1039" s="309"/>
      <c r="U1039" s="309"/>
    </row>
    <row r="1040" spans="1:21" ht="12.75" customHeight="1">
      <c r="A1040" s="345" t="s">
        <v>820</v>
      </c>
      <c r="B1040" s="625"/>
      <c r="C1040" s="623"/>
      <c r="D1040" s="792"/>
      <c r="E1040" s="624"/>
      <c r="F1040" s="546"/>
      <c r="G1040" s="1507"/>
      <c r="H1040" s="1526"/>
      <c r="I1040" s="1501" t="str">
        <f t="shared" si="53"/>
        <v/>
      </c>
      <c r="J1040" s="1501" t="str">
        <f t="shared" si="54"/>
        <v/>
      </c>
      <c r="K1040" s="261"/>
      <c r="L1040" s="309"/>
      <c r="M1040" s="309"/>
      <c r="N1040" s="309"/>
      <c r="O1040" s="309"/>
      <c r="P1040" s="309"/>
      <c r="Q1040" s="309"/>
      <c r="R1040" s="309"/>
      <c r="S1040" s="309"/>
      <c r="T1040" s="309"/>
      <c r="U1040" s="309"/>
    </row>
    <row r="1041" spans="1:21" ht="12.75" customHeight="1">
      <c r="A1041" s="309" t="s">
        <v>222</v>
      </c>
      <c r="B1041" s="625">
        <v>100</v>
      </c>
      <c r="C1041" s="623">
        <v>12.01</v>
      </c>
      <c r="D1041" s="792">
        <v>9.99</v>
      </c>
      <c r="E1041" s="624">
        <f>B1041*C1041-D1041</f>
        <v>1191.01</v>
      </c>
      <c r="F1041" s="546" t="s">
        <v>223</v>
      </c>
      <c r="G1041" s="1507"/>
      <c r="H1041" s="1526"/>
      <c r="I1041" s="1501" t="str">
        <f t="shared" si="53"/>
        <v/>
      </c>
      <c r="J1041" s="1501" t="str">
        <f t="shared" si="54"/>
        <v/>
      </c>
      <c r="K1041" s="261"/>
      <c r="L1041" s="309"/>
      <c r="M1041" s="309"/>
      <c r="N1041" s="309"/>
      <c r="O1041" s="309"/>
      <c r="P1041" s="309"/>
      <c r="Q1041" s="309"/>
      <c r="R1041" s="309"/>
      <c r="S1041" s="309"/>
      <c r="T1041" s="309"/>
      <c r="U1041" s="309"/>
    </row>
    <row r="1042" spans="1:21" ht="12.75" customHeight="1">
      <c r="A1042" s="309" t="s">
        <v>920</v>
      </c>
      <c r="B1042" s="625">
        <v>115</v>
      </c>
      <c r="C1042" s="623">
        <v>18.920000000000002</v>
      </c>
      <c r="D1042" s="792">
        <v>9.99</v>
      </c>
      <c r="E1042" s="624">
        <f>B1042*C1042-D1042</f>
        <v>2165.8100000000004</v>
      </c>
      <c r="F1042" s="546" t="s">
        <v>152</v>
      </c>
      <c r="G1042" s="1511">
        <f>(H1174-B1042)*C1174</f>
        <v>2241.6</v>
      </c>
      <c r="H1042" s="1526">
        <f>H1174-B1042</f>
        <v>120</v>
      </c>
      <c r="I1042" s="1501" t="str">
        <f>IF(F1042="","",IF(OR(A1040="Sell",A1042="Sell"),"",F1042))</f>
        <v/>
      </c>
      <c r="J1042" s="1501" t="str">
        <f t="shared" si="54"/>
        <v/>
      </c>
      <c r="K1042" s="261"/>
      <c r="L1042" s="309"/>
      <c r="M1042" s="309"/>
      <c r="N1042" s="309"/>
      <c r="O1042" s="309"/>
      <c r="P1042" s="309"/>
      <c r="Q1042" s="309"/>
      <c r="R1042" s="309"/>
      <c r="S1042" s="309"/>
      <c r="T1042" s="309"/>
      <c r="U1042" s="309"/>
    </row>
    <row r="1043" spans="1:21" ht="12.75" customHeight="1">
      <c r="A1043" s="1363"/>
      <c r="B1043" s="625"/>
      <c r="C1043" s="623"/>
      <c r="D1043" s="792"/>
      <c r="E1043" s="624"/>
      <c r="F1043" s="546"/>
      <c r="G1043" s="1507"/>
      <c r="H1043" s="1526"/>
      <c r="I1043" s="1501" t="str">
        <f t="shared" ref="I1043:I1106" si="55">IF(F1043="","",IF(OR(A1042="Sell",A1043="Sell"),"",F1043))</f>
        <v/>
      </c>
      <c r="J1043" s="1501" t="str">
        <f t="shared" si="54"/>
        <v/>
      </c>
      <c r="K1043" s="261"/>
      <c r="L1043" s="309"/>
      <c r="M1043" s="309"/>
      <c r="N1043" s="309"/>
      <c r="O1043" s="309"/>
      <c r="P1043" s="309"/>
      <c r="Q1043" s="309"/>
      <c r="R1043" s="309"/>
      <c r="S1043" s="309"/>
      <c r="T1043" s="309"/>
      <c r="U1043" s="309"/>
    </row>
    <row r="1044" spans="1:21" ht="12.75" customHeight="1">
      <c r="A1044" s="273" t="s">
        <v>921</v>
      </c>
      <c r="B1044" s="627"/>
      <c r="C1044" s="785"/>
      <c r="D1044" s="786"/>
      <c r="E1044" s="858"/>
      <c r="F1044" s="781"/>
      <c r="G1044" s="1507"/>
      <c r="H1044" s="1526"/>
      <c r="I1044" s="1501" t="str">
        <f t="shared" si="55"/>
        <v/>
      </c>
      <c r="J1044" s="1501" t="str">
        <f t="shared" si="54"/>
        <v>AGG</v>
      </c>
      <c r="K1044" s="261"/>
      <c r="L1044" s="309"/>
      <c r="M1044" s="309"/>
      <c r="N1044" s="309"/>
      <c r="O1044" s="309"/>
      <c r="P1044" s="309"/>
      <c r="Q1044" s="309"/>
      <c r="R1044" s="309"/>
      <c r="S1044" s="309"/>
      <c r="T1044" s="309"/>
      <c r="U1044" s="309"/>
    </row>
    <row r="1045" spans="1:21" ht="12.75" customHeight="1">
      <c r="A1045" s="1363" t="s">
        <v>824</v>
      </c>
      <c r="B1045" s="627"/>
      <c r="C1045" s="785"/>
      <c r="D1045" s="786"/>
      <c r="E1045" s="858"/>
      <c r="F1045" s="781"/>
      <c r="G1045" s="1507"/>
      <c r="H1045" s="1526"/>
      <c r="I1045" s="1501" t="str">
        <f t="shared" si="55"/>
        <v/>
      </c>
      <c r="J1045" s="1501" t="str">
        <f t="shared" si="54"/>
        <v/>
      </c>
      <c r="K1045" s="261"/>
      <c r="L1045" s="309"/>
      <c r="M1045" s="309"/>
      <c r="N1045" s="309"/>
      <c r="O1045" s="309"/>
      <c r="P1045" s="309"/>
      <c r="Q1045" s="309"/>
      <c r="R1045" s="309"/>
      <c r="S1045" s="309"/>
      <c r="T1045" s="309"/>
      <c r="U1045" s="309"/>
    </row>
    <row r="1046" spans="1:21" ht="12.75" customHeight="1">
      <c r="A1046" s="1361" t="s">
        <v>357</v>
      </c>
      <c r="B1046" s="625">
        <v>70</v>
      </c>
      <c r="C1046" s="623">
        <v>111.57</v>
      </c>
      <c r="D1046" s="792">
        <v>9.98</v>
      </c>
      <c r="E1046" s="624">
        <f>B1046*C1046-D1046</f>
        <v>7799.92</v>
      </c>
      <c r="F1046" s="546" t="s">
        <v>358</v>
      </c>
      <c r="G1046" s="1507"/>
      <c r="H1046" s="1526"/>
      <c r="I1046" s="1501" t="str">
        <f t="shared" si="55"/>
        <v>AGG</v>
      </c>
      <c r="J1046" s="1501" t="str">
        <f t="shared" si="54"/>
        <v/>
      </c>
      <c r="K1046" s="261"/>
      <c r="L1046" s="309"/>
      <c r="M1046" s="309"/>
      <c r="N1046" s="309"/>
      <c r="O1046" s="309"/>
      <c r="P1046" s="309"/>
      <c r="Q1046" s="309"/>
      <c r="R1046" s="309"/>
      <c r="S1046" s="309"/>
      <c r="T1046" s="309"/>
      <c r="U1046" s="309"/>
    </row>
    <row r="1047" spans="1:21" ht="12.75" customHeight="1">
      <c r="A1047" s="1361"/>
      <c r="B1047" s="625"/>
      <c r="C1047" s="623"/>
      <c r="D1047" s="792"/>
      <c r="E1047" s="624"/>
      <c r="F1047" s="546"/>
      <c r="G1047" s="1507"/>
      <c r="H1047" s="1526"/>
      <c r="I1047" s="1501" t="str">
        <f t="shared" si="55"/>
        <v/>
      </c>
      <c r="J1047" s="1501" t="str">
        <f t="shared" si="54"/>
        <v/>
      </c>
      <c r="K1047" s="261"/>
      <c r="L1047" s="309"/>
      <c r="M1047" s="309"/>
      <c r="N1047" s="309"/>
      <c r="O1047" s="309"/>
      <c r="P1047" s="309"/>
      <c r="Q1047" s="309"/>
      <c r="R1047" s="309"/>
      <c r="S1047" s="309"/>
      <c r="T1047" s="309"/>
      <c r="U1047" s="309"/>
    </row>
    <row r="1048" spans="1:21" ht="12.75" customHeight="1">
      <c r="A1048" s="259" t="s">
        <v>922</v>
      </c>
      <c r="B1048" s="627"/>
      <c r="C1048" s="785"/>
      <c r="D1048" s="786"/>
      <c r="E1048" s="858"/>
      <c r="F1048" s="781"/>
      <c r="G1048" s="1507"/>
      <c r="H1048" s="1526"/>
      <c r="I1048" s="1501" t="str">
        <f t="shared" si="55"/>
        <v/>
      </c>
      <c r="J1048" s="1501" t="str">
        <f t="shared" si="54"/>
        <v/>
      </c>
      <c r="K1048" s="261"/>
      <c r="L1048" s="309"/>
      <c r="M1048" s="309"/>
      <c r="N1048" s="309"/>
      <c r="O1048" s="309"/>
      <c r="P1048" s="309"/>
      <c r="Q1048" s="309"/>
      <c r="R1048" s="309"/>
      <c r="S1048" s="309"/>
      <c r="T1048" s="309"/>
      <c r="U1048" s="309"/>
    </row>
    <row r="1049" spans="1:21" ht="12.75" customHeight="1">
      <c r="A1049" s="345" t="s">
        <v>820</v>
      </c>
      <c r="B1049" s="627"/>
      <c r="C1049" s="785"/>
      <c r="D1049" s="786"/>
      <c r="E1049" s="858"/>
      <c r="F1049" s="781"/>
      <c r="G1049" s="1507"/>
      <c r="H1049" s="1526"/>
      <c r="I1049" s="1501" t="str">
        <f t="shared" si="55"/>
        <v/>
      </c>
      <c r="J1049" s="1501" t="str">
        <f t="shared" si="54"/>
        <v/>
      </c>
      <c r="K1049" s="261"/>
      <c r="L1049" s="309"/>
      <c r="M1049" s="309"/>
      <c r="N1049" s="309"/>
      <c r="O1049" s="309"/>
      <c r="P1049" s="309"/>
      <c r="Q1049" s="309"/>
      <c r="R1049" s="309"/>
      <c r="S1049" s="309"/>
      <c r="T1049" s="309"/>
      <c r="U1049" s="309"/>
    </row>
    <row r="1050" spans="1:21" ht="12.75" customHeight="1">
      <c r="A1050" s="1361" t="s">
        <v>923</v>
      </c>
      <c r="B1050" s="625">
        <v>20</v>
      </c>
      <c r="C1050" s="623">
        <v>60</v>
      </c>
      <c r="D1050" s="792">
        <v>9.99</v>
      </c>
      <c r="E1050" s="624">
        <f>B1050*C1050-D1050</f>
        <v>1190.01</v>
      </c>
      <c r="F1050" s="546" t="s">
        <v>329</v>
      </c>
      <c r="G1050" s="1507"/>
      <c r="H1050" s="1526"/>
      <c r="I1050" s="1501" t="str">
        <f t="shared" si="55"/>
        <v/>
      </c>
      <c r="J1050" s="1501" t="str">
        <f t="shared" si="54"/>
        <v/>
      </c>
      <c r="K1050" s="261"/>
      <c r="L1050" s="309"/>
      <c r="M1050" s="309"/>
      <c r="N1050" s="309"/>
      <c r="O1050" s="309"/>
      <c r="P1050" s="309"/>
      <c r="Q1050" s="309"/>
      <c r="R1050" s="309"/>
      <c r="S1050" s="309"/>
      <c r="T1050" s="309"/>
      <c r="U1050" s="309"/>
    </row>
    <row r="1051" spans="1:21" ht="12.75" customHeight="1">
      <c r="A1051" s="1363"/>
      <c r="B1051" s="627"/>
      <c r="C1051" s="785"/>
      <c r="D1051" s="786"/>
      <c r="E1051" s="858"/>
      <c r="F1051" s="781"/>
      <c r="G1051" s="1507"/>
      <c r="H1051" s="1526"/>
      <c r="I1051" s="1501" t="str">
        <f t="shared" si="55"/>
        <v/>
      </c>
      <c r="J1051" s="1501" t="str">
        <f t="shared" si="54"/>
        <v/>
      </c>
      <c r="K1051" s="261"/>
      <c r="L1051" s="309"/>
      <c r="M1051" s="309"/>
      <c r="N1051" s="309"/>
      <c r="O1051" s="309"/>
      <c r="P1051" s="309"/>
      <c r="Q1051" s="309"/>
      <c r="R1051" s="309"/>
      <c r="S1051" s="309"/>
      <c r="T1051" s="309"/>
      <c r="U1051" s="309"/>
    </row>
    <row r="1052" spans="1:21" ht="12.75" customHeight="1">
      <c r="A1052" s="1365" t="s">
        <v>924</v>
      </c>
      <c r="B1052" s="627"/>
      <c r="C1052" s="785"/>
      <c r="D1052" s="786"/>
      <c r="E1052" s="858"/>
      <c r="F1052" s="781"/>
      <c r="G1052" s="1507"/>
      <c r="H1052" s="1526"/>
      <c r="I1052" s="1501" t="str">
        <f t="shared" si="55"/>
        <v/>
      </c>
      <c r="J1052" s="1501" t="str">
        <f t="shared" si="54"/>
        <v>EXC</v>
      </c>
      <c r="K1052" s="261"/>
      <c r="L1052" s="309"/>
      <c r="M1052" s="309"/>
      <c r="N1052" s="309"/>
      <c r="O1052" s="309"/>
      <c r="P1052" s="309"/>
      <c r="Q1052" s="309"/>
      <c r="R1052" s="309"/>
      <c r="S1052" s="309"/>
      <c r="T1052" s="309"/>
      <c r="U1052" s="309"/>
    </row>
    <row r="1053" spans="1:21" ht="12.75" customHeight="1">
      <c r="A1053" s="1365" t="s">
        <v>824</v>
      </c>
      <c r="B1053" s="627"/>
      <c r="C1053" s="785"/>
      <c r="D1053" s="786"/>
      <c r="E1053" s="858"/>
      <c r="F1053" s="781"/>
      <c r="G1053" s="1507"/>
      <c r="H1053" s="1526"/>
      <c r="I1053" s="1501" t="str">
        <f t="shared" si="55"/>
        <v/>
      </c>
      <c r="J1053" s="1501" t="str">
        <f t="shared" si="54"/>
        <v/>
      </c>
      <c r="K1053" s="261"/>
      <c r="L1053" s="309"/>
      <c r="M1053" s="309"/>
      <c r="N1053" s="309"/>
      <c r="O1053" s="309"/>
      <c r="P1053" s="309"/>
      <c r="Q1053" s="309"/>
      <c r="R1053" s="309"/>
      <c r="S1053" s="309"/>
      <c r="T1053" s="309"/>
      <c r="U1053" s="309"/>
    </row>
    <row r="1054" spans="1:21" ht="12.75" customHeight="1">
      <c r="A1054" s="1361" t="s">
        <v>925</v>
      </c>
      <c r="B1054" s="625">
        <v>25</v>
      </c>
      <c r="C1054" s="623">
        <v>39.25</v>
      </c>
      <c r="D1054" s="792">
        <v>9.99</v>
      </c>
      <c r="E1054" s="624">
        <f>B1054*C1054-D1054</f>
        <v>971.26</v>
      </c>
      <c r="F1054" s="546" t="s">
        <v>283</v>
      </c>
      <c r="G1054" s="1507"/>
      <c r="H1054" s="1526"/>
      <c r="I1054" s="1501" t="str">
        <f t="shared" si="55"/>
        <v>EXC</v>
      </c>
      <c r="J1054" s="1501" t="str">
        <f t="shared" si="54"/>
        <v/>
      </c>
      <c r="K1054" s="261"/>
      <c r="L1054" s="309"/>
      <c r="M1054" s="309"/>
      <c r="N1054" s="309"/>
      <c r="O1054" s="309"/>
      <c r="P1054" s="309"/>
      <c r="Q1054" s="309"/>
      <c r="R1054" s="309"/>
      <c r="S1054" s="309"/>
      <c r="T1054" s="309"/>
      <c r="U1054" s="309"/>
    </row>
    <row r="1055" spans="1:21" ht="12.75" customHeight="1">
      <c r="A1055" s="280"/>
      <c r="B1055" s="627"/>
      <c r="C1055" s="785"/>
      <c r="D1055" s="786"/>
      <c r="E1055" s="858"/>
      <c r="F1055" s="781"/>
      <c r="G1055" s="1507"/>
      <c r="H1055" s="1526"/>
      <c r="I1055" s="1501" t="str">
        <f t="shared" si="55"/>
        <v/>
      </c>
      <c r="J1055" s="1501" t="str">
        <f t="shared" si="54"/>
        <v/>
      </c>
      <c r="K1055" s="261"/>
      <c r="L1055" s="309"/>
      <c r="M1055" s="309"/>
      <c r="N1055" s="309"/>
      <c r="O1055" s="309"/>
      <c r="P1055" s="309"/>
      <c r="Q1055" s="309"/>
      <c r="R1055" s="309"/>
      <c r="S1055" s="309"/>
      <c r="T1055" s="309"/>
      <c r="U1055" s="309"/>
    </row>
    <row r="1056" spans="1:21" ht="12.75" customHeight="1">
      <c r="A1056" s="1539">
        <v>41025</v>
      </c>
      <c r="B1056" s="627"/>
      <c r="C1056" s="785"/>
      <c r="D1056" s="786"/>
      <c r="E1056" s="858"/>
      <c r="F1056" s="781"/>
      <c r="G1056" s="1507"/>
      <c r="H1056" s="1526"/>
      <c r="I1056" s="1501" t="str">
        <f t="shared" si="55"/>
        <v/>
      </c>
      <c r="J1056" s="1501" t="str">
        <f t="shared" si="54"/>
        <v>UNH</v>
      </c>
      <c r="K1056" s="261"/>
      <c r="L1056" s="309"/>
      <c r="M1056" s="309"/>
      <c r="N1056" s="309"/>
      <c r="O1056" s="309"/>
      <c r="P1056" s="309"/>
      <c r="Q1056" s="309"/>
      <c r="R1056" s="309"/>
      <c r="S1056" s="309"/>
      <c r="T1056" s="309"/>
      <c r="U1056" s="309"/>
    </row>
    <row r="1057" spans="1:21" ht="12.75" customHeight="1">
      <c r="A1057" s="1365" t="s">
        <v>824</v>
      </c>
      <c r="B1057" s="627"/>
      <c r="C1057" s="785"/>
      <c r="D1057" s="786"/>
      <c r="E1057" s="858"/>
      <c r="F1057" s="781"/>
      <c r="G1057" s="1507"/>
      <c r="H1057" s="1526"/>
      <c r="I1057" s="1501" t="str">
        <f t="shared" si="55"/>
        <v/>
      </c>
      <c r="J1057" s="1501" t="str">
        <f t="shared" si="54"/>
        <v/>
      </c>
      <c r="K1057" s="261"/>
      <c r="L1057" s="309"/>
      <c r="M1057" s="309"/>
      <c r="N1057" s="309"/>
      <c r="O1057" s="309"/>
      <c r="P1057" s="309"/>
      <c r="Q1057" s="309"/>
      <c r="R1057" s="309"/>
      <c r="S1057" s="309"/>
      <c r="T1057" s="309"/>
      <c r="U1057" s="309"/>
    </row>
    <row r="1058" spans="1:21" ht="12.75" customHeight="1">
      <c r="A1058" s="1361" t="s">
        <v>661</v>
      </c>
      <c r="B1058" s="625">
        <v>60</v>
      </c>
      <c r="C1058" s="623">
        <v>58.68</v>
      </c>
      <c r="D1058" s="792">
        <v>9.99</v>
      </c>
      <c r="E1058" s="624">
        <f>B1058*C1058-D1058</f>
        <v>3510.8100000000004</v>
      </c>
      <c r="F1058" s="546" t="s">
        <v>173</v>
      </c>
      <c r="G1058" s="1507"/>
      <c r="H1058" s="1526"/>
      <c r="I1058" s="1501" t="str">
        <f t="shared" si="55"/>
        <v>UNH</v>
      </c>
      <c r="J1058" s="1501" t="str">
        <f t="shared" si="54"/>
        <v/>
      </c>
      <c r="K1058" s="261"/>
      <c r="L1058" s="309"/>
      <c r="M1058" s="309"/>
      <c r="N1058" s="309"/>
      <c r="O1058" s="309"/>
      <c r="P1058" s="309"/>
      <c r="Q1058" s="309"/>
      <c r="R1058" s="309"/>
      <c r="S1058" s="309"/>
      <c r="T1058" s="309"/>
      <c r="U1058" s="309"/>
    </row>
    <row r="1059" spans="1:21" ht="12.75" customHeight="1">
      <c r="A1059" s="280"/>
      <c r="B1059" s="627"/>
      <c r="C1059" s="785"/>
      <c r="D1059" s="786"/>
      <c r="E1059" s="858"/>
      <c r="F1059" s="781"/>
      <c r="G1059" s="1507"/>
      <c r="H1059" s="1526"/>
      <c r="I1059" s="1501" t="str">
        <f t="shared" si="55"/>
        <v/>
      </c>
      <c r="J1059" s="1501" t="str">
        <f t="shared" si="54"/>
        <v/>
      </c>
      <c r="K1059" s="261"/>
      <c r="L1059" s="309"/>
      <c r="M1059" s="309"/>
      <c r="N1059" s="309"/>
      <c r="O1059" s="309"/>
      <c r="P1059" s="309"/>
      <c r="Q1059" s="309"/>
      <c r="R1059" s="309"/>
      <c r="S1059" s="309"/>
      <c r="T1059" s="309"/>
      <c r="U1059" s="309"/>
    </row>
    <row r="1060" spans="1:21" ht="12.75" customHeight="1">
      <c r="A1060" s="273" t="s">
        <v>926</v>
      </c>
      <c r="B1060" s="627"/>
      <c r="C1060" s="785"/>
      <c r="D1060" s="786"/>
      <c r="E1060" s="858"/>
      <c r="F1060" s="781"/>
      <c r="G1060" s="1507"/>
      <c r="H1060" s="1526"/>
      <c r="I1060" s="1501" t="str">
        <f t="shared" si="55"/>
        <v/>
      </c>
      <c r="J1060" s="1501" t="str">
        <f t="shared" si="54"/>
        <v/>
      </c>
      <c r="K1060" s="261"/>
      <c r="L1060" s="309"/>
      <c r="M1060" s="309"/>
      <c r="N1060" s="309"/>
      <c r="O1060" s="309"/>
      <c r="P1060" s="309"/>
      <c r="Q1060" s="309"/>
      <c r="R1060" s="309"/>
      <c r="S1060" s="309"/>
      <c r="T1060" s="309"/>
      <c r="U1060" s="309"/>
    </row>
    <row r="1061" spans="1:21" ht="12.75" customHeight="1">
      <c r="A1061" s="1365" t="s">
        <v>820</v>
      </c>
      <c r="B1061" s="627"/>
      <c r="C1061" s="785"/>
      <c r="D1061" s="786"/>
      <c r="E1061" s="858"/>
      <c r="F1061" s="781"/>
      <c r="G1061" s="1507"/>
      <c r="H1061" s="1526"/>
      <c r="I1061" s="1501" t="str">
        <f t="shared" si="55"/>
        <v/>
      </c>
      <c r="J1061" s="1501" t="str">
        <f t="shared" si="54"/>
        <v/>
      </c>
      <c r="K1061" s="261"/>
      <c r="L1061" s="309"/>
      <c r="M1061" s="309"/>
      <c r="N1061" s="309"/>
      <c r="O1061" s="309"/>
      <c r="P1061" s="309"/>
      <c r="Q1061" s="309"/>
      <c r="R1061" s="309"/>
      <c r="S1061" s="309"/>
      <c r="T1061" s="309"/>
      <c r="U1061" s="309"/>
    </row>
    <row r="1062" spans="1:21" ht="12.75" customHeight="1">
      <c r="A1062" s="1361" t="s">
        <v>927</v>
      </c>
      <c r="B1062" s="625">
        <v>50</v>
      </c>
      <c r="C1062" s="623">
        <v>21.5</v>
      </c>
      <c r="D1062" s="792">
        <v>9.99</v>
      </c>
      <c r="E1062" s="624">
        <f>B1062*C1062-D1062</f>
        <v>1065.01</v>
      </c>
      <c r="F1062" s="546" t="s">
        <v>325</v>
      </c>
      <c r="G1062" s="1507"/>
      <c r="H1062" s="1526"/>
      <c r="I1062" s="1501" t="str">
        <f t="shared" si="55"/>
        <v/>
      </c>
      <c r="J1062" s="1501" t="str">
        <f t="shared" si="54"/>
        <v/>
      </c>
      <c r="K1062" s="261"/>
      <c r="L1062" s="309"/>
      <c r="M1062" s="309"/>
      <c r="N1062" s="309"/>
      <c r="O1062" s="309"/>
      <c r="P1062" s="309"/>
      <c r="Q1062" s="309"/>
      <c r="R1062" s="309"/>
      <c r="S1062" s="309"/>
      <c r="T1062" s="309"/>
      <c r="U1062" s="309"/>
    </row>
    <row r="1063" spans="1:21" ht="12.75" customHeight="1">
      <c r="A1063" s="280"/>
      <c r="B1063" s="627"/>
      <c r="C1063" s="785"/>
      <c r="D1063" s="786"/>
      <c r="E1063" s="858"/>
      <c r="F1063" s="781"/>
      <c r="G1063" s="1507"/>
      <c r="H1063" s="1526"/>
      <c r="I1063" s="1501" t="str">
        <f t="shared" si="55"/>
        <v/>
      </c>
      <c r="J1063" s="1501" t="str">
        <f t="shared" si="54"/>
        <v/>
      </c>
      <c r="K1063" s="261"/>
      <c r="L1063" s="309"/>
      <c r="M1063" s="309"/>
      <c r="N1063" s="309"/>
      <c r="O1063" s="309"/>
      <c r="P1063" s="309"/>
      <c r="Q1063" s="309"/>
      <c r="R1063" s="309"/>
      <c r="S1063" s="309"/>
      <c r="T1063" s="309"/>
      <c r="U1063" s="309"/>
    </row>
    <row r="1064" spans="1:21" ht="12.75" customHeight="1">
      <c r="A1064" s="273" t="s">
        <v>928</v>
      </c>
      <c r="B1064" s="627"/>
      <c r="C1064" s="785"/>
      <c r="D1064" s="786"/>
      <c r="E1064" s="858"/>
      <c r="F1064" s="781"/>
      <c r="G1064" s="1507"/>
      <c r="H1064" s="1526"/>
      <c r="I1064" s="1501" t="str">
        <f t="shared" si="55"/>
        <v/>
      </c>
      <c r="J1064" s="1501" t="str">
        <f t="shared" si="54"/>
        <v/>
      </c>
      <c r="K1064" s="261"/>
      <c r="L1064" s="309"/>
      <c r="M1064" s="309"/>
      <c r="N1064" s="309"/>
      <c r="O1064" s="309"/>
      <c r="P1064" s="309"/>
      <c r="Q1064" s="309"/>
      <c r="R1064" s="309"/>
      <c r="S1064" s="309"/>
      <c r="T1064" s="309"/>
      <c r="U1064" s="309"/>
    </row>
    <row r="1065" spans="1:21" ht="12.75" customHeight="1">
      <c r="A1065" s="1365" t="s">
        <v>820</v>
      </c>
      <c r="B1065" s="627"/>
      <c r="C1065" s="785"/>
      <c r="D1065" s="786"/>
      <c r="E1065" s="858"/>
      <c r="F1065" s="781"/>
      <c r="G1065" s="1507"/>
      <c r="H1065" s="1526"/>
      <c r="I1065" s="1501" t="str">
        <f t="shared" si="55"/>
        <v/>
      </c>
      <c r="J1065" s="1501" t="str">
        <f t="shared" si="54"/>
        <v/>
      </c>
      <c r="K1065" s="261"/>
      <c r="L1065" s="309"/>
      <c r="M1065" s="309"/>
      <c r="N1065" s="309"/>
      <c r="O1065" s="309"/>
      <c r="P1065" s="309"/>
      <c r="Q1065" s="309"/>
      <c r="R1065" s="309"/>
      <c r="S1065" s="309"/>
      <c r="T1065" s="309"/>
      <c r="U1065" s="309"/>
    </row>
    <row r="1066" spans="1:21" ht="12.75" customHeight="1">
      <c r="A1066" s="1361" t="s">
        <v>929</v>
      </c>
      <c r="B1066" s="625">
        <v>280</v>
      </c>
      <c r="C1066" s="623">
        <v>3.22</v>
      </c>
      <c r="D1066" s="792">
        <v>9.99</v>
      </c>
      <c r="E1066" s="624">
        <f>B1066*C1066-D1066</f>
        <v>891.61</v>
      </c>
      <c r="F1066" s="546" t="s">
        <v>301</v>
      </c>
      <c r="G1066" s="1507"/>
      <c r="H1066" s="1526"/>
      <c r="I1066" s="1501" t="str">
        <f t="shared" si="55"/>
        <v/>
      </c>
      <c r="J1066" s="1501" t="str">
        <f t="shared" si="54"/>
        <v/>
      </c>
      <c r="K1066" s="261"/>
      <c r="L1066" s="309"/>
      <c r="M1066" s="309"/>
      <c r="N1066" s="309"/>
      <c r="O1066" s="309"/>
      <c r="P1066" s="309"/>
      <c r="Q1066" s="309"/>
      <c r="R1066" s="309"/>
      <c r="S1066" s="309"/>
      <c r="T1066" s="309"/>
      <c r="U1066" s="309"/>
    </row>
    <row r="1067" spans="1:21" ht="12.75" customHeight="1">
      <c r="A1067" s="280"/>
      <c r="B1067" s="627"/>
      <c r="C1067" s="785"/>
      <c r="D1067" s="786"/>
      <c r="E1067" s="858"/>
      <c r="F1067" s="781"/>
      <c r="G1067" s="1507"/>
      <c r="H1067" s="1526"/>
      <c r="I1067" s="1501" t="str">
        <f t="shared" si="55"/>
        <v/>
      </c>
      <c r="J1067" s="1501" t="str">
        <f t="shared" si="54"/>
        <v/>
      </c>
      <c r="K1067" s="261"/>
      <c r="L1067" s="309"/>
      <c r="M1067" s="309"/>
      <c r="N1067" s="309"/>
      <c r="O1067" s="309"/>
      <c r="P1067" s="309"/>
      <c r="Q1067" s="309"/>
      <c r="R1067" s="309"/>
      <c r="S1067" s="309"/>
      <c r="T1067" s="309"/>
      <c r="U1067" s="309"/>
    </row>
    <row r="1068" spans="1:21" ht="12.75" customHeight="1">
      <c r="A1068" s="273" t="s">
        <v>928</v>
      </c>
      <c r="B1068" s="627"/>
      <c r="C1068" s="785"/>
      <c r="D1068" s="786"/>
      <c r="E1068" s="858"/>
      <c r="F1068" s="781"/>
      <c r="G1068" s="1507"/>
      <c r="H1068" s="1526"/>
      <c r="I1068" s="1501" t="str">
        <f t="shared" si="55"/>
        <v/>
      </c>
      <c r="J1068" s="1501" t="str">
        <f t="shared" si="54"/>
        <v/>
      </c>
      <c r="K1068" s="261"/>
      <c r="L1068" s="309"/>
      <c r="M1068" s="309"/>
      <c r="N1068" s="309"/>
      <c r="O1068" s="309"/>
      <c r="P1068" s="309"/>
      <c r="Q1068" s="309"/>
      <c r="R1068" s="309"/>
      <c r="S1068" s="309"/>
      <c r="T1068" s="309"/>
      <c r="U1068" s="309"/>
    </row>
    <row r="1069" spans="1:21" ht="12.75" customHeight="1">
      <c r="A1069" s="1365" t="s">
        <v>820</v>
      </c>
      <c r="B1069" s="627"/>
      <c r="C1069" s="785"/>
      <c r="D1069" s="786"/>
      <c r="E1069" s="858"/>
      <c r="F1069" s="781"/>
      <c r="G1069" s="1507"/>
      <c r="H1069" s="1526"/>
      <c r="I1069" s="1501" t="str">
        <f t="shared" si="55"/>
        <v/>
      </c>
      <c r="J1069" s="1501" t="str">
        <f t="shared" si="54"/>
        <v/>
      </c>
      <c r="K1069" s="261"/>
      <c r="L1069" s="309"/>
      <c r="M1069" s="309"/>
      <c r="N1069" s="309"/>
      <c r="O1069" s="309"/>
      <c r="P1069" s="309"/>
      <c r="Q1069" s="309"/>
      <c r="R1069" s="309"/>
      <c r="S1069" s="309"/>
      <c r="T1069" s="309"/>
      <c r="U1069" s="309"/>
    </row>
    <row r="1070" spans="1:21" ht="12.75" customHeight="1">
      <c r="A1070" s="1361" t="s">
        <v>930</v>
      </c>
      <c r="B1070" s="625">
        <v>17</v>
      </c>
      <c r="C1070" s="623">
        <v>35.26</v>
      </c>
      <c r="D1070" s="792">
        <v>9.99</v>
      </c>
      <c r="E1070" s="624">
        <f>B1070*C1070-D1070</f>
        <v>589.42999999999995</v>
      </c>
      <c r="F1070" s="546" t="s">
        <v>205</v>
      </c>
      <c r="G1070" s="1507"/>
      <c r="H1070" s="1526"/>
      <c r="I1070" s="1501" t="str">
        <f t="shared" si="55"/>
        <v/>
      </c>
      <c r="J1070" s="1501" t="str">
        <f t="shared" si="54"/>
        <v/>
      </c>
      <c r="K1070" s="261"/>
      <c r="L1070" s="309"/>
      <c r="M1070" s="309"/>
      <c r="N1070" s="309"/>
      <c r="O1070" s="309"/>
      <c r="P1070" s="309"/>
      <c r="Q1070" s="309"/>
      <c r="R1070" s="309"/>
      <c r="S1070" s="309"/>
      <c r="T1070" s="309"/>
      <c r="U1070" s="309"/>
    </row>
    <row r="1071" spans="1:21" ht="12.75" customHeight="1">
      <c r="A1071" s="280"/>
      <c r="B1071" s="627"/>
      <c r="C1071" s="785"/>
      <c r="D1071" s="786"/>
      <c r="E1071" s="858"/>
      <c r="F1071" s="781"/>
      <c r="G1071" s="1507"/>
      <c r="H1071" s="1526"/>
      <c r="I1071" s="1501" t="str">
        <f t="shared" si="55"/>
        <v/>
      </c>
      <c r="J1071" s="1501" t="str">
        <f t="shared" si="54"/>
        <v/>
      </c>
      <c r="K1071" s="261"/>
      <c r="L1071" s="309"/>
      <c r="M1071" s="309"/>
      <c r="N1071" s="309"/>
      <c r="O1071" s="309"/>
      <c r="P1071" s="309"/>
      <c r="Q1071" s="309"/>
      <c r="R1071" s="309"/>
      <c r="S1071" s="309"/>
      <c r="T1071" s="309"/>
      <c r="U1071" s="309"/>
    </row>
    <row r="1072" spans="1:21" ht="12.75" customHeight="1">
      <c r="A1072" s="1380">
        <v>40995</v>
      </c>
      <c r="B1072" s="627"/>
      <c r="C1072" s="785"/>
      <c r="D1072" s="786"/>
      <c r="E1072" s="858"/>
      <c r="F1072" s="781"/>
      <c r="G1072" s="1507"/>
      <c r="H1072" s="1526"/>
      <c r="I1072" s="1501" t="str">
        <f t="shared" si="55"/>
        <v/>
      </c>
      <c r="J1072" s="1501" t="str">
        <f t="shared" si="54"/>
        <v/>
      </c>
      <c r="K1072" s="261"/>
      <c r="L1072" s="309"/>
      <c r="M1072" s="309"/>
      <c r="N1072" s="309"/>
      <c r="O1072" s="309"/>
      <c r="P1072" s="309"/>
      <c r="Q1072" s="309"/>
      <c r="R1072" s="309"/>
      <c r="S1072" s="309"/>
      <c r="T1072" s="309"/>
      <c r="U1072" s="309"/>
    </row>
    <row r="1073" spans="1:21" ht="12.75" customHeight="1">
      <c r="A1073" s="1363" t="s">
        <v>820</v>
      </c>
      <c r="B1073" s="627"/>
      <c r="C1073" s="785"/>
      <c r="D1073" s="786"/>
      <c r="E1073" s="858"/>
      <c r="F1073" s="781"/>
      <c r="G1073" s="1507"/>
      <c r="H1073" s="1526"/>
      <c r="I1073" s="1501" t="str">
        <f t="shared" si="55"/>
        <v/>
      </c>
      <c r="J1073" s="1501" t="str">
        <f t="shared" si="54"/>
        <v/>
      </c>
      <c r="K1073" s="261"/>
      <c r="L1073" s="309"/>
      <c r="M1073" s="309"/>
      <c r="N1073" s="309"/>
      <c r="O1073" s="309"/>
      <c r="P1073" s="309"/>
      <c r="Q1073" s="309"/>
      <c r="R1073" s="309"/>
      <c r="S1073" s="309"/>
      <c r="T1073" s="309"/>
      <c r="U1073" s="309"/>
    </row>
    <row r="1074" spans="1:21" ht="12.75" customHeight="1">
      <c r="A1074" s="1361" t="s">
        <v>208</v>
      </c>
      <c r="B1074" s="625">
        <v>150</v>
      </c>
      <c r="C1074" s="623">
        <v>23.42</v>
      </c>
      <c r="D1074" s="792">
        <v>9.99</v>
      </c>
      <c r="E1074" s="624">
        <f>B1074*C1074-D1074</f>
        <v>3503.0100000000007</v>
      </c>
      <c r="F1074" s="546" t="s">
        <v>209</v>
      </c>
      <c r="G1074" s="1507"/>
      <c r="H1074" s="1526"/>
      <c r="I1074" s="1501" t="str">
        <f t="shared" si="55"/>
        <v/>
      </c>
      <c r="J1074" s="1501" t="str">
        <f t="shared" si="54"/>
        <v/>
      </c>
      <c r="K1074" s="261"/>
      <c r="L1074" s="309"/>
      <c r="M1074" s="309"/>
      <c r="N1074" s="309"/>
      <c r="O1074" s="309"/>
      <c r="P1074" s="309"/>
      <c r="Q1074" s="309"/>
      <c r="R1074" s="309"/>
      <c r="S1074" s="309"/>
      <c r="T1074" s="309"/>
      <c r="U1074" s="309"/>
    </row>
    <row r="1075" spans="1:21" ht="12.75" customHeight="1">
      <c r="A1075" s="1363"/>
      <c r="B1075" s="627"/>
      <c r="C1075" s="785"/>
      <c r="D1075" s="786"/>
      <c r="E1075" s="858"/>
      <c r="F1075" s="781"/>
      <c r="G1075" s="1507"/>
      <c r="H1075" s="1526"/>
      <c r="I1075" s="1501" t="str">
        <f t="shared" si="55"/>
        <v/>
      </c>
      <c r="J1075" s="1501" t="str">
        <f t="shared" si="54"/>
        <v/>
      </c>
      <c r="K1075" s="261"/>
      <c r="L1075" s="309"/>
      <c r="M1075" s="309"/>
      <c r="N1075" s="309"/>
      <c r="O1075" s="309"/>
      <c r="P1075" s="309"/>
      <c r="Q1075" s="309"/>
      <c r="R1075" s="309"/>
      <c r="S1075" s="309"/>
      <c r="T1075" s="309"/>
      <c r="U1075" s="309"/>
    </row>
    <row r="1076" spans="1:21" ht="12.75" customHeight="1">
      <c r="A1076" s="273" t="s">
        <v>931</v>
      </c>
      <c r="B1076" s="627"/>
      <c r="C1076" s="785"/>
      <c r="D1076" s="786"/>
      <c r="E1076" s="858"/>
      <c r="F1076" s="781"/>
      <c r="G1076" s="1507"/>
      <c r="H1076" s="1526"/>
      <c r="I1076" s="1501" t="str">
        <f t="shared" si="55"/>
        <v/>
      </c>
      <c r="J1076" s="1501" t="str">
        <f t="shared" si="54"/>
        <v/>
      </c>
      <c r="K1076" s="261"/>
      <c r="L1076" s="309"/>
      <c r="M1076" s="309"/>
      <c r="N1076" s="309"/>
      <c r="O1076" s="309"/>
      <c r="P1076" s="309"/>
      <c r="Q1076" s="309"/>
      <c r="R1076" s="309"/>
      <c r="S1076" s="309"/>
      <c r="T1076" s="309"/>
      <c r="U1076" s="309"/>
    </row>
    <row r="1077" spans="1:21" ht="12.75" customHeight="1">
      <c r="A1077" s="1363" t="s">
        <v>820</v>
      </c>
      <c r="B1077" s="627"/>
      <c r="C1077" s="785"/>
      <c r="D1077" s="786"/>
      <c r="E1077" s="858"/>
      <c r="F1077" s="781"/>
      <c r="G1077" s="1507"/>
      <c r="H1077" s="1526"/>
      <c r="I1077" s="1501" t="str">
        <f t="shared" si="55"/>
        <v/>
      </c>
      <c r="J1077" s="1501" t="str">
        <f t="shared" si="54"/>
        <v/>
      </c>
      <c r="K1077" s="261"/>
      <c r="L1077" s="309"/>
      <c r="M1077" s="309"/>
      <c r="N1077" s="309"/>
      <c r="O1077" s="309"/>
      <c r="P1077" s="309"/>
      <c r="Q1077" s="309"/>
      <c r="R1077" s="309"/>
      <c r="S1077" s="309"/>
      <c r="T1077" s="309"/>
      <c r="U1077" s="309"/>
    </row>
    <row r="1078" spans="1:21" ht="12.75" customHeight="1">
      <c r="A1078" s="1361" t="s">
        <v>355</v>
      </c>
      <c r="B1078" s="625">
        <v>38</v>
      </c>
      <c r="C1078" s="623">
        <v>60.55</v>
      </c>
      <c r="D1078" s="792">
        <v>9.99</v>
      </c>
      <c r="E1078" s="624">
        <f>B1078*C1078-D1078</f>
        <v>2290.9100000000003</v>
      </c>
      <c r="F1078" s="546" t="s">
        <v>261</v>
      </c>
      <c r="G1078" s="1507"/>
      <c r="H1078" s="1526"/>
      <c r="I1078" s="1501" t="str">
        <f t="shared" si="55"/>
        <v/>
      </c>
      <c r="J1078" s="1501" t="str">
        <f t="shared" si="54"/>
        <v/>
      </c>
      <c r="K1078" s="261"/>
      <c r="L1078" s="309"/>
      <c r="M1078" s="309"/>
      <c r="N1078" s="309"/>
      <c r="O1078" s="309"/>
      <c r="P1078" s="309"/>
      <c r="Q1078" s="309"/>
      <c r="R1078" s="309"/>
      <c r="S1078" s="309"/>
      <c r="T1078" s="309"/>
      <c r="U1078" s="309"/>
    </row>
    <row r="1079" spans="1:21" ht="12.75" customHeight="1">
      <c r="A1079" s="280"/>
      <c r="B1079" s="627"/>
      <c r="C1079" s="785"/>
      <c r="D1079" s="786"/>
      <c r="E1079" s="858"/>
      <c r="F1079" s="781"/>
      <c r="G1079" s="1507"/>
      <c r="H1079" s="1526"/>
      <c r="I1079" s="1501" t="str">
        <f t="shared" si="55"/>
        <v/>
      </c>
      <c r="J1079" s="1501" t="str">
        <f t="shared" si="54"/>
        <v/>
      </c>
      <c r="K1079" s="261"/>
      <c r="L1079" s="309"/>
      <c r="M1079" s="309"/>
      <c r="N1079" s="309"/>
      <c r="O1079" s="309"/>
      <c r="P1079" s="309"/>
      <c r="Q1079" s="309"/>
      <c r="R1079" s="309"/>
      <c r="S1079" s="309"/>
      <c r="T1079" s="309"/>
      <c r="U1079" s="309"/>
    </row>
    <row r="1080" spans="1:21" ht="12.75" customHeight="1">
      <c r="A1080" s="273" t="s">
        <v>932</v>
      </c>
      <c r="B1080" s="627"/>
      <c r="C1080" s="785"/>
      <c r="D1080" s="786"/>
      <c r="E1080" s="858"/>
      <c r="F1080" s="781"/>
      <c r="G1080" s="1507"/>
      <c r="H1080" s="1526"/>
      <c r="I1080" s="1501" t="str">
        <f t="shared" si="55"/>
        <v/>
      </c>
      <c r="J1080" s="1501" t="str">
        <f t="shared" si="54"/>
        <v/>
      </c>
      <c r="K1080" s="261"/>
      <c r="L1080" s="309"/>
      <c r="M1080" s="309"/>
      <c r="N1080" s="309"/>
      <c r="O1080" s="309"/>
      <c r="P1080" s="309"/>
      <c r="Q1080" s="309"/>
      <c r="R1080" s="309"/>
      <c r="S1080" s="309"/>
      <c r="T1080" s="309"/>
      <c r="U1080" s="309"/>
    </row>
    <row r="1081" spans="1:21" ht="12.75" customHeight="1">
      <c r="A1081" s="1363" t="s">
        <v>820</v>
      </c>
      <c r="B1081" s="627"/>
      <c r="C1081" s="785"/>
      <c r="D1081" s="786"/>
      <c r="E1081" s="858"/>
      <c r="F1081" s="781"/>
      <c r="G1081" s="1507"/>
      <c r="H1081" s="1526"/>
      <c r="I1081" s="1501" t="str">
        <f t="shared" si="55"/>
        <v/>
      </c>
      <c r="J1081" s="1501" t="str">
        <f t="shared" si="54"/>
        <v/>
      </c>
      <c r="K1081" s="261"/>
      <c r="L1081" s="309"/>
      <c r="M1081" s="309"/>
      <c r="N1081" s="309"/>
      <c r="O1081" s="309"/>
      <c r="P1081" s="309"/>
      <c r="Q1081" s="309"/>
      <c r="R1081" s="309"/>
      <c r="S1081" s="309"/>
      <c r="T1081" s="309"/>
      <c r="U1081" s="309"/>
    </row>
    <row r="1082" spans="1:21" ht="12.75" customHeight="1">
      <c r="A1082" s="1361" t="s">
        <v>354</v>
      </c>
      <c r="B1082" s="625">
        <v>20</v>
      </c>
      <c r="C1082" s="623">
        <v>52.98</v>
      </c>
      <c r="D1082" s="792">
        <v>9.99</v>
      </c>
      <c r="E1082" s="624">
        <f>B1082*C1082-D1082</f>
        <v>1049.6099999999999</v>
      </c>
      <c r="F1082" s="546" t="s">
        <v>25</v>
      </c>
      <c r="G1082" s="1507"/>
      <c r="H1082" s="1526"/>
      <c r="I1082" s="1501" t="str">
        <f t="shared" si="55"/>
        <v/>
      </c>
      <c r="J1082" s="1501" t="str">
        <f t="shared" si="54"/>
        <v/>
      </c>
      <c r="K1082" s="261"/>
      <c r="L1082" s="309"/>
      <c r="M1082" s="309"/>
      <c r="N1082" s="309"/>
      <c r="O1082" s="309"/>
      <c r="P1082" s="309"/>
      <c r="Q1082" s="309"/>
      <c r="R1082" s="309"/>
      <c r="S1082" s="309"/>
      <c r="T1082" s="309"/>
      <c r="U1082" s="309"/>
    </row>
    <row r="1083" spans="1:21" ht="12.75" customHeight="1">
      <c r="A1083" s="280"/>
      <c r="B1083" s="627"/>
      <c r="C1083" s="785"/>
      <c r="D1083" s="786"/>
      <c r="E1083" s="858"/>
      <c r="F1083" s="781"/>
      <c r="G1083" s="1507"/>
      <c r="H1083" s="1526"/>
      <c r="I1083" s="1501" t="str">
        <f t="shared" si="55"/>
        <v/>
      </c>
      <c r="J1083" s="1501" t="str">
        <f t="shared" si="54"/>
        <v/>
      </c>
      <c r="K1083" s="261"/>
      <c r="L1083" s="309"/>
      <c r="M1083" s="309"/>
      <c r="N1083" s="309"/>
      <c r="O1083" s="309"/>
      <c r="P1083" s="309"/>
      <c r="Q1083" s="309"/>
      <c r="R1083" s="309"/>
      <c r="S1083" s="309"/>
      <c r="T1083" s="309"/>
      <c r="U1083" s="309"/>
    </row>
    <row r="1084" spans="1:21" ht="12.75" customHeight="1">
      <c r="A1084" s="273" t="s">
        <v>933</v>
      </c>
      <c r="B1084" s="627"/>
      <c r="C1084" s="785"/>
      <c r="D1084" s="786"/>
      <c r="E1084" s="858"/>
      <c r="F1084" s="781"/>
      <c r="G1084" s="1507"/>
      <c r="H1084" s="1526"/>
      <c r="I1084" s="1501" t="str">
        <f t="shared" si="55"/>
        <v/>
      </c>
      <c r="J1084" s="1501" t="str">
        <f t="shared" si="54"/>
        <v>APD</v>
      </c>
      <c r="K1084" s="261"/>
      <c r="L1084" s="309"/>
      <c r="M1084" s="309"/>
      <c r="N1084" s="309"/>
      <c r="O1084" s="309"/>
      <c r="P1084" s="309"/>
      <c r="Q1084" s="309"/>
      <c r="R1084" s="309"/>
      <c r="S1084" s="309"/>
      <c r="T1084" s="309"/>
      <c r="U1084" s="309"/>
    </row>
    <row r="1085" spans="1:21" ht="12.75" customHeight="1">
      <c r="A1085" s="1363" t="s">
        <v>824</v>
      </c>
      <c r="B1085" s="627"/>
      <c r="C1085" s="785"/>
      <c r="D1085" s="786"/>
      <c r="E1085" s="858"/>
      <c r="F1085" s="781"/>
      <c r="G1085" s="1507"/>
      <c r="H1085" s="1526"/>
      <c r="I1085" s="1501" t="str">
        <f t="shared" si="55"/>
        <v/>
      </c>
      <c r="J1085" s="1501" t="str">
        <f t="shared" si="54"/>
        <v/>
      </c>
      <c r="K1085" s="261"/>
      <c r="L1085" s="309"/>
      <c r="M1085" s="309"/>
      <c r="N1085" s="309"/>
      <c r="O1085" s="309"/>
      <c r="P1085" s="309"/>
      <c r="Q1085" s="309"/>
      <c r="R1085" s="309"/>
      <c r="S1085" s="309"/>
      <c r="T1085" s="309"/>
      <c r="U1085" s="309"/>
    </row>
    <row r="1086" spans="1:21" ht="12.75" customHeight="1">
      <c r="A1086" s="1361" t="s">
        <v>341</v>
      </c>
      <c r="B1086" s="625">
        <v>10</v>
      </c>
      <c r="C1086" s="623">
        <v>81.87</v>
      </c>
      <c r="D1086" s="792">
        <v>9.99</v>
      </c>
      <c r="E1086" s="624">
        <f>B1086*C1086-D1086</f>
        <v>808.71</v>
      </c>
      <c r="F1086" s="546" t="s">
        <v>342</v>
      </c>
      <c r="G1086" s="1507"/>
      <c r="H1086" s="1526"/>
      <c r="I1086" s="1501" t="str">
        <f t="shared" si="55"/>
        <v>APD</v>
      </c>
      <c r="J1086" s="1501" t="str">
        <f t="shared" si="54"/>
        <v/>
      </c>
      <c r="K1086" s="261"/>
      <c r="L1086" s="309"/>
      <c r="M1086" s="309"/>
      <c r="N1086" s="309"/>
      <c r="O1086" s="309"/>
      <c r="P1086" s="309"/>
      <c r="Q1086" s="309"/>
      <c r="R1086" s="309"/>
      <c r="S1086" s="309"/>
      <c r="T1086" s="309"/>
      <c r="U1086" s="309"/>
    </row>
    <row r="1087" spans="1:21" ht="12.75" customHeight="1">
      <c r="A1087" s="280"/>
      <c r="B1087" s="627"/>
      <c r="C1087" s="785"/>
      <c r="D1087" s="786"/>
      <c r="E1087" s="858"/>
      <c r="F1087" s="781"/>
      <c r="G1087" s="1507"/>
      <c r="H1087" s="1526"/>
      <c r="I1087" s="1501" t="str">
        <f t="shared" si="55"/>
        <v/>
      </c>
      <c r="J1087" s="1501" t="str">
        <f t="shared" ref="J1087:J1150" si="56">IF(F1089="","",IF(OR(A1087="Sell",A1088="Sell"),"",F1089))</f>
        <v/>
      </c>
      <c r="K1087" s="261"/>
      <c r="L1087" s="309"/>
      <c r="M1087" s="309"/>
      <c r="N1087" s="309"/>
      <c r="O1087" s="309"/>
      <c r="P1087" s="309"/>
      <c r="Q1087" s="309"/>
      <c r="R1087" s="309"/>
      <c r="S1087" s="309"/>
      <c r="T1087" s="309"/>
      <c r="U1087" s="309"/>
    </row>
    <row r="1088" spans="1:21" ht="12.75" customHeight="1">
      <c r="A1088" s="273" t="s">
        <v>934</v>
      </c>
      <c r="B1088" s="627"/>
      <c r="C1088" s="785"/>
      <c r="D1088" s="786"/>
      <c r="E1088" s="858"/>
      <c r="F1088" s="781"/>
      <c r="G1088" s="1507"/>
      <c r="H1088" s="1526"/>
      <c r="I1088" s="1501" t="str">
        <f t="shared" si="55"/>
        <v/>
      </c>
      <c r="J1088" s="1501" t="str">
        <f t="shared" si="56"/>
        <v>TD</v>
      </c>
      <c r="K1088" s="261"/>
      <c r="L1088" s="309"/>
      <c r="M1088" s="309"/>
      <c r="N1088" s="309"/>
      <c r="O1088" s="309"/>
      <c r="P1088" s="309"/>
      <c r="Q1088" s="309"/>
      <c r="R1088" s="309"/>
      <c r="S1088" s="309"/>
      <c r="T1088" s="309"/>
      <c r="U1088" s="309"/>
    </row>
    <row r="1089" spans="1:21" ht="12.75" customHeight="1">
      <c r="A1089" s="1363" t="s">
        <v>824</v>
      </c>
      <c r="B1089" s="627"/>
      <c r="C1089" s="785"/>
      <c r="D1089" s="786"/>
      <c r="E1089" s="858"/>
      <c r="F1089" s="781"/>
      <c r="G1089" s="1507"/>
      <c r="H1089" s="1526"/>
      <c r="I1089" s="1501" t="str">
        <f t="shared" si="55"/>
        <v/>
      </c>
      <c r="J1089" s="1501" t="str">
        <f t="shared" si="56"/>
        <v/>
      </c>
      <c r="K1089" s="261"/>
      <c r="L1089" s="309"/>
      <c r="M1089" s="309"/>
      <c r="N1089" s="309"/>
      <c r="O1089" s="309"/>
      <c r="P1089" s="309"/>
      <c r="Q1089" s="309"/>
      <c r="R1089" s="309"/>
      <c r="S1089" s="309"/>
      <c r="T1089" s="309"/>
      <c r="U1089" s="309"/>
    </row>
    <row r="1090" spans="1:21" ht="12.75" customHeight="1">
      <c r="A1090" s="1361" t="s">
        <v>345</v>
      </c>
      <c r="B1090" s="625">
        <v>50</v>
      </c>
      <c r="C1090" s="623">
        <v>41.615000000000002</v>
      </c>
      <c r="D1090" s="792">
        <v>9.99</v>
      </c>
      <c r="E1090" s="624">
        <f>B1090*C1090-D1090</f>
        <v>2070.7600000000002</v>
      </c>
      <c r="F1090" s="546" t="s">
        <v>346</v>
      </c>
      <c r="G1090" s="1507"/>
      <c r="H1090" s="1526"/>
      <c r="I1090" s="1501" t="str">
        <f t="shared" si="55"/>
        <v>TD</v>
      </c>
      <c r="J1090" s="1501" t="str">
        <f t="shared" si="56"/>
        <v/>
      </c>
      <c r="K1090" s="261"/>
      <c r="L1090" s="309"/>
      <c r="M1090" s="309"/>
      <c r="N1090" s="309"/>
      <c r="O1090" s="309"/>
      <c r="P1090" s="309"/>
      <c r="Q1090" s="309"/>
      <c r="R1090" s="309"/>
      <c r="S1090" s="309"/>
      <c r="T1090" s="309"/>
      <c r="U1090" s="309"/>
    </row>
    <row r="1091" spans="1:21" ht="12.75" customHeight="1">
      <c r="A1091" s="280"/>
      <c r="B1091" s="627"/>
      <c r="C1091" s="785" t="s">
        <v>935</v>
      </c>
      <c r="D1091" s="786"/>
      <c r="E1091" s="858"/>
      <c r="F1091" s="781"/>
      <c r="G1091" s="1507"/>
      <c r="H1091" s="1526"/>
      <c r="I1091" s="1501" t="str">
        <f t="shared" si="55"/>
        <v/>
      </c>
      <c r="J1091" s="1501" t="str">
        <f t="shared" si="56"/>
        <v/>
      </c>
      <c r="K1091" s="261"/>
      <c r="L1091" s="309"/>
      <c r="M1091" s="309"/>
      <c r="N1091" s="309"/>
      <c r="O1091" s="309"/>
      <c r="P1091" s="309"/>
      <c r="Q1091" s="309"/>
      <c r="R1091" s="309"/>
      <c r="S1091" s="309"/>
      <c r="T1091" s="309"/>
      <c r="U1091" s="309"/>
    </row>
    <row r="1092" spans="1:21" ht="12.75" customHeight="1">
      <c r="A1092" s="296" t="s">
        <v>936</v>
      </c>
      <c r="B1092" s="627"/>
      <c r="C1092" s="785"/>
      <c r="D1092" s="786"/>
      <c r="E1092" s="858"/>
      <c r="F1092" s="781"/>
      <c r="G1092" s="1507"/>
      <c r="H1092" s="1526"/>
      <c r="I1092" s="1501" t="str">
        <f t="shared" si="55"/>
        <v/>
      </c>
      <c r="J1092" s="1501" t="str">
        <f t="shared" si="56"/>
        <v>FDX</v>
      </c>
      <c r="K1092" s="261"/>
      <c r="L1092" s="309"/>
      <c r="M1092" s="309"/>
      <c r="N1092" s="309"/>
      <c r="O1092" s="309"/>
      <c r="P1092" s="309"/>
      <c r="Q1092" s="309"/>
      <c r="R1092" s="309"/>
      <c r="S1092" s="309"/>
      <c r="T1092" s="309"/>
      <c r="U1092" s="309"/>
    </row>
    <row r="1093" spans="1:21" ht="12.75" customHeight="1">
      <c r="A1093" s="1363" t="s">
        <v>824</v>
      </c>
      <c r="B1093" s="627"/>
      <c r="C1093" s="785"/>
      <c r="D1093" s="786"/>
      <c r="E1093" s="858"/>
      <c r="F1093" s="781"/>
      <c r="G1093" s="1507"/>
      <c r="H1093" s="1526"/>
      <c r="I1093" s="1501" t="str">
        <f t="shared" si="55"/>
        <v/>
      </c>
      <c r="J1093" s="1501" t="str">
        <f t="shared" si="56"/>
        <v/>
      </c>
      <c r="K1093" s="261"/>
      <c r="L1093" s="309"/>
      <c r="M1093" s="309"/>
      <c r="N1093" s="309"/>
      <c r="O1093" s="309"/>
      <c r="P1093" s="309"/>
      <c r="Q1093" s="309"/>
      <c r="R1093" s="309"/>
      <c r="S1093" s="309"/>
      <c r="T1093" s="309"/>
      <c r="U1093" s="309"/>
    </row>
    <row r="1094" spans="1:21" ht="12.75" customHeight="1">
      <c r="A1094" s="271" t="s">
        <v>937</v>
      </c>
      <c r="B1094" s="625">
        <v>15</v>
      </c>
      <c r="C1094" s="623">
        <v>83.38</v>
      </c>
      <c r="D1094" s="792">
        <v>9.99</v>
      </c>
      <c r="E1094" s="624">
        <f>B1094*C1094-D1094</f>
        <v>1240.7099999999998</v>
      </c>
      <c r="F1094" s="546" t="s">
        <v>320</v>
      </c>
      <c r="G1094" s="1507"/>
      <c r="H1094" s="1526"/>
      <c r="I1094" s="1501" t="str">
        <f t="shared" si="55"/>
        <v>FDX</v>
      </c>
      <c r="J1094" s="1501" t="str">
        <f t="shared" si="56"/>
        <v/>
      </c>
      <c r="K1094" s="261"/>
      <c r="L1094" s="309"/>
      <c r="M1094" s="309"/>
      <c r="N1094" s="309"/>
      <c r="O1094" s="309"/>
      <c r="P1094" s="309"/>
      <c r="Q1094" s="309"/>
      <c r="R1094" s="309"/>
      <c r="S1094" s="309"/>
      <c r="T1094" s="309"/>
      <c r="U1094" s="309"/>
    </row>
    <row r="1095" spans="1:21" ht="12.75" customHeight="1">
      <c r="A1095" s="280"/>
      <c r="B1095" s="627"/>
      <c r="C1095" s="785"/>
      <c r="D1095" s="786"/>
      <c r="E1095" s="858"/>
      <c r="F1095" s="781"/>
      <c r="G1095" s="1507"/>
      <c r="H1095" s="1526"/>
      <c r="I1095" s="1501" t="str">
        <f t="shared" si="55"/>
        <v/>
      </c>
      <c r="J1095" s="1501" t="str">
        <f t="shared" si="56"/>
        <v/>
      </c>
      <c r="K1095" s="261"/>
      <c r="L1095" s="309"/>
      <c r="M1095" s="309"/>
      <c r="N1095" s="309"/>
      <c r="O1095" s="309"/>
      <c r="P1095" s="309"/>
      <c r="Q1095" s="309"/>
      <c r="R1095" s="309"/>
      <c r="S1095" s="309"/>
      <c r="T1095" s="309"/>
      <c r="U1095" s="309"/>
    </row>
    <row r="1096" spans="1:21" ht="12.75" customHeight="1">
      <c r="A1096" s="296" t="s">
        <v>938</v>
      </c>
      <c r="B1096" s="627"/>
      <c r="C1096" s="785"/>
      <c r="D1096" s="786"/>
      <c r="E1096" s="858"/>
      <c r="F1096" s="781"/>
      <c r="G1096" s="1507"/>
      <c r="H1096" s="1526"/>
      <c r="I1096" s="1501" t="str">
        <f t="shared" si="55"/>
        <v/>
      </c>
      <c r="J1096" s="1501" t="str">
        <f t="shared" si="56"/>
        <v>JNPR</v>
      </c>
      <c r="K1096" s="261"/>
      <c r="L1096" s="309"/>
      <c r="M1096" s="309"/>
      <c r="N1096" s="309"/>
      <c r="O1096" s="309"/>
      <c r="P1096" s="309"/>
      <c r="Q1096" s="309"/>
      <c r="R1096" s="309"/>
      <c r="S1096" s="309"/>
      <c r="T1096" s="309"/>
      <c r="U1096" s="309"/>
    </row>
    <row r="1097" spans="1:21" ht="12.75" customHeight="1">
      <c r="A1097" s="1363" t="s">
        <v>824</v>
      </c>
      <c r="B1097" s="627"/>
      <c r="C1097" s="785"/>
      <c r="D1097" s="786"/>
      <c r="E1097" s="858"/>
      <c r="F1097" s="781"/>
      <c r="G1097" s="1507"/>
      <c r="H1097" s="1526"/>
      <c r="I1097" s="1501" t="str">
        <f t="shared" si="55"/>
        <v/>
      </c>
      <c r="J1097" s="1501" t="str">
        <f t="shared" si="56"/>
        <v/>
      </c>
      <c r="K1097" s="261"/>
      <c r="L1097" s="309"/>
      <c r="M1097" s="309"/>
      <c r="N1097" s="309"/>
      <c r="O1097" s="309"/>
      <c r="P1097" s="309"/>
      <c r="Q1097" s="309"/>
      <c r="R1097" s="309"/>
      <c r="S1097" s="309"/>
      <c r="T1097" s="309"/>
      <c r="U1097" s="309"/>
    </row>
    <row r="1098" spans="1:21" ht="12.75" customHeight="1">
      <c r="A1098" s="271" t="s">
        <v>927</v>
      </c>
      <c r="B1098" s="625">
        <v>50</v>
      </c>
      <c r="C1098" s="623">
        <v>20.25</v>
      </c>
      <c r="D1098" s="792">
        <v>9.99</v>
      </c>
      <c r="E1098" s="624">
        <f>B1098*C1098-D1098</f>
        <v>1002.51</v>
      </c>
      <c r="F1098" s="546" t="s">
        <v>325</v>
      </c>
      <c r="G1098" s="1507"/>
      <c r="H1098" s="1526"/>
      <c r="I1098" s="1501" t="str">
        <f t="shared" si="55"/>
        <v>JNPR</v>
      </c>
      <c r="J1098" s="1501" t="str">
        <f t="shared" si="56"/>
        <v/>
      </c>
      <c r="K1098" s="261"/>
      <c r="L1098" s="309"/>
      <c r="M1098" s="309"/>
      <c r="N1098" s="309"/>
      <c r="O1098" s="309"/>
      <c r="P1098" s="309"/>
      <c r="Q1098" s="309"/>
      <c r="R1098" s="309"/>
      <c r="S1098" s="309"/>
      <c r="T1098" s="309"/>
      <c r="U1098" s="309"/>
    </row>
    <row r="1099" spans="1:21" ht="12.75" customHeight="1">
      <c r="A1099" s="280"/>
      <c r="B1099" s="627"/>
      <c r="C1099" s="785"/>
      <c r="D1099" s="786"/>
      <c r="E1099" s="858"/>
      <c r="F1099" s="781"/>
      <c r="G1099" s="1507"/>
      <c r="H1099" s="1526"/>
      <c r="I1099" s="1501" t="str">
        <f t="shared" si="55"/>
        <v/>
      </c>
      <c r="J1099" s="1501" t="str">
        <f t="shared" si="56"/>
        <v/>
      </c>
      <c r="K1099" s="261"/>
      <c r="L1099" s="309"/>
      <c r="M1099" s="309"/>
      <c r="N1099" s="309"/>
      <c r="O1099" s="309"/>
      <c r="P1099" s="309"/>
      <c r="Q1099" s="309"/>
      <c r="R1099" s="309"/>
      <c r="S1099" s="309"/>
      <c r="T1099" s="309"/>
      <c r="U1099" s="309"/>
    </row>
    <row r="1100" spans="1:21" ht="12.75" customHeight="1">
      <c r="A1100" s="296" t="s">
        <v>939</v>
      </c>
      <c r="B1100" s="627"/>
      <c r="C1100" s="785"/>
      <c r="D1100" s="786"/>
      <c r="E1100" s="858"/>
      <c r="F1100" s="781"/>
      <c r="G1100" s="1507"/>
      <c r="H1100" s="1526"/>
      <c r="I1100" s="1501" t="str">
        <f t="shared" si="55"/>
        <v/>
      </c>
      <c r="J1100" s="1501" t="str">
        <f t="shared" si="56"/>
        <v>BTU</v>
      </c>
      <c r="K1100" s="261"/>
      <c r="L1100" s="309"/>
      <c r="M1100" s="309"/>
      <c r="N1100" s="309"/>
      <c r="O1100" s="309"/>
      <c r="P1100" s="309"/>
      <c r="Q1100" s="309"/>
      <c r="R1100" s="309"/>
      <c r="S1100" s="309"/>
      <c r="T1100" s="309"/>
      <c r="U1100" s="309"/>
    </row>
    <row r="1101" spans="1:21" ht="12.75" customHeight="1">
      <c r="A1101" s="1363" t="s">
        <v>824</v>
      </c>
      <c r="B1101" s="627"/>
      <c r="C1101" s="785"/>
      <c r="D1101" s="786"/>
      <c r="E1101" s="858"/>
      <c r="F1101" s="781"/>
      <c r="G1101" s="1507"/>
      <c r="H1101" s="1526"/>
      <c r="I1101" s="1501" t="str">
        <f t="shared" si="55"/>
        <v/>
      </c>
      <c r="J1101" s="1501" t="str">
        <f t="shared" si="56"/>
        <v/>
      </c>
      <c r="K1101" s="261"/>
      <c r="L1101" s="309"/>
      <c r="M1101" s="309"/>
      <c r="N1101" s="309"/>
      <c r="O1101" s="309"/>
      <c r="P1101" s="309"/>
      <c r="Q1101" s="309"/>
      <c r="R1101" s="309"/>
      <c r="S1101" s="309"/>
      <c r="T1101" s="309"/>
      <c r="U1101" s="309"/>
    </row>
    <row r="1102" spans="1:21" ht="12.75" customHeight="1">
      <c r="A1102" s="271" t="s">
        <v>940</v>
      </c>
      <c r="B1102" s="625">
        <v>65</v>
      </c>
      <c r="C1102" s="623">
        <v>38.51</v>
      </c>
      <c r="D1102" s="792">
        <v>9.99</v>
      </c>
      <c r="E1102" s="624">
        <f>B1102*C1102-D1102</f>
        <v>2493.1600000000003</v>
      </c>
      <c r="F1102" s="546" t="s">
        <v>327</v>
      </c>
      <c r="G1102" s="1507"/>
      <c r="H1102" s="1526"/>
      <c r="I1102" s="1501" t="str">
        <f t="shared" si="55"/>
        <v>BTU</v>
      </c>
      <c r="J1102" s="1501" t="str">
        <f t="shared" si="56"/>
        <v/>
      </c>
      <c r="K1102" s="261"/>
      <c r="L1102" s="309"/>
      <c r="M1102" s="309"/>
      <c r="N1102" s="309"/>
      <c r="O1102" s="309"/>
      <c r="P1102" s="309"/>
      <c r="Q1102" s="309"/>
      <c r="R1102" s="309"/>
      <c r="S1102" s="309"/>
      <c r="T1102" s="309"/>
      <c r="U1102" s="309"/>
    </row>
    <row r="1103" spans="1:21" ht="12.75" customHeight="1">
      <c r="A1103" s="280"/>
      <c r="B1103" s="627"/>
      <c r="C1103" s="785"/>
      <c r="D1103" s="786"/>
      <c r="E1103" s="858"/>
      <c r="F1103" s="781"/>
      <c r="G1103" s="1507"/>
      <c r="H1103" s="1526"/>
      <c r="I1103" s="1501" t="str">
        <f t="shared" si="55"/>
        <v/>
      </c>
      <c r="J1103" s="1501" t="str">
        <f t="shared" si="56"/>
        <v/>
      </c>
      <c r="K1103" s="261"/>
      <c r="L1103" s="309"/>
      <c r="M1103" s="309"/>
      <c r="N1103" s="309"/>
      <c r="O1103" s="309"/>
      <c r="P1103" s="309"/>
      <c r="Q1103" s="309"/>
      <c r="R1103" s="309"/>
      <c r="S1103" s="309"/>
      <c r="T1103" s="309"/>
      <c r="U1103" s="309"/>
    </row>
    <row r="1104" spans="1:21" ht="12.75" customHeight="1">
      <c r="A1104" s="296" t="s">
        <v>939</v>
      </c>
      <c r="B1104" s="627"/>
      <c r="C1104" s="785"/>
      <c r="D1104" s="786"/>
      <c r="E1104" s="858"/>
      <c r="F1104" s="781"/>
      <c r="G1104" s="1507"/>
      <c r="H1104" s="1526"/>
      <c r="I1104" s="1501" t="str">
        <f t="shared" si="55"/>
        <v/>
      </c>
      <c r="J1104" s="1501" t="str">
        <f t="shared" si="56"/>
        <v>VLO</v>
      </c>
      <c r="K1104" s="261"/>
      <c r="L1104" s="309"/>
      <c r="M1104" s="309"/>
      <c r="N1104" s="309"/>
      <c r="O1104" s="309"/>
      <c r="P1104" s="309"/>
      <c r="Q1104" s="309"/>
      <c r="R1104" s="309"/>
      <c r="S1104" s="309"/>
      <c r="T1104" s="309"/>
      <c r="U1104" s="309"/>
    </row>
    <row r="1105" spans="1:21" ht="12.75" customHeight="1">
      <c r="A1105" s="1363" t="s">
        <v>824</v>
      </c>
      <c r="B1105" s="627"/>
      <c r="C1105" s="785"/>
      <c r="D1105" s="786"/>
      <c r="E1105" s="858"/>
      <c r="F1105" s="781"/>
      <c r="G1105" s="1507"/>
      <c r="H1105" s="1526"/>
      <c r="I1105" s="1501" t="str">
        <f t="shared" si="55"/>
        <v/>
      </c>
      <c r="J1105" s="1501" t="str">
        <f t="shared" si="56"/>
        <v/>
      </c>
      <c r="K1105" s="261"/>
      <c r="L1105" s="309"/>
      <c r="M1105" s="309"/>
      <c r="N1105" s="309"/>
      <c r="O1105" s="309"/>
      <c r="P1105" s="309"/>
      <c r="Q1105" s="309"/>
      <c r="R1105" s="309"/>
      <c r="S1105" s="309"/>
      <c r="T1105" s="309"/>
      <c r="U1105" s="309"/>
    </row>
    <row r="1106" spans="1:21" ht="12.75" customHeight="1">
      <c r="A1106" s="271" t="s">
        <v>909</v>
      </c>
      <c r="B1106" s="625">
        <v>111</v>
      </c>
      <c r="C1106" s="623">
        <v>22.51</v>
      </c>
      <c r="D1106" s="792">
        <v>9.99</v>
      </c>
      <c r="E1106" s="624">
        <f>B1106*C1106-D1106</f>
        <v>2488.6200000000003</v>
      </c>
      <c r="F1106" s="546" t="s">
        <v>331</v>
      </c>
      <c r="G1106" s="1507"/>
      <c r="H1106" s="1526"/>
      <c r="I1106" s="1501" t="str">
        <f t="shared" si="55"/>
        <v>VLO</v>
      </c>
      <c r="J1106" s="1501" t="str">
        <f t="shared" si="56"/>
        <v/>
      </c>
      <c r="K1106" s="261"/>
      <c r="L1106" s="309"/>
      <c r="M1106" s="309"/>
      <c r="N1106" s="309"/>
      <c r="O1106" s="309"/>
      <c r="P1106" s="309"/>
      <c r="Q1106" s="309"/>
      <c r="R1106" s="309"/>
      <c r="S1106" s="309"/>
      <c r="T1106" s="309"/>
      <c r="U1106" s="309"/>
    </row>
    <row r="1107" spans="1:21" ht="12.75" customHeight="1">
      <c r="A1107" s="280"/>
      <c r="B1107" s="627"/>
      <c r="C1107" s="785"/>
      <c r="D1107" s="786"/>
      <c r="E1107" s="858"/>
      <c r="F1107" s="781"/>
      <c r="G1107" s="1507"/>
      <c r="H1107" s="1526"/>
      <c r="I1107" s="1501" t="str">
        <f t="shared" ref="I1107:I1170" si="57">IF(F1107="","",IF(OR(A1106="Sell",A1107="Sell"),"",F1107))</f>
        <v/>
      </c>
      <c r="J1107" s="1501" t="str">
        <f t="shared" si="56"/>
        <v/>
      </c>
      <c r="K1107" s="261"/>
      <c r="L1107" s="309"/>
      <c r="M1107" s="309"/>
      <c r="N1107" s="309"/>
      <c r="O1107" s="309"/>
      <c r="P1107" s="309"/>
      <c r="Q1107" s="309"/>
      <c r="R1107" s="309"/>
      <c r="S1107" s="309"/>
      <c r="T1107" s="309"/>
      <c r="U1107" s="309"/>
    </row>
    <row r="1108" spans="1:21" ht="12.75" customHeight="1">
      <c r="A1108" s="296" t="s">
        <v>941</v>
      </c>
      <c r="B1108" s="627"/>
      <c r="C1108" s="785"/>
      <c r="D1108" s="786"/>
      <c r="E1108" s="858"/>
      <c r="F1108" s="781"/>
      <c r="G1108" s="1507"/>
      <c r="H1108" s="1526"/>
      <c r="I1108" s="1501" t="str">
        <f t="shared" si="57"/>
        <v/>
      </c>
      <c r="J1108" s="1501" t="str">
        <f t="shared" si="56"/>
        <v>COH</v>
      </c>
      <c r="K1108" s="261"/>
      <c r="L1108" s="309"/>
      <c r="M1108" s="309"/>
      <c r="N1108" s="309"/>
      <c r="O1108" s="309"/>
      <c r="P1108" s="309"/>
      <c r="Q1108" s="309"/>
      <c r="R1108" s="309"/>
      <c r="S1108" s="309"/>
      <c r="T1108" s="309"/>
      <c r="U1108" s="309"/>
    </row>
    <row r="1109" spans="1:21" ht="12.75" customHeight="1">
      <c r="A1109" s="1363" t="s">
        <v>824</v>
      </c>
      <c r="B1109" s="627"/>
      <c r="C1109" s="785"/>
      <c r="D1109" s="786"/>
      <c r="E1109" s="858"/>
      <c r="F1109" s="781"/>
      <c r="G1109" s="1507"/>
      <c r="H1109" s="1526"/>
      <c r="I1109" s="1501" t="str">
        <f t="shared" si="57"/>
        <v/>
      </c>
      <c r="J1109" s="1501" t="str">
        <f t="shared" si="56"/>
        <v/>
      </c>
      <c r="K1109" s="261"/>
      <c r="L1109" s="309"/>
      <c r="M1109" s="309"/>
      <c r="N1109" s="309"/>
      <c r="O1109" s="309"/>
      <c r="P1109" s="309"/>
      <c r="Q1109" s="309"/>
      <c r="R1109" s="309"/>
      <c r="S1109" s="309"/>
      <c r="T1109" s="309"/>
      <c r="U1109" s="309"/>
    </row>
    <row r="1110" spans="1:21" ht="12.75" customHeight="1">
      <c r="A1110" s="271" t="s">
        <v>913</v>
      </c>
      <c r="B1110" s="625">
        <v>25</v>
      </c>
      <c r="C1110" s="623">
        <v>64.94</v>
      </c>
      <c r="D1110" s="792">
        <v>9.99</v>
      </c>
      <c r="E1110" s="624">
        <f>B1110*C1110-D1110</f>
        <v>1613.51</v>
      </c>
      <c r="F1110" s="546" t="s">
        <v>318</v>
      </c>
      <c r="G1110" s="1507"/>
      <c r="H1110" s="1526"/>
      <c r="I1110" s="1501" t="str">
        <f t="shared" si="57"/>
        <v>COH</v>
      </c>
      <c r="J1110" s="1501" t="str">
        <f t="shared" si="56"/>
        <v/>
      </c>
      <c r="K1110" s="261"/>
      <c r="L1110" s="309"/>
      <c r="M1110" s="309"/>
      <c r="N1110" s="309"/>
      <c r="O1110" s="309"/>
      <c r="P1110" s="309"/>
      <c r="Q1110" s="309"/>
      <c r="R1110" s="309"/>
      <c r="S1110" s="309"/>
      <c r="T1110" s="309"/>
      <c r="U1110" s="309"/>
    </row>
    <row r="1111" spans="1:21" ht="12.75" customHeight="1">
      <c r="A1111" s="280"/>
      <c r="B1111" s="627"/>
      <c r="C1111" s="785"/>
      <c r="D1111" s="786"/>
      <c r="E1111" s="858"/>
      <c r="F1111" s="781"/>
      <c r="G1111" s="1507"/>
      <c r="H1111" s="1526"/>
      <c r="I1111" s="1501" t="str">
        <f t="shared" si="57"/>
        <v/>
      </c>
      <c r="J1111" s="1501" t="str">
        <f t="shared" si="56"/>
        <v/>
      </c>
      <c r="K1111" s="261"/>
      <c r="L1111" s="309"/>
      <c r="M1111" s="309"/>
      <c r="N1111" s="309"/>
      <c r="O1111" s="309"/>
      <c r="P1111" s="309"/>
      <c r="Q1111" s="309"/>
      <c r="R1111" s="309"/>
      <c r="S1111" s="309"/>
      <c r="T1111" s="309"/>
      <c r="U1111" s="309"/>
    </row>
    <row r="1112" spans="1:21" ht="12.75" customHeight="1">
      <c r="A1112" s="296" t="s">
        <v>941</v>
      </c>
      <c r="B1112" s="627"/>
      <c r="C1112" s="785"/>
      <c r="D1112" s="786"/>
      <c r="E1112" s="858"/>
      <c r="F1112" s="781"/>
      <c r="G1112" s="1507"/>
      <c r="H1112" s="1526"/>
      <c r="I1112" s="1501" t="str">
        <f t="shared" si="57"/>
        <v/>
      </c>
      <c r="J1112" s="1501" t="str">
        <f t="shared" si="56"/>
        <v>TIF</v>
      </c>
      <c r="K1112" s="261"/>
      <c r="L1112" s="309"/>
      <c r="M1112" s="309"/>
      <c r="N1112" s="309"/>
      <c r="O1112" s="309"/>
      <c r="P1112" s="309"/>
      <c r="Q1112" s="309"/>
      <c r="R1112" s="309"/>
      <c r="S1112" s="309"/>
      <c r="T1112" s="309"/>
      <c r="U1112" s="309"/>
    </row>
    <row r="1113" spans="1:21" ht="12.75" customHeight="1">
      <c r="A1113" s="1363" t="s">
        <v>824</v>
      </c>
      <c r="B1113" s="627"/>
      <c r="C1113" s="785"/>
      <c r="D1113" s="786"/>
      <c r="E1113" s="858"/>
      <c r="F1113" s="781"/>
      <c r="G1113" s="1507"/>
      <c r="H1113" s="1526"/>
      <c r="I1113" s="1501" t="str">
        <f t="shared" si="57"/>
        <v/>
      </c>
      <c r="J1113" s="1501" t="str">
        <f t="shared" si="56"/>
        <v/>
      </c>
      <c r="K1113" s="261"/>
      <c r="L1113" s="309"/>
      <c r="M1113" s="309"/>
      <c r="N1113" s="309"/>
      <c r="O1113" s="309"/>
      <c r="P1113" s="309"/>
      <c r="Q1113" s="309"/>
      <c r="R1113" s="309"/>
      <c r="S1113" s="309"/>
      <c r="T1113" s="309"/>
      <c r="U1113" s="309"/>
    </row>
    <row r="1114" spans="1:21" ht="12.75" customHeight="1">
      <c r="A1114" s="271" t="s">
        <v>328</v>
      </c>
      <c r="B1114" s="625">
        <v>20</v>
      </c>
      <c r="C1114" s="623">
        <v>76.86</v>
      </c>
      <c r="D1114" s="792">
        <v>9.99</v>
      </c>
      <c r="E1114" s="624">
        <f>B1114*C1114-D1114</f>
        <v>1527.21</v>
      </c>
      <c r="F1114" s="546" t="s">
        <v>329</v>
      </c>
      <c r="G1114" s="1507"/>
      <c r="H1114" s="1526"/>
      <c r="I1114" s="1501" t="str">
        <f t="shared" si="57"/>
        <v>TIF</v>
      </c>
      <c r="J1114" s="1501" t="str">
        <f t="shared" si="56"/>
        <v/>
      </c>
      <c r="K1114" s="261"/>
      <c r="L1114" s="309"/>
      <c r="M1114" s="309"/>
      <c r="N1114" s="309"/>
      <c r="O1114" s="309"/>
      <c r="P1114" s="309"/>
      <c r="Q1114" s="309"/>
      <c r="R1114" s="309"/>
      <c r="S1114" s="309"/>
      <c r="T1114" s="309"/>
      <c r="U1114" s="309"/>
    </row>
    <row r="1115" spans="1:21" ht="12.75" customHeight="1">
      <c r="A1115" s="280"/>
      <c r="B1115" s="627"/>
      <c r="C1115" s="785"/>
      <c r="D1115" s="786"/>
      <c r="E1115" s="858"/>
      <c r="F1115" s="781"/>
      <c r="G1115" s="1507"/>
      <c r="H1115" s="1526"/>
      <c r="I1115" s="1501" t="str">
        <f t="shared" si="57"/>
        <v/>
      </c>
      <c r="J1115" s="1501" t="str">
        <f t="shared" si="56"/>
        <v/>
      </c>
      <c r="K1115" s="261"/>
      <c r="L1115" s="309"/>
      <c r="M1115" s="309"/>
      <c r="N1115" s="309"/>
      <c r="O1115" s="309"/>
      <c r="P1115" s="309"/>
      <c r="Q1115" s="309"/>
      <c r="R1115" s="309"/>
      <c r="S1115" s="309"/>
      <c r="T1115" s="309"/>
      <c r="U1115" s="309"/>
    </row>
    <row r="1116" spans="1:21" ht="12.75" customHeight="1">
      <c r="A1116" s="296" t="s">
        <v>942</v>
      </c>
      <c r="B1116" s="627"/>
      <c r="C1116" s="785"/>
      <c r="D1116" s="786"/>
      <c r="E1116" s="858"/>
      <c r="F1116" s="781"/>
      <c r="G1116" s="1507"/>
      <c r="H1116" s="1526"/>
      <c r="I1116" s="1501" t="str">
        <f t="shared" si="57"/>
        <v/>
      </c>
      <c r="J1116" s="1501" t="str">
        <f t="shared" si="56"/>
        <v>NLY</v>
      </c>
      <c r="K1116" s="261"/>
      <c r="L1116" s="309"/>
      <c r="M1116" s="309"/>
      <c r="N1116" s="309"/>
      <c r="O1116" s="309"/>
      <c r="P1116" s="309"/>
      <c r="Q1116" s="309"/>
      <c r="R1116" s="309"/>
      <c r="S1116" s="309"/>
      <c r="T1116" s="309"/>
      <c r="U1116" s="309"/>
    </row>
    <row r="1117" spans="1:21" ht="12.75" customHeight="1">
      <c r="A1117" s="1363" t="s">
        <v>824</v>
      </c>
      <c r="B1117" s="627"/>
      <c r="C1117" s="785"/>
      <c r="D1117" s="786"/>
      <c r="E1117" s="858"/>
      <c r="F1117" s="781"/>
      <c r="G1117" s="1507"/>
      <c r="H1117" s="1526"/>
      <c r="I1117" s="1501" t="str">
        <f t="shared" si="57"/>
        <v/>
      </c>
      <c r="J1117" s="1501" t="str">
        <f t="shared" si="56"/>
        <v/>
      </c>
      <c r="K1117" s="261"/>
      <c r="L1117" s="309"/>
      <c r="M1117" s="309"/>
      <c r="N1117" s="309"/>
      <c r="O1117" s="309"/>
      <c r="P1117" s="309"/>
      <c r="Q1117" s="309"/>
      <c r="R1117" s="309"/>
      <c r="S1117" s="309"/>
      <c r="T1117" s="309"/>
      <c r="U1117" s="309"/>
    </row>
    <row r="1118" spans="1:21" ht="12.75" customHeight="1">
      <c r="A1118" s="271" t="s">
        <v>315</v>
      </c>
      <c r="B1118" s="625">
        <v>200</v>
      </c>
      <c r="C1118" s="623">
        <v>16.38</v>
      </c>
      <c r="D1118" s="792">
        <v>9.99</v>
      </c>
      <c r="E1118" s="624">
        <f>B1118*C1118-D1118</f>
        <v>3266.01</v>
      </c>
      <c r="F1118" s="546" t="s">
        <v>316</v>
      </c>
      <c r="G1118" s="1507"/>
      <c r="H1118" s="1526"/>
      <c r="I1118" s="1501" t="str">
        <f t="shared" si="57"/>
        <v>NLY</v>
      </c>
      <c r="J1118" s="1501" t="str">
        <f t="shared" si="56"/>
        <v/>
      </c>
      <c r="K1118" s="261"/>
      <c r="L1118" s="309"/>
      <c r="M1118" s="309"/>
      <c r="N1118" s="309"/>
      <c r="O1118" s="309"/>
      <c r="P1118" s="309"/>
      <c r="Q1118" s="309"/>
      <c r="R1118" s="309"/>
      <c r="S1118" s="309"/>
      <c r="T1118" s="309"/>
      <c r="U1118" s="309"/>
    </row>
    <row r="1119" spans="1:21" ht="12.75" customHeight="1">
      <c r="A1119" s="280"/>
      <c r="B1119" s="627"/>
      <c r="C1119" s="785"/>
      <c r="D1119" s="786"/>
      <c r="E1119" s="858"/>
      <c r="F1119" s="781"/>
      <c r="G1119" s="1507"/>
      <c r="H1119" s="1526"/>
      <c r="I1119" s="1501" t="str">
        <f t="shared" si="57"/>
        <v/>
      </c>
      <c r="J1119" s="1501" t="str">
        <f t="shared" si="56"/>
        <v/>
      </c>
      <c r="K1119" s="261"/>
      <c r="L1119" s="309"/>
      <c r="M1119" s="309"/>
      <c r="N1119" s="309"/>
      <c r="O1119" s="309"/>
      <c r="P1119" s="309"/>
      <c r="Q1119" s="309"/>
      <c r="R1119" s="309"/>
      <c r="S1119" s="309"/>
      <c r="T1119" s="309"/>
      <c r="U1119" s="309"/>
    </row>
    <row r="1120" spans="1:21" ht="12.75" customHeight="1">
      <c r="A1120" s="296" t="s">
        <v>943</v>
      </c>
      <c r="B1120" s="627"/>
      <c r="C1120" s="785"/>
      <c r="D1120" s="786"/>
      <c r="E1120" s="858"/>
      <c r="F1120" s="781"/>
      <c r="G1120" s="1507"/>
      <c r="H1120" s="1526"/>
      <c r="I1120" s="1501" t="str">
        <f t="shared" si="57"/>
        <v/>
      </c>
      <c r="J1120" s="1501" t="str">
        <f t="shared" si="56"/>
        <v/>
      </c>
      <c r="K1120" s="261"/>
      <c r="L1120" s="309"/>
      <c r="M1120" s="309"/>
      <c r="N1120" s="309"/>
      <c r="O1120" s="309"/>
      <c r="P1120" s="309"/>
      <c r="Q1120" s="309"/>
      <c r="R1120" s="309"/>
      <c r="S1120" s="309"/>
      <c r="T1120" s="309"/>
      <c r="U1120" s="309"/>
    </row>
    <row r="1121" spans="1:21" ht="12.75" customHeight="1">
      <c r="A1121" s="1363" t="s">
        <v>820</v>
      </c>
      <c r="B1121" s="627"/>
      <c r="C1121" s="785"/>
      <c r="D1121" s="786"/>
      <c r="E1121" s="858"/>
      <c r="F1121" s="781"/>
      <c r="G1121" s="1507"/>
      <c r="H1121" s="1526"/>
      <c r="I1121" s="1501" t="str">
        <f t="shared" si="57"/>
        <v/>
      </c>
      <c r="J1121" s="1501" t="str">
        <f t="shared" si="56"/>
        <v/>
      </c>
      <c r="K1121" s="261"/>
      <c r="L1121" s="309"/>
      <c r="M1121" s="309"/>
      <c r="N1121" s="309"/>
      <c r="O1121" s="309"/>
      <c r="P1121" s="309"/>
      <c r="Q1121" s="309"/>
      <c r="R1121" s="309"/>
      <c r="S1121" s="309"/>
      <c r="T1121" s="309"/>
      <c r="U1121" s="309"/>
    </row>
    <row r="1122" spans="1:21" ht="12.75" customHeight="1">
      <c r="A1122" s="271" t="s">
        <v>294</v>
      </c>
      <c r="B1122" s="625">
        <v>17</v>
      </c>
      <c r="C1122" s="623">
        <v>13.051399999999999</v>
      </c>
      <c r="D1122" s="792">
        <v>9.99</v>
      </c>
      <c r="E1122" s="624">
        <f>B1122*C1122-D1122</f>
        <v>211.88379999999998</v>
      </c>
      <c r="F1122" s="546" t="s">
        <v>295</v>
      </c>
      <c r="G1122" s="1507"/>
      <c r="H1122" s="1526"/>
      <c r="I1122" s="1501" t="str">
        <f t="shared" si="57"/>
        <v/>
      </c>
      <c r="J1122" s="1501" t="str">
        <f t="shared" si="56"/>
        <v/>
      </c>
      <c r="K1122" s="261"/>
      <c r="L1122" s="309"/>
      <c r="M1122" s="309"/>
      <c r="N1122" s="309"/>
      <c r="O1122" s="309"/>
      <c r="P1122" s="309"/>
      <c r="Q1122" s="309"/>
      <c r="R1122" s="309"/>
      <c r="S1122" s="309"/>
      <c r="T1122" s="309"/>
      <c r="U1122" s="309"/>
    </row>
    <row r="1123" spans="1:21" ht="12.75" customHeight="1">
      <c r="A1123" s="280"/>
      <c r="B1123" s="627"/>
      <c r="C1123" s="785"/>
      <c r="D1123" s="786"/>
      <c r="E1123" s="858"/>
      <c r="F1123" s="781"/>
      <c r="G1123" s="1507"/>
      <c r="H1123" s="1526"/>
      <c r="I1123" s="1501" t="str">
        <f t="shared" si="57"/>
        <v/>
      </c>
      <c r="J1123" s="1501" t="str">
        <f t="shared" si="56"/>
        <v/>
      </c>
      <c r="K1123" s="261"/>
      <c r="L1123" s="309"/>
      <c r="M1123" s="309"/>
      <c r="N1123" s="309"/>
      <c r="O1123" s="309"/>
      <c r="P1123" s="309"/>
      <c r="Q1123" s="309"/>
      <c r="R1123" s="309"/>
      <c r="S1123" s="309"/>
      <c r="T1123" s="309"/>
      <c r="U1123" s="309"/>
    </row>
    <row r="1124" spans="1:21" ht="12.75" customHeight="1">
      <c r="A1124" s="296" t="s">
        <v>943</v>
      </c>
      <c r="B1124" s="627"/>
      <c r="C1124" s="785"/>
      <c r="D1124" s="786"/>
      <c r="E1124" s="858"/>
      <c r="F1124" s="781"/>
      <c r="G1124" s="1507"/>
      <c r="H1124" s="1526"/>
      <c r="I1124" s="1501" t="str">
        <f t="shared" si="57"/>
        <v/>
      </c>
      <c r="J1124" s="1501" t="str">
        <f t="shared" si="56"/>
        <v/>
      </c>
      <c r="K1124" s="261"/>
      <c r="L1124" s="309"/>
      <c r="M1124" s="309"/>
      <c r="N1124" s="309"/>
      <c r="O1124" s="309"/>
      <c r="P1124" s="309"/>
      <c r="Q1124" s="309"/>
      <c r="R1124" s="309"/>
      <c r="S1124" s="309"/>
      <c r="T1124" s="309"/>
      <c r="U1124" s="309"/>
    </row>
    <row r="1125" spans="1:21" ht="12.75" customHeight="1">
      <c r="A1125" s="1363" t="s">
        <v>820</v>
      </c>
      <c r="B1125" s="627"/>
      <c r="C1125" s="785"/>
      <c r="D1125" s="786"/>
      <c r="E1125" s="858"/>
      <c r="F1125" s="781"/>
      <c r="G1125" s="1507"/>
      <c r="H1125" s="1526"/>
      <c r="I1125" s="1501" t="str">
        <f t="shared" si="57"/>
        <v/>
      </c>
      <c r="J1125" s="1501" t="str">
        <f t="shared" si="56"/>
        <v/>
      </c>
      <c r="K1125" s="261"/>
      <c r="L1125" s="309"/>
      <c r="M1125" s="309"/>
      <c r="N1125" s="309"/>
      <c r="O1125" s="309"/>
      <c r="P1125" s="309"/>
      <c r="Q1125" s="309"/>
      <c r="R1125" s="309"/>
      <c r="S1125" s="309"/>
      <c r="T1125" s="309"/>
      <c r="U1125" s="309"/>
    </row>
    <row r="1126" spans="1:21" ht="12.75" customHeight="1">
      <c r="A1126" s="271" t="s">
        <v>944</v>
      </c>
      <c r="B1126" s="625">
        <v>100</v>
      </c>
      <c r="C1126" s="623">
        <v>1.91</v>
      </c>
      <c r="D1126" s="792">
        <v>9.99</v>
      </c>
      <c r="E1126" s="624">
        <f>B1126*C1126-D1126</f>
        <v>181.01</v>
      </c>
      <c r="F1126" s="546" t="s">
        <v>279</v>
      </c>
      <c r="G1126" s="1507"/>
      <c r="H1126" s="1526"/>
      <c r="I1126" s="1501" t="str">
        <f t="shared" si="57"/>
        <v/>
      </c>
      <c r="J1126" s="1501" t="str">
        <f t="shared" si="56"/>
        <v/>
      </c>
      <c r="K1126" s="261"/>
      <c r="L1126" s="309"/>
      <c r="M1126" s="309"/>
      <c r="N1126" s="309"/>
      <c r="O1126" s="309"/>
      <c r="P1126" s="309"/>
      <c r="Q1126" s="309"/>
      <c r="R1126" s="309"/>
      <c r="S1126" s="309"/>
      <c r="T1126" s="309"/>
      <c r="U1126" s="309"/>
    </row>
    <row r="1127" spans="1:21" ht="12.75" customHeight="1">
      <c r="A1127" s="280"/>
      <c r="B1127" s="627"/>
      <c r="C1127" s="785"/>
      <c r="D1127" s="786"/>
      <c r="E1127" s="858"/>
      <c r="F1127" s="781"/>
      <c r="G1127" s="1507"/>
      <c r="H1127" s="1526"/>
      <c r="I1127" s="1501" t="str">
        <f t="shared" si="57"/>
        <v/>
      </c>
      <c r="J1127" s="1501" t="str">
        <f t="shared" si="56"/>
        <v/>
      </c>
      <c r="K1127" s="261"/>
      <c r="L1127" s="309"/>
      <c r="M1127" s="309"/>
      <c r="N1127" s="309"/>
      <c r="O1127" s="309"/>
      <c r="P1127" s="309"/>
      <c r="Q1127" s="309"/>
      <c r="R1127" s="309"/>
      <c r="S1127" s="309"/>
      <c r="T1127" s="309"/>
      <c r="U1127" s="309"/>
    </row>
    <row r="1128" spans="1:21" ht="12.75" customHeight="1">
      <c r="A1128" s="296" t="s">
        <v>945</v>
      </c>
      <c r="B1128" s="627"/>
      <c r="C1128" s="785"/>
      <c r="D1128" s="786"/>
      <c r="E1128" s="858"/>
      <c r="F1128" s="781"/>
      <c r="G1128" s="1507"/>
      <c r="H1128" s="1526"/>
      <c r="I1128" s="1501" t="str">
        <f t="shared" si="57"/>
        <v/>
      </c>
      <c r="J1128" s="1501" t="str">
        <f t="shared" si="56"/>
        <v/>
      </c>
      <c r="K1128" s="261"/>
      <c r="L1128" s="309"/>
      <c r="M1128" s="309"/>
      <c r="N1128" s="309"/>
      <c r="O1128" s="309"/>
      <c r="P1128" s="309"/>
      <c r="Q1128" s="309"/>
      <c r="R1128" s="309"/>
      <c r="S1128" s="309"/>
      <c r="T1128" s="309"/>
      <c r="U1128" s="309"/>
    </row>
    <row r="1129" spans="1:21" ht="12.75" customHeight="1">
      <c r="A1129" s="1363" t="s">
        <v>820</v>
      </c>
      <c r="B1129" s="627"/>
      <c r="C1129" s="785"/>
      <c r="D1129" s="786"/>
      <c r="E1129" s="858"/>
      <c r="F1129" s="781"/>
      <c r="G1129" s="1507"/>
      <c r="H1129" s="1526"/>
      <c r="I1129" s="1501" t="str">
        <f t="shared" si="57"/>
        <v/>
      </c>
      <c r="J1129" s="1501" t="str">
        <f t="shared" si="56"/>
        <v/>
      </c>
      <c r="K1129" s="261"/>
      <c r="L1129" s="309"/>
      <c r="M1129" s="309"/>
      <c r="N1129" s="309"/>
      <c r="O1129" s="309"/>
      <c r="P1129" s="309"/>
      <c r="Q1129" s="309"/>
      <c r="R1129" s="309"/>
      <c r="S1129" s="309"/>
      <c r="T1129" s="309"/>
      <c r="U1129" s="309"/>
    </row>
    <row r="1130" spans="1:21" ht="12.75" customHeight="1">
      <c r="A1130" s="271" t="s">
        <v>946</v>
      </c>
      <c r="B1130" s="625">
        <v>75</v>
      </c>
      <c r="C1130" s="623">
        <v>4.3</v>
      </c>
      <c r="D1130" s="792">
        <v>9.99</v>
      </c>
      <c r="E1130" s="624">
        <f>B1130*C1130-D1130</f>
        <v>312.51</v>
      </c>
      <c r="F1130" s="546" t="s">
        <v>337</v>
      </c>
      <c r="G1130" s="1507"/>
      <c r="H1130" s="1526"/>
      <c r="I1130" s="1501" t="str">
        <f t="shared" si="57"/>
        <v/>
      </c>
      <c r="J1130" s="1501" t="str">
        <f t="shared" si="56"/>
        <v/>
      </c>
      <c r="K1130" s="261"/>
      <c r="L1130" s="309"/>
      <c r="M1130" s="309"/>
      <c r="N1130" s="309"/>
      <c r="O1130" s="309"/>
      <c r="P1130" s="309"/>
      <c r="Q1130" s="309"/>
      <c r="R1130" s="309"/>
      <c r="S1130" s="309"/>
      <c r="T1130" s="309"/>
      <c r="U1130" s="309"/>
    </row>
    <row r="1131" spans="1:21" ht="12.75" customHeight="1">
      <c r="A1131" s="280"/>
      <c r="B1131" s="627"/>
      <c r="C1131" s="785"/>
      <c r="D1131" s="786"/>
      <c r="E1131" s="858"/>
      <c r="F1131" s="781"/>
      <c r="I1131" s="1501" t="str">
        <f t="shared" si="57"/>
        <v/>
      </c>
      <c r="J1131" s="1501" t="str">
        <f t="shared" si="56"/>
        <v/>
      </c>
      <c r="K1131" s="261"/>
      <c r="L1131" s="309"/>
      <c r="M1131" s="309"/>
      <c r="N1131" s="309"/>
      <c r="O1131" s="309"/>
      <c r="P1131" s="309"/>
      <c r="Q1131" s="309"/>
      <c r="R1131" s="309"/>
      <c r="S1131" s="309"/>
      <c r="T1131" s="309"/>
      <c r="U1131" s="309"/>
    </row>
    <row r="1132" spans="1:21" ht="12.75" customHeight="1">
      <c r="A1132" s="296" t="s">
        <v>947</v>
      </c>
      <c r="B1132" s="627"/>
      <c r="C1132" s="785"/>
      <c r="D1132" s="786"/>
      <c r="E1132" s="858"/>
      <c r="F1132" s="781"/>
      <c r="G1132" s="1507"/>
      <c r="H1132" s="1526"/>
      <c r="I1132" s="1501" t="str">
        <f t="shared" si="57"/>
        <v/>
      </c>
      <c r="J1132" s="1501" t="str">
        <f t="shared" si="56"/>
        <v/>
      </c>
      <c r="K1132" s="261"/>
      <c r="L1132" s="309"/>
      <c r="M1132" s="309"/>
      <c r="N1132" s="309"/>
      <c r="O1132" s="309"/>
      <c r="P1132" s="309"/>
      <c r="Q1132" s="309"/>
      <c r="R1132" s="309"/>
      <c r="S1132" s="309"/>
      <c r="T1132" s="309"/>
      <c r="U1132" s="309"/>
    </row>
    <row r="1133" spans="1:21" ht="12.75" customHeight="1">
      <c r="A1133" s="1363" t="s">
        <v>820</v>
      </c>
      <c r="B1133" s="627"/>
      <c r="C1133" s="785"/>
      <c r="D1133" s="786"/>
      <c r="E1133" s="858"/>
      <c r="F1133" s="781"/>
      <c r="G1133" s="1507"/>
      <c r="H1133" s="1526"/>
      <c r="I1133" s="1501" t="str">
        <f t="shared" si="57"/>
        <v/>
      </c>
      <c r="J1133" s="1501" t="str">
        <f t="shared" si="56"/>
        <v/>
      </c>
      <c r="K1133" s="261"/>
      <c r="L1133" s="309"/>
      <c r="M1133" s="309"/>
      <c r="N1133" s="309"/>
      <c r="O1133" s="309"/>
      <c r="P1133" s="309"/>
      <c r="Q1133" s="309"/>
      <c r="R1133" s="309"/>
      <c r="S1133" s="309"/>
      <c r="T1133" s="309"/>
      <c r="U1133" s="309"/>
    </row>
    <row r="1134" spans="1:21" ht="12.75" customHeight="1">
      <c r="A1134" s="271" t="s">
        <v>206</v>
      </c>
      <c r="B1134" s="625">
        <v>13</v>
      </c>
      <c r="C1134" s="623">
        <v>400</v>
      </c>
      <c r="D1134" s="792">
        <v>10.09</v>
      </c>
      <c r="E1134" s="624">
        <f>B1134*C1134-D1134</f>
        <v>5189.91</v>
      </c>
      <c r="F1134" s="546" t="s">
        <v>207</v>
      </c>
      <c r="G1134" s="1518">
        <f>((B1431-B1134)*C1431)</f>
        <v>2124</v>
      </c>
      <c r="H1134" s="1532">
        <f>(B1431-B1134)</f>
        <v>12</v>
      </c>
      <c r="I1134" s="1501" t="str">
        <f t="shared" si="57"/>
        <v/>
      </c>
      <c r="J1134" s="1501" t="str">
        <f t="shared" si="56"/>
        <v/>
      </c>
      <c r="K1134" s="261"/>
      <c r="L1134" s="309"/>
      <c r="M1134" s="309"/>
      <c r="N1134" s="309"/>
      <c r="O1134" s="309"/>
      <c r="P1134" s="309"/>
      <c r="Q1134" s="309"/>
      <c r="R1134" s="309"/>
      <c r="S1134" s="309"/>
      <c r="T1134" s="309"/>
      <c r="U1134" s="309"/>
    </row>
    <row r="1135" spans="1:21" ht="12.75" customHeight="1">
      <c r="A1135" s="280"/>
      <c r="B1135" s="627"/>
      <c r="C1135" s="785"/>
      <c r="D1135" s="786"/>
      <c r="E1135" s="858"/>
      <c r="F1135" s="781"/>
      <c r="G1135" s="1507"/>
      <c r="H1135" s="1526"/>
      <c r="I1135" s="1501" t="str">
        <f t="shared" si="57"/>
        <v/>
      </c>
      <c r="J1135" s="1501" t="str">
        <f t="shared" si="56"/>
        <v/>
      </c>
      <c r="K1135" s="261"/>
      <c r="L1135" s="309"/>
      <c r="M1135" s="309"/>
      <c r="N1135" s="309"/>
      <c r="O1135" s="309"/>
      <c r="P1135" s="309"/>
      <c r="Q1135" s="309"/>
      <c r="R1135" s="309"/>
      <c r="S1135" s="309"/>
      <c r="T1135" s="309"/>
      <c r="U1135" s="309"/>
    </row>
    <row r="1136" spans="1:21" ht="12.75" customHeight="1">
      <c r="A1136" s="297">
        <v>40813</v>
      </c>
      <c r="B1136" s="627"/>
      <c r="C1136" s="785"/>
      <c r="D1136" s="786"/>
      <c r="E1136" s="858"/>
      <c r="F1136" s="781"/>
      <c r="G1136" s="1507"/>
      <c r="H1136" s="1526"/>
      <c r="I1136" s="1501" t="str">
        <f t="shared" si="57"/>
        <v/>
      </c>
      <c r="J1136" s="1501" t="str">
        <f t="shared" si="56"/>
        <v>DFS</v>
      </c>
      <c r="K1136" s="261"/>
      <c r="L1136" s="309"/>
      <c r="M1136" s="309"/>
      <c r="N1136" s="309"/>
      <c r="O1136" s="309"/>
      <c r="P1136" s="309"/>
      <c r="Q1136" s="309"/>
      <c r="R1136" s="309"/>
      <c r="S1136" s="309"/>
      <c r="T1136" s="309"/>
      <c r="U1136" s="309"/>
    </row>
    <row r="1137" spans="1:21" ht="12.75" customHeight="1">
      <c r="A1137" s="1363" t="s">
        <v>824</v>
      </c>
      <c r="B1137" s="627"/>
      <c r="C1137" s="785"/>
      <c r="D1137" s="786"/>
      <c r="E1137" s="858"/>
      <c r="F1137" s="781"/>
      <c r="G1137" s="1507"/>
      <c r="H1137" s="1526"/>
      <c r="I1137" s="1501" t="str">
        <f t="shared" si="57"/>
        <v/>
      </c>
      <c r="J1137" s="1501" t="str">
        <f t="shared" si="56"/>
        <v/>
      </c>
      <c r="K1137" s="261"/>
      <c r="L1137" s="309"/>
      <c r="M1137" s="309"/>
      <c r="N1137" s="309"/>
      <c r="O1137" s="309"/>
      <c r="P1137" s="309"/>
      <c r="Q1137" s="309"/>
      <c r="R1137" s="309"/>
      <c r="S1137" s="309"/>
      <c r="T1137" s="309"/>
      <c r="U1137" s="309"/>
    </row>
    <row r="1138" spans="1:21" ht="12.75" customHeight="1">
      <c r="A1138" s="1361" t="s">
        <v>252</v>
      </c>
      <c r="B1138" s="625">
        <v>50</v>
      </c>
      <c r="C1138" s="623">
        <v>25.01</v>
      </c>
      <c r="D1138" s="792">
        <v>9.99</v>
      </c>
      <c r="E1138" s="624">
        <f>B1138*C1138-D1138</f>
        <v>1240.51</v>
      </c>
      <c r="F1138" s="546" t="s">
        <v>253</v>
      </c>
      <c r="G1138" s="1507"/>
      <c r="H1138" s="1526"/>
      <c r="I1138" s="1501" t="str">
        <f t="shared" si="57"/>
        <v>DFS</v>
      </c>
      <c r="J1138" s="1501" t="str">
        <f t="shared" si="56"/>
        <v/>
      </c>
      <c r="K1138" s="261"/>
      <c r="L1138" s="309"/>
      <c r="M1138" s="309"/>
      <c r="N1138" s="309"/>
      <c r="O1138" s="309"/>
      <c r="P1138" s="309"/>
      <c r="Q1138" s="309"/>
      <c r="R1138" s="309"/>
      <c r="S1138" s="309"/>
      <c r="T1138" s="309"/>
      <c r="U1138" s="309"/>
    </row>
    <row r="1139" spans="1:21" ht="12.75" customHeight="1">
      <c r="A1139" s="280"/>
      <c r="B1139" s="627"/>
      <c r="C1139" s="785"/>
      <c r="D1139" s="786"/>
      <c r="E1139" s="858"/>
      <c r="F1139" s="781"/>
      <c r="G1139" s="1507"/>
      <c r="H1139" s="1526"/>
      <c r="I1139" s="1501" t="str">
        <f t="shared" si="57"/>
        <v/>
      </c>
      <c r="J1139" s="1501" t="str">
        <f t="shared" si="56"/>
        <v/>
      </c>
      <c r="K1139" s="261"/>
      <c r="L1139" s="309"/>
      <c r="M1139" s="309"/>
      <c r="N1139" s="309"/>
      <c r="O1139" s="309"/>
      <c r="P1139" s="309"/>
      <c r="Q1139" s="309"/>
      <c r="R1139" s="309"/>
      <c r="S1139" s="309"/>
      <c r="T1139" s="309"/>
      <c r="U1139" s="309"/>
    </row>
    <row r="1140" spans="1:21" ht="12.75" customHeight="1">
      <c r="A1140" s="1366">
        <v>40801</v>
      </c>
      <c r="B1140" s="627"/>
      <c r="C1140" s="785"/>
      <c r="D1140" s="786"/>
      <c r="E1140" s="858"/>
      <c r="F1140" s="781"/>
      <c r="G1140" s="1507"/>
      <c r="H1140" s="1526"/>
      <c r="I1140" s="1501" t="str">
        <f t="shared" si="57"/>
        <v/>
      </c>
      <c r="J1140" s="1501" t="str">
        <f t="shared" si="56"/>
        <v/>
      </c>
      <c r="K1140" s="261"/>
      <c r="L1140" s="309"/>
      <c r="M1140" s="309"/>
      <c r="N1140" s="309"/>
      <c r="O1140" s="309"/>
      <c r="P1140" s="309"/>
      <c r="Q1140" s="309"/>
      <c r="R1140" s="309"/>
      <c r="S1140" s="309"/>
      <c r="T1140" s="309"/>
      <c r="U1140" s="309"/>
    </row>
    <row r="1141" spans="1:21" ht="12.75" customHeight="1">
      <c r="A1141" s="1365" t="s">
        <v>820</v>
      </c>
      <c r="B1141" s="627"/>
      <c r="C1141" s="785"/>
      <c r="D1141" s="786"/>
      <c r="E1141" s="858"/>
      <c r="F1141" s="781"/>
      <c r="G1141" s="1507"/>
      <c r="H1141" s="1526"/>
      <c r="I1141" s="1501" t="str">
        <f t="shared" si="57"/>
        <v/>
      </c>
      <c r="J1141" s="1501" t="str">
        <f t="shared" si="56"/>
        <v/>
      </c>
      <c r="K1141" s="261"/>
      <c r="L1141" s="309"/>
      <c r="M1141" s="309"/>
      <c r="N1141" s="309"/>
      <c r="O1141" s="309"/>
      <c r="P1141" s="309"/>
      <c r="Q1141" s="309"/>
      <c r="R1141" s="309"/>
      <c r="S1141" s="309"/>
      <c r="T1141" s="309"/>
      <c r="U1141" s="309"/>
    </row>
    <row r="1142" spans="1:21" ht="12.75" customHeight="1">
      <c r="A1142" s="271" t="s">
        <v>288</v>
      </c>
      <c r="B1142" s="625">
        <v>50</v>
      </c>
      <c r="C1142" s="623">
        <v>23.16</v>
      </c>
      <c r="D1142" s="792">
        <v>10</v>
      </c>
      <c r="E1142" s="624">
        <f>B1142*C1142-D1142</f>
        <v>1148</v>
      </c>
      <c r="F1142" s="546" t="s">
        <v>289</v>
      </c>
      <c r="G1142" s="1507"/>
      <c r="H1142" s="1526"/>
      <c r="I1142" s="1501" t="str">
        <f t="shared" si="57"/>
        <v/>
      </c>
      <c r="J1142" s="1501" t="str">
        <f t="shared" si="56"/>
        <v/>
      </c>
      <c r="K1142" s="261"/>
      <c r="L1142" s="309"/>
      <c r="M1142" s="309"/>
      <c r="N1142" s="309"/>
      <c r="O1142" s="309"/>
      <c r="P1142" s="309"/>
      <c r="Q1142" s="309"/>
      <c r="R1142" s="309"/>
      <c r="S1142" s="309"/>
      <c r="T1142" s="309"/>
      <c r="U1142" s="309"/>
    </row>
    <row r="1143" spans="1:21" ht="12.75" customHeight="1">
      <c r="A1143" s="134"/>
      <c r="B1143" s="625"/>
      <c r="C1143" s="623"/>
      <c r="D1143" s="792"/>
      <c r="E1143" s="624"/>
      <c r="F1143" s="546"/>
      <c r="G1143" s="1507"/>
      <c r="H1143" s="1526"/>
      <c r="I1143" s="1501" t="str">
        <f t="shared" si="57"/>
        <v/>
      </c>
      <c r="J1143" s="1501" t="str">
        <f t="shared" si="56"/>
        <v/>
      </c>
      <c r="K1143" s="261"/>
      <c r="L1143" s="309"/>
      <c r="M1143" s="309"/>
      <c r="N1143" s="309"/>
      <c r="O1143" s="309"/>
      <c r="P1143" s="309"/>
      <c r="Q1143" s="309"/>
      <c r="R1143" s="309"/>
      <c r="S1143" s="309"/>
      <c r="T1143" s="309"/>
      <c r="U1143" s="309"/>
    </row>
    <row r="1144" spans="1:21" ht="12.75" customHeight="1">
      <c r="A1144" s="1381">
        <v>40794</v>
      </c>
      <c r="B1144" s="625"/>
      <c r="C1144" s="623"/>
      <c r="D1144" s="792"/>
      <c r="E1144" s="624"/>
      <c r="F1144" s="546"/>
      <c r="G1144" s="1507"/>
      <c r="H1144" s="1526"/>
      <c r="I1144" s="1501" t="str">
        <f t="shared" si="57"/>
        <v/>
      </c>
      <c r="J1144" s="1501" t="str">
        <f t="shared" si="56"/>
        <v>SNA</v>
      </c>
      <c r="K1144" s="261"/>
      <c r="L1144" s="309"/>
      <c r="M1144" s="309"/>
      <c r="N1144" s="309"/>
      <c r="O1144" s="309"/>
      <c r="P1144" s="309"/>
      <c r="Q1144" s="309"/>
      <c r="R1144" s="309"/>
      <c r="S1144" s="309"/>
      <c r="T1144" s="309"/>
      <c r="U1144" s="309"/>
    </row>
    <row r="1145" spans="1:21" ht="12.75" customHeight="1">
      <c r="A1145" s="1377" t="s">
        <v>824</v>
      </c>
      <c r="B1145" s="625"/>
      <c r="C1145" s="623"/>
      <c r="D1145" s="792"/>
      <c r="E1145" s="624"/>
      <c r="F1145" s="546"/>
      <c r="G1145" s="1507"/>
      <c r="H1145" s="1526"/>
      <c r="I1145" s="1501" t="str">
        <f t="shared" si="57"/>
        <v/>
      </c>
      <c r="J1145" s="1501" t="str">
        <f t="shared" si="56"/>
        <v/>
      </c>
      <c r="K1145" s="261"/>
      <c r="L1145" s="309"/>
      <c r="M1145" s="309"/>
      <c r="N1145" s="309"/>
      <c r="O1145" s="309"/>
      <c r="P1145" s="309"/>
      <c r="Q1145" s="309"/>
      <c r="R1145" s="309"/>
      <c r="S1145" s="309"/>
      <c r="T1145" s="309"/>
      <c r="U1145" s="309"/>
    </row>
    <row r="1146" spans="1:21" ht="12.75" customHeight="1">
      <c r="A1146" s="134" t="s">
        <v>355</v>
      </c>
      <c r="B1146" s="625">
        <v>44</v>
      </c>
      <c r="C1146" s="623">
        <v>51.018999999999998</v>
      </c>
      <c r="D1146" s="792">
        <v>9.99</v>
      </c>
      <c r="E1146" s="624">
        <f>B1146*C1146-D1146</f>
        <v>2234.846</v>
      </c>
      <c r="F1146" s="546" t="s">
        <v>261</v>
      </c>
      <c r="G1146" s="1507"/>
      <c r="H1146" s="1526"/>
      <c r="I1146" s="1501" t="str">
        <f t="shared" si="57"/>
        <v>SNA</v>
      </c>
      <c r="J1146" s="1501" t="str">
        <f t="shared" si="56"/>
        <v/>
      </c>
      <c r="K1146" s="261"/>
      <c r="L1146" s="309"/>
      <c r="M1146" s="309"/>
      <c r="N1146" s="309"/>
      <c r="O1146" s="309"/>
      <c r="P1146" s="309"/>
      <c r="Q1146" s="309"/>
      <c r="R1146" s="309"/>
      <c r="S1146" s="309"/>
      <c r="T1146" s="309"/>
      <c r="U1146" s="309"/>
    </row>
    <row r="1147" spans="1:21" ht="12.75" customHeight="1">
      <c r="A1147" s="280"/>
      <c r="B1147" s="627"/>
      <c r="C1147" s="785"/>
      <c r="D1147" s="786"/>
      <c r="E1147" s="858"/>
      <c r="F1147" s="781"/>
      <c r="G1147" s="1507"/>
      <c r="H1147" s="1526"/>
      <c r="I1147" s="1501" t="str">
        <f t="shared" si="57"/>
        <v/>
      </c>
      <c r="J1147" s="1501" t="str">
        <f t="shared" si="56"/>
        <v/>
      </c>
      <c r="K1147" s="261"/>
      <c r="L1147" s="309"/>
      <c r="M1147" s="309"/>
      <c r="N1147" s="309"/>
      <c r="O1147" s="309"/>
      <c r="P1147" s="309"/>
      <c r="Q1147" s="309"/>
      <c r="R1147" s="309"/>
      <c r="S1147" s="309"/>
      <c r="T1147" s="309"/>
      <c r="U1147" s="309"/>
    </row>
    <row r="1148" spans="1:21" ht="12.75" customHeight="1">
      <c r="A1148" s="1366">
        <v>40792</v>
      </c>
      <c r="B1148" s="627"/>
      <c r="C1148" s="785"/>
      <c r="D1148" s="786"/>
      <c r="E1148" s="858"/>
      <c r="F1148" s="781"/>
      <c r="G1148" s="1507"/>
      <c r="H1148" s="1526"/>
      <c r="I1148" s="1501" t="str">
        <f t="shared" si="57"/>
        <v/>
      </c>
      <c r="J1148" s="1501" t="str">
        <f t="shared" si="56"/>
        <v/>
      </c>
      <c r="K1148" s="261"/>
      <c r="L1148" s="309"/>
      <c r="M1148" s="309"/>
      <c r="N1148" s="309"/>
      <c r="O1148" s="309"/>
      <c r="P1148" s="309"/>
      <c r="Q1148" s="309"/>
      <c r="R1148" s="309"/>
      <c r="S1148" s="309"/>
      <c r="T1148" s="309"/>
      <c r="U1148" s="309"/>
    </row>
    <row r="1149" spans="1:21" ht="12.75" customHeight="1">
      <c r="A1149" s="1365" t="s">
        <v>820</v>
      </c>
      <c r="B1149" s="627"/>
      <c r="C1149" s="785"/>
      <c r="D1149" s="786"/>
      <c r="E1149" s="858"/>
      <c r="F1149" s="781"/>
      <c r="G1149" s="1507"/>
      <c r="H1149" s="1526"/>
      <c r="I1149" s="1501" t="str">
        <f t="shared" si="57"/>
        <v/>
      </c>
      <c r="J1149" s="1501" t="str">
        <f t="shared" si="56"/>
        <v/>
      </c>
      <c r="K1149" s="261"/>
      <c r="L1149" s="309"/>
      <c r="M1149" s="309"/>
      <c r="N1149" s="309"/>
      <c r="O1149" s="309"/>
      <c r="P1149" s="309"/>
      <c r="Q1149" s="309"/>
      <c r="R1149" s="309"/>
      <c r="S1149" s="309"/>
      <c r="T1149" s="309"/>
      <c r="U1149" s="309"/>
    </row>
    <row r="1150" spans="1:21" ht="12.75" customHeight="1">
      <c r="A1150" s="1361" t="s">
        <v>333</v>
      </c>
      <c r="B1150" s="625">
        <v>125</v>
      </c>
      <c r="C1150" s="623">
        <v>15.54</v>
      </c>
      <c r="D1150" s="792">
        <v>10</v>
      </c>
      <c r="E1150" s="624">
        <f>B1150*C1150-D1150</f>
        <v>1932.5</v>
      </c>
      <c r="F1150" s="546" t="s">
        <v>334</v>
      </c>
      <c r="G1150" s="1507"/>
      <c r="H1150" s="1526"/>
      <c r="I1150" s="1501" t="str">
        <f t="shared" si="57"/>
        <v/>
      </c>
      <c r="J1150" s="1501" t="str">
        <f t="shared" si="56"/>
        <v/>
      </c>
      <c r="K1150" s="261"/>
      <c r="L1150" s="309"/>
      <c r="M1150" s="309"/>
      <c r="N1150" s="309"/>
      <c r="O1150" s="309"/>
      <c r="P1150" s="309"/>
      <c r="Q1150" s="309"/>
      <c r="R1150" s="309"/>
      <c r="S1150" s="309"/>
      <c r="T1150" s="309"/>
      <c r="U1150" s="309"/>
    </row>
    <row r="1151" spans="1:21" ht="12.75" customHeight="1">
      <c r="A1151" s="280"/>
      <c r="B1151" s="627"/>
      <c r="C1151" s="785"/>
      <c r="D1151" s="786"/>
      <c r="E1151" s="858"/>
      <c r="F1151" s="781"/>
      <c r="G1151" s="1507"/>
      <c r="H1151" s="1526"/>
      <c r="I1151" s="1501" t="str">
        <f t="shared" si="57"/>
        <v/>
      </c>
      <c r="J1151" s="1501" t="str">
        <f t="shared" ref="J1151:J1214" si="58">IF(F1153="","",IF(OR(A1151="Sell",A1152="Sell"),"",F1153))</f>
        <v/>
      </c>
      <c r="K1151" s="261"/>
      <c r="L1151" s="309"/>
      <c r="M1151" s="309"/>
      <c r="N1151" s="309"/>
      <c r="O1151" s="309"/>
      <c r="P1151" s="309"/>
      <c r="Q1151" s="309"/>
      <c r="R1151" s="309"/>
      <c r="S1151" s="309"/>
      <c r="T1151" s="309"/>
      <c r="U1151" s="309"/>
    </row>
    <row r="1152" spans="1:21" ht="12.75" customHeight="1">
      <c r="A1152" s="1366">
        <v>40780</v>
      </c>
      <c r="B1152" s="627"/>
      <c r="C1152" s="785"/>
      <c r="D1152" s="786"/>
      <c r="E1152" s="858"/>
      <c r="F1152" s="781"/>
      <c r="G1152" s="1507"/>
      <c r="H1152" s="1526"/>
      <c r="I1152" s="1501" t="str">
        <f t="shared" si="57"/>
        <v/>
      </c>
      <c r="J1152" s="1501" t="str">
        <f t="shared" si="58"/>
        <v/>
      </c>
      <c r="K1152" s="261"/>
      <c r="L1152" s="309"/>
      <c r="M1152" s="309"/>
      <c r="N1152" s="309"/>
      <c r="O1152" s="309"/>
      <c r="P1152" s="309"/>
      <c r="Q1152" s="309"/>
      <c r="R1152" s="309"/>
      <c r="S1152" s="309"/>
      <c r="T1152" s="309"/>
      <c r="U1152" s="309"/>
    </row>
    <row r="1153" spans="1:21" ht="12.75" customHeight="1">
      <c r="A1153" s="1365" t="s">
        <v>948</v>
      </c>
      <c r="B1153" s="627"/>
      <c r="C1153" s="785"/>
      <c r="D1153" s="786"/>
      <c r="E1153" s="858"/>
      <c r="F1153" s="781"/>
      <c r="G1153" s="1507"/>
      <c r="H1153" s="1526"/>
      <c r="I1153" s="1501" t="str">
        <f t="shared" si="57"/>
        <v/>
      </c>
      <c r="J1153" s="1501" t="str">
        <f t="shared" si="58"/>
        <v/>
      </c>
      <c r="K1153" s="261"/>
      <c r="L1153" s="309"/>
      <c r="M1153" s="309"/>
      <c r="N1153" s="309"/>
      <c r="O1153" s="309"/>
      <c r="P1153" s="309"/>
      <c r="Q1153" s="309"/>
      <c r="R1153" s="309"/>
      <c r="S1153" s="309"/>
      <c r="T1153" s="309"/>
      <c r="U1153" s="309"/>
    </row>
    <row r="1154" spans="1:21" ht="12.75" customHeight="1">
      <c r="A1154" s="1361" t="s">
        <v>749</v>
      </c>
      <c r="B1154" s="627"/>
      <c r="C1154" s="785"/>
      <c r="D1154" s="786"/>
      <c r="E1154" s="624">
        <v>9500</v>
      </c>
      <c r="F1154" s="781"/>
      <c r="G1154" s="1507"/>
      <c r="H1154" s="1526"/>
      <c r="I1154" s="1501" t="str">
        <f t="shared" si="57"/>
        <v/>
      </c>
      <c r="J1154" s="1501" t="str">
        <f t="shared" si="58"/>
        <v/>
      </c>
      <c r="K1154" s="261"/>
      <c r="L1154" s="309"/>
      <c r="M1154" s="309"/>
      <c r="N1154" s="309"/>
      <c r="O1154" s="309"/>
      <c r="P1154" s="309"/>
      <c r="Q1154" s="309"/>
      <c r="R1154" s="309"/>
      <c r="S1154" s="309"/>
      <c r="T1154" s="309"/>
      <c r="U1154" s="309"/>
    </row>
    <row r="1155" spans="1:21" ht="12.75" customHeight="1">
      <c r="A1155" s="280"/>
      <c r="B1155" s="627"/>
      <c r="C1155" s="785"/>
      <c r="D1155" s="786"/>
      <c r="E1155" s="858"/>
      <c r="F1155" s="781"/>
      <c r="G1155" s="1507"/>
      <c r="H1155" s="1526"/>
      <c r="I1155" s="1501" t="str">
        <f t="shared" si="57"/>
        <v/>
      </c>
      <c r="J1155" s="1501" t="str">
        <f t="shared" si="58"/>
        <v/>
      </c>
      <c r="K1155" s="261"/>
      <c r="L1155" s="309"/>
      <c r="M1155" s="309"/>
      <c r="N1155" s="309"/>
      <c r="O1155" s="309"/>
      <c r="P1155" s="309"/>
      <c r="Q1155" s="309"/>
      <c r="R1155" s="309"/>
      <c r="S1155" s="309"/>
      <c r="T1155" s="309"/>
      <c r="U1155" s="309"/>
    </row>
    <row r="1156" spans="1:21" ht="12.75" customHeight="1">
      <c r="A1156" s="1366">
        <v>40687</v>
      </c>
      <c r="B1156" s="627"/>
      <c r="C1156" s="785"/>
      <c r="D1156" s="786"/>
      <c r="E1156" s="858"/>
      <c r="F1156" s="781"/>
      <c r="G1156" s="1507"/>
      <c r="H1156" s="1526"/>
      <c r="I1156" s="1501" t="str">
        <f t="shared" si="57"/>
        <v/>
      </c>
      <c r="J1156" s="1501" t="str">
        <f t="shared" si="58"/>
        <v>ORRF</v>
      </c>
      <c r="K1156" s="261"/>
      <c r="L1156" s="309"/>
      <c r="M1156" s="309"/>
      <c r="N1156" s="309"/>
      <c r="O1156" s="309"/>
      <c r="P1156" s="309"/>
      <c r="Q1156" s="309"/>
      <c r="R1156" s="309"/>
      <c r="S1156" s="309"/>
      <c r="T1156" s="309"/>
      <c r="U1156" s="309"/>
    </row>
    <row r="1157" spans="1:21" ht="12.75" customHeight="1">
      <c r="A1157" s="1365" t="s">
        <v>948</v>
      </c>
      <c r="B1157" s="627"/>
      <c r="C1157" s="785"/>
      <c r="D1157" s="786"/>
      <c r="E1157" s="858"/>
      <c r="F1157" s="781"/>
      <c r="G1157" s="1507"/>
      <c r="H1157" s="1526"/>
      <c r="I1157" s="1501" t="str">
        <f t="shared" si="57"/>
        <v/>
      </c>
      <c r="J1157" s="1501" t="str">
        <f t="shared" si="58"/>
        <v/>
      </c>
      <c r="K1157" s="261"/>
      <c r="L1157" s="309"/>
      <c r="M1157" s="309"/>
      <c r="N1157" s="309"/>
      <c r="O1157" s="309"/>
      <c r="P1157" s="309"/>
      <c r="Q1157" s="309"/>
      <c r="R1157" s="309"/>
      <c r="S1157" s="309"/>
      <c r="T1157" s="309"/>
      <c r="U1157" s="309"/>
    </row>
    <row r="1158" spans="1:21" ht="12.75" customHeight="1">
      <c r="A1158" s="134" t="s">
        <v>949</v>
      </c>
      <c r="B1158" s="625">
        <v>10</v>
      </c>
      <c r="C1158" s="623">
        <v>24.54</v>
      </c>
      <c r="D1158" s="786"/>
      <c r="E1158" s="624">
        <f>B1158*C1158-D1158</f>
        <v>245.39999999999998</v>
      </c>
      <c r="F1158" s="546" t="s">
        <v>295</v>
      </c>
      <c r="G1158" s="1507"/>
      <c r="H1158" s="1526"/>
      <c r="I1158" s="1501" t="str">
        <f t="shared" si="57"/>
        <v>ORRF</v>
      </c>
      <c r="J1158" s="1501" t="str">
        <f t="shared" si="58"/>
        <v/>
      </c>
      <c r="K1158" s="261"/>
      <c r="L1158" s="309"/>
      <c r="M1158" s="309"/>
      <c r="N1158" s="309"/>
      <c r="O1158" s="309"/>
      <c r="P1158" s="309"/>
      <c r="Q1158" s="309"/>
      <c r="R1158" s="309"/>
      <c r="S1158" s="309"/>
      <c r="T1158" s="309"/>
      <c r="U1158" s="309"/>
    </row>
    <row r="1159" spans="1:21" ht="12.75" customHeight="1">
      <c r="A1159" s="280"/>
      <c r="B1159" s="627"/>
      <c r="C1159" s="785"/>
      <c r="D1159" s="786"/>
      <c r="E1159" s="858"/>
      <c r="F1159" s="781"/>
      <c r="G1159" s="1507"/>
      <c r="H1159" s="1526"/>
      <c r="I1159" s="1501" t="str">
        <f t="shared" si="57"/>
        <v/>
      </c>
      <c r="J1159" s="1501" t="str">
        <f t="shared" si="58"/>
        <v/>
      </c>
      <c r="K1159" s="261"/>
      <c r="L1159" s="309"/>
      <c r="M1159" s="309"/>
      <c r="N1159" s="309"/>
      <c r="O1159" s="309"/>
      <c r="P1159" s="309"/>
      <c r="Q1159" s="309"/>
      <c r="R1159" s="309"/>
      <c r="S1159" s="309"/>
      <c r="T1159" s="309"/>
      <c r="U1159" s="309"/>
    </row>
    <row r="1160" spans="1:21" ht="12.75" customHeight="1">
      <c r="A1160" s="1366">
        <v>40626</v>
      </c>
      <c r="B1160" s="627"/>
      <c r="C1160" s="785"/>
      <c r="D1160" s="786"/>
      <c r="E1160" s="858"/>
      <c r="F1160" s="781"/>
      <c r="G1160" s="1507"/>
      <c r="H1160" s="1526"/>
      <c r="I1160" s="1501" t="str">
        <f t="shared" si="57"/>
        <v/>
      </c>
      <c r="J1160" s="1501" t="str">
        <f t="shared" si="58"/>
        <v>EBIX</v>
      </c>
      <c r="K1160" s="261"/>
      <c r="L1160" s="309"/>
      <c r="M1160" s="309"/>
      <c r="N1160" s="309"/>
      <c r="O1160" s="309"/>
      <c r="P1160" s="309"/>
      <c r="Q1160" s="309"/>
      <c r="R1160" s="309"/>
      <c r="S1160" s="309"/>
      <c r="T1160" s="309"/>
      <c r="U1160" s="309"/>
    </row>
    <row r="1161" spans="1:21" ht="12.75" customHeight="1">
      <c r="A1161" s="1382" t="s">
        <v>824</v>
      </c>
      <c r="B1161" s="627"/>
      <c r="C1161" s="785"/>
      <c r="D1161" s="786"/>
      <c r="E1161" s="858"/>
      <c r="F1161" s="781"/>
      <c r="G1161" s="1507"/>
      <c r="H1161" s="1526"/>
      <c r="I1161" s="1501" t="str">
        <f t="shared" si="57"/>
        <v/>
      </c>
      <c r="J1161" s="1501" t="str">
        <f t="shared" si="58"/>
        <v/>
      </c>
      <c r="K1161" s="261"/>
      <c r="L1161" s="309"/>
      <c r="M1161" s="309"/>
      <c r="N1161" s="309"/>
      <c r="O1161" s="309"/>
      <c r="P1161" s="309"/>
      <c r="Q1161" s="309"/>
      <c r="R1161" s="309"/>
      <c r="S1161" s="309"/>
      <c r="T1161" s="309"/>
      <c r="U1161" s="309"/>
    </row>
    <row r="1162" spans="1:21" ht="12.75" customHeight="1">
      <c r="A1162" s="1383" t="s">
        <v>333</v>
      </c>
      <c r="B1162" s="625">
        <v>125</v>
      </c>
      <c r="C1162" s="623">
        <v>24.5</v>
      </c>
      <c r="D1162" s="792">
        <v>9.99</v>
      </c>
      <c r="E1162" s="624">
        <f>B1162*C1162-D1162</f>
        <v>3052.51</v>
      </c>
      <c r="F1162" s="546" t="s">
        <v>334</v>
      </c>
      <c r="G1162" s="1507"/>
      <c r="H1162" s="1526"/>
      <c r="I1162" s="1501" t="str">
        <f t="shared" si="57"/>
        <v>EBIX</v>
      </c>
      <c r="J1162" s="1501" t="str">
        <f t="shared" si="58"/>
        <v/>
      </c>
      <c r="K1162" s="261"/>
      <c r="L1162" s="309"/>
      <c r="M1162" s="309"/>
      <c r="N1162" s="309"/>
      <c r="O1162" s="309"/>
      <c r="P1162" s="309"/>
      <c r="Q1162" s="309"/>
      <c r="R1162" s="309"/>
      <c r="S1162" s="309"/>
      <c r="T1162" s="309"/>
      <c r="U1162" s="309"/>
    </row>
    <row r="1163" spans="1:21" ht="12.75" customHeight="1">
      <c r="A1163" s="280"/>
      <c r="B1163" s="627"/>
      <c r="C1163" s="785"/>
      <c r="D1163" s="786"/>
      <c r="E1163" s="858"/>
      <c r="F1163" s="781"/>
      <c r="G1163" s="1507"/>
      <c r="H1163" s="1526"/>
      <c r="I1163" s="1501" t="str">
        <f t="shared" si="57"/>
        <v/>
      </c>
      <c r="J1163" s="1501" t="str">
        <f t="shared" si="58"/>
        <v/>
      </c>
      <c r="K1163" s="261"/>
      <c r="L1163" s="309"/>
      <c r="M1163" s="309"/>
      <c r="N1163" s="309"/>
      <c r="O1163" s="309"/>
      <c r="P1163" s="309"/>
      <c r="Q1163" s="309"/>
      <c r="R1163" s="309"/>
      <c r="S1163" s="309"/>
      <c r="T1163" s="309"/>
      <c r="U1163" s="309"/>
    </row>
    <row r="1164" spans="1:21" ht="12.75" customHeight="1">
      <c r="A1164" s="1366">
        <v>40619</v>
      </c>
      <c r="B1164" s="627"/>
      <c r="C1164" s="785"/>
      <c r="D1164" s="786"/>
      <c r="E1164" s="858"/>
      <c r="F1164" s="781"/>
      <c r="G1164" s="1507"/>
      <c r="H1164" s="1526"/>
      <c r="I1164" s="1501" t="str">
        <f t="shared" si="57"/>
        <v/>
      </c>
      <c r="J1164" s="1501" t="str">
        <f t="shared" si="58"/>
        <v/>
      </c>
      <c r="K1164" s="261"/>
      <c r="L1164" s="309"/>
      <c r="M1164" s="309"/>
      <c r="N1164" s="309"/>
      <c r="O1164" s="309"/>
      <c r="P1164" s="309"/>
      <c r="Q1164" s="309"/>
      <c r="R1164" s="309"/>
      <c r="S1164" s="309"/>
      <c r="T1164" s="309"/>
      <c r="U1164" s="309"/>
    </row>
    <row r="1165" spans="1:21" ht="12.75" customHeight="1">
      <c r="A1165" s="261" t="s">
        <v>820</v>
      </c>
      <c r="B1165" s="627"/>
      <c r="C1165" s="785"/>
      <c r="D1165" s="786"/>
      <c r="E1165" s="858"/>
      <c r="F1165" s="781"/>
      <c r="G1165" s="1507"/>
      <c r="H1165" s="1526"/>
      <c r="I1165" s="1501" t="str">
        <f t="shared" si="57"/>
        <v/>
      </c>
      <c r="J1165" s="1501" t="str">
        <f t="shared" si="58"/>
        <v/>
      </c>
      <c r="K1165" s="261"/>
      <c r="L1165" s="309"/>
      <c r="M1165" s="309"/>
      <c r="N1165" s="309"/>
      <c r="O1165" s="309"/>
      <c r="P1165" s="309"/>
      <c r="Q1165" s="309"/>
      <c r="R1165" s="309"/>
      <c r="S1165" s="309"/>
      <c r="T1165" s="309"/>
      <c r="U1165" s="309"/>
    </row>
    <row r="1166" spans="1:21" ht="12.75" customHeight="1">
      <c r="A1166" s="271" t="s">
        <v>286</v>
      </c>
      <c r="B1166" s="625">
        <v>18</v>
      </c>
      <c r="C1166" s="623">
        <v>8.0202000000000009</v>
      </c>
      <c r="D1166" s="792">
        <v>10</v>
      </c>
      <c r="E1166" s="624">
        <f>B1166*C1166-D1166</f>
        <v>134.36360000000002</v>
      </c>
      <c r="F1166" s="546" t="s">
        <v>287</v>
      </c>
      <c r="G1166" s="1507"/>
      <c r="H1166" s="1526"/>
      <c r="I1166" s="1501" t="str">
        <f t="shared" si="57"/>
        <v/>
      </c>
      <c r="J1166" s="1501" t="str">
        <f t="shared" si="58"/>
        <v/>
      </c>
      <c r="K1166" s="261"/>
      <c r="L1166" s="309"/>
      <c r="M1166" s="309"/>
      <c r="N1166" s="309"/>
      <c r="O1166" s="309"/>
      <c r="P1166" s="309"/>
      <c r="Q1166" s="309"/>
      <c r="R1166" s="309"/>
      <c r="S1166" s="309"/>
      <c r="T1166" s="309"/>
      <c r="U1166" s="309"/>
    </row>
    <row r="1167" spans="1:21" ht="12.75" customHeight="1">
      <c r="A1167" s="134"/>
      <c r="B1167" s="625"/>
      <c r="C1167" s="623"/>
      <c r="D1167" s="792"/>
      <c r="E1167" s="624"/>
      <c r="F1167" s="546"/>
      <c r="G1167" s="1507"/>
      <c r="H1167" s="1526"/>
      <c r="I1167" s="1501" t="str">
        <f t="shared" si="57"/>
        <v/>
      </c>
      <c r="J1167" s="1501" t="str">
        <f t="shared" si="58"/>
        <v/>
      </c>
      <c r="K1167" s="261"/>
      <c r="L1167" s="309"/>
      <c r="M1167" s="309"/>
      <c r="N1167" s="309"/>
      <c r="O1167" s="309"/>
      <c r="P1167" s="309"/>
      <c r="Q1167" s="309"/>
      <c r="R1167" s="309"/>
      <c r="S1167" s="309"/>
      <c r="T1167" s="309"/>
      <c r="U1167" s="309"/>
    </row>
    <row r="1168" spans="1:21" ht="12.75" customHeight="1">
      <c r="A1168" s="1366">
        <v>40603</v>
      </c>
      <c r="B1168" s="625"/>
      <c r="C1168" s="623"/>
      <c r="D1168" s="792"/>
      <c r="E1168" s="624"/>
      <c r="F1168" s="546"/>
      <c r="G1168" s="1507"/>
      <c r="H1168" s="1526"/>
      <c r="I1168" s="1501" t="str">
        <f t="shared" si="57"/>
        <v/>
      </c>
      <c r="J1168" s="1501" t="str">
        <f t="shared" si="58"/>
        <v>INTC</v>
      </c>
      <c r="K1168" s="261"/>
      <c r="L1168" s="309"/>
      <c r="M1168" s="309"/>
      <c r="N1168" s="309"/>
      <c r="O1168" s="309"/>
      <c r="P1168" s="309"/>
      <c r="Q1168" s="309"/>
      <c r="R1168" s="309"/>
      <c r="S1168" s="309"/>
      <c r="T1168" s="309"/>
      <c r="U1168" s="309"/>
    </row>
    <row r="1169" spans="1:21" ht="12.75" customHeight="1">
      <c r="A1169" s="1377" t="s">
        <v>824</v>
      </c>
      <c r="B1169" s="625"/>
      <c r="C1169" s="623"/>
      <c r="D1169" s="792"/>
      <c r="E1169" s="624"/>
      <c r="F1169" s="546"/>
      <c r="G1169" s="1507"/>
      <c r="H1169" s="1526"/>
      <c r="I1169" s="1501" t="str">
        <f t="shared" si="57"/>
        <v/>
      </c>
      <c r="J1169" s="1501" t="str">
        <f t="shared" si="58"/>
        <v/>
      </c>
      <c r="K1169" s="261"/>
      <c r="L1169" s="309"/>
      <c r="M1169" s="309"/>
      <c r="N1169" s="309"/>
      <c r="O1169" s="309"/>
      <c r="P1169" s="309"/>
      <c r="Q1169" s="309"/>
      <c r="R1169" s="309"/>
      <c r="S1169" s="309"/>
      <c r="T1169" s="309"/>
      <c r="U1169" s="309"/>
    </row>
    <row r="1170" spans="1:21" ht="12.75" customHeight="1">
      <c r="A1170" s="134" t="s">
        <v>323</v>
      </c>
      <c r="B1170" s="625">
        <v>140</v>
      </c>
      <c r="C1170" s="623">
        <v>21.369900000000001</v>
      </c>
      <c r="D1170" s="792">
        <v>9.99</v>
      </c>
      <c r="E1170" s="624">
        <f>B1170*C1170-D1170</f>
        <v>2981.7960000000003</v>
      </c>
      <c r="F1170" s="546" t="s">
        <v>110</v>
      </c>
      <c r="G1170" s="1507"/>
      <c r="H1170" s="1526"/>
      <c r="I1170" s="1501" t="str">
        <f t="shared" si="57"/>
        <v>INTC</v>
      </c>
      <c r="J1170" s="1501" t="str">
        <f t="shared" si="58"/>
        <v/>
      </c>
      <c r="K1170" s="261"/>
      <c r="L1170" s="309"/>
      <c r="M1170" s="309"/>
      <c r="N1170" s="309"/>
      <c r="O1170" s="309"/>
      <c r="P1170" s="309"/>
      <c r="Q1170" s="309"/>
      <c r="R1170" s="309"/>
      <c r="S1170" s="309"/>
      <c r="T1170" s="309"/>
      <c r="U1170" s="309"/>
    </row>
    <row r="1171" spans="1:21" ht="12.75" customHeight="1">
      <c r="A1171" s="280"/>
      <c r="B1171" s="627"/>
      <c r="C1171" s="785"/>
      <c r="D1171" s="786"/>
      <c r="E1171" s="858"/>
      <c r="F1171" s="781"/>
      <c r="I1171" s="1501" t="str">
        <f t="shared" ref="I1171:I1234" si="59">IF(F1171="","",IF(OR(A1170="Sell",A1171="Sell"),"",F1171))</f>
        <v/>
      </c>
      <c r="J1171" s="1501" t="str">
        <f t="shared" si="58"/>
        <v/>
      </c>
      <c r="K1171" s="261"/>
      <c r="L1171" s="309"/>
      <c r="M1171" s="309"/>
      <c r="N1171" s="309"/>
      <c r="O1171" s="309"/>
      <c r="P1171" s="309"/>
      <c r="Q1171" s="309"/>
      <c r="R1171" s="309"/>
      <c r="S1171" s="309"/>
      <c r="T1171" s="309"/>
      <c r="U1171" s="309"/>
    </row>
    <row r="1172" spans="1:21" ht="12.75" customHeight="1">
      <c r="A1172" s="1366">
        <v>40589</v>
      </c>
      <c r="B1172" s="627"/>
      <c r="C1172" s="785"/>
      <c r="D1172" s="786"/>
      <c r="E1172" s="858"/>
      <c r="F1172" s="781"/>
      <c r="G1172" s="1507"/>
      <c r="H1172" s="1526"/>
      <c r="I1172" s="1501" t="str">
        <f t="shared" si="59"/>
        <v/>
      </c>
      <c r="J1172" s="1501" t="str">
        <f t="shared" si="58"/>
        <v>CSCO</v>
      </c>
      <c r="K1172" s="261"/>
      <c r="L1172" s="309"/>
      <c r="M1172" s="309"/>
      <c r="N1172" s="309"/>
      <c r="O1172" s="309"/>
      <c r="P1172" s="309"/>
      <c r="Q1172" s="309"/>
      <c r="R1172" s="309"/>
      <c r="S1172" s="309"/>
      <c r="T1172" s="309"/>
      <c r="U1172" s="309"/>
    </row>
    <row r="1173" spans="1:21" ht="12.75" customHeight="1">
      <c r="A1173" s="1382" t="s">
        <v>824</v>
      </c>
      <c r="B1173" s="627"/>
      <c r="C1173" s="785"/>
      <c r="D1173" s="786"/>
      <c r="E1173" s="858"/>
      <c r="F1173" s="781"/>
      <c r="G1173" s="1507"/>
      <c r="H1173" s="1526"/>
      <c r="I1173" s="1501" t="str">
        <f t="shared" si="59"/>
        <v/>
      </c>
      <c r="J1173" s="1501" t="str">
        <f t="shared" si="58"/>
        <v/>
      </c>
      <c r="K1173" s="261"/>
      <c r="L1173" s="309"/>
      <c r="M1173" s="309"/>
      <c r="N1173" s="309"/>
      <c r="O1173" s="309"/>
      <c r="P1173" s="309"/>
      <c r="Q1173" s="309"/>
      <c r="R1173" s="309"/>
      <c r="S1173" s="309"/>
      <c r="T1173" s="309"/>
      <c r="U1173" s="309"/>
    </row>
    <row r="1174" spans="1:21" ht="12.75" customHeight="1">
      <c r="A1174" s="1383" t="s">
        <v>950</v>
      </c>
      <c r="B1174" s="625">
        <v>135</v>
      </c>
      <c r="C1174" s="623">
        <v>18.68</v>
      </c>
      <c r="D1174" s="792">
        <v>9.99</v>
      </c>
      <c r="E1174" s="624">
        <f>B1174*C1174-D1174</f>
        <v>2511.8100000000004</v>
      </c>
      <c r="F1174" s="546" t="s">
        <v>152</v>
      </c>
      <c r="G1174" s="1511">
        <f>E1174+E1201</f>
        <v>4376.8200000000006</v>
      </c>
      <c r="H1174" s="1526">
        <f>B1174+B1201</f>
        <v>235</v>
      </c>
      <c r="I1174" s="1501" t="str">
        <f t="shared" si="59"/>
        <v>CSCO</v>
      </c>
      <c r="J1174" s="1501" t="str">
        <f t="shared" si="58"/>
        <v/>
      </c>
      <c r="K1174" s="261"/>
      <c r="L1174" s="309"/>
      <c r="M1174" s="309"/>
      <c r="N1174" s="309"/>
      <c r="O1174" s="309"/>
      <c r="P1174" s="309"/>
      <c r="Q1174" s="309"/>
      <c r="R1174" s="309"/>
      <c r="S1174" s="309"/>
      <c r="T1174" s="309"/>
      <c r="U1174" s="309"/>
    </row>
    <row r="1175" spans="1:21" ht="12.75" customHeight="1">
      <c r="A1175" s="280"/>
      <c r="B1175" s="627"/>
      <c r="C1175" s="785"/>
      <c r="D1175" s="786"/>
      <c r="E1175" s="858"/>
      <c r="F1175" s="781"/>
      <c r="G1175" s="1507"/>
      <c r="H1175" s="1526"/>
      <c r="I1175" s="1501" t="str">
        <f t="shared" si="59"/>
        <v/>
      </c>
      <c r="J1175" s="1501" t="str">
        <f t="shared" si="58"/>
        <v/>
      </c>
      <c r="K1175" s="261"/>
      <c r="L1175" s="309"/>
      <c r="M1175" s="309"/>
      <c r="N1175" s="309"/>
      <c r="O1175" s="309"/>
      <c r="P1175" s="309"/>
      <c r="Q1175" s="309"/>
      <c r="R1175" s="309"/>
      <c r="S1175" s="309"/>
      <c r="T1175" s="309"/>
      <c r="U1175" s="309"/>
    </row>
    <row r="1176" spans="1:21" ht="12.75" customHeight="1">
      <c r="A1176" s="1366">
        <v>40584</v>
      </c>
      <c r="B1176" s="627"/>
      <c r="C1176" s="785"/>
      <c r="D1176" s="786"/>
      <c r="E1176" s="858"/>
      <c r="F1176" s="781"/>
      <c r="G1176" s="1507"/>
      <c r="H1176" s="1526"/>
      <c r="I1176" s="1501" t="str">
        <f t="shared" si="59"/>
        <v/>
      </c>
      <c r="J1176" s="1501" t="str">
        <f t="shared" si="58"/>
        <v>F</v>
      </c>
      <c r="K1176" s="261"/>
      <c r="L1176" s="309"/>
      <c r="M1176" s="309"/>
      <c r="N1176" s="309"/>
      <c r="O1176" s="309"/>
      <c r="P1176" s="309"/>
      <c r="Q1176" s="309"/>
      <c r="R1176" s="309"/>
      <c r="S1176" s="309"/>
      <c r="T1176" s="309"/>
      <c r="U1176" s="309"/>
    </row>
    <row r="1177" spans="1:21" ht="12.75" customHeight="1">
      <c r="A1177" s="1363" t="s">
        <v>824</v>
      </c>
      <c r="B1177" s="627"/>
      <c r="C1177" s="785"/>
      <c r="D1177" s="786"/>
      <c r="E1177" s="858"/>
      <c r="F1177" s="781"/>
      <c r="G1177" s="1507"/>
      <c r="H1177" s="1526"/>
      <c r="I1177" s="1501" t="str">
        <f t="shared" si="59"/>
        <v/>
      </c>
      <c r="J1177" s="1501" t="str">
        <f t="shared" si="58"/>
        <v/>
      </c>
      <c r="K1177" s="261"/>
      <c r="L1177" s="309"/>
      <c r="M1177" s="309"/>
      <c r="N1177" s="309"/>
      <c r="O1177" s="309"/>
      <c r="P1177" s="309"/>
      <c r="Q1177" s="309"/>
      <c r="R1177" s="309"/>
      <c r="S1177" s="309"/>
      <c r="T1177" s="309"/>
      <c r="U1177" s="309"/>
    </row>
    <row r="1178" spans="1:21" ht="12.75" customHeight="1">
      <c r="A1178" s="1361" t="s">
        <v>321</v>
      </c>
      <c r="B1178" s="625">
        <v>220</v>
      </c>
      <c r="C1178" s="623">
        <v>15.97</v>
      </c>
      <c r="D1178" s="792">
        <v>9.99</v>
      </c>
      <c r="E1178" s="624">
        <f>B1178*C1178-D1178</f>
        <v>3503.4100000000003</v>
      </c>
      <c r="F1178" s="546" t="s">
        <v>322</v>
      </c>
      <c r="G1178" s="1507"/>
      <c r="H1178" s="1526"/>
      <c r="I1178" s="1501" t="str">
        <f t="shared" si="59"/>
        <v>F</v>
      </c>
      <c r="J1178" s="1501" t="str">
        <f t="shared" si="58"/>
        <v/>
      </c>
      <c r="K1178" s="261"/>
      <c r="L1178" s="309"/>
      <c r="M1178" s="309"/>
      <c r="N1178" s="309"/>
      <c r="O1178" s="309"/>
      <c r="P1178" s="309"/>
      <c r="Q1178" s="309"/>
      <c r="R1178" s="309"/>
      <c r="S1178" s="309"/>
      <c r="T1178" s="309"/>
      <c r="U1178" s="309"/>
    </row>
    <row r="1179" spans="1:21" ht="12.75" customHeight="1">
      <c r="A1179" s="1361"/>
      <c r="B1179" s="625"/>
      <c r="C1179" s="623"/>
      <c r="D1179" s="792"/>
      <c r="E1179" s="624"/>
      <c r="F1179" s="781"/>
      <c r="G1179" s="1507"/>
      <c r="H1179" s="1526"/>
      <c r="I1179" s="1501" t="str">
        <f t="shared" si="59"/>
        <v/>
      </c>
      <c r="J1179" s="1501" t="str">
        <f t="shared" si="58"/>
        <v/>
      </c>
      <c r="K1179" s="261"/>
      <c r="L1179" s="309"/>
      <c r="M1179" s="309"/>
      <c r="N1179" s="309"/>
      <c r="O1179" s="309"/>
      <c r="P1179" s="309"/>
      <c r="Q1179" s="309"/>
      <c r="R1179" s="309"/>
      <c r="S1179" s="309"/>
      <c r="T1179" s="309"/>
      <c r="U1179" s="309"/>
    </row>
    <row r="1180" spans="1:21" ht="12.75" customHeight="1">
      <c r="A1180" s="1381">
        <v>40577</v>
      </c>
      <c r="B1180" s="625"/>
      <c r="C1180" s="623"/>
      <c r="D1180" s="792"/>
      <c r="E1180" s="624"/>
      <c r="F1180" s="781"/>
      <c r="G1180" s="1507"/>
      <c r="H1180" s="1526"/>
      <c r="I1180" s="1501" t="str">
        <f t="shared" si="59"/>
        <v/>
      </c>
      <c r="J1180" s="1501" t="str">
        <f t="shared" si="58"/>
        <v/>
      </c>
      <c r="K1180" s="261"/>
      <c r="L1180" s="309"/>
      <c r="M1180" s="309"/>
      <c r="N1180" s="309"/>
      <c r="O1180" s="309"/>
      <c r="P1180" s="309"/>
      <c r="Q1180" s="309"/>
      <c r="R1180" s="309"/>
      <c r="S1180" s="309"/>
      <c r="T1180" s="309"/>
      <c r="U1180" s="309"/>
    </row>
    <row r="1181" spans="1:21" ht="12.75" customHeight="1">
      <c r="A1181" s="1363" t="s">
        <v>820</v>
      </c>
      <c r="B1181" s="625"/>
      <c r="C1181" s="623"/>
      <c r="D1181" s="792"/>
      <c r="E1181" s="624"/>
      <c r="F1181" s="781"/>
      <c r="G1181" s="1507"/>
      <c r="H1181" s="1526"/>
      <c r="I1181" s="1501" t="str">
        <f t="shared" si="59"/>
        <v/>
      </c>
      <c r="J1181" s="1501" t="str">
        <f t="shared" si="58"/>
        <v/>
      </c>
      <c r="K1181" s="261"/>
      <c r="L1181" s="309"/>
      <c r="M1181" s="309"/>
      <c r="N1181" s="309"/>
      <c r="O1181" s="309"/>
      <c r="P1181" s="309"/>
      <c r="Q1181" s="309"/>
      <c r="R1181" s="309"/>
      <c r="S1181" s="309"/>
      <c r="T1181" s="309"/>
      <c r="U1181" s="309"/>
    </row>
    <row r="1182" spans="1:21" ht="12.75" customHeight="1">
      <c r="A1182" s="1361" t="s">
        <v>262</v>
      </c>
      <c r="B1182" s="625">
        <v>29</v>
      </c>
      <c r="C1182" s="623">
        <v>57.75</v>
      </c>
      <c r="D1182" s="792">
        <v>10.029999999999999</v>
      </c>
      <c r="E1182" s="624">
        <f>B1182*C1182-D1182</f>
        <v>1664.72</v>
      </c>
      <c r="F1182" s="546" t="s">
        <v>263</v>
      </c>
      <c r="G1182" s="1507"/>
      <c r="H1182" s="1526"/>
      <c r="I1182" s="1501" t="str">
        <f t="shared" si="59"/>
        <v/>
      </c>
      <c r="J1182" s="1501" t="str">
        <f t="shared" si="58"/>
        <v>YONG</v>
      </c>
      <c r="K1182" s="261"/>
      <c r="L1182" s="309"/>
      <c r="M1182" s="309"/>
      <c r="N1182" s="309"/>
      <c r="O1182" s="309"/>
      <c r="P1182" s="309"/>
      <c r="Q1182" s="309"/>
      <c r="R1182" s="309"/>
      <c r="S1182" s="309"/>
      <c r="T1182" s="309"/>
      <c r="U1182" s="309"/>
    </row>
    <row r="1183" spans="1:21" ht="12.75" customHeight="1">
      <c r="A1183" s="1363" t="s">
        <v>824</v>
      </c>
      <c r="B1183" s="625"/>
      <c r="C1183" s="623"/>
      <c r="D1183" s="792"/>
      <c r="E1183" s="624"/>
      <c r="F1183" s="781"/>
      <c r="G1183" s="1507"/>
      <c r="H1183" s="1526"/>
      <c r="I1183" s="1501" t="str">
        <f t="shared" si="59"/>
        <v/>
      </c>
      <c r="J1183" s="1501" t="str">
        <f t="shared" si="58"/>
        <v/>
      </c>
      <c r="K1183" s="261"/>
      <c r="L1183" s="309"/>
      <c r="M1183" s="309"/>
      <c r="N1183" s="309"/>
      <c r="O1183" s="309"/>
      <c r="P1183" s="309"/>
      <c r="Q1183" s="309"/>
      <c r="R1183" s="309"/>
      <c r="S1183" s="309"/>
      <c r="T1183" s="309"/>
      <c r="U1183" s="309"/>
    </row>
    <row r="1184" spans="1:21" ht="12.75" customHeight="1">
      <c r="A1184" s="1361" t="s">
        <v>356</v>
      </c>
      <c r="B1184" s="625">
        <v>180</v>
      </c>
      <c r="C1184" s="623">
        <v>7.2698999999999998</v>
      </c>
      <c r="D1184" s="792">
        <v>9.99</v>
      </c>
      <c r="E1184" s="624">
        <f>B1184*C1184-D1184</f>
        <v>1298.5919999999999</v>
      </c>
      <c r="F1184" s="546" t="s">
        <v>301</v>
      </c>
      <c r="G1184" s="1507"/>
      <c r="H1184" s="1526"/>
      <c r="I1184" s="1501" t="str">
        <f t="shared" si="59"/>
        <v>YONG</v>
      </c>
      <c r="J1184" s="1501" t="str">
        <f t="shared" si="58"/>
        <v/>
      </c>
      <c r="K1184" s="261"/>
      <c r="L1184" s="309"/>
      <c r="M1184" s="309"/>
      <c r="N1184" s="309"/>
      <c r="O1184" s="309"/>
      <c r="P1184" s="309"/>
      <c r="Q1184" s="309"/>
      <c r="R1184" s="309"/>
      <c r="S1184" s="309"/>
      <c r="T1184" s="309"/>
      <c r="U1184" s="309"/>
    </row>
    <row r="1185" spans="1:21" ht="12.75" customHeight="1">
      <c r="A1185" s="1361"/>
      <c r="B1185" s="625"/>
      <c r="C1185" s="623"/>
      <c r="D1185" s="792"/>
      <c r="E1185" s="624"/>
      <c r="F1185" s="781"/>
      <c r="G1185" s="1507"/>
      <c r="H1185" s="1526"/>
      <c r="I1185" s="1501" t="str">
        <f t="shared" si="59"/>
        <v/>
      </c>
      <c r="J1185" s="1501" t="str">
        <f t="shared" si="58"/>
        <v/>
      </c>
      <c r="K1185" s="261"/>
      <c r="L1185" s="309"/>
      <c r="M1185" s="309"/>
      <c r="N1185" s="309"/>
      <c r="O1185" s="309"/>
      <c r="P1185" s="309"/>
      <c r="Q1185" s="309"/>
      <c r="R1185" s="309"/>
      <c r="S1185" s="309"/>
      <c r="T1185" s="309"/>
      <c r="U1185" s="309"/>
    </row>
    <row r="1186" spans="1:21" ht="12.75" customHeight="1">
      <c r="A1186" s="1381">
        <v>40575</v>
      </c>
      <c r="B1186" s="625"/>
      <c r="C1186" s="623"/>
      <c r="D1186" s="792"/>
      <c r="E1186" s="624"/>
      <c r="F1186" s="781"/>
      <c r="G1186" s="1507"/>
      <c r="H1186" s="1526"/>
      <c r="I1186" s="1501" t="str">
        <f t="shared" si="59"/>
        <v/>
      </c>
      <c r="J1186" s="1501" t="str">
        <f t="shared" si="58"/>
        <v/>
      </c>
      <c r="K1186" s="261"/>
      <c r="L1186" s="309"/>
      <c r="M1186" s="309"/>
      <c r="N1186" s="309"/>
      <c r="O1186" s="309"/>
      <c r="P1186" s="309"/>
      <c r="Q1186" s="309"/>
      <c r="R1186" s="309"/>
      <c r="S1186" s="309"/>
      <c r="T1186" s="309"/>
      <c r="U1186" s="309"/>
    </row>
    <row r="1187" spans="1:21" ht="12.75" customHeight="1">
      <c r="A1187" s="1363" t="s">
        <v>820</v>
      </c>
      <c r="B1187" s="625"/>
      <c r="C1187" s="623"/>
      <c r="D1187" s="792"/>
      <c r="E1187" s="624"/>
      <c r="F1187" s="781"/>
      <c r="G1187" s="1507"/>
      <c r="H1187" s="1526"/>
      <c r="I1187" s="1501" t="str">
        <f t="shared" si="59"/>
        <v/>
      </c>
      <c r="J1187" s="1501" t="str">
        <f t="shared" si="58"/>
        <v/>
      </c>
      <c r="K1187" s="261"/>
      <c r="L1187" s="309"/>
      <c r="M1187" s="309"/>
      <c r="N1187" s="309"/>
      <c r="O1187" s="309"/>
      <c r="P1187" s="309"/>
      <c r="Q1187" s="309"/>
      <c r="R1187" s="309"/>
      <c r="S1187" s="309"/>
      <c r="T1187" s="309"/>
      <c r="U1187" s="309"/>
    </row>
    <row r="1188" spans="1:21" ht="12.75" customHeight="1">
      <c r="A1188" s="1361" t="s">
        <v>951</v>
      </c>
      <c r="B1188" s="625">
        <v>40</v>
      </c>
      <c r="C1188" s="623">
        <v>69.400000000000006</v>
      </c>
      <c r="D1188" s="792">
        <v>10.050000000000001</v>
      </c>
      <c r="E1188" s="624">
        <f>B1188*C1188-D1188</f>
        <v>2765.95</v>
      </c>
      <c r="F1188" s="546" t="s">
        <v>239</v>
      </c>
      <c r="G1188" s="1507"/>
      <c r="H1188" s="1526"/>
      <c r="I1188" s="1501" t="str">
        <f t="shared" si="59"/>
        <v/>
      </c>
      <c r="J1188" s="1501" t="str">
        <f t="shared" si="58"/>
        <v/>
      </c>
      <c r="K1188" s="261"/>
      <c r="L1188" s="309"/>
      <c r="M1188" s="309"/>
      <c r="N1188" s="309"/>
      <c r="O1188" s="309"/>
      <c r="P1188" s="309"/>
      <c r="Q1188" s="309"/>
      <c r="R1188" s="309"/>
      <c r="S1188" s="309"/>
      <c r="T1188" s="309"/>
      <c r="U1188" s="309"/>
    </row>
    <row r="1189" spans="1:21" ht="12.75" customHeight="1">
      <c r="A1189" s="280"/>
      <c r="B1189" s="627"/>
      <c r="C1189" s="785"/>
      <c r="D1189" s="786"/>
      <c r="E1189" s="858"/>
      <c r="F1189" s="781"/>
      <c r="G1189" s="1507"/>
      <c r="H1189" s="1526"/>
      <c r="I1189" s="1501" t="str">
        <f t="shared" si="59"/>
        <v/>
      </c>
      <c r="J1189" s="1501" t="str">
        <f t="shared" si="58"/>
        <v/>
      </c>
      <c r="K1189" s="261"/>
      <c r="L1189" s="309"/>
      <c r="M1189" s="309"/>
      <c r="N1189" s="309"/>
      <c r="O1189" s="309"/>
      <c r="P1189" s="309"/>
      <c r="Q1189" s="309"/>
      <c r="R1189" s="309"/>
      <c r="S1189" s="309"/>
      <c r="T1189" s="309"/>
      <c r="U1189" s="309"/>
    </row>
    <row r="1190" spans="1:21" ht="12.75" customHeight="1">
      <c r="A1190" s="1366">
        <v>40542</v>
      </c>
      <c r="B1190" s="625"/>
      <c r="C1190" s="623"/>
      <c r="D1190" s="792"/>
      <c r="E1190" s="624"/>
      <c r="F1190" s="546"/>
      <c r="G1190" s="1507"/>
      <c r="H1190" s="1526"/>
      <c r="I1190" s="1501" t="str">
        <f t="shared" si="59"/>
        <v/>
      </c>
      <c r="J1190" s="1501" t="str">
        <f t="shared" si="58"/>
        <v>AONE</v>
      </c>
      <c r="K1190" s="261"/>
      <c r="L1190" s="309"/>
      <c r="M1190" s="309"/>
      <c r="N1190" s="309"/>
      <c r="O1190" s="309"/>
      <c r="P1190" s="309"/>
      <c r="Q1190" s="309"/>
      <c r="R1190" s="309"/>
      <c r="S1190" s="309"/>
      <c r="T1190" s="309"/>
      <c r="U1190" s="309"/>
    </row>
    <row r="1191" spans="1:21" ht="12.75" customHeight="1">
      <c r="A1191" s="1378" t="s">
        <v>948</v>
      </c>
      <c r="B1191" s="627"/>
      <c r="C1191" s="785"/>
      <c r="D1191" s="786"/>
      <c r="E1191" s="858"/>
      <c r="F1191" s="781"/>
      <c r="G1191" s="1507"/>
      <c r="H1191" s="1526"/>
      <c r="I1191" s="1501" t="str">
        <f t="shared" si="59"/>
        <v/>
      </c>
      <c r="J1191" s="1501" t="str">
        <f t="shared" si="58"/>
        <v/>
      </c>
      <c r="K1191" s="261"/>
      <c r="L1191" s="309"/>
      <c r="M1191" s="309"/>
      <c r="N1191" s="309"/>
      <c r="O1191" s="309"/>
      <c r="P1191" s="309"/>
      <c r="Q1191" s="309"/>
      <c r="R1191" s="309"/>
      <c r="S1191" s="309"/>
      <c r="T1191" s="309"/>
      <c r="U1191" s="309"/>
    </row>
    <row r="1192" spans="1:21" ht="12.75" customHeight="1">
      <c r="A1192" s="1361" t="s">
        <v>336</v>
      </c>
      <c r="B1192" s="625">
        <v>75</v>
      </c>
      <c r="C1192" s="623">
        <v>9.73</v>
      </c>
      <c r="D1192" s="786"/>
      <c r="E1192" s="624">
        <f>B1192*C1192-D1192</f>
        <v>729.75</v>
      </c>
      <c r="F1192" s="546" t="s">
        <v>337</v>
      </c>
      <c r="G1192" s="1507"/>
      <c r="H1192" s="1526"/>
      <c r="I1192" s="1501" t="str">
        <f t="shared" si="59"/>
        <v>AONE</v>
      </c>
      <c r="J1192" s="1501" t="str">
        <f t="shared" si="58"/>
        <v/>
      </c>
      <c r="K1192" s="261"/>
      <c r="L1192" s="309"/>
      <c r="M1192" s="309"/>
      <c r="N1192" s="309"/>
      <c r="O1192" s="309"/>
      <c r="P1192" s="309"/>
      <c r="Q1192" s="309"/>
      <c r="R1192" s="309"/>
      <c r="S1192" s="309"/>
      <c r="T1192" s="309"/>
      <c r="U1192" s="309"/>
    </row>
    <row r="1193" spans="1:21" ht="12.75" customHeight="1">
      <c r="A1193" s="280"/>
      <c r="B1193" s="627"/>
      <c r="C1193" s="785"/>
      <c r="D1193" s="786"/>
      <c r="E1193" s="858"/>
      <c r="F1193" s="781"/>
      <c r="G1193" s="1507"/>
      <c r="H1193" s="1526"/>
      <c r="I1193" s="1501" t="str">
        <f t="shared" si="59"/>
        <v/>
      </c>
      <c r="J1193" s="1501" t="str">
        <f t="shared" si="58"/>
        <v/>
      </c>
      <c r="K1193" s="261"/>
      <c r="L1193" s="309"/>
      <c r="M1193" s="309"/>
      <c r="N1193" s="309"/>
      <c r="O1193" s="309"/>
      <c r="P1193" s="309"/>
      <c r="Q1193" s="309"/>
      <c r="R1193" s="309"/>
      <c r="S1193" s="309"/>
      <c r="T1193" s="309"/>
      <c r="U1193" s="309"/>
    </row>
    <row r="1194" spans="1:21" ht="12.75" customHeight="1">
      <c r="A1194" s="1366">
        <v>40522</v>
      </c>
      <c r="B1194" s="627"/>
      <c r="C1194" s="785"/>
      <c r="D1194" s="786"/>
      <c r="E1194" s="858"/>
      <c r="F1194" s="781"/>
      <c r="G1194" s="1507"/>
      <c r="H1194" s="1526"/>
      <c r="I1194" s="1501" t="str">
        <f t="shared" si="59"/>
        <v/>
      </c>
      <c r="J1194" s="1501" t="str">
        <f t="shared" si="58"/>
        <v/>
      </c>
      <c r="K1194" s="261"/>
      <c r="L1194" s="309"/>
      <c r="M1194" s="309"/>
      <c r="N1194" s="309"/>
      <c r="O1194" s="309"/>
      <c r="P1194" s="309"/>
      <c r="Q1194" s="309"/>
      <c r="R1194" s="309"/>
      <c r="S1194" s="309"/>
      <c r="T1194" s="309"/>
      <c r="U1194" s="309"/>
    </row>
    <row r="1195" spans="1:21" ht="12.75" customHeight="1">
      <c r="A1195" s="1365" t="s">
        <v>820</v>
      </c>
      <c r="B1195" s="627"/>
      <c r="C1195" s="785"/>
      <c r="D1195" s="786"/>
      <c r="E1195" s="858"/>
      <c r="F1195" s="781"/>
      <c r="G1195" s="1507"/>
      <c r="H1195" s="1526"/>
      <c r="I1195" s="1501" t="str">
        <f t="shared" si="59"/>
        <v/>
      </c>
      <c r="J1195" s="1501" t="str">
        <f t="shared" si="58"/>
        <v/>
      </c>
      <c r="K1195" s="261"/>
      <c r="L1195" s="309"/>
      <c r="M1195" s="309"/>
      <c r="N1195" s="309"/>
      <c r="O1195" s="309"/>
      <c r="P1195" s="309"/>
      <c r="Q1195" s="309"/>
      <c r="R1195" s="309"/>
      <c r="S1195" s="309"/>
      <c r="T1195" s="309"/>
      <c r="U1195" s="309"/>
    </row>
    <row r="1196" spans="1:21" ht="12.75" customHeight="1">
      <c r="A1196" s="1361" t="s">
        <v>312</v>
      </c>
      <c r="B1196" s="625">
        <v>90</v>
      </c>
      <c r="C1196" s="623">
        <v>38.1</v>
      </c>
      <c r="D1196" s="792">
        <v>10.050000000000001</v>
      </c>
      <c r="E1196" s="624">
        <f>B1196*C1196-D1196</f>
        <v>3418.95</v>
      </c>
      <c r="F1196" s="546" t="s">
        <v>313</v>
      </c>
      <c r="G1196" s="1507"/>
      <c r="H1196" s="1526"/>
      <c r="I1196" s="1501" t="str">
        <f t="shared" si="59"/>
        <v/>
      </c>
      <c r="J1196" s="1501" t="str">
        <f t="shared" si="58"/>
        <v/>
      </c>
      <c r="K1196" s="261"/>
      <c r="L1196" s="309"/>
      <c r="M1196" s="309"/>
      <c r="N1196" s="309"/>
      <c r="O1196" s="309"/>
      <c r="P1196" s="309"/>
      <c r="Q1196" s="309"/>
      <c r="R1196" s="309"/>
      <c r="S1196" s="309"/>
      <c r="T1196" s="309"/>
      <c r="U1196" s="309"/>
    </row>
    <row r="1197" spans="1:21" ht="12.75" customHeight="1">
      <c r="A1197" s="280"/>
      <c r="B1197" s="627"/>
      <c r="C1197" s="785"/>
      <c r="D1197" s="786"/>
      <c r="E1197" s="858"/>
      <c r="F1197" s="781"/>
      <c r="I1197" s="1501" t="str">
        <f t="shared" si="59"/>
        <v/>
      </c>
      <c r="J1197" s="1501" t="str">
        <f t="shared" si="58"/>
        <v/>
      </c>
      <c r="K1197" s="261"/>
      <c r="L1197" s="309"/>
      <c r="M1197" s="309"/>
      <c r="N1197" s="309"/>
      <c r="O1197" s="309"/>
      <c r="P1197" s="309"/>
      <c r="Q1197" s="309"/>
      <c r="R1197" s="309"/>
      <c r="S1197" s="309"/>
      <c r="T1197" s="309"/>
      <c r="U1197" s="309"/>
    </row>
    <row r="1198" spans="1:21" ht="12.75" customHeight="1">
      <c r="A1198" s="1366">
        <v>40519</v>
      </c>
      <c r="B1198" s="627"/>
      <c r="C1198" s="785"/>
      <c r="D1198" s="786"/>
      <c r="E1198" s="858"/>
      <c r="F1198" s="781"/>
      <c r="G1198" s="1507"/>
      <c r="H1198" s="1526"/>
      <c r="I1198" s="1501" t="str">
        <f t="shared" si="59"/>
        <v/>
      </c>
      <c r="J1198" s="1501" t="str">
        <f t="shared" si="58"/>
        <v>ABT</v>
      </c>
      <c r="K1198" s="261"/>
      <c r="L1198" s="309"/>
      <c r="M1198" s="309"/>
      <c r="N1198" s="309"/>
      <c r="O1198" s="309"/>
      <c r="P1198" s="309"/>
      <c r="Q1198" s="309"/>
      <c r="R1198" s="309"/>
      <c r="S1198" s="309"/>
      <c r="T1198" s="309"/>
      <c r="U1198" s="309"/>
    </row>
    <row r="1199" spans="1:21" ht="12.75" customHeight="1">
      <c r="A1199" s="1365" t="s">
        <v>824</v>
      </c>
      <c r="B1199" s="627"/>
      <c r="C1199" s="785"/>
      <c r="D1199" s="786"/>
      <c r="E1199" s="858"/>
      <c r="F1199" s="781"/>
      <c r="G1199" s="1507"/>
      <c r="H1199" s="1526"/>
      <c r="I1199" s="1501" t="str">
        <f t="shared" si="59"/>
        <v/>
      </c>
      <c r="J1199" s="1501" t="str">
        <f t="shared" si="58"/>
        <v>CSCO</v>
      </c>
      <c r="K1199" s="261"/>
      <c r="L1199" s="309"/>
      <c r="M1199" s="309"/>
      <c r="N1199" s="309"/>
      <c r="O1199" s="309"/>
      <c r="P1199" s="309"/>
      <c r="Q1199" s="309"/>
      <c r="R1199" s="309"/>
      <c r="S1199" s="309"/>
      <c r="T1199" s="309"/>
      <c r="U1199" s="309"/>
    </row>
    <row r="1200" spans="1:21" ht="12.75" customHeight="1">
      <c r="A1200" s="1361" t="s">
        <v>276</v>
      </c>
      <c r="B1200" s="625">
        <v>40</v>
      </c>
      <c r="C1200" s="623">
        <v>23.414999999999999</v>
      </c>
      <c r="D1200" s="792">
        <v>9.99</v>
      </c>
      <c r="E1200" s="624">
        <f>B1200*C1200-D1200</f>
        <v>926.6099999999999</v>
      </c>
      <c r="F1200" s="546" t="s">
        <v>277</v>
      </c>
      <c r="G1200" s="1507" t="s">
        <v>952</v>
      </c>
      <c r="H1200" s="1533"/>
      <c r="I1200" s="1501" t="str">
        <f t="shared" si="59"/>
        <v>ABT</v>
      </c>
      <c r="J1200" s="1501" t="str">
        <f t="shared" si="58"/>
        <v/>
      </c>
      <c r="K1200" s="261"/>
      <c r="L1200" s="309"/>
      <c r="M1200" s="309"/>
      <c r="N1200" s="309"/>
      <c r="O1200" s="309"/>
      <c r="P1200" s="309"/>
      <c r="Q1200" s="309"/>
      <c r="R1200" s="309"/>
      <c r="S1200" s="309"/>
      <c r="T1200" s="309"/>
      <c r="U1200" s="309"/>
    </row>
    <row r="1201" spans="1:21" ht="12.75" customHeight="1">
      <c r="A1201" s="1361" t="s">
        <v>281</v>
      </c>
      <c r="B1201" s="625">
        <v>100</v>
      </c>
      <c r="C1201" s="623">
        <v>18.75</v>
      </c>
      <c r="D1201" s="792">
        <v>9.99</v>
      </c>
      <c r="E1201" s="624">
        <f>B1201*C1201-D1201</f>
        <v>1865.01</v>
      </c>
      <c r="F1201" s="546" t="s">
        <v>152</v>
      </c>
      <c r="G1201" s="1507"/>
      <c r="H1201" s="1526"/>
      <c r="I1201" s="1501" t="str">
        <f t="shared" si="59"/>
        <v>CSCO</v>
      </c>
      <c r="J1201" s="1501" t="str">
        <f t="shared" si="58"/>
        <v/>
      </c>
      <c r="K1201" s="261"/>
      <c r="L1201" s="309"/>
      <c r="M1201" s="309"/>
      <c r="N1201" s="309"/>
      <c r="O1201" s="309"/>
      <c r="P1201" s="309"/>
      <c r="Q1201" s="309"/>
      <c r="R1201" s="309"/>
      <c r="S1201" s="309"/>
      <c r="T1201" s="309"/>
      <c r="U1201" s="309"/>
    </row>
    <row r="1202" spans="1:21" ht="12.75" customHeight="1">
      <c r="A1202" s="280"/>
      <c r="B1202" s="627"/>
      <c r="C1202" s="785"/>
      <c r="D1202" s="786"/>
      <c r="E1202" s="858"/>
      <c r="F1202" s="781"/>
      <c r="G1202" s="1507"/>
      <c r="H1202" s="1526"/>
      <c r="I1202" s="1501" t="str">
        <f t="shared" si="59"/>
        <v/>
      </c>
      <c r="J1202" s="1501" t="str">
        <f t="shared" si="58"/>
        <v/>
      </c>
      <c r="K1202" s="261"/>
      <c r="L1202" s="309"/>
      <c r="M1202" s="309"/>
      <c r="N1202" s="309"/>
      <c r="O1202" s="309"/>
      <c r="P1202" s="309"/>
      <c r="Q1202" s="309"/>
      <c r="R1202" s="309"/>
      <c r="S1202" s="309"/>
      <c r="T1202" s="309"/>
      <c r="U1202" s="309"/>
    </row>
    <row r="1203" spans="1:21" ht="12.75" customHeight="1">
      <c r="A1203" s="1366">
        <v>40513</v>
      </c>
      <c r="B1203" s="627"/>
      <c r="C1203" s="785"/>
      <c r="D1203" s="786"/>
      <c r="E1203" s="858"/>
      <c r="F1203" s="781"/>
      <c r="G1203" s="1507"/>
      <c r="H1203" s="1526"/>
      <c r="I1203" s="1501" t="str">
        <f t="shared" si="59"/>
        <v/>
      </c>
      <c r="J1203" s="1501" t="str">
        <f t="shared" si="58"/>
        <v>HPQ</v>
      </c>
      <c r="K1203" s="261"/>
      <c r="L1203" s="309"/>
      <c r="M1203" s="309"/>
      <c r="N1203" s="309"/>
      <c r="O1203" s="309"/>
      <c r="P1203" s="309"/>
      <c r="Q1203" s="309"/>
      <c r="R1203" s="309"/>
      <c r="S1203" s="309"/>
      <c r="T1203" s="309"/>
      <c r="U1203" s="309"/>
    </row>
    <row r="1204" spans="1:21" ht="12.75" customHeight="1">
      <c r="A1204" s="1363" t="s">
        <v>824</v>
      </c>
      <c r="B1204" s="627"/>
      <c r="C1204" s="785"/>
      <c r="D1204" s="786"/>
      <c r="E1204" s="858"/>
      <c r="F1204" s="781"/>
      <c r="G1204" s="1507"/>
      <c r="H1204" s="1526"/>
      <c r="I1204" s="1501" t="str">
        <f t="shared" si="59"/>
        <v/>
      </c>
      <c r="J1204" s="1501" t="str">
        <f t="shared" si="58"/>
        <v/>
      </c>
      <c r="K1204" s="261"/>
      <c r="L1204" s="309"/>
      <c r="M1204" s="309"/>
      <c r="N1204" s="309"/>
      <c r="O1204" s="309"/>
      <c r="P1204" s="309"/>
      <c r="Q1204" s="309"/>
      <c r="R1204" s="309"/>
      <c r="S1204" s="309"/>
      <c r="T1204" s="309"/>
      <c r="U1204" s="309"/>
    </row>
    <row r="1205" spans="1:21" ht="12.75" customHeight="1">
      <c r="A1205" s="1361" t="s">
        <v>288</v>
      </c>
      <c r="B1205" s="625">
        <v>50</v>
      </c>
      <c r="C1205" s="623">
        <v>42.52</v>
      </c>
      <c r="D1205" s="792">
        <v>9.99</v>
      </c>
      <c r="E1205" s="624">
        <f>B1205*C1205-D1205</f>
        <v>2116.0100000000002</v>
      </c>
      <c r="F1205" s="546" t="s">
        <v>289</v>
      </c>
      <c r="G1205" s="1507"/>
      <c r="H1205" s="1526"/>
      <c r="I1205" s="1501" t="str">
        <f t="shared" si="59"/>
        <v>HPQ</v>
      </c>
      <c r="J1205" s="1501" t="str">
        <f t="shared" si="58"/>
        <v/>
      </c>
      <c r="K1205" s="261"/>
      <c r="L1205" s="309"/>
      <c r="M1205" s="309"/>
      <c r="N1205" s="309"/>
      <c r="O1205" s="309"/>
      <c r="P1205" s="309"/>
      <c r="Q1205" s="309"/>
      <c r="R1205" s="309"/>
      <c r="S1205" s="309"/>
      <c r="T1205" s="309"/>
      <c r="U1205" s="309"/>
    </row>
    <row r="1206" spans="1:21" ht="12.75" customHeight="1">
      <c r="A1206" s="1363"/>
      <c r="B1206" s="627"/>
      <c r="C1206" s="785"/>
      <c r="D1206" s="786"/>
      <c r="E1206" s="858"/>
      <c r="F1206" s="781"/>
      <c r="G1206" s="1507"/>
      <c r="H1206" s="1526"/>
      <c r="I1206" s="1501" t="str">
        <f t="shared" si="59"/>
        <v/>
      </c>
      <c r="J1206" s="1501" t="str">
        <f t="shared" si="58"/>
        <v/>
      </c>
      <c r="K1206" s="261"/>
      <c r="L1206" s="309"/>
      <c r="M1206" s="309"/>
      <c r="N1206" s="309"/>
      <c r="O1206" s="309"/>
      <c r="P1206" s="309"/>
      <c r="Q1206" s="309"/>
      <c r="R1206" s="309"/>
      <c r="S1206" s="309"/>
      <c r="T1206" s="309"/>
      <c r="U1206" s="309"/>
    </row>
    <row r="1207" spans="1:21" ht="12.75" customHeight="1">
      <c r="A1207" s="1384">
        <v>40501</v>
      </c>
      <c r="B1207" s="627"/>
      <c r="C1207" s="785"/>
      <c r="D1207" s="786"/>
      <c r="E1207" s="858"/>
      <c r="F1207" s="781"/>
      <c r="G1207" s="1507"/>
      <c r="H1207" s="1526"/>
      <c r="I1207" s="1501" t="str">
        <f t="shared" si="59"/>
        <v/>
      </c>
      <c r="J1207" s="1501" t="str">
        <f t="shared" si="58"/>
        <v/>
      </c>
      <c r="K1207" s="261"/>
      <c r="L1207" s="309"/>
      <c r="M1207" s="309"/>
      <c r="N1207" s="309"/>
      <c r="O1207" s="309"/>
      <c r="P1207" s="309"/>
      <c r="Q1207" s="309"/>
      <c r="R1207" s="309"/>
      <c r="S1207" s="309"/>
      <c r="T1207" s="309"/>
      <c r="U1207" s="309"/>
    </row>
    <row r="1208" spans="1:21" ht="12.75" customHeight="1">
      <c r="A1208" s="1365" t="s">
        <v>820</v>
      </c>
      <c r="B1208" s="627"/>
      <c r="C1208" s="785"/>
      <c r="D1208" s="786"/>
      <c r="E1208" s="858"/>
      <c r="F1208" s="781"/>
      <c r="G1208" s="1507"/>
      <c r="H1208" s="1526"/>
      <c r="I1208" s="1501" t="str">
        <f t="shared" si="59"/>
        <v/>
      </c>
      <c r="J1208" s="1501" t="str">
        <f t="shared" si="58"/>
        <v/>
      </c>
      <c r="K1208" s="261"/>
      <c r="L1208" s="309"/>
      <c r="M1208" s="309"/>
      <c r="N1208" s="309"/>
      <c r="O1208" s="309"/>
      <c r="P1208" s="309"/>
      <c r="Q1208" s="309"/>
      <c r="R1208" s="309"/>
      <c r="S1208" s="309"/>
      <c r="T1208" s="309"/>
      <c r="U1208" s="309"/>
    </row>
    <row r="1209" spans="1:21" ht="12.75" customHeight="1">
      <c r="A1209" s="1361" t="s">
        <v>311</v>
      </c>
      <c r="B1209" s="625">
        <v>155</v>
      </c>
      <c r="C1209" s="623">
        <v>28.26</v>
      </c>
      <c r="D1209" s="792">
        <v>10.07</v>
      </c>
      <c r="E1209" s="624">
        <f>B1209*C1209-D1209</f>
        <v>4370.2300000000005</v>
      </c>
      <c r="F1209" s="546" t="s">
        <v>249</v>
      </c>
      <c r="G1209" s="1507"/>
      <c r="H1209" s="1526"/>
      <c r="I1209" s="1501" t="str">
        <f t="shared" si="59"/>
        <v/>
      </c>
      <c r="J1209" s="1501" t="str">
        <f t="shared" si="58"/>
        <v/>
      </c>
      <c r="K1209" s="261"/>
      <c r="L1209" s="309"/>
      <c r="M1209" s="309"/>
      <c r="N1209" s="309"/>
      <c r="O1209" s="309"/>
      <c r="P1209" s="309"/>
      <c r="Q1209" s="309"/>
      <c r="R1209" s="309"/>
      <c r="S1209" s="309"/>
      <c r="T1209" s="309"/>
      <c r="U1209" s="309"/>
    </row>
    <row r="1210" spans="1:21" ht="12.75" customHeight="1">
      <c r="A1210" s="1363"/>
      <c r="B1210" s="627"/>
      <c r="C1210" s="785"/>
      <c r="D1210" s="786"/>
      <c r="E1210" s="858"/>
      <c r="F1210" s="781"/>
      <c r="G1210" s="1507"/>
      <c r="H1210" s="1526"/>
      <c r="I1210" s="1501" t="str">
        <f t="shared" si="59"/>
        <v/>
      </c>
      <c r="J1210" s="1501" t="str">
        <f t="shared" si="58"/>
        <v/>
      </c>
      <c r="K1210" s="261"/>
      <c r="L1210" s="309"/>
      <c r="M1210" s="309"/>
      <c r="N1210" s="309"/>
      <c r="O1210" s="309"/>
      <c r="P1210" s="309"/>
      <c r="Q1210" s="309"/>
      <c r="R1210" s="309"/>
      <c r="S1210" s="309"/>
      <c r="T1210" s="309"/>
      <c r="U1210" s="309"/>
    </row>
    <row r="1211" spans="1:21" ht="12.75" customHeight="1">
      <c r="A1211" s="1384">
        <v>40499</v>
      </c>
      <c r="B1211" s="627"/>
      <c r="C1211" s="785"/>
      <c r="D1211" s="786"/>
      <c r="E1211" s="858"/>
      <c r="F1211" s="781"/>
      <c r="G1211" s="1507"/>
      <c r="H1211" s="1526"/>
      <c r="I1211" s="1501" t="str">
        <f t="shared" si="59"/>
        <v/>
      </c>
      <c r="J1211" s="1501" t="str">
        <f t="shared" si="58"/>
        <v>LOW</v>
      </c>
      <c r="K1211" s="261"/>
      <c r="L1211" s="309"/>
      <c r="M1211" s="309"/>
      <c r="N1211" s="309"/>
      <c r="O1211" s="309"/>
      <c r="P1211" s="309"/>
      <c r="Q1211" s="309"/>
      <c r="R1211" s="309"/>
      <c r="S1211" s="309"/>
      <c r="T1211" s="309"/>
      <c r="U1211" s="309"/>
    </row>
    <row r="1212" spans="1:21" ht="12.75" customHeight="1">
      <c r="A1212" s="1365" t="s">
        <v>824</v>
      </c>
      <c r="B1212" s="627"/>
      <c r="C1212" s="785"/>
      <c r="D1212" s="786"/>
      <c r="E1212" s="858"/>
      <c r="F1212" s="781"/>
      <c r="G1212" s="1507"/>
      <c r="H1212" s="1526"/>
      <c r="I1212" s="1501" t="str">
        <f t="shared" si="59"/>
        <v/>
      </c>
      <c r="J1212" s="1501" t="str">
        <f t="shared" si="58"/>
        <v/>
      </c>
      <c r="K1212" s="261"/>
      <c r="L1212" s="309"/>
      <c r="M1212" s="309"/>
      <c r="N1212" s="309"/>
      <c r="O1212" s="309"/>
      <c r="P1212" s="309"/>
      <c r="Q1212" s="309"/>
      <c r="R1212" s="309"/>
      <c r="S1212" s="309"/>
      <c r="T1212" s="309"/>
      <c r="U1212" s="309"/>
    </row>
    <row r="1213" spans="1:21" ht="12.75" customHeight="1">
      <c r="A1213" s="1361" t="s">
        <v>290</v>
      </c>
      <c r="B1213" s="625">
        <v>35</v>
      </c>
      <c r="C1213" s="623">
        <v>21.4</v>
      </c>
      <c r="D1213" s="792">
        <v>9.99</v>
      </c>
      <c r="E1213" s="624">
        <f>B1213*C1213-D1213</f>
        <v>739.01</v>
      </c>
      <c r="F1213" s="546" t="s">
        <v>291</v>
      </c>
      <c r="G1213" s="1507"/>
      <c r="H1213" s="1526"/>
      <c r="I1213" s="1501" t="str">
        <f t="shared" si="59"/>
        <v>LOW</v>
      </c>
      <c r="J1213" s="1501" t="str">
        <f t="shared" si="58"/>
        <v/>
      </c>
      <c r="K1213" s="261"/>
      <c r="L1213" s="309"/>
      <c r="M1213" s="309"/>
      <c r="N1213" s="309"/>
      <c r="O1213" s="309"/>
      <c r="P1213" s="309"/>
      <c r="Q1213" s="309"/>
      <c r="R1213" s="309"/>
      <c r="S1213" s="309"/>
      <c r="T1213" s="309"/>
      <c r="U1213" s="309"/>
    </row>
    <row r="1214" spans="1:21" ht="12.75" customHeight="1">
      <c r="A1214" s="1361"/>
      <c r="B1214" s="625"/>
      <c r="C1214" s="623"/>
      <c r="D1214" s="792"/>
      <c r="E1214" s="624"/>
      <c r="F1214" s="781"/>
      <c r="G1214" s="1507"/>
      <c r="H1214" s="1526"/>
      <c r="I1214" s="1501" t="str">
        <f t="shared" si="59"/>
        <v/>
      </c>
      <c r="J1214" s="1501" t="str">
        <f t="shared" si="58"/>
        <v/>
      </c>
      <c r="K1214" s="261"/>
      <c r="L1214" s="309"/>
      <c r="M1214" s="309"/>
      <c r="N1214" s="309"/>
      <c r="O1214" s="309"/>
      <c r="P1214" s="309"/>
      <c r="Q1214" s="309"/>
      <c r="R1214" s="309"/>
      <c r="S1214" s="309"/>
      <c r="T1214" s="309"/>
      <c r="U1214" s="309"/>
    </row>
    <row r="1215" spans="1:21" ht="12.75" customHeight="1">
      <c r="A1215" s="1366">
        <v>40492</v>
      </c>
      <c r="B1215" s="627"/>
      <c r="C1215" s="785"/>
      <c r="D1215" s="786"/>
      <c r="E1215" s="858"/>
      <c r="F1215" s="781"/>
      <c r="G1215" s="1507"/>
      <c r="H1215" s="1526"/>
      <c r="I1215" s="1501" t="str">
        <f t="shared" si="59"/>
        <v/>
      </c>
      <c r="J1215" s="1501" t="str">
        <f t="shared" ref="J1215:J1278" si="60">IF(F1217="","",IF(OR(A1215="Sell",A1216="Sell"),"",F1217))</f>
        <v/>
      </c>
      <c r="K1215" s="261"/>
      <c r="L1215" s="309"/>
      <c r="M1215" s="309"/>
      <c r="N1215" s="309"/>
      <c r="O1215" s="309"/>
      <c r="P1215" s="309"/>
      <c r="Q1215" s="309"/>
      <c r="R1215" s="309"/>
      <c r="S1215" s="309"/>
      <c r="T1215" s="309"/>
      <c r="U1215" s="309"/>
    </row>
    <row r="1216" spans="1:21" ht="12.75" customHeight="1">
      <c r="A1216" s="1363" t="s">
        <v>820</v>
      </c>
      <c r="B1216" s="627"/>
      <c r="C1216" s="785"/>
      <c r="D1216" s="786"/>
      <c r="E1216" s="858"/>
      <c r="F1216" s="781"/>
      <c r="G1216" s="1507"/>
      <c r="H1216" s="1526"/>
      <c r="I1216" s="1501" t="str">
        <f t="shared" si="59"/>
        <v/>
      </c>
      <c r="J1216" s="1501" t="str">
        <f t="shared" si="60"/>
        <v/>
      </c>
      <c r="K1216" s="261"/>
      <c r="L1216" s="309"/>
      <c r="M1216" s="309"/>
      <c r="N1216" s="309"/>
      <c r="O1216" s="309"/>
      <c r="P1216" s="309"/>
      <c r="Q1216" s="309"/>
      <c r="R1216" s="309"/>
      <c r="S1216" s="309"/>
      <c r="T1216" s="309"/>
      <c r="U1216" s="309"/>
    </row>
    <row r="1217" spans="1:21" ht="12.75" customHeight="1">
      <c r="A1217" s="1361" t="s">
        <v>309</v>
      </c>
      <c r="B1217" s="625">
        <v>94</v>
      </c>
      <c r="C1217" s="623">
        <v>28.2</v>
      </c>
      <c r="D1217" s="792">
        <v>10.039999999999999</v>
      </c>
      <c r="E1217" s="624">
        <f>B1217*C1217-D1217</f>
        <v>2640.7599999999998</v>
      </c>
      <c r="F1217" s="546" t="s">
        <v>310</v>
      </c>
      <c r="G1217" s="1507"/>
      <c r="H1217" s="1526"/>
      <c r="I1217" s="1501" t="str">
        <f t="shared" si="59"/>
        <v/>
      </c>
      <c r="J1217" s="1501" t="str">
        <f t="shared" si="60"/>
        <v/>
      </c>
      <c r="K1217" s="261"/>
      <c r="L1217" s="309"/>
      <c r="M1217" s="309"/>
      <c r="N1217" s="309"/>
      <c r="O1217" s="309"/>
      <c r="P1217" s="309"/>
      <c r="Q1217" s="309"/>
      <c r="R1217" s="309"/>
      <c r="S1217" s="309"/>
      <c r="T1217" s="309"/>
      <c r="U1217" s="309"/>
    </row>
    <row r="1218" spans="1:21" ht="12.75" customHeight="1">
      <c r="A1218" s="1361" t="s">
        <v>252</v>
      </c>
      <c r="B1218" s="625">
        <v>184</v>
      </c>
      <c r="C1218" s="623">
        <v>18.54</v>
      </c>
      <c r="D1218" s="792">
        <v>10.050000000000001</v>
      </c>
      <c r="E1218" s="624">
        <f>B1218*C1218-D1218</f>
        <v>3401.3099999999995</v>
      </c>
      <c r="F1218" s="546" t="s">
        <v>253</v>
      </c>
      <c r="G1218" s="1507"/>
      <c r="H1218" s="1526"/>
      <c r="I1218" s="1501" t="str">
        <f t="shared" si="59"/>
        <v>DFS</v>
      </c>
      <c r="J1218" s="1501" t="str">
        <f t="shared" si="60"/>
        <v/>
      </c>
      <c r="K1218" s="261"/>
      <c r="L1218" s="309"/>
      <c r="M1218" s="309"/>
      <c r="N1218" s="309"/>
      <c r="O1218" s="309"/>
      <c r="P1218" s="309"/>
      <c r="Q1218" s="309"/>
      <c r="R1218" s="309"/>
      <c r="S1218" s="309"/>
      <c r="T1218" s="309"/>
      <c r="U1218" s="309"/>
    </row>
    <row r="1219" spans="1:21" ht="12.75" customHeight="1">
      <c r="A1219" s="1363"/>
      <c r="B1219" s="627"/>
      <c r="C1219" s="785"/>
      <c r="D1219" s="786"/>
      <c r="E1219" s="858"/>
      <c r="F1219" s="781"/>
      <c r="G1219" s="1507"/>
      <c r="H1219" s="1526"/>
      <c r="I1219" s="1501" t="str">
        <f t="shared" si="59"/>
        <v/>
      </c>
      <c r="J1219" s="1501" t="str">
        <f t="shared" si="60"/>
        <v>WFT</v>
      </c>
      <c r="K1219" s="261"/>
      <c r="L1219" s="309"/>
      <c r="M1219" s="309"/>
      <c r="N1219" s="309"/>
      <c r="O1219" s="309"/>
      <c r="P1219" s="309"/>
      <c r="Q1219" s="309"/>
      <c r="R1219" s="309"/>
      <c r="S1219" s="309"/>
      <c r="T1219" s="309"/>
      <c r="U1219" s="309"/>
    </row>
    <row r="1220" spans="1:21" ht="12.75" customHeight="1">
      <c r="A1220" s="1366">
        <v>40486</v>
      </c>
      <c r="B1220" s="627"/>
      <c r="C1220" s="785"/>
      <c r="D1220" s="786"/>
      <c r="E1220" s="858"/>
      <c r="F1220" s="781"/>
      <c r="G1220" s="1507"/>
      <c r="H1220" s="1526"/>
      <c r="I1220" s="1501" t="str">
        <f t="shared" si="59"/>
        <v/>
      </c>
      <c r="J1220" s="1501" t="str">
        <f t="shared" si="60"/>
        <v/>
      </c>
      <c r="K1220" s="261"/>
      <c r="L1220" s="309"/>
      <c r="M1220" s="309"/>
      <c r="N1220" s="309"/>
      <c r="O1220" s="309"/>
      <c r="P1220" s="309"/>
      <c r="Q1220" s="309"/>
      <c r="R1220" s="309"/>
      <c r="S1220" s="309"/>
      <c r="T1220" s="309"/>
      <c r="U1220" s="309"/>
    </row>
    <row r="1221" spans="1:21" ht="12.75" customHeight="1">
      <c r="A1221" s="1363" t="s">
        <v>824</v>
      </c>
      <c r="B1221" s="625">
        <v>40</v>
      </c>
      <c r="C1221" s="623">
        <v>18.71</v>
      </c>
      <c r="D1221" s="792">
        <v>9.99</v>
      </c>
      <c r="E1221" s="624">
        <f>B1221*C1221-D1221</f>
        <v>738.41000000000008</v>
      </c>
      <c r="F1221" s="546" t="s">
        <v>223</v>
      </c>
      <c r="G1221" s="1507"/>
      <c r="H1221" s="1526"/>
      <c r="I1221" s="1501" t="str">
        <f t="shared" si="59"/>
        <v>WFT</v>
      </c>
      <c r="J1221" s="1501" t="str">
        <f t="shared" si="60"/>
        <v/>
      </c>
      <c r="K1221" s="261"/>
      <c r="L1221" s="309"/>
      <c r="M1221" s="309"/>
      <c r="N1221" s="309"/>
      <c r="O1221" s="309"/>
      <c r="P1221" s="309"/>
      <c r="Q1221" s="309"/>
      <c r="R1221" s="309"/>
      <c r="S1221" s="309"/>
      <c r="T1221" s="309"/>
      <c r="U1221" s="309"/>
    </row>
    <row r="1222" spans="1:21" ht="12.75" customHeight="1">
      <c r="A1222" s="1361" t="s">
        <v>222</v>
      </c>
      <c r="B1222" s="627"/>
      <c r="C1222" s="785"/>
      <c r="D1222" s="786"/>
      <c r="E1222" s="858"/>
      <c r="F1222" s="781"/>
      <c r="G1222" s="1507"/>
      <c r="H1222" s="1526"/>
      <c r="I1222" s="1501" t="str">
        <f t="shared" si="59"/>
        <v/>
      </c>
      <c r="J1222" s="1501" t="str">
        <f t="shared" si="60"/>
        <v/>
      </c>
      <c r="K1222" s="261"/>
      <c r="L1222" s="309"/>
      <c r="M1222" s="309"/>
      <c r="N1222" s="309"/>
      <c r="O1222" s="309"/>
      <c r="P1222" s="309"/>
      <c r="Q1222" s="309"/>
      <c r="R1222" s="309"/>
      <c r="S1222" s="309"/>
      <c r="T1222" s="309"/>
      <c r="U1222" s="309"/>
    </row>
    <row r="1223" spans="1:21" ht="12.75" customHeight="1">
      <c r="A1223" s="1363"/>
      <c r="B1223" s="627"/>
      <c r="C1223" s="785"/>
      <c r="D1223" s="786"/>
      <c r="E1223" s="858"/>
      <c r="F1223" s="781"/>
      <c r="G1223" s="1507"/>
      <c r="H1223" s="1526"/>
      <c r="I1223" s="1501" t="str">
        <f t="shared" si="59"/>
        <v/>
      </c>
      <c r="J1223" s="1501" t="str">
        <f t="shared" si="60"/>
        <v/>
      </c>
      <c r="K1223" s="261"/>
      <c r="L1223" s="309"/>
      <c r="M1223" s="309"/>
      <c r="N1223" s="309"/>
      <c r="O1223" s="309"/>
      <c r="P1223" s="309"/>
      <c r="Q1223" s="309"/>
      <c r="R1223" s="309"/>
      <c r="S1223" s="309"/>
      <c r="T1223" s="309"/>
      <c r="U1223" s="309"/>
    </row>
    <row r="1224" spans="1:21" ht="12.75" customHeight="1">
      <c r="A1224" s="1366">
        <v>40480</v>
      </c>
      <c r="B1224" s="627"/>
      <c r="C1224" s="785"/>
      <c r="D1224" s="786"/>
      <c r="E1224" s="858"/>
      <c r="F1224" s="781"/>
      <c r="G1224" s="1507"/>
      <c r="H1224" s="1526"/>
      <c r="I1224" s="1501" t="str">
        <f t="shared" si="59"/>
        <v/>
      </c>
      <c r="J1224" s="1501" t="str">
        <f t="shared" si="60"/>
        <v/>
      </c>
      <c r="K1224" s="261"/>
      <c r="L1224" s="309"/>
      <c r="M1224" s="309"/>
      <c r="N1224" s="309"/>
      <c r="O1224" s="309"/>
      <c r="P1224" s="309"/>
      <c r="Q1224" s="309"/>
      <c r="R1224" s="309"/>
      <c r="S1224" s="309"/>
      <c r="T1224" s="309"/>
      <c r="U1224" s="309"/>
    </row>
    <row r="1225" spans="1:21" ht="12.75" customHeight="1">
      <c r="A1225" s="1365" t="s">
        <v>820</v>
      </c>
      <c r="B1225" s="627"/>
      <c r="C1225" s="785"/>
      <c r="D1225" s="786"/>
      <c r="E1225" s="858"/>
      <c r="F1225" s="781"/>
      <c r="G1225" s="1507"/>
      <c r="H1225" s="1526"/>
      <c r="I1225" s="1501" t="str">
        <f t="shared" si="59"/>
        <v/>
      </c>
      <c r="J1225" s="1501" t="str">
        <f t="shared" si="60"/>
        <v/>
      </c>
      <c r="K1225" s="261"/>
      <c r="L1225" s="309"/>
      <c r="M1225" s="309"/>
      <c r="N1225" s="309"/>
      <c r="O1225" s="309"/>
      <c r="P1225" s="309"/>
      <c r="Q1225" s="309"/>
      <c r="R1225" s="309"/>
      <c r="S1225" s="309"/>
      <c r="T1225" s="309"/>
      <c r="U1225" s="309"/>
    </row>
    <row r="1226" spans="1:21" ht="12.75" customHeight="1">
      <c r="A1226" s="1361" t="s">
        <v>307</v>
      </c>
      <c r="B1226" s="625">
        <v>35</v>
      </c>
      <c r="C1226" s="623">
        <v>40</v>
      </c>
      <c r="D1226" s="792">
        <v>10.02</v>
      </c>
      <c r="E1226" s="624">
        <f>B1226*C1226-D1226</f>
        <v>1389.98</v>
      </c>
      <c r="F1226" s="546" t="s">
        <v>308</v>
      </c>
      <c r="G1226" s="1507"/>
      <c r="H1226" s="1526"/>
      <c r="I1226" s="1501" t="str">
        <f t="shared" si="59"/>
        <v/>
      </c>
      <c r="J1226" s="1501" t="str">
        <f t="shared" si="60"/>
        <v>CHL</v>
      </c>
      <c r="K1226" s="261"/>
      <c r="L1226" s="309"/>
      <c r="M1226" s="309"/>
      <c r="N1226" s="309"/>
      <c r="O1226" s="309"/>
      <c r="P1226" s="309"/>
      <c r="Q1226" s="309"/>
      <c r="R1226" s="309"/>
      <c r="S1226" s="309"/>
      <c r="T1226" s="309"/>
      <c r="U1226" s="309"/>
    </row>
    <row r="1227" spans="1:21" ht="12.75" customHeight="1">
      <c r="A1227" s="1363" t="s">
        <v>824</v>
      </c>
      <c r="B1227" s="625"/>
      <c r="C1227" s="623"/>
      <c r="D1227" s="792"/>
      <c r="E1227" s="624"/>
      <c r="F1227" s="781"/>
      <c r="G1227" s="1507"/>
      <c r="H1227" s="1526"/>
      <c r="I1227" s="1501" t="str">
        <f t="shared" si="59"/>
        <v/>
      </c>
      <c r="J1227" s="1501" t="str">
        <f t="shared" si="60"/>
        <v/>
      </c>
      <c r="K1227" s="261"/>
      <c r="L1227" s="309"/>
      <c r="M1227" s="309"/>
      <c r="N1227" s="309"/>
      <c r="O1227" s="309"/>
      <c r="P1227" s="309"/>
      <c r="Q1227" s="309"/>
      <c r="R1227" s="309"/>
      <c r="S1227" s="309"/>
      <c r="T1227" s="309"/>
      <c r="U1227" s="309"/>
    </row>
    <row r="1228" spans="1:21" ht="12.75" customHeight="1">
      <c r="A1228" s="1361" t="s">
        <v>280</v>
      </c>
      <c r="B1228" s="625">
        <v>30</v>
      </c>
      <c r="C1228" s="623">
        <v>50.9</v>
      </c>
      <c r="D1228" s="792">
        <v>9.99</v>
      </c>
      <c r="E1228" s="624">
        <f>B1228*C1228-D1228</f>
        <v>1517.01</v>
      </c>
      <c r="F1228" s="546" t="s">
        <v>251</v>
      </c>
      <c r="G1228" s="1507"/>
      <c r="H1228" s="1526"/>
      <c r="I1228" s="1501" t="str">
        <f t="shared" si="59"/>
        <v>CHL</v>
      </c>
      <c r="J1228" s="1501" t="str">
        <f t="shared" si="60"/>
        <v/>
      </c>
      <c r="K1228" s="261"/>
      <c r="L1228" s="309"/>
      <c r="M1228" s="309"/>
      <c r="N1228" s="309"/>
      <c r="O1228" s="309"/>
      <c r="P1228" s="309"/>
      <c r="Q1228" s="309"/>
      <c r="R1228" s="309"/>
      <c r="S1228" s="309"/>
      <c r="T1228" s="309"/>
      <c r="U1228" s="309"/>
    </row>
    <row r="1229" spans="1:21" ht="12.75" customHeight="1">
      <c r="A1229" s="1363"/>
      <c r="B1229" s="627"/>
      <c r="C1229" s="785"/>
      <c r="D1229" s="786"/>
      <c r="E1229" s="858"/>
      <c r="F1229" s="781"/>
      <c r="G1229" s="1507"/>
      <c r="H1229" s="1526"/>
      <c r="I1229" s="1501" t="str">
        <f t="shared" si="59"/>
        <v/>
      </c>
      <c r="J1229" s="1501" t="str">
        <f t="shared" si="60"/>
        <v/>
      </c>
      <c r="K1229" s="261"/>
      <c r="L1229" s="309"/>
      <c r="M1229" s="309"/>
      <c r="N1229" s="309"/>
      <c r="O1229" s="309"/>
      <c r="P1229" s="309"/>
      <c r="Q1229" s="309"/>
      <c r="R1229" s="309"/>
      <c r="S1229" s="309"/>
      <c r="T1229" s="309"/>
      <c r="U1229" s="309"/>
    </row>
    <row r="1230" spans="1:21" ht="12.75" customHeight="1">
      <c r="A1230" s="1366">
        <v>40456</v>
      </c>
      <c r="B1230" s="627"/>
      <c r="C1230" s="785"/>
      <c r="D1230" s="786"/>
      <c r="E1230" s="858"/>
      <c r="F1230" s="781"/>
      <c r="G1230" s="1507"/>
      <c r="H1230" s="1526"/>
      <c r="I1230" s="1501" t="str">
        <f t="shared" si="59"/>
        <v/>
      </c>
      <c r="J1230" s="1501" t="str">
        <f t="shared" si="60"/>
        <v/>
      </c>
      <c r="K1230" s="261"/>
      <c r="L1230" s="309"/>
      <c r="M1230" s="309"/>
      <c r="N1230" s="309"/>
      <c r="O1230" s="309"/>
      <c r="P1230" s="309"/>
      <c r="Q1230" s="309"/>
      <c r="R1230" s="309"/>
      <c r="S1230" s="309"/>
      <c r="T1230" s="309"/>
      <c r="U1230" s="309"/>
    </row>
    <row r="1231" spans="1:21" ht="12.75" customHeight="1">
      <c r="A1231" s="1363" t="s">
        <v>820</v>
      </c>
      <c r="B1231" s="627"/>
      <c r="C1231" s="785"/>
      <c r="D1231" s="786"/>
      <c r="E1231" s="858"/>
      <c r="F1231" s="781"/>
      <c r="G1231" s="1507"/>
      <c r="H1231" s="1526"/>
      <c r="I1231" s="1501" t="str">
        <f t="shared" si="59"/>
        <v/>
      </c>
      <c r="J1231" s="1501" t="str">
        <f t="shared" si="60"/>
        <v/>
      </c>
      <c r="K1231" s="261"/>
      <c r="L1231" s="309"/>
      <c r="M1231" s="309"/>
      <c r="N1231" s="309"/>
      <c r="O1231" s="309"/>
      <c r="P1231" s="309"/>
      <c r="Q1231" s="309"/>
      <c r="R1231" s="309"/>
      <c r="S1231" s="309"/>
      <c r="T1231" s="309"/>
      <c r="U1231" s="309"/>
    </row>
    <row r="1232" spans="1:21" ht="12.75" customHeight="1">
      <c r="A1232" s="1361" t="s">
        <v>953</v>
      </c>
      <c r="B1232" s="625">
        <v>15</v>
      </c>
      <c r="C1232" s="623">
        <v>143.44999999999999</v>
      </c>
      <c r="D1232" s="792">
        <v>9.99</v>
      </c>
      <c r="E1232" s="624">
        <f>B1232*C1232-D1232</f>
        <v>2141.7600000000002</v>
      </c>
      <c r="F1232" s="546" t="s">
        <v>237</v>
      </c>
      <c r="G1232" s="1507"/>
      <c r="H1232" s="1526"/>
      <c r="I1232" s="1501" t="str">
        <f t="shared" si="59"/>
        <v/>
      </c>
      <c r="J1232" s="1501" t="str">
        <f t="shared" si="60"/>
        <v>YONG</v>
      </c>
      <c r="K1232" s="261"/>
      <c r="L1232" s="309"/>
      <c r="M1232" s="309"/>
      <c r="N1232" s="309"/>
      <c r="O1232" s="309"/>
      <c r="P1232" s="309"/>
      <c r="Q1232" s="309"/>
      <c r="R1232" s="309"/>
      <c r="S1232" s="309"/>
      <c r="T1232" s="309"/>
      <c r="U1232" s="309"/>
    </row>
    <row r="1233" spans="1:21" ht="12.75" customHeight="1">
      <c r="A1233" s="1363" t="s">
        <v>824</v>
      </c>
      <c r="B1233" s="627"/>
      <c r="C1233" s="785"/>
      <c r="D1233" s="786"/>
      <c r="E1233" s="858"/>
      <c r="F1233" s="781"/>
      <c r="G1233" s="1507"/>
      <c r="H1233" s="1526"/>
      <c r="I1233" s="1501" t="str">
        <f t="shared" si="59"/>
        <v/>
      </c>
      <c r="J1233" s="1501" t="str">
        <f t="shared" si="60"/>
        <v/>
      </c>
      <c r="K1233" s="261"/>
      <c r="L1233" s="309"/>
      <c r="M1233" s="309"/>
      <c r="N1233" s="309"/>
      <c r="O1233" s="309"/>
      <c r="P1233" s="309"/>
      <c r="Q1233" s="309"/>
      <c r="R1233" s="309"/>
      <c r="S1233" s="309"/>
      <c r="T1233" s="309"/>
      <c r="U1233" s="309"/>
    </row>
    <row r="1234" spans="1:21" ht="12.75" customHeight="1">
      <c r="A1234" s="1361" t="s">
        <v>954</v>
      </c>
      <c r="B1234" s="625">
        <v>100</v>
      </c>
      <c r="C1234" s="623">
        <v>7.25</v>
      </c>
      <c r="D1234" s="792">
        <v>9.99</v>
      </c>
      <c r="E1234" s="624">
        <f>B1234*C1234-D1234</f>
        <v>715.01</v>
      </c>
      <c r="F1234" s="546" t="s">
        <v>301</v>
      </c>
      <c r="G1234" s="1507"/>
      <c r="H1234" s="1526"/>
      <c r="I1234" s="1501" t="str">
        <f t="shared" si="59"/>
        <v>YONG</v>
      </c>
      <c r="J1234" s="1501" t="str">
        <f t="shared" si="60"/>
        <v/>
      </c>
      <c r="K1234" s="261"/>
      <c r="L1234" s="309"/>
      <c r="M1234" s="309"/>
      <c r="N1234" s="309"/>
      <c r="O1234" s="309"/>
      <c r="P1234" s="309"/>
      <c r="Q1234" s="309"/>
      <c r="R1234" s="309"/>
      <c r="S1234" s="309"/>
      <c r="T1234" s="309"/>
      <c r="U1234" s="309"/>
    </row>
    <row r="1235" spans="1:21" ht="12.75" customHeight="1">
      <c r="A1235" s="1363"/>
      <c r="B1235" s="627"/>
      <c r="C1235" s="785"/>
      <c r="D1235" s="786"/>
      <c r="E1235" s="858"/>
      <c r="F1235" s="781"/>
      <c r="G1235" s="1507"/>
      <c r="H1235" s="1526"/>
      <c r="I1235" s="1501" t="str">
        <f t="shared" ref="I1235:I1298" si="61">IF(F1235="","",IF(OR(A1234="Sell",A1235="Sell"),"",F1235))</f>
        <v/>
      </c>
      <c r="J1235" s="1501" t="str">
        <f t="shared" si="60"/>
        <v/>
      </c>
      <c r="K1235" s="261"/>
      <c r="L1235" s="309"/>
      <c r="M1235" s="309"/>
      <c r="N1235" s="309"/>
      <c r="O1235" s="309"/>
      <c r="P1235" s="309"/>
      <c r="Q1235" s="309"/>
      <c r="R1235" s="309"/>
      <c r="S1235" s="309"/>
      <c r="T1235" s="309"/>
      <c r="U1235" s="309"/>
    </row>
    <row r="1236" spans="1:21" ht="12.75" customHeight="1">
      <c r="A1236" s="1366">
        <v>40360</v>
      </c>
      <c r="B1236" s="627"/>
      <c r="C1236" s="785"/>
      <c r="D1236" s="786"/>
      <c r="E1236" s="858"/>
      <c r="F1236" s="781"/>
      <c r="G1236" s="1507"/>
      <c r="H1236" s="1526"/>
      <c r="I1236" s="1501" t="str">
        <f t="shared" si="61"/>
        <v/>
      </c>
      <c r="J1236" s="1501" t="str">
        <f t="shared" si="60"/>
        <v/>
      </c>
      <c r="K1236" s="261"/>
      <c r="L1236" s="309"/>
      <c r="M1236" s="309"/>
      <c r="N1236" s="309"/>
      <c r="O1236" s="309"/>
      <c r="P1236" s="309"/>
      <c r="Q1236" s="309"/>
      <c r="R1236" s="309"/>
      <c r="S1236" s="309"/>
      <c r="T1236" s="309"/>
      <c r="U1236" s="309"/>
    </row>
    <row r="1237" spans="1:21" ht="12.75" customHeight="1">
      <c r="A1237" s="1363" t="s">
        <v>955</v>
      </c>
      <c r="B1237" s="627"/>
      <c r="C1237" s="785"/>
      <c r="D1237" s="786"/>
      <c r="E1237" s="858"/>
      <c r="F1237" s="781"/>
      <c r="G1237" s="1507"/>
      <c r="H1237" s="1534"/>
      <c r="I1237" s="1501" t="str">
        <f t="shared" si="61"/>
        <v/>
      </c>
      <c r="J1237" s="1501" t="str">
        <f t="shared" si="60"/>
        <v/>
      </c>
      <c r="K1237" s="261"/>
      <c r="L1237" s="309"/>
      <c r="M1237" s="309"/>
      <c r="N1237" s="309"/>
      <c r="O1237" s="309"/>
      <c r="P1237" s="309"/>
      <c r="Q1237" s="309"/>
      <c r="R1237" s="309"/>
      <c r="S1237" s="309"/>
      <c r="T1237" s="309"/>
      <c r="U1237" s="309"/>
    </row>
    <row r="1238" spans="1:21" ht="12.75" customHeight="1">
      <c r="A1238" s="1363" t="s">
        <v>956</v>
      </c>
      <c r="B1238" s="625">
        <v>18</v>
      </c>
      <c r="C1238" s="623">
        <v>7.51</v>
      </c>
      <c r="D1238" s="786"/>
      <c r="E1238" s="858"/>
      <c r="F1238" s="781"/>
      <c r="G1238" s="1507"/>
      <c r="H1238" s="1534"/>
      <c r="I1238" s="1501" t="str">
        <f t="shared" si="61"/>
        <v/>
      </c>
      <c r="J1238" s="1501" t="str">
        <f t="shared" si="60"/>
        <v/>
      </c>
      <c r="K1238" s="261"/>
      <c r="L1238" s="309"/>
      <c r="M1238" s="309"/>
      <c r="N1238" s="309"/>
      <c r="O1238" s="309"/>
      <c r="P1238" s="309"/>
      <c r="Q1238" s="309"/>
      <c r="R1238" s="309"/>
      <c r="S1238" s="309"/>
      <c r="T1238" s="309"/>
      <c r="U1238" s="309"/>
    </row>
    <row r="1239" spans="1:21" ht="12.75" customHeight="1">
      <c r="A1239" s="1363"/>
      <c r="B1239" s="627"/>
      <c r="C1239" s="785"/>
      <c r="D1239" s="786"/>
      <c r="E1239" s="858"/>
      <c r="F1239" s="781"/>
      <c r="G1239" s="1507"/>
      <c r="H1239" s="1526"/>
      <c r="I1239" s="1501" t="str">
        <f t="shared" si="61"/>
        <v/>
      </c>
      <c r="J1239" s="1501" t="str">
        <f t="shared" si="60"/>
        <v/>
      </c>
      <c r="K1239" s="261"/>
      <c r="L1239" s="309"/>
      <c r="M1239" s="309"/>
      <c r="N1239" s="309"/>
      <c r="O1239" s="309"/>
      <c r="P1239" s="309"/>
      <c r="Q1239" s="309"/>
      <c r="R1239" s="309"/>
      <c r="S1239" s="309"/>
      <c r="T1239" s="309"/>
      <c r="U1239" s="309"/>
    </row>
    <row r="1240" spans="1:21" ht="12.75" customHeight="1">
      <c r="A1240" s="273" t="s">
        <v>957</v>
      </c>
      <c r="B1240" s="813"/>
      <c r="C1240" s="831"/>
      <c r="D1240" s="845"/>
      <c r="E1240" s="861"/>
      <c r="F1240" s="309"/>
      <c r="G1240" s="1507"/>
      <c r="H1240" s="1526"/>
      <c r="I1240" s="1501" t="str">
        <f t="shared" si="61"/>
        <v/>
      </c>
      <c r="J1240" s="1501" t="str">
        <f t="shared" si="60"/>
        <v/>
      </c>
      <c r="K1240" s="261"/>
      <c r="L1240" s="309"/>
      <c r="M1240" s="309"/>
      <c r="N1240" s="309"/>
      <c r="O1240" s="309"/>
      <c r="P1240" s="309"/>
      <c r="Q1240" s="309"/>
      <c r="R1240" s="309"/>
      <c r="S1240" s="309"/>
      <c r="T1240" s="309"/>
      <c r="U1240" s="309"/>
    </row>
    <row r="1241" spans="1:21" ht="12.75" customHeight="1">
      <c r="A1241" s="1363" t="s">
        <v>820</v>
      </c>
      <c r="B1241" s="813"/>
      <c r="C1241" s="831"/>
      <c r="D1241" s="845"/>
      <c r="E1241" s="861"/>
      <c r="F1241" s="309"/>
      <c r="G1241" s="1507"/>
      <c r="H1241" s="1526"/>
      <c r="I1241" s="1501" t="str">
        <f t="shared" si="61"/>
        <v/>
      </c>
      <c r="J1241" s="1501" t="str">
        <f t="shared" si="60"/>
        <v/>
      </c>
      <c r="K1241" s="261"/>
      <c r="L1241" s="309"/>
      <c r="M1241" s="309"/>
      <c r="N1241" s="309"/>
      <c r="O1241" s="309"/>
      <c r="P1241" s="309"/>
      <c r="Q1241" s="309"/>
      <c r="R1241" s="309"/>
      <c r="S1241" s="309"/>
      <c r="T1241" s="309"/>
      <c r="U1241" s="309"/>
    </row>
    <row r="1242" spans="1:21" ht="12.75" customHeight="1">
      <c r="A1242" s="1361" t="s">
        <v>305</v>
      </c>
      <c r="B1242" s="625">
        <v>20</v>
      </c>
      <c r="C1242" s="623">
        <v>72.210599999999999</v>
      </c>
      <c r="D1242" s="792">
        <v>9.99</v>
      </c>
      <c r="E1242" s="624">
        <f>B1242*C1242-D1242</f>
        <v>1434.222</v>
      </c>
      <c r="F1242" s="546" t="s">
        <v>306</v>
      </c>
      <c r="G1242" s="1507"/>
      <c r="H1242" s="1526"/>
      <c r="I1242" s="1501" t="str">
        <f t="shared" si="61"/>
        <v/>
      </c>
      <c r="J1242" s="1501" t="str">
        <f t="shared" si="60"/>
        <v/>
      </c>
      <c r="K1242" s="261"/>
      <c r="L1242" s="309"/>
      <c r="M1242" s="309"/>
      <c r="N1242" s="309"/>
      <c r="O1242" s="309"/>
      <c r="P1242" s="309"/>
      <c r="Q1242" s="309"/>
      <c r="R1242" s="309"/>
      <c r="S1242" s="309"/>
      <c r="T1242" s="309"/>
      <c r="U1242" s="309"/>
    </row>
    <row r="1243" spans="1:21" ht="12.75" customHeight="1">
      <c r="A1243" s="1363"/>
      <c r="B1243" s="627"/>
      <c r="C1243" s="785"/>
      <c r="D1243" s="786"/>
      <c r="E1243" s="858"/>
      <c r="F1243" s="781"/>
      <c r="G1243" s="1507"/>
      <c r="H1243" s="1526"/>
      <c r="I1243" s="1501" t="str">
        <f t="shared" si="61"/>
        <v/>
      </c>
      <c r="J1243" s="1501" t="str">
        <f t="shared" si="60"/>
        <v/>
      </c>
      <c r="K1243" s="261"/>
      <c r="L1243" s="309"/>
      <c r="M1243" s="309"/>
      <c r="N1243" s="309"/>
      <c r="O1243" s="309"/>
      <c r="P1243" s="309"/>
      <c r="Q1243" s="309"/>
      <c r="R1243" s="309"/>
      <c r="S1243" s="309"/>
      <c r="T1243" s="309"/>
      <c r="U1243" s="309"/>
    </row>
    <row r="1244" spans="1:21" ht="12.75" customHeight="1">
      <c r="A1244" s="1385">
        <v>40295</v>
      </c>
      <c r="B1244" s="627"/>
      <c r="C1244" s="785"/>
      <c r="D1244" s="786"/>
      <c r="E1244" s="858"/>
      <c r="F1244" s="781"/>
      <c r="G1244" s="1507"/>
      <c r="H1244" s="1526"/>
      <c r="I1244" s="1501" t="str">
        <f t="shared" si="61"/>
        <v/>
      </c>
      <c r="J1244" s="1501" t="str">
        <f t="shared" si="60"/>
        <v>RCL</v>
      </c>
      <c r="K1244" s="261"/>
      <c r="L1244" s="309"/>
      <c r="M1244" s="309"/>
      <c r="N1244" s="309"/>
      <c r="O1244" s="309"/>
      <c r="P1244" s="309"/>
      <c r="Q1244" s="309"/>
      <c r="R1244" s="309"/>
      <c r="S1244" s="309"/>
      <c r="T1244" s="309"/>
      <c r="U1244" s="309"/>
    </row>
    <row r="1245" spans="1:21" ht="12.75" customHeight="1">
      <c r="A1245" s="1363" t="s">
        <v>824</v>
      </c>
      <c r="B1245" s="627"/>
      <c r="C1245" s="785"/>
      <c r="D1245" s="786"/>
      <c r="E1245" s="858"/>
      <c r="F1245" s="781"/>
      <c r="G1245" s="1507"/>
      <c r="H1245" s="1526"/>
      <c r="I1245" s="1501" t="str">
        <f t="shared" si="61"/>
        <v/>
      </c>
      <c r="J1245" s="1501" t="str">
        <f t="shared" si="60"/>
        <v/>
      </c>
      <c r="K1245" s="261"/>
      <c r="L1245" s="309"/>
      <c r="M1245" s="309"/>
      <c r="N1245" s="309"/>
      <c r="O1245" s="309"/>
      <c r="P1245" s="309"/>
      <c r="Q1245" s="309"/>
      <c r="R1245" s="309"/>
      <c r="S1245" s="309"/>
      <c r="T1245" s="309"/>
      <c r="U1245" s="309"/>
    </row>
    <row r="1246" spans="1:21" ht="12.75" customHeight="1">
      <c r="A1246" s="1361" t="s">
        <v>307</v>
      </c>
      <c r="B1246" s="625">
        <v>35</v>
      </c>
      <c r="C1246" s="623">
        <v>36.78</v>
      </c>
      <c r="D1246" s="792">
        <v>9.99</v>
      </c>
      <c r="E1246" s="624">
        <f>B1246*C1246-D1246</f>
        <v>1277.31</v>
      </c>
      <c r="F1246" s="546" t="s">
        <v>308</v>
      </c>
      <c r="G1246" s="1507"/>
      <c r="H1246" s="1526"/>
      <c r="I1246" s="1501" t="str">
        <f t="shared" si="61"/>
        <v>RCL</v>
      </c>
      <c r="J1246" s="1501" t="str">
        <f t="shared" si="60"/>
        <v/>
      </c>
      <c r="K1246" s="261"/>
      <c r="L1246" s="309"/>
      <c r="M1246" s="309"/>
      <c r="N1246" s="309"/>
      <c r="O1246" s="309"/>
      <c r="P1246" s="309"/>
      <c r="Q1246" s="309"/>
      <c r="R1246" s="309"/>
      <c r="S1246" s="309"/>
      <c r="T1246" s="309"/>
      <c r="U1246" s="309"/>
    </row>
    <row r="1247" spans="1:21" ht="12.75" customHeight="1">
      <c r="A1247" s="1363"/>
      <c r="B1247" s="627"/>
      <c r="C1247" s="785"/>
      <c r="D1247" s="786"/>
      <c r="E1247" s="858"/>
      <c r="F1247" s="781"/>
      <c r="G1247" s="1507"/>
      <c r="H1247" s="1526"/>
      <c r="I1247" s="1501" t="str">
        <f t="shared" si="61"/>
        <v/>
      </c>
      <c r="J1247" s="1501" t="str">
        <f t="shared" si="60"/>
        <v/>
      </c>
      <c r="K1247" s="261"/>
      <c r="L1247" s="309"/>
      <c r="M1247" s="309"/>
      <c r="N1247" s="309"/>
      <c r="O1247" s="309"/>
      <c r="P1247" s="309"/>
      <c r="Q1247" s="309"/>
      <c r="R1247" s="309"/>
      <c r="S1247" s="309"/>
      <c r="T1247" s="309"/>
      <c r="U1247" s="309"/>
    </row>
    <row r="1248" spans="1:21" ht="12.75" customHeight="1">
      <c r="A1248" s="1385">
        <v>40290</v>
      </c>
      <c r="B1248" s="627"/>
      <c r="C1248" s="785"/>
      <c r="D1248" s="786"/>
      <c r="E1248" s="858"/>
      <c r="F1248" s="781"/>
      <c r="G1248" s="1507"/>
      <c r="H1248" s="1526"/>
      <c r="I1248" s="1501" t="str">
        <f t="shared" si="61"/>
        <v/>
      </c>
      <c r="J1248" s="1501" t="str">
        <f t="shared" si="60"/>
        <v/>
      </c>
      <c r="K1248" s="261"/>
      <c r="L1248" s="309"/>
      <c r="M1248" s="309"/>
      <c r="N1248" s="309"/>
      <c r="O1248" s="309"/>
      <c r="P1248" s="309"/>
      <c r="Q1248" s="309"/>
      <c r="R1248" s="309"/>
      <c r="S1248" s="309"/>
      <c r="T1248" s="309"/>
      <c r="U1248" s="309"/>
    </row>
    <row r="1249" spans="1:21" ht="12.75" customHeight="1">
      <c r="A1249" s="1363" t="s">
        <v>824</v>
      </c>
      <c r="B1249" s="627"/>
      <c r="C1249" s="785"/>
      <c r="D1249" s="786"/>
      <c r="E1249" s="858"/>
      <c r="F1249" s="781"/>
      <c r="G1249" s="1507"/>
      <c r="H1249" s="1526"/>
      <c r="I1249" s="1501" t="str">
        <f t="shared" si="61"/>
        <v/>
      </c>
      <c r="J1249" s="1501" t="str">
        <f t="shared" si="60"/>
        <v/>
      </c>
      <c r="K1249" s="261"/>
      <c r="L1249" s="309"/>
      <c r="M1249" s="309"/>
      <c r="N1249" s="309"/>
      <c r="O1249" s="309"/>
      <c r="P1249" s="309"/>
      <c r="Q1249" s="309"/>
      <c r="R1249" s="309"/>
      <c r="S1249" s="309"/>
      <c r="T1249" s="309"/>
      <c r="U1249" s="309"/>
    </row>
    <row r="1250" spans="1:21" ht="12.75" customHeight="1">
      <c r="A1250" s="1361" t="s">
        <v>958</v>
      </c>
      <c r="B1250" s="625">
        <v>65</v>
      </c>
      <c r="C1250" s="623">
        <v>52.84</v>
      </c>
      <c r="D1250" s="792">
        <v>9.99</v>
      </c>
      <c r="E1250" s="624">
        <f>B1250*C1250-D1250</f>
        <v>3424.6100000000006</v>
      </c>
      <c r="F1250" s="546"/>
      <c r="G1250" s="1507"/>
      <c r="H1250" s="1526"/>
      <c r="I1250" s="1501" t="str">
        <f t="shared" si="61"/>
        <v/>
      </c>
      <c r="J1250" s="1501" t="str">
        <f t="shared" si="60"/>
        <v/>
      </c>
      <c r="K1250" s="261"/>
      <c r="L1250" s="309"/>
      <c r="M1250" s="309"/>
      <c r="N1250" s="309"/>
      <c r="O1250" s="309"/>
      <c r="P1250" s="309"/>
      <c r="Q1250" s="309"/>
      <c r="R1250" s="309"/>
      <c r="S1250" s="309"/>
      <c r="T1250" s="309"/>
      <c r="U1250" s="309"/>
    </row>
    <row r="1251" spans="1:21" ht="12.75" customHeight="1">
      <c r="A1251" s="1363" t="s">
        <v>820</v>
      </c>
      <c r="B1251" s="627"/>
      <c r="C1251" s="785"/>
      <c r="D1251" s="792"/>
      <c r="E1251" s="624"/>
      <c r="F1251" s="309"/>
      <c r="G1251" s="1507"/>
      <c r="H1251" s="1526"/>
      <c r="I1251" s="1501" t="str">
        <f t="shared" si="61"/>
        <v/>
      </c>
      <c r="J1251" s="1501" t="str">
        <f t="shared" si="60"/>
        <v/>
      </c>
      <c r="K1251" s="261"/>
      <c r="L1251" s="309"/>
      <c r="M1251" s="309"/>
      <c r="N1251" s="309"/>
      <c r="O1251" s="309"/>
      <c r="P1251" s="309"/>
      <c r="Q1251" s="309"/>
      <c r="R1251" s="309"/>
      <c r="S1251" s="309"/>
      <c r="T1251" s="309"/>
      <c r="U1251" s="309"/>
    </row>
    <row r="1252" spans="1:21" ht="12.75" customHeight="1">
      <c r="A1252" s="1361" t="s">
        <v>46</v>
      </c>
      <c r="B1252" s="625">
        <v>58</v>
      </c>
      <c r="C1252" s="623">
        <v>62.18</v>
      </c>
      <c r="D1252" s="792">
        <v>9.99</v>
      </c>
      <c r="E1252" s="624">
        <f>B1252*C1252-D1252</f>
        <v>3596.4500000000003</v>
      </c>
      <c r="F1252" s="546" t="s">
        <v>47</v>
      </c>
      <c r="G1252" s="1507"/>
      <c r="H1252" s="1526"/>
      <c r="I1252" s="1501" t="str">
        <f t="shared" si="61"/>
        <v/>
      </c>
      <c r="J1252" s="1501" t="str">
        <f t="shared" si="60"/>
        <v/>
      </c>
      <c r="K1252" s="261"/>
      <c r="L1252" s="309"/>
      <c r="M1252" s="309"/>
      <c r="N1252" s="309"/>
      <c r="O1252" s="309"/>
      <c r="P1252" s="309"/>
      <c r="Q1252" s="309"/>
      <c r="R1252" s="309"/>
      <c r="S1252" s="309"/>
      <c r="T1252" s="309"/>
      <c r="U1252" s="309"/>
    </row>
    <row r="1253" spans="1:21" ht="12.75" customHeight="1">
      <c r="A1253" s="1363"/>
      <c r="B1253" s="627"/>
      <c r="C1253" s="785"/>
      <c r="D1253" s="786"/>
      <c r="E1253" s="858"/>
      <c r="F1253" s="781"/>
      <c r="G1253" s="1507"/>
      <c r="H1253" s="1526"/>
      <c r="I1253" s="1501" t="str">
        <f t="shared" si="61"/>
        <v/>
      </c>
      <c r="J1253" s="1501" t="str">
        <f t="shared" si="60"/>
        <v/>
      </c>
      <c r="K1253" s="261"/>
      <c r="L1253" s="309"/>
      <c r="M1253" s="309"/>
      <c r="N1253" s="309"/>
      <c r="O1253" s="309"/>
      <c r="P1253" s="309"/>
      <c r="Q1253" s="309"/>
      <c r="R1253" s="309"/>
      <c r="S1253" s="309"/>
      <c r="T1253" s="309"/>
      <c r="U1253" s="309"/>
    </row>
    <row r="1254" spans="1:21" ht="12.75" customHeight="1">
      <c r="A1254" s="1385">
        <v>40280</v>
      </c>
      <c r="B1254" s="627"/>
      <c r="C1254" s="785"/>
      <c r="D1254" s="786"/>
      <c r="E1254" s="858"/>
      <c r="F1254" s="781"/>
      <c r="G1254" s="1507"/>
      <c r="H1254" s="1526"/>
      <c r="I1254" s="1501" t="str">
        <f t="shared" si="61"/>
        <v/>
      </c>
      <c r="J1254" s="1501" t="str">
        <f t="shared" si="60"/>
        <v>WFC</v>
      </c>
      <c r="K1254" s="261"/>
      <c r="L1254" s="309"/>
      <c r="M1254" s="309"/>
      <c r="N1254" s="309"/>
      <c r="O1254" s="309"/>
      <c r="P1254" s="309"/>
      <c r="Q1254" s="309"/>
      <c r="R1254" s="309"/>
      <c r="S1254" s="309"/>
      <c r="T1254" s="309"/>
      <c r="U1254" s="309"/>
    </row>
    <row r="1255" spans="1:21" ht="12.75" customHeight="1">
      <c r="A1255" s="1363" t="s">
        <v>824</v>
      </c>
      <c r="B1255" s="627"/>
      <c r="C1255" s="785"/>
      <c r="D1255" s="786"/>
      <c r="E1255" s="858"/>
      <c r="F1255" s="781"/>
      <c r="G1255" s="1507"/>
      <c r="H1255" s="1526"/>
      <c r="I1255" s="1501" t="str">
        <f t="shared" si="61"/>
        <v/>
      </c>
      <c r="J1255" s="1501" t="str">
        <f t="shared" si="60"/>
        <v>ADSK</v>
      </c>
      <c r="K1255" s="261"/>
      <c r="L1255" s="309"/>
      <c r="M1255" s="309"/>
      <c r="N1255" s="309"/>
      <c r="O1255" s="309"/>
      <c r="P1255" s="309"/>
      <c r="Q1255" s="309"/>
      <c r="R1255" s="309"/>
      <c r="S1255" s="309"/>
      <c r="T1255" s="309"/>
      <c r="U1255" s="309"/>
    </row>
    <row r="1256" spans="1:21" ht="12.75" customHeight="1">
      <c r="A1256" s="1361" t="s">
        <v>959</v>
      </c>
      <c r="B1256" s="625">
        <v>94</v>
      </c>
      <c r="C1256" s="623">
        <v>32.159999999999997</v>
      </c>
      <c r="D1256" s="792">
        <v>9.99</v>
      </c>
      <c r="E1256" s="624">
        <f>B1256*C1256-D1256</f>
        <v>3013.0499999999997</v>
      </c>
      <c r="F1256" s="546" t="s">
        <v>310</v>
      </c>
      <c r="G1256" s="1507"/>
      <c r="H1256" s="1526"/>
      <c r="I1256" s="1501" t="str">
        <f t="shared" si="61"/>
        <v>WFC</v>
      </c>
      <c r="J1256" s="1501" t="str">
        <f t="shared" si="60"/>
        <v/>
      </c>
      <c r="K1256" s="261"/>
      <c r="L1256" s="309"/>
      <c r="M1256" s="309"/>
      <c r="N1256" s="309"/>
      <c r="O1256" s="309"/>
      <c r="P1256" s="309"/>
      <c r="Q1256" s="309"/>
      <c r="R1256" s="309"/>
      <c r="S1256" s="309"/>
      <c r="T1256" s="309"/>
      <c r="U1256" s="309"/>
    </row>
    <row r="1257" spans="1:21" ht="12.75" customHeight="1">
      <c r="A1257" s="1361" t="s">
        <v>960</v>
      </c>
      <c r="B1257" s="625">
        <v>90</v>
      </c>
      <c r="C1257" s="623">
        <v>31.46</v>
      </c>
      <c r="D1257" s="792">
        <v>9.99</v>
      </c>
      <c r="E1257" s="624">
        <f>B1257*C1257-D1257</f>
        <v>2821.4100000000003</v>
      </c>
      <c r="F1257" s="546" t="s">
        <v>313</v>
      </c>
      <c r="G1257" s="1507"/>
      <c r="H1257" s="1526"/>
      <c r="I1257" s="1501" t="str">
        <f t="shared" si="61"/>
        <v>ADSK</v>
      </c>
      <c r="J1257" s="1501" t="str">
        <f t="shared" si="60"/>
        <v/>
      </c>
      <c r="K1257" s="261"/>
      <c r="L1257" s="309"/>
      <c r="M1257" s="309"/>
      <c r="N1257" s="309"/>
      <c r="O1257" s="309"/>
      <c r="P1257" s="309"/>
      <c r="Q1257" s="309"/>
      <c r="R1257" s="309"/>
      <c r="S1257" s="309"/>
      <c r="T1257" s="309"/>
      <c r="U1257" s="309"/>
    </row>
    <row r="1258" spans="1:21" ht="12.75" customHeight="1">
      <c r="A1258" s="1363" t="s">
        <v>820</v>
      </c>
      <c r="B1258" s="625"/>
      <c r="C1258" s="623"/>
      <c r="D1258" s="792"/>
      <c r="E1258" s="624"/>
      <c r="F1258" s="546"/>
      <c r="G1258" s="1507"/>
      <c r="H1258" s="1526"/>
      <c r="I1258" s="1501" t="str">
        <f t="shared" si="61"/>
        <v/>
      </c>
      <c r="J1258" s="1501" t="str">
        <f t="shared" si="60"/>
        <v/>
      </c>
      <c r="K1258" s="261"/>
      <c r="L1258" s="309"/>
      <c r="M1258" s="309"/>
      <c r="N1258" s="309"/>
      <c r="O1258" s="309"/>
      <c r="P1258" s="309"/>
      <c r="Q1258" s="309"/>
      <c r="R1258" s="309"/>
      <c r="S1258" s="309"/>
      <c r="T1258" s="309"/>
      <c r="U1258" s="309"/>
    </row>
    <row r="1259" spans="1:21" ht="12.75" customHeight="1">
      <c r="A1259" s="1361" t="s">
        <v>961</v>
      </c>
      <c r="B1259" s="625">
        <v>1350</v>
      </c>
      <c r="C1259" s="623">
        <v>0.9</v>
      </c>
      <c r="D1259" s="792">
        <v>9.99</v>
      </c>
      <c r="E1259" s="624">
        <f>B1259*C1259-D1259</f>
        <v>1205.01</v>
      </c>
      <c r="F1259" s="546" t="s">
        <v>266</v>
      </c>
      <c r="G1259" s="1507"/>
      <c r="H1259" s="1526"/>
      <c r="I1259" s="1501" t="str">
        <f t="shared" si="61"/>
        <v/>
      </c>
      <c r="J1259" s="1501" t="str">
        <f t="shared" si="60"/>
        <v/>
      </c>
      <c r="K1259" s="261"/>
      <c r="L1259" s="309"/>
      <c r="M1259" s="309"/>
      <c r="N1259" s="309"/>
      <c r="O1259" s="309"/>
      <c r="P1259" s="309"/>
      <c r="Q1259" s="309"/>
      <c r="R1259" s="309"/>
      <c r="S1259" s="309"/>
      <c r="T1259" s="309"/>
      <c r="U1259" s="309"/>
    </row>
    <row r="1260" spans="1:21" ht="12.75" customHeight="1">
      <c r="A1260" s="1361" t="s">
        <v>962</v>
      </c>
      <c r="B1260" s="625">
        <v>275</v>
      </c>
      <c r="C1260" s="623">
        <v>8.56</v>
      </c>
      <c r="D1260" s="792">
        <v>9.99</v>
      </c>
      <c r="E1260" s="624">
        <f>B1260*C1260-D1260</f>
        <v>2344.0100000000002</v>
      </c>
      <c r="F1260" s="546" t="s">
        <v>259</v>
      </c>
      <c r="G1260" s="1507"/>
      <c r="H1260" s="1526"/>
      <c r="I1260" s="1501" t="str">
        <f t="shared" si="61"/>
        <v>RF</v>
      </c>
      <c r="J1260" s="1501" t="str">
        <f t="shared" si="60"/>
        <v/>
      </c>
      <c r="K1260" s="261"/>
      <c r="L1260" s="309"/>
      <c r="M1260" s="309"/>
      <c r="N1260" s="309"/>
      <c r="O1260" s="309"/>
      <c r="P1260" s="309"/>
      <c r="Q1260" s="309"/>
      <c r="R1260" s="309"/>
      <c r="S1260" s="309"/>
      <c r="T1260" s="309"/>
      <c r="U1260" s="309"/>
    </row>
    <row r="1261" spans="1:21" ht="12.75" customHeight="1">
      <c r="A1261" s="18"/>
      <c r="B1261" s="627"/>
      <c r="C1261" s="785"/>
      <c r="D1261" s="786"/>
      <c r="E1261" s="858"/>
      <c r="F1261" s="781"/>
      <c r="G1261" s="1507"/>
      <c r="H1261" s="1526"/>
      <c r="I1261" s="1501" t="str">
        <f t="shared" si="61"/>
        <v/>
      </c>
      <c r="J1261" s="1501" t="str">
        <f t="shared" si="60"/>
        <v/>
      </c>
      <c r="K1261" s="261"/>
      <c r="L1261" s="309"/>
      <c r="M1261" s="309"/>
      <c r="N1261" s="309"/>
      <c r="O1261" s="309"/>
      <c r="P1261" s="309"/>
      <c r="Q1261" s="309"/>
      <c r="R1261" s="309"/>
      <c r="S1261" s="309"/>
      <c r="T1261" s="309"/>
      <c r="U1261" s="309"/>
    </row>
    <row r="1262" spans="1:21" ht="12.75" customHeight="1">
      <c r="A1262" s="289">
        <v>40254</v>
      </c>
      <c r="B1262" s="627"/>
      <c r="C1262" s="785"/>
      <c r="D1262" s="786"/>
      <c r="E1262" s="858"/>
      <c r="F1262" s="781"/>
      <c r="G1262" s="1507"/>
      <c r="H1262" s="1526"/>
      <c r="I1262" s="1501" t="str">
        <f t="shared" si="61"/>
        <v/>
      </c>
      <c r="J1262" s="1501" t="str">
        <f t="shared" si="60"/>
        <v/>
      </c>
      <c r="K1262" s="261"/>
      <c r="L1262" s="309"/>
      <c r="M1262" s="309"/>
      <c r="N1262" s="309"/>
      <c r="O1262" s="309"/>
      <c r="P1262" s="309"/>
      <c r="Q1262" s="309"/>
      <c r="R1262" s="309"/>
      <c r="S1262" s="309"/>
      <c r="T1262" s="309"/>
      <c r="U1262" s="309"/>
    </row>
    <row r="1263" spans="1:21" ht="12.75" customHeight="1">
      <c r="A1263" s="1363" t="s">
        <v>820</v>
      </c>
      <c r="B1263" s="627"/>
      <c r="C1263" s="785"/>
      <c r="D1263" s="786"/>
      <c r="E1263" s="858"/>
      <c r="F1263" s="781"/>
      <c r="G1263" s="1507"/>
      <c r="H1263" s="1526"/>
      <c r="I1263" s="1501" t="str">
        <f t="shared" si="61"/>
        <v/>
      </c>
      <c r="J1263" s="1501" t="str">
        <f t="shared" si="60"/>
        <v/>
      </c>
      <c r="K1263" s="261"/>
      <c r="L1263" s="309"/>
      <c r="M1263" s="309"/>
      <c r="N1263" s="309"/>
      <c r="O1263" s="309"/>
      <c r="P1263" s="309"/>
      <c r="Q1263" s="309"/>
      <c r="R1263" s="309"/>
      <c r="S1263" s="309"/>
      <c r="T1263" s="309"/>
      <c r="U1263" s="309"/>
    </row>
    <row r="1264" spans="1:21" ht="12.75" customHeight="1">
      <c r="A1264" s="1361" t="s">
        <v>963</v>
      </c>
      <c r="B1264" s="625">
        <v>50</v>
      </c>
      <c r="C1264" s="623">
        <v>14.47</v>
      </c>
      <c r="D1264" s="792">
        <v>9.99</v>
      </c>
      <c r="E1264" s="624">
        <f>B1264*C1264-D1264</f>
        <v>713.51</v>
      </c>
      <c r="F1264" s="546" t="s">
        <v>17</v>
      </c>
      <c r="G1264" s="1507"/>
      <c r="H1264" s="1526"/>
      <c r="I1264" s="1501" t="str">
        <f t="shared" si="61"/>
        <v/>
      </c>
      <c r="J1264" s="1501" t="str">
        <f t="shared" si="60"/>
        <v/>
      </c>
      <c r="K1264" s="261"/>
      <c r="L1264" s="309"/>
      <c r="M1264" s="309"/>
      <c r="N1264" s="309"/>
      <c r="O1264" s="309"/>
      <c r="P1264" s="309"/>
      <c r="Q1264" s="309"/>
      <c r="R1264" s="309"/>
      <c r="S1264" s="309"/>
      <c r="T1264" s="309"/>
      <c r="U1264" s="309"/>
    </row>
    <row r="1265" spans="1:21" ht="12.75" customHeight="1">
      <c r="A1265" s="280"/>
      <c r="B1265" s="625"/>
      <c r="C1265" s="623"/>
      <c r="D1265" s="792"/>
      <c r="E1265" s="624"/>
      <c r="F1265" s="546"/>
      <c r="G1265" s="1507"/>
      <c r="H1265" s="1526"/>
      <c r="I1265" s="1501" t="str">
        <f t="shared" si="61"/>
        <v/>
      </c>
      <c r="J1265" s="1501" t="str">
        <f t="shared" si="60"/>
        <v/>
      </c>
      <c r="K1265" s="261"/>
      <c r="L1265" s="309"/>
      <c r="M1265" s="309"/>
      <c r="N1265" s="309"/>
      <c r="O1265" s="309"/>
      <c r="P1265" s="309"/>
      <c r="Q1265" s="309"/>
      <c r="R1265" s="309"/>
      <c r="S1265" s="309"/>
      <c r="T1265" s="309"/>
      <c r="U1265" s="309"/>
    </row>
    <row r="1266" spans="1:21" ht="12.75" customHeight="1">
      <c r="A1266" s="273" t="s">
        <v>964</v>
      </c>
      <c r="B1266" s="627"/>
      <c r="C1266" s="785"/>
      <c r="D1266" s="786"/>
      <c r="E1266" s="858"/>
      <c r="F1266" s="781"/>
      <c r="G1266" s="1507"/>
      <c r="H1266" s="1526"/>
      <c r="I1266" s="1501" t="str">
        <f t="shared" si="61"/>
        <v/>
      </c>
      <c r="J1266" s="1501" t="str">
        <f t="shared" si="60"/>
        <v>RIG</v>
      </c>
      <c r="K1266" s="261"/>
      <c r="L1266" s="309"/>
      <c r="M1266" s="309"/>
      <c r="N1266" s="309"/>
      <c r="O1266" s="309"/>
      <c r="P1266" s="309"/>
      <c r="Q1266" s="309"/>
      <c r="R1266" s="309"/>
      <c r="S1266" s="309"/>
      <c r="T1266" s="309"/>
      <c r="U1266" s="309"/>
    </row>
    <row r="1267" spans="1:21" ht="12.75" customHeight="1">
      <c r="A1267" s="1363" t="s">
        <v>824</v>
      </c>
      <c r="B1267" s="627"/>
      <c r="C1267" s="785"/>
      <c r="D1267" s="786"/>
      <c r="E1267" s="858"/>
      <c r="F1267" s="781"/>
      <c r="G1267" s="1507"/>
      <c r="H1267" s="1526"/>
      <c r="I1267" s="1501" t="str">
        <f t="shared" si="61"/>
        <v/>
      </c>
      <c r="J1267" s="1501" t="str">
        <f t="shared" si="60"/>
        <v/>
      </c>
      <c r="K1267" s="261"/>
      <c r="L1267" s="309"/>
      <c r="M1267" s="309"/>
      <c r="N1267" s="309"/>
      <c r="O1267" s="309"/>
      <c r="P1267" s="309"/>
      <c r="Q1267" s="309"/>
      <c r="R1267" s="309"/>
      <c r="S1267" s="309"/>
      <c r="T1267" s="309"/>
      <c r="U1267" s="309"/>
    </row>
    <row r="1268" spans="1:21" ht="12.75" customHeight="1">
      <c r="A1268" s="1361" t="s">
        <v>305</v>
      </c>
      <c r="B1268" s="625">
        <v>20</v>
      </c>
      <c r="C1268" s="623">
        <v>82.999399999999994</v>
      </c>
      <c r="D1268" s="792">
        <v>9.99</v>
      </c>
      <c r="E1268" s="624">
        <f>B1268*C1268-D1268</f>
        <v>1649.9979999999998</v>
      </c>
      <c r="F1268" s="546" t="s">
        <v>306</v>
      </c>
      <c r="G1268" s="1507"/>
      <c r="H1268" s="1526"/>
      <c r="I1268" s="1501" t="str">
        <f t="shared" si="61"/>
        <v>RIG</v>
      </c>
      <c r="J1268" s="1501" t="str">
        <f t="shared" si="60"/>
        <v/>
      </c>
      <c r="K1268" s="261"/>
      <c r="L1268" s="309"/>
      <c r="M1268" s="309"/>
      <c r="N1268" s="309"/>
      <c r="O1268" s="309"/>
      <c r="P1268" s="309"/>
      <c r="Q1268" s="309"/>
      <c r="R1268" s="309"/>
      <c r="S1268" s="309"/>
      <c r="T1268" s="309"/>
      <c r="U1268" s="309"/>
    </row>
    <row r="1269" spans="1:21" ht="12.75" customHeight="1">
      <c r="A1269" s="1363"/>
      <c r="B1269" s="627"/>
      <c r="C1269" s="785"/>
      <c r="D1269" s="786"/>
      <c r="E1269" s="858"/>
      <c r="F1269" s="781"/>
      <c r="G1269" s="1507"/>
      <c r="H1269" s="1526"/>
      <c r="I1269" s="1501" t="str">
        <f t="shared" si="61"/>
        <v/>
      </c>
      <c r="J1269" s="1501" t="str">
        <f t="shared" si="60"/>
        <v/>
      </c>
      <c r="K1269" s="261"/>
      <c r="L1269" s="309"/>
      <c r="M1269" s="309"/>
      <c r="N1269" s="309"/>
      <c r="O1269" s="309"/>
      <c r="P1269" s="309"/>
      <c r="Q1269" s="309"/>
      <c r="R1269" s="309"/>
      <c r="S1269" s="309"/>
      <c r="T1269" s="309"/>
      <c r="U1269" s="309"/>
    </row>
    <row r="1270" spans="1:21" ht="12.75" customHeight="1">
      <c r="A1270" s="1366">
        <v>40262</v>
      </c>
      <c r="B1270" s="627"/>
      <c r="C1270" s="785"/>
      <c r="D1270" s="786"/>
      <c r="E1270" s="858"/>
      <c r="F1270" s="781"/>
      <c r="G1270" s="1507"/>
      <c r="H1270" s="1526"/>
      <c r="I1270" s="1501" t="str">
        <f t="shared" si="61"/>
        <v/>
      </c>
      <c r="J1270" s="1501" t="str">
        <f t="shared" si="60"/>
        <v>LOW</v>
      </c>
      <c r="K1270" s="261"/>
      <c r="L1270" s="309"/>
      <c r="M1270" s="309"/>
      <c r="N1270" s="309"/>
      <c r="O1270" s="309"/>
      <c r="P1270" s="309"/>
      <c r="Q1270" s="309"/>
      <c r="R1270" s="309"/>
      <c r="S1270" s="309"/>
      <c r="T1270" s="309"/>
      <c r="U1270" s="309"/>
    </row>
    <row r="1271" spans="1:21" ht="12.75" customHeight="1">
      <c r="A1271" s="1363" t="s">
        <v>824</v>
      </c>
      <c r="B1271" s="627"/>
      <c r="C1271" s="785"/>
      <c r="D1271" s="786"/>
      <c r="E1271" s="858"/>
      <c r="F1271" s="781"/>
      <c r="G1271" s="1507"/>
      <c r="H1271" s="1526"/>
      <c r="I1271" s="1501" t="str">
        <f t="shared" si="61"/>
        <v/>
      </c>
      <c r="J1271" s="1501" t="str">
        <f t="shared" si="60"/>
        <v>EXC</v>
      </c>
      <c r="K1271" s="261"/>
      <c r="L1271" s="309"/>
      <c r="M1271" s="309"/>
      <c r="N1271" s="309"/>
      <c r="O1271" s="309"/>
      <c r="P1271" s="309"/>
      <c r="Q1271" s="309"/>
      <c r="R1271" s="309"/>
      <c r="S1271" s="309"/>
      <c r="T1271" s="309"/>
      <c r="U1271" s="309"/>
    </row>
    <row r="1272" spans="1:21" ht="12.75" customHeight="1">
      <c r="A1272" s="1361" t="s">
        <v>290</v>
      </c>
      <c r="B1272" s="625">
        <v>65</v>
      </c>
      <c r="C1272" s="623">
        <v>24.53</v>
      </c>
      <c r="D1272" s="792">
        <v>9.99</v>
      </c>
      <c r="E1272" s="624">
        <f>B1272*C1272-D1272</f>
        <v>1584.46</v>
      </c>
      <c r="F1272" s="546" t="s">
        <v>291</v>
      </c>
      <c r="I1272" s="1501" t="str">
        <f t="shared" si="61"/>
        <v>LOW</v>
      </c>
      <c r="J1272" s="1501" t="str">
        <f t="shared" si="60"/>
        <v/>
      </c>
      <c r="K1272" s="261"/>
      <c r="L1272" s="309"/>
      <c r="M1272" s="309"/>
      <c r="N1272" s="309"/>
      <c r="O1272" s="309"/>
      <c r="P1272" s="309"/>
      <c r="Q1272" s="309"/>
      <c r="R1272" s="309"/>
      <c r="S1272" s="309"/>
      <c r="T1272" s="309"/>
      <c r="U1272" s="309"/>
    </row>
    <row r="1273" spans="1:21" ht="12.75" customHeight="1">
      <c r="A1273" s="1361" t="s">
        <v>965</v>
      </c>
      <c r="B1273" s="625">
        <v>50</v>
      </c>
      <c r="C1273" s="623">
        <v>43.61</v>
      </c>
      <c r="D1273" s="792">
        <v>9.99</v>
      </c>
      <c r="E1273" s="624">
        <f>B1273*C1273-D1273</f>
        <v>2170.5100000000002</v>
      </c>
      <c r="F1273" s="546" t="s">
        <v>283</v>
      </c>
      <c r="G1273" s="1508"/>
      <c r="H1273" s="1501"/>
      <c r="I1273" s="1501" t="str">
        <f t="shared" si="61"/>
        <v>EXC</v>
      </c>
      <c r="J1273" s="1501" t="str">
        <f t="shared" si="60"/>
        <v/>
      </c>
      <c r="K1273" s="261"/>
      <c r="L1273" s="309"/>
      <c r="M1273" s="309"/>
      <c r="N1273" s="309"/>
      <c r="O1273" s="309"/>
      <c r="P1273" s="309"/>
      <c r="Q1273" s="309"/>
      <c r="R1273" s="309"/>
      <c r="S1273" s="309"/>
      <c r="T1273" s="309"/>
      <c r="U1273" s="309"/>
    </row>
    <row r="1274" spans="1:21" ht="12.75" customHeight="1">
      <c r="A1274" s="1363" t="s">
        <v>820</v>
      </c>
      <c r="B1274" s="627"/>
      <c r="C1274" s="785"/>
      <c r="D1274" s="786"/>
      <c r="E1274" s="858"/>
      <c r="F1274" s="781"/>
      <c r="G1274" s="1508"/>
      <c r="H1274" s="1501"/>
      <c r="I1274" s="1501" t="str">
        <f t="shared" si="61"/>
        <v/>
      </c>
      <c r="J1274" s="1501" t="str">
        <f t="shared" si="60"/>
        <v/>
      </c>
      <c r="K1274" s="261"/>
      <c r="L1274" s="309"/>
      <c r="M1274" s="309"/>
      <c r="N1274" s="309"/>
      <c r="O1274" s="309"/>
      <c r="P1274" s="309"/>
      <c r="Q1274" s="309"/>
      <c r="R1274" s="309"/>
      <c r="S1274" s="309"/>
      <c r="T1274" s="309"/>
      <c r="U1274" s="309"/>
    </row>
    <row r="1275" spans="1:21" ht="12.75" customHeight="1">
      <c r="A1275" s="1361" t="s">
        <v>966</v>
      </c>
      <c r="B1275" s="625">
        <v>30</v>
      </c>
      <c r="C1275" s="623">
        <v>54.91</v>
      </c>
      <c r="D1275" s="792">
        <v>9.99</v>
      </c>
      <c r="E1275" s="624">
        <f>B1275*C1275-D1275</f>
        <v>1637.31</v>
      </c>
      <c r="F1275" s="546" t="s">
        <v>154</v>
      </c>
      <c r="G1275" s="1511">
        <f>((B1375-B1275)*C1375)</f>
        <v>1534.4</v>
      </c>
      <c r="H1275" s="1526">
        <f>B1375-B1275</f>
        <v>70</v>
      </c>
      <c r="I1275" s="1501" t="str">
        <f t="shared" si="61"/>
        <v/>
      </c>
      <c r="J1275" s="1501" t="str">
        <f t="shared" si="60"/>
        <v>PPL</v>
      </c>
      <c r="K1275" s="261"/>
      <c r="L1275" s="309"/>
      <c r="M1275" s="309"/>
      <c r="N1275" s="309"/>
      <c r="O1275" s="309"/>
      <c r="P1275" s="309"/>
      <c r="Q1275" s="309"/>
      <c r="R1275" s="309"/>
      <c r="S1275" s="309"/>
      <c r="T1275" s="309"/>
      <c r="U1275" s="309"/>
    </row>
    <row r="1276" spans="1:21" ht="12.75" customHeight="1">
      <c r="A1276" s="1361" t="s">
        <v>967</v>
      </c>
      <c r="B1276" s="1635">
        <v>43</v>
      </c>
      <c r="C1276" s="623">
        <v>63.94</v>
      </c>
      <c r="D1276" s="792">
        <v>9.99</v>
      </c>
      <c r="E1276" s="624">
        <f>B1276*C1276-D1276</f>
        <v>2739.4300000000003</v>
      </c>
      <c r="F1276" s="546" t="s">
        <v>257</v>
      </c>
      <c r="G1276" s="1507"/>
      <c r="H1276" s="1526"/>
      <c r="I1276" s="1501" t="str">
        <f t="shared" si="61"/>
        <v>PG</v>
      </c>
      <c r="J1276" s="1501" t="str">
        <f t="shared" si="60"/>
        <v/>
      </c>
      <c r="K1276" s="261"/>
      <c r="L1276" s="309"/>
      <c r="M1276" s="309"/>
      <c r="N1276" s="309"/>
      <c r="O1276" s="309"/>
      <c r="P1276" s="309"/>
      <c r="Q1276" s="309"/>
      <c r="R1276" s="309"/>
      <c r="S1276" s="309"/>
      <c r="T1276" s="309"/>
      <c r="U1276" s="309"/>
    </row>
    <row r="1277" spans="1:21" ht="12.75" customHeight="1">
      <c r="A1277" s="1361" t="s">
        <v>220</v>
      </c>
      <c r="B1277" s="625">
        <v>65</v>
      </c>
      <c r="C1277" s="623">
        <v>28.06</v>
      </c>
      <c r="D1277" s="792">
        <v>9.99</v>
      </c>
      <c r="E1277" s="624">
        <f>B1277*C1277-D1277</f>
        <v>1813.9099999999999</v>
      </c>
      <c r="F1277" s="546" t="s">
        <v>221</v>
      </c>
      <c r="G1277" s="1507"/>
      <c r="H1277" s="1526"/>
      <c r="I1277" s="1501" t="str">
        <f t="shared" si="61"/>
        <v>PPL</v>
      </c>
      <c r="J1277" s="1501" t="str">
        <f t="shared" si="60"/>
        <v/>
      </c>
      <c r="K1277" s="261"/>
      <c r="L1277" s="309"/>
      <c r="M1277" s="309"/>
      <c r="N1277" s="309"/>
      <c r="O1277" s="309"/>
      <c r="P1277" s="309"/>
      <c r="Q1277" s="309"/>
      <c r="R1277" s="309"/>
      <c r="S1277" s="309"/>
      <c r="T1277" s="309"/>
      <c r="U1277" s="309"/>
    </row>
    <row r="1278" spans="1:21" ht="12.75" customHeight="1">
      <c r="A1278" s="1386"/>
      <c r="B1278" s="627"/>
      <c r="C1278" s="785"/>
      <c r="D1278" s="786"/>
      <c r="E1278" s="858"/>
      <c r="F1278" s="781"/>
      <c r="G1278" s="1508"/>
      <c r="H1278" s="1501"/>
      <c r="I1278" s="1501" t="str">
        <f t="shared" si="61"/>
        <v/>
      </c>
      <c r="J1278" s="1501" t="str">
        <f t="shared" si="60"/>
        <v/>
      </c>
      <c r="K1278" s="261"/>
      <c r="L1278" s="309"/>
      <c r="M1278" s="309"/>
      <c r="N1278" s="309"/>
      <c r="O1278" s="309"/>
      <c r="P1278" s="309"/>
      <c r="Q1278" s="309"/>
      <c r="R1278" s="309"/>
      <c r="S1278" s="309"/>
      <c r="T1278" s="309"/>
      <c r="U1278" s="309"/>
    </row>
    <row r="1279" spans="1:21" ht="12.75" customHeight="1">
      <c r="A1279" s="284">
        <v>40252</v>
      </c>
      <c r="B1279" s="627"/>
      <c r="C1279" s="785"/>
      <c r="D1279" s="786"/>
      <c r="E1279" s="858"/>
      <c r="F1279" s="781"/>
      <c r="G1279" s="1508"/>
      <c r="H1279" s="1501"/>
      <c r="I1279" s="1501" t="str">
        <f t="shared" si="61"/>
        <v/>
      </c>
      <c r="J1279" s="1501" t="str">
        <f t="shared" ref="J1279:J1342" si="62">IF(F1281="","",IF(OR(A1279="Sell",A1280="Sell"),"",F1281))</f>
        <v>VZ</v>
      </c>
      <c r="K1279" s="261"/>
      <c r="L1279" s="309"/>
      <c r="M1279" s="309"/>
      <c r="N1279" s="309"/>
      <c r="O1279" s="309"/>
      <c r="P1279" s="309"/>
      <c r="Q1279" s="309"/>
      <c r="R1279" s="309"/>
      <c r="S1279" s="309"/>
      <c r="T1279" s="309"/>
      <c r="U1279" s="309"/>
    </row>
    <row r="1280" spans="1:21" ht="12.75" customHeight="1">
      <c r="A1280" s="1363" t="s">
        <v>824</v>
      </c>
      <c r="B1280" s="627"/>
      <c r="C1280" s="785"/>
      <c r="D1280" s="786"/>
      <c r="E1280" s="858"/>
      <c r="F1280" s="781"/>
      <c r="G1280" s="1508"/>
      <c r="H1280" s="1501"/>
      <c r="I1280" s="1501" t="str">
        <f t="shared" si="61"/>
        <v/>
      </c>
      <c r="J1280" s="1501" t="str">
        <f t="shared" si="62"/>
        <v/>
      </c>
      <c r="K1280" s="261"/>
      <c r="L1280" s="309"/>
      <c r="M1280" s="309"/>
      <c r="N1280" s="309"/>
      <c r="O1280" s="309"/>
      <c r="P1280" s="309"/>
      <c r="Q1280" s="309"/>
      <c r="R1280" s="309"/>
      <c r="S1280" s="309"/>
      <c r="T1280" s="309"/>
      <c r="U1280" s="309"/>
    </row>
    <row r="1281" spans="1:21" ht="12.75" customHeight="1">
      <c r="A1281" s="1361" t="s">
        <v>895</v>
      </c>
      <c r="B1281" s="625">
        <v>76</v>
      </c>
      <c r="C1281" s="623">
        <v>27.79</v>
      </c>
      <c r="D1281" s="792">
        <v>9.99</v>
      </c>
      <c r="E1281" s="624">
        <f>B1281*C1281-D1281</f>
        <v>2102.0500000000002</v>
      </c>
      <c r="F1281" s="546" t="s">
        <v>297</v>
      </c>
      <c r="G1281" s="1507"/>
      <c r="H1281" s="1526"/>
      <c r="I1281" s="1501" t="str">
        <f t="shared" si="61"/>
        <v>VZ</v>
      </c>
      <c r="J1281" s="1501" t="str">
        <f t="shared" si="62"/>
        <v/>
      </c>
      <c r="K1281" s="261"/>
      <c r="L1281" s="309"/>
      <c r="M1281" s="309"/>
      <c r="N1281" s="309"/>
      <c r="O1281" s="309"/>
      <c r="P1281" s="309"/>
      <c r="Q1281" s="309"/>
      <c r="R1281" s="309"/>
      <c r="S1281" s="309"/>
      <c r="T1281" s="309"/>
      <c r="U1281" s="309"/>
    </row>
    <row r="1282" spans="1:21" ht="12.75" customHeight="1">
      <c r="A1282" s="1377" t="s">
        <v>820</v>
      </c>
      <c r="B1282" s="625"/>
      <c r="C1282" s="623"/>
      <c r="D1282" s="792"/>
      <c r="E1282" s="624"/>
      <c r="F1282" s="546"/>
      <c r="G1282" s="1507"/>
      <c r="H1282" s="1526"/>
      <c r="I1282" s="1501" t="str">
        <f t="shared" si="61"/>
        <v/>
      </c>
      <c r="J1282" s="1501" t="str">
        <f t="shared" si="62"/>
        <v/>
      </c>
      <c r="K1282" s="261"/>
      <c r="L1282" s="309"/>
      <c r="M1282" s="309"/>
      <c r="N1282" s="309"/>
      <c r="O1282" s="309"/>
      <c r="P1282" s="309"/>
      <c r="Q1282" s="309"/>
      <c r="R1282" s="309"/>
      <c r="S1282" s="309"/>
      <c r="T1282" s="309"/>
      <c r="U1282" s="309"/>
    </row>
    <row r="1283" spans="1:21" ht="12.75" customHeight="1">
      <c r="A1283" s="1387" t="s">
        <v>280</v>
      </c>
      <c r="B1283" s="625">
        <v>40</v>
      </c>
      <c r="C1283" s="623">
        <v>48.57</v>
      </c>
      <c r="D1283" s="792">
        <v>9.99</v>
      </c>
      <c r="E1283" s="624">
        <f>B1283*C1283-D1283</f>
        <v>1932.81</v>
      </c>
      <c r="F1283" s="546" t="s">
        <v>251</v>
      </c>
      <c r="G1283" s="1507"/>
      <c r="H1283" s="1526"/>
      <c r="I1283" s="1501" t="str">
        <f t="shared" si="61"/>
        <v/>
      </c>
      <c r="J1283" s="1501" t="str">
        <f t="shared" si="62"/>
        <v/>
      </c>
      <c r="K1283" s="261"/>
      <c r="L1283" s="309"/>
      <c r="M1283" s="309"/>
      <c r="N1283" s="309"/>
      <c r="O1283" s="309"/>
      <c r="P1283" s="309"/>
      <c r="Q1283" s="309"/>
      <c r="R1283" s="309"/>
      <c r="S1283" s="309"/>
      <c r="T1283" s="309"/>
      <c r="U1283" s="309"/>
    </row>
    <row r="1284" spans="1:21" ht="12.75" customHeight="1">
      <c r="A1284" s="1363"/>
      <c r="B1284" s="627"/>
      <c r="C1284" s="785"/>
      <c r="D1284" s="786"/>
      <c r="E1284" s="624"/>
      <c r="F1284" s="781"/>
      <c r="G1284" s="1508"/>
      <c r="H1284" s="1501"/>
      <c r="I1284" s="1501" t="str">
        <f t="shared" si="61"/>
        <v/>
      </c>
      <c r="J1284" s="1501" t="str">
        <f t="shared" si="62"/>
        <v/>
      </c>
      <c r="K1284" s="261"/>
      <c r="L1284" s="309"/>
      <c r="M1284" s="309"/>
      <c r="N1284" s="309"/>
      <c r="O1284" s="309"/>
      <c r="P1284" s="309"/>
      <c r="Q1284" s="309"/>
      <c r="R1284" s="309"/>
      <c r="S1284" s="309"/>
      <c r="T1284" s="309"/>
      <c r="U1284" s="309"/>
    </row>
    <row r="1285" spans="1:21" ht="12.75" customHeight="1">
      <c r="A1285" s="284">
        <v>40245</v>
      </c>
      <c r="B1285" s="627"/>
      <c r="C1285" s="785"/>
      <c r="D1285" s="786"/>
      <c r="E1285" s="624"/>
      <c r="F1285" s="781"/>
      <c r="G1285" s="1507"/>
      <c r="H1285" s="1526"/>
      <c r="I1285" s="1501" t="str">
        <f t="shared" si="61"/>
        <v/>
      </c>
      <c r="J1285" s="1501" t="str">
        <f t="shared" si="62"/>
        <v>VMC</v>
      </c>
      <c r="K1285" s="261"/>
      <c r="L1285" s="309"/>
      <c r="M1285" s="309"/>
      <c r="N1285" s="309"/>
      <c r="O1285" s="309"/>
      <c r="P1285" s="309"/>
      <c r="Q1285" s="309"/>
      <c r="R1285" s="309"/>
      <c r="S1285" s="309"/>
      <c r="T1285" s="309"/>
      <c r="U1285" s="309"/>
    </row>
    <row r="1286" spans="1:21" ht="12.75" customHeight="1">
      <c r="A1286" s="1363" t="s">
        <v>824</v>
      </c>
      <c r="B1286" s="627"/>
      <c r="C1286" s="785"/>
      <c r="D1286" s="786"/>
      <c r="E1286" s="624"/>
      <c r="F1286" s="781"/>
      <c r="G1286" s="1507"/>
      <c r="H1286" s="1526"/>
      <c r="I1286" s="1501" t="str">
        <f t="shared" si="61"/>
        <v/>
      </c>
      <c r="J1286" s="1501" t="str">
        <f t="shared" si="62"/>
        <v/>
      </c>
      <c r="K1286" s="261"/>
      <c r="L1286" s="309"/>
      <c r="M1286" s="309"/>
      <c r="N1286" s="309"/>
      <c r="O1286" s="309"/>
      <c r="P1286" s="309"/>
      <c r="Q1286" s="309"/>
      <c r="R1286" s="309"/>
      <c r="S1286" s="309"/>
      <c r="T1286" s="309"/>
      <c r="U1286" s="309"/>
    </row>
    <row r="1287" spans="1:21" ht="12.75" customHeight="1">
      <c r="A1287" s="1361" t="s">
        <v>298</v>
      </c>
      <c r="B1287" s="625">
        <v>35</v>
      </c>
      <c r="C1287" s="623">
        <v>45.12</v>
      </c>
      <c r="D1287" s="792">
        <v>9.99</v>
      </c>
      <c r="E1287" s="624">
        <f>B1287*C1287-D1287</f>
        <v>1569.2099999999998</v>
      </c>
      <c r="F1287" s="546" t="s">
        <v>299</v>
      </c>
      <c r="G1287" s="1507"/>
      <c r="H1287" s="1526"/>
      <c r="I1287" s="1501" t="str">
        <f t="shared" si="61"/>
        <v>VMC</v>
      </c>
      <c r="J1287" s="1501" t="str">
        <f t="shared" si="62"/>
        <v/>
      </c>
      <c r="K1287" s="261"/>
      <c r="L1287" s="309"/>
      <c r="M1287" s="309"/>
      <c r="N1287" s="309"/>
      <c r="O1287" s="309"/>
      <c r="P1287" s="309"/>
      <c r="Q1287" s="309"/>
      <c r="R1287" s="309"/>
      <c r="S1287" s="309"/>
      <c r="T1287" s="309"/>
      <c r="U1287" s="309"/>
    </row>
    <row r="1288" spans="1:21" ht="12.75" customHeight="1">
      <c r="A1288" s="1363"/>
      <c r="B1288" s="627"/>
      <c r="C1288" s="785"/>
      <c r="D1288" s="786"/>
      <c r="E1288" s="624"/>
      <c r="F1288" s="781"/>
      <c r="G1288" s="1507"/>
      <c r="H1288" s="1526"/>
      <c r="I1288" s="1501" t="str">
        <f t="shared" si="61"/>
        <v/>
      </c>
      <c r="J1288" s="1501" t="str">
        <f t="shared" si="62"/>
        <v/>
      </c>
      <c r="K1288" s="261"/>
      <c r="L1288" s="309"/>
      <c r="M1288" s="309"/>
      <c r="N1288" s="309"/>
      <c r="O1288" s="309"/>
      <c r="P1288" s="309"/>
      <c r="Q1288" s="309"/>
      <c r="R1288" s="309"/>
      <c r="S1288" s="309"/>
      <c r="T1288" s="309"/>
      <c r="U1288" s="309"/>
    </row>
    <row r="1289" spans="1:21" ht="12.75" customHeight="1">
      <c r="A1289" s="284">
        <v>40238</v>
      </c>
      <c r="B1289" s="627"/>
      <c r="C1289" s="785"/>
      <c r="D1289" s="786"/>
      <c r="E1289" s="624"/>
      <c r="F1289" s="781"/>
      <c r="G1289" s="1507"/>
      <c r="H1289" s="1526"/>
      <c r="I1289" s="1501" t="str">
        <f t="shared" si="61"/>
        <v/>
      </c>
      <c r="J1289" s="1501" t="str">
        <f t="shared" si="62"/>
        <v/>
      </c>
      <c r="K1289" s="261"/>
      <c r="L1289" s="309"/>
      <c r="M1289" s="309"/>
      <c r="N1289" s="309"/>
      <c r="O1289" s="309"/>
      <c r="P1289" s="309"/>
      <c r="Q1289" s="309"/>
      <c r="R1289" s="309"/>
      <c r="S1289" s="309"/>
      <c r="T1289" s="309"/>
      <c r="U1289" s="309"/>
    </row>
    <row r="1290" spans="1:21" ht="12.75" customHeight="1">
      <c r="A1290" s="1363" t="s">
        <v>820</v>
      </c>
      <c r="B1290" s="627"/>
      <c r="C1290" s="785"/>
      <c r="D1290" s="786"/>
      <c r="E1290" s="624"/>
      <c r="F1290" s="781"/>
      <c r="G1290" s="1507"/>
      <c r="H1290" s="1526"/>
      <c r="I1290" s="1501" t="str">
        <f t="shared" si="61"/>
        <v/>
      </c>
      <c r="J1290" s="1501" t="str">
        <f t="shared" si="62"/>
        <v/>
      </c>
      <c r="K1290" s="261"/>
      <c r="L1290" s="309"/>
      <c r="M1290" s="309"/>
      <c r="N1290" s="309"/>
      <c r="O1290" s="309"/>
      <c r="P1290" s="309"/>
      <c r="Q1290" s="309"/>
      <c r="R1290" s="309"/>
      <c r="S1290" s="309"/>
      <c r="T1290" s="309"/>
      <c r="U1290" s="309"/>
    </row>
    <row r="1291" spans="1:21" ht="12.75" customHeight="1">
      <c r="A1291" s="1361" t="s">
        <v>968</v>
      </c>
      <c r="B1291" s="625">
        <v>31</v>
      </c>
      <c r="C1291" s="623">
        <v>134.66</v>
      </c>
      <c r="D1291" s="792">
        <v>9.99</v>
      </c>
      <c r="E1291" s="624">
        <f>B1291*C1291-D1291</f>
        <v>4164.47</v>
      </c>
      <c r="F1291" s="546" t="s">
        <v>255</v>
      </c>
      <c r="G1291" s="1507"/>
      <c r="H1291" s="1526"/>
      <c r="I1291" s="1501" t="str">
        <f t="shared" si="61"/>
        <v/>
      </c>
      <c r="J1291" s="1501" t="str">
        <f t="shared" si="62"/>
        <v/>
      </c>
      <c r="K1291" s="261"/>
      <c r="L1291" s="309"/>
      <c r="M1291" s="309"/>
      <c r="N1291" s="309"/>
      <c r="O1291" s="309"/>
      <c r="P1291" s="309"/>
      <c r="Q1291" s="309"/>
      <c r="R1291" s="309"/>
      <c r="S1291" s="309"/>
      <c r="T1291" s="309"/>
      <c r="U1291" s="309"/>
    </row>
    <row r="1292" spans="1:21" ht="12.75" customHeight="1">
      <c r="A1292" s="1363"/>
      <c r="B1292" s="627"/>
      <c r="C1292" s="785"/>
      <c r="D1292" s="786"/>
      <c r="E1292" s="858"/>
      <c r="F1292" s="781"/>
      <c r="G1292" s="1507"/>
      <c r="H1292" s="1526"/>
      <c r="I1292" s="1501" t="str">
        <f t="shared" si="61"/>
        <v/>
      </c>
      <c r="J1292" s="1501" t="str">
        <f t="shared" si="62"/>
        <v/>
      </c>
      <c r="K1292" s="261"/>
      <c r="L1292" s="309"/>
      <c r="M1292" s="309"/>
      <c r="N1292" s="309"/>
      <c r="O1292" s="309"/>
      <c r="P1292" s="309"/>
      <c r="Q1292" s="309"/>
      <c r="R1292" s="309"/>
      <c r="S1292" s="309"/>
      <c r="T1292" s="309"/>
      <c r="U1292" s="309"/>
    </row>
    <row r="1293" spans="1:21" ht="12.75" customHeight="1">
      <c r="A1293" s="1366">
        <v>40162</v>
      </c>
      <c r="B1293" s="627"/>
      <c r="C1293" s="785"/>
      <c r="D1293" s="786"/>
      <c r="E1293" s="858"/>
      <c r="F1293" s="781"/>
      <c r="G1293" s="1507"/>
      <c r="H1293" s="1526"/>
      <c r="I1293" s="1501" t="str">
        <f t="shared" si="61"/>
        <v/>
      </c>
      <c r="J1293" s="1501" t="str">
        <f t="shared" si="62"/>
        <v>BYDDF</v>
      </c>
      <c r="K1293" s="261"/>
      <c r="L1293" s="309"/>
      <c r="M1293" s="309"/>
      <c r="N1293" s="309"/>
      <c r="O1293" s="309"/>
      <c r="P1293" s="309"/>
      <c r="Q1293" s="309"/>
      <c r="R1293" s="309"/>
      <c r="S1293" s="309"/>
      <c r="T1293" s="309"/>
      <c r="U1293" s="309"/>
    </row>
    <row r="1294" spans="1:21" ht="12.75" customHeight="1">
      <c r="A1294" s="1363" t="s">
        <v>948</v>
      </c>
      <c r="B1294" s="627"/>
      <c r="C1294" s="785"/>
      <c r="D1294" s="786"/>
      <c r="E1294" s="858"/>
      <c r="F1294" s="781"/>
      <c r="G1294" s="1507"/>
      <c r="H1294" s="1526"/>
      <c r="I1294" s="1501" t="str">
        <f t="shared" si="61"/>
        <v/>
      </c>
      <c r="J1294" s="1501" t="str">
        <f t="shared" si="62"/>
        <v/>
      </c>
      <c r="K1294" s="261"/>
      <c r="L1294" s="309"/>
      <c r="M1294" s="309"/>
      <c r="N1294" s="309"/>
      <c r="O1294" s="309"/>
      <c r="P1294" s="309"/>
      <c r="Q1294" s="309"/>
      <c r="R1294" s="309"/>
      <c r="S1294" s="309"/>
      <c r="T1294" s="309"/>
      <c r="U1294" s="309"/>
    </row>
    <row r="1295" spans="1:21" ht="12.75" customHeight="1">
      <c r="A1295" s="1361" t="s">
        <v>278</v>
      </c>
      <c r="B1295" s="625">
        <v>100</v>
      </c>
      <c r="C1295" s="623">
        <v>8.6999999999999993</v>
      </c>
      <c r="D1295" s="786"/>
      <c r="E1295" s="624">
        <f>B1295*C1295-D1295</f>
        <v>869.99999999999989</v>
      </c>
      <c r="F1295" s="546" t="s">
        <v>279</v>
      </c>
      <c r="G1295" s="1507"/>
      <c r="H1295" s="1526"/>
      <c r="I1295" s="1501" t="str">
        <f t="shared" si="61"/>
        <v>BYDDF</v>
      </c>
      <c r="J1295" s="1501" t="str">
        <f t="shared" si="62"/>
        <v/>
      </c>
      <c r="K1295" s="261"/>
      <c r="L1295" s="309"/>
      <c r="M1295" s="309"/>
      <c r="N1295" s="309"/>
      <c r="O1295" s="309"/>
      <c r="P1295" s="309"/>
      <c r="Q1295" s="309"/>
      <c r="R1295" s="309"/>
      <c r="S1295" s="309"/>
      <c r="T1295" s="309"/>
      <c r="U1295" s="309"/>
    </row>
    <row r="1296" spans="1:21" ht="12.75" customHeight="1">
      <c r="A1296" s="1363"/>
      <c r="B1296" s="627"/>
      <c r="C1296" s="785"/>
      <c r="D1296" s="786"/>
      <c r="E1296" s="858"/>
      <c r="F1296" s="781"/>
      <c r="G1296" s="1507"/>
      <c r="H1296" s="1526"/>
      <c r="I1296" s="1501" t="str">
        <f t="shared" si="61"/>
        <v/>
      </c>
      <c r="J1296" s="1501" t="str">
        <f t="shared" si="62"/>
        <v/>
      </c>
      <c r="K1296" s="261"/>
      <c r="L1296" s="309"/>
      <c r="M1296" s="309"/>
      <c r="N1296" s="309"/>
      <c r="O1296" s="309"/>
      <c r="P1296" s="309"/>
      <c r="Q1296" s="309"/>
      <c r="R1296" s="309"/>
      <c r="S1296" s="309"/>
      <c r="T1296" s="309"/>
      <c r="U1296" s="309"/>
    </row>
    <row r="1297" spans="1:21" ht="12.75" customHeight="1">
      <c r="A1297" s="1366">
        <v>40127</v>
      </c>
      <c r="B1297" s="627"/>
      <c r="C1297" s="785"/>
      <c r="D1297" s="786"/>
      <c r="E1297" s="858"/>
      <c r="F1297" s="781"/>
      <c r="G1297" s="1507"/>
      <c r="H1297" s="1526"/>
      <c r="I1297" s="1501" t="str">
        <f t="shared" si="61"/>
        <v/>
      </c>
      <c r="J1297" s="1501" t="str">
        <f t="shared" si="62"/>
        <v>ORRF</v>
      </c>
      <c r="K1297" s="261"/>
      <c r="L1297" s="309"/>
      <c r="M1297" s="309"/>
      <c r="N1297" s="309"/>
      <c r="O1297" s="309"/>
      <c r="P1297" s="309"/>
      <c r="Q1297" s="309"/>
      <c r="R1297" s="309"/>
      <c r="S1297" s="309"/>
      <c r="T1297" s="309"/>
      <c r="U1297" s="309"/>
    </row>
    <row r="1298" spans="1:21" ht="12.75" customHeight="1">
      <c r="A1298" s="1363" t="s">
        <v>948</v>
      </c>
      <c r="B1298" s="627"/>
      <c r="C1298" s="785"/>
      <c r="D1298" s="786"/>
      <c r="E1298" s="858"/>
      <c r="F1298" s="781"/>
      <c r="G1298" s="1507"/>
      <c r="H1298" s="1526"/>
      <c r="I1298" s="1501" t="str">
        <f t="shared" si="61"/>
        <v/>
      </c>
      <c r="J1298" s="1501" t="str">
        <f t="shared" si="62"/>
        <v/>
      </c>
      <c r="K1298" s="261"/>
      <c r="L1298" s="309"/>
      <c r="M1298" s="309"/>
      <c r="N1298" s="309"/>
      <c r="O1298" s="309"/>
      <c r="P1298" s="309"/>
      <c r="Q1298" s="309"/>
      <c r="R1298" s="309"/>
      <c r="S1298" s="309"/>
      <c r="T1298" s="309"/>
      <c r="U1298" s="309"/>
    </row>
    <row r="1299" spans="1:21" ht="12.75" customHeight="1">
      <c r="A1299" s="1383" t="s">
        <v>294</v>
      </c>
      <c r="B1299" s="625">
        <v>7</v>
      </c>
      <c r="C1299" s="623">
        <v>34.880000000000003</v>
      </c>
      <c r="D1299" s="786"/>
      <c r="E1299" s="624">
        <f>B1299*C1299-D1299</f>
        <v>244.16000000000003</v>
      </c>
      <c r="F1299" s="546" t="s">
        <v>295</v>
      </c>
      <c r="G1299" s="1507"/>
      <c r="H1299" s="1526"/>
      <c r="I1299" s="1501" t="str">
        <f t="shared" ref="I1299:I1362" si="63">IF(F1299="","",IF(OR(A1298="Sell",A1299="Sell"),"",F1299))</f>
        <v>ORRF</v>
      </c>
      <c r="J1299" s="1501" t="str">
        <f t="shared" si="62"/>
        <v/>
      </c>
      <c r="K1299" s="261"/>
      <c r="L1299" s="309"/>
      <c r="M1299" s="309"/>
      <c r="N1299" s="309"/>
      <c r="O1299" s="309"/>
      <c r="P1299" s="309"/>
      <c r="Q1299" s="309"/>
      <c r="R1299" s="309"/>
      <c r="S1299" s="309"/>
      <c r="T1299" s="309"/>
      <c r="U1299" s="309"/>
    </row>
    <row r="1300" spans="1:21" ht="12.75" customHeight="1">
      <c r="A1300" s="1382"/>
      <c r="B1300" s="627"/>
      <c r="C1300" s="785"/>
      <c r="D1300" s="786"/>
      <c r="E1300" s="858"/>
      <c r="F1300" s="781"/>
      <c r="G1300" s="1507"/>
      <c r="H1300" s="1526"/>
      <c r="I1300" s="1501" t="str">
        <f t="shared" si="63"/>
        <v/>
      </c>
      <c r="J1300" s="1501" t="str">
        <f t="shared" si="62"/>
        <v/>
      </c>
      <c r="K1300" s="261"/>
      <c r="L1300" s="309"/>
      <c r="M1300" s="309"/>
      <c r="N1300" s="309"/>
      <c r="O1300" s="309"/>
      <c r="P1300" s="309"/>
      <c r="Q1300" s="309"/>
      <c r="R1300" s="309"/>
      <c r="S1300" s="309"/>
      <c r="T1300" s="309"/>
      <c r="U1300" s="309"/>
    </row>
    <row r="1301" spans="1:21" ht="12.75" customHeight="1">
      <c r="A1301" s="284">
        <v>40157</v>
      </c>
      <c r="B1301" s="627"/>
      <c r="C1301" s="785"/>
      <c r="D1301" s="786"/>
      <c r="E1301" s="858"/>
      <c r="F1301" s="781"/>
      <c r="G1301" s="1507"/>
      <c r="H1301" s="1526"/>
      <c r="I1301" s="1501" t="str">
        <f t="shared" si="63"/>
        <v/>
      </c>
      <c r="J1301" s="1501" t="str">
        <f t="shared" si="62"/>
        <v>MDY</v>
      </c>
      <c r="K1301" s="261"/>
      <c r="L1301" s="309"/>
      <c r="M1301" s="309"/>
      <c r="N1301" s="309"/>
      <c r="O1301" s="309"/>
      <c r="P1301" s="309"/>
      <c r="Q1301" s="309"/>
      <c r="R1301" s="309"/>
      <c r="S1301" s="309"/>
      <c r="T1301" s="309"/>
      <c r="U1301" s="309"/>
    </row>
    <row r="1302" spans="1:21" ht="12.75" customHeight="1">
      <c r="A1302" s="1382" t="s">
        <v>824</v>
      </c>
      <c r="B1302" s="627"/>
      <c r="C1302" s="785"/>
      <c r="D1302" s="786"/>
      <c r="E1302" s="858"/>
      <c r="F1302" s="781"/>
      <c r="G1302" s="1507"/>
      <c r="H1302" s="1526"/>
      <c r="I1302" s="1501" t="str">
        <f t="shared" si="63"/>
        <v/>
      </c>
      <c r="J1302" s="1501" t="str">
        <f t="shared" si="62"/>
        <v/>
      </c>
      <c r="K1302" s="261"/>
      <c r="L1302" s="309"/>
      <c r="M1302" s="309"/>
      <c r="N1302" s="309"/>
      <c r="O1302" s="309"/>
      <c r="P1302" s="309"/>
      <c r="Q1302" s="309"/>
      <c r="R1302" s="309"/>
      <c r="S1302" s="309"/>
      <c r="T1302" s="309"/>
      <c r="U1302" s="309"/>
    </row>
    <row r="1303" spans="1:21" ht="12.75" customHeight="1">
      <c r="A1303" s="1383" t="s">
        <v>254</v>
      </c>
      <c r="B1303" s="625">
        <v>31</v>
      </c>
      <c r="C1303" s="623">
        <v>128.25</v>
      </c>
      <c r="D1303" s="792">
        <v>9.99</v>
      </c>
      <c r="E1303" s="624">
        <f>B1303*C1303-D1303</f>
        <v>3965.76</v>
      </c>
      <c r="F1303" s="546" t="s">
        <v>255</v>
      </c>
      <c r="G1303" s="1507"/>
      <c r="H1303" s="1526"/>
      <c r="I1303" s="1501" t="str">
        <f t="shared" si="63"/>
        <v>MDY</v>
      </c>
      <c r="J1303" s="1501" t="str">
        <f t="shared" si="62"/>
        <v/>
      </c>
      <c r="K1303" s="261"/>
      <c r="L1303" s="309"/>
      <c r="M1303" s="309"/>
      <c r="N1303" s="309"/>
      <c r="O1303" s="309"/>
      <c r="P1303" s="309"/>
      <c r="Q1303" s="309"/>
      <c r="R1303" s="309"/>
      <c r="S1303" s="309"/>
      <c r="T1303" s="309"/>
      <c r="U1303" s="309"/>
    </row>
    <row r="1304" spans="1:21" ht="12.75" customHeight="1">
      <c r="A1304" s="1363"/>
      <c r="B1304" s="627"/>
      <c r="C1304" s="785"/>
      <c r="D1304" s="786"/>
      <c r="E1304" s="858"/>
      <c r="F1304" s="781"/>
      <c r="G1304" s="1507"/>
      <c r="H1304" s="1526"/>
      <c r="I1304" s="1501" t="str">
        <f t="shared" si="63"/>
        <v/>
      </c>
      <c r="J1304" s="1501" t="str">
        <f t="shared" si="62"/>
        <v/>
      </c>
      <c r="K1304" s="261"/>
      <c r="L1304" s="309"/>
      <c r="M1304" s="309"/>
      <c r="N1304" s="309"/>
      <c r="O1304" s="309"/>
      <c r="P1304" s="309"/>
      <c r="Q1304" s="309"/>
      <c r="R1304" s="309"/>
      <c r="S1304" s="309"/>
      <c r="T1304" s="309"/>
      <c r="U1304" s="309"/>
    </row>
    <row r="1305" spans="1:21" ht="12.75" customHeight="1">
      <c r="A1305" s="1366">
        <v>40150</v>
      </c>
      <c r="B1305" s="627"/>
      <c r="C1305" s="785"/>
      <c r="D1305" s="786"/>
      <c r="E1305" s="858"/>
      <c r="F1305" s="781"/>
      <c r="G1305" s="1507"/>
      <c r="H1305" s="1526"/>
      <c r="I1305" s="1501" t="str">
        <f t="shared" si="63"/>
        <v/>
      </c>
      <c r="J1305" s="1501" t="str">
        <f t="shared" si="62"/>
        <v>AJG</v>
      </c>
      <c r="K1305" s="261"/>
      <c r="L1305" s="309"/>
      <c r="M1305" s="309"/>
      <c r="N1305" s="309"/>
      <c r="O1305" s="309"/>
      <c r="P1305" s="309"/>
      <c r="Q1305" s="309"/>
      <c r="R1305" s="309"/>
      <c r="S1305" s="309"/>
      <c r="T1305" s="309"/>
      <c r="U1305" s="309"/>
    </row>
    <row r="1306" spans="1:21" ht="12.75" customHeight="1">
      <c r="A1306" s="1363" t="s">
        <v>824</v>
      </c>
      <c r="B1306" s="627"/>
      <c r="C1306" s="785"/>
      <c r="D1306" s="786"/>
      <c r="E1306" s="858"/>
      <c r="F1306" s="781"/>
      <c r="G1306" s="1507"/>
      <c r="H1306" s="1526"/>
      <c r="I1306" s="1501" t="str">
        <f t="shared" si="63"/>
        <v/>
      </c>
      <c r="J1306" s="1501" t="str">
        <f t="shared" si="62"/>
        <v/>
      </c>
      <c r="K1306" s="261"/>
      <c r="L1306" s="309"/>
      <c r="M1306" s="309"/>
      <c r="N1306" s="309"/>
      <c r="O1306" s="309"/>
      <c r="P1306" s="309"/>
      <c r="Q1306" s="309"/>
      <c r="R1306" s="309"/>
      <c r="S1306" s="309"/>
      <c r="T1306" s="309"/>
      <c r="U1306" s="309"/>
    </row>
    <row r="1307" spans="1:21" ht="12.75" customHeight="1">
      <c r="A1307" s="1361" t="s">
        <v>248</v>
      </c>
      <c r="B1307" s="625">
        <v>155</v>
      </c>
      <c r="C1307" s="623">
        <v>22.58</v>
      </c>
      <c r="D1307" s="792">
        <v>9.99</v>
      </c>
      <c r="E1307" s="624">
        <f>B1307*C1307-D1307</f>
        <v>3489.91</v>
      </c>
      <c r="F1307" s="546" t="s">
        <v>249</v>
      </c>
      <c r="G1307" s="1507"/>
      <c r="H1307" s="1526"/>
      <c r="I1307" s="1501" t="str">
        <f t="shared" si="63"/>
        <v>AJG</v>
      </c>
      <c r="J1307" s="1501" t="str">
        <f t="shared" si="62"/>
        <v/>
      </c>
      <c r="K1307" s="261"/>
      <c r="L1307" s="309"/>
      <c r="M1307" s="309"/>
      <c r="N1307" s="309"/>
      <c r="O1307" s="309"/>
      <c r="P1307" s="309"/>
      <c r="Q1307" s="309"/>
      <c r="R1307" s="309"/>
      <c r="S1307" s="309"/>
      <c r="T1307" s="309"/>
      <c r="U1307" s="309"/>
    </row>
    <row r="1308" spans="1:21" ht="12.75" customHeight="1">
      <c r="A1308" s="1363"/>
      <c r="B1308" s="627"/>
      <c r="C1308" s="785"/>
      <c r="D1308" s="786"/>
      <c r="E1308" s="858"/>
      <c r="F1308" s="781"/>
      <c r="G1308" s="1507"/>
      <c r="H1308" s="1526"/>
      <c r="I1308" s="1501" t="str">
        <f t="shared" si="63"/>
        <v/>
      </c>
      <c r="J1308" s="1501" t="str">
        <f t="shared" si="62"/>
        <v/>
      </c>
      <c r="K1308" s="261"/>
      <c r="L1308" s="1388"/>
      <c r="M1308" s="1389"/>
      <c r="N1308" s="1390"/>
      <c r="O1308" s="1390"/>
      <c r="P1308" s="1391"/>
      <c r="Q1308" s="1392"/>
      <c r="R1308" s="1388"/>
      <c r="S1308" s="1388"/>
      <c r="T1308" s="1388"/>
      <c r="U1308" s="1389"/>
    </row>
    <row r="1309" spans="1:21" ht="12.75" customHeight="1">
      <c r="A1309" s="1366">
        <v>40137</v>
      </c>
      <c r="B1309" s="627"/>
      <c r="C1309" s="785"/>
      <c r="D1309" s="786"/>
      <c r="E1309" s="858"/>
      <c r="F1309" s="781"/>
      <c r="G1309" s="1507"/>
      <c r="H1309" s="1526"/>
      <c r="I1309" s="1501" t="str">
        <f t="shared" si="63"/>
        <v/>
      </c>
      <c r="J1309" s="1501" t="str">
        <f t="shared" si="62"/>
        <v>WYY</v>
      </c>
      <c r="K1309" s="1393"/>
      <c r="L1309" s="1394"/>
      <c r="M1309" s="1395"/>
      <c r="N1309" s="1396"/>
      <c r="O1309" s="1396"/>
      <c r="P1309" s="1397"/>
      <c r="Q1309" s="1398"/>
      <c r="R1309" s="1394"/>
      <c r="S1309" s="1394"/>
      <c r="T1309" s="1394"/>
      <c r="U1309" s="1395"/>
    </row>
    <row r="1310" spans="1:21" ht="12.75" customHeight="1">
      <c r="A1310" s="1363" t="s">
        <v>824</v>
      </c>
      <c r="B1310" s="627"/>
      <c r="C1310" s="785"/>
      <c r="D1310" s="786"/>
      <c r="E1310" s="858"/>
      <c r="F1310" s="781"/>
      <c r="G1310" s="1507"/>
      <c r="H1310" s="1526"/>
      <c r="I1310" s="1501" t="str">
        <f t="shared" si="63"/>
        <v/>
      </c>
      <c r="J1310" s="1501" t="str">
        <f t="shared" si="62"/>
        <v/>
      </c>
      <c r="K1310" s="1399"/>
      <c r="L1310" s="1388"/>
      <c r="M1310" s="1389"/>
      <c r="N1310" s="1390"/>
      <c r="O1310" s="1389"/>
      <c r="P1310" s="1400"/>
      <c r="Q1310" s="1392"/>
      <c r="R1310" s="1388"/>
      <c r="S1310" s="1388"/>
      <c r="T1310" s="1388"/>
      <c r="U1310" s="1389"/>
    </row>
    <row r="1311" spans="1:21" ht="12.75" customHeight="1">
      <c r="A1311" s="1401" t="s">
        <v>304</v>
      </c>
      <c r="B1311" s="625">
        <v>1350</v>
      </c>
      <c r="C1311" s="623">
        <v>0.85</v>
      </c>
      <c r="D1311" s="792">
        <v>9.99</v>
      </c>
      <c r="E1311" s="624">
        <f>B1311*C1311-D1311</f>
        <v>1137.51</v>
      </c>
      <c r="F1311" s="1389" t="s">
        <v>266</v>
      </c>
      <c r="G1311" s="1507"/>
      <c r="H1311" s="1526"/>
      <c r="I1311" s="1501" t="str">
        <f t="shared" si="63"/>
        <v>WYY</v>
      </c>
      <c r="J1311" s="1501" t="str">
        <f t="shared" si="62"/>
        <v/>
      </c>
      <c r="K1311" s="1393"/>
      <c r="L1311" s="309"/>
      <c r="M1311" s="309"/>
      <c r="N1311" s="309"/>
      <c r="O1311" s="309"/>
      <c r="P1311" s="309"/>
      <c r="Q1311" s="309"/>
      <c r="R1311" s="309"/>
      <c r="S1311" s="309"/>
      <c r="T1311" s="309"/>
      <c r="U1311" s="309"/>
    </row>
    <row r="1312" spans="1:21" ht="12.75" customHeight="1">
      <c r="A1312" s="1363"/>
      <c r="B1312" s="627"/>
      <c r="C1312" s="785"/>
      <c r="D1312" s="786"/>
      <c r="E1312" s="858"/>
      <c r="F1312" s="781"/>
      <c r="G1312" s="1507"/>
      <c r="H1312" s="1526"/>
      <c r="I1312" s="1501" t="str">
        <f t="shared" si="63"/>
        <v/>
      </c>
      <c r="J1312" s="1501" t="str">
        <f t="shared" si="62"/>
        <v/>
      </c>
      <c r="K1312" s="261"/>
      <c r="L1312" s="309"/>
      <c r="M1312" s="309"/>
      <c r="N1312" s="309"/>
      <c r="O1312" s="309"/>
      <c r="P1312" s="309"/>
      <c r="Q1312" s="309"/>
      <c r="R1312" s="309"/>
      <c r="S1312" s="309"/>
      <c r="T1312" s="309"/>
      <c r="U1312" s="309"/>
    </row>
    <row r="1313" spans="1:21" ht="12.75" customHeight="1">
      <c r="A1313" s="1366">
        <v>40127</v>
      </c>
      <c r="B1313" s="627"/>
      <c r="C1313" s="785"/>
      <c r="D1313" s="786"/>
      <c r="E1313" s="858"/>
      <c r="F1313" s="781"/>
      <c r="G1313" s="1507"/>
      <c r="H1313" s="1526"/>
      <c r="I1313" s="1501" t="str">
        <f t="shared" si="63"/>
        <v/>
      </c>
      <c r="J1313" s="1501" t="str">
        <f t="shared" si="62"/>
        <v>PG</v>
      </c>
      <c r="K1313" s="261"/>
      <c r="L1313" s="309"/>
      <c r="M1313" s="309"/>
      <c r="N1313" s="309"/>
      <c r="O1313" s="309"/>
      <c r="P1313" s="309"/>
      <c r="Q1313" s="309"/>
      <c r="R1313" s="309"/>
      <c r="S1313" s="309"/>
      <c r="T1313" s="309"/>
      <c r="U1313" s="309"/>
    </row>
    <row r="1314" spans="1:21" ht="12.75" customHeight="1">
      <c r="A1314" s="1363" t="s">
        <v>824</v>
      </c>
      <c r="B1314" s="627"/>
      <c r="C1314" s="785"/>
      <c r="D1314" s="786"/>
      <c r="E1314" s="858"/>
      <c r="F1314" s="781"/>
      <c r="G1314" s="1519"/>
      <c r="H1314" s="1535"/>
      <c r="I1314" s="1501" t="str">
        <f t="shared" si="63"/>
        <v/>
      </c>
      <c r="J1314" s="1501" t="str">
        <f t="shared" si="62"/>
        <v/>
      </c>
      <c r="K1314" s="261"/>
      <c r="L1314" s="1390"/>
      <c r="M1314" s="1390"/>
      <c r="N1314" s="1390"/>
      <c r="O1314" s="1390"/>
      <c r="P1314" s="1390"/>
      <c r="Q1314" s="1390"/>
      <c r="R1314" s="1390"/>
      <c r="S1314" s="1390"/>
      <c r="T1314" s="1390"/>
      <c r="U1314" s="1390"/>
    </row>
    <row r="1315" spans="1:21" ht="12.75" customHeight="1">
      <c r="A1315" s="1361" t="s">
        <v>658</v>
      </c>
      <c r="B1315" s="625">
        <v>65</v>
      </c>
      <c r="C1315" s="623">
        <v>61.839399999999998</v>
      </c>
      <c r="D1315" s="792">
        <v>9.99</v>
      </c>
      <c r="E1315" s="624">
        <f>B1315*C1315-D1315</f>
        <v>4009.5709999999999</v>
      </c>
      <c r="F1315" s="546" t="s">
        <v>257</v>
      </c>
      <c r="G1315" s="1520"/>
      <c r="H1315" s="1536"/>
      <c r="I1315" s="1501" t="str">
        <f t="shared" si="63"/>
        <v>PG</v>
      </c>
      <c r="J1315" s="1501" t="str">
        <f t="shared" si="62"/>
        <v/>
      </c>
      <c r="K1315" s="1402"/>
      <c r="L1315" s="1390"/>
      <c r="M1315" s="1390"/>
      <c r="N1315" s="1390"/>
      <c r="O1315" s="1390"/>
      <c r="P1315" s="1390"/>
      <c r="Q1315" s="1390"/>
      <c r="R1315" s="1390"/>
      <c r="S1315" s="1390"/>
      <c r="T1315" s="1390"/>
      <c r="U1315" s="1390"/>
    </row>
    <row r="1316" spans="1:21" ht="12.75" customHeight="1">
      <c r="A1316" s="1404"/>
      <c r="B1316" s="627"/>
      <c r="C1316" s="785"/>
      <c r="D1316" s="786"/>
      <c r="E1316" s="858"/>
      <c r="F1316" s="781"/>
      <c r="G1316" s="1519"/>
      <c r="H1316" s="1535"/>
      <c r="I1316" s="1501" t="str">
        <f t="shared" si="63"/>
        <v/>
      </c>
      <c r="J1316" s="1501" t="str">
        <f t="shared" si="62"/>
        <v/>
      </c>
      <c r="K1316" s="1402"/>
      <c r="L1316" s="1390"/>
      <c r="M1316" s="1390"/>
      <c r="N1316" s="1390"/>
      <c r="O1316" s="1390"/>
      <c r="P1316" s="1390"/>
      <c r="Q1316" s="1390"/>
      <c r="R1316" s="1390"/>
      <c r="S1316" s="1390"/>
      <c r="T1316" s="1390"/>
      <c r="U1316" s="1390"/>
    </row>
    <row r="1317" spans="1:21" ht="12.75" customHeight="1">
      <c r="A1317" s="1405">
        <v>40123</v>
      </c>
      <c r="B1317" s="815"/>
      <c r="C1317" s="833"/>
      <c r="D1317" s="848"/>
      <c r="E1317" s="863"/>
      <c r="F1317" s="1389"/>
      <c r="G1317" s="1507"/>
      <c r="H1317" s="1526"/>
      <c r="I1317" s="1501" t="str">
        <f t="shared" si="63"/>
        <v/>
      </c>
      <c r="J1317" s="1501" t="str">
        <f t="shared" si="62"/>
        <v>DFS</v>
      </c>
      <c r="K1317" s="1402"/>
      <c r="L1317" s="1390"/>
      <c r="M1317" s="1390"/>
      <c r="N1317" s="1390"/>
      <c r="O1317" s="1390"/>
      <c r="P1317" s="1390"/>
      <c r="Q1317" s="1390"/>
      <c r="R1317" s="1390"/>
      <c r="S1317" s="1390"/>
      <c r="T1317" s="1390"/>
      <c r="U1317" s="1390"/>
    </row>
    <row r="1318" spans="1:21" ht="12.75" customHeight="1">
      <c r="A1318" s="1406" t="s">
        <v>824</v>
      </c>
      <c r="B1318" s="816"/>
      <c r="C1318" s="834"/>
      <c r="D1318" s="849"/>
      <c r="E1318" s="864"/>
      <c r="F1318" s="1395"/>
      <c r="G1318" s="1507"/>
      <c r="H1318" s="1526"/>
      <c r="I1318" s="1501" t="str">
        <f t="shared" si="63"/>
        <v/>
      </c>
      <c r="J1318" s="1501" t="str">
        <f t="shared" si="62"/>
        <v/>
      </c>
      <c r="K1318" s="1402"/>
      <c r="L1318" s="1390"/>
      <c r="M1318" s="1390"/>
      <c r="N1318" s="1390"/>
      <c r="O1318" s="1390"/>
      <c r="P1318" s="1390"/>
      <c r="Q1318" s="1390"/>
      <c r="R1318" s="1390"/>
      <c r="S1318" s="1390"/>
      <c r="T1318" s="1390"/>
      <c r="U1318" s="1390"/>
    </row>
    <row r="1319" spans="1:21" ht="12.75" customHeight="1">
      <c r="A1319" s="1401" t="s">
        <v>252</v>
      </c>
      <c r="B1319" s="817">
        <v>184</v>
      </c>
      <c r="C1319" s="835">
        <v>14.45</v>
      </c>
      <c r="D1319" s="850">
        <v>9.99</v>
      </c>
      <c r="E1319" s="624">
        <f>B1319*C1319-D1319</f>
        <v>2648.81</v>
      </c>
      <c r="F1319" s="1389" t="s">
        <v>253</v>
      </c>
      <c r="G1319" s="1507"/>
      <c r="H1319" s="1526"/>
      <c r="I1319" s="1501" t="str">
        <f t="shared" si="63"/>
        <v>DFS</v>
      </c>
      <c r="J1319" s="1501" t="str">
        <f t="shared" si="62"/>
        <v/>
      </c>
      <c r="K1319" s="1403"/>
      <c r="L1319" s="1390"/>
      <c r="M1319" s="1390"/>
      <c r="N1319" s="1390"/>
      <c r="O1319" s="1390"/>
      <c r="P1319" s="1390"/>
      <c r="Q1319" s="1390"/>
      <c r="R1319" s="1390"/>
      <c r="S1319" s="1390"/>
      <c r="T1319" s="1390"/>
      <c r="U1319" s="1390"/>
    </row>
    <row r="1320" spans="1:21" ht="12.75" customHeight="1">
      <c r="A1320" s="936"/>
      <c r="B1320" s="627"/>
      <c r="C1320" s="785"/>
      <c r="D1320" s="786"/>
      <c r="E1320" s="858"/>
      <c r="F1320" s="781"/>
      <c r="G1320" s="1519"/>
      <c r="H1320" s="1535"/>
      <c r="I1320" s="1501" t="str">
        <f t="shared" si="63"/>
        <v/>
      </c>
      <c r="J1320" s="1501" t="str">
        <f t="shared" si="62"/>
        <v/>
      </c>
      <c r="K1320" s="1402"/>
      <c r="L1320" s="1390"/>
      <c r="M1320" s="1390"/>
      <c r="N1320" s="1390"/>
      <c r="O1320" s="1390"/>
      <c r="P1320" s="1390"/>
      <c r="Q1320" s="1390"/>
      <c r="R1320" s="1390"/>
      <c r="S1320" s="1390"/>
      <c r="T1320" s="1390"/>
      <c r="U1320" s="1390"/>
    </row>
    <row r="1321" spans="1:21" ht="12.75" customHeight="1">
      <c r="A1321" s="1366">
        <v>40108</v>
      </c>
      <c r="B1321" s="627"/>
      <c r="C1321" s="785"/>
      <c r="D1321" s="786"/>
      <c r="E1321" s="858"/>
      <c r="F1321" s="781"/>
      <c r="G1321" s="1519"/>
      <c r="H1321" s="1535"/>
      <c r="I1321" s="1501" t="str">
        <f t="shared" si="63"/>
        <v/>
      </c>
      <c r="J1321" s="1501" t="str">
        <f t="shared" si="62"/>
        <v/>
      </c>
      <c r="K1321" s="1402"/>
      <c r="L1321" s="1390"/>
      <c r="M1321" s="1390"/>
      <c r="N1321" s="1390"/>
      <c r="O1321" s="1390"/>
      <c r="P1321" s="1390"/>
      <c r="Q1321" s="1390"/>
      <c r="R1321" s="1390"/>
      <c r="S1321" s="1390"/>
      <c r="T1321" s="1390"/>
      <c r="U1321" s="1390"/>
    </row>
    <row r="1322" spans="1:21" ht="12.75" customHeight="1">
      <c r="A1322" s="1407" t="s">
        <v>820</v>
      </c>
      <c r="B1322" s="627"/>
      <c r="C1322" s="785"/>
      <c r="D1322" s="786"/>
      <c r="E1322" s="858"/>
      <c r="F1322" s="781"/>
      <c r="G1322" s="1519"/>
      <c r="H1322" s="1535"/>
      <c r="I1322" s="1501" t="str">
        <f t="shared" si="63"/>
        <v/>
      </c>
      <c r="J1322" s="1501" t="str">
        <f t="shared" si="62"/>
        <v/>
      </c>
      <c r="K1322" s="1402"/>
      <c r="L1322" s="1390"/>
      <c r="M1322" s="1390"/>
      <c r="N1322" s="1390"/>
      <c r="O1322" s="1390"/>
      <c r="P1322" s="1390"/>
      <c r="Q1322" s="1390"/>
      <c r="R1322" s="1390"/>
      <c r="S1322" s="1390"/>
      <c r="T1322" s="1390"/>
      <c r="U1322" s="1390"/>
    </row>
    <row r="1323" spans="1:21" ht="12.75" customHeight="1">
      <c r="A1323" s="1401" t="s">
        <v>969</v>
      </c>
      <c r="B1323" s="817">
        <v>25</v>
      </c>
      <c r="C1323" s="835">
        <v>34.110599999999998</v>
      </c>
      <c r="D1323" s="850">
        <v>10.039999999999999</v>
      </c>
      <c r="E1323" s="624">
        <f>B1323*C1323-D1323</f>
        <v>842.72500000000002</v>
      </c>
      <c r="F1323" s="1389" t="s">
        <v>209</v>
      </c>
      <c r="G1323" s="1519"/>
      <c r="H1323" s="1535"/>
      <c r="I1323" s="1501" t="str">
        <f t="shared" si="63"/>
        <v/>
      </c>
      <c r="J1323" s="1501" t="str">
        <f t="shared" si="62"/>
        <v/>
      </c>
      <c r="K1323" s="1403"/>
      <c r="L1323" s="1390"/>
      <c r="M1323" s="1390"/>
      <c r="N1323" s="1390"/>
      <c r="O1323" s="1390"/>
      <c r="P1323" s="1390"/>
      <c r="Q1323" s="1390"/>
      <c r="R1323" s="1390"/>
      <c r="S1323" s="1390"/>
      <c r="T1323" s="1390"/>
      <c r="U1323" s="1390"/>
    </row>
    <row r="1324" spans="1:21" ht="12.75" customHeight="1">
      <c r="A1324" s="1401" t="s">
        <v>970</v>
      </c>
      <c r="B1324" s="817">
        <v>17</v>
      </c>
      <c r="C1324" s="835">
        <v>50.780500000000004</v>
      </c>
      <c r="D1324" s="850">
        <v>10.039999999999999</v>
      </c>
      <c r="E1324" s="624">
        <f>B1324*C1324-D1324</f>
        <v>853.22850000000005</v>
      </c>
      <c r="F1324" s="1389" t="s">
        <v>47</v>
      </c>
      <c r="G1324" s="1520"/>
      <c r="H1324" s="1536"/>
      <c r="I1324" s="1501" t="str">
        <f t="shared" si="63"/>
        <v>TEVA</v>
      </c>
      <c r="J1324" s="1501" t="str">
        <f t="shared" si="62"/>
        <v/>
      </c>
      <c r="K1324" s="1403"/>
      <c r="L1324" s="1390"/>
      <c r="M1324" s="1390"/>
      <c r="N1324" s="1390"/>
      <c r="O1324" s="1390"/>
      <c r="P1324" s="1390"/>
      <c r="Q1324" s="1390"/>
      <c r="R1324" s="1390"/>
      <c r="S1324" s="1390"/>
      <c r="T1324" s="1390"/>
      <c r="U1324" s="1390"/>
    </row>
    <row r="1325" spans="1:21" ht="12.75" customHeight="1">
      <c r="A1325" s="1401"/>
      <c r="B1325" s="815"/>
      <c r="C1325" s="835"/>
      <c r="D1325" s="850"/>
      <c r="E1325" s="865"/>
      <c r="F1325" s="1389"/>
      <c r="G1325" s="1519"/>
      <c r="H1325" s="1535"/>
      <c r="I1325" s="1501" t="str">
        <f t="shared" si="63"/>
        <v/>
      </c>
      <c r="J1325" s="1501" t="str">
        <f t="shared" si="62"/>
        <v/>
      </c>
      <c r="K1325" s="1403"/>
      <c r="L1325" s="1390"/>
      <c r="M1325" s="1390"/>
      <c r="N1325" s="1390"/>
      <c r="O1325" s="1390"/>
      <c r="P1325" s="1390"/>
      <c r="Q1325" s="1390"/>
      <c r="R1325" s="1390"/>
      <c r="S1325" s="1390"/>
      <c r="T1325" s="1390"/>
      <c r="U1325" s="1390"/>
    </row>
    <row r="1326" spans="1:21" ht="12.75" customHeight="1">
      <c r="A1326" s="1405">
        <v>40102</v>
      </c>
      <c r="B1326" s="815"/>
      <c r="C1326" s="835"/>
      <c r="D1326" s="850"/>
      <c r="E1326" s="865"/>
      <c r="F1326" s="1389"/>
      <c r="G1326" s="1519"/>
      <c r="H1326" s="1535"/>
      <c r="I1326" s="1501" t="str">
        <f t="shared" si="63"/>
        <v/>
      </c>
      <c r="J1326" s="1501" t="str">
        <f t="shared" si="62"/>
        <v>RF</v>
      </c>
      <c r="K1326" s="1403"/>
      <c r="L1326" s="1390"/>
      <c r="M1326" s="1390"/>
      <c r="N1326" s="1390"/>
      <c r="O1326" s="1390"/>
      <c r="P1326" s="1390"/>
      <c r="Q1326" s="1390"/>
      <c r="R1326" s="1390"/>
      <c r="S1326" s="1390"/>
      <c r="T1326" s="1390"/>
      <c r="U1326" s="1390"/>
    </row>
    <row r="1327" spans="1:21" ht="12.75" customHeight="1">
      <c r="A1327" s="1406" t="s">
        <v>824</v>
      </c>
      <c r="B1327" s="816"/>
      <c r="C1327" s="836"/>
      <c r="D1327" s="851"/>
      <c r="E1327" s="866"/>
      <c r="F1327" s="1395"/>
      <c r="G1327" s="1519"/>
      <c r="H1327" s="1535"/>
      <c r="I1327" s="1501" t="str">
        <f t="shared" si="63"/>
        <v/>
      </c>
      <c r="J1327" s="1501" t="str">
        <f t="shared" si="62"/>
        <v/>
      </c>
      <c r="K1327" s="1403"/>
      <c r="L1327" s="1390"/>
      <c r="M1327" s="1390"/>
      <c r="N1327" s="1390"/>
      <c r="O1327" s="1390"/>
      <c r="P1327" s="1390"/>
      <c r="Q1327" s="1390"/>
      <c r="R1327" s="1390"/>
      <c r="S1327" s="1390"/>
      <c r="T1327" s="1390"/>
      <c r="U1327" s="1390"/>
    </row>
    <row r="1328" spans="1:21" ht="12.75" customHeight="1">
      <c r="A1328" s="1401" t="s">
        <v>962</v>
      </c>
      <c r="B1328" s="817">
        <v>275</v>
      </c>
      <c r="C1328" s="835">
        <v>5.9089999999999998</v>
      </c>
      <c r="D1328" s="850">
        <v>9.99</v>
      </c>
      <c r="E1328" s="624">
        <f>B1328*C1328-D1328</f>
        <v>1614.9849999999999</v>
      </c>
      <c r="F1328" s="1389" t="s">
        <v>259</v>
      </c>
      <c r="G1328" s="1520"/>
      <c r="H1328" s="1536"/>
      <c r="I1328" s="1501" t="str">
        <f t="shared" si="63"/>
        <v>RF</v>
      </c>
      <c r="J1328" s="1501" t="str">
        <f t="shared" si="62"/>
        <v/>
      </c>
      <c r="K1328" s="1403"/>
      <c r="L1328" s="1390"/>
      <c r="M1328" s="1390"/>
      <c r="N1328" s="1390"/>
      <c r="O1328" s="1390"/>
      <c r="P1328" s="1390"/>
      <c r="Q1328" s="1390"/>
      <c r="R1328" s="1390"/>
      <c r="S1328" s="1390"/>
      <c r="T1328" s="1390"/>
      <c r="U1328" s="1390"/>
    </row>
    <row r="1329" spans="1:21" ht="12.75" customHeight="1">
      <c r="A1329" s="1401"/>
      <c r="B1329" s="817"/>
      <c r="C1329" s="835"/>
      <c r="D1329" s="850"/>
      <c r="E1329" s="865"/>
      <c r="F1329" s="1389"/>
      <c r="G1329" s="1520"/>
      <c r="H1329" s="1536"/>
      <c r="I1329" s="1501" t="str">
        <f t="shared" si="63"/>
        <v/>
      </c>
      <c r="J1329" s="1501" t="str">
        <f t="shared" si="62"/>
        <v/>
      </c>
      <c r="K1329" s="1403"/>
      <c r="L1329" s="1390"/>
      <c r="M1329" s="1390"/>
      <c r="N1329" s="1390"/>
      <c r="O1329" s="1390"/>
      <c r="P1329" s="1390"/>
      <c r="Q1329" s="1390"/>
      <c r="R1329" s="1390"/>
      <c r="S1329" s="1390"/>
      <c r="T1329" s="1390"/>
      <c r="U1329" s="1390"/>
    </row>
    <row r="1330" spans="1:21" ht="12.75" customHeight="1">
      <c r="A1330" s="1405">
        <v>40095</v>
      </c>
      <c r="B1330" s="817"/>
      <c r="C1330" s="835"/>
      <c r="D1330" s="850"/>
      <c r="E1330" s="865"/>
      <c r="F1330" s="1389"/>
      <c r="G1330" s="1520"/>
      <c r="H1330" s="1536"/>
      <c r="I1330" s="1501" t="str">
        <f t="shared" si="63"/>
        <v/>
      </c>
      <c r="J1330" s="1501" t="str">
        <f t="shared" si="62"/>
        <v/>
      </c>
      <c r="K1330" s="1403"/>
      <c r="L1330" s="1390"/>
      <c r="M1330" s="1390"/>
      <c r="N1330" s="1390"/>
      <c r="O1330" s="1390"/>
      <c r="P1330" s="1390"/>
      <c r="Q1330" s="1390"/>
      <c r="R1330" s="1390"/>
      <c r="S1330" s="1390"/>
      <c r="T1330" s="1390"/>
      <c r="U1330" s="1390"/>
    </row>
    <row r="1331" spans="1:21" ht="12.75" customHeight="1">
      <c r="A1331" s="1406" t="s">
        <v>820</v>
      </c>
      <c r="B1331" s="818"/>
      <c r="C1331" s="836"/>
      <c r="D1331" s="851"/>
      <c r="E1331" s="866"/>
      <c r="F1331" s="1395"/>
      <c r="G1331" s="1519"/>
      <c r="H1331" s="1535"/>
      <c r="I1331" s="1501" t="str">
        <f t="shared" si="63"/>
        <v/>
      </c>
      <c r="J1331" s="1501" t="str">
        <f t="shared" si="62"/>
        <v/>
      </c>
      <c r="K1331" s="1402"/>
      <c r="L1331" s="1390"/>
      <c r="M1331" s="1390"/>
      <c r="N1331" s="1390"/>
      <c r="O1331" s="1390"/>
      <c r="P1331" s="1390"/>
      <c r="Q1331" s="1390"/>
      <c r="R1331" s="1390"/>
      <c r="S1331" s="1390"/>
      <c r="T1331" s="1390"/>
      <c r="U1331" s="1390"/>
    </row>
    <row r="1332" spans="1:21" ht="12.75" customHeight="1">
      <c r="A1332" s="1401" t="s">
        <v>971</v>
      </c>
      <c r="B1332" s="817">
        <v>46</v>
      </c>
      <c r="C1332" s="835">
        <v>34.44</v>
      </c>
      <c r="D1332" s="850">
        <v>10.039999999999999</v>
      </c>
      <c r="E1332" s="624">
        <f>B1332*C1332-D1332</f>
        <v>1574.1999999999998</v>
      </c>
      <c r="F1332" s="1389" t="s">
        <v>51</v>
      </c>
      <c r="G1332" s="1519"/>
      <c r="H1332" s="1535"/>
      <c r="I1332" s="1501" t="str">
        <f t="shared" si="63"/>
        <v/>
      </c>
      <c r="J1332" s="1501" t="str">
        <f t="shared" si="62"/>
        <v>SNA</v>
      </c>
      <c r="K1332" s="1402"/>
      <c r="L1332" s="1390"/>
      <c r="M1332" s="1390"/>
      <c r="N1332" s="1390"/>
      <c r="O1332" s="1390"/>
      <c r="P1332" s="1390"/>
      <c r="Q1332" s="1390"/>
      <c r="R1332" s="1390"/>
      <c r="S1332" s="1390"/>
      <c r="T1332" s="1390"/>
      <c r="U1332" s="1390"/>
    </row>
    <row r="1333" spans="1:21" ht="12.75" customHeight="1">
      <c r="A1333" s="1406" t="s">
        <v>824</v>
      </c>
      <c r="B1333" s="817"/>
      <c r="C1333" s="835"/>
      <c r="D1333" s="850"/>
      <c r="E1333" s="865"/>
      <c r="F1333" s="1395"/>
      <c r="G1333" s="1519"/>
      <c r="H1333" s="1535"/>
      <c r="I1333" s="1501" t="str">
        <f t="shared" si="63"/>
        <v/>
      </c>
      <c r="J1333" s="1501" t="str">
        <f t="shared" si="62"/>
        <v/>
      </c>
      <c r="K1333" s="1402"/>
      <c r="L1333" s="1390"/>
      <c r="M1333" s="1390"/>
      <c r="N1333" s="1390"/>
      <c r="O1333" s="1390"/>
      <c r="P1333" s="1390"/>
      <c r="Q1333" s="1390"/>
      <c r="R1333" s="1390"/>
      <c r="S1333" s="1390"/>
      <c r="T1333" s="1390"/>
      <c r="U1333" s="1390"/>
    </row>
    <row r="1334" spans="1:21" ht="12.75" customHeight="1">
      <c r="A1334" s="1401" t="s">
        <v>355</v>
      </c>
      <c r="B1334" s="817">
        <v>44</v>
      </c>
      <c r="C1334" s="835">
        <v>35.909999999999997</v>
      </c>
      <c r="D1334" s="850">
        <v>9.99</v>
      </c>
      <c r="E1334" s="624">
        <f>B1334*C1334-D1334</f>
        <v>1570.05</v>
      </c>
      <c r="F1334" s="1389" t="s">
        <v>261</v>
      </c>
      <c r="G1334" s="1520"/>
      <c r="H1334" s="1536"/>
      <c r="I1334" s="1501" t="str">
        <f t="shared" si="63"/>
        <v>SNA</v>
      </c>
      <c r="J1334" s="1501" t="str">
        <f t="shared" si="62"/>
        <v/>
      </c>
      <c r="K1334" s="1403"/>
      <c r="L1334" s="1390"/>
      <c r="M1334" s="1390"/>
      <c r="N1334" s="1390"/>
      <c r="O1334" s="1390"/>
      <c r="P1334" s="1390"/>
      <c r="Q1334" s="1390"/>
      <c r="R1334" s="1390"/>
      <c r="S1334" s="1390"/>
      <c r="T1334" s="1390"/>
      <c r="U1334" s="1390"/>
    </row>
    <row r="1335" spans="1:21" ht="12.75" customHeight="1">
      <c r="A1335" s="1400"/>
      <c r="B1335" s="817"/>
      <c r="C1335" s="835"/>
      <c r="D1335" s="850"/>
      <c r="E1335" s="865"/>
      <c r="F1335" s="1389"/>
      <c r="G1335" s="1520"/>
      <c r="H1335" s="1536"/>
      <c r="I1335" s="1501" t="str">
        <f t="shared" si="63"/>
        <v/>
      </c>
      <c r="J1335" s="1501" t="str">
        <f t="shared" si="62"/>
        <v/>
      </c>
      <c r="K1335" s="1402"/>
      <c r="L1335" s="1390"/>
      <c r="M1335" s="1390"/>
      <c r="N1335" s="1390"/>
      <c r="O1335" s="1390"/>
      <c r="P1335" s="1390"/>
      <c r="Q1335" s="1390"/>
      <c r="R1335" s="1390"/>
      <c r="S1335" s="1390"/>
      <c r="T1335" s="1390"/>
      <c r="U1335" s="1390"/>
    </row>
    <row r="1336" spans="1:21" ht="12.75" customHeight="1">
      <c r="A1336" s="1405">
        <v>40092</v>
      </c>
      <c r="B1336" s="817"/>
      <c r="C1336" s="835"/>
      <c r="D1336" s="850"/>
      <c r="E1336" s="865"/>
      <c r="F1336" s="1389"/>
      <c r="G1336" s="1519"/>
      <c r="H1336" s="1535"/>
      <c r="I1336" s="1501" t="str">
        <f t="shared" si="63"/>
        <v/>
      </c>
      <c r="J1336" s="1501" t="str">
        <f t="shared" si="62"/>
        <v/>
      </c>
      <c r="K1336" s="1402"/>
      <c r="L1336" s="1390"/>
      <c r="M1336" s="1390"/>
      <c r="N1336" s="1390"/>
      <c r="O1336" s="1390"/>
      <c r="P1336" s="1390"/>
      <c r="Q1336" s="1390"/>
      <c r="R1336" s="1390"/>
      <c r="S1336" s="1390"/>
      <c r="T1336" s="1390"/>
      <c r="U1336" s="1390"/>
    </row>
    <row r="1337" spans="1:21" ht="12.75" customHeight="1">
      <c r="A1337" s="1397" t="s">
        <v>820</v>
      </c>
      <c r="B1337" s="818"/>
      <c r="C1337" s="836"/>
      <c r="D1337" s="851"/>
      <c r="E1337" s="866"/>
      <c r="F1337" s="1395"/>
      <c r="G1337" s="1519"/>
      <c r="H1337" s="1535"/>
      <c r="I1337" s="1501" t="str">
        <f t="shared" si="63"/>
        <v/>
      </c>
      <c r="J1337" s="1501" t="str">
        <f t="shared" si="62"/>
        <v/>
      </c>
      <c r="K1337" s="1403"/>
      <c r="L1337" s="1390"/>
      <c r="M1337" s="1390"/>
      <c r="N1337" s="1390"/>
      <c r="O1337" s="1390"/>
      <c r="P1337" s="1390"/>
      <c r="Q1337" s="1390"/>
      <c r="R1337" s="1390"/>
      <c r="S1337" s="1390"/>
      <c r="T1337" s="1390"/>
      <c r="U1337" s="1390"/>
    </row>
    <row r="1338" spans="1:21" ht="12.75" customHeight="1">
      <c r="A1338" s="1400" t="s">
        <v>972</v>
      </c>
      <c r="B1338" s="817">
        <v>100</v>
      </c>
      <c r="C1338" s="835">
        <v>44.320099999999996</v>
      </c>
      <c r="D1338" s="850">
        <v>9.99</v>
      </c>
      <c r="E1338" s="624">
        <f>B1338*C1338-D1338</f>
        <v>4422.0199999999995</v>
      </c>
      <c r="F1338" s="1389" t="s">
        <v>213</v>
      </c>
      <c r="G1338" s="1519"/>
      <c r="H1338" s="1535"/>
      <c r="I1338" s="1501" t="str">
        <f t="shared" si="63"/>
        <v/>
      </c>
      <c r="J1338" s="1501" t="str">
        <f t="shared" si="62"/>
        <v/>
      </c>
      <c r="K1338" s="1403"/>
      <c r="L1338" s="309"/>
      <c r="M1338" s="309"/>
      <c r="N1338" s="309"/>
      <c r="O1338" s="309"/>
      <c r="P1338" s="309"/>
      <c r="Q1338" s="309"/>
      <c r="R1338" s="309"/>
      <c r="S1338" s="309"/>
      <c r="T1338" s="309"/>
      <c r="U1338" s="309"/>
    </row>
    <row r="1339" spans="1:21" ht="12.75" customHeight="1">
      <c r="A1339" s="1400"/>
      <c r="B1339" s="817"/>
      <c r="C1339" s="835"/>
      <c r="D1339" s="850"/>
      <c r="E1339" s="865"/>
      <c r="F1339" s="1389"/>
      <c r="G1339" s="1520"/>
      <c r="H1339" s="1536"/>
      <c r="I1339" s="1501" t="str">
        <f t="shared" si="63"/>
        <v/>
      </c>
      <c r="J1339" s="1501" t="str">
        <f t="shared" si="62"/>
        <v/>
      </c>
      <c r="K1339" s="261"/>
      <c r="L1339" s="309"/>
      <c r="M1339" s="309"/>
      <c r="N1339" s="309"/>
      <c r="O1339" s="309"/>
      <c r="P1339" s="309"/>
      <c r="Q1339" s="309"/>
      <c r="R1339" s="309"/>
      <c r="S1339" s="309"/>
      <c r="T1339" s="309"/>
      <c r="U1339" s="309"/>
    </row>
    <row r="1340" spans="1:21" ht="12.75" customHeight="1">
      <c r="A1340" s="1405">
        <v>40093</v>
      </c>
      <c r="B1340" s="817"/>
      <c r="C1340" s="835"/>
      <c r="D1340" s="850"/>
      <c r="E1340" s="865"/>
      <c r="F1340" s="1389"/>
      <c r="G1340" s="1519"/>
      <c r="H1340" s="1535"/>
      <c r="I1340" s="1501" t="str">
        <f t="shared" si="63"/>
        <v/>
      </c>
      <c r="J1340" s="1501" t="str">
        <f t="shared" si="62"/>
        <v>TFX</v>
      </c>
      <c r="K1340" s="261"/>
      <c r="L1340" s="309"/>
      <c r="M1340" s="309"/>
      <c r="N1340" s="309"/>
      <c r="O1340" s="309"/>
      <c r="P1340" s="309"/>
      <c r="Q1340" s="309"/>
      <c r="R1340" s="309"/>
      <c r="S1340" s="309"/>
      <c r="T1340" s="309"/>
      <c r="U1340" s="309"/>
    </row>
    <row r="1341" spans="1:21" ht="12.75" customHeight="1">
      <c r="A1341" s="1397" t="s">
        <v>824</v>
      </c>
      <c r="B1341" s="817"/>
      <c r="C1341" s="835"/>
      <c r="D1341" s="850"/>
      <c r="E1341" s="865"/>
      <c r="F1341" s="1389"/>
      <c r="G1341" s="1519"/>
      <c r="H1341" s="1535"/>
      <c r="I1341" s="1501" t="str">
        <f t="shared" si="63"/>
        <v/>
      </c>
      <c r="J1341" s="1501" t="str">
        <f t="shared" si="62"/>
        <v>CHL</v>
      </c>
      <c r="K1341" s="261"/>
      <c r="L1341" s="309"/>
      <c r="M1341" s="309"/>
      <c r="N1341" s="309"/>
      <c r="O1341" s="309"/>
      <c r="P1341" s="309"/>
      <c r="Q1341" s="309"/>
      <c r="R1341" s="309"/>
      <c r="S1341" s="309"/>
      <c r="T1341" s="309"/>
      <c r="U1341" s="309"/>
    </row>
    <row r="1342" spans="1:21" ht="12.75" customHeight="1">
      <c r="A1342" s="1400" t="s">
        <v>973</v>
      </c>
      <c r="B1342" s="817">
        <v>29</v>
      </c>
      <c r="C1342" s="835">
        <v>47.51</v>
      </c>
      <c r="D1342" s="850">
        <v>9.99</v>
      </c>
      <c r="E1342" s="624">
        <f>B1342*C1342-D1342</f>
        <v>1367.8</v>
      </c>
      <c r="F1342" s="1389" t="s">
        <v>263</v>
      </c>
      <c r="G1342" s="1520"/>
      <c r="H1342" s="1536"/>
      <c r="I1342" s="1501" t="str">
        <f t="shared" si="63"/>
        <v>TFX</v>
      </c>
      <c r="J1342" s="1501" t="str">
        <f t="shared" si="62"/>
        <v/>
      </c>
      <c r="K1342" s="261"/>
      <c r="L1342" s="309"/>
      <c r="M1342" s="309"/>
      <c r="N1342" s="309"/>
      <c r="O1342" s="309"/>
      <c r="P1342" s="309"/>
      <c r="Q1342" s="309"/>
      <c r="R1342" s="309"/>
      <c r="S1342" s="309"/>
      <c r="T1342" s="309"/>
      <c r="U1342" s="309"/>
    </row>
    <row r="1343" spans="1:21" ht="12.75" customHeight="1">
      <c r="A1343" s="1400" t="s">
        <v>280</v>
      </c>
      <c r="B1343" s="817">
        <v>40</v>
      </c>
      <c r="C1343" s="835">
        <v>49.94</v>
      </c>
      <c r="D1343" s="850">
        <v>9.99</v>
      </c>
      <c r="E1343" s="624">
        <f>B1343*C1343-D1343</f>
        <v>1987.61</v>
      </c>
      <c r="F1343" s="1389" t="s">
        <v>251</v>
      </c>
      <c r="G1343" s="1520"/>
      <c r="H1343" s="1536"/>
      <c r="I1343" s="1501" t="str">
        <f t="shared" si="63"/>
        <v>CHL</v>
      </c>
      <c r="J1343" s="1501" t="str">
        <f t="shared" ref="J1343:J1406" si="64">IF(F1345="","",IF(OR(A1343="Sell",A1344="Sell"),"",F1345))</f>
        <v/>
      </c>
      <c r="K1343" s="261"/>
      <c r="L1343" s="309"/>
      <c r="M1343" s="309"/>
      <c r="N1343" s="309"/>
      <c r="O1343" s="309"/>
      <c r="P1343" s="309"/>
      <c r="Q1343" s="309"/>
      <c r="R1343" s="309"/>
      <c r="S1343" s="309"/>
      <c r="T1343" s="309"/>
      <c r="U1343" s="309"/>
    </row>
    <row r="1344" spans="1:21" ht="12.75" customHeight="1">
      <c r="A1344" s="1400"/>
      <c r="B1344" s="817"/>
      <c r="C1344" s="835"/>
      <c r="D1344" s="848"/>
      <c r="E1344" s="865"/>
      <c r="F1344" s="1389"/>
      <c r="G1344" s="1508"/>
      <c r="H1344" s="1501"/>
      <c r="I1344" s="1501" t="str">
        <f t="shared" si="63"/>
        <v/>
      </c>
      <c r="J1344" s="1501" t="str">
        <f t="shared" si="64"/>
        <v/>
      </c>
      <c r="K1344" s="261"/>
      <c r="L1344" s="309"/>
      <c r="M1344" s="309"/>
      <c r="N1344" s="309"/>
      <c r="O1344" s="309"/>
      <c r="P1344" s="309"/>
      <c r="Q1344" s="309"/>
      <c r="R1344" s="309"/>
      <c r="S1344" s="309"/>
      <c r="T1344" s="309"/>
      <c r="U1344" s="309"/>
    </row>
    <row r="1345" spans="1:21" ht="12.75" customHeight="1">
      <c r="A1345" s="1408" t="s">
        <v>974</v>
      </c>
      <c r="B1345" s="815"/>
      <c r="C1345" s="833"/>
      <c r="D1345" s="848"/>
      <c r="E1345" s="863"/>
      <c r="F1345" s="1389"/>
      <c r="G1345" s="1507"/>
      <c r="H1345" s="1526"/>
      <c r="I1345" s="1501" t="str">
        <f t="shared" si="63"/>
        <v/>
      </c>
      <c r="J1345" s="1501" t="str">
        <f t="shared" si="64"/>
        <v/>
      </c>
      <c r="K1345" s="261"/>
      <c r="L1345" s="309"/>
      <c r="M1345" s="309"/>
      <c r="N1345" s="309"/>
      <c r="O1345" s="309"/>
      <c r="P1345" s="309"/>
      <c r="Q1345" s="309"/>
      <c r="R1345" s="309"/>
      <c r="S1345" s="309"/>
      <c r="T1345" s="309"/>
      <c r="U1345" s="309"/>
    </row>
    <row r="1346" spans="1:21" ht="12.75" customHeight="1">
      <c r="A1346" s="1397" t="s">
        <v>820</v>
      </c>
      <c r="B1346" s="815"/>
      <c r="C1346" s="833"/>
      <c r="D1346" s="848"/>
      <c r="E1346" s="863"/>
      <c r="F1346" s="1389"/>
      <c r="G1346" s="1507"/>
      <c r="H1346" s="1526"/>
      <c r="I1346" s="1501" t="str">
        <f t="shared" si="63"/>
        <v/>
      </c>
      <c r="J1346" s="1501" t="str">
        <f t="shared" si="64"/>
        <v/>
      </c>
      <c r="K1346" s="261"/>
      <c r="L1346" s="309"/>
      <c r="M1346" s="309"/>
      <c r="N1346" s="309"/>
      <c r="O1346" s="309"/>
      <c r="P1346" s="309"/>
      <c r="Q1346" s="309"/>
      <c r="R1346" s="309"/>
      <c r="S1346" s="309"/>
      <c r="T1346" s="309"/>
      <c r="U1346" s="309"/>
    </row>
    <row r="1347" spans="1:21" ht="12.75" customHeight="1">
      <c r="A1347" s="985" t="s">
        <v>210</v>
      </c>
      <c r="B1347" s="625">
        <v>55</v>
      </c>
      <c r="C1347" s="623">
        <v>1.4</v>
      </c>
      <c r="D1347" s="792">
        <v>9.99</v>
      </c>
      <c r="E1347" s="624">
        <f>B1347*C1347-D1347</f>
        <v>67.010000000000005</v>
      </c>
      <c r="F1347" s="546" t="s">
        <v>211</v>
      </c>
      <c r="G1347" s="1507"/>
      <c r="H1347" s="1526"/>
      <c r="I1347" s="1501" t="str">
        <f t="shared" si="63"/>
        <v/>
      </c>
      <c r="J1347" s="1501" t="str">
        <f t="shared" si="64"/>
        <v/>
      </c>
      <c r="K1347" s="261"/>
      <c r="L1347" s="309"/>
      <c r="M1347" s="309"/>
      <c r="N1347" s="309"/>
      <c r="O1347" s="309"/>
      <c r="P1347" s="309"/>
      <c r="Q1347" s="309"/>
      <c r="R1347" s="309"/>
      <c r="S1347" s="309"/>
      <c r="T1347" s="309"/>
      <c r="U1347" s="309"/>
    </row>
    <row r="1348" spans="1:21" ht="12.75" customHeight="1">
      <c r="A1348" s="936"/>
      <c r="B1348" s="627"/>
      <c r="C1348" s="785"/>
      <c r="D1348" s="786"/>
      <c r="E1348" s="858"/>
      <c r="F1348" s="781"/>
      <c r="G1348" s="1507"/>
      <c r="H1348" s="1526"/>
      <c r="I1348" s="1501" t="str">
        <f t="shared" si="63"/>
        <v/>
      </c>
      <c r="J1348" s="1501" t="str">
        <f t="shared" si="64"/>
        <v/>
      </c>
      <c r="K1348" s="261"/>
      <c r="L1348" s="309"/>
      <c r="M1348" s="309"/>
      <c r="N1348" s="309"/>
      <c r="O1348" s="309"/>
      <c r="P1348" s="309"/>
      <c r="Q1348" s="309"/>
      <c r="R1348" s="309"/>
      <c r="S1348" s="309"/>
      <c r="T1348" s="309"/>
      <c r="U1348" s="309"/>
    </row>
    <row r="1349" spans="1:21" ht="12.75" customHeight="1">
      <c r="A1349" s="1366">
        <v>39912</v>
      </c>
      <c r="B1349" s="627"/>
      <c r="C1349" s="785"/>
      <c r="D1349" s="786"/>
      <c r="E1349" s="858"/>
      <c r="F1349" s="781"/>
      <c r="G1349" s="1507"/>
      <c r="H1349" s="1526"/>
      <c r="I1349" s="1501" t="str">
        <f t="shared" si="63"/>
        <v/>
      </c>
      <c r="J1349" s="1501" t="str">
        <f t="shared" si="64"/>
        <v/>
      </c>
      <c r="K1349" s="261"/>
      <c r="L1349" s="309"/>
      <c r="M1349" s="309"/>
      <c r="N1349" s="309"/>
      <c r="O1349" s="309"/>
      <c r="P1349" s="309"/>
      <c r="Q1349" s="309"/>
      <c r="R1349" s="309"/>
      <c r="S1349" s="309"/>
      <c r="T1349" s="309"/>
      <c r="U1349" s="309"/>
    </row>
    <row r="1350" spans="1:21" ht="12.75" customHeight="1">
      <c r="A1350" s="936" t="s">
        <v>820</v>
      </c>
      <c r="B1350" s="627"/>
      <c r="C1350" s="785"/>
      <c r="D1350" s="786"/>
      <c r="E1350" s="858"/>
      <c r="F1350" s="781"/>
      <c r="G1350" s="1507"/>
      <c r="H1350" s="1526"/>
      <c r="I1350" s="1501" t="str">
        <f t="shared" si="63"/>
        <v/>
      </c>
      <c r="J1350" s="1501" t="str">
        <f t="shared" si="64"/>
        <v/>
      </c>
      <c r="K1350" s="261"/>
      <c r="L1350" s="309"/>
      <c r="M1350" s="309"/>
      <c r="N1350" s="309"/>
      <c r="O1350" s="309"/>
      <c r="P1350" s="309"/>
      <c r="Q1350" s="309"/>
      <c r="R1350" s="309"/>
      <c r="S1350" s="309"/>
      <c r="T1350" s="309"/>
      <c r="U1350" s="309"/>
    </row>
    <row r="1351" spans="1:21" ht="12.75" customHeight="1">
      <c r="A1351" s="985" t="s">
        <v>270</v>
      </c>
      <c r="B1351" s="625">
        <v>57</v>
      </c>
      <c r="C1351" s="623">
        <v>6.98</v>
      </c>
      <c r="D1351" s="792">
        <v>9.99</v>
      </c>
      <c r="E1351" s="624">
        <f>B1351*C1351-D1351</f>
        <v>387.87</v>
      </c>
      <c r="F1351" s="546" t="s">
        <v>234</v>
      </c>
      <c r="G1351" s="1507"/>
      <c r="H1351" s="1526"/>
      <c r="I1351" s="1501" t="str">
        <f t="shared" si="63"/>
        <v/>
      </c>
      <c r="J1351" s="1501" t="str">
        <f t="shared" si="64"/>
        <v/>
      </c>
      <c r="K1351" s="261"/>
      <c r="L1351" s="309"/>
      <c r="M1351" s="309"/>
      <c r="N1351" s="309"/>
      <c r="O1351" s="309"/>
      <c r="P1351" s="309"/>
      <c r="Q1351" s="309"/>
      <c r="R1351" s="309"/>
      <c r="S1351" s="309"/>
      <c r="T1351" s="309"/>
      <c r="U1351" s="309"/>
    </row>
    <row r="1352" spans="1:21" ht="12.75" customHeight="1">
      <c r="A1352" s="936"/>
      <c r="B1352" s="627"/>
      <c r="C1352" s="785"/>
      <c r="D1352" s="786"/>
      <c r="E1352" s="858"/>
      <c r="F1352" s="781"/>
      <c r="G1352" s="1507"/>
      <c r="H1352" s="1526"/>
      <c r="I1352" s="1501" t="str">
        <f t="shared" si="63"/>
        <v/>
      </c>
      <c r="J1352" s="1501" t="str">
        <f t="shared" si="64"/>
        <v/>
      </c>
      <c r="K1352" s="261"/>
      <c r="L1352" s="309"/>
      <c r="M1352" s="309"/>
      <c r="N1352" s="309"/>
      <c r="O1352" s="309"/>
      <c r="P1352" s="309"/>
      <c r="Q1352" s="309"/>
      <c r="R1352" s="309"/>
      <c r="S1352" s="309"/>
      <c r="T1352" s="309"/>
      <c r="U1352" s="309"/>
    </row>
    <row r="1353" spans="1:21" ht="12.75" customHeight="1">
      <c r="A1353" s="1366">
        <v>39912</v>
      </c>
      <c r="B1353" s="627"/>
      <c r="C1353" s="785"/>
      <c r="D1353" s="786"/>
      <c r="E1353" s="858"/>
      <c r="F1353" s="781"/>
      <c r="G1353" s="1507"/>
      <c r="H1353" s="1526"/>
      <c r="I1353" s="1501" t="str">
        <f t="shared" si="63"/>
        <v/>
      </c>
      <c r="J1353" s="1501" t="str">
        <f t="shared" si="64"/>
        <v/>
      </c>
      <c r="K1353" s="261"/>
      <c r="L1353" s="309"/>
      <c r="M1353" s="309"/>
      <c r="N1353" s="309"/>
      <c r="O1353" s="309"/>
      <c r="P1353" s="309"/>
      <c r="Q1353" s="309"/>
      <c r="R1353" s="309"/>
      <c r="S1353" s="309"/>
      <c r="T1353" s="309"/>
      <c r="U1353" s="309"/>
    </row>
    <row r="1354" spans="1:21" ht="12.75" customHeight="1">
      <c r="A1354" s="936" t="s">
        <v>820</v>
      </c>
      <c r="B1354" s="627"/>
      <c r="C1354" s="785"/>
      <c r="D1354" s="786"/>
      <c r="E1354" s="858"/>
      <c r="F1354" s="781"/>
      <c r="G1354" s="1507"/>
      <c r="H1354" s="1526"/>
      <c r="I1354" s="1501" t="str">
        <f t="shared" si="63"/>
        <v/>
      </c>
      <c r="J1354" s="1501" t="str">
        <f t="shared" si="64"/>
        <v/>
      </c>
      <c r="K1354" s="261"/>
      <c r="L1354" s="309"/>
      <c r="M1354" s="309"/>
      <c r="N1354" s="309"/>
      <c r="O1354" s="309"/>
      <c r="P1354" s="309"/>
      <c r="Q1354" s="309"/>
      <c r="R1354" s="309"/>
      <c r="S1354" s="309"/>
      <c r="T1354" s="309"/>
      <c r="U1354" s="309"/>
    </row>
    <row r="1355" spans="1:21" ht="12.75" customHeight="1">
      <c r="A1355" s="985" t="s">
        <v>269</v>
      </c>
      <c r="B1355" s="625">
        <v>100</v>
      </c>
      <c r="C1355" s="623">
        <v>14.98</v>
      </c>
      <c r="D1355" s="792">
        <v>9.99</v>
      </c>
      <c r="E1355" s="624">
        <f>B1355*C1355-D1355</f>
        <v>1488.01</v>
      </c>
      <c r="F1355" s="546" t="s">
        <v>29</v>
      </c>
      <c r="G1355" s="1507"/>
      <c r="H1355" s="1526"/>
      <c r="I1355" s="1501" t="str">
        <f t="shared" si="63"/>
        <v/>
      </c>
      <c r="J1355" s="1501" t="str">
        <f t="shared" si="64"/>
        <v/>
      </c>
      <c r="K1355" s="261"/>
      <c r="L1355" s="309"/>
      <c r="M1355" s="309"/>
      <c r="N1355" s="309"/>
      <c r="O1355" s="309"/>
      <c r="P1355" s="309"/>
      <c r="Q1355" s="309"/>
      <c r="R1355" s="309"/>
      <c r="S1355" s="309"/>
      <c r="T1355" s="309"/>
      <c r="U1355" s="309"/>
    </row>
    <row r="1356" spans="1:21" ht="12.75" customHeight="1">
      <c r="A1356" s="936"/>
      <c r="B1356" s="627"/>
      <c r="C1356" s="785"/>
      <c r="D1356" s="786"/>
      <c r="E1356" s="858"/>
      <c r="F1356" s="781"/>
      <c r="G1356" s="1507"/>
      <c r="H1356" s="1526"/>
      <c r="I1356" s="1501" t="str">
        <f t="shared" si="63"/>
        <v/>
      </c>
      <c r="J1356" s="1501" t="str">
        <f t="shared" si="64"/>
        <v/>
      </c>
      <c r="K1356" s="261"/>
      <c r="L1356" s="309"/>
      <c r="M1356" s="309"/>
      <c r="N1356" s="309"/>
      <c r="O1356" s="309"/>
      <c r="P1356" s="309"/>
      <c r="Q1356" s="309"/>
      <c r="R1356" s="309"/>
      <c r="S1356" s="309"/>
      <c r="T1356" s="309"/>
      <c r="U1356" s="309"/>
    </row>
    <row r="1357" spans="1:21" ht="12.75" customHeight="1">
      <c r="A1357" s="1366">
        <v>39906</v>
      </c>
      <c r="B1357" s="627"/>
      <c r="C1357" s="785"/>
      <c r="D1357" s="786"/>
      <c r="E1357" s="858"/>
      <c r="F1357" s="781"/>
      <c r="G1357" s="1508"/>
      <c r="H1357" s="1501"/>
      <c r="I1357" s="1501" t="str">
        <f t="shared" si="63"/>
        <v/>
      </c>
      <c r="J1357" s="1501" t="str">
        <f t="shared" si="64"/>
        <v/>
      </c>
      <c r="K1357" s="261"/>
      <c r="L1357" s="309"/>
      <c r="M1357" s="309"/>
      <c r="N1357" s="309"/>
      <c r="O1357" s="309"/>
      <c r="P1357" s="309"/>
      <c r="Q1357" s="309"/>
      <c r="R1357" s="309"/>
      <c r="S1357" s="309"/>
      <c r="T1357" s="309"/>
      <c r="U1357" s="309"/>
    </row>
    <row r="1358" spans="1:21" ht="12.75" customHeight="1">
      <c r="A1358" s="1407" t="s">
        <v>820</v>
      </c>
      <c r="B1358" s="627"/>
      <c r="C1358" s="785"/>
      <c r="D1358" s="786"/>
      <c r="E1358" s="858"/>
      <c r="F1358" s="781"/>
      <c r="G1358" s="1508"/>
      <c r="H1358" s="1501"/>
      <c r="I1358" s="1501" t="str">
        <f t="shared" si="63"/>
        <v/>
      </c>
      <c r="J1358" s="1501" t="str">
        <f t="shared" si="64"/>
        <v/>
      </c>
      <c r="K1358" s="261"/>
      <c r="L1358" s="309"/>
      <c r="M1358" s="309"/>
      <c r="N1358" s="309"/>
      <c r="O1358" s="309"/>
      <c r="P1358" s="309"/>
      <c r="Q1358" s="309"/>
      <c r="R1358" s="309"/>
      <c r="S1358" s="309"/>
      <c r="T1358" s="309"/>
      <c r="U1358" s="309"/>
    </row>
    <row r="1359" spans="1:21" ht="12.75" customHeight="1">
      <c r="A1359" s="985" t="s">
        <v>202</v>
      </c>
      <c r="B1359" s="625">
        <v>100</v>
      </c>
      <c r="C1359" s="623">
        <v>31.2</v>
      </c>
      <c r="D1359" s="792">
        <v>9.99</v>
      </c>
      <c r="E1359" s="624">
        <f>B1359*C1359-D1359</f>
        <v>3110.01</v>
      </c>
      <c r="F1359" s="546" t="s">
        <v>21</v>
      </c>
      <c r="G1359" s="1508"/>
      <c r="H1359" s="1501"/>
      <c r="I1359" s="1501" t="str">
        <f t="shared" si="63"/>
        <v/>
      </c>
      <c r="J1359" s="1501" t="str">
        <f t="shared" si="64"/>
        <v/>
      </c>
      <c r="K1359" s="261"/>
      <c r="L1359" s="309"/>
      <c r="M1359" s="309"/>
      <c r="N1359" s="309"/>
      <c r="O1359" s="309"/>
      <c r="P1359" s="309"/>
      <c r="Q1359" s="309"/>
      <c r="R1359" s="309"/>
      <c r="S1359" s="309"/>
      <c r="T1359" s="309"/>
      <c r="U1359" s="309"/>
    </row>
    <row r="1360" spans="1:21" ht="12.75" customHeight="1">
      <c r="A1360" s="1409"/>
      <c r="B1360" s="625"/>
      <c r="C1360" s="623"/>
      <c r="D1360" s="792"/>
      <c r="E1360" s="624"/>
      <c r="F1360" s="546"/>
      <c r="G1360" s="1508"/>
      <c r="H1360" s="1501"/>
      <c r="I1360" s="1501" t="str">
        <f t="shared" si="63"/>
        <v/>
      </c>
      <c r="J1360" s="1501" t="str">
        <f t="shared" si="64"/>
        <v/>
      </c>
      <c r="K1360" s="261"/>
      <c r="L1360" s="309"/>
      <c r="M1360" s="309"/>
      <c r="N1360" s="309"/>
      <c r="O1360" s="309"/>
      <c r="P1360" s="309"/>
      <c r="Q1360" s="309"/>
      <c r="R1360" s="309"/>
      <c r="S1360" s="309"/>
      <c r="T1360" s="309"/>
      <c r="U1360" s="309"/>
    </row>
    <row r="1361" spans="1:21" ht="12.75" customHeight="1">
      <c r="A1361" s="1366">
        <v>39889</v>
      </c>
      <c r="B1361" s="625"/>
      <c r="C1361" s="623"/>
      <c r="D1361" s="792"/>
      <c r="E1361" s="624"/>
      <c r="F1361" s="546"/>
      <c r="G1361" s="1508"/>
      <c r="H1361" s="1501"/>
      <c r="I1361" s="1501" t="str">
        <f t="shared" si="63"/>
        <v/>
      </c>
      <c r="J1361" s="1501" t="str">
        <f t="shared" si="64"/>
        <v/>
      </c>
      <c r="K1361" s="261"/>
      <c r="L1361" s="309"/>
      <c r="M1361" s="309"/>
      <c r="N1361" s="309"/>
      <c r="O1361" s="309"/>
      <c r="P1361" s="309"/>
      <c r="Q1361" s="309"/>
      <c r="R1361" s="309"/>
      <c r="S1361" s="309"/>
      <c r="T1361" s="309"/>
      <c r="U1361" s="309"/>
    </row>
    <row r="1362" spans="1:21" ht="12.75" customHeight="1">
      <c r="A1362" s="1380" t="s">
        <v>820</v>
      </c>
      <c r="B1362" s="625"/>
      <c r="C1362" s="623"/>
      <c r="D1362" s="792"/>
      <c r="E1362" s="624"/>
      <c r="F1362" s="546"/>
      <c r="G1362" s="1508"/>
      <c r="H1362" s="1501"/>
      <c r="I1362" s="1501" t="str">
        <f t="shared" si="63"/>
        <v/>
      </c>
      <c r="J1362" s="1501" t="str">
        <f t="shared" si="64"/>
        <v/>
      </c>
      <c r="K1362" s="261"/>
      <c r="L1362" s="309"/>
      <c r="M1362" s="309"/>
      <c r="N1362" s="309"/>
      <c r="O1362" s="309"/>
      <c r="P1362" s="309"/>
      <c r="Q1362" s="309"/>
      <c r="R1362" s="309"/>
      <c r="S1362" s="309"/>
      <c r="T1362" s="309"/>
      <c r="U1362" s="309"/>
    </row>
    <row r="1363" spans="1:21" ht="12.75" customHeight="1">
      <c r="A1363" s="1409" t="s">
        <v>267</v>
      </c>
      <c r="B1363" s="625">
        <v>65</v>
      </c>
      <c r="C1363" s="623">
        <v>7.59</v>
      </c>
      <c r="D1363" s="792">
        <v>9.99</v>
      </c>
      <c r="E1363" s="624">
        <f>B1363*C1363-D1363</f>
        <v>483.35999999999996</v>
      </c>
      <c r="F1363" s="546" t="s">
        <v>219</v>
      </c>
      <c r="G1363" s="1508"/>
      <c r="H1363" s="1501"/>
      <c r="I1363" s="1501" t="str">
        <f t="shared" ref="I1363:I1429" si="65">IF(F1363="","",IF(OR(A1362="Sell",A1363="Sell"),"",F1363))</f>
        <v/>
      </c>
      <c r="J1363" s="1501" t="str">
        <f t="shared" si="64"/>
        <v/>
      </c>
      <c r="K1363" s="261"/>
      <c r="L1363" s="309"/>
      <c r="M1363" s="309"/>
      <c r="N1363" s="309"/>
      <c r="O1363" s="309"/>
      <c r="P1363" s="309"/>
      <c r="Q1363" s="309"/>
      <c r="R1363" s="309"/>
      <c r="S1363" s="309"/>
      <c r="T1363" s="309"/>
      <c r="U1363" s="309"/>
    </row>
    <row r="1364" spans="1:21" ht="12.75" customHeight="1">
      <c r="A1364" s="1409"/>
      <c r="B1364" s="625"/>
      <c r="C1364" s="623"/>
      <c r="D1364" s="792"/>
      <c r="E1364" s="624"/>
      <c r="F1364" s="546"/>
      <c r="G1364" s="1508"/>
      <c r="H1364" s="1501"/>
      <c r="I1364" s="1501" t="str">
        <f t="shared" si="65"/>
        <v/>
      </c>
      <c r="J1364" s="1501" t="str">
        <f t="shared" si="64"/>
        <v/>
      </c>
      <c r="K1364" s="261"/>
      <c r="L1364" s="309"/>
      <c r="M1364" s="309"/>
      <c r="N1364" s="309"/>
      <c r="O1364" s="309"/>
      <c r="P1364" s="309"/>
      <c r="Q1364" s="309"/>
      <c r="R1364" s="309"/>
      <c r="S1364" s="309"/>
      <c r="T1364" s="309"/>
      <c r="U1364" s="309"/>
    </row>
    <row r="1365" spans="1:21" ht="12.75" customHeight="1">
      <c r="A1365" s="1366">
        <v>39888</v>
      </c>
      <c r="B1365" s="625"/>
      <c r="C1365" s="623"/>
      <c r="D1365" s="792"/>
      <c r="E1365" s="624"/>
      <c r="F1365" s="546"/>
      <c r="G1365" s="1508"/>
      <c r="H1365" s="1501"/>
      <c r="I1365" s="1501" t="str">
        <f t="shared" si="65"/>
        <v/>
      </c>
      <c r="J1365" s="1501" t="str">
        <f t="shared" si="64"/>
        <v/>
      </c>
      <c r="K1365" s="261"/>
      <c r="L1365" s="309"/>
      <c r="M1365" s="309"/>
      <c r="N1365" s="309"/>
      <c r="O1365" s="309"/>
      <c r="P1365" s="309"/>
      <c r="Q1365" s="309"/>
      <c r="R1365" s="309"/>
      <c r="S1365" s="309"/>
      <c r="T1365" s="309"/>
      <c r="U1365" s="309"/>
    </row>
    <row r="1366" spans="1:21" ht="12.75" customHeight="1">
      <c r="A1366" s="1410" t="s">
        <v>820</v>
      </c>
      <c r="B1366" s="625"/>
      <c r="C1366" s="623"/>
      <c r="D1366" s="792"/>
      <c r="E1366" s="624"/>
      <c r="F1366" s="546"/>
      <c r="G1366" s="1508"/>
      <c r="H1366" s="1501"/>
      <c r="I1366" s="1501" t="str">
        <f t="shared" si="65"/>
        <v/>
      </c>
      <c r="J1366" s="1501" t="str">
        <f t="shared" si="64"/>
        <v/>
      </c>
      <c r="K1366" s="261"/>
      <c r="L1366" s="309"/>
      <c r="M1366" s="309"/>
      <c r="N1366" s="309"/>
      <c r="O1366" s="309"/>
      <c r="P1366" s="309"/>
      <c r="Q1366" s="309"/>
      <c r="R1366" s="309"/>
      <c r="S1366" s="309"/>
      <c r="T1366" s="309"/>
      <c r="U1366" s="309"/>
    </row>
    <row r="1367" spans="1:21" ht="12.75" customHeight="1">
      <c r="A1367" s="1409" t="s">
        <v>268</v>
      </c>
      <c r="B1367" s="625">
        <v>18</v>
      </c>
      <c r="C1367" s="623">
        <v>68.98</v>
      </c>
      <c r="D1367" s="792">
        <v>9.99</v>
      </c>
      <c r="E1367" s="624">
        <f>B1367*C1367-D1367</f>
        <v>1231.6500000000001</v>
      </c>
      <c r="F1367" s="546" t="s">
        <v>205</v>
      </c>
      <c r="G1367" s="1508"/>
      <c r="H1367" s="1501"/>
      <c r="I1367" s="1501" t="str">
        <f t="shared" si="65"/>
        <v/>
      </c>
      <c r="J1367" s="1501" t="str">
        <f t="shared" si="64"/>
        <v/>
      </c>
      <c r="K1367" s="261"/>
      <c r="L1367" s="309"/>
      <c r="M1367" s="309"/>
      <c r="N1367" s="309"/>
      <c r="O1367" s="309"/>
      <c r="P1367" s="309"/>
      <c r="Q1367" s="309"/>
      <c r="R1367" s="309"/>
      <c r="S1367" s="309"/>
      <c r="T1367" s="309"/>
      <c r="U1367" s="309"/>
    </row>
    <row r="1368" spans="1:21" ht="12.75" customHeight="1">
      <c r="A1368" s="1409"/>
      <c r="B1368" s="625"/>
      <c r="C1368" s="623"/>
      <c r="D1368" s="792"/>
      <c r="E1368" s="624"/>
      <c r="F1368" s="546"/>
      <c r="G1368" s="1508"/>
      <c r="H1368" s="1501"/>
      <c r="I1368" s="1501" t="str">
        <f t="shared" si="65"/>
        <v/>
      </c>
      <c r="J1368" s="1501" t="str">
        <f t="shared" si="64"/>
        <v/>
      </c>
      <c r="K1368" s="261"/>
      <c r="L1368" s="309"/>
      <c r="M1368" s="309"/>
      <c r="N1368" s="309"/>
      <c r="O1368" s="309"/>
      <c r="P1368" s="309"/>
      <c r="Q1368" s="309"/>
      <c r="R1368" s="309"/>
      <c r="S1368" s="309"/>
      <c r="T1368" s="309"/>
      <c r="U1368" s="309"/>
    </row>
    <row r="1369" spans="1:21" ht="12.75" customHeight="1">
      <c r="A1369" s="1366">
        <v>39854</v>
      </c>
      <c r="B1369" s="625"/>
      <c r="C1369" s="623"/>
      <c r="D1369" s="792"/>
      <c r="E1369" s="624"/>
      <c r="F1369" s="546"/>
      <c r="G1369" s="1508"/>
      <c r="H1369" s="1501"/>
      <c r="I1369" s="1501" t="str">
        <f t="shared" si="65"/>
        <v/>
      </c>
      <c r="J1369" s="1501" t="str">
        <f t="shared" si="64"/>
        <v/>
      </c>
      <c r="K1369" s="261"/>
      <c r="L1369" s="309"/>
      <c r="M1369" s="309"/>
      <c r="N1369" s="309"/>
      <c r="O1369" s="309"/>
      <c r="P1369" s="309"/>
      <c r="Q1369" s="309"/>
      <c r="R1369" s="309"/>
      <c r="S1369" s="309"/>
      <c r="T1369" s="309"/>
      <c r="U1369" s="309"/>
    </row>
    <row r="1370" spans="1:21" ht="12.75" customHeight="1">
      <c r="A1370" s="1410" t="s">
        <v>820</v>
      </c>
      <c r="B1370" s="625"/>
      <c r="C1370" s="623"/>
      <c r="D1370" s="792"/>
      <c r="E1370" s="624"/>
      <c r="F1370" s="546"/>
      <c r="G1370" s="1508"/>
      <c r="H1370" s="1501"/>
      <c r="I1370" s="1501" t="str">
        <f t="shared" si="65"/>
        <v/>
      </c>
      <c r="J1370" s="1501" t="str">
        <f t="shared" si="64"/>
        <v/>
      </c>
      <c r="K1370" s="261"/>
      <c r="L1370" s="309"/>
      <c r="M1370" s="309"/>
      <c r="N1370" s="309"/>
      <c r="O1370" s="309"/>
      <c r="P1370" s="309"/>
      <c r="Q1370" s="309"/>
      <c r="R1370" s="309"/>
      <c r="S1370" s="309"/>
      <c r="T1370" s="309"/>
      <c r="U1370" s="309"/>
    </row>
    <row r="1371" spans="1:21" ht="12.75" customHeight="1">
      <c r="A1371" s="1409" t="s">
        <v>34</v>
      </c>
      <c r="B1371" s="625">
        <v>50</v>
      </c>
      <c r="C1371" s="623">
        <v>10.83</v>
      </c>
      <c r="D1371" s="792">
        <v>9.99</v>
      </c>
      <c r="E1371" s="624">
        <f>B1371*C1371-D1371</f>
        <v>531.51</v>
      </c>
      <c r="F1371" s="546" t="s">
        <v>35</v>
      </c>
      <c r="G1371" s="1508"/>
      <c r="H1371" s="1501"/>
      <c r="I1371" s="1501" t="str">
        <f t="shared" si="65"/>
        <v/>
      </c>
      <c r="J1371" s="1501" t="str">
        <f t="shared" si="64"/>
        <v/>
      </c>
      <c r="K1371" s="261"/>
      <c r="L1371" s="309"/>
      <c r="M1371" s="309"/>
      <c r="N1371" s="309"/>
      <c r="O1371" s="309"/>
      <c r="P1371" s="309"/>
      <c r="Q1371" s="309"/>
      <c r="R1371" s="309"/>
      <c r="S1371" s="309"/>
      <c r="T1371" s="309"/>
      <c r="U1371" s="309"/>
    </row>
    <row r="1372" spans="1:21" ht="12.75" customHeight="1">
      <c r="A1372" s="1409"/>
      <c r="B1372" s="625"/>
      <c r="C1372" s="623"/>
      <c r="D1372" s="792"/>
      <c r="E1372" s="624"/>
      <c r="F1372" s="546"/>
      <c r="G1372" s="1508"/>
      <c r="H1372" s="1501"/>
      <c r="I1372" s="1501" t="str">
        <f t="shared" si="65"/>
        <v/>
      </c>
      <c r="J1372" s="1501" t="str">
        <f t="shared" si="64"/>
        <v/>
      </c>
      <c r="K1372" s="261"/>
      <c r="L1372" s="309"/>
      <c r="M1372" s="309"/>
      <c r="N1372" s="309"/>
      <c r="O1372" s="309"/>
      <c r="P1372" s="309"/>
      <c r="Q1372" s="309"/>
      <c r="R1372" s="309"/>
      <c r="S1372" s="309"/>
      <c r="T1372" s="309"/>
      <c r="U1372" s="309"/>
    </row>
    <row r="1373" spans="1:21" ht="12.75" customHeight="1">
      <c r="A1373" s="1366">
        <v>39771</v>
      </c>
      <c r="B1373" s="625"/>
      <c r="C1373" s="623"/>
      <c r="D1373" s="792"/>
      <c r="E1373" s="624"/>
      <c r="F1373" s="546"/>
      <c r="G1373" s="1508"/>
      <c r="H1373" s="1501"/>
      <c r="I1373" s="1501" t="str">
        <f t="shared" si="65"/>
        <v/>
      </c>
      <c r="J1373" s="1501" t="str">
        <f t="shared" si="64"/>
        <v>KO</v>
      </c>
      <c r="K1373" s="261"/>
      <c r="L1373" s="309"/>
      <c r="M1373" s="309"/>
      <c r="N1373" s="309"/>
      <c r="O1373" s="309"/>
      <c r="P1373" s="309"/>
      <c r="Q1373" s="309"/>
      <c r="R1373" s="309"/>
      <c r="S1373" s="309"/>
      <c r="T1373" s="309"/>
      <c r="U1373" s="309"/>
    </row>
    <row r="1374" spans="1:21" ht="12.75" customHeight="1">
      <c r="A1374" s="345" t="s">
        <v>975</v>
      </c>
      <c r="B1374" s="625"/>
      <c r="C1374" s="623"/>
      <c r="D1374" s="792"/>
      <c r="E1374" s="624"/>
      <c r="F1374" s="546"/>
      <c r="G1374" s="1508"/>
      <c r="H1374" s="1501"/>
      <c r="I1374" s="1501" t="str">
        <f t="shared" si="65"/>
        <v/>
      </c>
      <c r="J1374" s="1501" t="str">
        <f t="shared" si="64"/>
        <v/>
      </c>
      <c r="K1374" s="261"/>
      <c r="L1374" s="309"/>
      <c r="M1374" s="309"/>
      <c r="N1374" s="309"/>
      <c r="O1374" s="309"/>
      <c r="P1374" s="309"/>
      <c r="Q1374" s="309"/>
      <c r="R1374" s="309"/>
      <c r="S1374" s="309"/>
      <c r="T1374" s="309"/>
      <c r="U1374" s="309"/>
    </row>
    <row r="1375" spans="1:21" ht="12.75" customHeight="1">
      <c r="A1375" s="334" t="s">
        <v>232</v>
      </c>
      <c r="B1375" s="625">
        <v>100</v>
      </c>
      <c r="C1375" s="623">
        <v>21.92</v>
      </c>
      <c r="D1375" s="792">
        <v>9.99</v>
      </c>
      <c r="E1375" s="624">
        <f>B1375*C1375-D1375</f>
        <v>2182.0100000000002</v>
      </c>
      <c r="F1375" s="546" t="s">
        <v>154</v>
      </c>
      <c r="G1375" s="1508"/>
      <c r="H1375" s="1501"/>
      <c r="I1375" s="1501" t="str">
        <f t="shared" si="65"/>
        <v>KO</v>
      </c>
      <c r="J1375" s="1501" t="str">
        <f t="shared" si="64"/>
        <v/>
      </c>
      <c r="K1375" s="261"/>
      <c r="L1375" s="309"/>
      <c r="M1375" s="309"/>
      <c r="N1375" s="309"/>
      <c r="O1375" s="309"/>
      <c r="P1375" s="309"/>
      <c r="Q1375" s="309"/>
      <c r="R1375" s="309"/>
      <c r="S1375" s="309"/>
      <c r="T1375" s="309"/>
      <c r="U1375" s="309"/>
    </row>
    <row r="1376" spans="1:21" ht="12.75" customHeight="1">
      <c r="A1376" s="298"/>
      <c r="B1376" s="625" t="s">
        <v>976</v>
      </c>
      <c r="C1376" s="623"/>
      <c r="D1376" s="792"/>
      <c r="E1376" s="624"/>
      <c r="F1376" s="546"/>
      <c r="G1376" s="1508"/>
      <c r="H1376" s="1501"/>
      <c r="I1376" s="1501" t="str">
        <f t="shared" si="65"/>
        <v/>
      </c>
      <c r="J1376" s="1501" t="str">
        <f t="shared" si="64"/>
        <v/>
      </c>
      <c r="K1376" s="261"/>
      <c r="L1376" s="309"/>
      <c r="M1376" s="309"/>
      <c r="N1376" s="309"/>
      <c r="O1376" s="309"/>
      <c r="P1376" s="309"/>
      <c r="Q1376" s="309"/>
      <c r="R1376" s="309"/>
      <c r="S1376" s="309"/>
      <c r="T1376" s="309"/>
      <c r="U1376" s="309"/>
    </row>
    <row r="1377" spans="1:21" ht="12.75" customHeight="1">
      <c r="A1377" s="297">
        <v>39757</v>
      </c>
      <c r="B1377" s="625"/>
      <c r="C1377" s="623"/>
      <c r="D1377" s="792"/>
      <c r="E1377" s="624"/>
      <c r="F1377" s="546"/>
      <c r="G1377" s="1508"/>
      <c r="H1377" s="1501"/>
      <c r="I1377" s="1501" t="str">
        <f t="shared" si="65"/>
        <v/>
      </c>
      <c r="J1377" s="1501" t="str">
        <f t="shared" si="64"/>
        <v>POT</v>
      </c>
      <c r="K1377" s="261"/>
      <c r="L1377" s="309"/>
      <c r="M1377" s="309"/>
      <c r="N1377" s="309"/>
      <c r="O1377" s="309"/>
      <c r="P1377" s="309"/>
      <c r="Q1377" s="309"/>
      <c r="R1377" s="309"/>
      <c r="S1377" s="309"/>
      <c r="T1377" s="309"/>
      <c r="U1377" s="309"/>
    </row>
    <row r="1378" spans="1:21" ht="12.75" customHeight="1">
      <c r="A1378" s="345" t="s">
        <v>975</v>
      </c>
      <c r="B1378" s="625"/>
      <c r="C1378" s="623"/>
      <c r="D1378" s="792"/>
      <c r="E1378" s="624"/>
      <c r="F1378" s="546"/>
      <c r="G1378" s="1508"/>
      <c r="H1378" s="1501"/>
      <c r="I1378" s="1501" t="str">
        <f t="shared" si="65"/>
        <v/>
      </c>
      <c r="J1378" s="1501" t="str">
        <f t="shared" si="64"/>
        <v/>
      </c>
      <c r="K1378" s="261"/>
      <c r="L1378" s="309"/>
      <c r="M1378" s="309"/>
      <c r="N1378" s="309"/>
      <c r="O1378" s="309"/>
      <c r="P1378" s="309"/>
      <c r="Q1378" s="309"/>
      <c r="R1378" s="309"/>
      <c r="S1378" s="309"/>
      <c r="T1378" s="309"/>
      <c r="U1378" s="309"/>
    </row>
    <row r="1379" spans="1:21" ht="12.75" customHeight="1">
      <c r="A1379" s="334" t="s">
        <v>977</v>
      </c>
      <c r="B1379" s="625">
        <v>15</v>
      </c>
      <c r="C1379" s="623">
        <v>90.046400000000006</v>
      </c>
      <c r="D1379" s="792">
        <v>9.99</v>
      </c>
      <c r="E1379" s="624">
        <f>B1379*C1379-D1379</f>
        <v>1340.7060000000001</v>
      </c>
      <c r="F1379" s="546" t="s">
        <v>237</v>
      </c>
      <c r="G1379" s="1508"/>
      <c r="H1379" s="1501"/>
      <c r="I1379" s="1501" t="str">
        <f t="shared" si="65"/>
        <v>POT</v>
      </c>
      <c r="J1379" s="1501" t="str">
        <f t="shared" si="64"/>
        <v/>
      </c>
      <c r="K1379" s="261"/>
      <c r="L1379" s="309"/>
      <c r="M1379" s="309"/>
      <c r="N1379" s="309"/>
      <c r="O1379" s="309"/>
      <c r="P1379" s="309"/>
      <c r="Q1379" s="309"/>
      <c r="R1379" s="309"/>
      <c r="S1379" s="309"/>
      <c r="T1379" s="309"/>
      <c r="U1379" s="309"/>
    </row>
    <row r="1380" spans="1:21" ht="12.75" customHeight="1">
      <c r="A1380" s="298"/>
      <c r="B1380" s="625"/>
      <c r="C1380" s="623"/>
      <c r="D1380" s="792"/>
      <c r="E1380" s="624"/>
      <c r="F1380" s="546"/>
      <c r="G1380" s="1508"/>
      <c r="H1380" s="1501"/>
      <c r="I1380" s="1501" t="str">
        <f t="shared" si="65"/>
        <v/>
      </c>
      <c r="J1380" s="1501" t="str">
        <f t="shared" si="64"/>
        <v/>
      </c>
      <c r="K1380" s="261"/>
      <c r="L1380" s="309"/>
      <c r="M1380" s="309"/>
      <c r="N1380" s="309"/>
      <c r="O1380" s="309"/>
      <c r="P1380" s="309"/>
      <c r="Q1380" s="309"/>
      <c r="R1380" s="309"/>
      <c r="S1380" s="309"/>
      <c r="T1380" s="309"/>
      <c r="U1380" s="309"/>
    </row>
    <row r="1381" spans="1:21" ht="12.75" customHeight="1">
      <c r="A1381" s="297">
        <v>39708</v>
      </c>
      <c r="B1381" s="625"/>
      <c r="C1381" s="623"/>
      <c r="D1381" s="792"/>
      <c r="E1381" s="624"/>
      <c r="F1381" s="546"/>
      <c r="G1381" s="1508"/>
      <c r="H1381" s="1501"/>
      <c r="I1381" s="1501" t="str">
        <f t="shared" si="65"/>
        <v/>
      </c>
      <c r="J1381" s="1501" t="str">
        <f t="shared" si="64"/>
        <v/>
      </c>
      <c r="K1381" s="261"/>
      <c r="L1381" s="309"/>
      <c r="M1381" s="309"/>
      <c r="N1381" s="309"/>
      <c r="O1381" s="309"/>
      <c r="P1381" s="309"/>
      <c r="Q1381" s="309"/>
      <c r="R1381" s="309"/>
      <c r="S1381" s="309"/>
      <c r="T1381" s="309"/>
      <c r="U1381" s="309"/>
    </row>
    <row r="1382" spans="1:21" ht="12.75" customHeight="1">
      <c r="A1382" s="1410" t="s">
        <v>820</v>
      </c>
      <c r="B1382" s="625"/>
      <c r="C1382" s="623"/>
      <c r="D1382" s="792"/>
      <c r="E1382" s="624"/>
      <c r="F1382" s="546"/>
      <c r="G1382" s="1508"/>
      <c r="H1382" s="1501"/>
      <c r="I1382" s="1501" t="str">
        <f t="shared" si="65"/>
        <v/>
      </c>
      <c r="J1382" s="1501" t="str">
        <f t="shared" si="64"/>
        <v/>
      </c>
      <c r="K1382" s="261"/>
      <c r="L1382" s="309"/>
      <c r="M1382" s="309"/>
      <c r="N1382" s="309"/>
      <c r="O1382" s="309"/>
      <c r="P1382" s="309"/>
      <c r="Q1382" s="309"/>
      <c r="R1382" s="309"/>
      <c r="S1382" s="309"/>
      <c r="T1382" s="309"/>
      <c r="U1382" s="309"/>
    </row>
    <row r="1383" spans="1:21" ht="12.75" customHeight="1">
      <c r="A1383" s="334" t="s">
        <v>48</v>
      </c>
      <c r="B1383" s="625">
        <v>90</v>
      </c>
      <c r="C1383" s="623">
        <v>18.64</v>
      </c>
      <c r="D1383" s="792">
        <v>9.99</v>
      </c>
      <c r="E1383" s="624">
        <f>B1383*C1383-D1383</f>
        <v>1667.6100000000001</v>
      </c>
      <c r="F1383" s="546" t="s">
        <v>49</v>
      </c>
      <c r="G1383" s="1508"/>
      <c r="H1383" s="1501"/>
      <c r="I1383" s="1501" t="str">
        <f t="shared" si="65"/>
        <v/>
      </c>
      <c r="J1383" s="1501" t="str">
        <f t="shared" si="64"/>
        <v/>
      </c>
      <c r="K1383" s="261"/>
      <c r="L1383" s="309"/>
      <c r="M1383" s="309"/>
      <c r="N1383" s="309"/>
      <c r="O1383" s="309"/>
      <c r="P1383" s="309"/>
      <c r="Q1383" s="309"/>
      <c r="R1383" s="309"/>
      <c r="S1383" s="309"/>
      <c r="T1383" s="309"/>
      <c r="U1383" s="309"/>
    </row>
    <row r="1384" spans="1:21" ht="12.75" customHeight="1">
      <c r="A1384" s="298"/>
      <c r="B1384" s="625"/>
      <c r="C1384" s="623"/>
      <c r="D1384" s="792"/>
      <c r="E1384" s="624"/>
      <c r="F1384" s="546"/>
      <c r="G1384" s="1508"/>
      <c r="H1384" s="1501"/>
      <c r="I1384" s="1501" t="str">
        <f t="shared" si="65"/>
        <v/>
      </c>
      <c r="J1384" s="1501" t="str">
        <f t="shared" si="64"/>
        <v/>
      </c>
      <c r="K1384" s="261"/>
      <c r="L1384" s="309"/>
      <c r="M1384" s="309"/>
      <c r="N1384" s="309"/>
      <c r="O1384" s="309"/>
      <c r="P1384" s="309"/>
      <c r="Q1384" s="309"/>
      <c r="R1384" s="309"/>
      <c r="S1384" s="309"/>
      <c r="T1384" s="309"/>
      <c r="U1384" s="309"/>
    </row>
    <row r="1385" spans="1:21" ht="12.75" customHeight="1">
      <c r="A1385" s="1369" t="s">
        <v>978</v>
      </c>
      <c r="B1385" s="625"/>
      <c r="C1385" s="623"/>
      <c r="D1385" s="792"/>
      <c r="E1385" s="624"/>
      <c r="F1385" s="546"/>
      <c r="G1385" s="1508"/>
      <c r="H1385" s="1501"/>
      <c r="I1385" s="1501" t="str">
        <f t="shared" si="65"/>
        <v/>
      </c>
      <c r="J1385" s="1501" t="str">
        <f t="shared" si="64"/>
        <v>WMI</v>
      </c>
      <c r="K1385" s="261"/>
      <c r="L1385" s="309"/>
      <c r="M1385" s="309"/>
      <c r="N1385" s="309"/>
      <c r="O1385" s="309"/>
      <c r="P1385" s="309"/>
      <c r="Q1385" s="309"/>
      <c r="R1385" s="309"/>
      <c r="S1385" s="309"/>
      <c r="T1385" s="309"/>
      <c r="U1385" s="309"/>
    </row>
    <row r="1386" spans="1:21" ht="12.75" customHeight="1">
      <c r="A1386" s="1411" t="s">
        <v>975</v>
      </c>
      <c r="B1386" s="625"/>
      <c r="C1386" s="623"/>
      <c r="D1386" s="792"/>
      <c r="E1386" s="624"/>
      <c r="F1386" s="546"/>
      <c r="G1386" s="1508"/>
      <c r="H1386" s="1501"/>
      <c r="I1386" s="1501" t="str">
        <f t="shared" si="65"/>
        <v/>
      </c>
      <c r="J1386" s="1501" t="str">
        <f t="shared" si="64"/>
        <v/>
      </c>
      <c r="K1386" s="261"/>
      <c r="L1386" s="309"/>
      <c r="M1386" s="309"/>
      <c r="N1386" s="309"/>
      <c r="O1386" s="309"/>
      <c r="P1386" s="309"/>
      <c r="Q1386" s="309"/>
      <c r="R1386" s="309"/>
      <c r="S1386" s="309"/>
      <c r="T1386" s="309"/>
      <c r="U1386" s="309"/>
    </row>
    <row r="1387" spans="1:21" ht="12.75" customHeight="1">
      <c r="A1387" s="299" t="s">
        <v>979</v>
      </c>
      <c r="B1387" s="625">
        <v>75</v>
      </c>
      <c r="C1387" s="623">
        <v>34.789400000000001</v>
      </c>
      <c r="D1387" s="792">
        <v>9.99</v>
      </c>
      <c r="E1387" s="624">
        <f>B1387*C1387-D1387</f>
        <v>2599.2150000000001</v>
      </c>
      <c r="F1387" s="546" t="s">
        <v>241</v>
      </c>
      <c r="G1387" s="1508"/>
      <c r="H1387" s="1501"/>
      <c r="I1387" s="1501" t="str">
        <f t="shared" si="65"/>
        <v>WMI</v>
      </c>
      <c r="J1387" s="1501" t="str">
        <f t="shared" si="64"/>
        <v/>
      </c>
      <c r="K1387" s="261"/>
      <c r="L1387" s="309"/>
      <c r="M1387" s="309"/>
      <c r="N1387" s="309"/>
      <c r="O1387" s="309"/>
      <c r="P1387" s="309"/>
      <c r="Q1387" s="309"/>
      <c r="R1387" s="309"/>
      <c r="S1387" s="309"/>
      <c r="T1387" s="309"/>
      <c r="U1387" s="309"/>
    </row>
    <row r="1388" spans="1:21" ht="12.75" customHeight="1">
      <c r="A1388" s="300"/>
      <c r="B1388" s="625"/>
      <c r="C1388" s="623"/>
      <c r="D1388" s="792"/>
      <c r="E1388" s="624"/>
      <c r="F1388" s="546"/>
      <c r="G1388" s="1508"/>
      <c r="H1388" s="1501"/>
      <c r="I1388" s="1501" t="str">
        <f t="shared" si="65"/>
        <v/>
      </c>
      <c r="J1388" s="1501" t="str">
        <f t="shared" si="64"/>
        <v/>
      </c>
      <c r="K1388" s="261"/>
      <c r="L1388" s="309"/>
      <c r="M1388" s="309"/>
      <c r="N1388" s="309"/>
      <c r="O1388" s="309"/>
      <c r="P1388" s="309"/>
      <c r="Q1388" s="309"/>
      <c r="R1388" s="309"/>
      <c r="S1388" s="309"/>
      <c r="T1388" s="309"/>
      <c r="U1388" s="309"/>
    </row>
    <row r="1389" spans="1:21" ht="12.75" customHeight="1">
      <c r="A1389" s="1369" t="s">
        <v>980</v>
      </c>
      <c r="B1389" s="625"/>
      <c r="C1389" s="623"/>
      <c r="D1389" s="792"/>
      <c r="E1389" s="624"/>
      <c r="F1389" s="546"/>
      <c r="G1389" s="1508"/>
      <c r="H1389" s="1501"/>
      <c r="I1389" s="1501" t="str">
        <f t="shared" si="65"/>
        <v/>
      </c>
      <c r="J1389" s="1501" t="str">
        <f t="shared" si="64"/>
        <v>TECH</v>
      </c>
      <c r="K1389" s="261"/>
      <c r="L1389" s="309"/>
      <c r="M1389" s="309"/>
      <c r="N1389" s="309"/>
      <c r="O1389" s="309"/>
      <c r="P1389" s="309"/>
      <c r="Q1389" s="309"/>
      <c r="R1389" s="309"/>
      <c r="S1389" s="309"/>
      <c r="T1389" s="309"/>
      <c r="U1389" s="309"/>
    </row>
    <row r="1390" spans="1:21" ht="12.75" customHeight="1">
      <c r="A1390" s="1411" t="s">
        <v>975</v>
      </c>
      <c r="B1390" s="625"/>
      <c r="C1390" s="623"/>
      <c r="D1390" s="792"/>
      <c r="E1390" s="624"/>
      <c r="F1390" s="546"/>
      <c r="G1390" s="1508"/>
      <c r="H1390" s="1501"/>
      <c r="I1390" s="1501" t="str">
        <f t="shared" si="65"/>
        <v/>
      </c>
      <c r="J1390" s="1501" t="str">
        <f t="shared" si="64"/>
        <v/>
      </c>
      <c r="K1390" s="261"/>
      <c r="L1390" s="309"/>
      <c r="M1390" s="309"/>
      <c r="N1390" s="309"/>
      <c r="O1390" s="309"/>
      <c r="P1390" s="309"/>
      <c r="Q1390" s="309"/>
      <c r="R1390" s="309"/>
      <c r="S1390" s="309"/>
      <c r="T1390" s="309"/>
      <c r="U1390" s="309"/>
    </row>
    <row r="1391" spans="1:21" ht="12.75" customHeight="1">
      <c r="A1391" s="299" t="s">
        <v>238</v>
      </c>
      <c r="B1391" s="625">
        <v>40</v>
      </c>
      <c r="C1391" s="623">
        <v>69.78</v>
      </c>
      <c r="D1391" s="792">
        <v>9.99</v>
      </c>
      <c r="E1391" s="624">
        <f>B1391*C1391-D1391</f>
        <v>2781.21</v>
      </c>
      <c r="F1391" s="546" t="s">
        <v>239</v>
      </c>
      <c r="G1391" s="1508"/>
      <c r="H1391" s="1501"/>
      <c r="I1391" s="1501" t="str">
        <f t="shared" si="65"/>
        <v>TECH</v>
      </c>
      <c r="J1391" s="1501" t="str">
        <f t="shared" si="64"/>
        <v/>
      </c>
      <c r="K1391" s="261"/>
      <c r="L1391" s="309"/>
      <c r="M1391" s="309"/>
      <c r="N1391" s="309"/>
      <c r="O1391" s="309"/>
      <c r="P1391" s="309"/>
      <c r="Q1391" s="309"/>
      <c r="R1391" s="309"/>
      <c r="S1391" s="309"/>
      <c r="T1391" s="309"/>
      <c r="U1391" s="309"/>
    </row>
    <row r="1392" spans="1:21" ht="12.75" customHeight="1">
      <c r="A1392" s="300"/>
      <c r="B1392" s="625"/>
      <c r="C1392" s="623"/>
      <c r="D1392" s="792"/>
      <c r="E1392" s="624"/>
      <c r="F1392" s="546"/>
      <c r="G1392" s="1508"/>
      <c r="H1392" s="1501"/>
      <c r="I1392" s="1501" t="str">
        <f t="shared" si="65"/>
        <v/>
      </c>
      <c r="J1392" s="1501" t="str">
        <f t="shared" si="64"/>
        <v/>
      </c>
      <c r="K1392" s="261"/>
      <c r="L1392" s="309"/>
      <c r="M1392" s="309"/>
      <c r="N1392" s="309"/>
      <c r="O1392" s="309"/>
      <c r="P1392" s="309"/>
      <c r="Q1392" s="309"/>
      <c r="R1392" s="309"/>
      <c r="S1392" s="309"/>
      <c r="T1392" s="309"/>
      <c r="U1392" s="309"/>
    </row>
    <row r="1393" spans="1:21" ht="12.75" customHeight="1">
      <c r="A1393" s="1369">
        <v>39527</v>
      </c>
      <c r="B1393" s="625"/>
      <c r="C1393" s="623"/>
      <c r="D1393" s="792"/>
      <c r="E1393" s="624"/>
      <c r="F1393" s="546"/>
      <c r="G1393" s="1508"/>
      <c r="H1393" s="1501"/>
      <c r="I1393" s="1501" t="str">
        <f t="shared" si="65"/>
        <v/>
      </c>
      <c r="J1393" s="1501" t="str">
        <f t="shared" si="64"/>
        <v>MMM</v>
      </c>
      <c r="K1393" s="261"/>
      <c r="L1393" s="309"/>
      <c r="M1393" s="309"/>
      <c r="N1393" s="309"/>
      <c r="O1393" s="309"/>
      <c r="P1393" s="309"/>
      <c r="Q1393" s="309"/>
      <c r="R1393" s="309"/>
      <c r="S1393" s="309"/>
      <c r="T1393" s="309"/>
      <c r="U1393" s="309"/>
    </row>
    <row r="1394" spans="1:21" ht="12.75" customHeight="1">
      <c r="A1394" s="1411" t="s">
        <v>975</v>
      </c>
      <c r="B1394" s="625"/>
      <c r="C1394" s="623"/>
      <c r="D1394" s="792"/>
      <c r="E1394" s="624"/>
      <c r="F1394" s="546"/>
      <c r="G1394" s="1508"/>
      <c r="H1394" s="1501"/>
      <c r="I1394" s="1501" t="str">
        <f t="shared" si="65"/>
        <v/>
      </c>
      <c r="J1394" s="1501" t="str">
        <f t="shared" si="64"/>
        <v/>
      </c>
      <c r="K1394" s="261"/>
      <c r="L1394" s="309"/>
      <c r="M1394" s="309"/>
      <c r="N1394" s="309"/>
      <c r="O1394" s="309"/>
      <c r="P1394" s="309"/>
      <c r="Q1394" s="309"/>
      <c r="R1394" s="309"/>
      <c r="S1394" s="309"/>
      <c r="T1394" s="309"/>
      <c r="U1394" s="309"/>
    </row>
    <row r="1395" spans="1:21" ht="12.75" customHeight="1">
      <c r="A1395" s="299" t="s">
        <v>230</v>
      </c>
      <c r="B1395" s="625">
        <v>25</v>
      </c>
      <c r="C1395" s="623">
        <v>78.319999999999993</v>
      </c>
      <c r="D1395" s="792">
        <v>9.99</v>
      </c>
      <c r="E1395" s="624">
        <f>B1395*C1395-D1395</f>
        <v>1948.0099999999998</v>
      </c>
      <c r="F1395" s="546" t="s">
        <v>231</v>
      </c>
      <c r="G1395" s="1510">
        <f>E1395/B1395*H181</f>
        <v>1480.4875999999997</v>
      </c>
      <c r="H1395" s="1501" t="s">
        <v>981</v>
      </c>
      <c r="I1395" s="1501" t="str">
        <f t="shared" si="65"/>
        <v>MMM</v>
      </c>
      <c r="J1395" s="1501" t="str">
        <f t="shared" si="64"/>
        <v/>
      </c>
      <c r="K1395" s="261"/>
      <c r="L1395" s="309"/>
      <c r="M1395" s="309"/>
      <c r="N1395" s="309"/>
      <c r="O1395" s="309"/>
      <c r="P1395" s="309"/>
      <c r="Q1395" s="309"/>
      <c r="R1395" s="309"/>
      <c r="S1395" s="309"/>
      <c r="T1395" s="309"/>
      <c r="U1395" s="309"/>
    </row>
    <row r="1396" spans="1:21" ht="12.75" customHeight="1">
      <c r="A1396" s="300"/>
      <c r="B1396" s="625"/>
      <c r="C1396" s="623"/>
      <c r="D1396" s="792"/>
      <c r="E1396" s="624"/>
      <c r="F1396" s="546"/>
      <c r="G1396" s="1508"/>
      <c r="H1396" s="1501"/>
      <c r="I1396" s="1501" t="str">
        <f t="shared" si="65"/>
        <v/>
      </c>
      <c r="J1396" s="1501" t="str">
        <f t="shared" si="64"/>
        <v/>
      </c>
      <c r="K1396" s="261"/>
      <c r="L1396" s="309"/>
      <c r="M1396" s="309"/>
      <c r="N1396" s="309"/>
      <c r="O1396" s="309"/>
      <c r="P1396" s="309"/>
      <c r="Q1396" s="309"/>
      <c r="R1396" s="309"/>
      <c r="S1396" s="309"/>
      <c r="T1396" s="309"/>
      <c r="U1396" s="309"/>
    </row>
    <row r="1397" spans="1:21" ht="12.75" customHeight="1">
      <c r="A1397" s="1369" t="s">
        <v>982</v>
      </c>
      <c r="B1397" s="625"/>
      <c r="C1397" s="623"/>
      <c r="D1397" s="792"/>
      <c r="E1397" s="624"/>
      <c r="F1397" s="546"/>
      <c r="G1397" s="1508"/>
      <c r="H1397" s="1501"/>
      <c r="I1397" s="1501" t="str">
        <f t="shared" si="65"/>
        <v/>
      </c>
      <c r="J1397" s="1501" t="str">
        <f t="shared" si="64"/>
        <v/>
      </c>
      <c r="K1397" s="261"/>
      <c r="L1397" s="309"/>
      <c r="M1397" s="309"/>
      <c r="N1397" s="309"/>
      <c r="O1397" s="309"/>
      <c r="P1397" s="309"/>
      <c r="Q1397" s="309"/>
      <c r="R1397" s="309"/>
      <c r="S1397" s="309"/>
      <c r="T1397" s="309"/>
      <c r="U1397" s="309"/>
    </row>
    <row r="1398" spans="1:21" ht="12.75" customHeight="1">
      <c r="A1398" s="1410" t="s">
        <v>820</v>
      </c>
      <c r="B1398" s="625"/>
      <c r="C1398" s="623"/>
      <c r="D1398" s="792"/>
      <c r="E1398" s="624"/>
      <c r="F1398" s="546"/>
      <c r="G1398" s="1508"/>
      <c r="H1398" s="1501"/>
      <c r="I1398" s="1501" t="str">
        <f t="shared" si="65"/>
        <v/>
      </c>
      <c r="J1398" s="1501" t="str">
        <f t="shared" si="64"/>
        <v/>
      </c>
      <c r="K1398" s="261"/>
      <c r="L1398" s="309"/>
      <c r="M1398" s="309"/>
      <c r="N1398" s="309"/>
      <c r="O1398" s="309"/>
      <c r="P1398" s="309"/>
      <c r="Q1398" s="309"/>
      <c r="R1398" s="309"/>
      <c r="S1398" s="309"/>
      <c r="T1398" s="309"/>
      <c r="U1398" s="309"/>
    </row>
    <row r="1399" spans="1:21" ht="12.75" customHeight="1">
      <c r="A1399" s="299" t="s">
        <v>244</v>
      </c>
      <c r="B1399" s="625">
        <v>60</v>
      </c>
      <c r="C1399" s="623">
        <v>44.64</v>
      </c>
      <c r="D1399" s="792">
        <v>9.99</v>
      </c>
      <c r="E1399" s="624">
        <f>B1399*C1399-D1399</f>
        <v>2668.4100000000003</v>
      </c>
      <c r="F1399" s="546" t="s">
        <v>19</v>
      </c>
      <c r="G1399" s="1508"/>
      <c r="H1399" s="1501"/>
      <c r="I1399" s="1501" t="str">
        <f t="shared" si="65"/>
        <v/>
      </c>
      <c r="J1399" s="1501" t="str">
        <f t="shared" si="64"/>
        <v/>
      </c>
      <c r="K1399" s="261"/>
      <c r="L1399" s="309"/>
      <c r="M1399" s="309"/>
      <c r="N1399" s="309"/>
      <c r="O1399" s="309"/>
      <c r="P1399" s="309"/>
      <c r="Q1399" s="309"/>
      <c r="R1399" s="309"/>
      <c r="S1399" s="309"/>
      <c r="T1399" s="309"/>
      <c r="U1399" s="309"/>
    </row>
    <row r="1400" spans="1:21" ht="12.75" customHeight="1">
      <c r="A1400" s="300"/>
      <c r="B1400" s="625"/>
      <c r="C1400" s="623"/>
      <c r="D1400" s="792"/>
      <c r="E1400" s="624"/>
      <c r="F1400" s="546"/>
      <c r="G1400" s="1508"/>
      <c r="H1400" s="1501"/>
      <c r="I1400" s="1501" t="str">
        <f t="shared" si="65"/>
        <v/>
      </c>
      <c r="J1400" s="1501" t="str">
        <f t="shared" si="64"/>
        <v/>
      </c>
      <c r="K1400" s="261"/>
      <c r="L1400" s="309"/>
      <c r="M1400" s="309"/>
      <c r="N1400" s="309"/>
      <c r="O1400" s="309"/>
      <c r="P1400" s="309"/>
      <c r="Q1400" s="309"/>
      <c r="R1400" s="309"/>
      <c r="S1400" s="309"/>
      <c r="T1400" s="309"/>
      <c r="U1400" s="309"/>
    </row>
    <row r="1401" spans="1:21" ht="12.75" customHeight="1">
      <c r="A1401" s="1369" t="s">
        <v>983</v>
      </c>
      <c r="B1401" s="625"/>
      <c r="C1401" s="623"/>
      <c r="D1401" s="792"/>
      <c r="E1401" s="624"/>
      <c r="F1401" s="546"/>
      <c r="G1401" s="1508"/>
      <c r="H1401" s="1501"/>
      <c r="I1401" s="1501" t="str">
        <f t="shared" si="65"/>
        <v/>
      </c>
      <c r="J1401" s="1501" t="str">
        <f t="shared" si="64"/>
        <v>XTO</v>
      </c>
      <c r="K1401" s="271"/>
      <c r="L1401" s="309"/>
      <c r="M1401" s="309"/>
      <c r="N1401" s="309"/>
      <c r="O1401" s="309"/>
      <c r="P1401" s="309"/>
      <c r="Q1401" s="309"/>
      <c r="R1401" s="309"/>
      <c r="S1401" s="309"/>
      <c r="T1401" s="309"/>
      <c r="U1401" s="309"/>
    </row>
    <row r="1402" spans="1:21" ht="12.75" customHeight="1">
      <c r="A1402" s="1411" t="s">
        <v>975</v>
      </c>
      <c r="B1402" s="625"/>
      <c r="C1402" s="623"/>
      <c r="D1402" s="792"/>
      <c r="E1402" s="624"/>
      <c r="F1402" s="546"/>
      <c r="G1402" s="1508"/>
      <c r="H1402" s="1501"/>
      <c r="I1402" s="1501" t="str">
        <f t="shared" si="65"/>
        <v/>
      </c>
      <c r="J1402" s="1501" t="str">
        <f t="shared" si="64"/>
        <v/>
      </c>
      <c r="K1402" s="261"/>
      <c r="L1402" s="309"/>
      <c r="M1402" s="309"/>
      <c r="N1402" s="309"/>
      <c r="O1402" s="309"/>
      <c r="P1402" s="309"/>
      <c r="Q1402" s="309"/>
      <c r="R1402" s="309"/>
      <c r="S1402" s="309"/>
      <c r="T1402" s="309"/>
      <c r="U1402" s="309"/>
    </row>
    <row r="1403" spans="1:21" ht="12.75" customHeight="1">
      <c r="A1403" s="299" t="s">
        <v>984</v>
      </c>
      <c r="B1403" s="625">
        <v>28</v>
      </c>
      <c r="C1403" s="623">
        <v>84.3</v>
      </c>
      <c r="D1403" s="792">
        <v>9.99</v>
      </c>
      <c r="E1403" s="624">
        <f>B1403*C1403-D1403</f>
        <v>2350.4100000000003</v>
      </c>
      <c r="F1403" s="546" t="s">
        <v>243</v>
      </c>
      <c r="G1403" s="1508"/>
      <c r="H1403" s="1501"/>
      <c r="I1403" s="1501" t="str">
        <f t="shared" si="65"/>
        <v>XTO</v>
      </c>
      <c r="J1403" s="1501" t="str">
        <f t="shared" si="64"/>
        <v/>
      </c>
      <c r="K1403" s="1412"/>
      <c r="L1403" s="309"/>
      <c r="M1403" s="309"/>
      <c r="N1403" s="309"/>
      <c r="O1403" s="309"/>
      <c r="P1403" s="309"/>
      <c r="Q1403" s="309"/>
      <c r="R1403" s="309"/>
      <c r="S1403" s="309"/>
      <c r="T1403" s="309"/>
      <c r="U1403" s="309"/>
    </row>
    <row r="1404" spans="1:21" ht="12.75" customHeight="1">
      <c r="A1404" s="309"/>
      <c r="B1404" s="625" t="s">
        <v>985</v>
      </c>
      <c r="C1404" s="623"/>
      <c r="D1404" s="792"/>
      <c r="E1404" s="624"/>
      <c r="F1404" s="546"/>
      <c r="G1404" s="1508"/>
      <c r="H1404" s="1501"/>
      <c r="I1404" s="1501" t="str">
        <f t="shared" si="65"/>
        <v/>
      </c>
      <c r="J1404" s="1501" t="str">
        <f t="shared" si="64"/>
        <v/>
      </c>
      <c r="K1404" s="261"/>
      <c r="L1404" s="309"/>
      <c r="M1404" s="309"/>
      <c r="N1404" s="309"/>
      <c r="O1404" s="309"/>
      <c r="P1404" s="309"/>
      <c r="Q1404" s="309"/>
      <c r="R1404" s="309"/>
      <c r="S1404" s="309"/>
      <c r="T1404" s="309"/>
      <c r="U1404" s="309"/>
    </row>
    <row r="1405" spans="1:21" ht="12.75" customHeight="1">
      <c r="A1405" s="1369" t="s">
        <v>986</v>
      </c>
      <c r="B1405" s="625"/>
      <c r="C1405" s="623"/>
      <c r="D1405" s="792"/>
      <c r="E1405" s="624"/>
      <c r="F1405" s="546"/>
      <c r="G1405" s="1508"/>
      <c r="H1405" s="1501"/>
      <c r="I1405" s="1501" t="str">
        <f t="shared" si="65"/>
        <v/>
      </c>
      <c r="J1405" s="1501" t="str">
        <f t="shared" si="64"/>
        <v>FMCN</v>
      </c>
      <c r="K1405" s="271"/>
      <c r="L1405" s="309"/>
      <c r="M1405" s="309"/>
      <c r="N1405" s="309"/>
      <c r="O1405" s="309"/>
      <c r="P1405" s="309"/>
      <c r="Q1405" s="309"/>
      <c r="R1405" s="309"/>
      <c r="S1405" s="309"/>
      <c r="T1405" s="309"/>
      <c r="U1405" s="309"/>
    </row>
    <row r="1406" spans="1:21" ht="12.75" customHeight="1">
      <c r="A1406" s="1411" t="s">
        <v>975</v>
      </c>
      <c r="B1406" s="625"/>
      <c r="C1406" s="623"/>
      <c r="D1406" s="792"/>
      <c r="E1406" s="624"/>
      <c r="F1406" s="546"/>
      <c r="G1406" s="1508"/>
      <c r="H1406" s="1501"/>
      <c r="I1406" s="1501" t="str">
        <f t="shared" si="65"/>
        <v/>
      </c>
      <c r="J1406" s="1501" t="str">
        <f t="shared" si="64"/>
        <v/>
      </c>
      <c r="K1406" s="261"/>
      <c r="L1406" s="309"/>
      <c r="M1406" s="309"/>
      <c r="N1406" s="309"/>
      <c r="O1406" s="309"/>
      <c r="P1406" s="309"/>
      <c r="Q1406" s="309"/>
      <c r="R1406" s="309"/>
      <c r="S1406" s="309"/>
      <c r="T1406" s="309"/>
      <c r="U1406" s="309"/>
    </row>
    <row r="1407" spans="1:21" ht="12.75" customHeight="1">
      <c r="A1407" s="299" t="s">
        <v>270</v>
      </c>
      <c r="B1407" s="625">
        <v>57</v>
      </c>
      <c r="C1407" s="623">
        <v>50.79</v>
      </c>
      <c r="D1407" s="792">
        <v>9.99</v>
      </c>
      <c r="E1407" s="624">
        <f>B1407*C1407-D1407</f>
        <v>2885.04</v>
      </c>
      <c r="F1407" s="546" t="s">
        <v>234</v>
      </c>
      <c r="G1407" s="1508"/>
      <c r="H1407" s="1501"/>
      <c r="I1407" s="1501" t="str">
        <f t="shared" si="65"/>
        <v>FMCN</v>
      </c>
      <c r="J1407" s="1501" t="str">
        <f t="shared" ref="J1407:J1470" si="66">IF(F1409="","",IF(OR(A1407="Sell",A1408="Sell"),"",F1409))</f>
        <v/>
      </c>
      <c r="K1407" s="1412"/>
      <c r="L1407" s="309"/>
      <c r="M1407" s="309"/>
      <c r="N1407" s="309"/>
      <c r="O1407" s="309"/>
      <c r="P1407" s="309"/>
      <c r="Q1407" s="309"/>
      <c r="R1407" s="309"/>
      <c r="S1407" s="309"/>
      <c r="T1407" s="309"/>
      <c r="U1407" s="309"/>
    </row>
    <row r="1408" spans="1:21" ht="12.75" customHeight="1">
      <c r="A1408" s="309"/>
      <c r="B1408" s="625"/>
      <c r="C1408" s="623"/>
      <c r="D1408" s="792"/>
      <c r="E1408" s="624"/>
      <c r="F1408" s="546"/>
      <c r="G1408" s="1508"/>
      <c r="H1408" s="1501"/>
      <c r="I1408" s="1501" t="str">
        <f t="shared" si="65"/>
        <v/>
      </c>
      <c r="J1408" s="1501" t="str">
        <f t="shared" si="66"/>
        <v/>
      </c>
      <c r="K1408" s="261"/>
      <c r="L1408" s="309"/>
      <c r="M1408" s="309"/>
      <c r="N1408" s="309"/>
      <c r="O1408" s="309"/>
      <c r="P1408" s="309"/>
      <c r="Q1408" s="309"/>
      <c r="R1408" s="309"/>
      <c r="S1408" s="309"/>
      <c r="T1408" s="309"/>
      <c r="U1408" s="309"/>
    </row>
    <row r="1409" spans="1:21" ht="12.75" customHeight="1">
      <c r="A1409" s="1369" t="s">
        <v>987</v>
      </c>
      <c r="B1409" s="625"/>
      <c r="C1409" s="623"/>
      <c r="D1409" s="792"/>
      <c r="E1409" s="624"/>
      <c r="F1409" s="546"/>
      <c r="G1409" s="1508"/>
      <c r="H1409" s="1501"/>
      <c r="I1409" s="1501" t="str">
        <f t="shared" si="65"/>
        <v/>
      </c>
      <c r="J1409" s="1501" t="str">
        <f t="shared" si="66"/>
        <v/>
      </c>
      <c r="K1409" s="271"/>
      <c r="L1409" s="309"/>
      <c r="M1409" s="309"/>
      <c r="N1409" s="309"/>
      <c r="O1409" s="309"/>
      <c r="P1409" s="309"/>
      <c r="Q1409" s="309"/>
      <c r="R1409" s="309"/>
      <c r="S1409" s="309"/>
      <c r="T1409" s="309"/>
      <c r="U1409" s="309"/>
    </row>
    <row r="1410" spans="1:21" ht="12.75" customHeight="1">
      <c r="A1410" s="1410" t="s">
        <v>820</v>
      </c>
      <c r="B1410" s="625"/>
      <c r="C1410" s="623"/>
      <c r="D1410" s="792"/>
      <c r="E1410" s="624"/>
      <c r="F1410" s="546"/>
      <c r="G1410" s="1508"/>
      <c r="H1410" s="1501"/>
      <c r="I1410" s="1501" t="str">
        <f t="shared" si="65"/>
        <v/>
      </c>
      <c r="J1410" s="1501" t="str">
        <f t="shared" si="66"/>
        <v/>
      </c>
      <c r="K1410" s="271"/>
      <c r="L1410" s="309"/>
      <c r="M1410" s="309"/>
      <c r="N1410" s="309"/>
      <c r="O1410" s="309"/>
      <c r="P1410" s="309"/>
      <c r="Q1410" s="309"/>
      <c r="R1410" s="309"/>
      <c r="S1410" s="309"/>
      <c r="T1410" s="309"/>
      <c r="U1410" s="309"/>
    </row>
    <row r="1411" spans="1:21" ht="12.75" customHeight="1">
      <c r="A1411" s="1409" t="s">
        <v>216</v>
      </c>
      <c r="B1411" s="625">
        <v>100</v>
      </c>
      <c r="C1411" s="623">
        <v>45.98</v>
      </c>
      <c r="D1411" s="792">
        <v>9.99</v>
      </c>
      <c r="E1411" s="624">
        <f>B1411*C1411-D1411</f>
        <v>4588.01</v>
      </c>
      <c r="F1411" s="546" t="s">
        <v>217</v>
      </c>
      <c r="G1411" s="1508"/>
      <c r="H1411" s="1501"/>
      <c r="I1411" s="1501" t="str">
        <f t="shared" si="65"/>
        <v/>
      </c>
      <c r="J1411" s="1501" t="str">
        <f t="shared" si="66"/>
        <v/>
      </c>
      <c r="K1411" s="1413"/>
      <c r="L1411" s="309"/>
      <c r="M1411" s="309"/>
      <c r="N1411" s="309"/>
      <c r="O1411" s="309"/>
      <c r="P1411" s="309"/>
      <c r="Q1411" s="309"/>
      <c r="R1411" s="309"/>
      <c r="S1411" s="309"/>
      <c r="T1411" s="309"/>
      <c r="U1411" s="309"/>
    </row>
    <row r="1412" spans="1:21" ht="12.75" customHeight="1">
      <c r="A1412" s="300"/>
      <c r="B1412" s="625"/>
      <c r="C1412" s="623"/>
      <c r="D1412" s="792"/>
      <c r="E1412" s="624"/>
      <c r="F1412" s="546"/>
      <c r="G1412" s="1508"/>
      <c r="H1412" s="1501"/>
      <c r="I1412" s="1501" t="str">
        <f t="shared" si="65"/>
        <v/>
      </c>
      <c r="J1412" s="1501" t="str">
        <f t="shared" si="66"/>
        <v/>
      </c>
      <c r="K1412" s="1413"/>
      <c r="L1412" s="309"/>
      <c r="M1412" s="309"/>
      <c r="N1412" s="309"/>
      <c r="O1412" s="309"/>
      <c r="P1412" s="309"/>
      <c r="Q1412" s="309"/>
      <c r="R1412" s="309"/>
      <c r="S1412" s="309"/>
      <c r="T1412" s="309"/>
      <c r="U1412" s="309"/>
    </row>
    <row r="1413" spans="1:21" ht="12.75" customHeight="1">
      <c r="A1413" s="1369" t="s">
        <v>988</v>
      </c>
      <c r="B1413" s="625"/>
      <c r="C1413" s="623"/>
      <c r="D1413" s="792"/>
      <c r="E1413" s="624"/>
      <c r="F1413" s="546"/>
      <c r="G1413" s="1508"/>
      <c r="H1413" s="1501"/>
      <c r="I1413" s="1501" t="str">
        <f t="shared" si="65"/>
        <v/>
      </c>
      <c r="J1413" s="1501" t="str">
        <f t="shared" si="66"/>
        <v/>
      </c>
      <c r="K1413" s="271"/>
      <c r="L1413" s="309"/>
      <c r="M1413" s="309"/>
      <c r="N1413" s="309"/>
      <c r="O1413" s="309"/>
      <c r="P1413" s="309"/>
      <c r="Q1413" s="309"/>
      <c r="R1413" s="309"/>
      <c r="S1413" s="309"/>
      <c r="T1413" s="309"/>
      <c r="U1413" s="309"/>
    </row>
    <row r="1414" spans="1:21" ht="12.75" customHeight="1">
      <c r="A1414" s="1410" t="s">
        <v>820</v>
      </c>
      <c r="B1414" s="625"/>
      <c r="C1414" s="623"/>
      <c r="D1414" s="792"/>
      <c r="E1414" s="624"/>
      <c r="F1414" s="546"/>
      <c r="G1414" s="1508"/>
      <c r="H1414" s="1501"/>
      <c r="I1414" s="1501" t="str">
        <f t="shared" si="65"/>
        <v/>
      </c>
      <c r="J1414" s="1501" t="str">
        <f t="shared" si="66"/>
        <v/>
      </c>
      <c r="K1414" s="271"/>
      <c r="L1414" s="309"/>
      <c r="M1414" s="309"/>
      <c r="N1414" s="309"/>
      <c r="O1414" s="309"/>
      <c r="P1414" s="309"/>
      <c r="Q1414" s="309"/>
      <c r="R1414" s="309"/>
      <c r="S1414" s="309"/>
      <c r="T1414" s="309"/>
      <c r="U1414" s="309"/>
    </row>
    <row r="1415" spans="1:21" ht="12.75" customHeight="1">
      <c r="A1415" s="1414" t="s">
        <v>26</v>
      </c>
      <c r="B1415" s="625">
        <v>60</v>
      </c>
      <c r="C1415" s="623">
        <v>35.03</v>
      </c>
      <c r="D1415" s="792">
        <v>9.99</v>
      </c>
      <c r="E1415" s="624">
        <f>B1415*C1415-D1415</f>
        <v>2091.8100000000004</v>
      </c>
      <c r="F1415" s="546" t="s">
        <v>27</v>
      </c>
      <c r="G1415" s="1508"/>
      <c r="H1415" s="1501"/>
      <c r="I1415" s="1501" t="str">
        <f t="shared" si="65"/>
        <v/>
      </c>
      <c r="J1415" s="1501" t="str">
        <f t="shared" si="66"/>
        <v/>
      </c>
      <c r="K1415" s="271"/>
      <c r="L1415" s="309"/>
      <c r="M1415" s="309"/>
      <c r="N1415" s="309"/>
      <c r="O1415" s="309"/>
      <c r="P1415" s="309"/>
      <c r="Q1415" s="309"/>
      <c r="R1415" s="309"/>
      <c r="S1415" s="309"/>
      <c r="T1415" s="309"/>
      <c r="U1415" s="309"/>
    </row>
    <row r="1416" spans="1:21" ht="12.75" customHeight="1">
      <c r="A1416" s="309"/>
      <c r="B1416" s="625"/>
      <c r="C1416" s="623"/>
      <c r="D1416" s="792"/>
      <c r="E1416" s="624"/>
      <c r="F1416" s="546"/>
      <c r="G1416" s="1508"/>
      <c r="H1416" s="1501"/>
      <c r="I1416" s="1501" t="str">
        <f t="shared" si="65"/>
        <v/>
      </c>
      <c r="J1416" s="1501" t="str">
        <f t="shared" si="66"/>
        <v/>
      </c>
      <c r="K1416" s="271"/>
      <c r="L1416" s="309"/>
      <c r="M1416" s="309"/>
      <c r="N1416" s="309"/>
      <c r="O1416" s="309"/>
      <c r="P1416" s="309"/>
      <c r="Q1416" s="309"/>
      <c r="R1416" s="309"/>
      <c r="S1416" s="309"/>
      <c r="T1416" s="309"/>
      <c r="U1416" s="309"/>
    </row>
    <row r="1417" spans="1:21" ht="12.75" customHeight="1">
      <c r="A1417" s="1369" t="s">
        <v>989</v>
      </c>
      <c r="B1417" s="625"/>
      <c r="C1417" s="623"/>
      <c r="D1417" s="792"/>
      <c r="E1417" s="624"/>
      <c r="F1417" s="546"/>
      <c r="G1417" s="1508"/>
      <c r="H1417" s="1501"/>
      <c r="I1417" s="1501" t="str">
        <f t="shared" si="65"/>
        <v/>
      </c>
      <c r="J1417" s="1501" t="str">
        <f t="shared" si="66"/>
        <v/>
      </c>
      <c r="K1417" s="271"/>
      <c r="L1417" s="309"/>
      <c r="M1417" s="309"/>
      <c r="N1417" s="309"/>
      <c r="O1417" s="309"/>
      <c r="P1417" s="309"/>
      <c r="Q1417" s="309"/>
      <c r="R1417" s="309"/>
      <c r="S1417" s="309"/>
      <c r="T1417" s="309"/>
      <c r="U1417" s="309"/>
    </row>
    <row r="1418" spans="1:21" ht="12.75" customHeight="1">
      <c r="A1418" s="1410" t="s">
        <v>820</v>
      </c>
      <c r="B1418" s="625"/>
      <c r="C1418" s="623"/>
      <c r="D1418" s="792"/>
      <c r="E1418" s="624"/>
      <c r="F1418" s="546"/>
      <c r="G1418" s="1508"/>
      <c r="H1418" s="1501"/>
      <c r="I1418" s="1501" t="str">
        <f t="shared" si="65"/>
        <v/>
      </c>
      <c r="J1418" s="1501" t="str">
        <f t="shared" si="66"/>
        <v/>
      </c>
      <c r="K1418" s="271"/>
      <c r="L1418" s="309"/>
      <c r="M1418" s="309"/>
      <c r="N1418" s="309"/>
      <c r="O1418" s="309"/>
      <c r="P1418" s="309"/>
      <c r="Q1418" s="309"/>
      <c r="R1418" s="309"/>
      <c r="S1418" s="309"/>
      <c r="T1418" s="309"/>
      <c r="U1418" s="309"/>
    </row>
    <row r="1419" spans="1:21" ht="12.75" customHeight="1">
      <c r="A1419" s="1177" t="s">
        <v>30</v>
      </c>
      <c r="B1419" s="625">
        <v>60</v>
      </c>
      <c r="C1419" s="623">
        <v>24.64</v>
      </c>
      <c r="D1419" s="792">
        <v>9.99</v>
      </c>
      <c r="E1419" s="624">
        <f>B1419*C1419-D1419</f>
        <v>1468.41</v>
      </c>
      <c r="F1419" s="546" t="s">
        <v>31</v>
      </c>
      <c r="G1419" s="1508"/>
      <c r="H1419" s="1501"/>
      <c r="I1419" s="1501" t="str">
        <f t="shared" si="65"/>
        <v/>
      </c>
      <c r="J1419" s="1501" t="str">
        <f t="shared" si="66"/>
        <v/>
      </c>
      <c r="K1419" s="271"/>
      <c r="L1419" s="309"/>
      <c r="M1419" s="309"/>
      <c r="N1419" s="309"/>
      <c r="O1419" s="309"/>
      <c r="P1419" s="309"/>
      <c r="Q1419" s="309"/>
      <c r="R1419" s="309"/>
      <c r="S1419" s="309"/>
      <c r="T1419" s="309"/>
      <c r="U1419" s="309"/>
    </row>
    <row r="1420" spans="1:21" ht="12.75" customHeight="1">
      <c r="A1420" s="31"/>
      <c r="B1420" s="625"/>
      <c r="C1420" s="623"/>
      <c r="D1420" s="792"/>
      <c r="E1420" s="624"/>
      <c r="F1420" s="546"/>
      <c r="G1420" s="1508"/>
      <c r="H1420" s="1501"/>
      <c r="I1420" s="1501" t="str">
        <f t="shared" si="65"/>
        <v/>
      </c>
      <c r="J1420" s="1501" t="str">
        <f t="shared" si="66"/>
        <v/>
      </c>
      <c r="K1420" s="271"/>
      <c r="L1420" s="309"/>
      <c r="M1420" s="309"/>
      <c r="N1420" s="309"/>
      <c r="O1420" s="309"/>
      <c r="P1420" s="309"/>
      <c r="Q1420" s="309"/>
      <c r="R1420" s="309"/>
      <c r="S1420" s="309"/>
      <c r="T1420" s="309"/>
      <c r="U1420" s="309"/>
    </row>
    <row r="1421" spans="1:21" ht="12.75" customHeight="1">
      <c r="A1421" s="1369" t="s">
        <v>990</v>
      </c>
      <c r="B1421" s="625"/>
      <c r="C1421" s="623"/>
      <c r="D1421" s="792"/>
      <c r="E1421" s="624"/>
      <c r="F1421" s="546"/>
      <c r="G1421" s="1508"/>
      <c r="H1421" s="1501"/>
      <c r="I1421" s="1501" t="str">
        <f t="shared" si="65"/>
        <v/>
      </c>
      <c r="J1421" s="1501" t="str">
        <f t="shared" si="66"/>
        <v>LOOP</v>
      </c>
      <c r="K1421" s="271"/>
      <c r="L1421" s="309"/>
      <c r="M1421" s="309"/>
      <c r="N1421" s="309"/>
      <c r="O1421" s="309"/>
      <c r="P1421" s="309"/>
      <c r="Q1421" s="309"/>
      <c r="R1421" s="309"/>
      <c r="S1421" s="309"/>
      <c r="T1421" s="309"/>
      <c r="U1421" s="309"/>
    </row>
    <row r="1422" spans="1:21" ht="12.75" customHeight="1">
      <c r="A1422" s="1411" t="s">
        <v>824</v>
      </c>
      <c r="B1422" s="625"/>
      <c r="C1422" s="623"/>
      <c r="D1422" s="792"/>
      <c r="E1422" s="624"/>
      <c r="F1422" s="546"/>
      <c r="G1422" s="1508"/>
      <c r="H1422" s="1501"/>
      <c r="I1422" s="1501" t="str">
        <f t="shared" si="65"/>
        <v/>
      </c>
      <c r="J1422" s="1501" t="str">
        <f t="shared" si="66"/>
        <v>PLD</v>
      </c>
      <c r="K1422" s="271"/>
      <c r="L1422" s="309"/>
      <c r="M1422" s="309"/>
      <c r="N1422" s="309"/>
      <c r="O1422" s="309"/>
      <c r="P1422" s="309"/>
      <c r="Q1422" s="309"/>
      <c r="R1422" s="309"/>
      <c r="S1422" s="309"/>
      <c r="T1422" s="309"/>
      <c r="U1422" s="309"/>
    </row>
    <row r="1423" spans="1:21" ht="12.75" customHeight="1">
      <c r="A1423" s="1414" t="s">
        <v>214</v>
      </c>
      <c r="B1423" s="625">
        <v>150</v>
      </c>
      <c r="C1423" s="623">
        <v>15.4099</v>
      </c>
      <c r="D1423" s="792">
        <f>9.99/2</f>
        <v>4.9950000000000001</v>
      </c>
      <c r="E1423" s="624">
        <f>B1423*C1423-D1423</f>
        <v>2306.4900000000002</v>
      </c>
      <c r="F1423" s="546" t="s">
        <v>215</v>
      </c>
      <c r="G1423" s="1508"/>
      <c r="H1423" s="1501"/>
      <c r="I1423" s="1501" t="str">
        <f t="shared" si="65"/>
        <v>LOOP</v>
      </c>
      <c r="J1423" s="1501" t="str">
        <f t="shared" si="66"/>
        <v/>
      </c>
      <c r="K1423" s="271"/>
      <c r="L1423" s="309"/>
      <c r="M1423" s="309"/>
      <c r="N1423" s="309"/>
      <c r="O1423" s="309"/>
      <c r="P1423" s="309"/>
      <c r="Q1423" s="309"/>
      <c r="R1423" s="309"/>
      <c r="S1423" s="309"/>
      <c r="T1423" s="309"/>
      <c r="U1423" s="309"/>
    </row>
    <row r="1424" spans="1:21" ht="12" customHeight="1">
      <c r="A1424" s="1414" t="s">
        <v>267</v>
      </c>
      <c r="B1424" s="625">
        <v>65</v>
      </c>
      <c r="C1424" s="623">
        <v>69.529899999999998</v>
      </c>
      <c r="D1424" s="792">
        <v>5</v>
      </c>
      <c r="E1424" s="624">
        <f>B1424*C1424-D1424</f>
        <v>4514.4434999999994</v>
      </c>
      <c r="F1424" s="546" t="s">
        <v>219</v>
      </c>
      <c r="G1424" s="1508"/>
      <c r="H1424" s="1501"/>
      <c r="I1424" s="1501" t="str">
        <f t="shared" si="65"/>
        <v>PLD</v>
      </c>
      <c r="J1424" s="1501" t="str">
        <f t="shared" si="66"/>
        <v/>
      </c>
      <c r="K1424" s="271"/>
      <c r="L1424" s="309"/>
      <c r="M1424" s="309"/>
      <c r="N1424" s="309"/>
      <c r="O1424" s="309"/>
      <c r="P1424" s="309"/>
      <c r="Q1424" s="309"/>
      <c r="R1424" s="309"/>
      <c r="S1424" s="309"/>
      <c r="T1424" s="309"/>
      <c r="U1424" s="309"/>
    </row>
    <row r="1425" spans="1:21" ht="12" customHeight="1">
      <c r="A1425" s="1414"/>
      <c r="B1425" s="625"/>
      <c r="C1425" s="623"/>
      <c r="D1425" s="792"/>
      <c r="E1425" s="624"/>
      <c r="F1425" s="546"/>
      <c r="G1425" s="1508"/>
      <c r="H1425" s="1501"/>
      <c r="I1425" s="1501" t="str">
        <f t="shared" si="65"/>
        <v/>
      </c>
      <c r="J1425" s="1501" t="str">
        <f t="shared" si="66"/>
        <v/>
      </c>
      <c r="K1425" s="271"/>
      <c r="L1425" s="309"/>
      <c r="M1425" s="309"/>
      <c r="N1425" s="309"/>
      <c r="O1425" s="309"/>
      <c r="P1425" s="309"/>
      <c r="Q1425" s="309"/>
      <c r="R1425" s="309"/>
      <c r="S1425" s="309"/>
      <c r="T1425" s="309"/>
      <c r="U1425" s="309"/>
    </row>
    <row r="1426" spans="1:21" ht="12.75" customHeight="1">
      <c r="A1426" s="1366">
        <v>39414</v>
      </c>
      <c r="B1426" s="625"/>
      <c r="C1426" s="623"/>
      <c r="D1426" s="792"/>
      <c r="E1426" s="624"/>
      <c r="F1426" s="546"/>
      <c r="G1426" s="1508"/>
      <c r="H1426" s="1501"/>
      <c r="I1426" s="1501" t="str">
        <f t="shared" si="65"/>
        <v/>
      </c>
      <c r="J1426" s="1501" t="str">
        <f t="shared" si="66"/>
        <v/>
      </c>
      <c r="K1426" s="271"/>
      <c r="L1426" s="309"/>
      <c r="M1426" s="309"/>
      <c r="N1426" s="309"/>
      <c r="O1426" s="309"/>
      <c r="P1426" s="309"/>
      <c r="Q1426" s="309"/>
      <c r="R1426" s="309"/>
      <c r="S1426" s="309"/>
      <c r="T1426" s="309"/>
      <c r="U1426" s="309"/>
    </row>
    <row r="1427" spans="1:21" ht="12.75" customHeight="1">
      <c r="A1427" s="1410" t="s">
        <v>820</v>
      </c>
      <c r="B1427" s="625"/>
      <c r="C1427" s="623"/>
      <c r="D1427" s="792"/>
      <c r="E1427" s="624"/>
      <c r="F1427" s="546"/>
      <c r="G1427" s="1508"/>
      <c r="H1427" s="1501"/>
      <c r="I1427" s="1501" t="str">
        <f t="shared" si="65"/>
        <v/>
      </c>
      <c r="J1427" s="1501" t="str">
        <f t="shared" si="66"/>
        <v/>
      </c>
      <c r="K1427" s="271"/>
      <c r="L1427" s="309"/>
      <c r="M1427" s="309"/>
      <c r="N1427" s="309"/>
      <c r="O1427" s="309"/>
      <c r="P1427" s="309"/>
      <c r="Q1427" s="309"/>
      <c r="R1427" s="309"/>
      <c r="S1427" s="309"/>
      <c r="T1427" s="309"/>
      <c r="U1427" s="309"/>
    </row>
    <row r="1428" spans="1:21" ht="12.75" customHeight="1">
      <c r="A1428" s="1415" t="s">
        <v>224</v>
      </c>
      <c r="B1428" s="625">
        <v>90</v>
      </c>
      <c r="C1428" s="623">
        <v>144.18</v>
      </c>
      <c r="D1428" s="792">
        <v>3.33</v>
      </c>
      <c r="E1428" s="624">
        <f>B1428*C1428-D1428</f>
        <v>12972.87</v>
      </c>
      <c r="F1428" s="546" t="s">
        <v>225</v>
      </c>
      <c r="G1428" s="1508"/>
      <c r="H1428" s="1501"/>
      <c r="I1428" s="1501" t="str">
        <f t="shared" si="65"/>
        <v/>
      </c>
      <c r="J1428" s="1501" t="str">
        <f t="shared" si="66"/>
        <v/>
      </c>
      <c r="K1428" s="271"/>
      <c r="L1428" s="309"/>
      <c r="M1428" s="309"/>
      <c r="N1428" s="309"/>
      <c r="O1428" s="309"/>
      <c r="P1428" s="309"/>
      <c r="Q1428" s="309"/>
      <c r="R1428" s="309"/>
      <c r="S1428" s="309"/>
      <c r="T1428" s="309"/>
      <c r="U1428" s="309"/>
    </row>
    <row r="1429" spans="1:21" ht="12.75" customHeight="1">
      <c r="A1429" s="1366">
        <v>39414</v>
      </c>
      <c r="B1429" s="625"/>
      <c r="C1429" s="623"/>
      <c r="D1429" s="792"/>
      <c r="E1429" s="624"/>
      <c r="F1429" s="546"/>
      <c r="G1429" s="1508"/>
      <c r="H1429" s="1501"/>
      <c r="I1429" s="1501" t="str">
        <f t="shared" si="65"/>
        <v/>
      </c>
      <c r="J1429" s="1501" t="str">
        <f t="shared" si="66"/>
        <v>AAPL</v>
      </c>
      <c r="K1429" s="271"/>
      <c r="L1429" s="309"/>
      <c r="M1429" s="309"/>
      <c r="N1429" s="309"/>
      <c r="O1429" s="309"/>
      <c r="P1429" s="309"/>
      <c r="Q1429" s="309"/>
      <c r="R1429" s="309"/>
      <c r="S1429" s="309"/>
      <c r="T1429" s="309"/>
      <c r="U1429" s="309"/>
    </row>
    <row r="1430" spans="1:21" ht="12.75" customHeight="1">
      <c r="A1430" s="1416" t="s">
        <v>824</v>
      </c>
      <c r="B1430" s="625"/>
      <c r="C1430" s="623"/>
      <c r="D1430" s="792"/>
      <c r="E1430" s="624"/>
      <c r="F1430" s="546"/>
      <c r="G1430" s="1508"/>
      <c r="H1430" s="1501"/>
      <c r="I1430" s="1501" t="str">
        <f>IF(F1428="","",IF(OR(A1427="Sell",A1430="Sell"),"",F1428))</f>
        <v/>
      </c>
      <c r="J1430" s="1501" t="str">
        <f t="shared" si="66"/>
        <v>ILF</v>
      </c>
      <c r="K1430" s="271"/>
      <c r="L1430" s="309"/>
      <c r="M1430" s="309"/>
      <c r="N1430" s="309"/>
      <c r="O1430" s="309"/>
      <c r="P1430" s="309"/>
      <c r="Q1430" s="309"/>
      <c r="R1430" s="309"/>
      <c r="S1430" s="309"/>
      <c r="T1430" s="309"/>
      <c r="U1430" s="309"/>
    </row>
    <row r="1431" spans="1:21" ht="12.75" customHeight="1">
      <c r="A1431" s="1415" t="s">
        <v>206</v>
      </c>
      <c r="B1431" s="625">
        <v>25</v>
      </c>
      <c r="C1431" s="623">
        <v>177</v>
      </c>
      <c r="D1431" s="792">
        <v>3.33</v>
      </c>
      <c r="E1431" s="624">
        <f>B1431*C1431-D1431</f>
        <v>4421.67</v>
      </c>
      <c r="F1431" s="546" t="s">
        <v>207</v>
      </c>
      <c r="G1431" s="1508"/>
      <c r="H1431" s="1501"/>
      <c r="I1431" s="1501" t="str">
        <f>IF(F1431="","",IF(OR(A1430="Sell",A1431="Sell"),"",F1431))</f>
        <v>AAPL</v>
      </c>
      <c r="J1431" s="1501" t="str">
        <f t="shared" si="66"/>
        <v/>
      </c>
      <c r="K1431" s="271"/>
      <c r="L1431" s="309"/>
      <c r="M1431" s="309"/>
      <c r="N1431" s="309"/>
      <c r="O1431" s="309"/>
      <c r="P1431" s="309"/>
      <c r="Q1431" s="309"/>
      <c r="R1431" s="309"/>
      <c r="S1431" s="309"/>
      <c r="T1431" s="309"/>
      <c r="U1431" s="309"/>
    </row>
    <row r="1432" spans="1:21" ht="12.75" customHeight="1">
      <c r="A1432" s="134" t="s">
        <v>212</v>
      </c>
      <c r="B1432" s="625">
        <v>100</v>
      </c>
      <c r="C1432" s="623">
        <f>236.18/5</f>
        <v>47.236000000000004</v>
      </c>
      <c r="D1432" s="792">
        <v>3.33</v>
      </c>
      <c r="E1432" s="624">
        <f>B1432*C1432-D1432</f>
        <v>4720.2700000000004</v>
      </c>
      <c r="F1432" s="546" t="s">
        <v>213</v>
      </c>
      <c r="G1432" s="1508"/>
      <c r="H1432" s="1501"/>
      <c r="I1432" s="1501" t="str">
        <f>IF(F1432="","",IF(OR(A1430="Sell",A1432="Sell"),"",F1432))</f>
        <v>ILF</v>
      </c>
      <c r="J1432" s="1501" t="str">
        <f t="shared" si="66"/>
        <v/>
      </c>
      <c r="K1432" s="271"/>
      <c r="L1432" s="309"/>
      <c r="M1432" s="309"/>
      <c r="N1432" s="309"/>
      <c r="O1432" s="309"/>
      <c r="P1432" s="309"/>
      <c r="Q1432" s="309"/>
      <c r="R1432" s="309"/>
      <c r="S1432" s="309"/>
      <c r="T1432" s="309"/>
      <c r="U1432" s="309"/>
    </row>
    <row r="1433" spans="1:21" ht="12.75" customHeight="1">
      <c r="A1433" s="1409"/>
      <c r="B1433" s="625"/>
      <c r="C1433" s="623">
        <v>25.33</v>
      </c>
      <c r="D1433" s="852" t="s">
        <v>915</v>
      </c>
      <c r="E1433" s="624"/>
      <c r="F1433" s="546"/>
      <c r="G1433" s="1508"/>
      <c r="H1433" s="1501"/>
      <c r="I1433" s="1501" t="str">
        <f>IF(F1433="","",IF(OR(A1431="Sell",A1433="Sell"),"",F1433))</f>
        <v/>
      </c>
      <c r="J1433" s="1501" t="str">
        <f t="shared" si="66"/>
        <v/>
      </c>
      <c r="K1433" s="271"/>
      <c r="L1433" s="309"/>
      <c r="M1433" s="309"/>
      <c r="N1433" s="309"/>
      <c r="O1433" s="309"/>
      <c r="P1433" s="309"/>
      <c r="Q1433" s="309"/>
      <c r="R1433" s="309"/>
      <c r="S1433" s="309"/>
      <c r="T1433" s="309"/>
      <c r="U1433" s="309"/>
    </row>
    <row r="1434" spans="1:21" ht="12.75" customHeight="1">
      <c r="A1434" s="1417" t="s">
        <v>991</v>
      </c>
      <c r="B1434" s="625"/>
      <c r="C1434" s="623"/>
      <c r="D1434" s="792"/>
      <c r="E1434" s="624"/>
      <c r="F1434" s="546"/>
      <c r="G1434" s="1508"/>
      <c r="H1434" s="1501"/>
      <c r="I1434" s="1501" t="str">
        <f t="shared" ref="I1434:I1497" si="67">IF(F1434="","",IF(OR(A1433="Sell",A1434="Sell"),"",F1434))</f>
        <v/>
      </c>
      <c r="J1434" s="1501" t="str">
        <f t="shared" si="66"/>
        <v>APOL</v>
      </c>
      <c r="K1434" s="271"/>
      <c r="L1434" s="309"/>
      <c r="M1434" s="309"/>
      <c r="N1434" s="309"/>
      <c r="O1434" s="309"/>
      <c r="P1434" s="309"/>
      <c r="Q1434" s="309"/>
      <c r="R1434" s="309"/>
      <c r="S1434" s="309"/>
      <c r="T1434" s="309"/>
      <c r="U1434" s="309"/>
    </row>
    <row r="1435" spans="1:21" ht="12.75" customHeight="1">
      <c r="A1435" s="936" t="s">
        <v>975</v>
      </c>
      <c r="B1435" s="625"/>
      <c r="C1435" s="623"/>
      <c r="D1435" s="792"/>
      <c r="E1435" s="624"/>
      <c r="F1435" s="546"/>
      <c r="G1435" s="1508"/>
      <c r="H1435" s="1501"/>
      <c r="I1435" s="1501" t="str">
        <f t="shared" si="67"/>
        <v/>
      </c>
      <c r="J1435" s="1501" t="str">
        <f t="shared" si="66"/>
        <v/>
      </c>
      <c r="K1435" s="271"/>
      <c r="L1435" s="309"/>
      <c r="M1435" s="309"/>
      <c r="N1435" s="309"/>
      <c r="O1435" s="309"/>
      <c r="P1435" s="309"/>
      <c r="Q1435" s="309"/>
      <c r="R1435" s="309"/>
      <c r="S1435" s="309"/>
      <c r="T1435" s="309"/>
      <c r="U1435" s="309"/>
    </row>
    <row r="1436" spans="1:21" ht="12.75" customHeight="1">
      <c r="A1436" s="1414" t="s">
        <v>268</v>
      </c>
      <c r="B1436" s="625">
        <v>35</v>
      </c>
      <c r="C1436" s="623">
        <v>73.069400000000002</v>
      </c>
      <c r="D1436" s="792">
        <v>9.99</v>
      </c>
      <c r="E1436" s="624">
        <f>B1436*C1436-D1436</f>
        <v>2547.4390000000003</v>
      </c>
      <c r="F1436" s="546" t="s">
        <v>205</v>
      </c>
      <c r="G1436" s="1508"/>
      <c r="H1436" s="1501"/>
      <c r="I1436" s="1501" t="str">
        <f t="shared" si="67"/>
        <v>APOL</v>
      </c>
      <c r="J1436" s="1501" t="str">
        <f t="shared" si="66"/>
        <v/>
      </c>
      <c r="K1436" s="271"/>
      <c r="L1436" s="309"/>
      <c r="M1436" s="309"/>
      <c r="N1436" s="309"/>
      <c r="O1436" s="309"/>
      <c r="P1436" s="309"/>
      <c r="Q1436" s="309"/>
      <c r="R1436" s="309"/>
      <c r="S1436" s="309"/>
      <c r="T1436" s="309"/>
      <c r="U1436" s="309"/>
    </row>
    <row r="1437" spans="1:21" ht="12.75" customHeight="1">
      <c r="A1437" s="1409"/>
      <c r="B1437" s="625"/>
      <c r="C1437" s="623"/>
      <c r="D1437" s="792"/>
      <c r="E1437" s="624"/>
      <c r="F1437" s="546"/>
      <c r="G1437" s="1508"/>
      <c r="H1437" s="1501"/>
      <c r="I1437" s="1501" t="str">
        <f t="shared" si="67"/>
        <v/>
      </c>
      <c r="J1437" s="1501" t="str">
        <f t="shared" si="66"/>
        <v>PPL</v>
      </c>
      <c r="K1437" s="271"/>
      <c r="L1437" s="309"/>
      <c r="M1437" s="309"/>
      <c r="N1437" s="309"/>
      <c r="O1437" s="309"/>
      <c r="P1437" s="309"/>
      <c r="Q1437" s="309"/>
      <c r="R1437" s="309"/>
      <c r="S1437" s="309"/>
      <c r="T1437" s="309"/>
      <c r="U1437" s="309"/>
    </row>
    <row r="1438" spans="1:21" ht="12.75" customHeight="1">
      <c r="A1438" s="1369" t="s">
        <v>992</v>
      </c>
      <c r="B1438" s="625"/>
      <c r="C1438" s="623"/>
      <c r="D1438" s="792"/>
      <c r="E1438" s="624"/>
      <c r="F1438" s="546"/>
      <c r="G1438" s="1508"/>
      <c r="H1438" s="1501"/>
      <c r="I1438" s="1501" t="str">
        <f t="shared" si="67"/>
        <v/>
      </c>
      <c r="J1438" s="1501" t="str">
        <f t="shared" si="66"/>
        <v/>
      </c>
      <c r="K1438" s="271"/>
      <c r="L1438" s="309"/>
      <c r="M1438" s="309"/>
      <c r="N1438" s="309"/>
      <c r="O1438" s="309"/>
      <c r="P1438" s="309"/>
      <c r="Q1438" s="309"/>
      <c r="R1438" s="309"/>
      <c r="S1438" s="309"/>
      <c r="T1438" s="309"/>
      <c r="U1438" s="309"/>
    </row>
    <row r="1439" spans="1:21" ht="12.75" customHeight="1">
      <c r="A1439" s="1410" t="s">
        <v>975</v>
      </c>
      <c r="B1439" s="625">
        <v>65</v>
      </c>
      <c r="C1439" s="623">
        <v>50.8294</v>
      </c>
      <c r="D1439" s="792">
        <v>9.99</v>
      </c>
      <c r="E1439" s="624">
        <f>B1439*C1439-D1439</f>
        <v>3293.9210000000003</v>
      </c>
      <c r="F1439" s="546" t="s">
        <v>221</v>
      </c>
      <c r="G1439" s="1508"/>
      <c r="H1439" s="1501"/>
      <c r="I1439" s="1501" t="str">
        <f t="shared" si="67"/>
        <v>PPL</v>
      </c>
      <c r="J1439" s="1501" t="str">
        <f t="shared" si="66"/>
        <v/>
      </c>
      <c r="K1439" s="271"/>
      <c r="L1439" s="309"/>
      <c r="M1439" s="309"/>
      <c r="N1439" s="309"/>
      <c r="O1439" s="309"/>
      <c r="P1439" s="309"/>
      <c r="Q1439" s="309"/>
      <c r="R1439" s="309"/>
      <c r="S1439" s="309"/>
      <c r="T1439" s="309"/>
      <c r="U1439" s="309"/>
    </row>
    <row r="1440" spans="1:21" ht="12.75" customHeight="1">
      <c r="A1440" s="1409" t="s">
        <v>220</v>
      </c>
      <c r="B1440" s="625"/>
      <c r="C1440" s="623"/>
      <c r="D1440" s="792"/>
      <c r="E1440" s="624"/>
      <c r="F1440" s="546"/>
      <c r="G1440" s="1508"/>
      <c r="H1440" s="1501"/>
      <c r="I1440" s="1501" t="str">
        <f t="shared" si="67"/>
        <v/>
      </c>
      <c r="J1440" s="1501" t="str">
        <f t="shared" si="66"/>
        <v/>
      </c>
      <c r="K1440" s="271"/>
      <c r="L1440" s="309"/>
      <c r="M1440" s="309"/>
      <c r="N1440" s="309"/>
      <c r="O1440" s="309"/>
      <c r="P1440" s="309"/>
      <c r="Q1440" s="309"/>
      <c r="R1440" s="309"/>
      <c r="S1440" s="309"/>
      <c r="T1440" s="309"/>
      <c r="U1440" s="309"/>
    </row>
    <row r="1441" spans="1:21" ht="12.75" customHeight="1">
      <c r="A1441" s="1409"/>
      <c r="B1441" s="625"/>
      <c r="C1441" s="623"/>
      <c r="D1441" s="792"/>
      <c r="E1441" s="624"/>
      <c r="F1441" s="546"/>
      <c r="G1441" s="1508"/>
      <c r="H1441" s="1501"/>
      <c r="I1441" s="1501" t="str">
        <f t="shared" si="67"/>
        <v/>
      </c>
      <c r="J1441" s="1501" t="str">
        <f t="shared" si="66"/>
        <v/>
      </c>
      <c r="K1441" s="271"/>
      <c r="L1441" s="309"/>
      <c r="M1441" s="309"/>
      <c r="N1441" s="309"/>
      <c r="O1441" s="309"/>
      <c r="P1441" s="309"/>
      <c r="Q1441" s="309"/>
      <c r="R1441" s="309"/>
      <c r="S1441" s="309"/>
      <c r="T1441" s="309"/>
      <c r="U1441" s="309"/>
    </row>
    <row r="1442" spans="1:21" ht="12.75" customHeight="1">
      <c r="A1442" s="1369" t="s">
        <v>993</v>
      </c>
      <c r="B1442" s="625"/>
      <c r="C1442" s="623"/>
      <c r="D1442" s="792"/>
      <c r="E1442" s="624"/>
      <c r="F1442" s="546"/>
      <c r="G1442" s="1508"/>
      <c r="H1442" s="1501"/>
      <c r="I1442" s="1501" t="str">
        <f t="shared" si="67"/>
        <v/>
      </c>
      <c r="J1442" s="1501" t="str">
        <f t="shared" si="66"/>
        <v/>
      </c>
      <c r="K1442" s="271"/>
      <c r="L1442" s="309"/>
      <c r="M1442" s="309"/>
      <c r="N1442" s="309"/>
      <c r="O1442" s="309"/>
      <c r="P1442" s="309"/>
      <c r="Q1442" s="309"/>
      <c r="R1442" s="309"/>
      <c r="S1442" s="309"/>
      <c r="T1442" s="309"/>
      <c r="U1442" s="309"/>
    </row>
    <row r="1443" spans="1:21" ht="12.75" customHeight="1">
      <c r="A1443" s="1410" t="s">
        <v>820</v>
      </c>
      <c r="B1443" s="625"/>
      <c r="C1443" s="623"/>
      <c r="D1443" s="792"/>
      <c r="E1443" s="624"/>
      <c r="F1443" s="546"/>
      <c r="G1443" s="1508"/>
      <c r="H1443" s="1501"/>
      <c r="I1443" s="1501" t="str">
        <f t="shared" si="67"/>
        <v/>
      </c>
      <c r="J1443" s="1501" t="str">
        <f t="shared" si="66"/>
        <v/>
      </c>
      <c r="K1443" s="271"/>
      <c r="L1443" s="309"/>
      <c r="M1443" s="309"/>
      <c r="N1443" s="309"/>
      <c r="O1443" s="309"/>
      <c r="P1443" s="309"/>
      <c r="Q1443" s="309"/>
      <c r="R1443" s="309"/>
      <c r="S1443" s="309"/>
      <c r="T1443" s="309"/>
      <c r="U1443" s="309"/>
    </row>
    <row r="1444" spans="1:21" ht="12.75" customHeight="1">
      <c r="A1444" s="1409" t="s">
        <v>42</v>
      </c>
      <c r="B1444" s="625">
        <v>129</v>
      </c>
      <c r="C1444" s="623">
        <v>17.47</v>
      </c>
      <c r="D1444" s="792">
        <v>9.99</v>
      </c>
      <c r="E1444" s="624">
        <f>B1444*C1444-D1444</f>
        <v>2243.64</v>
      </c>
      <c r="F1444" s="546" t="s">
        <v>43</v>
      </c>
      <c r="G1444" s="1508"/>
      <c r="H1444" s="1501"/>
      <c r="I1444" s="1501" t="str">
        <f t="shared" si="67"/>
        <v/>
      </c>
      <c r="J1444" s="1501" t="str">
        <f t="shared" si="66"/>
        <v/>
      </c>
      <c r="K1444" s="271"/>
      <c r="L1444" s="309"/>
      <c r="M1444" s="309"/>
      <c r="N1444" s="309"/>
      <c r="O1444" s="309"/>
      <c r="P1444" s="309"/>
      <c r="Q1444" s="309"/>
      <c r="R1444" s="309"/>
      <c r="S1444" s="309"/>
      <c r="T1444" s="309"/>
      <c r="U1444" s="309"/>
    </row>
    <row r="1445" spans="1:21" ht="12.75" customHeight="1">
      <c r="A1445" s="1409"/>
      <c r="B1445" s="625"/>
      <c r="C1445" s="623"/>
      <c r="D1445" s="792"/>
      <c r="E1445" s="624"/>
      <c r="F1445" s="546"/>
      <c r="G1445" s="1508"/>
      <c r="H1445" s="1501"/>
      <c r="I1445" s="1501" t="str">
        <f t="shared" si="67"/>
        <v/>
      </c>
      <c r="J1445" s="1501" t="str">
        <f t="shared" si="66"/>
        <v/>
      </c>
      <c r="K1445" s="271"/>
      <c r="L1445" s="309"/>
      <c r="M1445" s="309"/>
      <c r="N1445" s="309"/>
      <c r="O1445" s="309"/>
      <c r="P1445" s="309"/>
      <c r="Q1445" s="309"/>
      <c r="R1445" s="309"/>
      <c r="S1445" s="309"/>
      <c r="T1445" s="309"/>
      <c r="U1445" s="309"/>
    </row>
    <row r="1446" spans="1:21" ht="12.75" customHeight="1">
      <c r="A1446" s="1369" t="s">
        <v>994</v>
      </c>
      <c r="B1446" s="625"/>
      <c r="C1446" s="623"/>
      <c r="D1446" s="792"/>
      <c r="E1446" s="624"/>
      <c r="F1446" s="546"/>
      <c r="G1446" s="1508"/>
      <c r="H1446" s="1501"/>
      <c r="I1446" s="1501" t="str">
        <f t="shared" si="67"/>
        <v/>
      </c>
      <c r="J1446" s="1501" t="str">
        <f t="shared" si="66"/>
        <v/>
      </c>
      <c r="K1446" s="271"/>
      <c r="L1446" s="309"/>
      <c r="M1446" s="309"/>
      <c r="N1446" s="309"/>
      <c r="O1446" s="309"/>
      <c r="P1446" s="309"/>
      <c r="Q1446" s="309"/>
      <c r="R1446" s="309"/>
      <c r="S1446" s="309"/>
      <c r="T1446" s="309"/>
      <c r="U1446" s="309"/>
    </row>
    <row r="1447" spans="1:21" ht="12.75" customHeight="1">
      <c r="A1447" s="1410" t="s">
        <v>820</v>
      </c>
      <c r="B1447" s="625"/>
      <c r="C1447" s="623"/>
      <c r="D1447" s="792"/>
      <c r="E1447" s="624"/>
      <c r="F1447" s="546"/>
      <c r="G1447" s="1508"/>
      <c r="H1447" s="1501"/>
      <c r="I1447" s="1501" t="str">
        <f t="shared" si="67"/>
        <v/>
      </c>
      <c r="J1447" s="1501" t="str">
        <f t="shared" si="66"/>
        <v/>
      </c>
      <c r="K1447" s="271"/>
      <c r="L1447" s="309"/>
      <c r="M1447" s="309"/>
      <c r="N1447" s="309"/>
      <c r="O1447" s="309"/>
      <c r="P1447" s="309"/>
      <c r="Q1447" s="309"/>
      <c r="R1447" s="309"/>
      <c r="S1447" s="309"/>
      <c r="T1447" s="309"/>
      <c r="U1447" s="309"/>
    </row>
    <row r="1448" spans="1:21" ht="12.75" customHeight="1">
      <c r="A1448" s="1409" t="s">
        <v>44</v>
      </c>
      <c r="B1448" s="625">
        <v>186</v>
      </c>
      <c r="C1448" s="623">
        <v>19.21</v>
      </c>
      <c r="D1448" s="792">
        <v>9.99</v>
      </c>
      <c r="E1448" s="624">
        <f>B1448*C1448-D1448</f>
        <v>3563.07</v>
      </c>
      <c r="F1448" s="546" t="s">
        <v>45</v>
      </c>
      <c r="G1448" s="1508"/>
      <c r="H1448" s="1501"/>
      <c r="I1448" s="1501" t="str">
        <f t="shared" si="67"/>
        <v/>
      </c>
      <c r="J1448" s="1501" t="str">
        <f t="shared" si="66"/>
        <v/>
      </c>
      <c r="K1448" s="271"/>
      <c r="L1448" s="309"/>
      <c r="M1448" s="309"/>
      <c r="N1448" s="309"/>
      <c r="O1448" s="309"/>
      <c r="P1448" s="309"/>
      <c r="Q1448" s="309"/>
      <c r="R1448" s="309"/>
      <c r="S1448" s="309"/>
      <c r="T1448" s="309"/>
      <c r="U1448" s="309"/>
    </row>
    <row r="1449" spans="1:21" ht="12.75" customHeight="1">
      <c r="A1449" s="1409"/>
      <c r="B1449" s="625"/>
      <c r="C1449" s="623"/>
      <c r="D1449" s="792"/>
      <c r="E1449" s="624"/>
      <c r="F1449" s="546"/>
      <c r="G1449" s="1508"/>
      <c r="H1449" s="1501"/>
      <c r="I1449" s="1501" t="str">
        <f t="shared" si="67"/>
        <v/>
      </c>
      <c r="J1449" s="1501" t="str">
        <f t="shared" si="66"/>
        <v/>
      </c>
      <c r="K1449" s="271"/>
      <c r="L1449" s="309"/>
      <c r="M1449" s="309"/>
      <c r="N1449" s="309"/>
      <c r="O1449" s="309"/>
      <c r="P1449" s="309"/>
      <c r="Q1449" s="309"/>
      <c r="R1449" s="309"/>
      <c r="S1449" s="309"/>
      <c r="T1449" s="309"/>
      <c r="U1449" s="309"/>
    </row>
    <row r="1450" spans="1:21" ht="12.75" customHeight="1">
      <c r="A1450" s="1369" t="s">
        <v>995</v>
      </c>
      <c r="B1450" s="625"/>
      <c r="C1450" s="623"/>
      <c r="D1450" s="792"/>
      <c r="E1450" s="624"/>
      <c r="F1450" s="546"/>
      <c r="G1450" s="1508"/>
      <c r="H1450" s="1501"/>
      <c r="I1450" s="1501" t="str">
        <f t="shared" si="67"/>
        <v/>
      </c>
      <c r="J1450" s="1501" t="str">
        <f t="shared" si="66"/>
        <v/>
      </c>
      <c r="K1450" s="271"/>
      <c r="L1450" s="309"/>
      <c r="M1450" s="309"/>
      <c r="N1450" s="309"/>
      <c r="O1450" s="309"/>
      <c r="P1450" s="309"/>
      <c r="Q1450" s="309"/>
      <c r="R1450" s="309"/>
      <c r="S1450" s="309"/>
      <c r="T1450" s="309"/>
      <c r="U1450" s="309"/>
    </row>
    <row r="1451" spans="1:21" ht="12.75" customHeight="1">
      <c r="A1451" s="1410" t="s">
        <v>820</v>
      </c>
      <c r="B1451" s="625"/>
      <c r="C1451" s="623"/>
      <c r="D1451" s="792"/>
      <c r="E1451" s="624"/>
      <c r="F1451" s="546"/>
      <c r="G1451" s="1508"/>
      <c r="H1451" s="1501"/>
      <c r="I1451" s="1501" t="str">
        <f t="shared" si="67"/>
        <v/>
      </c>
      <c r="J1451" s="1501" t="str">
        <f t="shared" si="66"/>
        <v/>
      </c>
      <c r="K1451" s="271"/>
      <c r="L1451" s="309"/>
      <c r="M1451" s="309"/>
      <c r="N1451" s="309"/>
      <c r="O1451" s="309"/>
      <c r="P1451" s="309"/>
      <c r="Q1451" s="309"/>
      <c r="R1451" s="309"/>
      <c r="S1451" s="309"/>
      <c r="T1451" s="309"/>
      <c r="U1451" s="309"/>
    </row>
    <row r="1452" spans="1:21" ht="12.75" customHeight="1">
      <c r="A1452" s="1409" t="s">
        <v>38</v>
      </c>
      <c r="B1452" s="625">
        <v>165</v>
      </c>
      <c r="C1452" s="623">
        <v>30.8</v>
      </c>
      <c r="D1452" s="792">
        <v>9.99</v>
      </c>
      <c r="E1452" s="624">
        <f>B1452*C1452-D1452</f>
        <v>5072.01</v>
      </c>
      <c r="F1452" s="546" t="s">
        <v>39</v>
      </c>
      <c r="G1452" s="1508"/>
      <c r="H1452" s="1501"/>
      <c r="I1452" s="1501" t="str">
        <f t="shared" si="67"/>
        <v/>
      </c>
      <c r="J1452" s="1501" t="str">
        <f t="shared" si="66"/>
        <v/>
      </c>
      <c r="K1452" s="271"/>
      <c r="L1452" s="309"/>
      <c r="M1452" s="309"/>
      <c r="N1452" s="309"/>
      <c r="O1452" s="309"/>
      <c r="P1452" s="309"/>
      <c r="Q1452" s="309"/>
      <c r="R1452" s="309"/>
      <c r="S1452" s="309"/>
      <c r="T1452" s="309"/>
      <c r="U1452" s="309"/>
    </row>
    <row r="1453" spans="1:21" ht="12.75" customHeight="1">
      <c r="A1453" s="1409" t="s">
        <v>22</v>
      </c>
      <c r="B1453" s="625">
        <v>50</v>
      </c>
      <c r="C1453" s="623">
        <v>47.45</v>
      </c>
      <c r="D1453" s="792">
        <v>9.99</v>
      </c>
      <c r="E1453" s="624">
        <f>B1453*C1453-D1453</f>
        <v>2362.5100000000002</v>
      </c>
      <c r="F1453" s="546" t="s">
        <v>23</v>
      </c>
      <c r="G1453" s="1508"/>
      <c r="H1453" s="1501"/>
      <c r="I1453" s="1501" t="str">
        <f t="shared" si="67"/>
        <v>BAC</v>
      </c>
      <c r="J1453" s="1501" t="str">
        <f t="shared" si="66"/>
        <v/>
      </c>
      <c r="K1453" s="271"/>
      <c r="L1453" s="309"/>
      <c r="M1453" s="309"/>
      <c r="N1453" s="309"/>
      <c r="O1453" s="309"/>
      <c r="P1453" s="309"/>
      <c r="Q1453" s="309"/>
      <c r="R1453" s="309"/>
      <c r="S1453" s="309"/>
      <c r="T1453" s="309"/>
      <c r="U1453" s="309"/>
    </row>
    <row r="1454" spans="1:21" ht="12.75" customHeight="1">
      <c r="A1454" s="1409"/>
      <c r="B1454" s="625"/>
      <c r="C1454" s="623"/>
      <c r="D1454" s="792"/>
      <c r="E1454" s="624"/>
      <c r="F1454" s="546"/>
      <c r="G1454" s="1508"/>
      <c r="H1454" s="1501"/>
      <c r="I1454" s="1501" t="str">
        <f t="shared" si="67"/>
        <v/>
      </c>
      <c r="J1454" s="1501" t="str">
        <f t="shared" si="66"/>
        <v/>
      </c>
      <c r="K1454" s="271"/>
      <c r="L1454" s="309"/>
      <c r="M1454" s="309"/>
      <c r="N1454" s="309"/>
      <c r="O1454" s="309"/>
      <c r="P1454" s="309"/>
      <c r="Q1454" s="309"/>
      <c r="R1454" s="309"/>
      <c r="S1454" s="309"/>
      <c r="T1454" s="309"/>
      <c r="U1454" s="309"/>
    </row>
    <row r="1455" spans="1:21" ht="12.75" customHeight="1">
      <c r="A1455" s="1369" t="s">
        <v>996</v>
      </c>
      <c r="B1455" s="625"/>
      <c r="C1455" s="623"/>
      <c r="D1455" s="792"/>
      <c r="E1455" s="624"/>
      <c r="F1455" s="546"/>
      <c r="G1455" s="1508"/>
      <c r="H1455" s="1501"/>
      <c r="I1455" s="1501" t="str">
        <f t="shared" si="67"/>
        <v/>
      </c>
      <c r="J1455" s="1501" t="str">
        <f t="shared" si="66"/>
        <v>SPY</v>
      </c>
      <c r="K1455" s="271"/>
      <c r="L1455" s="309"/>
      <c r="M1455" s="309"/>
      <c r="N1455" s="309"/>
      <c r="O1455" s="309"/>
      <c r="P1455" s="309"/>
      <c r="Q1455" s="309"/>
      <c r="R1455" s="309"/>
      <c r="S1455" s="309"/>
      <c r="T1455" s="309"/>
      <c r="U1455" s="309"/>
    </row>
    <row r="1456" spans="1:21" ht="12.75" customHeight="1">
      <c r="A1456" s="1410" t="s">
        <v>975</v>
      </c>
      <c r="B1456" s="625"/>
      <c r="C1456" s="623"/>
      <c r="D1456" s="792"/>
      <c r="E1456" s="624"/>
      <c r="F1456" s="546"/>
      <c r="G1456" s="1508"/>
      <c r="H1456" s="1501"/>
      <c r="I1456" s="1501" t="str">
        <f t="shared" si="67"/>
        <v/>
      </c>
      <c r="J1456" s="1501" t="str">
        <f t="shared" si="66"/>
        <v/>
      </c>
      <c r="K1456" s="271"/>
      <c r="L1456" s="309"/>
      <c r="M1456" s="309"/>
      <c r="N1456" s="309"/>
      <c r="O1456" s="309"/>
      <c r="P1456" s="309"/>
      <c r="Q1456" s="309"/>
      <c r="R1456" s="309"/>
      <c r="S1456" s="309"/>
      <c r="T1456" s="309"/>
      <c r="U1456" s="309"/>
    </row>
    <row r="1457" spans="1:21" ht="12.75" customHeight="1">
      <c r="A1457" s="1409" t="s">
        <v>997</v>
      </c>
      <c r="B1457" s="625">
        <v>90</v>
      </c>
      <c r="C1457" s="623">
        <v>150.99</v>
      </c>
      <c r="D1457" s="792">
        <v>9.99</v>
      </c>
      <c r="E1457" s="624">
        <f>B1457*C1457-D1457</f>
        <v>13579.11</v>
      </c>
      <c r="F1457" s="546" t="s">
        <v>225</v>
      </c>
      <c r="G1457" s="1508"/>
      <c r="H1457" s="1501"/>
      <c r="I1457" s="1501" t="str">
        <f t="shared" si="67"/>
        <v>SPY</v>
      </c>
      <c r="J1457" s="1501" t="str">
        <f t="shared" si="66"/>
        <v/>
      </c>
      <c r="K1457" s="271"/>
      <c r="L1457" s="309"/>
      <c r="M1457" s="309"/>
      <c r="N1457" s="309"/>
      <c r="O1457" s="309"/>
      <c r="P1457" s="309"/>
      <c r="Q1457" s="309"/>
      <c r="R1457" s="309"/>
      <c r="S1457" s="309"/>
      <c r="T1457" s="309"/>
      <c r="U1457" s="309"/>
    </row>
    <row r="1458" spans="1:21" ht="12.75" customHeight="1">
      <c r="A1458" s="1409"/>
      <c r="B1458" s="625"/>
      <c r="C1458" s="623"/>
      <c r="D1458" s="792"/>
      <c r="E1458" s="624"/>
      <c r="F1458" s="546"/>
      <c r="G1458" s="1508"/>
      <c r="H1458" s="1501"/>
      <c r="I1458" s="1501" t="str">
        <f t="shared" si="67"/>
        <v/>
      </c>
      <c r="J1458" s="1501" t="str">
        <f t="shared" si="66"/>
        <v/>
      </c>
      <c r="K1458" s="271"/>
      <c r="L1458" s="309"/>
      <c r="M1458" s="309"/>
      <c r="N1458" s="309"/>
      <c r="O1458" s="309"/>
      <c r="P1458" s="309"/>
      <c r="Q1458" s="309"/>
      <c r="R1458" s="309"/>
      <c r="S1458" s="309"/>
      <c r="T1458" s="309"/>
      <c r="U1458" s="309"/>
    </row>
    <row r="1459" spans="1:21" ht="12.75" customHeight="1">
      <c r="A1459" s="1369" t="s">
        <v>998</v>
      </c>
      <c r="B1459" s="625"/>
      <c r="C1459" s="623"/>
      <c r="D1459" s="792"/>
      <c r="E1459" s="624"/>
      <c r="F1459" s="546"/>
      <c r="G1459" s="1508"/>
      <c r="H1459" s="1501"/>
      <c r="I1459" s="1501" t="str">
        <f t="shared" si="67"/>
        <v/>
      </c>
      <c r="J1459" s="1501" t="str">
        <f t="shared" si="66"/>
        <v>BRLI</v>
      </c>
      <c r="K1459" s="271"/>
      <c r="L1459" s="309"/>
      <c r="M1459" s="309"/>
      <c r="N1459" s="309"/>
      <c r="O1459" s="309"/>
      <c r="P1459" s="309"/>
      <c r="Q1459" s="309"/>
      <c r="R1459" s="309"/>
      <c r="S1459" s="309"/>
      <c r="T1459" s="309"/>
      <c r="U1459" s="309"/>
    </row>
    <row r="1460" spans="1:21" ht="12.75" customHeight="1">
      <c r="A1460" s="1410" t="s">
        <v>975</v>
      </c>
      <c r="B1460" s="625"/>
      <c r="C1460" s="623"/>
      <c r="D1460" s="792"/>
      <c r="E1460" s="624"/>
      <c r="F1460" s="546"/>
      <c r="G1460" s="1508"/>
      <c r="H1460" s="1501"/>
      <c r="I1460" s="1501" t="str">
        <f t="shared" si="67"/>
        <v/>
      </c>
      <c r="J1460" s="1501" t="str">
        <f t="shared" si="66"/>
        <v/>
      </c>
      <c r="K1460" s="271"/>
      <c r="L1460" s="309"/>
      <c r="M1460" s="309"/>
      <c r="N1460" s="309"/>
      <c r="O1460" s="309"/>
      <c r="P1460" s="309"/>
      <c r="Q1460" s="309"/>
      <c r="R1460" s="309"/>
      <c r="S1460" s="309"/>
      <c r="T1460" s="309"/>
      <c r="U1460" s="309"/>
    </row>
    <row r="1461" spans="1:21" ht="12.75" customHeight="1">
      <c r="A1461" s="1409" t="s">
        <v>999</v>
      </c>
      <c r="B1461" s="625">
        <v>200</v>
      </c>
      <c r="C1461" s="623">
        <f>27.46/2</f>
        <v>13.73</v>
      </c>
      <c r="D1461" s="792">
        <v>9.99</v>
      </c>
      <c r="E1461" s="624">
        <f>B1461*C1461-D1461</f>
        <v>2736.01</v>
      </c>
      <c r="F1461" s="546" t="s">
        <v>209</v>
      </c>
      <c r="G1461" s="1508"/>
      <c r="H1461" s="1501"/>
      <c r="I1461" s="1501" t="str">
        <f t="shared" si="67"/>
        <v>BRLI</v>
      </c>
      <c r="J1461" s="1501" t="str">
        <f t="shared" si="66"/>
        <v/>
      </c>
      <c r="K1461" s="271"/>
      <c r="L1461" s="309"/>
      <c r="M1461" s="309"/>
      <c r="N1461" s="309"/>
      <c r="O1461" s="309"/>
      <c r="P1461" s="309"/>
      <c r="Q1461" s="309"/>
      <c r="R1461" s="309"/>
      <c r="S1461" s="309"/>
      <c r="T1461" s="309"/>
      <c r="U1461" s="309"/>
    </row>
    <row r="1462" spans="1:21" ht="12.75" customHeight="1">
      <c r="A1462" s="1409"/>
      <c r="B1462" s="625"/>
      <c r="C1462" s="623"/>
      <c r="D1462" s="792"/>
      <c r="E1462" s="624"/>
      <c r="F1462" s="546"/>
      <c r="G1462" s="1508"/>
      <c r="H1462" s="1501"/>
      <c r="I1462" s="1501" t="str">
        <f t="shared" si="67"/>
        <v/>
      </c>
      <c r="J1462" s="1501" t="str">
        <f t="shared" si="66"/>
        <v/>
      </c>
      <c r="K1462" s="271"/>
      <c r="L1462" s="309"/>
      <c r="M1462" s="309"/>
      <c r="N1462" s="309"/>
      <c r="O1462" s="309"/>
      <c r="P1462" s="309"/>
      <c r="Q1462" s="309"/>
      <c r="R1462" s="309"/>
      <c r="S1462" s="309"/>
      <c r="T1462" s="309"/>
      <c r="U1462" s="309"/>
    </row>
    <row r="1463" spans="1:21" ht="12.75" customHeight="1">
      <c r="A1463" s="1369" t="s">
        <v>1000</v>
      </c>
      <c r="B1463" s="625"/>
      <c r="C1463" s="623"/>
      <c r="D1463" s="792"/>
      <c r="E1463" s="624"/>
      <c r="F1463" s="546"/>
      <c r="G1463" s="1508"/>
      <c r="H1463" s="1501"/>
      <c r="I1463" s="1501" t="str">
        <f t="shared" si="67"/>
        <v/>
      </c>
      <c r="J1463" s="1501" t="str">
        <f t="shared" si="66"/>
        <v/>
      </c>
      <c r="K1463" s="271"/>
      <c r="L1463" s="309"/>
      <c r="M1463" s="309"/>
      <c r="N1463" s="309"/>
      <c r="O1463" s="309"/>
      <c r="P1463" s="309"/>
      <c r="Q1463" s="309"/>
      <c r="R1463" s="309"/>
      <c r="S1463" s="309"/>
      <c r="T1463" s="309"/>
      <c r="U1463" s="309"/>
    </row>
    <row r="1464" spans="1:21" ht="12.75" customHeight="1">
      <c r="A1464" s="1410" t="s">
        <v>820</v>
      </c>
      <c r="B1464" s="625"/>
      <c r="C1464" s="623"/>
      <c r="D1464" s="792"/>
      <c r="E1464" s="624"/>
      <c r="F1464" s="546"/>
      <c r="G1464" s="1508"/>
      <c r="H1464" s="1501"/>
      <c r="I1464" s="1501" t="str">
        <f t="shared" si="67"/>
        <v/>
      </c>
      <c r="J1464" s="1501" t="str">
        <f t="shared" si="66"/>
        <v/>
      </c>
      <c r="K1464" s="271"/>
      <c r="L1464" s="309"/>
      <c r="M1464" s="309"/>
      <c r="N1464" s="309"/>
      <c r="O1464" s="309"/>
      <c r="P1464" s="309"/>
      <c r="Q1464" s="309"/>
      <c r="R1464" s="309"/>
      <c r="S1464" s="309"/>
      <c r="T1464" s="309"/>
      <c r="U1464" s="309"/>
    </row>
    <row r="1465" spans="1:21" ht="12.75" customHeight="1">
      <c r="A1465" s="1409" t="s">
        <v>36</v>
      </c>
      <c r="B1465" s="625">
        <v>20</v>
      </c>
      <c r="C1465" s="623">
        <v>121.58</v>
      </c>
      <c r="D1465" s="792">
        <v>9.99</v>
      </c>
      <c r="E1465" s="624">
        <f>B1465*C1465-D1465</f>
        <v>2421.61</v>
      </c>
      <c r="F1465" s="546" t="s">
        <v>37</v>
      </c>
      <c r="G1465" s="1508"/>
      <c r="H1465" s="1501"/>
      <c r="I1465" s="1501" t="str">
        <f t="shared" si="67"/>
        <v/>
      </c>
      <c r="J1465" s="1501" t="str">
        <f t="shared" si="66"/>
        <v/>
      </c>
      <c r="K1465" s="271"/>
      <c r="L1465" s="309"/>
      <c r="M1465" s="309"/>
      <c r="N1465" s="309"/>
      <c r="O1465" s="309"/>
      <c r="P1465" s="309"/>
      <c r="Q1465" s="309"/>
      <c r="R1465" s="309"/>
      <c r="S1465" s="309"/>
      <c r="T1465" s="309"/>
      <c r="U1465" s="309"/>
    </row>
    <row r="1466" spans="1:21" ht="12.75" customHeight="1">
      <c r="A1466" s="1409"/>
      <c r="B1466" s="625"/>
      <c r="C1466" s="623"/>
      <c r="D1466" s="792"/>
      <c r="E1466" s="624"/>
      <c r="F1466" s="546"/>
      <c r="G1466" s="1508"/>
      <c r="H1466" s="1501"/>
      <c r="I1466" s="1501" t="str">
        <f t="shared" si="67"/>
        <v/>
      </c>
      <c r="J1466" s="1501" t="str">
        <f t="shared" si="66"/>
        <v/>
      </c>
      <c r="K1466" s="271"/>
      <c r="L1466" s="309"/>
      <c r="M1466" s="309"/>
      <c r="N1466" s="309"/>
      <c r="O1466" s="309"/>
      <c r="P1466" s="309"/>
      <c r="Q1466" s="309"/>
      <c r="R1466" s="309"/>
      <c r="S1466" s="309"/>
      <c r="T1466" s="309"/>
      <c r="U1466" s="309"/>
    </row>
    <row r="1467" spans="1:21" ht="12.75" customHeight="1">
      <c r="A1467" s="1369" t="s">
        <v>1001</v>
      </c>
      <c r="B1467" s="625"/>
      <c r="C1467" s="623"/>
      <c r="D1467" s="792"/>
      <c r="E1467" s="624"/>
      <c r="F1467" s="546"/>
      <c r="G1467" s="1508"/>
      <c r="H1467" s="1501"/>
      <c r="I1467" s="1501" t="str">
        <f t="shared" si="67"/>
        <v/>
      </c>
      <c r="J1467" s="1501" t="str">
        <f t="shared" si="66"/>
        <v>MRK</v>
      </c>
      <c r="K1467" s="271"/>
      <c r="L1467" s="309"/>
      <c r="M1467" s="309"/>
      <c r="N1467" s="309"/>
      <c r="O1467" s="309"/>
      <c r="P1467" s="309"/>
      <c r="Q1467" s="309"/>
      <c r="R1467" s="309"/>
      <c r="S1467" s="309"/>
      <c r="T1467" s="309"/>
      <c r="U1467" s="309"/>
    </row>
    <row r="1468" spans="1:21" ht="12.75" customHeight="1">
      <c r="A1468" s="1410" t="s">
        <v>975</v>
      </c>
      <c r="B1468" s="625"/>
      <c r="C1468" s="623"/>
      <c r="D1468" s="792"/>
      <c r="E1468" s="624"/>
      <c r="F1468" s="546"/>
      <c r="G1468" s="1508"/>
      <c r="H1468" s="1501"/>
      <c r="I1468" s="1501" t="str">
        <f t="shared" si="67"/>
        <v/>
      </c>
      <c r="J1468" s="1501" t="str">
        <f t="shared" si="66"/>
        <v>WFT</v>
      </c>
      <c r="K1468" s="271"/>
      <c r="L1468" s="309"/>
      <c r="M1468" s="309"/>
      <c r="N1468" s="309"/>
      <c r="O1468" s="309"/>
      <c r="P1468" s="309"/>
      <c r="Q1468" s="309"/>
      <c r="R1468" s="309"/>
      <c r="S1468" s="309"/>
      <c r="T1468" s="309"/>
      <c r="U1468" s="309"/>
    </row>
    <row r="1469" spans="1:21" ht="12.75" customHeight="1">
      <c r="A1469" s="1409" t="s">
        <v>216</v>
      </c>
      <c r="B1469" s="625">
        <v>100</v>
      </c>
      <c r="C1469" s="623">
        <v>52.41</v>
      </c>
      <c r="D1469" s="792">
        <v>9.99</v>
      </c>
      <c r="E1469" s="624">
        <f>B1469*C1469-D1469</f>
        <v>5231.01</v>
      </c>
      <c r="F1469" s="546" t="s">
        <v>217</v>
      </c>
      <c r="G1469" s="1508"/>
      <c r="H1469" s="1501"/>
      <c r="I1469" s="1501" t="str">
        <f t="shared" si="67"/>
        <v>MRK</v>
      </c>
      <c r="J1469" s="1501" t="str">
        <f t="shared" si="66"/>
        <v/>
      </c>
      <c r="K1469" s="271"/>
      <c r="L1469" s="309"/>
      <c r="M1469" s="309"/>
      <c r="N1469" s="309"/>
      <c r="O1469" s="309"/>
      <c r="P1469" s="309"/>
      <c r="Q1469" s="309"/>
      <c r="R1469" s="309"/>
      <c r="S1469" s="309"/>
      <c r="T1469" s="309"/>
      <c r="U1469" s="309"/>
    </row>
    <row r="1470" spans="1:21" ht="12.75" customHeight="1">
      <c r="A1470" s="1409" t="s">
        <v>222</v>
      </c>
      <c r="B1470" s="625">
        <v>60</v>
      </c>
      <c r="C1470" s="623">
        <v>25.895</v>
      </c>
      <c r="D1470" s="792">
        <v>9.99</v>
      </c>
      <c r="E1470" s="624">
        <f>B1470*C1470-D1470</f>
        <v>1543.71</v>
      </c>
      <c r="F1470" s="546" t="s">
        <v>223</v>
      </c>
      <c r="G1470" s="1508"/>
      <c r="H1470" s="1501"/>
      <c r="I1470" s="1501" t="str">
        <f t="shared" si="67"/>
        <v>WFT</v>
      </c>
      <c r="J1470" s="1501" t="str">
        <f t="shared" si="66"/>
        <v/>
      </c>
      <c r="K1470" s="271"/>
      <c r="L1470" s="309"/>
      <c r="M1470" s="309"/>
      <c r="N1470" s="309"/>
      <c r="O1470" s="309"/>
      <c r="P1470" s="309"/>
      <c r="Q1470" s="309"/>
      <c r="R1470" s="309"/>
      <c r="S1470" s="309"/>
      <c r="T1470" s="309"/>
      <c r="U1470" s="309"/>
    </row>
    <row r="1471" spans="1:21" ht="12.75" customHeight="1">
      <c r="A1471" s="1409"/>
      <c r="B1471" s="625" t="s">
        <v>1002</v>
      </c>
      <c r="C1471" s="623"/>
      <c r="D1471" s="792"/>
      <c r="E1471" s="624"/>
      <c r="F1471" s="546"/>
      <c r="G1471" s="1508"/>
      <c r="H1471" s="1501"/>
      <c r="I1471" s="1501" t="str">
        <f t="shared" si="67"/>
        <v/>
      </c>
      <c r="J1471" s="1501" t="str">
        <f t="shared" ref="J1471:J1534" si="68">IF(F1473="","",IF(OR(A1471="Sell",A1472="Sell"),"",F1473))</f>
        <v/>
      </c>
      <c r="K1471" s="271"/>
      <c r="L1471" s="309"/>
      <c r="M1471" s="309"/>
      <c r="N1471" s="309"/>
      <c r="O1471" s="309"/>
      <c r="P1471" s="309"/>
      <c r="Q1471" s="309"/>
      <c r="R1471" s="309"/>
      <c r="S1471" s="309"/>
      <c r="T1471" s="309"/>
      <c r="U1471" s="309"/>
    </row>
    <row r="1472" spans="1:21" ht="12.75" customHeight="1">
      <c r="A1472" s="1369" t="s">
        <v>1003</v>
      </c>
      <c r="B1472" s="625"/>
      <c r="C1472" s="623"/>
      <c r="D1472" s="792"/>
      <c r="E1472" s="624"/>
      <c r="F1472" s="546"/>
      <c r="G1472" s="1508"/>
      <c r="H1472" s="1501"/>
      <c r="I1472" s="1501" t="str">
        <f t="shared" si="67"/>
        <v/>
      </c>
      <c r="J1472" s="1501" t="str">
        <f t="shared" si="68"/>
        <v>HERO</v>
      </c>
      <c r="K1472" s="271"/>
      <c r="L1472" s="309"/>
      <c r="M1472" s="309"/>
      <c r="N1472" s="309"/>
      <c r="O1472" s="309"/>
      <c r="P1472" s="309"/>
      <c r="Q1472" s="309"/>
      <c r="R1472" s="309"/>
      <c r="S1472" s="309"/>
      <c r="T1472" s="309"/>
      <c r="U1472" s="309"/>
    </row>
    <row r="1473" spans="1:21" ht="12.75" customHeight="1">
      <c r="A1473" s="1410" t="s">
        <v>975</v>
      </c>
      <c r="B1473" s="625"/>
      <c r="C1473" s="623"/>
      <c r="D1473" s="792"/>
      <c r="E1473" s="624"/>
      <c r="F1473" s="546"/>
      <c r="G1473" s="1508"/>
      <c r="H1473" s="1501"/>
      <c r="I1473" s="1501" t="str">
        <f t="shared" si="67"/>
        <v/>
      </c>
      <c r="J1473" s="1501" t="str">
        <f t="shared" si="68"/>
        <v/>
      </c>
      <c r="K1473" s="271"/>
      <c r="L1473" s="309"/>
      <c r="M1473" s="309"/>
      <c r="N1473" s="309"/>
      <c r="O1473" s="309"/>
      <c r="P1473" s="309"/>
      <c r="Q1473" s="309"/>
      <c r="R1473" s="309"/>
      <c r="S1473" s="309"/>
      <c r="T1473" s="309"/>
      <c r="U1473" s="309"/>
    </row>
    <row r="1474" spans="1:21" ht="12.75" customHeight="1">
      <c r="A1474" s="1409" t="s">
        <v>210</v>
      </c>
      <c r="B1474" s="625">
        <v>55</v>
      </c>
      <c r="C1474" s="623">
        <v>29.96</v>
      </c>
      <c r="D1474" s="792">
        <v>9.99</v>
      </c>
      <c r="E1474" s="624">
        <f>B1474*C1474-D1474</f>
        <v>1637.81</v>
      </c>
      <c r="F1474" s="546" t="s">
        <v>211</v>
      </c>
      <c r="G1474" s="1508"/>
      <c r="H1474" s="1501"/>
      <c r="I1474" s="1501" t="str">
        <f t="shared" si="67"/>
        <v>HERO</v>
      </c>
      <c r="J1474" s="1501" t="str">
        <f t="shared" si="68"/>
        <v/>
      </c>
      <c r="K1474" s="271"/>
      <c r="L1474" s="309"/>
      <c r="M1474" s="309"/>
      <c r="N1474" s="309"/>
      <c r="O1474" s="309"/>
      <c r="P1474" s="309"/>
      <c r="Q1474" s="309"/>
      <c r="R1474" s="309"/>
      <c r="S1474" s="309"/>
      <c r="T1474" s="309"/>
      <c r="U1474" s="309"/>
    </row>
    <row r="1475" spans="1:21" ht="12.75" customHeight="1">
      <c r="A1475" s="1409"/>
      <c r="B1475" s="625"/>
      <c r="C1475" s="623"/>
      <c r="D1475" s="792"/>
      <c r="E1475" s="624"/>
      <c r="F1475" s="546"/>
      <c r="G1475" s="1508"/>
      <c r="H1475" s="1501"/>
      <c r="I1475" s="1501" t="str">
        <f t="shared" si="67"/>
        <v/>
      </c>
      <c r="J1475" s="1501" t="str">
        <f t="shared" si="68"/>
        <v/>
      </c>
      <c r="K1475" s="271"/>
      <c r="L1475" s="309"/>
      <c r="M1475" s="309"/>
      <c r="N1475" s="309"/>
      <c r="O1475" s="309"/>
      <c r="P1475" s="309"/>
      <c r="Q1475" s="309"/>
      <c r="R1475" s="309"/>
      <c r="S1475" s="309"/>
      <c r="T1475" s="309"/>
      <c r="U1475" s="309"/>
    </row>
    <row r="1476" spans="1:21" ht="12.75" customHeight="1">
      <c r="A1476" s="1369" t="s">
        <v>1004</v>
      </c>
      <c r="B1476" s="625"/>
      <c r="C1476" s="623"/>
      <c r="D1476" s="792"/>
      <c r="E1476" s="624"/>
      <c r="F1476" s="546"/>
      <c r="G1476" s="1508"/>
      <c r="H1476" s="1501"/>
      <c r="I1476" s="1501" t="str">
        <f t="shared" si="67"/>
        <v/>
      </c>
      <c r="J1476" s="1501" t="str">
        <f t="shared" si="68"/>
        <v>EBAY</v>
      </c>
      <c r="K1476" s="271"/>
      <c r="L1476" s="309"/>
      <c r="M1476" s="309"/>
      <c r="N1476" s="309"/>
      <c r="O1476" s="309"/>
      <c r="P1476" s="309"/>
      <c r="Q1476" s="309"/>
      <c r="R1476" s="309"/>
      <c r="S1476" s="309"/>
      <c r="T1476" s="309"/>
      <c r="U1476" s="309"/>
    </row>
    <row r="1477" spans="1:21" ht="12.75" customHeight="1">
      <c r="A1477" s="1410" t="s">
        <v>975</v>
      </c>
      <c r="B1477" s="625"/>
      <c r="C1477" s="623"/>
      <c r="D1477" s="792"/>
      <c r="E1477" s="624"/>
      <c r="F1477" s="546"/>
      <c r="G1477" s="1508"/>
      <c r="H1477" s="1501"/>
      <c r="I1477" s="1501" t="str">
        <f t="shared" si="67"/>
        <v/>
      </c>
      <c r="J1477" s="1501" t="str">
        <f t="shared" si="68"/>
        <v/>
      </c>
      <c r="K1477" s="271"/>
      <c r="L1477" s="309"/>
      <c r="M1477" s="309"/>
      <c r="N1477" s="309"/>
      <c r="O1477" s="309"/>
      <c r="P1477" s="309"/>
      <c r="Q1477" s="309"/>
      <c r="R1477" s="309"/>
      <c r="S1477" s="309"/>
      <c r="T1477" s="309"/>
      <c r="U1477" s="309"/>
    </row>
    <row r="1478" spans="1:21" ht="12.75" customHeight="1">
      <c r="A1478" s="1409" t="s">
        <v>28</v>
      </c>
      <c r="B1478" s="625">
        <v>100</v>
      </c>
      <c r="C1478" s="623">
        <v>35.200000000000003</v>
      </c>
      <c r="D1478" s="792">
        <v>9.99</v>
      </c>
      <c r="E1478" s="624">
        <f>B1478*C1478-D1478</f>
        <v>3510.0100000000007</v>
      </c>
      <c r="F1478" s="546" t="s">
        <v>29</v>
      </c>
      <c r="G1478" s="1508"/>
      <c r="H1478" s="1501"/>
      <c r="I1478" s="1501" t="str">
        <f t="shared" si="67"/>
        <v>EBAY</v>
      </c>
      <c r="J1478" s="1501" t="str">
        <f t="shared" si="68"/>
        <v>SLM</v>
      </c>
      <c r="K1478" s="271"/>
      <c r="L1478" s="309"/>
      <c r="M1478" s="309"/>
      <c r="N1478" s="309"/>
      <c r="O1478" s="309"/>
      <c r="P1478" s="309"/>
      <c r="Q1478" s="309"/>
      <c r="R1478" s="309"/>
      <c r="S1478" s="309"/>
      <c r="T1478" s="309"/>
      <c r="U1478" s="309"/>
    </row>
    <row r="1479" spans="1:21" ht="12.75" customHeight="1">
      <c r="A1479" s="1410" t="s">
        <v>1005</v>
      </c>
      <c r="B1479" s="625"/>
      <c r="C1479" s="623"/>
      <c r="D1479" s="792"/>
      <c r="E1479" s="624"/>
      <c r="F1479" s="546"/>
      <c r="G1479" s="1508"/>
      <c r="H1479" s="1501"/>
      <c r="I1479" s="1501" t="str">
        <f t="shared" si="67"/>
        <v/>
      </c>
      <c r="J1479" s="1501" t="str">
        <f t="shared" si="68"/>
        <v/>
      </c>
      <c r="K1479" s="271"/>
      <c r="L1479" s="309"/>
      <c r="M1479" s="309"/>
      <c r="N1479" s="309"/>
      <c r="O1479" s="309"/>
      <c r="P1479" s="309"/>
      <c r="Q1479" s="309"/>
      <c r="R1479" s="309"/>
      <c r="S1479" s="309"/>
      <c r="T1479" s="309"/>
      <c r="U1479" s="309"/>
    </row>
    <row r="1480" spans="1:21" ht="12.75" customHeight="1">
      <c r="A1480" s="1409" t="s">
        <v>1006</v>
      </c>
      <c r="B1480" s="625">
        <v>150</v>
      </c>
      <c r="C1480" s="623">
        <v>56.2</v>
      </c>
      <c r="D1480" s="792">
        <v>9.99</v>
      </c>
      <c r="E1480" s="624">
        <f>B1480*C1480-D1480</f>
        <v>8420.01</v>
      </c>
      <c r="F1480" s="546" t="s">
        <v>62</v>
      </c>
      <c r="G1480" s="1508"/>
      <c r="H1480" s="1501"/>
      <c r="I1480" s="1501" t="str">
        <f t="shared" si="67"/>
        <v>SLM</v>
      </c>
      <c r="J1480" s="1501" t="str">
        <f t="shared" si="68"/>
        <v/>
      </c>
      <c r="K1480" s="271"/>
      <c r="L1480" s="309"/>
      <c r="M1480" s="309"/>
      <c r="N1480" s="309"/>
      <c r="O1480" s="309"/>
      <c r="P1480" s="309"/>
      <c r="Q1480" s="309"/>
      <c r="R1480" s="309"/>
      <c r="S1480" s="309"/>
      <c r="T1480" s="309"/>
      <c r="U1480" s="309"/>
    </row>
    <row r="1481" spans="1:21" ht="12.75" customHeight="1">
      <c r="A1481" s="1409"/>
      <c r="B1481" s="625"/>
      <c r="C1481" s="623"/>
      <c r="D1481" s="792"/>
      <c r="E1481" s="624"/>
      <c r="F1481" s="546"/>
      <c r="G1481" s="1508"/>
      <c r="H1481" s="1501"/>
      <c r="I1481" s="1501" t="str">
        <f t="shared" si="67"/>
        <v/>
      </c>
      <c r="J1481" s="1501" t="str">
        <f t="shared" si="68"/>
        <v/>
      </c>
      <c r="K1481" s="271"/>
      <c r="L1481" s="309"/>
      <c r="M1481" s="309"/>
      <c r="N1481" s="309"/>
      <c r="O1481" s="309"/>
      <c r="P1481" s="309"/>
      <c r="Q1481" s="309"/>
      <c r="R1481" s="309"/>
      <c r="S1481" s="309"/>
      <c r="T1481" s="309"/>
      <c r="U1481" s="309"/>
    </row>
    <row r="1482" spans="1:21" ht="12.75" customHeight="1">
      <c r="A1482" s="1369" t="s">
        <v>1007</v>
      </c>
      <c r="B1482" s="625"/>
      <c r="C1482" s="623"/>
      <c r="D1482" s="792"/>
      <c r="E1482" s="624"/>
      <c r="F1482" s="546"/>
      <c r="G1482" s="1508"/>
      <c r="H1482" s="1501"/>
      <c r="I1482" s="1501" t="str">
        <f t="shared" si="67"/>
        <v/>
      </c>
      <c r="J1482" s="1501" t="str">
        <f t="shared" si="68"/>
        <v>FAST</v>
      </c>
      <c r="K1482" s="271"/>
      <c r="L1482" s="309"/>
      <c r="M1482" s="309"/>
      <c r="N1482" s="309"/>
      <c r="O1482" s="309"/>
      <c r="P1482" s="309"/>
      <c r="Q1482" s="309"/>
      <c r="R1482" s="309"/>
      <c r="S1482" s="309"/>
      <c r="T1482" s="309"/>
      <c r="U1482" s="309"/>
    </row>
    <row r="1483" spans="1:21" ht="12.75" customHeight="1">
      <c r="A1483" s="1410" t="s">
        <v>975</v>
      </c>
      <c r="B1483" s="625"/>
      <c r="C1483" s="623"/>
      <c r="D1483" s="792"/>
      <c r="E1483" s="624"/>
      <c r="F1483" s="546"/>
      <c r="G1483" s="1508"/>
      <c r="H1483" s="1501"/>
      <c r="I1483" s="1501" t="str">
        <f t="shared" si="67"/>
        <v/>
      </c>
      <c r="J1483" s="1501" t="str">
        <f t="shared" si="68"/>
        <v/>
      </c>
      <c r="K1483" s="271"/>
      <c r="L1483" s="309"/>
      <c r="M1483" s="309"/>
      <c r="N1483" s="309"/>
      <c r="O1483" s="309"/>
      <c r="P1483" s="309"/>
      <c r="Q1483" s="309"/>
      <c r="R1483" s="309"/>
      <c r="S1483" s="309"/>
      <c r="T1483" s="309"/>
      <c r="U1483" s="309"/>
    </row>
    <row r="1484" spans="1:21" ht="12.75" customHeight="1">
      <c r="A1484" s="1409" t="s">
        <v>32</v>
      </c>
      <c r="B1484" s="625">
        <v>75</v>
      </c>
      <c r="C1484" s="623">
        <v>35.35</v>
      </c>
      <c r="D1484" s="792">
        <v>9.99</v>
      </c>
      <c r="E1484" s="624">
        <f>B1484*C1484-D1484</f>
        <v>2641.26</v>
      </c>
      <c r="F1484" s="546" t="s">
        <v>33</v>
      </c>
      <c r="G1484" s="1508"/>
      <c r="H1484" s="1501"/>
      <c r="I1484" s="1501" t="str">
        <f t="shared" si="67"/>
        <v>FAST</v>
      </c>
      <c r="J1484" s="1501" t="str">
        <f t="shared" si="68"/>
        <v/>
      </c>
      <c r="K1484" s="271"/>
      <c r="L1484" s="309"/>
      <c r="M1484" s="309"/>
      <c r="N1484" s="309"/>
      <c r="O1484" s="309"/>
      <c r="P1484" s="309"/>
      <c r="Q1484" s="309"/>
      <c r="R1484" s="309"/>
      <c r="S1484" s="309"/>
      <c r="T1484" s="309"/>
      <c r="U1484" s="309"/>
    </row>
    <row r="1485" spans="1:21" ht="12.75" customHeight="1">
      <c r="A1485" s="1409"/>
      <c r="B1485" s="625"/>
      <c r="C1485" s="623"/>
      <c r="D1485" s="792"/>
      <c r="E1485" s="624"/>
      <c r="F1485" s="546"/>
      <c r="G1485" s="1508"/>
      <c r="H1485" s="1501"/>
      <c r="I1485" s="1501" t="str">
        <f t="shared" si="67"/>
        <v/>
      </c>
      <c r="J1485" s="1501" t="str">
        <f t="shared" si="68"/>
        <v/>
      </c>
      <c r="K1485" s="271"/>
      <c r="L1485" s="309"/>
      <c r="M1485" s="309"/>
      <c r="N1485" s="309"/>
      <c r="O1485" s="309"/>
      <c r="P1485" s="309"/>
      <c r="Q1485" s="309"/>
      <c r="R1485" s="309"/>
      <c r="S1485" s="309"/>
      <c r="T1485" s="309"/>
      <c r="U1485" s="309"/>
    </row>
    <row r="1486" spans="1:21" ht="12.75" customHeight="1">
      <c r="A1486" s="1369" t="s">
        <v>1008</v>
      </c>
      <c r="B1486" s="625"/>
      <c r="C1486" s="623"/>
      <c r="D1486" s="792"/>
      <c r="E1486" s="624"/>
      <c r="F1486" s="546"/>
      <c r="G1486" s="1508"/>
      <c r="H1486" s="1501"/>
      <c r="I1486" s="1501" t="str">
        <f t="shared" si="67"/>
        <v/>
      </c>
      <c r="J1486" s="1501" t="str">
        <f t="shared" si="68"/>
        <v>YUM</v>
      </c>
      <c r="K1486" s="271"/>
      <c r="L1486" s="309"/>
      <c r="M1486" s="309"/>
      <c r="N1486" s="309"/>
      <c r="O1486" s="309"/>
      <c r="P1486" s="309"/>
      <c r="Q1486" s="309"/>
      <c r="R1486" s="309"/>
      <c r="S1486" s="309"/>
      <c r="T1486" s="309"/>
      <c r="U1486" s="309"/>
    </row>
    <row r="1487" spans="1:21" ht="12.75" customHeight="1">
      <c r="A1487" s="1410" t="s">
        <v>975</v>
      </c>
      <c r="B1487" s="625"/>
      <c r="C1487" s="623"/>
      <c r="D1487" s="792"/>
      <c r="E1487" s="624"/>
      <c r="F1487" s="546"/>
      <c r="G1487" s="1508"/>
      <c r="H1487" s="1501"/>
      <c r="I1487" s="1501" t="str">
        <f t="shared" si="67"/>
        <v/>
      </c>
      <c r="J1487" s="1501" t="str">
        <f t="shared" si="68"/>
        <v/>
      </c>
      <c r="K1487" s="271"/>
      <c r="L1487" s="309"/>
      <c r="M1487" s="309"/>
      <c r="N1487" s="309"/>
      <c r="O1487" s="309"/>
      <c r="P1487" s="309"/>
      <c r="Q1487" s="309"/>
      <c r="R1487" s="309"/>
      <c r="S1487" s="309"/>
      <c r="T1487" s="309"/>
      <c r="U1487" s="309"/>
    </row>
    <row r="1488" spans="1:21" ht="12.75" customHeight="1">
      <c r="A1488" s="1409" t="s">
        <v>50</v>
      </c>
      <c r="B1488" s="625">
        <v>100</v>
      </c>
      <c r="C1488" s="623">
        <v>28.86</v>
      </c>
      <c r="D1488" s="792">
        <v>9.99</v>
      </c>
      <c r="E1488" s="624">
        <f>B1488*C1488-D1488</f>
        <v>2876.01</v>
      </c>
      <c r="F1488" s="546" t="s">
        <v>51</v>
      </c>
      <c r="G1488" s="1508"/>
      <c r="H1488" s="1501"/>
      <c r="I1488" s="1501" t="str">
        <f t="shared" si="67"/>
        <v>YUM</v>
      </c>
      <c r="J1488" s="1501" t="str">
        <f t="shared" si="68"/>
        <v/>
      </c>
      <c r="K1488" s="271"/>
      <c r="L1488" s="309"/>
      <c r="M1488" s="309"/>
      <c r="N1488" s="309"/>
      <c r="O1488" s="309"/>
      <c r="P1488" s="309"/>
      <c r="Q1488" s="309"/>
      <c r="R1488" s="309"/>
      <c r="S1488" s="309"/>
      <c r="T1488" s="309"/>
      <c r="U1488" s="309"/>
    </row>
    <row r="1489" spans="1:21" ht="12.75" customHeight="1">
      <c r="A1489" s="1409"/>
      <c r="B1489" s="625"/>
      <c r="C1489" s="623"/>
      <c r="D1489" s="792"/>
      <c r="E1489" s="624"/>
      <c r="F1489" s="546"/>
      <c r="G1489" s="1508"/>
      <c r="H1489" s="1501"/>
      <c r="I1489" s="1501" t="str">
        <f t="shared" si="67"/>
        <v/>
      </c>
      <c r="J1489" s="1501" t="str">
        <f t="shared" si="68"/>
        <v/>
      </c>
      <c r="K1489" s="271"/>
      <c r="L1489" s="309"/>
      <c r="M1489" s="309"/>
      <c r="N1489" s="309"/>
      <c r="O1489" s="309"/>
      <c r="P1489" s="309"/>
      <c r="Q1489" s="309"/>
      <c r="R1489" s="309"/>
      <c r="S1489" s="309"/>
      <c r="T1489" s="309"/>
      <c r="U1489" s="309"/>
    </row>
    <row r="1490" spans="1:21" ht="12.75" customHeight="1">
      <c r="A1490" s="1369" t="s">
        <v>1009</v>
      </c>
      <c r="B1490" s="625"/>
      <c r="C1490" s="623"/>
      <c r="D1490" s="792"/>
      <c r="E1490" s="624"/>
      <c r="F1490" s="546"/>
      <c r="G1490" s="1508"/>
      <c r="H1490" s="1501"/>
      <c r="I1490" s="1501" t="str">
        <f t="shared" si="67"/>
        <v/>
      </c>
      <c r="J1490" s="1501" t="str">
        <f t="shared" si="68"/>
        <v>AIG</v>
      </c>
      <c r="K1490" s="271"/>
      <c r="L1490" s="309"/>
      <c r="M1490" s="309"/>
      <c r="N1490" s="309"/>
      <c r="O1490" s="309"/>
      <c r="P1490" s="309"/>
      <c r="Q1490" s="309"/>
      <c r="R1490" s="309"/>
      <c r="S1490" s="309"/>
      <c r="T1490" s="309"/>
      <c r="U1490" s="309"/>
    </row>
    <row r="1491" spans="1:21" ht="12.75" customHeight="1">
      <c r="A1491" s="1410" t="s">
        <v>975</v>
      </c>
      <c r="B1491" s="625"/>
      <c r="C1491" s="623"/>
      <c r="D1491" s="792"/>
      <c r="E1491" s="624"/>
      <c r="F1491" s="546"/>
      <c r="G1491" s="1508"/>
      <c r="H1491" s="1501"/>
      <c r="I1491" s="1501" t="str">
        <f t="shared" si="67"/>
        <v/>
      </c>
      <c r="J1491" s="1501" t="str">
        <f t="shared" si="68"/>
        <v/>
      </c>
      <c r="K1491" s="271"/>
      <c r="L1491" s="309"/>
      <c r="M1491" s="309"/>
      <c r="N1491" s="309"/>
      <c r="O1491" s="309"/>
      <c r="P1491" s="309"/>
      <c r="Q1491" s="309"/>
      <c r="R1491" s="309"/>
      <c r="S1491" s="309"/>
      <c r="T1491" s="309"/>
      <c r="U1491" s="309"/>
    </row>
    <row r="1492" spans="1:21" ht="12.75" customHeight="1">
      <c r="A1492" s="1409" t="s">
        <v>1010</v>
      </c>
      <c r="B1492" s="625">
        <v>60</v>
      </c>
      <c r="C1492" s="623">
        <v>67.86</v>
      </c>
      <c r="D1492" s="792">
        <v>9.99</v>
      </c>
      <c r="E1492" s="624">
        <f>B1492*C1492-D1492</f>
        <v>4061.61</v>
      </c>
      <c r="F1492" s="546" t="s">
        <v>19</v>
      </c>
      <c r="G1492" s="1508"/>
      <c r="H1492" s="1501"/>
      <c r="I1492" s="1501" t="str">
        <f t="shared" si="67"/>
        <v>AIG</v>
      </c>
      <c r="J1492" s="1501" t="str">
        <f t="shared" si="68"/>
        <v/>
      </c>
      <c r="K1492" s="271"/>
      <c r="L1492" s="309"/>
      <c r="M1492" s="309"/>
      <c r="N1492" s="309"/>
      <c r="O1492" s="309"/>
      <c r="P1492" s="309"/>
      <c r="Q1492" s="309"/>
      <c r="R1492" s="309"/>
      <c r="S1492" s="309"/>
      <c r="T1492" s="309"/>
      <c r="U1492" s="309"/>
    </row>
    <row r="1493" spans="1:21" ht="12.75" customHeight="1">
      <c r="A1493" s="1409"/>
      <c r="B1493" s="625"/>
      <c r="C1493" s="623"/>
      <c r="D1493" s="792"/>
      <c r="E1493" s="624"/>
      <c r="F1493" s="546"/>
      <c r="G1493" s="1508"/>
      <c r="H1493" s="1501"/>
      <c r="I1493" s="1501" t="str">
        <f t="shared" si="67"/>
        <v/>
      </c>
      <c r="J1493" s="1501" t="str">
        <f t="shared" si="68"/>
        <v/>
      </c>
      <c r="K1493" s="271"/>
      <c r="L1493" s="309"/>
      <c r="M1493" s="309"/>
      <c r="N1493" s="309"/>
      <c r="O1493" s="309"/>
      <c r="P1493" s="309"/>
      <c r="Q1493" s="309"/>
      <c r="R1493" s="309"/>
      <c r="S1493" s="309"/>
      <c r="T1493" s="309"/>
      <c r="U1493" s="309"/>
    </row>
    <row r="1494" spans="1:21" ht="12.75" customHeight="1">
      <c r="A1494" s="1369" t="s">
        <v>1011</v>
      </c>
      <c r="B1494" s="625"/>
      <c r="C1494" s="623"/>
      <c r="D1494" s="792"/>
      <c r="E1494" s="624"/>
      <c r="F1494" s="546"/>
      <c r="G1494" s="1508"/>
      <c r="H1494" s="1501"/>
      <c r="I1494" s="1501" t="str">
        <f t="shared" si="67"/>
        <v/>
      </c>
      <c r="J1494" s="1501" t="str">
        <f t="shared" si="68"/>
        <v>GE</v>
      </c>
      <c r="K1494" s="271"/>
      <c r="L1494" s="309"/>
      <c r="M1494" s="309"/>
      <c r="N1494" s="309"/>
      <c r="O1494" s="309"/>
      <c r="P1494" s="309"/>
      <c r="Q1494" s="309"/>
      <c r="R1494" s="309"/>
      <c r="S1494" s="309"/>
      <c r="T1494" s="309"/>
      <c r="U1494" s="309"/>
    </row>
    <row r="1495" spans="1:21" ht="12.75" customHeight="1">
      <c r="A1495" s="1410" t="s">
        <v>975</v>
      </c>
      <c r="B1495" s="625"/>
      <c r="C1495" s="623"/>
      <c r="D1495" s="792"/>
      <c r="E1495" s="624"/>
      <c r="F1495" s="546"/>
      <c r="G1495" s="1508"/>
      <c r="H1495" s="1501"/>
      <c r="I1495" s="1501" t="str">
        <f t="shared" si="67"/>
        <v/>
      </c>
      <c r="J1495" s="1501" t="str">
        <f t="shared" si="68"/>
        <v/>
      </c>
      <c r="K1495" s="271"/>
      <c r="L1495" s="309"/>
      <c r="M1495" s="309"/>
      <c r="N1495" s="309"/>
      <c r="O1495" s="309"/>
      <c r="P1495" s="309"/>
      <c r="Q1495" s="309"/>
      <c r="R1495" s="309"/>
      <c r="S1495" s="309"/>
      <c r="T1495" s="309"/>
      <c r="U1495" s="309"/>
    </row>
    <row r="1496" spans="1:21" ht="12.75" customHeight="1">
      <c r="A1496" s="1409" t="s">
        <v>34</v>
      </c>
      <c r="B1496" s="625">
        <v>75</v>
      </c>
      <c r="C1496" s="623">
        <v>35.090000000000003</v>
      </c>
      <c r="D1496" s="792">
        <v>9.99</v>
      </c>
      <c r="E1496" s="624">
        <f>B1496*C1496-D1496</f>
        <v>2621.7600000000007</v>
      </c>
      <c r="F1496" s="546" t="s">
        <v>35</v>
      </c>
      <c r="G1496" s="1508"/>
      <c r="H1496" s="1501"/>
      <c r="I1496" s="1501" t="str">
        <f t="shared" si="67"/>
        <v>GE</v>
      </c>
      <c r="J1496" s="1501" t="str">
        <f t="shared" si="68"/>
        <v/>
      </c>
      <c r="K1496" s="271"/>
      <c r="L1496" s="309"/>
      <c r="M1496" s="309"/>
      <c r="N1496" s="309"/>
      <c r="O1496" s="309"/>
      <c r="P1496" s="309"/>
      <c r="Q1496" s="309"/>
      <c r="R1496" s="309"/>
      <c r="S1496" s="309"/>
      <c r="T1496" s="309"/>
      <c r="U1496" s="309"/>
    </row>
    <row r="1497" spans="1:21" ht="12.75" customHeight="1">
      <c r="A1497" s="1409"/>
      <c r="B1497" s="625"/>
      <c r="C1497" s="623"/>
      <c r="D1497" s="792"/>
      <c r="E1497" s="624"/>
      <c r="F1497" s="546"/>
      <c r="G1497" s="1508"/>
      <c r="H1497" s="1501"/>
      <c r="I1497" s="1501" t="str">
        <f t="shared" si="67"/>
        <v/>
      </c>
      <c r="J1497" s="1501" t="str">
        <f t="shared" si="68"/>
        <v/>
      </c>
      <c r="K1497" s="271"/>
      <c r="L1497" s="309"/>
      <c r="M1497" s="309"/>
      <c r="N1497" s="309"/>
      <c r="O1497" s="309"/>
      <c r="P1497" s="309"/>
      <c r="Q1497" s="309"/>
      <c r="R1497" s="309"/>
      <c r="S1497" s="309"/>
      <c r="T1497" s="309"/>
      <c r="U1497" s="309"/>
    </row>
    <row r="1498" spans="1:21" ht="12.75" customHeight="1">
      <c r="A1498" s="1369" t="s">
        <v>1012</v>
      </c>
      <c r="B1498" s="625"/>
      <c r="C1498" s="623"/>
      <c r="D1498" s="792"/>
      <c r="E1498" s="624"/>
      <c r="F1498" s="546"/>
      <c r="G1498" s="1508"/>
      <c r="H1498" s="1501"/>
      <c r="I1498" s="1501" t="str">
        <f t="shared" ref="I1498:I1561" si="69">IF(F1498="","",IF(OR(A1497="Sell",A1498="Sell"),"",F1498))</f>
        <v/>
      </c>
      <c r="J1498" s="1501" t="str">
        <f t="shared" si="68"/>
        <v>MOT</v>
      </c>
      <c r="K1498" s="271"/>
      <c r="L1498" s="309"/>
      <c r="M1498" s="309"/>
      <c r="N1498" s="309"/>
      <c r="O1498" s="309"/>
      <c r="P1498" s="309"/>
      <c r="Q1498" s="309"/>
      <c r="R1498" s="309"/>
      <c r="S1498" s="309"/>
      <c r="T1498" s="309"/>
      <c r="U1498" s="309"/>
    </row>
    <row r="1499" spans="1:21" ht="12.75" customHeight="1">
      <c r="A1499" s="1410" t="s">
        <v>975</v>
      </c>
      <c r="B1499" s="625"/>
      <c r="C1499" s="623"/>
      <c r="D1499" s="792"/>
      <c r="E1499" s="624"/>
      <c r="F1499" s="546"/>
      <c r="G1499" s="1508"/>
      <c r="H1499" s="1501"/>
      <c r="I1499" s="1501" t="str">
        <f t="shared" si="69"/>
        <v/>
      </c>
      <c r="J1499" s="1501" t="str">
        <f t="shared" si="68"/>
        <v/>
      </c>
      <c r="K1499" s="271"/>
      <c r="L1499" s="309"/>
      <c r="M1499" s="309"/>
      <c r="N1499" s="309"/>
      <c r="O1499" s="309"/>
      <c r="P1499" s="309"/>
      <c r="Q1499" s="309"/>
      <c r="R1499" s="309"/>
      <c r="S1499" s="309"/>
      <c r="T1499" s="309"/>
      <c r="U1499" s="309"/>
    </row>
    <row r="1500" spans="1:21" ht="12.75" customHeight="1">
      <c r="A1500" s="1409" t="s">
        <v>1013</v>
      </c>
      <c r="B1500" s="625">
        <v>129</v>
      </c>
      <c r="C1500" s="623">
        <v>19.13</v>
      </c>
      <c r="D1500" s="792">
        <v>9.99</v>
      </c>
      <c r="E1500" s="624">
        <f>B1500*C1500-D1500</f>
        <v>2457.7800000000002</v>
      </c>
      <c r="F1500" s="546" t="s">
        <v>43</v>
      </c>
      <c r="G1500" s="1508"/>
      <c r="H1500" s="1501"/>
      <c r="I1500" s="1501" t="str">
        <f t="shared" si="69"/>
        <v>MOT</v>
      </c>
      <c r="J1500" s="1501" t="str">
        <f t="shared" si="68"/>
        <v/>
      </c>
      <c r="K1500" s="271"/>
      <c r="L1500" s="309"/>
      <c r="M1500" s="309"/>
      <c r="N1500" s="309"/>
      <c r="O1500" s="309"/>
      <c r="P1500" s="309"/>
      <c r="Q1500" s="309"/>
      <c r="R1500" s="309"/>
      <c r="S1500" s="309"/>
      <c r="T1500" s="309"/>
      <c r="U1500" s="309"/>
    </row>
    <row r="1501" spans="1:21" ht="12.75" customHeight="1">
      <c r="A1501" s="1409"/>
      <c r="B1501" s="625"/>
      <c r="C1501" s="623"/>
      <c r="D1501" s="792"/>
      <c r="E1501" s="624"/>
      <c r="F1501" s="546"/>
      <c r="G1501" s="1508"/>
      <c r="H1501" s="1501"/>
      <c r="I1501" s="1501" t="str">
        <f t="shared" si="69"/>
        <v/>
      </c>
      <c r="J1501" s="1501" t="str">
        <f t="shared" si="68"/>
        <v/>
      </c>
      <c r="K1501" s="271"/>
      <c r="L1501" s="309"/>
      <c r="M1501" s="309"/>
      <c r="N1501" s="309"/>
      <c r="O1501" s="309"/>
      <c r="P1501" s="309"/>
      <c r="Q1501" s="309"/>
      <c r="R1501" s="309"/>
      <c r="S1501" s="309"/>
      <c r="T1501" s="309"/>
      <c r="U1501" s="309"/>
    </row>
    <row r="1502" spans="1:21" ht="12.75" customHeight="1">
      <c r="A1502" s="1369" t="s">
        <v>1014</v>
      </c>
      <c r="B1502" s="625"/>
      <c r="C1502" s="623"/>
      <c r="D1502" s="792"/>
      <c r="E1502" s="624"/>
      <c r="F1502" s="546"/>
      <c r="G1502" s="1508"/>
      <c r="H1502" s="1501"/>
      <c r="I1502" s="1501" t="str">
        <f t="shared" si="69"/>
        <v/>
      </c>
      <c r="J1502" s="1501" t="str">
        <f t="shared" si="68"/>
        <v>HAR</v>
      </c>
      <c r="K1502" s="271"/>
      <c r="L1502" s="309"/>
      <c r="M1502" s="309"/>
      <c r="N1502" s="309"/>
      <c r="O1502" s="309"/>
      <c r="P1502" s="309"/>
      <c r="Q1502" s="309"/>
      <c r="R1502" s="309"/>
      <c r="S1502" s="309"/>
      <c r="T1502" s="309"/>
      <c r="U1502" s="309"/>
    </row>
    <row r="1503" spans="1:21" ht="12.75" customHeight="1">
      <c r="A1503" s="1370" t="s">
        <v>975</v>
      </c>
      <c r="B1503" s="625"/>
      <c r="C1503" s="623"/>
      <c r="D1503" s="792"/>
      <c r="E1503" s="624"/>
      <c r="F1503" s="546"/>
      <c r="G1503" s="1508"/>
      <c r="H1503" s="1501"/>
      <c r="I1503" s="1501" t="str">
        <f t="shared" si="69"/>
        <v/>
      </c>
      <c r="J1503" s="1501" t="str">
        <f t="shared" si="68"/>
        <v/>
      </c>
      <c r="K1503" s="271"/>
      <c r="L1503" s="309"/>
      <c r="M1503" s="309"/>
      <c r="N1503" s="309"/>
      <c r="O1503" s="309"/>
      <c r="P1503" s="309"/>
      <c r="Q1503" s="309"/>
      <c r="R1503" s="309"/>
      <c r="S1503" s="309"/>
      <c r="T1503" s="309"/>
      <c r="U1503" s="309"/>
    </row>
    <row r="1504" spans="1:21" ht="12.75" customHeight="1">
      <c r="A1504" s="1409" t="s">
        <v>36</v>
      </c>
      <c r="B1504" s="625">
        <v>20</v>
      </c>
      <c r="C1504" s="623">
        <v>101.66</v>
      </c>
      <c r="D1504" s="792">
        <v>9.99</v>
      </c>
      <c r="E1504" s="624">
        <f>B1504*C1504-D1504</f>
        <v>2023.2099999999998</v>
      </c>
      <c r="F1504" s="546" t="s">
        <v>37</v>
      </c>
      <c r="G1504" s="1508"/>
      <c r="H1504" s="1501"/>
      <c r="I1504" s="1501" t="str">
        <f t="shared" si="69"/>
        <v>HAR</v>
      </c>
      <c r="J1504" s="1501" t="str">
        <f t="shared" si="68"/>
        <v/>
      </c>
      <c r="K1504" s="271"/>
      <c r="L1504" s="309"/>
      <c r="M1504" s="309"/>
      <c r="N1504" s="309"/>
      <c r="O1504" s="309"/>
      <c r="P1504" s="309"/>
      <c r="Q1504" s="309"/>
      <c r="R1504" s="309"/>
      <c r="S1504" s="309"/>
      <c r="T1504" s="309"/>
      <c r="U1504" s="309"/>
    </row>
    <row r="1505" spans="1:21" ht="12.75" customHeight="1">
      <c r="A1505" s="300"/>
      <c r="B1505" s="625"/>
      <c r="C1505" s="623"/>
      <c r="D1505" s="792"/>
      <c r="E1505" s="624"/>
      <c r="F1505" s="546"/>
      <c r="G1505" s="1508"/>
      <c r="H1505" s="1501"/>
      <c r="I1505" s="1501" t="str">
        <f t="shared" si="69"/>
        <v/>
      </c>
      <c r="J1505" s="1501" t="str">
        <f t="shared" si="68"/>
        <v/>
      </c>
      <c r="K1505" s="271"/>
      <c r="L1505" s="309"/>
      <c r="M1505" s="309"/>
      <c r="N1505" s="309"/>
      <c r="O1505" s="309"/>
      <c r="P1505" s="309"/>
      <c r="Q1505" s="309"/>
      <c r="R1505" s="309"/>
      <c r="S1505" s="309"/>
      <c r="T1505" s="309"/>
      <c r="U1505" s="309"/>
    </row>
    <row r="1506" spans="1:21" ht="12.75" customHeight="1">
      <c r="A1506" s="1369" t="s">
        <v>1015</v>
      </c>
      <c r="B1506" s="625"/>
      <c r="C1506" s="623"/>
      <c r="D1506" s="792"/>
      <c r="E1506" s="624"/>
      <c r="F1506" s="546"/>
      <c r="G1506" s="1508"/>
      <c r="H1506" s="1501"/>
      <c r="I1506" s="1501" t="str">
        <f t="shared" si="69"/>
        <v/>
      </c>
      <c r="J1506" s="1501" t="str">
        <f t="shared" si="68"/>
        <v>WFMI</v>
      </c>
      <c r="K1506" s="271"/>
      <c r="L1506" s="309"/>
      <c r="M1506" s="309"/>
      <c r="N1506" s="309"/>
      <c r="O1506" s="309"/>
      <c r="P1506" s="309"/>
      <c r="Q1506" s="309"/>
      <c r="R1506" s="309"/>
      <c r="S1506" s="309"/>
      <c r="T1506" s="309"/>
      <c r="U1506" s="309"/>
    </row>
    <row r="1507" spans="1:21" ht="12.75" customHeight="1">
      <c r="A1507" s="1370" t="s">
        <v>975</v>
      </c>
      <c r="B1507" s="625"/>
      <c r="C1507" s="623"/>
      <c r="D1507" s="792"/>
      <c r="E1507" s="624"/>
      <c r="F1507" s="546"/>
      <c r="G1507" s="1508"/>
      <c r="H1507" s="1501"/>
      <c r="I1507" s="1501" t="str">
        <f t="shared" si="69"/>
        <v/>
      </c>
      <c r="J1507" s="1501" t="str">
        <f t="shared" si="68"/>
        <v/>
      </c>
      <c r="K1507" s="271"/>
      <c r="L1507" s="309"/>
      <c r="M1507" s="309"/>
      <c r="N1507" s="309"/>
      <c r="O1507" s="309"/>
      <c r="P1507" s="309"/>
      <c r="Q1507" s="309"/>
      <c r="R1507" s="309"/>
      <c r="S1507" s="309"/>
      <c r="T1507" s="309"/>
      <c r="U1507" s="309"/>
    </row>
    <row r="1508" spans="1:21" ht="12.75" customHeight="1">
      <c r="A1508" s="1409" t="s">
        <v>48</v>
      </c>
      <c r="B1508" s="625">
        <v>90</v>
      </c>
      <c r="C1508" s="623">
        <v>43.18</v>
      </c>
      <c r="D1508" s="792">
        <v>9.99</v>
      </c>
      <c r="E1508" s="624">
        <f>B1508*C1508-D1508</f>
        <v>3876.21</v>
      </c>
      <c r="F1508" s="546" t="s">
        <v>49</v>
      </c>
      <c r="G1508" s="1508"/>
      <c r="H1508" s="1501"/>
      <c r="I1508" s="1501" t="str">
        <f t="shared" si="69"/>
        <v>WFMI</v>
      </c>
      <c r="J1508" s="1501" t="str">
        <f t="shared" si="68"/>
        <v/>
      </c>
      <c r="K1508" s="271"/>
      <c r="L1508" s="309"/>
      <c r="M1508" s="309"/>
      <c r="N1508" s="309"/>
      <c r="O1508" s="309"/>
      <c r="P1508" s="309"/>
      <c r="Q1508" s="309"/>
      <c r="R1508" s="309"/>
      <c r="S1508" s="309"/>
      <c r="T1508" s="309"/>
      <c r="U1508" s="309"/>
    </row>
    <row r="1509" spans="1:21" ht="12.75" customHeight="1">
      <c r="A1509" s="300"/>
      <c r="B1509" s="625"/>
      <c r="C1509" s="623"/>
      <c r="D1509" s="792"/>
      <c r="E1509" s="624"/>
      <c r="F1509" s="546"/>
      <c r="G1509" s="1508"/>
      <c r="H1509" s="1501"/>
      <c r="I1509" s="1501" t="str">
        <f t="shared" si="69"/>
        <v/>
      </c>
      <c r="J1509" s="1501" t="str">
        <f t="shared" si="68"/>
        <v/>
      </c>
      <c r="K1509" s="271"/>
      <c r="L1509" s="309"/>
      <c r="M1509" s="309"/>
      <c r="N1509" s="309"/>
      <c r="O1509" s="309"/>
      <c r="P1509" s="309"/>
      <c r="Q1509" s="309"/>
      <c r="R1509" s="309"/>
      <c r="S1509" s="309"/>
      <c r="T1509" s="309"/>
      <c r="U1509" s="309"/>
    </row>
    <row r="1510" spans="1:21" ht="12.75" customHeight="1">
      <c r="A1510" s="1369" t="s">
        <v>1016</v>
      </c>
      <c r="B1510" s="625"/>
      <c r="C1510" s="623"/>
      <c r="D1510" s="792"/>
      <c r="E1510" s="624"/>
      <c r="F1510" s="546"/>
      <c r="G1510" s="1508"/>
      <c r="H1510" s="1501"/>
      <c r="I1510" s="1501" t="str">
        <f t="shared" si="69"/>
        <v/>
      </c>
      <c r="J1510" s="1501" t="str">
        <f t="shared" si="68"/>
        <v>SLM</v>
      </c>
      <c r="K1510" s="271"/>
      <c r="L1510" s="309"/>
      <c r="M1510" s="309"/>
      <c r="N1510" s="309"/>
      <c r="O1510" s="309"/>
      <c r="P1510" s="309"/>
      <c r="Q1510" s="309"/>
      <c r="R1510" s="309"/>
      <c r="S1510" s="309"/>
      <c r="T1510" s="309"/>
      <c r="U1510" s="309"/>
    </row>
    <row r="1511" spans="1:21" ht="12.75" customHeight="1">
      <c r="A1511" s="1370" t="s">
        <v>975</v>
      </c>
      <c r="B1511" s="625"/>
      <c r="C1511" s="623"/>
      <c r="D1511" s="792"/>
      <c r="E1511" s="624"/>
      <c r="F1511" s="546"/>
      <c r="G1511" s="1508"/>
      <c r="H1511" s="1501"/>
      <c r="I1511" s="1501" t="str">
        <f t="shared" si="69"/>
        <v/>
      </c>
      <c r="J1511" s="1501" t="str">
        <f t="shared" si="68"/>
        <v/>
      </c>
      <c r="K1511" s="271"/>
      <c r="L1511" s="309"/>
      <c r="M1511" s="309"/>
      <c r="N1511" s="309"/>
      <c r="O1511" s="309"/>
      <c r="P1511" s="309"/>
      <c r="Q1511" s="309"/>
      <c r="R1511" s="309"/>
      <c r="S1511" s="309"/>
      <c r="T1511" s="309"/>
      <c r="U1511" s="309"/>
    </row>
    <row r="1512" spans="1:21" ht="12.75" customHeight="1">
      <c r="A1512" s="1409" t="s">
        <v>62</v>
      </c>
      <c r="B1512" s="625">
        <v>50</v>
      </c>
      <c r="C1512" s="623">
        <v>45.75</v>
      </c>
      <c r="D1512" s="792">
        <v>9.99</v>
      </c>
      <c r="E1512" s="624">
        <f>B1512*C1512-D1512</f>
        <v>2277.5100000000002</v>
      </c>
      <c r="F1512" s="546" t="s">
        <v>62</v>
      </c>
      <c r="G1512" s="1508"/>
      <c r="H1512" s="1501"/>
      <c r="I1512" s="1501" t="str">
        <f t="shared" si="69"/>
        <v>SLM</v>
      </c>
      <c r="J1512" s="1501" t="str">
        <f t="shared" si="68"/>
        <v/>
      </c>
      <c r="K1512" s="271"/>
      <c r="L1512" s="309"/>
      <c r="M1512" s="309"/>
      <c r="N1512" s="309"/>
      <c r="O1512" s="309"/>
      <c r="P1512" s="309"/>
      <c r="Q1512" s="309"/>
      <c r="R1512" s="309"/>
      <c r="S1512" s="309"/>
      <c r="T1512" s="309"/>
      <c r="U1512" s="309"/>
    </row>
    <row r="1513" spans="1:21" ht="12.75" customHeight="1">
      <c r="A1513" s="1409"/>
      <c r="B1513" s="625"/>
      <c r="C1513" s="623"/>
      <c r="D1513" s="792"/>
      <c r="E1513" s="624"/>
      <c r="F1513" s="546"/>
      <c r="G1513" s="1508"/>
      <c r="H1513" s="1501"/>
      <c r="I1513" s="1501" t="str">
        <f t="shared" si="69"/>
        <v/>
      </c>
      <c r="J1513" s="1501" t="str">
        <f t="shared" si="68"/>
        <v/>
      </c>
      <c r="K1513" s="271"/>
      <c r="L1513" s="309"/>
      <c r="M1513" s="309"/>
      <c r="N1513" s="309"/>
      <c r="O1513" s="309"/>
      <c r="P1513" s="309"/>
      <c r="Q1513" s="309"/>
      <c r="R1513" s="309"/>
      <c r="S1513" s="309"/>
      <c r="T1513" s="309"/>
      <c r="U1513" s="309"/>
    </row>
    <row r="1514" spans="1:21" ht="12.75" customHeight="1">
      <c r="A1514" s="301">
        <v>39058</v>
      </c>
      <c r="B1514" s="625"/>
      <c r="C1514" s="623"/>
      <c r="D1514" s="792"/>
      <c r="E1514" s="624"/>
      <c r="F1514" s="546"/>
      <c r="G1514" s="1508"/>
      <c r="H1514" s="1501"/>
      <c r="I1514" s="1501" t="str">
        <f t="shared" si="69"/>
        <v/>
      </c>
      <c r="J1514" s="1501" t="str">
        <f t="shared" si="68"/>
        <v>AA</v>
      </c>
      <c r="K1514" s="271"/>
      <c r="L1514" s="309"/>
      <c r="M1514" s="309"/>
      <c r="N1514" s="309"/>
      <c r="O1514" s="309"/>
      <c r="P1514" s="309"/>
      <c r="Q1514" s="309"/>
      <c r="R1514" s="309"/>
      <c r="S1514" s="309"/>
      <c r="T1514" s="309"/>
      <c r="U1514" s="309"/>
    </row>
    <row r="1515" spans="1:21" ht="12.75" customHeight="1">
      <c r="A1515" s="1410" t="s">
        <v>975</v>
      </c>
      <c r="B1515" s="625"/>
      <c r="C1515" s="623"/>
      <c r="D1515" s="792"/>
      <c r="E1515" s="624"/>
      <c r="F1515" s="546"/>
      <c r="G1515" s="1508"/>
      <c r="H1515" s="1501"/>
      <c r="I1515" s="1501" t="str">
        <f t="shared" si="69"/>
        <v/>
      </c>
      <c r="J1515" s="1501" t="str">
        <f t="shared" si="68"/>
        <v/>
      </c>
      <c r="K1515" s="271"/>
      <c r="L1515" s="309"/>
      <c r="M1515" s="309"/>
      <c r="N1515" s="309"/>
      <c r="O1515" s="309"/>
      <c r="P1515" s="309"/>
      <c r="Q1515" s="309"/>
      <c r="R1515" s="309"/>
      <c r="S1515" s="309"/>
      <c r="T1515" s="309"/>
      <c r="U1515" s="309"/>
    </row>
    <row r="1516" spans="1:21" ht="12.75" customHeight="1">
      <c r="A1516" s="1409" t="s">
        <v>16</v>
      </c>
      <c r="B1516" s="625">
        <v>50</v>
      </c>
      <c r="C1516" s="623">
        <v>31.82</v>
      </c>
      <c r="D1516" s="792">
        <v>9.99</v>
      </c>
      <c r="E1516" s="624">
        <f>B1516*C1516-D1516</f>
        <v>1581.01</v>
      </c>
      <c r="F1516" s="546" t="s">
        <v>17</v>
      </c>
      <c r="G1516" s="1508"/>
      <c r="H1516" s="1501"/>
      <c r="I1516" s="1501" t="str">
        <f t="shared" si="69"/>
        <v>AA</v>
      </c>
      <c r="J1516" s="1501" t="str">
        <f t="shared" si="68"/>
        <v/>
      </c>
      <c r="K1516" s="271"/>
      <c r="L1516" s="309"/>
      <c r="M1516" s="309"/>
      <c r="N1516" s="309"/>
      <c r="O1516" s="309"/>
      <c r="P1516" s="309"/>
      <c r="Q1516" s="309"/>
      <c r="R1516" s="309"/>
      <c r="S1516" s="309"/>
      <c r="T1516" s="309"/>
      <c r="U1516" s="309"/>
    </row>
    <row r="1517" spans="1:21" ht="12.75" customHeight="1">
      <c r="A1517" s="1409"/>
      <c r="B1517" s="625"/>
      <c r="C1517" s="623"/>
      <c r="D1517" s="792"/>
      <c r="E1517" s="624"/>
      <c r="F1517" s="546"/>
      <c r="G1517" s="1508"/>
      <c r="H1517" s="1501"/>
      <c r="I1517" s="1501" t="str">
        <f t="shared" si="69"/>
        <v/>
      </c>
      <c r="J1517" s="1501" t="str">
        <f t="shared" si="68"/>
        <v/>
      </c>
      <c r="K1517" s="271"/>
      <c r="L1517" s="309"/>
      <c r="M1517" s="309"/>
      <c r="N1517" s="309"/>
      <c r="O1517" s="309"/>
      <c r="P1517" s="309"/>
      <c r="Q1517" s="309"/>
      <c r="R1517" s="309"/>
      <c r="S1517" s="309"/>
      <c r="T1517" s="309"/>
      <c r="U1517" s="309"/>
    </row>
    <row r="1518" spans="1:21" ht="12.75" customHeight="1">
      <c r="A1518" s="284">
        <v>39057</v>
      </c>
      <c r="B1518" s="625"/>
      <c r="C1518" s="623"/>
      <c r="D1518" s="792"/>
      <c r="E1518" s="624"/>
      <c r="F1518" s="546"/>
      <c r="G1518" s="1508"/>
      <c r="H1518" s="1501"/>
      <c r="I1518" s="1501" t="str">
        <f t="shared" si="69"/>
        <v/>
      </c>
      <c r="J1518" s="1501" t="str">
        <f t="shared" si="68"/>
        <v>PTEN</v>
      </c>
      <c r="K1518" s="271"/>
      <c r="L1518" s="309"/>
      <c r="M1518" s="309"/>
      <c r="N1518" s="309"/>
      <c r="O1518" s="309"/>
      <c r="P1518" s="309"/>
      <c r="Q1518" s="309"/>
      <c r="R1518" s="309"/>
      <c r="S1518" s="309"/>
      <c r="T1518" s="309"/>
      <c r="U1518" s="309"/>
    </row>
    <row r="1519" spans="1:21" ht="12.75" customHeight="1">
      <c r="A1519" s="1418" t="s">
        <v>975</v>
      </c>
      <c r="B1519" s="625"/>
      <c r="C1519" s="623"/>
      <c r="D1519" s="792"/>
      <c r="E1519" s="624"/>
      <c r="F1519" s="546"/>
      <c r="G1519" s="1508"/>
      <c r="H1519" s="1501"/>
      <c r="I1519" s="1501" t="str">
        <f t="shared" si="69"/>
        <v/>
      </c>
      <c r="J1519" s="1501" t="str">
        <f t="shared" si="68"/>
        <v>HD</v>
      </c>
      <c r="K1519" s="271"/>
      <c r="L1519" s="309"/>
      <c r="M1519" s="309"/>
      <c r="N1519" s="309"/>
      <c r="O1519" s="309"/>
      <c r="P1519" s="309"/>
      <c r="Q1519" s="309"/>
      <c r="R1519" s="309"/>
      <c r="S1519" s="309"/>
      <c r="T1519" s="309"/>
      <c r="U1519" s="309"/>
    </row>
    <row r="1520" spans="1:21" ht="12.75" customHeight="1">
      <c r="A1520" s="1419" t="s">
        <v>44</v>
      </c>
      <c r="B1520" s="625">
        <v>186</v>
      </c>
      <c r="C1520" s="623">
        <v>26.56</v>
      </c>
      <c r="D1520" s="792">
        <v>9.99</v>
      </c>
      <c r="E1520" s="624">
        <f>B1520*C1520-D1520</f>
        <v>4930.17</v>
      </c>
      <c r="F1520" s="546" t="s">
        <v>45</v>
      </c>
      <c r="G1520" s="1508"/>
      <c r="H1520" s="1501"/>
      <c r="I1520" s="1501" t="str">
        <f t="shared" si="69"/>
        <v>PTEN</v>
      </c>
      <c r="J1520" s="1501" t="str">
        <f t="shared" si="68"/>
        <v/>
      </c>
      <c r="K1520" s="271"/>
      <c r="L1520" s="309"/>
      <c r="M1520" s="309"/>
      <c r="N1520" s="309"/>
      <c r="O1520" s="309"/>
      <c r="P1520" s="309"/>
      <c r="Q1520" s="309"/>
      <c r="R1520" s="309"/>
      <c r="S1520" s="309"/>
      <c r="T1520" s="309"/>
      <c r="U1520" s="309"/>
    </row>
    <row r="1521" spans="1:21" ht="12.75" customHeight="1">
      <c r="A1521" s="1419" t="s">
        <v>38</v>
      </c>
      <c r="B1521" s="625">
        <v>165</v>
      </c>
      <c r="C1521" s="623">
        <v>39.520000000000003</v>
      </c>
      <c r="D1521" s="792">
        <v>9.99</v>
      </c>
      <c r="E1521" s="624">
        <f>B1521*C1521-D1521</f>
        <v>6510.81</v>
      </c>
      <c r="F1521" s="546" t="s">
        <v>39</v>
      </c>
      <c r="G1521" s="1508"/>
      <c r="H1521" s="1501"/>
      <c r="I1521" s="1501" t="str">
        <f t="shared" si="69"/>
        <v>HD</v>
      </c>
      <c r="J1521" s="1501" t="str">
        <f t="shared" si="68"/>
        <v/>
      </c>
      <c r="K1521" s="271"/>
      <c r="L1521" s="309"/>
      <c r="M1521" s="309"/>
      <c r="N1521" s="309"/>
      <c r="O1521" s="309"/>
      <c r="P1521" s="309"/>
      <c r="Q1521" s="309"/>
      <c r="R1521" s="309"/>
      <c r="S1521" s="309"/>
      <c r="T1521" s="309"/>
      <c r="U1521" s="309"/>
    </row>
    <row r="1522" spans="1:21" ht="12.75" customHeight="1">
      <c r="A1522" s="1419"/>
      <c r="B1522" s="625"/>
      <c r="C1522" s="623"/>
      <c r="D1522" s="792"/>
      <c r="E1522" s="624"/>
      <c r="F1522" s="546"/>
      <c r="G1522" s="1508"/>
      <c r="H1522" s="1501"/>
      <c r="I1522" s="1501" t="str">
        <f t="shared" si="69"/>
        <v/>
      </c>
      <c r="J1522" s="1501" t="str">
        <f t="shared" si="68"/>
        <v/>
      </c>
      <c r="K1522" s="271"/>
      <c r="L1522" s="309"/>
      <c r="M1522" s="309"/>
      <c r="N1522" s="309"/>
      <c r="O1522" s="309"/>
      <c r="P1522" s="309"/>
      <c r="Q1522" s="309"/>
      <c r="R1522" s="309"/>
      <c r="S1522" s="309"/>
      <c r="T1522" s="309"/>
      <c r="U1522" s="309"/>
    </row>
    <row r="1523" spans="1:21" ht="12.75" customHeight="1">
      <c r="A1523" s="302" t="s">
        <v>1017</v>
      </c>
      <c r="B1523" s="625"/>
      <c r="C1523" s="623"/>
      <c r="D1523" s="792"/>
      <c r="E1523" s="624"/>
      <c r="F1523" s="546"/>
      <c r="G1523" s="1508"/>
      <c r="H1523" s="1501"/>
      <c r="I1523" s="1501" t="str">
        <f t="shared" si="69"/>
        <v/>
      </c>
      <c r="J1523" s="1501" t="str">
        <f t="shared" si="68"/>
        <v>SLM</v>
      </c>
      <c r="K1523" s="271"/>
      <c r="L1523" s="309"/>
      <c r="M1523" s="309"/>
      <c r="N1523" s="309"/>
      <c r="O1523" s="309"/>
      <c r="P1523" s="309"/>
      <c r="Q1523" s="309"/>
      <c r="R1523" s="309"/>
      <c r="S1523" s="309"/>
      <c r="T1523" s="309"/>
      <c r="U1523" s="309"/>
    </row>
    <row r="1524" spans="1:21" ht="12.75" customHeight="1">
      <c r="A1524" s="1418" t="s">
        <v>975</v>
      </c>
      <c r="B1524" s="625"/>
      <c r="C1524" s="623"/>
      <c r="D1524" s="792"/>
      <c r="E1524" s="624"/>
      <c r="F1524" s="546"/>
      <c r="G1524" s="1508"/>
      <c r="H1524" s="1501"/>
      <c r="I1524" s="1501" t="str">
        <f t="shared" si="69"/>
        <v/>
      </c>
      <c r="J1524" s="1501" t="str">
        <f t="shared" si="68"/>
        <v/>
      </c>
      <c r="K1524" s="271"/>
      <c r="L1524" s="309"/>
      <c r="M1524" s="309"/>
      <c r="N1524" s="309"/>
      <c r="O1524" s="309"/>
      <c r="P1524" s="309"/>
      <c r="Q1524" s="309"/>
      <c r="R1524" s="309"/>
      <c r="S1524" s="309"/>
      <c r="T1524" s="309"/>
      <c r="U1524" s="309"/>
    </row>
    <row r="1525" spans="1:21" ht="12.75" customHeight="1">
      <c r="A1525" s="1419" t="s">
        <v>61</v>
      </c>
      <c r="B1525" s="625">
        <v>100</v>
      </c>
      <c r="C1525" s="623">
        <v>45.59</v>
      </c>
      <c r="D1525" s="792">
        <v>9.99</v>
      </c>
      <c r="E1525" s="624">
        <f>B1525*C1525-D1525</f>
        <v>4549.01</v>
      </c>
      <c r="F1525" s="546" t="s">
        <v>62</v>
      </c>
      <c r="G1525" s="1508"/>
      <c r="H1525" s="1501"/>
      <c r="I1525" s="1501" t="str">
        <f t="shared" si="69"/>
        <v>SLM</v>
      </c>
      <c r="J1525" s="1501" t="str">
        <f t="shared" si="68"/>
        <v/>
      </c>
      <c r="K1525" s="271"/>
      <c r="L1525" s="309"/>
      <c r="M1525" s="309"/>
      <c r="N1525" s="309"/>
      <c r="O1525" s="309"/>
      <c r="P1525" s="309"/>
      <c r="Q1525" s="309"/>
      <c r="R1525" s="309"/>
      <c r="S1525" s="309"/>
      <c r="T1525" s="309"/>
      <c r="U1525" s="309"/>
    </row>
    <row r="1526" spans="1:21" ht="12.75" customHeight="1">
      <c r="A1526" s="303"/>
      <c r="B1526" s="625"/>
      <c r="C1526" s="623"/>
      <c r="D1526" s="792"/>
      <c r="E1526" s="624"/>
      <c r="F1526" s="546"/>
      <c r="G1526" s="1508"/>
      <c r="H1526" s="1501"/>
      <c r="I1526" s="1501" t="str">
        <f t="shared" si="69"/>
        <v/>
      </c>
      <c r="J1526" s="1501" t="str">
        <f t="shared" si="68"/>
        <v/>
      </c>
      <c r="K1526" s="271"/>
      <c r="L1526" s="309"/>
      <c r="M1526" s="309"/>
      <c r="N1526" s="309"/>
      <c r="O1526" s="309"/>
      <c r="P1526" s="309"/>
      <c r="Q1526" s="309"/>
      <c r="R1526" s="309"/>
      <c r="S1526" s="309"/>
      <c r="T1526" s="309"/>
      <c r="U1526" s="309"/>
    </row>
    <row r="1527" spans="1:21" ht="12.75" customHeight="1">
      <c r="A1527" s="304" t="s">
        <v>1018</v>
      </c>
      <c r="B1527" s="625"/>
      <c r="C1527" s="623"/>
      <c r="D1527" s="792"/>
      <c r="E1527" s="624"/>
      <c r="F1527" s="546"/>
      <c r="G1527" s="1508"/>
      <c r="H1527" s="1501"/>
      <c r="I1527" s="1501" t="str">
        <f t="shared" si="69"/>
        <v/>
      </c>
      <c r="J1527" s="1501" t="str">
        <f t="shared" si="68"/>
        <v>SRE</v>
      </c>
      <c r="K1527" s="271"/>
      <c r="L1527" s="309"/>
      <c r="M1527" s="309"/>
      <c r="N1527" s="309"/>
      <c r="O1527" s="309"/>
      <c r="P1527" s="309"/>
      <c r="Q1527" s="309"/>
      <c r="R1527" s="309"/>
      <c r="S1527" s="309"/>
      <c r="T1527" s="309"/>
      <c r="U1527" s="309"/>
    </row>
    <row r="1528" spans="1:21" ht="12.75" customHeight="1">
      <c r="A1528" s="1420" t="s">
        <v>1019</v>
      </c>
      <c r="B1528" s="625"/>
      <c r="C1528" s="623"/>
      <c r="D1528" s="792"/>
      <c r="E1528" s="624"/>
      <c r="F1528" s="546"/>
      <c r="G1528" s="1508"/>
      <c r="H1528" s="1501"/>
      <c r="I1528" s="1501" t="str">
        <f t="shared" si="69"/>
        <v/>
      </c>
      <c r="J1528" s="1501" t="str">
        <f t="shared" si="68"/>
        <v/>
      </c>
      <c r="K1528" s="271"/>
      <c r="L1528" s="309"/>
      <c r="M1528" s="309"/>
      <c r="N1528" s="309"/>
      <c r="O1528" s="309"/>
      <c r="P1528" s="309"/>
      <c r="Q1528" s="309"/>
      <c r="R1528" s="309"/>
      <c r="S1528" s="309"/>
      <c r="T1528" s="309"/>
      <c r="U1528" s="309"/>
    </row>
    <row r="1529" spans="1:21" ht="12.75" customHeight="1">
      <c r="A1529" s="1409" t="s">
        <v>59</v>
      </c>
      <c r="B1529" s="625">
        <v>50</v>
      </c>
      <c r="C1529" s="623">
        <v>54.75</v>
      </c>
      <c r="D1529" s="792">
        <v>9.99</v>
      </c>
      <c r="E1529" s="624">
        <f>B1529*C1529-D1529</f>
        <v>2727.51</v>
      </c>
      <c r="F1529" s="546" t="s">
        <v>60</v>
      </c>
      <c r="G1529" s="1508"/>
      <c r="H1529" s="1501"/>
      <c r="I1529" s="1501" t="str">
        <f t="shared" si="69"/>
        <v>SRE</v>
      </c>
      <c r="J1529" s="1501" t="str">
        <f t="shared" si="68"/>
        <v/>
      </c>
      <c r="K1529" s="271"/>
      <c r="L1529" s="309"/>
      <c r="M1529" s="309"/>
      <c r="N1529" s="309"/>
      <c r="O1529" s="309"/>
      <c r="P1529" s="309"/>
      <c r="Q1529" s="309"/>
      <c r="R1529" s="309"/>
      <c r="S1529" s="309"/>
      <c r="T1529" s="309"/>
      <c r="U1529" s="309"/>
    </row>
    <row r="1530" spans="1:21" ht="12.75" customHeight="1">
      <c r="A1530" s="300"/>
      <c r="B1530" s="625"/>
      <c r="C1530" s="623"/>
      <c r="D1530" s="792"/>
      <c r="E1530" s="624"/>
      <c r="F1530" s="546"/>
      <c r="G1530" s="1508"/>
      <c r="H1530" s="1501"/>
      <c r="I1530" s="1501" t="str">
        <f t="shared" si="69"/>
        <v/>
      </c>
      <c r="J1530" s="1501" t="str">
        <f t="shared" si="68"/>
        <v/>
      </c>
      <c r="K1530" s="271"/>
      <c r="L1530" s="309"/>
      <c r="M1530" s="309"/>
      <c r="N1530" s="309"/>
      <c r="O1530" s="309"/>
      <c r="P1530" s="309"/>
      <c r="Q1530" s="309"/>
      <c r="R1530" s="309"/>
      <c r="S1530" s="309"/>
      <c r="T1530" s="309"/>
      <c r="U1530" s="309"/>
    </row>
    <row r="1531" spans="1:21" ht="12.75" customHeight="1">
      <c r="A1531" s="304" t="s">
        <v>1020</v>
      </c>
      <c r="B1531" s="625"/>
      <c r="C1531" s="623"/>
      <c r="D1531" s="792"/>
      <c r="E1531" s="624"/>
      <c r="F1531" s="546"/>
      <c r="G1531" s="1508"/>
      <c r="H1531" s="1501"/>
      <c r="I1531" s="1501" t="str">
        <f t="shared" si="69"/>
        <v/>
      </c>
      <c r="J1531" s="1501" t="str">
        <f t="shared" si="68"/>
        <v>DEO</v>
      </c>
      <c r="K1531" s="271"/>
      <c r="L1531" s="309"/>
      <c r="M1531" s="309"/>
      <c r="N1531" s="309"/>
      <c r="O1531" s="309"/>
      <c r="P1531" s="309"/>
      <c r="Q1531" s="309"/>
      <c r="R1531" s="309"/>
      <c r="S1531" s="309"/>
      <c r="T1531" s="309"/>
      <c r="U1531" s="309"/>
    </row>
    <row r="1532" spans="1:21" ht="12.75" customHeight="1">
      <c r="A1532" s="1420" t="s">
        <v>1021</v>
      </c>
      <c r="B1532" s="625"/>
      <c r="C1532" s="623"/>
      <c r="D1532" s="792"/>
      <c r="E1532" s="624"/>
      <c r="F1532" s="546"/>
      <c r="G1532" s="1508"/>
      <c r="H1532" s="1501"/>
      <c r="I1532" s="1501" t="str">
        <f t="shared" si="69"/>
        <v/>
      </c>
      <c r="J1532" s="1501" t="str">
        <f t="shared" si="68"/>
        <v/>
      </c>
      <c r="K1532" s="271"/>
      <c r="L1532" s="309"/>
      <c r="M1532" s="309"/>
      <c r="N1532" s="309"/>
      <c r="O1532" s="309"/>
      <c r="P1532" s="309"/>
      <c r="Q1532" s="309"/>
      <c r="R1532" s="309"/>
      <c r="S1532" s="309"/>
      <c r="T1532" s="309"/>
      <c r="U1532" s="309"/>
    </row>
    <row r="1533" spans="1:21" ht="12.75" customHeight="1">
      <c r="A1533" s="1409" t="s">
        <v>57</v>
      </c>
      <c r="B1533" s="625">
        <v>50</v>
      </c>
      <c r="C1533" s="623">
        <v>74.709999999999994</v>
      </c>
      <c r="D1533" s="792">
        <v>9.99</v>
      </c>
      <c r="E1533" s="624">
        <f>B1533*C1533-D1533</f>
        <v>3725.5099999999998</v>
      </c>
      <c r="F1533" s="546" t="s">
        <v>58</v>
      </c>
      <c r="G1533" s="1508"/>
      <c r="H1533" s="1501"/>
      <c r="I1533" s="1501" t="str">
        <f t="shared" si="69"/>
        <v>DEO</v>
      </c>
      <c r="J1533" s="1501" t="str">
        <f t="shared" si="68"/>
        <v/>
      </c>
      <c r="K1533" s="271"/>
      <c r="L1533" s="309"/>
      <c r="M1533" s="309"/>
      <c r="N1533" s="309"/>
      <c r="O1533" s="309"/>
      <c r="P1533" s="309"/>
      <c r="Q1533" s="309"/>
      <c r="R1533" s="309"/>
      <c r="S1533" s="309"/>
      <c r="T1533" s="309"/>
      <c r="U1533" s="309"/>
    </row>
    <row r="1534" spans="1:21" ht="12.75" customHeight="1">
      <c r="A1534" s="300"/>
      <c r="B1534" s="625"/>
      <c r="C1534" s="623"/>
      <c r="D1534" s="792"/>
      <c r="E1534" s="624"/>
      <c r="F1534" s="546"/>
      <c r="G1534" s="1508"/>
      <c r="H1534" s="1501"/>
      <c r="I1534" s="1501" t="str">
        <f t="shared" si="69"/>
        <v/>
      </c>
      <c r="J1534" s="1501" t="str">
        <f t="shared" si="68"/>
        <v/>
      </c>
      <c r="K1534" s="271"/>
      <c r="L1534" s="309"/>
      <c r="M1534" s="309"/>
      <c r="N1534" s="309"/>
      <c r="O1534" s="309"/>
      <c r="P1534" s="309"/>
      <c r="Q1534" s="309"/>
      <c r="R1534" s="309"/>
      <c r="S1534" s="309"/>
      <c r="T1534" s="309"/>
      <c r="U1534" s="309"/>
    </row>
    <row r="1535" spans="1:21" ht="12.75" customHeight="1">
      <c r="A1535" s="1369" t="s">
        <v>1022</v>
      </c>
      <c r="B1535" s="625"/>
      <c r="C1535" s="623"/>
      <c r="D1535" s="792"/>
      <c r="E1535" s="624"/>
      <c r="F1535" s="546"/>
      <c r="G1535" s="1508"/>
      <c r="H1535" s="1501"/>
      <c r="I1535" s="1501" t="str">
        <f t="shared" si="69"/>
        <v/>
      </c>
      <c r="J1535" s="1501" t="str">
        <f t="shared" ref="J1535:J1598" si="70">IF(F1537="","",IF(OR(A1535="Sell",A1536="Sell"),"",F1537))</f>
        <v>USNA</v>
      </c>
      <c r="K1535" s="271"/>
      <c r="L1535" s="309"/>
      <c r="M1535" s="309"/>
      <c r="N1535" s="309"/>
      <c r="O1535" s="309"/>
      <c r="P1535" s="309"/>
      <c r="Q1535" s="309"/>
      <c r="R1535" s="309"/>
      <c r="S1535" s="309"/>
      <c r="T1535" s="309"/>
      <c r="U1535" s="309"/>
    </row>
    <row r="1536" spans="1:21" ht="12.75" customHeight="1">
      <c r="A1536" s="1420" t="s">
        <v>1021</v>
      </c>
      <c r="B1536" s="625"/>
      <c r="C1536" s="623"/>
      <c r="D1536" s="792"/>
      <c r="E1536" s="624"/>
      <c r="F1536" s="546"/>
      <c r="G1536" s="1508"/>
      <c r="H1536" s="1501"/>
      <c r="I1536" s="1501" t="str">
        <f t="shared" si="69"/>
        <v/>
      </c>
      <c r="J1536" s="1501" t="str">
        <f t="shared" si="70"/>
        <v/>
      </c>
      <c r="K1536" s="271"/>
      <c r="L1536" s="309"/>
      <c r="M1536" s="309"/>
      <c r="N1536" s="309"/>
      <c r="O1536" s="309"/>
      <c r="P1536" s="309"/>
      <c r="Q1536" s="309"/>
      <c r="R1536" s="309"/>
      <c r="S1536" s="309"/>
      <c r="T1536" s="309"/>
      <c r="U1536" s="309"/>
    </row>
    <row r="1537" spans="1:21" ht="12.75" customHeight="1">
      <c r="A1537" s="1409" t="s">
        <v>55</v>
      </c>
      <c r="B1537" s="625">
        <v>110</v>
      </c>
      <c r="C1537" s="623">
        <v>43.48</v>
      </c>
      <c r="D1537" s="792">
        <v>9.99</v>
      </c>
      <c r="E1537" s="624">
        <f>B1537*C1537-D1537</f>
        <v>4772.8099999999995</v>
      </c>
      <c r="F1537" s="546" t="s">
        <v>56</v>
      </c>
      <c r="G1537" s="1508"/>
      <c r="H1537" s="1501"/>
      <c r="I1537" s="1501" t="str">
        <f t="shared" si="69"/>
        <v>USNA</v>
      </c>
      <c r="J1537" s="1501" t="str">
        <f t="shared" si="70"/>
        <v/>
      </c>
      <c r="K1537" s="271"/>
      <c r="L1537" s="309"/>
      <c r="M1537" s="309"/>
      <c r="N1537" s="309"/>
      <c r="O1537" s="309"/>
      <c r="P1537" s="309"/>
      <c r="Q1537" s="309"/>
      <c r="R1537" s="309"/>
      <c r="S1537" s="309"/>
      <c r="T1537" s="309"/>
      <c r="U1537" s="309"/>
    </row>
    <row r="1538" spans="1:21" ht="12.75" customHeight="1">
      <c r="A1538" s="300"/>
      <c r="B1538" s="625"/>
      <c r="C1538" s="623"/>
      <c r="D1538" s="792"/>
      <c r="E1538" s="624"/>
      <c r="F1538" s="546"/>
      <c r="G1538" s="1508"/>
      <c r="H1538" s="1501"/>
      <c r="I1538" s="1501" t="str">
        <f t="shared" si="69"/>
        <v/>
      </c>
      <c r="J1538" s="1501" t="str">
        <f t="shared" si="70"/>
        <v/>
      </c>
      <c r="K1538" s="271"/>
      <c r="L1538" s="309"/>
      <c r="M1538" s="309"/>
      <c r="N1538" s="309"/>
      <c r="O1538" s="309"/>
      <c r="P1538" s="309"/>
      <c r="Q1538" s="309"/>
      <c r="R1538" s="309"/>
      <c r="S1538" s="309"/>
      <c r="T1538" s="309"/>
      <c r="U1538" s="309"/>
    </row>
    <row r="1539" spans="1:21" ht="12.75" customHeight="1">
      <c r="A1539" s="304" t="s">
        <v>1023</v>
      </c>
      <c r="B1539" s="625"/>
      <c r="C1539" s="623"/>
      <c r="D1539" s="792"/>
      <c r="E1539" s="624"/>
      <c r="F1539" s="546"/>
      <c r="G1539" s="1508"/>
      <c r="H1539" s="1501"/>
      <c r="I1539" s="1501" t="str">
        <f t="shared" si="69"/>
        <v/>
      </c>
      <c r="J1539" s="1501" t="str">
        <f t="shared" si="70"/>
        <v>CYH</v>
      </c>
      <c r="K1539" s="271"/>
      <c r="L1539" s="309"/>
      <c r="M1539" s="309"/>
      <c r="N1539" s="309"/>
      <c r="O1539" s="309"/>
      <c r="P1539" s="309"/>
      <c r="Q1539" s="309"/>
      <c r="R1539" s="309"/>
      <c r="S1539" s="309"/>
      <c r="T1539" s="309"/>
      <c r="U1539" s="309"/>
    </row>
    <row r="1540" spans="1:21" ht="12.75" customHeight="1">
      <c r="A1540" s="1420" t="s">
        <v>1021</v>
      </c>
      <c r="B1540" s="625"/>
      <c r="C1540" s="623"/>
      <c r="D1540" s="792"/>
      <c r="E1540" s="624"/>
      <c r="F1540" s="546"/>
      <c r="G1540" s="1508"/>
      <c r="H1540" s="1501"/>
      <c r="I1540" s="1501" t="str">
        <f t="shared" si="69"/>
        <v/>
      </c>
      <c r="J1540" s="1501" t="str">
        <f t="shared" si="70"/>
        <v/>
      </c>
      <c r="K1540" s="271"/>
      <c r="L1540" s="309"/>
      <c r="M1540" s="309"/>
      <c r="N1540" s="309"/>
      <c r="O1540" s="309"/>
      <c r="P1540" s="309"/>
      <c r="Q1540" s="309"/>
      <c r="R1540" s="309"/>
      <c r="S1540" s="309"/>
      <c r="T1540" s="309"/>
      <c r="U1540" s="309"/>
    </row>
    <row r="1541" spans="1:21" ht="12.75" customHeight="1">
      <c r="A1541" s="1409" t="s">
        <v>1024</v>
      </c>
      <c r="B1541" s="625">
        <v>100</v>
      </c>
      <c r="C1541" s="623">
        <v>32.35</v>
      </c>
      <c r="D1541" s="792">
        <v>9.99</v>
      </c>
      <c r="E1541" s="624">
        <f>B1541*C1541-D1541</f>
        <v>3225.01</v>
      </c>
      <c r="F1541" s="546" t="s">
        <v>54</v>
      </c>
      <c r="G1541" s="1508"/>
      <c r="H1541" s="1501"/>
      <c r="I1541" s="1501" t="str">
        <f t="shared" si="69"/>
        <v>CYH</v>
      </c>
      <c r="J1541" s="1501" t="str">
        <f t="shared" si="70"/>
        <v/>
      </c>
      <c r="K1541" s="271"/>
      <c r="L1541" s="309"/>
      <c r="M1541" s="309"/>
      <c r="N1541" s="309"/>
      <c r="O1541" s="309"/>
      <c r="P1541" s="309"/>
      <c r="Q1541" s="309"/>
      <c r="R1541" s="309"/>
      <c r="S1541" s="309"/>
      <c r="T1541" s="309"/>
      <c r="U1541" s="309"/>
    </row>
    <row r="1542" spans="1:21" ht="12.75" customHeight="1">
      <c r="A1542" s="300"/>
      <c r="B1542" s="625"/>
      <c r="C1542" s="623"/>
      <c r="D1542" s="792"/>
      <c r="E1542" s="624"/>
      <c r="F1542" s="546"/>
      <c r="G1542" s="1508"/>
      <c r="H1542" s="1501"/>
      <c r="I1542" s="1501" t="str">
        <f t="shared" si="69"/>
        <v/>
      </c>
      <c r="J1542" s="1501" t="str">
        <f t="shared" si="70"/>
        <v/>
      </c>
      <c r="K1542" s="271"/>
      <c r="L1542" s="309"/>
      <c r="M1542" s="309"/>
      <c r="N1542" s="309"/>
      <c r="O1542" s="309"/>
      <c r="P1542" s="309"/>
      <c r="Q1542" s="309"/>
      <c r="R1542" s="309"/>
      <c r="S1542" s="309"/>
      <c r="T1542" s="309"/>
      <c r="U1542" s="309"/>
    </row>
    <row r="1543" spans="1:21" ht="12.75" customHeight="1">
      <c r="A1543" s="1421" t="s">
        <v>1025</v>
      </c>
      <c r="B1543" s="625"/>
      <c r="C1543" s="623"/>
      <c r="D1543" s="792"/>
      <c r="E1543" s="624"/>
      <c r="F1543" s="546"/>
      <c r="G1543" s="1508"/>
      <c r="H1543" s="1501"/>
      <c r="I1543" s="1501" t="str">
        <f t="shared" si="69"/>
        <v/>
      </c>
      <c r="J1543" s="1501" t="str">
        <f t="shared" si="70"/>
        <v>AIG</v>
      </c>
      <c r="K1543" s="271"/>
      <c r="L1543" s="309"/>
      <c r="M1543" s="309"/>
      <c r="N1543" s="309"/>
      <c r="O1543" s="309"/>
      <c r="P1543" s="309"/>
      <c r="Q1543" s="309"/>
      <c r="R1543" s="309"/>
      <c r="S1543" s="309"/>
      <c r="T1543" s="309"/>
      <c r="U1543" s="309"/>
    </row>
    <row r="1544" spans="1:21" ht="12.75" customHeight="1">
      <c r="A1544" s="1420" t="s">
        <v>1021</v>
      </c>
      <c r="B1544" s="625"/>
      <c r="C1544" s="623"/>
      <c r="D1544" s="792"/>
      <c r="E1544" s="624"/>
      <c r="F1544" s="546"/>
      <c r="G1544" s="1508"/>
      <c r="H1544" s="1501"/>
      <c r="I1544" s="1501" t="str">
        <f t="shared" si="69"/>
        <v/>
      </c>
      <c r="J1544" s="1501" t="str">
        <f t="shared" si="70"/>
        <v>NVDA</v>
      </c>
      <c r="K1544" s="271"/>
      <c r="L1544" s="309"/>
      <c r="M1544" s="309"/>
      <c r="N1544" s="309"/>
      <c r="O1544" s="309"/>
      <c r="P1544" s="309"/>
      <c r="Q1544" s="309"/>
      <c r="R1544" s="309"/>
      <c r="S1544" s="309"/>
      <c r="T1544" s="309"/>
      <c r="U1544" s="309"/>
    </row>
    <row r="1545" spans="1:21" ht="12.75" customHeight="1">
      <c r="A1545" s="1409" t="s">
        <v>1026</v>
      </c>
      <c r="B1545" s="625">
        <v>25</v>
      </c>
      <c r="C1545" s="623">
        <v>63.11</v>
      </c>
      <c r="D1545" s="792">
        <v>12.99</v>
      </c>
      <c r="E1545" s="624">
        <f>B1545*C1545-D1545</f>
        <v>1564.76</v>
      </c>
      <c r="F1545" s="546" t="s">
        <v>19</v>
      </c>
      <c r="G1545" s="1508"/>
      <c r="H1545" s="1501"/>
      <c r="I1545" s="1501" t="str">
        <f t="shared" si="69"/>
        <v>AIG</v>
      </c>
      <c r="J1545" s="1501" t="str">
        <f t="shared" si="70"/>
        <v/>
      </c>
      <c r="K1545" s="271"/>
      <c r="L1545" s="309"/>
      <c r="M1545" s="309"/>
      <c r="N1545" s="309"/>
      <c r="O1545" s="309"/>
      <c r="P1545" s="309"/>
      <c r="Q1545" s="309"/>
      <c r="R1545" s="309"/>
      <c r="S1545" s="309"/>
      <c r="T1545" s="309"/>
      <c r="U1545" s="309"/>
    </row>
    <row r="1546" spans="1:21" ht="12.75" customHeight="1">
      <c r="A1546" s="1409" t="s">
        <v>193</v>
      </c>
      <c r="B1546" s="625">
        <v>50</v>
      </c>
      <c r="C1546" s="623">
        <v>27</v>
      </c>
      <c r="D1546" s="792">
        <v>12.99</v>
      </c>
      <c r="E1546" s="624">
        <f>B1546*C1546-D1546</f>
        <v>1337.01</v>
      </c>
      <c r="F1546" s="546" t="s">
        <v>194</v>
      </c>
      <c r="G1546" s="1508"/>
      <c r="H1546" s="1501"/>
      <c r="I1546" s="1501" t="str">
        <f t="shared" si="69"/>
        <v>NVDA</v>
      </c>
      <c r="J1546" s="1501" t="str">
        <f t="shared" si="70"/>
        <v/>
      </c>
      <c r="K1546" s="271"/>
      <c r="L1546" s="309"/>
      <c r="M1546" s="309"/>
      <c r="N1546" s="309"/>
      <c r="O1546" s="309"/>
      <c r="P1546" s="309"/>
      <c r="Q1546" s="309"/>
      <c r="R1546" s="309"/>
      <c r="S1546" s="309"/>
      <c r="T1546" s="309"/>
      <c r="U1546" s="309"/>
    </row>
    <row r="1547" spans="1:21" ht="12.75" customHeight="1">
      <c r="A1547" s="1414"/>
      <c r="B1547" s="625"/>
      <c r="C1547" s="623"/>
      <c r="D1547" s="792"/>
      <c r="E1547" s="624"/>
      <c r="F1547" s="546"/>
      <c r="G1547" s="1508"/>
      <c r="H1547" s="1501"/>
      <c r="I1547" s="1501" t="str">
        <f t="shared" si="69"/>
        <v/>
      </c>
      <c r="J1547" s="1501" t="str">
        <f t="shared" si="70"/>
        <v/>
      </c>
      <c r="K1547" s="271"/>
      <c r="L1547" s="309"/>
      <c r="M1547" s="309"/>
      <c r="N1547" s="309"/>
      <c r="O1547" s="309"/>
      <c r="P1547" s="309"/>
      <c r="Q1547" s="309"/>
      <c r="R1547" s="309"/>
      <c r="S1547" s="309"/>
      <c r="T1547" s="309"/>
      <c r="U1547" s="309"/>
    </row>
    <row r="1548" spans="1:21" ht="12.75" customHeight="1">
      <c r="A1548" s="280" t="s">
        <v>1027</v>
      </c>
      <c r="B1548" s="625"/>
      <c r="C1548" s="623"/>
      <c r="D1548" s="792"/>
      <c r="E1548" s="624"/>
      <c r="F1548" s="546"/>
      <c r="G1548" s="1508"/>
      <c r="H1548" s="1501"/>
      <c r="I1548" s="1501" t="str">
        <f t="shared" si="69"/>
        <v/>
      </c>
      <c r="J1548" s="1501" t="str">
        <f t="shared" si="70"/>
        <v>UBET</v>
      </c>
      <c r="K1548" s="271"/>
      <c r="L1548" s="309"/>
      <c r="M1548" s="309"/>
      <c r="N1548" s="309"/>
      <c r="O1548" s="309"/>
      <c r="P1548" s="309"/>
      <c r="Q1548" s="309"/>
      <c r="R1548" s="309"/>
      <c r="S1548" s="309"/>
      <c r="T1548" s="309"/>
      <c r="U1548" s="309"/>
    </row>
    <row r="1549" spans="1:21" ht="12.75" customHeight="1">
      <c r="A1549" s="1420" t="s">
        <v>1021</v>
      </c>
      <c r="B1549" s="625"/>
      <c r="C1549" s="623"/>
      <c r="D1549" s="792"/>
      <c r="E1549" s="624"/>
      <c r="F1549" s="546"/>
      <c r="G1549" s="1508"/>
      <c r="H1549" s="1501"/>
      <c r="I1549" s="1501" t="str">
        <f t="shared" si="69"/>
        <v/>
      </c>
      <c r="J1549" s="1501" t="str">
        <f t="shared" si="70"/>
        <v/>
      </c>
      <c r="K1549" s="271"/>
      <c r="L1549" s="309"/>
      <c r="M1549" s="309"/>
      <c r="N1549" s="309"/>
      <c r="O1549" s="309"/>
      <c r="P1549" s="309"/>
      <c r="Q1549" s="309"/>
      <c r="R1549" s="309"/>
      <c r="S1549" s="309"/>
      <c r="T1549" s="309"/>
      <c r="U1549" s="309"/>
    </row>
    <row r="1550" spans="1:21" ht="12.75" customHeight="1">
      <c r="A1550" s="1361" t="s">
        <v>1028</v>
      </c>
      <c r="B1550" s="625">
        <v>800</v>
      </c>
      <c r="C1550" s="623">
        <v>4.7388000000000003</v>
      </c>
      <c r="D1550" s="792">
        <v>12.99</v>
      </c>
      <c r="E1550" s="624">
        <f>B1550*C1550-D1550</f>
        <v>3778.0500000000006</v>
      </c>
      <c r="F1550" s="546" t="s">
        <v>200</v>
      </c>
      <c r="G1550" s="1508"/>
      <c r="H1550" s="1501"/>
      <c r="I1550" s="1501" t="str">
        <f t="shared" si="69"/>
        <v>UBET</v>
      </c>
      <c r="J1550" s="1501" t="str">
        <f t="shared" si="70"/>
        <v/>
      </c>
      <c r="K1550" s="271"/>
      <c r="L1550" s="309"/>
      <c r="M1550" s="309"/>
      <c r="N1550" s="309"/>
      <c r="O1550" s="309"/>
      <c r="P1550" s="309"/>
      <c r="Q1550" s="309"/>
      <c r="R1550" s="309"/>
      <c r="S1550" s="309"/>
      <c r="T1550" s="309"/>
      <c r="U1550" s="309"/>
    </row>
    <row r="1551" spans="1:21" ht="12.75" customHeight="1">
      <c r="A1551" s="985"/>
      <c r="B1551" s="625"/>
      <c r="C1551" s="623"/>
      <c r="D1551" s="792"/>
      <c r="E1551" s="624"/>
      <c r="F1551" s="546"/>
      <c r="G1551" s="1508"/>
      <c r="H1551" s="1501"/>
      <c r="I1551" s="1501" t="str">
        <f t="shared" si="69"/>
        <v/>
      </c>
      <c r="J1551" s="1501" t="str">
        <f t="shared" si="70"/>
        <v/>
      </c>
      <c r="K1551" s="271"/>
      <c r="L1551" s="309"/>
      <c r="M1551" s="309"/>
      <c r="N1551" s="309"/>
      <c r="O1551" s="309"/>
      <c r="P1551" s="309"/>
      <c r="Q1551" s="309"/>
      <c r="R1551" s="309"/>
      <c r="S1551" s="309"/>
      <c r="T1551" s="309"/>
      <c r="U1551" s="309"/>
    </row>
    <row r="1552" spans="1:21" ht="12.75" customHeight="1">
      <c r="A1552" s="280" t="s">
        <v>1029</v>
      </c>
      <c r="B1552" s="625"/>
      <c r="C1552" s="623"/>
      <c r="D1552" s="792"/>
      <c r="E1552" s="624"/>
      <c r="F1552" s="546"/>
      <c r="G1552" s="1508"/>
      <c r="H1552" s="1501"/>
      <c r="I1552" s="1501" t="str">
        <f t="shared" si="69"/>
        <v/>
      </c>
      <c r="J1552" s="1501" t="str">
        <f t="shared" si="70"/>
        <v>TBL</v>
      </c>
      <c r="K1552" s="271"/>
      <c r="L1552" s="309"/>
      <c r="M1552" s="309"/>
      <c r="N1552" s="309"/>
      <c r="O1552" s="309"/>
      <c r="P1552" s="309"/>
      <c r="Q1552" s="309"/>
      <c r="R1552" s="309"/>
      <c r="S1552" s="309"/>
      <c r="T1552" s="309"/>
      <c r="U1552" s="309"/>
    </row>
    <row r="1553" spans="1:21" ht="12.75" customHeight="1">
      <c r="A1553" s="1420" t="s">
        <v>1021</v>
      </c>
      <c r="B1553" s="625"/>
      <c r="C1553" s="623"/>
      <c r="D1553" s="792"/>
      <c r="E1553" s="624"/>
      <c r="F1553" s="546"/>
      <c r="G1553" s="1508"/>
      <c r="H1553" s="1501"/>
      <c r="I1553" s="1501" t="str">
        <f t="shared" si="69"/>
        <v/>
      </c>
      <c r="J1553" s="1501" t="str">
        <f t="shared" si="70"/>
        <v/>
      </c>
      <c r="K1553" s="271"/>
      <c r="L1553" s="309"/>
      <c r="M1553" s="309"/>
      <c r="N1553" s="309"/>
      <c r="O1553" s="309"/>
      <c r="P1553" s="309"/>
      <c r="Q1553" s="309"/>
      <c r="R1553" s="309"/>
      <c r="S1553" s="309"/>
      <c r="T1553" s="309"/>
      <c r="U1553" s="309"/>
    </row>
    <row r="1554" spans="1:21" ht="12.75" customHeight="1">
      <c r="A1554" s="1361" t="s">
        <v>1030</v>
      </c>
      <c r="B1554" s="625">
        <v>100</v>
      </c>
      <c r="C1554" s="623">
        <v>25.4224</v>
      </c>
      <c r="D1554" s="792">
        <v>12.99</v>
      </c>
      <c r="E1554" s="624">
        <f>B1554*C1554-D1554</f>
        <v>2529.25</v>
      </c>
      <c r="F1554" s="546" t="s">
        <v>122</v>
      </c>
      <c r="G1554" s="1508"/>
      <c r="H1554" s="1501"/>
      <c r="I1554" s="1501" t="str">
        <f t="shared" si="69"/>
        <v>TBL</v>
      </c>
      <c r="J1554" s="1501" t="str">
        <f t="shared" si="70"/>
        <v/>
      </c>
      <c r="K1554" s="271"/>
      <c r="L1554" s="309"/>
      <c r="M1554" s="309"/>
      <c r="N1554" s="309"/>
      <c r="O1554" s="309"/>
      <c r="P1554" s="309"/>
      <c r="Q1554" s="309"/>
      <c r="R1554" s="309"/>
      <c r="S1554" s="309"/>
      <c r="T1554" s="309"/>
      <c r="U1554" s="309"/>
    </row>
    <row r="1555" spans="1:21" ht="12.75" customHeight="1">
      <c r="A1555" s="985"/>
      <c r="B1555" s="625"/>
      <c r="C1555" s="623"/>
      <c r="D1555" s="792"/>
      <c r="E1555" s="624"/>
      <c r="F1555" s="546"/>
      <c r="G1555" s="1508"/>
      <c r="H1555" s="1501"/>
      <c r="I1555" s="1501" t="str">
        <f t="shared" si="69"/>
        <v/>
      </c>
      <c r="J1555" s="1501" t="str">
        <f t="shared" si="70"/>
        <v/>
      </c>
      <c r="K1555" s="271"/>
      <c r="L1555" s="309"/>
      <c r="M1555" s="309"/>
      <c r="N1555" s="309"/>
      <c r="O1555" s="309"/>
      <c r="P1555" s="309"/>
      <c r="Q1555" s="309"/>
      <c r="R1555" s="309"/>
      <c r="S1555" s="309"/>
      <c r="T1555" s="309"/>
      <c r="U1555" s="309"/>
    </row>
    <row r="1556" spans="1:21" ht="12.75" customHeight="1">
      <c r="A1556" s="280" t="s">
        <v>1031</v>
      </c>
      <c r="B1556" s="625"/>
      <c r="C1556" s="623"/>
      <c r="D1556" s="792"/>
      <c r="E1556" s="624"/>
      <c r="F1556" s="546"/>
      <c r="G1556" s="1508"/>
      <c r="H1556" s="1501"/>
      <c r="I1556" s="1501" t="str">
        <f t="shared" si="69"/>
        <v/>
      </c>
      <c r="J1556" s="1501" t="str">
        <f t="shared" si="70"/>
        <v>DRI</v>
      </c>
      <c r="K1556" s="271"/>
      <c r="L1556" s="309"/>
      <c r="M1556" s="309"/>
      <c r="N1556" s="309"/>
      <c r="O1556" s="309"/>
      <c r="P1556" s="309"/>
      <c r="Q1556" s="309"/>
      <c r="R1556" s="309"/>
      <c r="S1556" s="309"/>
      <c r="T1556" s="309"/>
      <c r="U1556" s="309"/>
    </row>
    <row r="1557" spans="1:21" ht="12.75" customHeight="1">
      <c r="A1557" s="1420" t="s">
        <v>1021</v>
      </c>
      <c r="B1557" s="625"/>
      <c r="C1557" s="623"/>
      <c r="D1557" s="792"/>
      <c r="E1557" s="624"/>
      <c r="F1557" s="546"/>
      <c r="G1557" s="1508"/>
      <c r="H1557" s="1501"/>
      <c r="I1557" s="1501" t="str">
        <f t="shared" si="69"/>
        <v/>
      </c>
      <c r="J1557" s="1501" t="str">
        <f t="shared" si="70"/>
        <v>RECN</v>
      </c>
      <c r="K1557" s="271"/>
      <c r="L1557" s="309"/>
      <c r="M1557" s="309"/>
      <c r="N1557" s="309"/>
      <c r="O1557" s="309"/>
      <c r="P1557" s="309"/>
      <c r="Q1557" s="309"/>
      <c r="R1557" s="309"/>
      <c r="S1557" s="309"/>
      <c r="T1557" s="309"/>
      <c r="U1557" s="309"/>
    </row>
    <row r="1558" spans="1:21" ht="12.75" customHeight="1">
      <c r="A1558" s="1361" t="s">
        <v>1032</v>
      </c>
      <c r="B1558" s="625">
        <v>55</v>
      </c>
      <c r="C1558" s="623">
        <v>35</v>
      </c>
      <c r="D1558" s="792">
        <v>12.99</v>
      </c>
      <c r="E1558" s="624">
        <f>B1558*C1558-D1558</f>
        <v>1912.01</v>
      </c>
      <c r="F1558" s="546" t="s">
        <v>98</v>
      </c>
      <c r="G1558" s="1508"/>
      <c r="H1558" s="1501"/>
      <c r="I1558" s="1501" t="str">
        <f t="shared" si="69"/>
        <v>DRI</v>
      </c>
      <c r="J1558" s="1501" t="str">
        <f t="shared" si="70"/>
        <v/>
      </c>
      <c r="K1558" s="271"/>
      <c r="L1558" s="309"/>
      <c r="M1558" s="309"/>
      <c r="N1558" s="309"/>
      <c r="O1558" s="309"/>
      <c r="P1558" s="309"/>
      <c r="Q1558" s="309"/>
      <c r="R1558" s="309"/>
      <c r="S1558" s="309"/>
      <c r="T1558" s="309"/>
      <c r="U1558" s="309"/>
    </row>
    <row r="1559" spans="1:21" ht="12.75" customHeight="1">
      <c r="A1559" s="1361" t="s">
        <v>1033</v>
      </c>
      <c r="B1559" s="625">
        <v>75</v>
      </c>
      <c r="C1559" s="623">
        <v>22.933599999999998</v>
      </c>
      <c r="D1559" s="792">
        <v>12.99</v>
      </c>
      <c r="E1559" s="624">
        <f>B1559*C1559-D1559</f>
        <v>1707.03</v>
      </c>
      <c r="F1559" s="546" t="s">
        <v>198</v>
      </c>
      <c r="G1559" s="1508"/>
      <c r="H1559" s="1501"/>
      <c r="I1559" s="1501" t="str">
        <f t="shared" si="69"/>
        <v>RECN</v>
      </c>
      <c r="J1559" s="1501" t="str">
        <f t="shared" si="70"/>
        <v/>
      </c>
      <c r="K1559" s="271"/>
      <c r="L1559" s="309"/>
      <c r="M1559" s="309"/>
      <c r="N1559" s="309"/>
      <c r="O1559" s="309"/>
      <c r="P1559" s="309"/>
      <c r="Q1559" s="309"/>
      <c r="R1559" s="309"/>
      <c r="S1559" s="309"/>
      <c r="T1559" s="309"/>
      <c r="U1559" s="309"/>
    </row>
    <row r="1560" spans="1:21" ht="12.75" customHeight="1">
      <c r="A1560" s="985"/>
      <c r="B1560" s="625"/>
      <c r="C1560" s="623"/>
      <c r="D1560" s="792"/>
      <c r="E1560" s="624"/>
      <c r="F1560" s="546"/>
      <c r="G1560" s="1508"/>
      <c r="H1560" s="1501"/>
      <c r="I1560" s="1501" t="str">
        <f t="shared" si="69"/>
        <v/>
      </c>
      <c r="J1560" s="1501" t="str">
        <f t="shared" si="70"/>
        <v/>
      </c>
      <c r="K1560" s="271"/>
      <c r="L1560" s="309"/>
      <c r="M1560" s="309"/>
      <c r="N1560" s="309"/>
      <c r="O1560" s="309"/>
      <c r="P1560" s="309"/>
      <c r="Q1560" s="309"/>
      <c r="R1560" s="309"/>
      <c r="S1560" s="309"/>
      <c r="T1560" s="309"/>
      <c r="U1560" s="309"/>
    </row>
    <row r="1561" spans="1:21" ht="12.75" customHeight="1">
      <c r="A1561" s="280" t="s">
        <v>1034</v>
      </c>
      <c r="B1561" s="625"/>
      <c r="C1561" s="623"/>
      <c r="D1561" s="792"/>
      <c r="E1561" s="624"/>
      <c r="F1561" s="546"/>
      <c r="G1561" s="1508"/>
      <c r="H1561" s="1501"/>
      <c r="I1561" s="1501" t="str">
        <f t="shared" si="69"/>
        <v/>
      </c>
      <c r="J1561" s="1501" t="str">
        <f t="shared" si="70"/>
        <v>EXBD</v>
      </c>
      <c r="K1561" s="271"/>
      <c r="L1561" s="309"/>
      <c r="M1561" s="309"/>
      <c r="N1561" s="309"/>
      <c r="O1561" s="309"/>
      <c r="P1561" s="309"/>
      <c r="Q1561" s="309"/>
      <c r="R1561" s="309"/>
      <c r="S1561" s="309"/>
      <c r="T1561" s="309"/>
      <c r="U1561" s="309"/>
    </row>
    <row r="1562" spans="1:21" ht="12.75" customHeight="1">
      <c r="A1562" s="1420" t="s">
        <v>1021</v>
      </c>
      <c r="B1562" s="625"/>
      <c r="C1562" s="623"/>
      <c r="D1562" s="792"/>
      <c r="E1562" s="624"/>
      <c r="F1562" s="546"/>
      <c r="G1562" s="1508"/>
      <c r="H1562" s="1501"/>
      <c r="I1562" s="1501" t="str">
        <f t="shared" ref="I1562:I1625" si="71">IF(F1562="","",IF(OR(A1561="Sell",A1562="Sell"),"",F1562))</f>
        <v/>
      </c>
      <c r="J1562" s="1501" t="str">
        <f t="shared" si="70"/>
        <v/>
      </c>
      <c r="K1562" s="271"/>
      <c r="L1562" s="309"/>
      <c r="M1562" s="309"/>
      <c r="N1562" s="309"/>
      <c r="O1562" s="309"/>
      <c r="P1562" s="309"/>
      <c r="Q1562" s="309"/>
      <c r="R1562" s="309"/>
      <c r="S1562" s="309"/>
      <c r="T1562" s="309"/>
      <c r="U1562" s="309"/>
    </row>
    <row r="1563" spans="1:21" ht="12.75" customHeight="1">
      <c r="A1563" s="1361" t="s">
        <v>1035</v>
      </c>
      <c r="B1563" s="625">
        <v>25</v>
      </c>
      <c r="C1563" s="623">
        <v>95.013199999999998</v>
      </c>
      <c r="D1563" s="792">
        <v>12.99</v>
      </c>
      <c r="E1563" s="624">
        <f>B1563*C1563-D1563</f>
        <v>2362.34</v>
      </c>
      <c r="F1563" s="546" t="s">
        <v>156</v>
      </c>
      <c r="G1563" s="1508"/>
      <c r="H1563" s="1501"/>
      <c r="I1563" s="1501" t="str">
        <f t="shared" si="71"/>
        <v>EXBD</v>
      </c>
      <c r="J1563" s="1501" t="str">
        <f t="shared" si="70"/>
        <v/>
      </c>
      <c r="K1563" s="271"/>
      <c r="L1563" s="309"/>
      <c r="M1563" s="309"/>
      <c r="N1563" s="309"/>
      <c r="O1563" s="309"/>
      <c r="P1563" s="309"/>
      <c r="Q1563" s="309"/>
      <c r="R1563" s="309"/>
      <c r="S1563" s="309"/>
      <c r="T1563" s="309"/>
      <c r="U1563" s="309"/>
    </row>
    <row r="1564" spans="1:21" ht="12.75" customHeight="1">
      <c r="A1564" s="985"/>
      <c r="B1564" s="625"/>
      <c r="C1564" s="623"/>
      <c r="D1564" s="792"/>
      <c r="E1564" s="624"/>
      <c r="F1564" s="546"/>
      <c r="G1564" s="1508"/>
      <c r="H1564" s="1501"/>
      <c r="I1564" s="1501" t="str">
        <f t="shared" si="71"/>
        <v/>
      </c>
      <c r="J1564" s="1501" t="str">
        <f t="shared" si="70"/>
        <v/>
      </c>
      <c r="K1564" s="271"/>
      <c r="L1564" s="309"/>
      <c r="M1564" s="309"/>
      <c r="N1564" s="309"/>
      <c r="O1564" s="309"/>
      <c r="P1564" s="309"/>
      <c r="Q1564" s="309"/>
      <c r="R1564" s="309"/>
      <c r="S1564" s="309"/>
      <c r="T1564" s="309"/>
      <c r="U1564" s="309"/>
    </row>
    <row r="1565" spans="1:21" ht="12.75" customHeight="1">
      <c r="A1565" s="280" t="s">
        <v>1036</v>
      </c>
      <c r="B1565" s="625"/>
      <c r="C1565" s="623"/>
      <c r="D1565" s="792"/>
      <c r="E1565" s="624"/>
      <c r="F1565" s="546"/>
      <c r="G1565" s="1508"/>
      <c r="H1565" s="1501"/>
      <c r="I1565" s="1501" t="str">
        <f t="shared" si="71"/>
        <v/>
      </c>
      <c r="J1565" s="1501" t="str">
        <f t="shared" si="70"/>
        <v>SBUX</v>
      </c>
      <c r="K1565" s="271"/>
      <c r="L1565" s="309"/>
      <c r="M1565" s="309"/>
      <c r="N1565" s="309"/>
      <c r="O1565" s="309"/>
      <c r="P1565" s="309"/>
      <c r="Q1565" s="309"/>
      <c r="R1565" s="309"/>
      <c r="S1565" s="309"/>
      <c r="T1565" s="309"/>
      <c r="U1565" s="309"/>
    </row>
    <row r="1566" spans="1:21" ht="12.75" customHeight="1">
      <c r="A1566" s="1420" t="s">
        <v>1021</v>
      </c>
      <c r="B1566" s="625"/>
      <c r="C1566" s="623"/>
      <c r="D1566" s="792"/>
      <c r="E1566" s="624"/>
      <c r="F1566" s="546"/>
      <c r="G1566" s="1508"/>
      <c r="H1566" s="1501"/>
      <c r="I1566" s="1501" t="str">
        <f t="shared" si="71"/>
        <v/>
      </c>
      <c r="J1566" s="1501" t="str">
        <f t="shared" si="70"/>
        <v/>
      </c>
      <c r="K1566" s="271"/>
      <c r="L1566" s="309"/>
      <c r="M1566" s="309"/>
      <c r="N1566" s="309"/>
      <c r="O1566" s="309"/>
      <c r="P1566" s="309"/>
      <c r="Q1566" s="309"/>
      <c r="R1566" s="309"/>
      <c r="S1566" s="309"/>
      <c r="T1566" s="309"/>
      <c r="U1566" s="309"/>
    </row>
    <row r="1567" spans="1:21" ht="12.75" customHeight="1">
      <c r="A1567" s="1361" t="s">
        <v>1037</v>
      </c>
      <c r="B1567" s="625">
        <v>100</v>
      </c>
      <c r="C1567" s="623">
        <v>35.022799999999997</v>
      </c>
      <c r="D1567" s="792">
        <v>12.99</v>
      </c>
      <c r="E1567" s="624">
        <f>B1567*C1567-D1567</f>
        <v>3489.29</v>
      </c>
      <c r="F1567" s="546" t="s">
        <v>167</v>
      </c>
      <c r="G1567" s="1508"/>
      <c r="H1567" s="1501"/>
      <c r="I1567" s="1501" t="str">
        <f t="shared" si="71"/>
        <v>SBUX</v>
      </c>
      <c r="J1567" s="1501" t="str">
        <f t="shared" si="70"/>
        <v/>
      </c>
      <c r="K1567" s="271"/>
      <c r="L1567" s="309"/>
      <c r="M1567" s="309"/>
      <c r="N1567" s="309"/>
      <c r="O1567" s="309"/>
      <c r="P1567" s="309"/>
      <c r="Q1567" s="309"/>
      <c r="R1567" s="309"/>
      <c r="S1567" s="309"/>
      <c r="T1567" s="309"/>
      <c r="U1567" s="309"/>
    </row>
    <row r="1568" spans="1:21" ht="12.75" customHeight="1">
      <c r="A1568" s="985"/>
      <c r="B1568" s="625"/>
      <c r="C1568" s="623"/>
      <c r="D1568" s="792"/>
      <c r="E1568" s="624"/>
      <c r="F1568" s="546"/>
      <c r="G1568" s="1508"/>
      <c r="H1568" s="1501"/>
      <c r="I1568" s="1501" t="str">
        <f t="shared" si="71"/>
        <v/>
      </c>
      <c r="J1568" s="1501" t="str">
        <f t="shared" si="70"/>
        <v/>
      </c>
      <c r="K1568" s="271"/>
      <c r="L1568" s="309"/>
      <c r="M1568" s="309"/>
      <c r="N1568" s="309"/>
      <c r="O1568" s="309"/>
      <c r="P1568" s="309"/>
      <c r="Q1568" s="309"/>
      <c r="R1568" s="309"/>
      <c r="S1568" s="309"/>
      <c r="T1568" s="309"/>
      <c r="U1568" s="309"/>
    </row>
    <row r="1569" spans="1:21" ht="12.75" customHeight="1">
      <c r="A1569" s="280" t="s">
        <v>1038</v>
      </c>
      <c r="B1569" s="625"/>
      <c r="C1569" s="623"/>
      <c r="D1569" s="792"/>
      <c r="E1569" s="624"/>
      <c r="F1569" s="546"/>
      <c r="G1569" s="1508"/>
      <c r="H1569" s="1501"/>
      <c r="I1569" s="1501" t="str">
        <f t="shared" si="71"/>
        <v/>
      </c>
      <c r="J1569" s="1501" t="str">
        <f t="shared" si="70"/>
        <v>FCX</v>
      </c>
      <c r="K1569" s="271"/>
      <c r="L1569" s="309"/>
      <c r="M1569" s="309"/>
      <c r="N1569" s="309"/>
      <c r="O1569" s="309"/>
      <c r="P1569" s="309"/>
      <c r="Q1569" s="309"/>
      <c r="R1569" s="309"/>
      <c r="S1569" s="309"/>
      <c r="T1569" s="309"/>
      <c r="U1569" s="309"/>
    </row>
    <row r="1570" spans="1:21" ht="12.75" customHeight="1">
      <c r="A1570" s="1420" t="s">
        <v>1021</v>
      </c>
      <c r="B1570" s="625"/>
      <c r="C1570" s="623"/>
      <c r="D1570" s="792"/>
      <c r="E1570" s="624"/>
      <c r="F1570" s="546"/>
      <c r="G1570" s="1508"/>
      <c r="H1570" s="1501"/>
      <c r="I1570" s="1501" t="str">
        <f t="shared" si="71"/>
        <v/>
      </c>
      <c r="J1570" s="1501" t="str">
        <f t="shared" si="70"/>
        <v/>
      </c>
      <c r="K1570" s="271"/>
      <c r="L1570" s="309"/>
      <c r="M1570" s="309"/>
      <c r="N1570" s="309"/>
      <c r="O1570" s="309"/>
      <c r="P1570" s="309"/>
      <c r="Q1570" s="309"/>
      <c r="R1570" s="309"/>
      <c r="S1570" s="309"/>
      <c r="T1570" s="309"/>
      <c r="U1570" s="309"/>
    </row>
    <row r="1571" spans="1:21" ht="12.75" customHeight="1">
      <c r="A1571" s="1361" t="s">
        <v>1039</v>
      </c>
      <c r="B1571" s="625">
        <v>65</v>
      </c>
      <c r="C1571" s="623">
        <v>57.2</v>
      </c>
      <c r="D1571" s="792">
        <v>12.99</v>
      </c>
      <c r="E1571" s="624">
        <f>B1571*C1571-D1571</f>
        <v>3705.01</v>
      </c>
      <c r="F1571" s="546" t="s">
        <v>192</v>
      </c>
      <c r="G1571" s="1508"/>
      <c r="H1571" s="1501"/>
      <c r="I1571" s="1501" t="str">
        <f t="shared" si="71"/>
        <v>FCX</v>
      </c>
      <c r="J1571" s="1501" t="str">
        <f t="shared" si="70"/>
        <v/>
      </c>
      <c r="K1571" s="271"/>
      <c r="L1571" s="309"/>
      <c r="M1571" s="309"/>
      <c r="N1571" s="309"/>
      <c r="O1571" s="309"/>
      <c r="P1571" s="309"/>
      <c r="Q1571" s="309"/>
      <c r="R1571" s="309"/>
      <c r="S1571" s="309"/>
      <c r="T1571" s="309"/>
      <c r="U1571" s="309"/>
    </row>
    <row r="1572" spans="1:21" ht="12.75" customHeight="1">
      <c r="A1572" s="985"/>
      <c r="B1572" s="625"/>
      <c r="C1572" s="623"/>
      <c r="D1572" s="792"/>
      <c r="E1572" s="624"/>
      <c r="F1572" s="546"/>
      <c r="G1572" s="1508"/>
      <c r="H1572" s="1501"/>
      <c r="I1572" s="1501" t="str">
        <f t="shared" si="71"/>
        <v/>
      </c>
      <c r="J1572" s="1501" t="str">
        <f t="shared" si="70"/>
        <v/>
      </c>
      <c r="K1572" s="271"/>
      <c r="L1572" s="309"/>
      <c r="M1572" s="309"/>
      <c r="N1572" s="309"/>
      <c r="O1572" s="309"/>
      <c r="P1572" s="309"/>
      <c r="Q1572" s="309"/>
      <c r="R1572" s="309"/>
      <c r="S1572" s="309"/>
      <c r="T1572" s="309"/>
      <c r="U1572" s="309"/>
    </row>
    <row r="1573" spans="1:21" ht="12.75" customHeight="1">
      <c r="A1573" s="280" t="s">
        <v>1040</v>
      </c>
      <c r="B1573" s="625"/>
      <c r="C1573" s="623"/>
      <c r="D1573" s="792"/>
      <c r="E1573" s="624"/>
      <c r="F1573" s="546"/>
      <c r="G1573" s="1508"/>
      <c r="H1573" s="1501"/>
      <c r="I1573" s="1501" t="str">
        <f t="shared" si="71"/>
        <v/>
      </c>
      <c r="J1573" s="1501" t="str">
        <f t="shared" si="70"/>
        <v/>
      </c>
      <c r="K1573" s="271"/>
      <c r="L1573" s="309"/>
      <c r="M1573" s="309"/>
      <c r="N1573" s="309"/>
      <c r="O1573" s="309"/>
      <c r="P1573" s="309"/>
      <c r="Q1573" s="309"/>
      <c r="R1573" s="309"/>
      <c r="S1573" s="309"/>
      <c r="T1573" s="309"/>
      <c r="U1573" s="309"/>
    </row>
    <row r="1574" spans="1:21" ht="12.75" customHeight="1">
      <c r="A1574" s="1420" t="s">
        <v>1021</v>
      </c>
      <c r="B1574" s="625"/>
      <c r="C1574" s="623"/>
      <c r="D1574" s="792"/>
      <c r="E1574" s="624"/>
      <c r="F1574" s="546"/>
      <c r="G1574" s="1508"/>
      <c r="H1574" s="1501"/>
      <c r="I1574" s="1501" t="str">
        <f t="shared" si="71"/>
        <v/>
      </c>
      <c r="J1574" s="1501" t="str">
        <f t="shared" si="70"/>
        <v>TM</v>
      </c>
      <c r="K1574" s="271"/>
      <c r="L1574" s="309"/>
      <c r="M1574" s="309"/>
      <c r="N1574" s="309"/>
      <c r="O1574" s="309"/>
      <c r="P1574" s="309"/>
      <c r="Q1574" s="309"/>
      <c r="R1574" s="309"/>
      <c r="S1574" s="309"/>
      <c r="T1574" s="309"/>
      <c r="U1574" s="309"/>
    </row>
    <row r="1575" spans="1:21" ht="12.75" customHeight="1">
      <c r="A1575" s="936"/>
      <c r="B1575" s="625"/>
      <c r="C1575" s="623"/>
      <c r="D1575" s="792"/>
      <c r="E1575" s="624"/>
      <c r="F1575" s="546"/>
      <c r="G1575" s="1508"/>
      <c r="H1575" s="1501"/>
      <c r="I1575" s="1501" t="str">
        <f t="shared" si="71"/>
        <v/>
      </c>
      <c r="J1575" s="1501" t="str">
        <f t="shared" si="70"/>
        <v/>
      </c>
      <c r="K1575" s="271"/>
      <c r="L1575" s="309"/>
      <c r="M1575" s="309"/>
      <c r="N1575" s="309"/>
      <c r="O1575" s="309"/>
      <c r="P1575" s="309"/>
      <c r="Q1575" s="309"/>
      <c r="R1575" s="309"/>
      <c r="S1575" s="309"/>
      <c r="T1575" s="309"/>
      <c r="U1575" s="309"/>
    </row>
    <row r="1576" spans="1:21" ht="12.75" customHeight="1">
      <c r="A1576" s="1361" t="s">
        <v>170</v>
      </c>
      <c r="B1576" s="625">
        <v>50</v>
      </c>
      <c r="C1576" s="623">
        <v>104.79</v>
      </c>
      <c r="D1576" s="792">
        <v>12.99</v>
      </c>
      <c r="E1576" s="624">
        <f>B1576*C1576-D1576</f>
        <v>5226.51</v>
      </c>
      <c r="F1576" s="546" t="s">
        <v>171</v>
      </c>
      <c r="G1576" s="1508"/>
      <c r="H1576" s="1501"/>
      <c r="I1576" s="1501" t="str">
        <f t="shared" si="71"/>
        <v>TM</v>
      </c>
      <c r="J1576" s="1501" t="str">
        <f t="shared" si="70"/>
        <v/>
      </c>
      <c r="K1576" s="271"/>
      <c r="L1576" s="309"/>
      <c r="M1576" s="309"/>
      <c r="N1576" s="309"/>
      <c r="O1576" s="309"/>
      <c r="P1576" s="309"/>
      <c r="Q1576" s="309"/>
      <c r="R1576" s="309"/>
      <c r="S1576" s="309"/>
      <c r="T1576" s="309"/>
      <c r="U1576" s="309"/>
    </row>
    <row r="1577" spans="1:21" ht="12.75" customHeight="1">
      <c r="A1577" s="1363"/>
      <c r="B1577" s="625"/>
      <c r="C1577" s="623"/>
      <c r="D1577" s="792"/>
      <c r="E1577" s="624"/>
      <c r="F1577" s="546"/>
      <c r="G1577" s="1508"/>
      <c r="H1577" s="1501"/>
      <c r="I1577" s="1501" t="str">
        <f t="shared" si="71"/>
        <v/>
      </c>
      <c r="J1577" s="1501" t="str">
        <f t="shared" si="70"/>
        <v/>
      </c>
      <c r="K1577" s="271"/>
      <c r="L1577" s="309"/>
      <c r="M1577" s="309"/>
      <c r="N1577" s="309"/>
      <c r="O1577" s="309"/>
      <c r="P1577" s="309"/>
      <c r="Q1577" s="309"/>
      <c r="R1577" s="309"/>
      <c r="S1577" s="309"/>
      <c r="T1577" s="309"/>
      <c r="U1577" s="309"/>
    </row>
    <row r="1578" spans="1:21" ht="12.75" customHeight="1">
      <c r="A1578" s="1404" t="s">
        <v>1041</v>
      </c>
      <c r="B1578" s="625"/>
      <c r="C1578" s="623"/>
      <c r="D1578" s="792"/>
      <c r="E1578" s="624"/>
      <c r="F1578" s="546"/>
      <c r="G1578" s="1508"/>
      <c r="H1578" s="1501"/>
      <c r="I1578" s="1501" t="str">
        <f t="shared" si="71"/>
        <v/>
      </c>
      <c r="J1578" s="1501" t="str">
        <f t="shared" si="70"/>
        <v>DO</v>
      </c>
      <c r="K1578" s="271"/>
      <c r="L1578" s="309"/>
      <c r="M1578" s="309"/>
      <c r="N1578" s="309"/>
      <c r="O1578" s="309"/>
      <c r="P1578" s="309"/>
      <c r="Q1578" s="309"/>
      <c r="R1578" s="309"/>
      <c r="S1578" s="309"/>
      <c r="T1578" s="309"/>
      <c r="U1578" s="309"/>
    </row>
    <row r="1579" spans="1:21" ht="12.75" customHeight="1">
      <c r="A1579" s="1420" t="s">
        <v>1021</v>
      </c>
      <c r="B1579" s="625"/>
      <c r="C1579" s="623"/>
      <c r="D1579" s="792"/>
      <c r="E1579" s="624"/>
      <c r="F1579" s="546"/>
      <c r="G1579" s="1508"/>
      <c r="H1579" s="1501"/>
      <c r="I1579" s="1501" t="str">
        <f t="shared" si="71"/>
        <v/>
      </c>
      <c r="J1579" s="1501" t="str">
        <f t="shared" si="70"/>
        <v/>
      </c>
      <c r="K1579" s="271"/>
      <c r="L1579" s="309"/>
      <c r="M1579" s="309"/>
      <c r="N1579" s="309"/>
      <c r="O1579" s="309"/>
      <c r="P1579" s="309"/>
      <c r="Q1579" s="309"/>
      <c r="R1579" s="309"/>
      <c r="S1579" s="309"/>
      <c r="T1579" s="309"/>
      <c r="U1579" s="309"/>
    </row>
    <row r="1580" spans="1:21" ht="12.75" customHeight="1">
      <c r="A1580" s="1361" t="s">
        <v>1042</v>
      </c>
      <c r="B1580" s="625">
        <v>30</v>
      </c>
      <c r="C1580" s="623">
        <v>80.22</v>
      </c>
      <c r="D1580" s="792">
        <v>12.99</v>
      </c>
      <c r="E1580" s="624">
        <f>B1580*C1580-D1580</f>
        <v>2393.61</v>
      </c>
      <c r="F1580" s="546" t="s">
        <v>190</v>
      </c>
      <c r="G1580" s="1508"/>
      <c r="H1580" s="1501"/>
      <c r="I1580" s="1501" t="str">
        <f t="shared" si="71"/>
        <v>DO</v>
      </c>
      <c r="J1580" s="1501" t="str">
        <f t="shared" si="70"/>
        <v/>
      </c>
      <c r="K1580" s="271"/>
      <c r="L1580" s="309"/>
      <c r="M1580" s="309"/>
      <c r="N1580" s="309"/>
      <c r="O1580" s="309"/>
      <c r="P1580" s="309"/>
      <c r="Q1580" s="309"/>
      <c r="R1580" s="309"/>
      <c r="S1580" s="309"/>
      <c r="T1580" s="309"/>
      <c r="U1580" s="309"/>
    </row>
    <row r="1581" spans="1:21" ht="12.75" customHeight="1">
      <c r="A1581" s="1361"/>
      <c r="B1581" s="625"/>
      <c r="C1581" s="623"/>
      <c r="D1581" s="792"/>
      <c r="E1581" s="624"/>
      <c r="F1581" s="546"/>
      <c r="G1581" s="1508"/>
      <c r="H1581" s="1501"/>
      <c r="I1581" s="1501" t="str">
        <f t="shared" si="71"/>
        <v/>
      </c>
      <c r="J1581" s="1501" t="str">
        <f t="shared" si="70"/>
        <v/>
      </c>
      <c r="K1581" s="271"/>
      <c r="L1581" s="309"/>
      <c r="M1581" s="309"/>
      <c r="N1581" s="309"/>
      <c r="O1581" s="309"/>
      <c r="P1581" s="309"/>
      <c r="Q1581" s="309"/>
      <c r="R1581" s="309"/>
      <c r="S1581" s="309"/>
      <c r="T1581" s="309"/>
      <c r="U1581" s="309"/>
    </row>
    <row r="1582" spans="1:21" ht="13.5" customHeight="1">
      <c r="A1582" s="1404" t="s">
        <v>1043</v>
      </c>
      <c r="B1582" s="625"/>
      <c r="C1582" s="623"/>
      <c r="D1582" s="792"/>
      <c r="E1582" s="624"/>
      <c r="F1582" s="546"/>
      <c r="G1582" s="1508"/>
      <c r="H1582" s="1501"/>
      <c r="I1582" s="1501" t="str">
        <f t="shared" si="71"/>
        <v/>
      </c>
      <c r="J1582" s="1501" t="str">
        <f t="shared" si="70"/>
        <v>PENN</v>
      </c>
      <c r="K1582" s="271"/>
      <c r="L1582" s="309"/>
      <c r="M1582" s="309"/>
      <c r="N1582" s="309"/>
      <c r="O1582" s="309"/>
      <c r="P1582" s="309"/>
      <c r="Q1582" s="309"/>
      <c r="R1582" s="309"/>
      <c r="S1582" s="309"/>
      <c r="T1582" s="309"/>
      <c r="U1582" s="309"/>
    </row>
    <row r="1583" spans="1:21" ht="13.5" customHeight="1">
      <c r="A1583" s="1420" t="s">
        <v>1021</v>
      </c>
      <c r="B1583" s="625"/>
      <c r="C1583" s="623"/>
      <c r="D1583" s="792"/>
      <c r="E1583" s="624"/>
      <c r="F1583" s="546"/>
      <c r="G1583" s="1508"/>
      <c r="H1583" s="1501"/>
      <c r="I1583" s="1501" t="str">
        <f t="shared" si="71"/>
        <v/>
      </c>
      <c r="J1583" s="1501" t="str">
        <f t="shared" si="70"/>
        <v>APH</v>
      </c>
      <c r="K1583" s="271"/>
      <c r="L1583" s="309"/>
      <c r="M1583" s="309"/>
      <c r="N1583" s="309"/>
      <c r="O1583" s="309"/>
      <c r="P1583" s="309"/>
      <c r="Q1583" s="309"/>
      <c r="R1583" s="309"/>
      <c r="S1583" s="309"/>
      <c r="T1583" s="309"/>
      <c r="U1583" s="309"/>
    </row>
    <row r="1584" spans="1:21" ht="12.75" customHeight="1">
      <c r="A1584" s="1361" t="s">
        <v>162</v>
      </c>
      <c r="B1584" s="625">
        <v>100</v>
      </c>
      <c r="C1584" s="623">
        <v>34.839100000000002</v>
      </c>
      <c r="D1584" s="792">
        <v>12.99</v>
      </c>
      <c r="E1584" s="624">
        <f>B1584*C1584-D1584</f>
        <v>3470.9200000000005</v>
      </c>
      <c r="F1584" s="546" t="s">
        <v>163</v>
      </c>
      <c r="G1584" s="1508"/>
      <c r="H1584" s="1501"/>
      <c r="I1584" s="1501" t="str">
        <f t="shared" si="71"/>
        <v>PENN</v>
      </c>
      <c r="J1584" s="1501" t="str">
        <f t="shared" si="70"/>
        <v>ARLP</v>
      </c>
      <c r="K1584" s="271"/>
      <c r="L1584" s="309"/>
      <c r="M1584" s="309"/>
      <c r="N1584" s="309"/>
      <c r="O1584" s="309"/>
      <c r="P1584" s="309"/>
      <c r="Q1584" s="309"/>
      <c r="R1584" s="309"/>
      <c r="S1584" s="309"/>
      <c r="T1584" s="309"/>
      <c r="U1584" s="309"/>
    </row>
    <row r="1585" spans="1:21" ht="12.75" customHeight="1">
      <c r="A1585" s="1361" t="s">
        <v>1044</v>
      </c>
      <c r="B1585" s="625">
        <v>50</v>
      </c>
      <c r="C1585" s="623">
        <v>54</v>
      </c>
      <c r="D1585" s="792">
        <v>12.99</v>
      </c>
      <c r="E1585" s="624">
        <f>B1585*C1585-D1585</f>
        <v>2687.01</v>
      </c>
      <c r="F1585" s="546" t="s">
        <v>21</v>
      </c>
      <c r="G1585" s="1508"/>
      <c r="H1585" s="1501"/>
      <c r="I1585" s="1501" t="str">
        <f t="shared" si="71"/>
        <v>APH</v>
      </c>
      <c r="J1585" s="1501" t="str">
        <f t="shared" si="70"/>
        <v>HOS</v>
      </c>
      <c r="K1585" s="271"/>
      <c r="L1585" s="309"/>
      <c r="M1585" s="309"/>
      <c r="N1585" s="309"/>
      <c r="O1585" s="309"/>
      <c r="P1585" s="309"/>
      <c r="Q1585" s="309"/>
      <c r="R1585" s="309"/>
      <c r="S1585" s="309"/>
      <c r="T1585" s="309"/>
      <c r="U1585" s="309"/>
    </row>
    <row r="1586" spans="1:21" ht="13.5" customHeight="1">
      <c r="A1586" s="1361" t="s">
        <v>1045</v>
      </c>
      <c r="B1586" s="625">
        <v>50</v>
      </c>
      <c r="C1586" s="623">
        <v>35.435600000000001</v>
      </c>
      <c r="D1586" s="792">
        <v>12.99</v>
      </c>
      <c r="E1586" s="624">
        <f>B1586*C1586-D1586</f>
        <v>1758.79</v>
      </c>
      <c r="F1586" s="546" t="s">
        <v>149</v>
      </c>
      <c r="G1586" s="1508"/>
      <c r="H1586" s="1501"/>
      <c r="I1586" s="1501" t="str">
        <f t="shared" si="71"/>
        <v>ARLP</v>
      </c>
      <c r="J1586" s="1501" t="str">
        <f t="shared" si="70"/>
        <v/>
      </c>
      <c r="K1586" s="271"/>
      <c r="L1586" s="309"/>
      <c r="M1586" s="309"/>
      <c r="N1586" s="309"/>
      <c r="O1586" s="309"/>
      <c r="P1586" s="309"/>
      <c r="Q1586" s="309"/>
      <c r="R1586" s="309"/>
      <c r="S1586" s="309"/>
      <c r="T1586" s="309"/>
      <c r="U1586" s="309"/>
    </row>
    <row r="1587" spans="1:21" ht="13.5" customHeight="1">
      <c r="A1587" s="1361" t="s">
        <v>1046</v>
      </c>
      <c r="B1587" s="625">
        <v>85</v>
      </c>
      <c r="C1587" s="623">
        <v>32.450000000000003</v>
      </c>
      <c r="D1587" s="792">
        <v>12.99</v>
      </c>
      <c r="E1587" s="624">
        <f>B1587*C1587-D1587</f>
        <v>2745.2600000000007</v>
      </c>
      <c r="F1587" s="546" t="s">
        <v>196</v>
      </c>
      <c r="G1587" s="1521"/>
      <c r="H1587" s="1537"/>
      <c r="I1587" s="1501" t="str">
        <f t="shared" si="71"/>
        <v>HOS</v>
      </c>
      <c r="J1587" s="1501" t="str">
        <f t="shared" si="70"/>
        <v/>
      </c>
      <c r="K1587" s="271"/>
      <c r="L1587" s="309"/>
      <c r="M1587" s="309"/>
      <c r="N1587" s="309"/>
      <c r="O1587" s="309"/>
      <c r="P1587" s="309"/>
      <c r="Q1587" s="309"/>
      <c r="R1587" s="309"/>
      <c r="S1587" s="309"/>
      <c r="T1587" s="309"/>
      <c r="U1587" s="309"/>
    </row>
    <row r="1588" spans="1:21" ht="12.75" customHeight="1">
      <c r="A1588" s="985"/>
      <c r="B1588" s="625"/>
      <c r="C1588" s="623"/>
      <c r="D1588" s="792"/>
      <c r="E1588" s="624"/>
      <c r="F1588" s="546"/>
      <c r="G1588" s="1521"/>
      <c r="H1588" s="1537"/>
      <c r="I1588" s="1501" t="str">
        <f t="shared" si="71"/>
        <v/>
      </c>
      <c r="J1588" s="1501" t="str">
        <f t="shared" si="70"/>
        <v/>
      </c>
      <c r="K1588" s="271"/>
      <c r="L1588" s="309"/>
      <c r="M1588" s="309"/>
      <c r="N1588" s="309"/>
      <c r="O1588" s="309"/>
      <c r="P1588" s="309"/>
      <c r="Q1588" s="309"/>
      <c r="R1588" s="309"/>
      <c r="S1588" s="309"/>
      <c r="T1588" s="309"/>
      <c r="U1588" s="309"/>
    </row>
    <row r="1589" spans="1:21" ht="12.75" customHeight="1">
      <c r="A1589" s="305" t="s">
        <v>1047</v>
      </c>
      <c r="B1589" s="625"/>
      <c r="C1589" s="623"/>
      <c r="D1589" s="792"/>
      <c r="E1589" s="624"/>
      <c r="F1589" s="546"/>
      <c r="G1589" s="1521"/>
      <c r="H1589" s="1537"/>
      <c r="I1589" s="1501" t="str">
        <f t="shared" si="71"/>
        <v/>
      </c>
      <c r="J1589" s="1501" t="str">
        <f t="shared" si="70"/>
        <v>USNA</v>
      </c>
      <c r="K1589" s="271"/>
      <c r="L1589" s="309"/>
      <c r="M1589" s="309"/>
      <c r="N1589" s="309"/>
      <c r="O1589" s="309"/>
      <c r="P1589" s="309"/>
      <c r="Q1589" s="309"/>
      <c r="R1589" s="309"/>
      <c r="S1589" s="309"/>
      <c r="T1589" s="309"/>
      <c r="U1589" s="309"/>
    </row>
    <row r="1590" spans="1:21" ht="13.5" customHeight="1">
      <c r="A1590" s="1422" t="s">
        <v>1048</v>
      </c>
      <c r="B1590" s="625"/>
      <c r="C1590" s="623"/>
      <c r="D1590" s="792"/>
      <c r="E1590" s="624"/>
      <c r="F1590" s="546"/>
      <c r="G1590" s="1508"/>
      <c r="H1590" s="1501"/>
      <c r="I1590" s="1501" t="str">
        <f t="shared" si="71"/>
        <v/>
      </c>
      <c r="J1590" s="1501" t="str">
        <f t="shared" si="70"/>
        <v/>
      </c>
      <c r="K1590" s="271"/>
      <c r="L1590" s="309"/>
      <c r="M1590" s="309"/>
      <c r="N1590" s="309"/>
      <c r="O1590" s="309"/>
      <c r="P1590" s="309"/>
      <c r="Q1590" s="309"/>
      <c r="R1590" s="309"/>
      <c r="S1590" s="309"/>
      <c r="T1590" s="309"/>
      <c r="U1590" s="309"/>
    </row>
    <row r="1591" spans="1:21" ht="13.5" customHeight="1">
      <c r="A1591" s="985" t="s">
        <v>1049</v>
      </c>
      <c r="B1591" s="625">
        <v>110</v>
      </c>
      <c r="C1591" s="623">
        <v>38.54</v>
      </c>
      <c r="D1591" s="792">
        <v>12.99</v>
      </c>
      <c r="E1591" s="624">
        <f>B1591*C1591-D1591</f>
        <v>4226.41</v>
      </c>
      <c r="F1591" s="546" t="s">
        <v>56</v>
      </c>
      <c r="G1591" s="1521"/>
      <c r="H1591" s="1537"/>
      <c r="I1591" s="1501" t="str">
        <f t="shared" si="71"/>
        <v>USNA</v>
      </c>
      <c r="J1591" s="1501" t="str">
        <f t="shared" si="70"/>
        <v/>
      </c>
      <c r="K1591" s="271"/>
      <c r="L1591" s="309"/>
      <c r="M1591" s="309"/>
      <c r="N1591" s="309"/>
      <c r="O1591" s="309"/>
      <c r="P1591" s="309"/>
      <c r="Q1591" s="309"/>
      <c r="R1591" s="309"/>
      <c r="S1591" s="309"/>
      <c r="T1591" s="309"/>
      <c r="U1591" s="309"/>
    </row>
    <row r="1592" spans="1:21" ht="13.5" customHeight="1">
      <c r="A1592" s="985"/>
      <c r="B1592" s="625"/>
      <c r="C1592" s="623"/>
      <c r="D1592" s="792"/>
      <c r="E1592" s="624"/>
      <c r="F1592" s="546"/>
      <c r="G1592" s="1521"/>
      <c r="H1592" s="1537"/>
      <c r="I1592" s="1501" t="str">
        <f t="shared" si="71"/>
        <v/>
      </c>
      <c r="J1592" s="1501" t="str">
        <f t="shared" si="70"/>
        <v/>
      </c>
      <c r="K1592" s="271"/>
      <c r="L1592" s="309"/>
      <c r="M1592" s="309"/>
      <c r="N1592" s="309"/>
      <c r="O1592" s="309"/>
      <c r="P1592" s="309"/>
      <c r="Q1592" s="309"/>
      <c r="R1592" s="309"/>
      <c r="S1592" s="309"/>
      <c r="T1592" s="309"/>
      <c r="U1592" s="309"/>
    </row>
    <row r="1593" spans="1:21" ht="13.5" customHeight="1">
      <c r="A1593" s="1423" t="s">
        <v>1050</v>
      </c>
      <c r="B1593" s="625"/>
      <c r="C1593" s="623"/>
      <c r="D1593" s="792"/>
      <c r="E1593" s="624"/>
      <c r="F1593" s="546"/>
      <c r="G1593" s="1521"/>
      <c r="H1593" s="1537"/>
      <c r="I1593" s="1501" t="str">
        <f t="shared" si="71"/>
        <v/>
      </c>
      <c r="J1593" s="1501" t="str">
        <f t="shared" si="70"/>
        <v>RECN</v>
      </c>
      <c r="K1593" s="271"/>
      <c r="L1593" s="309"/>
      <c r="M1593" s="309"/>
      <c r="N1593" s="309"/>
      <c r="O1593" s="309"/>
      <c r="P1593" s="309"/>
      <c r="Q1593" s="309"/>
      <c r="R1593" s="309"/>
      <c r="S1593" s="309"/>
      <c r="T1593" s="309"/>
      <c r="U1593" s="309"/>
    </row>
    <row r="1594" spans="1:21" ht="12.75" customHeight="1">
      <c r="A1594" s="1422" t="s">
        <v>1048</v>
      </c>
      <c r="B1594" s="625"/>
      <c r="C1594" s="623"/>
      <c r="D1594" s="792"/>
      <c r="E1594" s="624"/>
      <c r="F1594" s="546"/>
      <c r="G1594" s="1508"/>
      <c r="H1594" s="1501"/>
      <c r="I1594" s="1501" t="str">
        <f t="shared" si="71"/>
        <v/>
      </c>
      <c r="J1594" s="1501" t="str">
        <f t="shared" si="70"/>
        <v/>
      </c>
      <c r="K1594" s="271"/>
      <c r="L1594" s="309"/>
      <c r="M1594" s="309"/>
      <c r="N1594" s="309"/>
      <c r="O1594" s="309"/>
      <c r="P1594" s="309"/>
      <c r="Q1594" s="309"/>
      <c r="R1594" s="309"/>
      <c r="S1594" s="309"/>
      <c r="T1594" s="309"/>
      <c r="U1594" s="309"/>
    </row>
    <row r="1595" spans="1:21" ht="12.75" customHeight="1">
      <c r="A1595" s="985" t="s">
        <v>197</v>
      </c>
      <c r="B1595" s="625">
        <v>75</v>
      </c>
      <c r="C1595" s="623">
        <v>27.01</v>
      </c>
      <c r="D1595" s="792">
        <v>12.99</v>
      </c>
      <c r="E1595" s="624">
        <f>B1595*C1595-D1595</f>
        <v>2012.7600000000002</v>
      </c>
      <c r="F1595" s="546" t="s">
        <v>198</v>
      </c>
      <c r="G1595" s="1521"/>
      <c r="H1595" s="1537"/>
      <c r="I1595" s="1501" t="str">
        <f t="shared" si="71"/>
        <v>RECN</v>
      </c>
      <c r="J1595" s="1501" t="str">
        <f t="shared" si="70"/>
        <v/>
      </c>
      <c r="K1595" s="271"/>
      <c r="L1595" s="309"/>
      <c r="M1595" s="309"/>
      <c r="N1595" s="309"/>
      <c r="O1595" s="309"/>
      <c r="P1595" s="309"/>
      <c r="Q1595" s="309"/>
      <c r="R1595" s="309"/>
      <c r="S1595" s="309"/>
      <c r="T1595" s="309"/>
      <c r="U1595" s="309"/>
    </row>
    <row r="1596" spans="1:21" ht="12.75" customHeight="1">
      <c r="A1596" s="985"/>
      <c r="B1596" s="625"/>
      <c r="C1596" s="623"/>
      <c r="D1596" s="792"/>
      <c r="E1596" s="624"/>
      <c r="F1596" s="546"/>
      <c r="G1596" s="1521"/>
      <c r="H1596" s="1537"/>
      <c r="I1596" s="1501" t="str">
        <f t="shared" si="71"/>
        <v/>
      </c>
      <c r="J1596" s="1501" t="str">
        <f t="shared" si="70"/>
        <v/>
      </c>
      <c r="K1596" s="271"/>
      <c r="L1596" s="309"/>
      <c r="M1596" s="309"/>
      <c r="N1596" s="309"/>
      <c r="O1596" s="309"/>
      <c r="P1596" s="309"/>
      <c r="Q1596" s="309"/>
      <c r="R1596" s="309"/>
      <c r="S1596" s="309"/>
      <c r="T1596" s="309"/>
      <c r="U1596" s="309"/>
    </row>
    <row r="1597" spans="1:21" ht="12.75" customHeight="1">
      <c r="A1597" s="1423" t="s">
        <v>1051</v>
      </c>
      <c r="B1597" s="625"/>
      <c r="C1597" s="623"/>
      <c r="D1597" s="792"/>
      <c r="E1597" s="624"/>
      <c r="F1597" s="546"/>
      <c r="G1597" s="1521"/>
      <c r="H1597" s="1537"/>
      <c r="I1597" s="1501" t="str">
        <f t="shared" si="71"/>
        <v/>
      </c>
      <c r="J1597" s="1501" t="str">
        <f t="shared" si="70"/>
        <v>UBET</v>
      </c>
      <c r="K1597" s="271"/>
      <c r="L1597" s="309"/>
      <c r="M1597" s="309"/>
      <c r="N1597" s="309"/>
      <c r="O1597" s="309"/>
      <c r="P1597" s="309"/>
      <c r="Q1597" s="309"/>
      <c r="R1597" s="309"/>
      <c r="S1597" s="309"/>
      <c r="T1597" s="309"/>
      <c r="U1597" s="309"/>
    </row>
    <row r="1598" spans="1:21" ht="12.75" customHeight="1">
      <c r="A1598" s="1422" t="s">
        <v>1048</v>
      </c>
      <c r="B1598" s="625"/>
      <c r="C1598" s="623"/>
      <c r="D1598" s="792"/>
      <c r="E1598" s="624"/>
      <c r="F1598" s="546"/>
      <c r="G1598" s="1521"/>
      <c r="H1598" s="1537"/>
      <c r="I1598" s="1501" t="str">
        <f t="shared" si="71"/>
        <v/>
      </c>
      <c r="J1598" s="1501" t="str">
        <f t="shared" si="70"/>
        <v/>
      </c>
      <c r="K1598" s="271"/>
      <c r="L1598" s="309"/>
      <c r="M1598" s="309"/>
      <c r="N1598" s="309"/>
      <c r="O1598" s="309"/>
      <c r="P1598" s="309"/>
      <c r="Q1598" s="309"/>
      <c r="R1598" s="309"/>
      <c r="S1598" s="309"/>
      <c r="T1598" s="309"/>
      <c r="U1598" s="309"/>
    </row>
    <row r="1599" spans="1:21" ht="12.75" customHeight="1">
      <c r="A1599" s="985" t="s">
        <v>199</v>
      </c>
      <c r="B1599" s="625">
        <v>800</v>
      </c>
      <c r="C1599" s="623">
        <v>5.1577999999999999</v>
      </c>
      <c r="D1599" s="792">
        <v>12.99</v>
      </c>
      <c r="E1599" s="624">
        <f>B1599*C1599-D1599</f>
        <v>4113.25</v>
      </c>
      <c r="F1599" s="546" t="s">
        <v>200</v>
      </c>
      <c r="G1599" s="1521"/>
      <c r="H1599" s="1537"/>
      <c r="I1599" s="1501" t="str">
        <f t="shared" si="71"/>
        <v>UBET</v>
      </c>
      <c r="J1599" s="1501" t="str">
        <f t="shared" ref="J1599:J1662" si="72">IF(F1601="","",IF(OR(A1599="Sell",A1600="Sell"),"",F1601))</f>
        <v>CYH</v>
      </c>
      <c r="K1599" s="271"/>
      <c r="L1599" s="309"/>
      <c r="M1599" s="309"/>
      <c r="N1599" s="309"/>
      <c r="O1599" s="309"/>
      <c r="P1599" s="309"/>
      <c r="Q1599" s="309"/>
      <c r="R1599" s="309"/>
      <c r="S1599" s="309"/>
      <c r="T1599" s="309"/>
      <c r="U1599" s="309"/>
    </row>
    <row r="1600" spans="1:21" ht="12.75" customHeight="1">
      <c r="A1600" s="985"/>
      <c r="B1600" s="625"/>
      <c r="C1600" s="623"/>
      <c r="D1600" s="792"/>
      <c r="E1600" s="624"/>
      <c r="F1600" s="546"/>
      <c r="G1600" s="1508"/>
      <c r="H1600" s="1501"/>
      <c r="I1600" s="1501" t="str">
        <f t="shared" si="71"/>
        <v/>
      </c>
      <c r="J1600" s="1501" t="str">
        <f t="shared" si="72"/>
        <v/>
      </c>
      <c r="K1600" s="271"/>
      <c r="L1600" s="309"/>
      <c r="M1600" s="309"/>
      <c r="N1600" s="309"/>
      <c r="O1600" s="309"/>
      <c r="P1600" s="309"/>
      <c r="Q1600" s="309"/>
      <c r="R1600" s="309"/>
      <c r="S1600" s="309"/>
      <c r="T1600" s="309"/>
      <c r="U1600" s="309"/>
    </row>
    <row r="1601" spans="1:21" ht="12.75" customHeight="1">
      <c r="A1601" s="985" t="s">
        <v>1052</v>
      </c>
      <c r="B1601" s="625">
        <v>100</v>
      </c>
      <c r="C1601" s="623">
        <v>35.76</v>
      </c>
      <c r="D1601" s="792">
        <v>12.99</v>
      </c>
      <c r="E1601" s="624">
        <f>B1601*C1601-D1601</f>
        <v>3563.01</v>
      </c>
      <c r="F1601" s="546" t="s">
        <v>54</v>
      </c>
      <c r="G1601" s="1521"/>
      <c r="H1601" s="1537"/>
      <c r="I1601" s="1501" t="str">
        <f t="shared" si="71"/>
        <v>CYH</v>
      </c>
      <c r="J1601" s="1501" t="str">
        <f t="shared" si="72"/>
        <v/>
      </c>
      <c r="K1601" s="271"/>
      <c r="L1601" s="309"/>
      <c r="M1601" s="309"/>
      <c r="N1601" s="309"/>
      <c r="O1601" s="309"/>
      <c r="P1601" s="309"/>
      <c r="Q1601" s="309"/>
      <c r="R1601" s="309"/>
      <c r="S1601" s="309"/>
      <c r="T1601" s="309"/>
      <c r="U1601" s="309"/>
    </row>
    <row r="1602" spans="1:21" ht="12.75" customHeight="1">
      <c r="A1602" s="985"/>
      <c r="B1602" s="625"/>
      <c r="C1602" s="623"/>
      <c r="D1602" s="792"/>
      <c r="E1602" s="624"/>
      <c r="F1602" s="546"/>
      <c r="G1602" s="1521"/>
      <c r="H1602" s="1537"/>
      <c r="I1602" s="1501" t="str">
        <f t="shared" si="71"/>
        <v/>
      </c>
      <c r="J1602" s="1501" t="str">
        <f t="shared" si="72"/>
        <v>AET</v>
      </c>
      <c r="K1602" s="271"/>
      <c r="L1602" s="309"/>
      <c r="M1602" s="309"/>
      <c r="N1602" s="309"/>
      <c r="O1602" s="309"/>
      <c r="P1602" s="309"/>
      <c r="Q1602" s="309"/>
      <c r="R1602" s="309"/>
      <c r="S1602" s="309"/>
      <c r="T1602" s="309"/>
      <c r="U1602" s="309"/>
    </row>
    <row r="1603" spans="1:21" ht="12.75" customHeight="1">
      <c r="A1603" s="1422" t="s">
        <v>1021</v>
      </c>
      <c r="B1603" s="625"/>
      <c r="C1603" s="623"/>
      <c r="D1603" s="792"/>
      <c r="E1603" s="624"/>
      <c r="F1603" s="546"/>
      <c r="G1603" s="1522"/>
      <c r="H1603" s="1538">
        <v>10</v>
      </c>
      <c r="I1603" s="1501" t="str">
        <f t="shared" si="71"/>
        <v/>
      </c>
      <c r="J1603" s="1501" t="str">
        <f t="shared" si="72"/>
        <v/>
      </c>
      <c r="K1603" s="271"/>
      <c r="L1603" s="309"/>
      <c r="M1603" s="309"/>
      <c r="N1603" s="309"/>
      <c r="O1603" s="309"/>
      <c r="P1603" s="309"/>
      <c r="Q1603" s="309"/>
      <c r="R1603" s="309"/>
      <c r="S1603" s="309"/>
      <c r="T1603" s="309"/>
      <c r="U1603" s="309"/>
    </row>
    <row r="1604" spans="1:21" ht="12.75" customHeight="1">
      <c r="A1604" s="985" t="s">
        <v>186</v>
      </c>
      <c r="B1604" s="625">
        <v>75</v>
      </c>
      <c r="C1604" s="623">
        <v>36.5</v>
      </c>
      <c r="D1604" s="792">
        <v>12.99</v>
      </c>
      <c r="E1604" s="624">
        <f>B1604*C1604-D1604</f>
        <v>2724.51</v>
      </c>
      <c r="F1604" s="546" t="s">
        <v>187</v>
      </c>
      <c r="G1604" s="1521"/>
      <c r="H1604" s="1537"/>
      <c r="I1604" s="1501" t="str">
        <f t="shared" si="71"/>
        <v>AET</v>
      </c>
      <c r="J1604" s="1501" t="str">
        <f t="shared" si="72"/>
        <v>UNH</v>
      </c>
      <c r="K1604" s="271"/>
      <c r="L1604" s="309"/>
      <c r="M1604" s="309"/>
      <c r="N1604" s="309"/>
      <c r="O1604" s="309"/>
      <c r="P1604" s="309"/>
      <c r="Q1604" s="309"/>
      <c r="R1604" s="309"/>
      <c r="S1604" s="309"/>
      <c r="T1604" s="309"/>
      <c r="U1604" s="309"/>
    </row>
    <row r="1605" spans="1:21" ht="12.75" customHeight="1">
      <c r="A1605" s="985"/>
      <c r="B1605" s="625"/>
      <c r="C1605" s="623"/>
      <c r="D1605" s="792"/>
      <c r="E1605" s="624"/>
      <c r="F1605" s="546"/>
      <c r="G1605" s="1508"/>
      <c r="H1605" s="1501"/>
      <c r="I1605" s="1501" t="str">
        <f t="shared" si="71"/>
        <v/>
      </c>
      <c r="J1605" s="1501" t="str">
        <f t="shared" si="72"/>
        <v/>
      </c>
      <c r="K1605" s="271"/>
      <c r="L1605" s="309"/>
      <c r="M1605" s="309"/>
      <c r="N1605" s="309"/>
      <c r="O1605" s="309"/>
      <c r="P1605" s="309"/>
      <c r="Q1605" s="309"/>
      <c r="R1605" s="309"/>
      <c r="S1605" s="309"/>
      <c r="T1605" s="309"/>
      <c r="U1605" s="309"/>
    </row>
    <row r="1606" spans="1:21" ht="12.75" customHeight="1">
      <c r="A1606" s="985" t="s">
        <v>1053</v>
      </c>
      <c r="B1606" s="625">
        <v>50</v>
      </c>
      <c r="C1606" s="623">
        <v>47.74</v>
      </c>
      <c r="D1606" s="792">
        <v>12.99</v>
      </c>
      <c r="E1606" s="624">
        <f>B1606*C1606-D1606</f>
        <v>2374.0100000000002</v>
      </c>
      <c r="F1606" s="546" t="s">
        <v>173</v>
      </c>
      <c r="G1606" s="1521"/>
      <c r="H1606" s="1537"/>
      <c r="I1606" s="1501" t="str">
        <f t="shared" si="71"/>
        <v>UNH</v>
      </c>
      <c r="J1606" s="1501" t="str">
        <f t="shared" si="72"/>
        <v/>
      </c>
      <c r="K1606" s="271"/>
      <c r="L1606" s="309"/>
      <c r="M1606" s="309"/>
      <c r="N1606" s="309"/>
      <c r="O1606" s="309"/>
      <c r="P1606" s="309"/>
      <c r="Q1606" s="309"/>
      <c r="R1606" s="309"/>
      <c r="S1606" s="309"/>
      <c r="T1606" s="309"/>
      <c r="U1606" s="309"/>
    </row>
    <row r="1607" spans="1:21" ht="12.75" customHeight="1">
      <c r="A1607" s="985"/>
      <c r="B1607" s="625"/>
      <c r="C1607" s="623"/>
      <c r="D1607" s="792"/>
      <c r="E1607" s="624"/>
      <c r="F1607" s="546"/>
      <c r="G1607" s="1521"/>
      <c r="H1607" s="1537"/>
      <c r="I1607" s="1501" t="str">
        <f t="shared" si="71"/>
        <v/>
      </c>
      <c r="J1607" s="1501" t="str">
        <f t="shared" si="72"/>
        <v/>
      </c>
      <c r="K1607" s="271"/>
      <c r="L1607" s="309"/>
      <c r="M1607" s="309"/>
      <c r="N1607" s="309"/>
      <c r="O1607" s="309"/>
      <c r="P1607" s="309"/>
      <c r="Q1607" s="309"/>
      <c r="R1607" s="309"/>
      <c r="S1607" s="309"/>
      <c r="T1607" s="309"/>
      <c r="U1607" s="309"/>
    </row>
    <row r="1608" spans="1:21" ht="12.75" customHeight="1">
      <c r="A1608" s="1423" t="s">
        <v>1054</v>
      </c>
      <c r="B1608" s="625"/>
      <c r="C1608" s="623"/>
      <c r="D1608" s="792"/>
      <c r="E1608" s="624"/>
      <c r="F1608" s="546"/>
      <c r="G1608" s="1521"/>
      <c r="H1608" s="1537"/>
      <c r="I1608" s="1501" t="str">
        <f t="shared" si="71"/>
        <v/>
      </c>
      <c r="J1608" s="1501" t="str">
        <f t="shared" si="72"/>
        <v>EXP</v>
      </c>
      <c r="K1608" s="271"/>
      <c r="L1608" s="309"/>
      <c r="M1608" s="309"/>
      <c r="N1608" s="309"/>
      <c r="O1608" s="309"/>
      <c r="P1608" s="309"/>
      <c r="Q1608" s="309"/>
      <c r="R1608" s="309"/>
      <c r="S1608" s="309"/>
      <c r="T1608" s="309"/>
      <c r="U1608" s="309"/>
    </row>
    <row r="1609" spans="1:21" ht="12.75" customHeight="1">
      <c r="A1609" s="1422" t="s">
        <v>1048</v>
      </c>
      <c r="B1609" s="625"/>
      <c r="C1609" s="623"/>
      <c r="D1609" s="792"/>
      <c r="E1609" s="624"/>
      <c r="F1609" s="546"/>
      <c r="G1609" s="1508"/>
      <c r="H1609" s="1501"/>
      <c r="I1609" s="1501" t="str">
        <f t="shared" si="71"/>
        <v/>
      </c>
      <c r="J1609" s="1501" t="str">
        <f t="shared" si="72"/>
        <v/>
      </c>
      <c r="K1609" s="271"/>
      <c r="L1609" s="309"/>
      <c r="M1609" s="309"/>
      <c r="N1609" s="309"/>
      <c r="O1609" s="309"/>
      <c r="P1609" s="309"/>
      <c r="Q1609" s="309"/>
      <c r="R1609" s="309"/>
      <c r="S1609" s="309"/>
      <c r="T1609" s="309"/>
      <c r="U1609" s="309"/>
    </row>
    <row r="1610" spans="1:21" ht="12.75" customHeight="1">
      <c r="A1610" s="985" t="s">
        <v>26</v>
      </c>
      <c r="B1610" s="625">
        <v>60</v>
      </c>
      <c r="C1610" s="623">
        <v>71.23</v>
      </c>
      <c r="D1610" s="792">
        <v>12.99</v>
      </c>
      <c r="E1610" s="624">
        <f>B1610*C1610-D1610</f>
        <v>4260.8100000000004</v>
      </c>
      <c r="F1610" s="546" t="s">
        <v>27</v>
      </c>
      <c r="G1610" s="1521"/>
      <c r="H1610" s="1537"/>
      <c r="I1610" s="1501" t="str">
        <f t="shared" si="71"/>
        <v>EXP</v>
      </c>
      <c r="J1610" s="1501" t="str">
        <f t="shared" si="72"/>
        <v/>
      </c>
      <c r="K1610" s="271"/>
      <c r="L1610" s="309"/>
      <c r="M1610" s="309"/>
      <c r="N1610" s="309"/>
      <c r="O1610" s="309"/>
      <c r="P1610" s="309"/>
      <c r="Q1610" s="309"/>
      <c r="R1610" s="309"/>
      <c r="S1610" s="309"/>
      <c r="T1610" s="309"/>
      <c r="U1610" s="309"/>
    </row>
    <row r="1611" spans="1:21" ht="12.75" customHeight="1">
      <c r="A1611" s="985"/>
      <c r="B1611" s="625"/>
      <c r="C1611" s="623"/>
      <c r="D1611" s="792"/>
      <c r="E1611" s="624"/>
      <c r="F1611" s="546"/>
      <c r="G1611" s="1521"/>
      <c r="H1611" s="1537"/>
      <c r="I1611" s="1501" t="str">
        <f t="shared" si="71"/>
        <v/>
      </c>
      <c r="J1611" s="1501" t="str">
        <f t="shared" si="72"/>
        <v/>
      </c>
      <c r="K1611" s="271"/>
      <c r="L1611" s="309"/>
      <c r="M1611" s="309"/>
      <c r="N1611" s="309"/>
      <c r="O1611" s="309"/>
      <c r="P1611" s="309"/>
      <c r="Q1611" s="309"/>
      <c r="R1611" s="309"/>
      <c r="S1611" s="309"/>
      <c r="T1611" s="309"/>
      <c r="U1611" s="309"/>
    </row>
    <row r="1612" spans="1:21" ht="12.75" customHeight="1">
      <c r="A1612" s="1423" t="s">
        <v>1055</v>
      </c>
      <c r="B1612" s="625"/>
      <c r="C1612" s="623"/>
      <c r="D1612" s="792"/>
      <c r="E1612" s="624"/>
      <c r="F1612" s="546"/>
      <c r="G1612" s="1521"/>
      <c r="H1612" s="1537"/>
      <c r="I1612" s="1501" t="str">
        <f t="shared" si="71"/>
        <v/>
      </c>
      <c r="J1612" s="1501" t="str">
        <f t="shared" si="72"/>
        <v>HOS</v>
      </c>
      <c r="K1612" s="271"/>
      <c r="L1612" s="309"/>
      <c r="M1612" s="309"/>
      <c r="N1612" s="309"/>
      <c r="O1612" s="309"/>
      <c r="P1612" s="309"/>
      <c r="Q1612" s="309"/>
      <c r="R1612" s="309"/>
      <c r="S1612" s="309"/>
      <c r="T1612" s="309"/>
      <c r="U1612" s="309"/>
    </row>
    <row r="1613" spans="1:21" ht="12.75" customHeight="1">
      <c r="A1613" s="1422" t="s">
        <v>1048</v>
      </c>
      <c r="B1613" s="625"/>
      <c r="C1613" s="623"/>
      <c r="D1613" s="792"/>
      <c r="E1613" s="624"/>
      <c r="F1613" s="546"/>
      <c r="G1613" s="1508"/>
      <c r="H1613" s="1501"/>
      <c r="I1613" s="1501" t="str">
        <f t="shared" si="71"/>
        <v/>
      </c>
      <c r="J1613" s="1501" t="str">
        <f t="shared" si="72"/>
        <v/>
      </c>
      <c r="K1613" s="271"/>
      <c r="L1613" s="309"/>
      <c r="M1613" s="309"/>
      <c r="N1613" s="309"/>
      <c r="O1613" s="309"/>
      <c r="P1613" s="309"/>
      <c r="Q1613" s="309"/>
      <c r="R1613" s="309"/>
      <c r="S1613" s="309"/>
      <c r="T1613" s="309"/>
      <c r="U1613" s="309"/>
    </row>
    <row r="1614" spans="1:21" ht="12.75" customHeight="1">
      <c r="A1614" s="985" t="s">
        <v>195</v>
      </c>
      <c r="B1614" s="625">
        <v>85</v>
      </c>
      <c r="C1614" s="623">
        <v>35.369999999999997</v>
      </c>
      <c r="D1614" s="792">
        <v>12.99</v>
      </c>
      <c r="E1614" s="624">
        <f>B1614*C1614-D1614</f>
        <v>2993.46</v>
      </c>
      <c r="F1614" s="546" t="s">
        <v>196</v>
      </c>
      <c r="G1614" s="1521"/>
      <c r="H1614" s="1537"/>
      <c r="I1614" s="1501" t="str">
        <f t="shared" si="71"/>
        <v>HOS</v>
      </c>
      <c r="J1614" s="1501" t="str">
        <f t="shared" si="72"/>
        <v/>
      </c>
      <c r="K1614" s="271"/>
      <c r="L1614" s="309"/>
      <c r="M1614" s="309"/>
      <c r="N1614" s="309"/>
      <c r="O1614" s="309"/>
      <c r="P1614" s="309"/>
      <c r="Q1614" s="309"/>
      <c r="R1614" s="309"/>
      <c r="S1614" s="309"/>
      <c r="T1614" s="309"/>
      <c r="U1614" s="309"/>
    </row>
    <row r="1615" spans="1:21" ht="12.75" customHeight="1">
      <c r="A1615" s="985"/>
      <c r="B1615" s="625"/>
      <c r="C1615" s="623"/>
      <c r="D1615" s="792"/>
      <c r="E1615" s="624"/>
      <c r="F1615" s="546"/>
      <c r="G1615" s="1521"/>
      <c r="H1615" s="1537"/>
      <c r="I1615" s="1501" t="str">
        <f t="shared" si="71"/>
        <v/>
      </c>
      <c r="J1615" s="1501" t="str">
        <f t="shared" si="72"/>
        <v/>
      </c>
      <c r="K1615" s="271"/>
      <c r="L1615" s="309"/>
      <c r="M1615" s="309"/>
      <c r="N1615" s="309"/>
      <c r="O1615" s="309"/>
      <c r="P1615" s="309"/>
      <c r="Q1615" s="309"/>
      <c r="R1615" s="309"/>
      <c r="S1615" s="309"/>
      <c r="T1615" s="309"/>
      <c r="U1615" s="309"/>
    </row>
    <row r="1616" spans="1:21" ht="12.75" customHeight="1">
      <c r="A1616" s="1423" t="s">
        <v>1056</v>
      </c>
      <c r="B1616" s="625"/>
      <c r="C1616" s="623"/>
      <c r="D1616" s="792"/>
      <c r="E1616" s="624"/>
      <c r="F1616" s="546"/>
      <c r="G1616" s="1521"/>
      <c r="H1616" s="1537"/>
      <c r="I1616" s="1501" t="str">
        <f t="shared" si="71"/>
        <v/>
      </c>
      <c r="J1616" s="1501" t="str">
        <f t="shared" si="72"/>
        <v>FCX</v>
      </c>
      <c r="K1616" s="271"/>
      <c r="L1616" s="309"/>
      <c r="M1616" s="309"/>
      <c r="N1616" s="309"/>
      <c r="O1616" s="309"/>
      <c r="P1616" s="309"/>
      <c r="Q1616" s="309"/>
      <c r="R1616" s="309"/>
      <c r="S1616" s="309"/>
      <c r="T1616" s="309"/>
      <c r="U1616" s="309"/>
    </row>
    <row r="1617" spans="1:21" ht="12.75" customHeight="1">
      <c r="A1617" s="1422" t="s">
        <v>1048</v>
      </c>
      <c r="B1617" s="625"/>
      <c r="C1617" s="623"/>
      <c r="D1617" s="792"/>
      <c r="E1617" s="624"/>
      <c r="F1617" s="546"/>
      <c r="G1617" s="1521"/>
      <c r="H1617" s="1537"/>
      <c r="I1617" s="1501" t="str">
        <f t="shared" si="71"/>
        <v/>
      </c>
      <c r="J1617" s="1501" t="str">
        <f t="shared" si="72"/>
        <v/>
      </c>
      <c r="K1617" s="271"/>
      <c r="L1617" s="309"/>
      <c r="M1617" s="309"/>
      <c r="N1617" s="309"/>
      <c r="O1617" s="309"/>
      <c r="P1617" s="309"/>
      <c r="Q1617" s="309"/>
      <c r="R1617" s="309"/>
      <c r="S1617" s="309"/>
      <c r="T1617" s="309"/>
      <c r="U1617" s="309"/>
    </row>
    <row r="1618" spans="1:21" ht="12.75" customHeight="1">
      <c r="A1618" s="985" t="s">
        <v>191</v>
      </c>
      <c r="B1618" s="625">
        <v>65</v>
      </c>
      <c r="C1618" s="623">
        <v>63.05</v>
      </c>
      <c r="D1618" s="792">
        <v>12.99</v>
      </c>
      <c r="E1618" s="624">
        <f>B1618*C1618-D1618</f>
        <v>4085.26</v>
      </c>
      <c r="F1618" s="546" t="s">
        <v>192</v>
      </c>
      <c r="G1618" s="1521"/>
      <c r="H1618" s="1537"/>
      <c r="I1618" s="1501" t="str">
        <f t="shared" si="71"/>
        <v>FCX</v>
      </c>
      <c r="J1618" s="1501" t="str">
        <f t="shared" si="72"/>
        <v>NVDA</v>
      </c>
      <c r="K1618" s="271"/>
      <c r="L1618" s="309"/>
      <c r="M1618" s="309"/>
      <c r="N1618" s="309"/>
      <c r="O1618" s="309"/>
      <c r="P1618" s="309"/>
      <c r="Q1618" s="309"/>
      <c r="R1618" s="309"/>
      <c r="S1618" s="309"/>
      <c r="T1618" s="309"/>
      <c r="U1618" s="309"/>
    </row>
    <row r="1619" spans="1:21" ht="12.75" customHeight="1">
      <c r="A1619" s="985"/>
      <c r="B1619" s="625"/>
      <c r="C1619" s="623"/>
      <c r="D1619" s="792"/>
      <c r="E1619" s="624"/>
      <c r="F1619" s="546"/>
      <c r="G1619" s="1508"/>
      <c r="H1619" s="1501"/>
      <c r="I1619" s="1501" t="str">
        <f t="shared" si="71"/>
        <v/>
      </c>
      <c r="J1619" s="1501" t="str">
        <f t="shared" si="72"/>
        <v/>
      </c>
      <c r="K1619" s="271"/>
      <c r="L1619" s="309"/>
      <c r="M1619" s="309"/>
      <c r="N1619" s="309"/>
      <c r="O1619" s="309"/>
      <c r="P1619" s="309"/>
      <c r="Q1619" s="309"/>
      <c r="R1619" s="309"/>
      <c r="S1619" s="309"/>
      <c r="T1619" s="309"/>
      <c r="U1619" s="309"/>
    </row>
    <row r="1620" spans="1:21" ht="12.75" customHeight="1">
      <c r="A1620" s="985" t="s">
        <v>193</v>
      </c>
      <c r="B1620" s="625">
        <v>50</v>
      </c>
      <c r="C1620" s="623">
        <v>30.44</v>
      </c>
      <c r="D1620" s="792">
        <v>12.99</v>
      </c>
      <c r="E1620" s="624">
        <f>B1620*C1620-D1620</f>
        <v>1509.01</v>
      </c>
      <c r="F1620" s="546" t="s">
        <v>194</v>
      </c>
      <c r="G1620" s="1521"/>
      <c r="H1620" s="1537"/>
      <c r="I1620" s="1501" t="str">
        <f t="shared" si="71"/>
        <v>NVDA</v>
      </c>
      <c r="J1620" s="1501" t="str">
        <f t="shared" si="72"/>
        <v/>
      </c>
      <c r="K1620" s="271"/>
      <c r="L1620" s="309"/>
      <c r="M1620" s="309"/>
      <c r="N1620" s="309"/>
      <c r="O1620" s="309"/>
      <c r="P1620" s="309"/>
      <c r="Q1620" s="309"/>
      <c r="R1620" s="309"/>
      <c r="S1620" s="309"/>
      <c r="T1620" s="309"/>
      <c r="U1620" s="309"/>
    </row>
    <row r="1621" spans="1:21" ht="12.75" customHeight="1">
      <c r="A1621" s="985"/>
      <c r="B1621" s="625"/>
      <c r="C1621" s="623"/>
      <c r="D1621" s="792"/>
      <c r="E1621" s="624"/>
      <c r="F1621" s="546"/>
      <c r="G1621" s="1521"/>
      <c r="H1621" s="1537"/>
      <c r="I1621" s="1501" t="str">
        <f t="shared" si="71"/>
        <v/>
      </c>
      <c r="J1621" s="1501" t="str">
        <f t="shared" si="72"/>
        <v>HOV</v>
      </c>
      <c r="K1621" s="271"/>
      <c r="L1621" s="309"/>
      <c r="M1621" s="309"/>
      <c r="N1621" s="309"/>
      <c r="O1621" s="309"/>
      <c r="P1621" s="309"/>
      <c r="Q1621" s="309"/>
      <c r="R1621" s="309"/>
      <c r="S1621" s="309"/>
      <c r="T1621" s="309"/>
      <c r="U1621" s="309"/>
    </row>
    <row r="1622" spans="1:21" ht="12.75" customHeight="1">
      <c r="A1622" s="1422" t="s">
        <v>1021</v>
      </c>
      <c r="B1622" s="625"/>
      <c r="C1622" s="623"/>
      <c r="D1622" s="792"/>
      <c r="E1622" s="624"/>
      <c r="F1622" s="546"/>
      <c r="G1622" s="1521"/>
      <c r="H1622" s="1537"/>
      <c r="I1622" s="1501" t="str">
        <f t="shared" si="71"/>
        <v/>
      </c>
      <c r="J1622" s="1501" t="str">
        <f t="shared" si="72"/>
        <v/>
      </c>
      <c r="K1622" s="271"/>
      <c r="L1622" s="309"/>
      <c r="M1622" s="309"/>
      <c r="N1622" s="309"/>
      <c r="O1622" s="309"/>
      <c r="P1622" s="309"/>
      <c r="Q1622" s="309"/>
      <c r="R1622" s="309"/>
      <c r="S1622" s="309"/>
      <c r="T1622" s="309"/>
      <c r="U1622" s="309"/>
    </row>
    <row r="1623" spans="1:21" ht="12.75" customHeight="1">
      <c r="A1623" s="985" t="s">
        <v>1057</v>
      </c>
      <c r="B1623" s="625">
        <v>40</v>
      </c>
      <c r="C1623" s="623">
        <v>44.08</v>
      </c>
      <c r="D1623" s="792">
        <v>12.99</v>
      </c>
      <c r="E1623" s="624">
        <f>B1623*C1623-D1623</f>
        <v>1750.2099999999998</v>
      </c>
      <c r="F1623" s="546" t="s">
        <v>108</v>
      </c>
      <c r="G1623" s="1521"/>
      <c r="H1623" s="1537"/>
      <c r="I1623" s="1501" t="str">
        <f t="shared" si="71"/>
        <v>HOV</v>
      </c>
      <c r="J1623" s="1501" t="str">
        <f t="shared" si="72"/>
        <v>INTC</v>
      </c>
      <c r="K1623" s="271"/>
      <c r="L1623" s="309"/>
      <c r="M1623" s="309"/>
      <c r="N1623" s="309"/>
      <c r="O1623" s="309"/>
      <c r="P1623" s="309"/>
      <c r="Q1623" s="309"/>
      <c r="R1623" s="309"/>
      <c r="S1623" s="309"/>
      <c r="T1623" s="309"/>
      <c r="U1623" s="309"/>
    </row>
    <row r="1624" spans="1:21" ht="12.75" customHeight="1">
      <c r="A1624" s="985"/>
      <c r="B1624" s="625"/>
      <c r="C1624" s="623"/>
      <c r="D1624" s="792"/>
      <c r="E1624" s="624"/>
      <c r="F1624" s="546"/>
      <c r="G1624" s="1508"/>
      <c r="H1624" s="1501"/>
      <c r="I1624" s="1501" t="str">
        <f t="shared" si="71"/>
        <v/>
      </c>
      <c r="J1624" s="1501" t="str">
        <f t="shared" si="72"/>
        <v/>
      </c>
      <c r="K1624" s="271"/>
      <c r="L1624" s="309"/>
      <c r="M1624" s="309"/>
      <c r="N1624" s="309"/>
      <c r="O1624" s="309"/>
      <c r="P1624" s="309"/>
      <c r="Q1624" s="309"/>
      <c r="R1624" s="309"/>
      <c r="S1624" s="309"/>
      <c r="T1624" s="309"/>
      <c r="U1624" s="309"/>
    </row>
    <row r="1625" spans="1:21" ht="12.75" customHeight="1">
      <c r="A1625" s="985" t="s">
        <v>109</v>
      </c>
      <c r="B1625" s="625">
        <v>136</v>
      </c>
      <c r="C1625" s="623">
        <v>19.521000000000001</v>
      </c>
      <c r="D1625" s="792">
        <v>12.99</v>
      </c>
      <c r="E1625" s="624">
        <f>B1625*C1625-D1625</f>
        <v>2641.8660000000004</v>
      </c>
      <c r="F1625" s="546" t="s">
        <v>110</v>
      </c>
      <c r="G1625" s="1521"/>
      <c r="H1625" s="1537"/>
      <c r="I1625" s="1501" t="str">
        <f t="shared" si="71"/>
        <v>INTC</v>
      </c>
      <c r="J1625" s="1501" t="str">
        <f t="shared" si="72"/>
        <v/>
      </c>
      <c r="K1625" s="271"/>
      <c r="L1625" s="309"/>
      <c r="M1625" s="309"/>
      <c r="N1625" s="309"/>
      <c r="O1625" s="309"/>
      <c r="P1625" s="309"/>
      <c r="Q1625" s="309"/>
      <c r="R1625" s="309"/>
      <c r="S1625" s="309"/>
      <c r="T1625" s="309"/>
      <c r="U1625" s="309"/>
    </row>
    <row r="1626" spans="1:21" ht="12.75" customHeight="1">
      <c r="A1626" s="985"/>
      <c r="B1626" s="625"/>
      <c r="C1626" s="623"/>
      <c r="D1626" s="792"/>
      <c r="E1626" s="624"/>
      <c r="F1626" s="546"/>
      <c r="G1626" s="1521"/>
      <c r="H1626" s="1537"/>
      <c r="I1626" s="1501" t="str">
        <f t="shared" ref="I1626:I1689" si="73">IF(F1626="","",IF(OR(A1625="Sell",A1626="Sell"),"",F1626))</f>
        <v/>
      </c>
      <c r="J1626" s="1501" t="str">
        <f t="shared" si="72"/>
        <v/>
      </c>
      <c r="K1626" s="271"/>
      <c r="L1626" s="309"/>
      <c r="M1626" s="309"/>
      <c r="N1626" s="309"/>
      <c r="O1626" s="309"/>
      <c r="P1626" s="309"/>
      <c r="Q1626" s="309"/>
      <c r="R1626" s="309"/>
      <c r="S1626" s="309"/>
      <c r="T1626" s="309"/>
      <c r="U1626" s="309"/>
    </row>
    <row r="1627" spans="1:21" ht="12.75" customHeight="1">
      <c r="A1627" s="1423">
        <v>38797</v>
      </c>
      <c r="B1627" s="625"/>
      <c r="C1627" s="623"/>
      <c r="D1627" s="792"/>
      <c r="E1627" s="624"/>
      <c r="F1627" s="546"/>
      <c r="G1627" s="1521"/>
      <c r="H1627" s="1537"/>
      <c r="I1627" s="1501" t="str">
        <f t="shared" si="73"/>
        <v/>
      </c>
      <c r="J1627" s="1501" t="str">
        <f t="shared" si="72"/>
        <v>AET</v>
      </c>
      <c r="K1627" s="271"/>
      <c r="L1627" s="309"/>
      <c r="M1627" s="309"/>
      <c r="N1627" s="309"/>
      <c r="O1627" s="309"/>
      <c r="P1627" s="309"/>
      <c r="Q1627" s="309"/>
      <c r="R1627" s="309"/>
      <c r="S1627" s="309"/>
      <c r="T1627" s="309"/>
      <c r="U1627" s="309"/>
    </row>
    <row r="1628" spans="1:21" ht="12.75" customHeight="1">
      <c r="A1628" s="1422" t="s">
        <v>1048</v>
      </c>
      <c r="B1628" s="625"/>
      <c r="C1628" s="623"/>
      <c r="D1628" s="792"/>
      <c r="E1628" s="624"/>
      <c r="F1628" s="546"/>
      <c r="G1628" s="1508"/>
      <c r="H1628" s="1501"/>
      <c r="I1628" s="1501" t="str">
        <f t="shared" si="73"/>
        <v/>
      </c>
      <c r="J1628" s="1501" t="str">
        <f t="shared" si="72"/>
        <v/>
      </c>
      <c r="K1628" s="271"/>
      <c r="L1628" s="309"/>
      <c r="M1628" s="309"/>
      <c r="N1628" s="309"/>
      <c r="O1628" s="309"/>
      <c r="P1628" s="309"/>
      <c r="Q1628" s="309"/>
      <c r="R1628" s="309"/>
      <c r="S1628" s="309"/>
      <c r="T1628" s="309"/>
      <c r="U1628" s="309"/>
    </row>
    <row r="1629" spans="1:21" ht="12.75" customHeight="1">
      <c r="A1629" s="985" t="s">
        <v>1058</v>
      </c>
      <c r="B1629" s="625">
        <v>75</v>
      </c>
      <c r="C1629" s="623">
        <v>49.03</v>
      </c>
      <c r="D1629" s="792">
        <v>12.99</v>
      </c>
      <c r="E1629" s="624">
        <f>B1629*C1629-D1629</f>
        <v>3664.26</v>
      </c>
      <c r="F1629" s="546" t="s">
        <v>187</v>
      </c>
      <c r="G1629" s="1508"/>
      <c r="H1629" s="1501"/>
      <c r="I1629" s="1501" t="str">
        <f t="shared" si="73"/>
        <v>AET</v>
      </c>
      <c r="J1629" s="1501" t="str">
        <f t="shared" si="72"/>
        <v/>
      </c>
      <c r="K1629" s="271"/>
      <c r="L1629" s="309"/>
      <c r="M1629" s="309"/>
      <c r="N1629" s="309"/>
      <c r="O1629" s="309"/>
      <c r="P1629" s="309"/>
      <c r="Q1629" s="309"/>
      <c r="R1629" s="309"/>
      <c r="S1629" s="309"/>
      <c r="T1629" s="309"/>
      <c r="U1629" s="309"/>
    </row>
    <row r="1630" spans="1:21" ht="12.75" customHeight="1">
      <c r="A1630" s="985"/>
      <c r="B1630" s="625"/>
      <c r="C1630" s="623"/>
      <c r="D1630" s="792"/>
      <c r="E1630" s="624"/>
      <c r="F1630" s="546"/>
      <c r="G1630" s="1521"/>
      <c r="H1630" s="1537"/>
      <c r="I1630" s="1501" t="str">
        <f t="shared" si="73"/>
        <v/>
      </c>
      <c r="J1630" s="1501" t="str">
        <f t="shared" si="72"/>
        <v/>
      </c>
      <c r="K1630" s="271"/>
      <c r="L1630" s="309"/>
      <c r="M1630" s="309"/>
      <c r="N1630" s="309"/>
      <c r="O1630" s="309"/>
      <c r="P1630" s="309"/>
      <c r="Q1630" s="309"/>
      <c r="R1630" s="309"/>
      <c r="S1630" s="309"/>
      <c r="T1630" s="309"/>
      <c r="U1630" s="309"/>
    </row>
    <row r="1631" spans="1:21" ht="12.75" customHeight="1">
      <c r="A1631" s="1423">
        <v>38792</v>
      </c>
      <c r="B1631" s="625"/>
      <c r="C1631" s="623"/>
      <c r="D1631" s="792"/>
      <c r="E1631" s="624"/>
      <c r="F1631" s="546"/>
      <c r="G1631" s="1521"/>
      <c r="H1631" s="1537"/>
      <c r="I1631" s="1501" t="str">
        <f t="shared" si="73"/>
        <v/>
      </c>
      <c r="J1631" s="1501" t="str">
        <f t="shared" si="72"/>
        <v>STJ</v>
      </c>
      <c r="K1631" s="271"/>
      <c r="L1631" s="309"/>
      <c r="M1631" s="309"/>
      <c r="N1631" s="309"/>
      <c r="O1631" s="309"/>
      <c r="P1631" s="309"/>
      <c r="Q1631" s="309"/>
      <c r="R1631" s="309"/>
      <c r="S1631" s="309"/>
      <c r="T1631" s="309"/>
      <c r="U1631" s="309"/>
    </row>
    <row r="1632" spans="1:21" ht="12.75" customHeight="1">
      <c r="A1632" s="1422" t="s">
        <v>1021</v>
      </c>
      <c r="B1632" s="625"/>
      <c r="C1632" s="623"/>
      <c r="D1632" s="792"/>
      <c r="E1632" s="624"/>
      <c r="F1632" s="546"/>
      <c r="G1632" s="1521"/>
      <c r="H1632" s="1537"/>
      <c r="I1632" s="1501" t="str">
        <f t="shared" si="73"/>
        <v/>
      </c>
      <c r="J1632" s="1501" t="str">
        <f t="shared" si="72"/>
        <v/>
      </c>
      <c r="K1632" s="271"/>
      <c r="L1632" s="309"/>
      <c r="M1632" s="309"/>
      <c r="N1632" s="309"/>
      <c r="O1632" s="309"/>
      <c r="P1632" s="309"/>
      <c r="Q1632" s="309"/>
      <c r="R1632" s="309"/>
      <c r="S1632" s="309"/>
      <c r="T1632" s="309"/>
      <c r="U1632" s="309"/>
    </row>
    <row r="1633" spans="1:21" ht="12.75" customHeight="1">
      <c r="A1633" s="985" t="s">
        <v>168</v>
      </c>
      <c r="B1633" s="625">
        <v>30</v>
      </c>
      <c r="C1633" s="623">
        <v>41.49</v>
      </c>
      <c r="D1633" s="792">
        <v>12.99</v>
      </c>
      <c r="E1633" s="624">
        <f>B1633*C1633-D1633</f>
        <v>1231.71</v>
      </c>
      <c r="F1633" s="546" t="s">
        <v>169</v>
      </c>
      <c r="G1633" s="1521"/>
      <c r="H1633" s="1537"/>
      <c r="I1633" s="1501" t="str">
        <f t="shared" si="73"/>
        <v>STJ</v>
      </c>
      <c r="J1633" s="1501" t="str">
        <f t="shared" si="72"/>
        <v/>
      </c>
      <c r="K1633" s="271"/>
      <c r="L1633" s="309"/>
      <c r="M1633" s="309"/>
      <c r="N1633" s="309"/>
      <c r="O1633" s="309"/>
      <c r="P1633" s="309"/>
      <c r="Q1633" s="309"/>
      <c r="R1633" s="309"/>
      <c r="S1633" s="309"/>
      <c r="T1633" s="309"/>
      <c r="U1633" s="309"/>
    </row>
    <row r="1634" spans="1:21" ht="12.75" customHeight="1">
      <c r="A1634" s="985"/>
      <c r="B1634" s="625"/>
      <c r="C1634" s="623"/>
      <c r="D1634" s="792"/>
      <c r="E1634" s="624"/>
      <c r="F1634" s="546"/>
      <c r="G1634" s="1521"/>
      <c r="H1634" s="1537"/>
      <c r="I1634" s="1501" t="str">
        <f t="shared" si="73"/>
        <v/>
      </c>
      <c r="J1634" s="1501" t="str">
        <f t="shared" si="72"/>
        <v>DO</v>
      </c>
      <c r="K1634" s="271"/>
      <c r="L1634" s="309"/>
      <c r="M1634" s="309"/>
      <c r="N1634" s="309"/>
      <c r="O1634" s="309"/>
      <c r="P1634" s="309"/>
      <c r="Q1634" s="309"/>
      <c r="R1634" s="309"/>
      <c r="S1634" s="309"/>
      <c r="T1634" s="309"/>
      <c r="U1634" s="309"/>
    </row>
    <row r="1635" spans="1:21" ht="12.75" customHeight="1">
      <c r="A1635" s="1422" t="s">
        <v>1048</v>
      </c>
      <c r="B1635" s="625"/>
      <c r="C1635" s="623"/>
      <c r="D1635" s="792"/>
      <c r="E1635" s="624"/>
      <c r="F1635" s="546"/>
      <c r="G1635" s="1521"/>
      <c r="H1635" s="1537"/>
      <c r="I1635" s="1501" t="str">
        <f t="shared" si="73"/>
        <v/>
      </c>
      <c r="J1635" s="1501" t="str">
        <f t="shared" si="72"/>
        <v/>
      </c>
      <c r="K1635" s="271"/>
      <c r="L1635" s="309"/>
      <c r="M1635" s="309"/>
      <c r="N1635" s="309"/>
      <c r="O1635" s="309"/>
      <c r="P1635" s="309"/>
      <c r="Q1635" s="309"/>
      <c r="R1635" s="309"/>
      <c r="S1635" s="309"/>
      <c r="T1635" s="309"/>
      <c r="U1635" s="309"/>
    </row>
    <row r="1636" spans="1:21" ht="12.75" customHeight="1">
      <c r="A1636" s="985" t="s">
        <v>189</v>
      </c>
      <c r="B1636" s="625">
        <v>30</v>
      </c>
      <c r="C1636" s="623">
        <v>81.75</v>
      </c>
      <c r="D1636" s="792">
        <v>12.99</v>
      </c>
      <c r="E1636" s="624">
        <f>B1636*C1636-D1636</f>
        <v>2439.5100000000002</v>
      </c>
      <c r="F1636" s="546" t="s">
        <v>190</v>
      </c>
      <c r="G1636" s="1521"/>
      <c r="H1636" s="1537"/>
      <c r="I1636" s="1501" t="str">
        <f t="shared" si="73"/>
        <v>DO</v>
      </c>
      <c r="J1636" s="1501" t="str">
        <f t="shared" si="72"/>
        <v>ENDP</v>
      </c>
      <c r="K1636" s="271"/>
      <c r="L1636" s="309"/>
      <c r="M1636" s="309"/>
      <c r="N1636" s="309"/>
      <c r="O1636" s="309"/>
      <c r="P1636" s="309"/>
      <c r="Q1636" s="309"/>
      <c r="R1636" s="309"/>
      <c r="S1636" s="309"/>
      <c r="T1636" s="309"/>
      <c r="U1636" s="309"/>
    </row>
    <row r="1637" spans="1:21" ht="12.75" customHeight="1">
      <c r="A1637" s="985"/>
      <c r="B1637" s="625"/>
      <c r="C1637" s="623"/>
      <c r="D1637" s="792"/>
      <c r="E1637" s="624"/>
      <c r="F1637" s="546"/>
      <c r="G1637" s="1508"/>
      <c r="H1637" s="1501"/>
      <c r="I1637" s="1501" t="str">
        <f t="shared" si="73"/>
        <v/>
      </c>
      <c r="J1637" s="1501" t="str">
        <f t="shared" si="72"/>
        <v/>
      </c>
      <c r="K1637" s="271"/>
      <c r="L1637" s="309"/>
      <c r="M1637" s="309"/>
      <c r="N1637" s="309"/>
      <c r="O1637" s="309"/>
      <c r="P1637" s="309"/>
      <c r="Q1637" s="309"/>
      <c r="R1637" s="309"/>
      <c r="S1637" s="309"/>
      <c r="T1637" s="309"/>
      <c r="U1637" s="309"/>
    </row>
    <row r="1638" spans="1:21" ht="12.75" customHeight="1">
      <c r="A1638" s="985" t="s">
        <v>30</v>
      </c>
      <c r="B1638" s="625">
        <v>60</v>
      </c>
      <c r="C1638" s="623">
        <v>31.8</v>
      </c>
      <c r="D1638" s="792">
        <v>12.99</v>
      </c>
      <c r="E1638" s="624">
        <f>B1638*C1638-D1638</f>
        <v>1895.01</v>
      </c>
      <c r="F1638" s="546" t="s">
        <v>31</v>
      </c>
      <c r="G1638" s="1508"/>
      <c r="H1638" s="1501"/>
      <c r="I1638" s="1501" t="str">
        <f t="shared" si="73"/>
        <v>ENDP</v>
      </c>
      <c r="J1638" s="1501" t="str">
        <f t="shared" si="72"/>
        <v/>
      </c>
      <c r="K1638" s="271"/>
      <c r="L1638" s="309"/>
      <c r="M1638" s="309"/>
      <c r="N1638" s="309"/>
      <c r="O1638" s="309"/>
      <c r="P1638" s="309"/>
      <c r="Q1638" s="309"/>
      <c r="R1638" s="309"/>
      <c r="S1638" s="309"/>
      <c r="T1638" s="309"/>
      <c r="U1638" s="309"/>
    </row>
    <row r="1639" spans="1:21" ht="12.75" customHeight="1">
      <c r="A1639" s="985"/>
      <c r="B1639" s="625"/>
      <c r="C1639" s="623"/>
      <c r="D1639" s="792"/>
      <c r="E1639" s="624"/>
      <c r="F1639" s="546"/>
      <c r="G1639" s="1521"/>
      <c r="H1639" s="1537"/>
      <c r="I1639" s="1501" t="str">
        <f t="shared" si="73"/>
        <v/>
      </c>
      <c r="J1639" s="1501" t="str">
        <f t="shared" si="72"/>
        <v/>
      </c>
      <c r="K1639" s="271"/>
      <c r="L1639" s="309"/>
      <c r="M1639" s="309"/>
      <c r="N1639" s="309"/>
      <c r="O1639" s="309"/>
      <c r="P1639" s="309"/>
      <c r="Q1639" s="309"/>
      <c r="R1639" s="309"/>
      <c r="S1639" s="309"/>
      <c r="T1639" s="309"/>
      <c r="U1639" s="309"/>
    </row>
    <row r="1640" spans="1:21" ht="12.75" customHeight="1">
      <c r="A1640" s="1423">
        <v>38782</v>
      </c>
      <c r="B1640" s="625"/>
      <c r="C1640" s="623"/>
      <c r="D1640" s="792"/>
      <c r="E1640" s="624"/>
      <c r="F1640" s="546"/>
      <c r="G1640" s="1521"/>
      <c r="H1640" s="1537"/>
      <c r="I1640" s="1501" t="str">
        <f t="shared" si="73"/>
        <v/>
      </c>
      <c r="J1640" s="1501" t="str">
        <f t="shared" si="72"/>
        <v>CSCO</v>
      </c>
      <c r="K1640" s="271"/>
      <c r="L1640" s="309"/>
      <c r="M1640" s="309"/>
      <c r="N1640" s="309"/>
      <c r="O1640" s="309"/>
      <c r="P1640" s="309"/>
      <c r="Q1640" s="309"/>
      <c r="R1640" s="309"/>
      <c r="S1640" s="309"/>
      <c r="T1640" s="309"/>
      <c r="U1640" s="309"/>
    </row>
    <row r="1641" spans="1:21" ht="12.75" customHeight="1">
      <c r="A1641" s="1422" t="s">
        <v>1021</v>
      </c>
      <c r="B1641" s="625"/>
      <c r="C1641" s="623"/>
      <c r="D1641" s="792"/>
      <c r="E1641" s="624"/>
      <c r="F1641" s="546"/>
      <c r="G1641" s="1521"/>
      <c r="H1641" s="1537"/>
      <c r="I1641" s="1501" t="str">
        <f t="shared" si="73"/>
        <v/>
      </c>
      <c r="J1641" s="1501" t="str">
        <f t="shared" si="72"/>
        <v/>
      </c>
      <c r="K1641" s="271"/>
      <c r="L1641" s="309"/>
      <c r="M1641" s="309"/>
      <c r="N1641" s="309"/>
      <c r="O1641" s="309"/>
      <c r="P1641" s="309"/>
      <c r="Q1641" s="309"/>
      <c r="R1641" s="309"/>
      <c r="S1641" s="309"/>
      <c r="T1641" s="309"/>
      <c r="U1641" s="309"/>
    </row>
    <row r="1642" spans="1:21" ht="12.75" customHeight="1">
      <c r="A1642" s="985" t="s">
        <v>151</v>
      </c>
      <c r="B1642" s="625">
        <v>200</v>
      </c>
      <c r="C1642" s="623">
        <v>20.95</v>
      </c>
      <c r="D1642" s="792">
        <v>12.99</v>
      </c>
      <c r="E1642" s="624">
        <f>B1642*C1642-D1642</f>
        <v>4177.01</v>
      </c>
      <c r="F1642" s="546" t="s">
        <v>152</v>
      </c>
      <c r="G1642" s="1521"/>
      <c r="H1642" s="1537"/>
      <c r="I1642" s="1501" t="str">
        <f t="shared" si="73"/>
        <v>CSCO</v>
      </c>
      <c r="J1642" s="1501" t="str">
        <f t="shared" si="72"/>
        <v>NUE</v>
      </c>
      <c r="K1642" s="271"/>
      <c r="L1642" s="309"/>
      <c r="M1642" s="309"/>
      <c r="N1642" s="309"/>
      <c r="O1642" s="309"/>
      <c r="P1642" s="309"/>
      <c r="Q1642" s="309"/>
      <c r="R1642" s="309"/>
      <c r="S1642" s="309"/>
      <c r="T1642" s="309"/>
      <c r="U1642" s="309"/>
    </row>
    <row r="1643" spans="1:21" ht="12.75" customHeight="1">
      <c r="A1643" s="985"/>
      <c r="B1643" s="625"/>
      <c r="C1643" s="623"/>
      <c r="D1643" s="792"/>
      <c r="E1643" s="624"/>
      <c r="F1643" s="546"/>
      <c r="G1643" s="1521"/>
      <c r="H1643" s="1537"/>
      <c r="I1643" s="1501" t="str">
        <f t="shared" si="73"/>
        <v/>
      </c>
      <c r="J1643" s="1501" t="str">
        <f t="shared" si="72"/>
        <v/>
      </c>
      <c r="K1643" s="271"/>
      <c r="L1643" s="309"/>
      <c r="M1643" s="309"/>
      <c r="N1643" s="309"/>
      <c r="O1643" s="309"/>
      <c r="P1643" s="309"/>
      <c r="Q1643" s="309"/>
      <c r="R1643" s="309"/>
      <c r="S1643" s="309"/>
      <c r="T1643" s="309"/>
      <c r="U1643" s="309"/>
    </row>
    <row r="1644" spans="1:21" ht="12.75" customHeight="1">
      <c r="A1644" s="985" t="s">
        <v>160</v>
      </c>
      <c r="B1644" s="625">
        <v>20</v>
      </c>
      <c r="C1644" s="623">
        <v>88.76</v>
      </c>
      <c r="D1644" s="792">
        <v>12.99</v>
      </c>
      <c r="E1644" s="624">
        <f>B1644*C1644-D1644</f>
        <v>1762.21</v>
      </c>
      <c r="F1644" s="546" t="s">
        <v>161</v>
      </c>
      <c r="G1644" s="1521"/>
      <c r="H1644" s="1537"/>
      <c r="I1644" s="1501" t="str">
        <f t="shared" si="73"/>
        <v>NUE</v>
      </c>
      <c r="J1644" s="1501" t="str">
        <f t="shared" si="72"/>
        <v/>
      </c>
      <c r="K1644" s="271"/>
      <c r="L1644" s="309"/>
      <c r="M1644" s="309"/>
      <c r="N1644" s="309"/>
      <c r="O1644" s="309"/>
      <c r="P1644" s="309"/>
      <c r="Q1644" s="309"/>
      <c r="R1644" s="309"/>
      <c r="S1644" s="309"/>
      <c r="T1644" s="309"/>
      <c r="U1644" s="309"/>
    </row>
    <row r="1645" spans="1:21" ht="12.75" customHeight="1">
      <c r="A1645" s="985"/>
      <c r="B1645" s="625"/>
      <c r="C1645" s="623"/>
      <c r="D1645" s="792"/>
      <c r="E1645" s="624"/>
      <c r="F1645" s="546"/>
      <c r="G1645" s="1521"/>
      <c r="H1645" s="1537"/>
      <c r="I1645" s="1501" t="str">
        <f t="shared" si="73"/>
        <v/>
      </c>
      <c r="J1645" s="1501" t="str">
        <f t="shared" si="72"/>
        <v>DEO</v>
      </c>
      <c r="K1645" s="271"/>
      <c r="L1645" s="309"/>
      <c r="M1645" s="309"/>
      <c r="N1645" s="309"/>
      <c r="O1645" s="309"/>
      <c r="P1645" s="309"/>
      <c r="Q1645" s="309"/>
      <c r="R1645" s="309"/>
      <c r="S1645" s="309"/>
      <c r="T1645" s="309"/>
      <c r="U1645" s="309"/>
    </row>
    <row r="1646" spans="1:21" ht="12.75" customHeight="1">
      <c r="A1646" s="1422" t="s">
        <v>1048</v>
      </c>
      <c r="B1646" s="625"/>
      <c r="C1646" s="623"/>
      <c r="D1646" s="792"/>
      <c r="E1646" s="624"/>
      <c r="F1646" s="546"/>
      <c r="G1646" s="1508"/>
      <c r="H1646" s="1501"/>
      <c r="I1646" s="1501" t="str">
        <f t="shared" si="73"/>
        <v/>
      </c>
      <c r="J1646" s="1501" t="str">
        <f t="shared" si="72"/>
        <v/>
      </c>
      <c r="K1646" s="271"/>
      <c r="L1646" s="309"/>
      <c r="M1646" s="309"/>
      <c r="N1646" s="309"/>
      <c r="O1646" s="309"/>
      <c r="P1646" s="309"/>
      <c r="Q1646" s="309"/>
      <c r="R1646" s="309"/>
      <c r="S1646" s="309"/>
      <c r="T1646" s="309"/>
      <c r="U1646" s="309"/>
    </row>
    <row r="1647" spans="1:21" ht="12.75" customHeight="1">
      <c r="A1647" s="985" t="s">
        <v>1059</v>
      </c>
      <c r="B1647" s="625">
        <v>50</v>
      </c>
      <c r="C1647" s="623">
        <v>62.7</v>
      </c>
      <c r="D1647" s="792">
        <v>12.99</v>
      </c>
      <c r="E1647" s="624">
        <f>B1647*C1647-D1647</f>
        <v>3122.01</v>
      </c>
      <c r="F1647" s="546" t="s">
        <v>58</v>
      </c>
      <c r="G1647" s="1508"/>
      <c r="H1647" s="1501"/>
      <c r="I1647" s="1501" t="str">
        <f t="shared" si="73"/>
        <v>DEO</v>
      </c>
      <c r="J1647" s="1501" t="str">
        <f t="shared" si="72"/>
        <v/>
      </c>
      <c r="K1647" s="271"/>
      <c r="L1647" s="309"/>
      <c r="M1647" s="309"/>
      <c r="N1647" s="309"/>
      <c r="O1647" s="309"/>
      <c r="P1647" s="309"/>
      <c r="Q1647" s="309"/>
      <c r="R1647" s="309"/>
      <c r="S1647" s="309"/>
      <c r="T1647" s="309"/>
      <c r="U1647" s="309"/>
    </row>
    <row r="1648" spans="1:21" ht="12.75" customHeight="1">
      <c r="A1648" s="985"/>
      <c r="B1648" s="625"/>
      <c r="C1648" s="623"/>
      <c r="D1648" s="792"/>
      <c r="E1648" s="624"/>
      <c r="F1648" s="546"/>
      <c r="G1648" s="1521"/>
      <c r="H1648" s="1537"/>
      <c r="I1648" s="1501" t="str">
        <f t="shared" si="73"/>
        <v/>
      </c>
      <c r="J1648" s="1501" t="str">
        <f t="shared" si="72"/>
        <v/>
      </c>
      <c r="K1648" s="271"/>
      <c r="L1648" s="309"/>
      <c r="M1648" s="309"/>
      <c r="N1648" s="309"/>
      <c r="O1648" s="309"/>
      <c r="P1648" s="309"/>
      <c r="Q1648" s="309"/>
      <c r="R1648" s="309"/>
      <c r="S1648" s="309"/>
      <c r="T1648" s="309"/>
      <c r="U1648" s="309"/>
    </row>
    <row r="1649" spans="1:21" ht="12.75" customHeight="1">
      <c r="A1649" s="1423">
        <v>38772</v>
      </c>
      <c r="B1649" s="625"/>
      <c r="C1649" s="623"/>
      <c r="D1649" s="792"/>
      <c r="E1649" s="624"/>
      <c r="F1649" s="546"/>
      <c r="G1649" s="1521"/>
      <c r="H1649" s="1537"/>
      <c r="I1649" s="1501" t="str">
        <f t="shared" si="73"/>
        <v/>
      </c>
      <c r="J1649" s="1501" t="str">
        <f t="shared" si="72"/>
        <v>PEP</v>
      </c>
      <c r="K1649" s="271"/>
      <c r="L1649" s="309"/>
      <c r="M1649" s="309"/>
      <c r="N1649" s="309"/>
      <c r="O1649" s="309"/>
      <c r="P1649" s="309"/>
      <c r="Q1649" s="309"/>
      <c r="R1649" s="309"/>
      <c r="S1649" s="309"/>
      <c r="T1649" s="309"/>
      <c r="U1649" s="309"/>
    </row>
    <row r="1650" spans="1:21" ht="12.75" customHeight="1">
      <c r="A1650" s="1422" t="s">
        <v>1021</v>
      </c>
      <c r="B1650" s="625"/>
      <c r="C1650" s="623"/>
      <c r="D1650" s="792"/>
      <c r="E1650" s="624"/>
      <c r="F1650" s="546"/>
      <c r="G1650" s="1508"/>
      <c r="H1650" s="1501"/>
      <c r="I1650" s="1501" t="str">
        <f t="shared" si="73"/>
        <v/>
      </c>
      <c r="J1650" s="1501" t="str">
        <f t="shared" si="72"/>
        <v/>
      </c>
      <c r="K1650" s="271"/>
      <c r="L1650" s="309"/>
      <c r="M1650" s="309"/>
      <c r="N1650" s="309"/>
      <c r="O1650" s="309"/>
      <c r="P1650" s="309"/>
      <c r="Q1650" s="309"/>
      <c r="R1650" s="309"/>
      <c r="S1650" s="309"/>
      <c r="T1650" s="309"/>
      <c r="U1650" s="309"/>
    </row>
    <row r="1651" spans="1:21" ht="12.75" customHeight="1">
      <c r="A1651" s="985" t="s">
        <v>1060</v>
      </c>
      <c r="B1651" s="625">
        <v>30</v>
      </c>
      <c r="C1651" s="623">
        <v>59.47</v>
      </c>
      <c r="D1651" s="792">
        <v>12.99</v>
      </c>
      <c r="E1651" s="624">
        <f>B1651*C1651-D1651</f>
        <v>1771.11</v>
      </c>
      <c r="F1651" s="546" t="s">
        <v>165</v>
      </c>
      <c r="G1651" s="1508"/>
      <c r="H1651" s="1501"/>
      <c r="I1651" s="1501" t="str">
        <f t="shared" si="73"/>
        <v>PEP</v>
      </c>
      <c r="J1651" s="1501" t="str">
        <f t="shared" si="72"/>
        <v/>
      </c>
      <c r="K1651" s="271"/>
      <c r="L1651" s="309"/>
      <c r="M1651" s="309"/>
      <c r="N1651" s="309"/>
      <c r="O1651" s="309"/>
      <c r="P1651" s="309"/>
      <c r="Q1651" s="309"/>
      <c r="R1651" s="309"/>
      <c r="S1651" s="309"/>
      <c r="T1651" s="309"/>
      <c r="U1651" s="309"/>
    </row>
    <row r="1652" spans="1:21" ht="12.75" customHeight="1">
      <c r="A1652" s="985"/>
      <c r="B1652" s="625"/>
      <c r="C1652" s="623"/>
      <c r="D1652" s="792"/>
      <c r="E1652" s="624"/>
      <c r="F1652" s="546"/>
      <c r="G1652" s="1521"/>
      <c r="H1652" s="1537"/>
      <c r="I1652" s="1501" t="str">
        <f t="shared" si="73"/>
        <v/>
      </c>
      <c r="J1652" s="1501" t="str">
        <f t="shared" si="72"/>
        <v/>
      </c>
      <c r="K1652" s="271"/>
      <c r="L1652" s="309"/>
      <c r="M1652" s="309"/>
      <c r="N1652" s="309"/>
      <c r="O1652" s="309"/>
      <c r="P1652" s="309"/>
      <c r="Q1652" s="309"/>
      <c r="R1652" s="309"/>
      <c r="S1652" s="309"/>
      <c r="T1652" s="309"/>
      <c r="U1652" s="309"/>
    </row>
    <row r="1653" spans="1:21" ht="12.75" customHeight="1">
      <c r="A1653" s="1423">
        <v>38769</v>
      </c>
      <c r="B1653" s="625"/>
      <c r="C1653" s="623"/>
      <c r="D1653" s="792"/>
      <c r="E1653" s="624"/>
      <c r="F1653" s="546"/>
      <c r="G1653" s="1521"/>
      <c r="H1653" s="1537"/>
      <c r="I1653" s="1501" t="str">
        <f t="shared" si="73"/>
        <v/>
      </c>
      <c r="J1653" s="1501" t="str">
        <f t="shared" si="72"/>
        <v>KO</v>
      </c>
      <c r="K1653" s="271"/>
      <c r="L1653" s="309"/>
      <c r="M1653" s="309"/>
      <c r="N1653" s="309"/>
      <c r="O1653" s="309"/>
      <c r="P1653" s="309"/>
      <c r="Q1653" s="309"/>
      <c r="R1653" s="309"/>
      <c r="S1653" s="309"/>
      <c r="T1653" s="309"/>
      <c r="U1653" s="309"/>
    </row>
    <row r="1654" spans="1:21" ht="12.75" customHeight="1">
      <c r="A1654" s="1422" t="s">
        <v>1021</v>
      </c>
      <c r="B1654" s="625"/>
      <c r="C1654" s="623"/>
      <c r="D1654" s="792"/>
      <c r="E1654" s="624"/>
      <c r="F1654" s="546"/>
      <c r="G1654" s="1508"/>
      <c r="H1654" s="1501"/>
      <c r="I1654" s="1501" t="str">
        <f t="shared" si="73"/>
        <v/>
      </c>
      <c r="J1654" s="1501" t="str">
        <f t="shared" si="72"/>
        <v/>
      </c>
      <c r="K1654" s="271"/>
      <c r="L1654" s="309"/>
      <c r="M1654" s="309"/>
      <c r="N1654" s="309"/>
      <c r="O1654" s="309"/>
      <c r="P1654" s="309"/>
      <c r="Q1654" s="309"/>
      <c r="R1654" s="309"/>
      <c r="S1654" s="309"/>
      <c r="T1654" s="309"/>
      <c r="U1654" s="309"/>
    </row>
    <row r="1655" spans="1:21" ht="12.75" customHeight="1">
      <c r="A1655" s="985" t="s">
        <v>153</v>
      </c>
      <c r="B1655" s="625">
        <v>30</v>
      </c>
      <c r="C1655" s="623">
        <v>42.18</v>
      </c>
      <c r="D1655" s="792">
        <v>12.99</v>
      </c>
      <c r="E1655" s="624">
        <f>B1655*C1655-D1655</f>
        <v>1252.4100000000001</v>
      </c>
      <c r="F1655" s="546" t="s">
        <v>154</v>
      </c>
      <c r="G1655" s="1508"/>
      <c r="H1655" s="1501"/>
      <c r="I1655" s="1501" t="str">
        <f t="shared" si="73"/>
        <v>KO</v>
      </c>
      <c r="J1655" s="1501" t="str">
        <f t="shared" si="72"/>
        <v/>
      </c>
      <c r="K1655" s="271"/>
      <c r="L1655" s="309"/>
      <c r="M1655" s="309"/>
      <c r="N1655" s="309"/>
      <c r="O1655" s="309"/>
      <c r="P1655" s="309"/>
      <c r="Q1655" s="309"/>
      <c r="R1655" s="309"/>
      <c r="S1655" s="309"/>
      <c r="T1655" s="309"/>
      <c r="U1655" s="309"/>
    </row>
    <row r="1656" spans="1:21" ht="12.75" customHeight="1">
      <c r="A1656" s="985"/>
      <c r="B1656" s="625"/>
      <c r="C1656" s="623"/>
      <c r="D1656" s="792"/>
      <c r="E1656" s="624"/>
      <c r="F1656" s="546"/>
      <c r="G1656" s="1521"/>
      <c r="H1656" s="1537"/>
      <c r="I1656" s="1501" t="str">
        <f t="shared" si="73"/>
        <v/>
      </c>
      <c r="J1656" s="1501" t="str">
        <f t="shared" si="72"/>
        <v/>
      </c>
      <c r="K1656" s="271"/>
      <c r="L1656" s="309"/>
      <c r="M1656" s="309"/>
      <c r="N1656" s="309"/>
      <c r="O1656" s="309"/>
      <c r="P1656" s="309"/>
      <c r="Q1656" s="309"/>
      <c r="R1656" s="309"/>
      <c r="S1656" s="309"/>
      <c r="T1656" s="309"/>
      <c r="U1656" s="309"/>
    </row>
    <row r="1657" spans="1:21" ht="12.75" customHeight="1">
      <c r="A1657" s="1423">
        <v>38763</v>
      </c>
      <c r="B1657" s="625"/>
      <c r="C1657" s="623"/>
      <c r="D1657" s="792"/>
      <c r="E1657" s="624"/>
      <c r="F1657" s="546"/>
      <c r="G1657" s="1521"/>
      <c r="H1657" s="1537"/>
      <c r="I1657" s="1501" t="str">
        <f t="shared" si="73"/>
        <v/>
      </c>
      <c r="J1657" s="1501" t="str">
        <f t="shared" si="72"/>
        <v>WAG</v>
      </c>
      <c r="K1657" s="271"/>
      <c r="L1657" s="309"/>
      <c r="M1657" s="309"/>
      <c r="N1657" s="309"/>
      <c r="O1657" s="309"/>
      <c r="P1657" s="309"/>
      <c r="Q1657" s="309"/>
      <c r="R1657" s="309"/>
      <c r="S1657" s="309"/>
      <c r="T1657" s="309"/>
      <c r="U1657" s="309"/>
    </row>
    <row r="1658" spans="1:21" ht="12.75" customHeight="1">
      <c r="A1658" s="1422" t="s">
        <v>1021</v>
      </c>
      <c r="B1658" s="625"/>
      <c r="C1658" s="623"/>
      <c r="D1658" s="792"/>
      <c r="E1658" s="624"/>
      <c r="F1658" s="546"/>
      <c r="G1658" s="1508"/>
      <c r="H1658" s="1501"/>
      <c r="I1658" s="1501" t="str">
        <f t="shared" si="73"/>
        <v/>
      </c>
      <c r="J1658" s="1501" t="str">
        <f t="shared" si="72"/>
        <v/>
      </c>
      <c r="K1658" s="271"/>
      <c r="L1658" s="309"/>
      <c r="M1658" s="309"/>
      <c r="N1658" s="309"/>
      <c r="O1658" s="309"/>
      <c r="P1658" s="309"/>
      <c r="Q1658" s="309"/>
      <c r="R1658" s="309"/>
      <c r="S1658" s="309"/>
      <c r="T1658" s="309"/>
      <c r="U1658" s="309"/>
    </row>
    <row r="1659" spans="1:21" ht="12.75" customHeight="1">
      <c r="A1659" s="985" t="s">
        <v>1061</v>
      </c>
      <c r="B1659" s="625">
        <v>50</v>
      </c>
      <c r="C1659" s="623">
        <v>45.901600000000002</v>
      </c>
      <c r="D1659" s="792">
        <v>12.99</v>
      </c>
      <c r="E1659" s="624">
        <f>B1659*C1659-D1659</f>
        <v>2282.09</v>
      </c>
      <c r="F1659" s="546" t="s">
        <v>175</v>
      </c>
      <c r="G1659" s="1508"/>
      <c r="H1659" s="1501"/>
      <c r="I1659" s="1501" t="str">
        <f t="shared" si="73"/>
        <v>WAG</v>
      </c>
      <c r="J1659" s="1501" t="str">
        <f t="shared" si="72"/>
        <v/>
      </c>
      <c r="K1659" s="271"/>
      <c r="L1659" s="309"/>
      <c r="M1659" s="309"/>
      <c r="N1659" s="309"/>
      <c r="O1659" s="309"/>
      <c r="P1659" s="309"/>
      <c r="Q1659" s="309"/>
      <c r="R1659" s="309"/>
      <c r="S1659" s="309"/>
      <c r="T1659" s="309"/>
      <c r="U1659" s="309"/>
    </row>
    <row r="1660" spans="1:21" ht="12.75" customHeight="1">
      <c r="A1660" s="985"/>
      <c r="B1660" s="625"/>
      <c r="C1660" s="623"/>
      <c r="D1660" s="792"/>
      <c r="E1660" s="624"/>
      <c r="F1660" s="546"/>
      <c r="I1660" s="1501" t="str">
        <f t="shared" si="73"/>
        <v/>
      </c>
      <c r="J1660" s="1501" t="str">
        <f t="shared" si="72"/>
        <v/>
      </c>
      <c r="K1660" s="271"/>
      <c r="L1660" s="309"/>
      <c r="M1660" s="309"/>
      <c r="N1660" s="309"/>
      <c r="O1660" s="309"/>
      <c r="P1660" s="309"/>
      <c r="Q1660" s="309"/>
      <c r="R1660" s="309"/>
      <c r="S1660" s="309"/>
      <c r="T1660" s="309"/>
      <c r="U1660" s="309"/>
    </row>
    <row r="1661" spans="1:21" ht="12.75" customHeight="1">
      <c r="A1661" s="1423">
        <v>38758</v>
      </c>
      <c r="B1661" s="625"/>
      <c r="C1661" s="623"/>
      <c r="D1661" s="792"/>
      <c r="E1661" s="624"/>
      <c r="F1661" s="546"/>
      <c r="G1661" s="1521"/>
      <c r="H1661" s="1537"/>
      <c r="I1661" s="1501" t="str">
        <f t="shared" si="73"/>
        <v/>
      </c>
      <c r="J1661" s="1501" t="str">
        <f t="shared" si="72"/>
        <v>MSFT</v>
      </c>
      <c r="K1661" s="271"/>
      <c r="L1661" s="309"/>
      <c r="M1661" s="309"/>
      <c r="N1661" s="309"/>
      <c r="O1661" s="309"/>
      <c r="P1661" s="309"/>
      <c r="Q1661" s="309"/>
      <c r="R1661" s="309"/>
      <c r="S1661" s="309"/>
      <c r="T1661" s="309"/>
      <c r="U1661" s="309"/>
    </row>
    <row r="1662" spans="1:21" ht="12.75" customHeight="1">
      <c r="A1662" s="1422" t="s">
        <v>1021</v>
      </c>
      <c r="B1662" s="625"/>
      <c r="C1662" s="623"/>
      <c r="D1662" s="792"/>
      <c r="E1662" s="624"/>
      <c r="F1662" s="546"/>
      <c r="G1662" s="1508"/>
      <c r="H1662" s="1501"/>
      <c r="I1662" s="1501" t="str">
        <f t="shared" si="73"/>
        <v/>
      </c>
      <c r="J1662" s="1501" t="str">
        <f t="shared" si="72"/>
        <v/>
      </c>
      <c r="K1662" s="271"/>
      <c r="L1662" s="309"/>
      <c r="M1662" s="309"/>
      <c r="N1662" s="309"/>
      <c r="O1662" s="309"/>
      <c r="P1662" s="309"/>
      <c r="Q1662" s="309"/>
      <c r="R1662" s="309"/>
      <c r="S1662" s="309"/>
      <c r="T1662" s="309"/>
      <c r="U1662" s="309"/>
    </row>
    <row r="1663" spans="1:21" ht="12.75" customHeight="1">
      <c r="A1663" s="985" t="s">
        <v>1062</v>
      </c>
      <c r="B1663" s="625">
        <v>75</v>
      </c>
      <c r="C1663" s="623">
        <v>26.542400000000001</v>
      </c>
      <c r="D1663" s="792">
        <v>12.99</v>
      </c>
      <c r="E1663" s="624">
        <f>B1663*C1663-D1663</f>
        <v>1977.69</v>
      </c>
      <c r="F1663" s="546" t="s">
        <v>41</v>
      </c>
      <c r="G1663" s="1522">
        <f>75*C1774</f>
        <v>1909.5</v>
      </c>
      <c r="H1663" s="1538">
        <v>75</v>
      </c>
      <c r="I1663" s="1501" t="str">
        <f t="shared" si="73"/>
        <v>MSFT</v>
      </c>
      <c r="J1663" s="1501" t="str">
        <f t="shared" ref="J1663:J1726" si="74">IF(F1665="","",IF(OR(A1663="Sell",A1664="Sell"),"",F1665))</f>
        <v/>
      </c>
      <c r="K1663" s="271"/>
      <c r="L1663" s="309"/>
      <c r="M1663" s="309"/>
      <c r="N1663" s="309"/>
      <c r="O1663" s="309"/>
      <c r="P1663" s="309"/>
      <c r="Q1663" s="309"/>
      <c r="R1663" s="309"/>
      <c r="S1663" s="309"/>
      <c r="T1663" s="309"/>
      <c r="U1663" s="309"/>
    </row>
    <row r="1664" spans="1:21" ht="12.75" customHeight="1">
      <c r="A1664" s="985"/>
      <c r="B1664" s="625"/>
      <c r="C1664" s="623"/>
      <c r="D1664" s="792"/>
      <c r="E1664" s="624"/>
      <c r="F1664" s="546"/>
      <c r="G1664" s="1521"/>
      <c r="H1664" s="1537"/>
      <c r="I1664" s="1501" t="str">
        <f t="shared" si="73"/>
        <v/>
      </c>
      <c r="J1664" s="1501" t="str">
        <f t="shared" si="74"/>
        <v/>
      </c>
      <c r="K1664" s="271"/>
      <c r="L1664" s="309"/>
      <c r="M1664" s="309"/>
      <c r="N1664" s="309"/>
      <c r="O1664" s="309"/>
      <c r="P1664" s="309"/>
      <c r="Q1664" s="309"/>
      <c r="R1664" s="309"/>
      <c r="S1664" s="309"/>
      <c r="T1664" s="309"/>
      <c r="U1664" s="309"/>
    </row>
    <row r="1665" spans="1:21" ht="12.75" customHeight="1">
      <c r="A1665" s="1423">
        <v>38756</v>
      </c>
      <c r="B1665" s="625"/>
      <c r="C1665" s="623"/>
      <c r="D1665" s="792"/>
      <c r="E1665" s="624"/>
      <c r="F1665" s="546"/>
      <c r="G1665" s="1521"/>
      <c r="H1665" s="1537"/>
      <c r="I1665" s="1501" t="str">
        <f t="shared" si="73"/>
        <v/>
      </c>
      <c r="J1665" s="1501" t="str">
        <f t="shared" si="74"/>
        <v>HDI</v>
      </c>
      <c r="K1665" s="271"/>
      <c r="L1665" s="309"/>
      <c r="M1665" s="309"/>
      <c r="N1665" s="309"/>
      <c r="O1665" s="309"/>
      <c r="P1665" s="309"/>
      <c r="Q1665" s="309"/>
      <c r="R1665" s="309"/>
      <c r="S1665" s="309"/>
      <c r="T1665" s="309"/>
      <c r="U1665" s="309"/>
    </row>
    <row r="1666" spans="1:21" ht="12.75" customHeight="1">
      <c r="A1666" s="1422" t="s">
        <v>1021</v>
      </c>
      <c r="B1666" s="625"/>
      <c r="C1666" s="623"/>
      <c r="D1666" s="792"/>
      <c r="E1666" s="624"/>
      <c r="F1666" s="546"/>
      <c r="G1666" s="1521"/>
      <c r="H1666" s="1537"/>
      <c r="I1666" s="1501" t="str">
        <f t="shared" si="73"/>
        <v/>
      </c>
      <c r="J1666" s="1501" t="str">
        <f t="shared" si="74"/>
        <v/>
      </c>
      <c r="K1666" s="271"/>
      <c r="L1666" s="309"/>
      <c r="M1666" s="309"/>
      <c r="N1666" s="309"/>
      <c r="O1666" s="309"/>
      <c r="P1666" s="309"/>
      <c r="Q1666" s="309"/>
      <c r="R1666" s="309"/>
      <c r="S1666" s="309"/>
      <c r="T1666" s="309"/>
      <c r="U1666" s="309"/>
    </row>
    <row r="1667" spans="1:21" ht="12.75" customHeight="1">
      <c r="A1667" s="985" t="s">
        <v>1063</v>
      </c>
      <c r="B1667" s="625">
        <v>60</v>
      </c>
      <c r="C1667" s="623">
        <v>50.79</v>
      </c>
      <c r="D1667" s="792">
        <v>12.99</v>
      </c>
      <c r="E1667" s="624">
        <f>B1667*C1667-D1667</f>
        <v>3034.4100000000003</v>
      </c>
      <c r="F1667" s="546" t="s">
        <v>104</v>
      </c>
      <c r="G1667" s="1521"/>
      <c r="H1667" s="1537"/>
      <c r="I1667" s="1501" t="str">
        <f t="shared" si="73"/>
        <v>HDI</v>
      </c>
      <c r="J1667" s="1501" t="str">
        <f t="shared" si="74"/>
        <v>NUE</v>
      </c>
      <c r="K1667" s="271"/>
      <c r="L1667" s="309"/>
      <c r="M1667" s="309"/>
      <c r="N1667" s="309"/>
      <c r="O1667" s="309"/>
      <c r="P1667" s="309"/>
      <c r="Q1667" s="309"/>
      <c r="R1667" s="309"/>
      <c r="S1667" s="309"/>
      <c r="T1667" s="309"/>
      <c r="U1667" s="309"/>
    </row>
    <row r="1668" spans="1:21" ht="12.75" customHeight="1">
      <c r="A1668" s="985"/>
      <c r="B1668" s="625"/>
      <c r="C1668" s="623"/>
      <c r="D1668" s="792"/>
      <c r="E1668" s="624"/>
      <c r="F1668" s="546"/>
      <c r="G1668" s="1508"/>
      <c r="H1668" s="1501"/>
      <c r="I1668" s="1501" t="str">
        <f t="shared" si="73"/>
        <v/>
      </c>
      <c r="J1668" s="1501" t="str">
        <f t="shared" si="74"/>
        <v/>
      </c>
      <c r="K1668" s="271"/>
      <c r="L1668" s="309"/>
      <c r="M1668" s="309"/>
      <c r="N1668" s="309"/>
      <c r="O1668" s="309"/>
      <c r="P1668" s="309"/>
      <c r="Q1668" s="309"/>
      <c r="R1668" s="309"/>
      <c r="S1668" s="309"/>
      <c r="T1668" s="309"/>
      <c r="U1668" s="309"/>
    </row>
    <row r="1669" spans="1:21" ht="12.75" customHeight="1">
      <c r="A1669" s="985" t="s">
        <v>185</v>
      </c>
      <c r="B1669" s="625">
        <v>20</v>
      </c>
      <c r="C1669" s="623">
        <v>80.290000000000006</v>
      </c>
      <c r="D1669" s="792">
        <v>12.99</v>
      </c>
      <c r="E1669" s="624">
        <f>B1669*C1669-D1669</f>
        <v>1592.8100000000002</v>
      </c>
      <c r="F1669" s="546" t="s">
        <v>161</v>
      </c>
      <c r="G1669" s="1508"/>
      <c r="H1669" s="1501"/>
      <c r="I1669" s="1501" t="str">
        <f t="shared" si="73"/>
        <v>NUE</v>
      </c>
      <c r="J1669" s="1501" t="str">
        <f t="shared" si="74"/>
        <v/>
      </c>
      <c r="K1669" s="271"/>
      <c r="L1669" s="309"/>
      <c r="M1669" s="309"/>
      <c r="N1669" s="309"/>
      <c r="O1669" s="309"/>
      <c r="P1669" s="309"/>
      <c r="Q1669" s="309"/>
      <c r="R1669" s="309"/>
      <c r="S1669" s="309"/>
      <c r="T1669" s="309"/>
      <c r="U1669" s="309"/>
    </row>
    <row r="1670" spans="1:21" ht="12.75" customHeight="1">
      <c r="A1670" s="985"/>
      <c r="B1670" s="625"/>
      <c r="C1670" s="623"/>
      <c r="D1670" s="792"/>
      <c r="E1670" s="624"/>
      <c r="F1670" s="546"/>
      <c r="G1670" s="1521"/>
      <c r="H1670" s="1537"/>
      <c r="I1670" s="1501" t="str">
        <f t="shared" si="73"/>
        <v/>
      </c>
      <c r="J1670" s="1501" t="str">
        <f t="shared" si="74"/>
        <v/>
      </c>
      <c r="K1670" s="271"/>
      <c r="L1670" s="309"/>
      <c r="M1670" s="309"/>
      <c r="N1670" s="309"/>
      <c r="O1670" s="309"/>
      <c r="P1670" s="309"/>
      <c r="Q1670" s="309"/>
      <c r="R1670" s="309"/>
      <c r="S1670" s="309"/>
      <c r="T1670" s="309"/>
      <c r="U1670" s="309"/>
    </row>
    <row r="1671" spans="1:21" ht="12.75" customHeight="1">
      <c r="A1671" s="1423">
        <v>38749</v>
      </c>
      <c r="B1671" s="625"/>
      <c r="C1671" s="623"/>
      <c r="D1671" s="792"/>
      <c r="E1671" s="624"/>
      <c r="F1671" s="546"/>
      <c r="G1671" s="1521"/>
      <c r="H1671" s="1537"/>
      <c r="I1671" s="1501" t="str">
        <f t="shared" si="73"/>
        <v/>
      </c>
      <c r="J1671" s="1501" t="str">
        <f t="shared" si="74"/>
        <v>SCHN</v>
      </c>
      <c r="K1671" s="271"/>
      <c r="L1671" s="309"/>
      <c r="M1671" s="309"/>
      <c r="N1671" s="309"/>
      <c r="O1671" s="309"/>
      <c r="P1671" s="309"/>
      <c r="Q1671" s="309"/>
      <c r="R1671" s="309"/>
      <c r="S1671" s="309"/>
      <c r="T1671" s="309"/>
      <c r="U1671" s="309"/>
    </row>
    <row r="1672" spans="1:21" ht="12.75" customHeight="1">
      <c r="A1672" s="1422" t="s">
        <v>1021</v>
      </c>
      <c r="B1672" s="625"/>
      <c r="C1672" s="623"/>
      <c r="D1672" s="792"/>
      <c r="E1672" s="624"/>
      <c r="F1672" s="546"/>
      <c r="G1672" s="1508"/>
      <c r="H1672" s="1501"/>
      <c r="I1672" s="1501" t="str">
        <f t="shared" si="73"/>
        <v/>
      </c>
      <c r="J1672" s="1501" t="str">
        <f t="shared" si="74"/>
        <v/>
      </c>
      <c r="K1672" s="271"/>
      <c r="L1672" s="309"/>
      <c r="M1672" s="309"/>
      <c r="N1672" s="309"/>
      <c r="O1672" s="309"/>
      <c r="P1672" s="309"/>
      <c r="Q1672" s="309"/>
      <c r="R1672" s="309"/>
      <c r="S1672" s="309"/>
      <c r="T1672" s="309"/>
      <c r="U1672" s="309"/>
    </row>
    <row r="1673" spans="1:21" ht="12.75" customHeight="1">
      <c r="A1673" s="985" t="s">
        <v>117</v>
      </c>
      <c r="B1673" s="625">
        <v>100</v>
      </c>
      <c r="C1673" s="623">
        <v>31.094000000000001</v>
      </c>
      <c r="D1673" s="792">
        <v>12.99</v>
      </c>
      <c r="E1673" s="624">
        <f>B1673*C1673-D1673</f>
        <v>3096.4100000000003</v>
      </c>
      <c r="F1673" s="546" t="s">
        <v>118</v>
      </c>
      <c r="G1673" s="1508"/>
      <c r="H1673" s="1501"/>
      <c r="I1673" s="1501" t="str">
        <f t="shared" si="73"/>
        <v>SCHN</v>
      </c>
      <c r="J1673" s="1501" t="str">
        <f t="shared" si="74"/>
        <v/>
      </c>
      <c r="K1673" s="271"/>
      <c r="L1673" s="309"/>
      <c r="M1673" s="309"/>
      <c r="N1673" s="309"/>
      <c r="O1673" s="309"/>
      <c r="P1673" s="309"/>
      <c r="Q1673" s="309"/>
      <c r="R1673" s="309"/>
      <c r="S1673" s="309"/>
      <c r="T1673" s="309"/>
      <c r="U1673" s="309"/>
    </row>
    <row r="1674" spans="1:21" ht="12.75" customHeight="1">
      <c r="A1674" s="985"/>
      <c r="B1674" s="625"/>
      <c r="C1674" s="623"/>
      <c r="D1674" s="792"/>
      <c r="E1674" s="624"/>
      <c r="F1674" s="546"/>
      <c r="G1674" s="1521" t="s">
        <v>1064</v>
      </c>
      <c r="H1674" s="1537"/>
      <c r="I1674" s="1501" t="str">
        <f t="shared" si="73"/>
        <v/>
      </c>
      <c r="J1674" s="1501" t="str">
        <f t="shared" si="74"/>
        <v/>
      </c>
      <c r="K1674" s="271"/>
      <c r="L1674" s="309"/>
      <c r="M1674" s="309"/>
      <c r="N1674" s="309"/>
      <c r="O1674" s="309"/>
      <c r="P1674" s="309"/>
      <c r="Q1674" s="309"/>
      <c r="R1674" s="309"/>
      <c r="S1674" s="309"/>
      <c r="T1674" s="309"/>
      <c r="U1674" s="309"/>
    </row>
    <row r="1675" spans="1:21" ht="12.75" customHeight="1">
      <c r="A1675" s="1423">
        <v>38720</v>
      </c>
      <c r="B1675" s="625"/>
      <c r="C1675" s="623"/>
      <c r="D1675" s="792"/>
      <c r="E1675" s="624"/>
      <c r="F1675" s="546"/>
      <c r="G1675" s="1521"/>
      <c r="H1675" s="1537"/>
      <c r="I1675" s="1501" t="str">
        <f t="shared" si="73"/>
        <v/>
      </c>
      <c r="J1675" s="1501" t="str">
        <f t="shared" si="74"/>
        <v>BAC</v>
      </c>
      <c r="K1675" s="271"/>
      <c r="L1675" s="309"/>
      <c r="M1675" s="309"/>
      <c r="N1675" s="309"/>
      <c r="O1675" s="309"/>
      <c r="P1675" s="309"/>
      <c r="Q1675" s="309"/>
      <c r="R1675" s="309"/>
      <c r="S1675" s="309"/>
      <c r="T1675" s="309"/>
      <c r="U1675" s="309"/>
    </row>
    <row r="1676" spans="1:21" ht="12.75" customHeight="1">
      <c r="A1676" s="1422" t="s">
        <v>1048</v>
      </c>
      <c r="B1676" s="625"/>
      <c r="C1676" s="623"/>
      <c r="D1676" s="792"/>
      <c r="E1676" s="624"/>
      <c r="F1676" s="546"/>
      <c r="G1676" s="1508"/>
      <c r="H1676" s="1501"/>
      <c r="I1676" s="1501" t="str">
        <f t="shared" si="73"/>
        <v/>
      </c>
      <c r="J1676" s="1501" t="str">
        <f t="shared" si="74"/>
        <v/>
      </c>
      <c r="K1676" s="271"/>
      <c r="L1676" s="309"/>
      <c r="M1676" s="309"/>
      <c r="N1676" s="309"/>
      <c r="O1676" s="309"/>
      <c r="P1676" s="309"/>
      <c r="Q1676" s="309"/>
      <c r="R1676" s="309"/>
      <c r="S1676" s="309"/>
      <c r="T1676" s="309"/>
      <c r="U1676" s="309"/>
    </row>
    <row r="1677" spans="1:21" ht="12.75" customHeight="1">
      <c r="A1677" s="985" t="s">
        <v>22</v>
      </c>
      <c r="B1677" s="625">
        <v>50</v>
      </c>
      <c r="C1677" s="623">
        <v>46.92</v>
      </c>
      <c r="D1677" s="792">
        <v>12.99</v>
      </c>
      <c r="E1677" s="624">
        <f>B1677*C1677-D1677</f>
        <v>2333.0100000000002</v>
      </c>
      <c r="F1677" s="546" t="s">
        <v>23</v>
      </c>
      <c r="G1677" s="1521" t="s">
        <v>1064</v>
      </c>
      <c r="H1677" s="1537"/>
      <c r="I1677" s="1501" t="str">
        <f t="shared" si="73"/>
        <v>BAC</v>
      </c>
      <c r="J1677" s="1501" t="str">
        <f t="shared" si="74"/>
        <v/>
      </c>
      <c r="K1677" s="271"/>
      <c r="L1677" s="309"/>
      <c r="M1677" s="309"/>
      <c r="N1677" s="309"/>
      <c r="O1677" s="309"/>
      <c r="P1677" s="309"/>
      <c r="Q1677" s="309"/>
      <c r="R1677" s="309"/>
      <c r="S1677" s="309"/>
      <c r="T1677" s="309"/>
      <c r="U1677" s="309"/>
    </row>
    <row r="1678" spans="1:21" ht="12.75" customHeight="1">
      <c r="A1678" s="985"/>
      <c r="B1678" s="625"/>
      <c r="C1678" s="623"/>
      <c r="D1678" s="792"/>
      <c r="E1678" s="624"/>
      <c r="F1678" s="546"/>
      <c r="G1678" s="1508"/>
      <c r="H1678" s="1501"/>
      <c r="I1678" s="1501" t="str">
        <f t="shared" si="73"/>
        <v/>
      </c>
      <c r="J1678" s="1501" t="str">
        <f t="shared" si="74"/>
        <v>KRB</v>
      </c>
      <c r="K1678" s="271"/>
      <c r="L1678" s="309"/>
      <c r="M1678" s="309"/>
      <c r="N1678" s="309"/>
      <c r="O1678" s="309"/>
      <c r="P1678" s="309"/>
      <c r="Q1678" s="309"/>
      <c r="R1678" s="309"/>
      <c r="S1678" s="309"/>
      <c r="T1678" s="309"/>
      <c r="U1678" s="309"/>
    </row>
    <row r="1679" spans="1:21" ht="12.75" customHeight="1">
      <c r="A1679" s="1422" t="s">
        <v>1021</v>
      </c>
      <c r="B1679" s="625"/>
      <c r="C1679" s="623"/>
      <c r="D1679" s="792"/>
      <c r="E1679" s="624"/>
      <c r="F1679" s="546"/>
      <c r="G1679" s="1508"/>
      <c r="H1679" s="1501"/>
      <c r="I1679" s="1501" t="str">
        <f t="shared" si="73"/>
        <v/>
      </c>
      <c r="J1679" s="1501" t="str">
        <f t="shared" si="74"/>
        <v/>
      </c>
      <c r="K1679" s="271"/>
      <c r="L1679" s="309"/>
      <c r="M1679" s="309"/>
      <c r="N1679" s="309"/>
      <c r="O1679" s="309"/>
      <c r="P1679" s="309"/>
      <c r="Q1679" s="309"/>
      <c r="R1679" s="309"/>
      <c r="S1679" s="309"/>
      <c r="T1679" s="309"/>
      <c r="U1679" s="309"/>
    </row>
    <row r="1680" spans="1:21" ht="12.75" customHeight="1">
      <c r="A1680" s="985" t="s">
        <v>1065</v>
      </c>
      <c r="B1680" s="625">
        <v>100</v>
      </c>
      <c r="C1680" s="623">
        <v>27.15</v>
      </c>
      <c r="D1680" s="792">
        <v>12.99</v>
      </c>
      <c r="E1680" s="624">
        <f>B1680*C1680-D1680</f>
        <v>2702.01</v>
      </c>
      <c r="F1680" s="546" t="s">
        <v>159</v>
      </c>
      <c r="G1680" s="1508"/>
      <c r="H1680" s="1501"/>
      <c r="I1680" s="1501" t="str">
        <f t="shared" si="73"/>
        <v>KRB</v>
      </c>
      <c r="J1680" s="1501" t="str">
        <f t="shared" si="74"/>
        <v/>
      </c>
      <c r="K1680" s="271"/>
      <c r="L1680" s="309"/>
      <c r="M1680" s="309"/>
      <c r="N1680" s="309"/>
      <c r="O1680" s="309"/>
      <c r="P1680" s="309"/>
      <c r="Q1680" s="309"/>
      <c r="R1680" s="309"/>
      <c r="S1680" s="309"/>
      <c r="T1680" s="309"/>
      <c r="U1680" s="309"/>
    </row>
    <row r="1681" spans="1:21" ht="12.75" customHeight="1">
      <c r="A1681" s="1424"/>
      <c r="B1681" s="625"/>
      <c r="C1681" s="623"/>
      <c r="D1681" s="792"/>
      <c r="E1681" s="624"/>
      <c r="F1681" s="546"/>
      <c r="G1681" s="1508"/>
      <c r="H1681" s="1501"/>
      <c r="I1681" s="1501" t="str">
        <f t="shared" si="73"/>
        <v/>
      </c>
      <c r="J1681" s="1501" t="str">
        <f t="shared" si="74"/>
        <v/>
      </c>
      <c r="K1681" s="271"/>
      <c r="L1681" s="309"/>
      <c r="M1681" s="309"/>
      <c r="N1681" s="309"/>
      <c r="O1681" s="309"/>
      <c r="P1681" s="309"/>
      <c r="Q1681" s="309"/>
      <c r="R1681" s="309"/>
      <c r="S1681" s="309"/>
      <c r="T1681" s="309"/>
      <c r="U1681" s="309"/>
    </row>
    <row r="1682" spans="1:21" ht="12.75" customHeight="1">
      <c r="A1682" s="1423">
        <v>38692</v>
      </c>
      <c r="B1682" s="625"/>
      <c r="C1682" s="623"/>
      <c r="D1682" s="792"/>
      <c r="E1682" s="624"/>
      <c r="F1682" s="546"/>
      <c r="G1682" s="1508"/>
      <c r="H1682" s="1501"/>
      <c r="I1682" s="1501" t="str">
        <f t="shared" si="73"/>
        <v/>
      </c>
      <c r="J1682" s="1501" t="str">
        <f t="shared" si="74"/>
        <v>EXBD</v>
      </c>
      <c r="K1682" s="271"/>
      <c r="L1682" s="309"/>
      <c r="M1682" s="309"/>
      <c r="N1682" s="309"/>
      <c r="O1682" s="309"/>
      <c r="P1682" s="309"/>
      <c r="Q1682" s="309"/>
      <c r="R1682" s="309"/>
      <c r="S1682" s="309"/>
      <c r="T1682" s="309"/>
      <c r="U1682" s="309"/>
    </row>
    <row r="1683" spans="1:21" ht="12.75" customHeight="1">
      <c r="A1683" s="1422" t="s">
        <v>1048</v>
      </c>
      <c r="B1683" s="625"/>
      <c r="C1683" s="623"/>
      <c r="D1683" s="792"/>
      <c r="E1683" s="624"/>
      <c r="F1683" s="546"/>
      <c r="G1683" s="1508"/>
      <c r="H1683" s="1501"/>
      <c r="I1683" s="1501" t="str">
        <f t="shared" si="73"/>
        <v/>
      </c>
      <c r="J1683" s="1501" t="str">
        <f t="shared" si="74"/>
        <v/>
      </c>
      <c r="K1683" s="271"/>
      <c r="L1683" s="309"/>
      <c r="M1683" s="309"/>
      <c r="N1683" s="309"/>
      <c r="O1683" s="309"/>
      <c r="P1683" s="309"/>
      <c r="Q1683" s="309"/>
      <c r="R1683" s="309"/>
      <c r="S1683" s="309"/>
      <c r="T1683" s="309"/>
      <c r="U1683" s="309"/>
    </row>
    <row r="1684" spans="1:21" ht="12.75" customHeight="1">
      <c r="A1684" s="985" t="s">
        <v>155</v>
      </c>
      <c r="B1684" s="625">
        <v>25</v>
      </c>
      <c r="C1684" s="623">
        <v>87.7</v>
      </c>
      <c r="D1684" s="792">
        <v>12.99</v>
      </c>
      <c r="E1684" s="624">
        <f>B1684*C1684-D1684</f>
        <v>2179.5100000000002</v>
      </c>
      <c r="F1684" s="546" t="s">
        <v>156</v>
      </c>
      <c r="G1684" s="1508"/>
      <c r="H1684" s="1501"/>
      <c r="I1684" s="1501" t="str">
        <f t="shared" si="73"/>
        <v>EXBD</v>
      </c>
      <c r="J1684" s="1501" t="str">
        <f t="shared" si="74"/>
        <v>PENN</v>
      </c>
      <c r="K1684" s="271"/>
      <c r="L1684" s="309"/>
      <c r="M1684" s="309"/>
      <c r="N1684" s="309"/>
      <c r="O1684" s="309"/>
      <c r="P1684" s="309"/>
      <c r="Q1684" s="309"/>
      <c r="R1684" s="309"/>
      <c r="S1684" s="309"/>
      <c r="T1684" s="309"/>
      <c r="U1684" s="309"/>
    </row>
    <row r="1685" spans="1:21" ht="12.75" customHeight="1">
      <c r="A1685" s="985"/>
      <c r="B1685" s="625"/>
      <c r="C1685" s="623"/>
      <c r="D1685" s="792"/>
      <c r="E1685" s="624"/>
      <c r="F1685" s="546"/>
      <c r="G1685" s="1508"/>
      <c r="H1685" s="1501"/>
      <c r="I1685" s="1501" t="str">
        <f t="shared" si="73"/>
        <v/>
      </c>
      <c r="J1685" s="1501" t="str">
        <f t="shared" si="74"/>
        <v/>
      </c>
      <c r="K1685" s="271"/>
      <c r="L1685" s="309"/>
      <c r="M1685" s="309"/>
      <c r="N1685" s="309"/>
      <c r="O1685" s="309"/>
      <c r="P1685" s="309"/>
      <c r="Q1685" s="309"/>
      <c r="R1685" s="309"/>
      <c r="S1685" s="309"/>
      <c r="T1685" s="309"/>
      <c r="U1685" s="309"/>
    </row>
    <row r="1686" spans="1:21" ht="12.75" customHeight="1">
      <c r="A1686" s="985" t="s">
        <v>162</v>
      </c>
      <c r="B1686" s="625">
        <v>100</v>
      </c>
      <c r="C1686" s="623">
        <v>32.07</v>
      </c>
      <c r="D1686" s="792">
        <v>12.99</v>
      </c>
      <c r="E1686" s="624">
        <f>B1686*C1686-D1686</f>
        <v>3194.01</v>
      </c>
      <c r="F1686" s="546" t="s">
        <v>163</v>
      </c>
      <c r="G1686" s="1508"/>
      <c r="H1686" s="1501"/>
      <c r="I1686" s="1501" t="str">
        <f t="shared" si="73"/>
        <v>PENN</v>
      </c>
      <c r="J1686" s="1501" t="str">
        <f t="shared" si="74"/>
        <v/>
      </c>
      <c r="K1686" s="271"/>
      <c r="L1686" s="309"/>
      <c r="M1686" s="309"/>
      <c r="N1686" s="309"/>
      <c r="O1686" s="309"/>
      <c r="P1686" s="309"/>
      <c r="Q1686" s="309"/>
      <c r="R1686" s="309"/>
      <c r="S1686" s="309"/>
      <c r="T1686" s="309"/>
      <c r="U1686" s="309"/>
    </row>
    <row r="1687" spans="1:21" ht="12.75" customHeight="1">
      <c r="A1687" s="985"/>
      <c r="B1687" s="625"/>
      <c r="C1687" s="623"/>
      <c r="D1687" s="792"/>
      <c r="E1687" s="624"/>
      <c r="F1687" s="546"/>
      <c r="G1687" s="1508"/>
      <c r="H1687" s="1501"/>
      <c r="I1687" s="1501" t="str">
        <f t="shared" si="73"/>
        <v/>
      </c>
      <c r="J1687" s="1501" t="str">
        <f t="shared" si="74"/>
        <v/>
      </c>
      <c r="K1687" s="271"/>
      <c r="L1687" s="309"/>
      <c r="M1687" s="309"/>
      <c r="N1687" s="309"/>
      <c r="O1687" s="309"/>
      <c r="P1687" s="309"/>
      <c r="Q1687" s="309"/>
      <c r="R1687" s="309"/>
      <c r="S1687" s="309"/>
      <c r="T1687" s="309"/>
      <c r="U1687" s="309"/>
    </row>
    <row r="1688" spans="1:21" ht="12.75" customHeight="1">
      <c r="A1688" s="1423">
        <v>38685</v>
      </c>
      <c r="B1688" s="625"/>
      <c r="C1688" s="623"/>
      <c r="D1688" s="792"/>
      <c r="E1688" s="624"/>
      <c r="F1688" s="546"/>
      <c r="G1688" s="1508"/>
      <c r="H1688" s="1501"/>
      <c r="I1688" s="1501" t="str">
        <f t="shared" si="73"/>
        <v/>
      </c>
      <c r="J1688" s="1501" t="str">
        <f t="shared" si="74"/>
        <v>SBUX</v>
      </c>
      <c r="K1688" s="271"/>
      <c r="L1688" s="309"/>
      <c r="M1688" s="309"/>
      <c r="N1688" s="309"/>
      <c r="O1688" s="309"/>
      <c r="P1688" s="309"/>
      <c r="Q1688" s="309"/>
      <c r="R1688" s="309"/>
      <c r="S1688" s="309"/>
      <c r="T1688" s="309"/>
      <c r="U1688" s="309"/>
    </row>
    <row r="1689" spans="1:21" ht="12.75" customHeight="1">
      <c r="A1689" s="1422" t="s">
        <v>1048</v>
      </c>
      <c r="B1689" s="625"/>
      <c r="C1689" s="623"/>
      <c r="D1689" s="792"/>
      <c r="E1689" s="624"/>
      <c r="F1689" s="546"/>
      <c r="G1689" s="1508"/>
      <c r="H1689" s="1501"/>
      <c r="I1689" s="1501" t="str">
        <f t="shared" si="73"/>
        <v/>
      </c>
      <c r="J1689" s="1501" t="str">
        <f t="shared" si="74"/>
        <v/>
      </c>
      <c r="K1689" s="271"/>
      <c r="L1689" s="309"/>
      <c r="M1689" s="309"/>
      <c r="N1689" s="309"/>
      <c r="O1689" s="309"/>
      <c r="P1689" s="309"/>
      <c r="Q1689" s="309"/>
      <c r="R1689" s="309"/>
      <c r="S1689" s="309"/>
      <c r="T1689" s="309"/>
      <c r="U1689" s="309"/>
    </row>
    <row r="1690" spans="1:21" ht="12.75" customHeight="1">
      <c r="A1690" s="985" t="s">
        <v>166</v>
      </c>
      <c r="B1690" s="625">
        <v>100</v>
      </c>
      <c r="C1690" s="623">
        <v>31.62</v>
      </c>
      <c r="D1690" s="792">
        <v>12.99</v>
      </c>
      <c r="E1690" s="624">
        <f>B1690*C1690-D1690</f>
        <v>3149.01</v>
      </c>
      <c r="F1690" s="546" t="s">
        <v>167</v>
      </c>
      <c r="G1690" s="1508"/>
      <c r="H1690" s="1501"/>
      <c r="I1690" s="1501" t="str">
        <f t="shared" ref="I1690:I1753" si="75">IF(F1690="","",IF(OR(A1689="Sell",A1690="Sell"),"",F1690))</f>
        <v>SBUX</v>
      </c>
      <c r="J1690" s="1501" t="str">
        <f t="shared" si="74"/>
        <v>STJ</v>
      </c>
      <c r="K1690" s="271"/>
      <c r="L1690" s="309"/>
      <c r="M1690" s="309"/>
      <c r="N1690" s="309"/>
      <c r="O1690" s="309"/>
      <c r="P1690" s="309"/>
      <c r="Q1690" s="309"/>
      <c r="R1690" s="309"/>
      <c r="S1690" s="309"/>
      <c r="T1690" s="309"/>
      <c r="U1690" s="309"/>
    </row>
    <row r="1691" spans="1:21" ht="12.75" customHeight="1">
      <c r="A1691" s="985"/>
      <c r="B1691" s="625"/>
      <c r="C1691" s="623"/>
      <c r="D1691" s="792"/>
      <c r="E1691" s="624"/>
      <c r="F1691" s="546"/>
      <c r="G1691" s="1508"/>
      <c r="H1691" s="1501"/>
      <c r="I1691" s="1501" t="str">
        <f t="shared" si="75"/>
        <v/>
      </c>
      <c r="J1691" s="1501" t="str">
        <f t="shared" si="74"/>
        <v/>
      </c>
      <c r="K1691" s="271"/>
      <c r="L1691" s="309"/>
      <c r="M1691" s="309"/>
      <c r="N1691" s="309"/>
      <c r="O1691" s="309"/>
      <c r="P1691" s="309"/>
      <c r="Q1691" s="309"/>
      <c r="R1691" s="309"/>
      <c r="S1691" s="309"/>
      <c r="T1691" s="309"/>
      <c r="U1691" s="309"/>
    </row>
    <row r="1692" spans="1:21" ht="12.75" customHeight="1">
      <c r="A1692" s="985" t="s">
        <v>168</v>
      </c>
      <c r="B1692" s="625">
        <v>30</v>
      </c>
      <c r="C1692" s="623">
        <v>49.11</v>
      </c>
      <c r="D1692" s="792">
        <v>12.99</v>
      </c>
      <c r="E1692" s="624">
        <f>B1692*C1692-D1692</f>
        <v>1460.31</v>
      </c>
      <c r="F1692" s="546" t="s">
        <v>169</v>
      </c>
      <c r="G1692" s="1508"/>
      <c r="H1692" s="1501"/>
      <c r="I1692" s="1501" t="str">
        <f t="shared" si="75"/>
        <v>STJ</v>
      </c>
      <c r="J1692" s="1501" t="str">
        <f t="shared" si="74"/>
        <v>ARLP</v>
      </c>
      <c r="K1692" s="271"/>
      <c r="L1692" s="309"/>
      <c r="M1692" s="309"/>
      <c r="N1692" s="309"/>
      <c r="O1692" s="309"/>
      <c r="P1692" s="309"/>
      <c r="Q1692" s="309"/>
      <c r="R1692" s="309"/>
      <c r="S1692" s="309"/>
      <c r="T1692" s="309"/>
      <c r="U1692" s="309"/>
    </row>
    <row r="1693" spans="1:21" ht="12.75" customHeight="1">
      <c r="A1693" s="985"/>
      <c r="B1693" s="625"/>
      <c r="C1693" s="623"/>
      <c r="D1693" s="792"/>
      <c r="E1693" s="624"/>
      <c r="F1693" s="546"/>
      <c r="G1693" s="1508"/>
      <c r="H1693" s="1501"/>
      <c r="I1693" s="1501" t="str">
        <f t="shared" si="75"/>
        <v/>
      </c>
      <c r="J1693" s="1501" t="str">
        <f t="shared" si="74"/>
        <v/>
      </c>
      <c r="K1693" s="271"/>
      <c r="L1693" s="309"/>
      <c r="M1693" s="309"/>
      <c r="N1693" s="309"/>
      <c r="O1693" s="309"/>
      <c r="P1693" s="309"/>
      <c r="Q1693" s="309"/>
      <c r="R1693" s="309"/>
      <c r="S1693" s="309"/>
      <c r="T1693" s="309"/>
      <c r="U1693" s="309"/>
    </row>
    <row r="1694" spans="1:21" ht="12.75" customHeight="1">
      <c r="A1694" s="985" t="s">
        <v>148</v>
      </c>
      <c r="B1694" s="625">
        <v>50</v>
      </c>
      <c r="C1694" s="623">
        <v>39.799999999999997</v>
      </c>
      <c r="D1694" s="792">
        <v>12.99</v>
      </c>
      <c r="E1694" s="624">
        <f>B1694*C1694-D1694</f>
        <v>1977.0099999999998</v>
      </c>
      <c r="F1694" s="546" t="s">
        <v>149</v>
      </c>
      <c r="G1694" s="1508"/>
      <c r="H1694" s="1501"/>
      <c r="I1694" s="1501" t="str">
        <f t="shared" si="75"/>
        <v>ARLP</v>
      </c>
      <c r="J1694" s="1501" t="str">
        <f t="shared" si="74"/>
        <v/>
      </c>
      <c r="K1694" s="271"/>
      <c r="L1694" s="309"/>
      <c r="M1694" s="309"/>
      <c r="N1694" s="309"/>
      <c r="O1694" s="309"/>
      <c r="P1694" s="309"/>
      <c r="Q1694" s="309"/>
      <c r="R1694" s="309"/>
      <c r="S1694" s="309"/>
      <c r="T1694" s="309"/>
      <c r="U1694" s="309"/>
    </row>
    <row r="1695" spans="1:21" ht="12.75" customHeight="1">
      <c r="A1695" s="985"/>
      <c r="B1695" s="625"/>
      <c r="C1695" s="623"/>
      <c r="D1695" s="792"/>
      <c r="E1695" s="624"/>
      <c r="F1695" s="546"/>
      <c r="G1695" s="1508"/>
      <c r="H1695" s="1501"/>
      <c r="I1695" s="1501" t="str">
        <f t="shared" si="75"/>
        <v/>
      </c>
      <c r="J1695" s="1501" t="str">
        <f t="shared" si="74"/>
        <v/>
      </c>
      <c r="K1695" s="271"/>
      <c r="L1695" s="309"/>
      <c r="M1695" s="309"/>
      <c r="N1695" s="309"/>
      <c r="O1695" s="309"/>
      <c r="P1695" s="309"/>
      <c r="Q1695" s="309"/>
      <c r="R1695" s="309"/>
      <c r="S1695" s="309"/>
      <c r="T1695" s="309"/>
      <c r="U1695" s="309"/>
    </row>
    <row r="1696" spans="1:21" ht="12.75" customHeight="1">
      <c r="A1696" s="1423">
        <v>38666</v>
      </c>
      <c r="B1696" s="625"/>
      <c r="C1696" s="623"/>
      <c r="D1696" s="792"/>
      <c r="E1696" s="624"/>
      <c r="F1696" s="546"/>
      <c r="G1696" s="1508"/>
      <c r="H1696" s="1501"/>
      <c r="I1696" s="1501" t="str">
        <f t="shared" si="75"/>
        <v/>
      </c>
      <c r="J1696" s="1501" t="str">
        <f t="shared" si="74"/>
        <v>APH</v>
      </c>
      <c r="K1696" s="271"/>
      <c r="L1696" s="309"/>
      <c r="M1696" s="309"/>
      <c r="N1696" s="309"/>
      <c r="O1696" s="309"/>
      <c r="P1696" s="309"/>
      <c r="Q1696" s="309"/>
      <c r="R1696" s="309"/>
      <c r="S1696" s="309"/>
      <c r="T1696" s="309"/>
      <c r="U1696" s="309"/>
    </row>
    <row r="1697" spans="1:21" ht="12.75" customHeight="1">
      <c r="A1697" s="1422" t="s">
        <v>1048</v>
      </c>
      <c r="B1697" s="625"/>
      <c r="C1697" s="623"/>
      <c r="D1697" s="792"/>
      <c r="E1697" s="624"/>
      <c r="F1697" s="546"/>
      <c r="G1697" s="1508"/>
      <c r="H1697" s="1501"/>
      <c r="I1697" s="1501" t="str">
        <f t="shared" si="75"/>
        <v/>
      </c>
      <c r="J1697" s="1501" t="str">
        <f t="shared" si="74"/>
        <v/>
      </c>
      <c r="K1697" s="271"/>
      <c r="L1697" s="309"/>
      <c r="M1697" s="309"/>
      <c r="N1697" s="309"/>
      <c r="O1697" s="309"/>
      <c r="P1697" s="309"/>
      <c r="Q1697" s="309"/>
      <c r="R1697" s="309"/>
      <c r="S1697" s="309"/>
      <c r="T1697" s="309"/>
      <c r="U1697" s="309"/>
    </row>
    <row r="1698" spans="1:21" ht="12.75" customHeight="1">
      <c r="A1698" s="985" t="s">
        <v>20</v>
      </c>
      <c r="B1698" s="625">
        <v>200</v>
      </c>
      <c r="C1698" s="623">
        <v>19.62</v>
      </c>
      <c r="D1698" s="792">
        <v>12.99</v>
      </c>
      <c r="E1698" s="624">
        <f>B1698*C1698-D1698</f>
        <v>3911.01</v>
      </c>
      <c r="F1698" s="546" t="s">
        <v>21</v>
      </c>
      <c r="G1698" s="1508"/>
      <c r="H1698" s="1501"/>
      <c r="I1698" s="1501" t="str">
        <f t="shared" si="75"/>
        <v>APH</v>
      </c>
      <c r="J1698" s="1501" t="str">
        <f t="shared" si="74"/>
        <v/>
      </c>
      <c r="K1698" s="271"/>
      <c r="L1698" s="309"/>
      <c r="M1698" s="309"/>
      <c r="N1698" s="309"/>
      <c r="O1698" s="309"/>
      <c r="P1698" s="309"/>
      <c r="Q1698" s="309"/>
      <c r="R1698" s="309"/>
      <c r="S1698" s="309"/>
      <c r="T1698" s="309"/>
      <c r="U1698" s="309"/>
    </row>
    <row r="1699" spans="1:21" ht="12.75" customHeight="1">
      <c r="A1699" s="985"/>
      <c r="B1699" s="625"/>
      <c r="C1699" s="623"/>
      <c r="D1699" s="792"/>
      <c r="E1699" s="624"/>
      <c r="F1699" s="546"/>
      <c r="G1699" s="1508"/>
      <c r="H1699" s="1501"/>
      <c r="I1699" s="1501" t="str">
        <f t="shared" si="75"/>
        <v/>
      </c>
      <c r="J1699" s="1501" t="str">
        <f t="shared" si="74"/>
        <v/>
      </c>
      <c r="K1699" s="271"/>
      <c r="L1699" s="309"/>
      <c r="M1699" s="309"/>
      <c r="N1699" s="309"/>
      <c r="O1699" s="309"/>
      <c r="P1699" s="309"/>
      <c r="Q1699" s="309"/>
      <c r="R1699" s="309"/>
      <c r="S1699" s="309"/>
      <c r="T1699" s="309"/>
      <c r="U1699" s="309"/>
    </row>
    <row r="1700" spans="1:21" ht="12.75" customHeight="1">
      <c r="A1700" s="1423">
        <v>38664</v>
      </c>
      <c r="B1700" s="625"/>
      <c r="C1700" s="623"/>
      <c r="D1700" s="792"/>
      <c r="E1700" s="624"/>
      <c r="F1700" s="546"/>
      <c r="G1700" s="1508"/>
      <c r="H1700" s="1501"/>
      <c r="I1700" s="1501" t="str">
        <f t="shared" si="75"/>
        <v/>
      </c>
      <c r="J1700" s="1501" t="str">
        <f t="shared" si="74"/>
        <v>WAG</v>
      </c>
      <c r="K1700" s="271"/>
      <c r="L1700" s="309"/>
      <c r="M1700" s="309"/>
      <c r="N1700" s="309"/>
      <c r="O1700" s="309"/>
      <c r="P1700" s="309"/>
      <c r="Q1700" s="309"/>
      <c r="R1700" s="309"/>
      <c r="S1700" s="309"/>
      <c r="T1700" s="309"/>
      <c r="U1700" s="309"/>
    </row>
    <row r="1701" spans="1:21" ht="12.75" customHeight="1">
      <c r="A1701" s="1422" t="s">
        <v>1048</v>
      </c>
      <c r="B1701" s="625"/>
      <c r="C1701" s="623"/>
      <c r="D1701" s="792"/>
      <c r="E1701" s="624"/>
      <c r="F1701" s="546"/>
      <c r="G1701" s="1508"/>
      <c r="H1701" s="1501"/>
      <c r="I1701" s="1501" t="str">
        <f t="shared" si="75"/>
        <v/>
      </c>
      <c r="J1701" s="1501" t="str">
        <f t="shared" si="74"/>
        <v/>
      </c>
      <c r="K1701" s="271"/>
      <c r="L1701" s="309"/>
      <c r="M1701" s="309"/>
      <c r="N1701" s="309"/>
      <c r="O1701" s="309"/>
      <c r="P1701" s="309"/>
      <c r="Q1701" s="309"/>
      <c r="R1701" s="309"/>
      <c r="S1701" s="309"/>
      <c r="T1701" s="309"/>
      <c r="U1701" s="309"/>
    </row>
    <row r="1702" spans="1:21" ht="12.75" customHeight="1">
      <c r="A1702" s="985" t="s">
        <v>1066</v>
      </c>
      <c r="B1702" s="625">
        <v>50</v>
      </c>
      <c r="C1702" s="623">
        <v>46.35</v>
      </c>
      <c r="D1702" s="792">
        <v>12.99</v>
      </c>
      <c r="E1702" s="624">
        <f>B1702*C1702-D1702</f>
        <v>2304.5100000000002</v>
      </c>
      <c r="F1702" s="546" t="s">
        <v>175</v>
      </c>
      <c r="G1702" s="1508"/>
      <c r="H1702" s="1501"/>
      <c r="I1702" s="1501" t="str">
        <f t="shared" si="75"/>
        <v>WAG</v>
      </c>
      <c r="J1702" s="1501" t="str">
        <f t="shared" si="74"/>
        <v/>
      </c>
      <c r="K1702" s="271"/>
      <c r="L1702" s="309"/>
      <c r="M1702" s="309"/>
      <c r="N1702" s="309"/>
      <c r="O1702" s="309"/>
      <c r="P1702" s="309"/>
      <c r="Q1702" s="309"/>
      <c r="R1702" s="309"/>
      <c r="S1702" s="309"/>
      <c r="T1702" s="309"/>
      <c r="U1702" s="309"/>
    </row>
    <row r="1703" spans="1:21" ht="12.75" customHeight="1">
      <c r="A1703" s="985"/>
      <c r="B1703" s="625"/>
      <c r="C1703" s="623"/>
      <c r="D1703" s="792"/>
      <c r="E1703" s="624"/>
      <c r="F1703" s="546"/>
      <c r="G1703" s="1508"/>
      <c r="H1703" s="1501"/>
      <c r="I1703" s="1501" t="str">
        <f t="shared" si="75"/>
        <v/>
      </c>
      <c r="J1703" s="1501" t="str">
        <f t="shared" si="74"/>
        <v/>
      </c>
      <c r="K1703" s="271"/>
      <c r="L1703" s="309"/>
      <c r="M1703" s="309"/>
      <c r="N1703" s="309"/>
      <c r="O1703" s="309"/>
      <c r="P1703" s="309"/>
      <c r="Q1703" s="309"/>
      <c r="R1703" s="309"/>
      <c r="S1703" s="309"/>
      <c r="T1703" s="309"/>
      <c r="U1703" s="309"/>
    </row>
    <row r="1704" spans="1:21" ht="12.75" customHeight="1">
      <c r="A1704" s="1423">
        <v>38659</v>
      </c>
      <c r="B1704" s="625"/>
      <c r="C1704" s="623"/>
      <c r="D1704" s="792"/>
      <c r="E1704" s="624"/>
      <c r="F1704" s="546"/>
      <c r="G1704" s="1508"/>
      <c r="H1704" s="1501"/>
      <c r="I1704" s="1501" t="str">
        <f t="shared" si="75"/>
        <v/>
      </c>
      <c r="J1704" s="1501" t="str">
        <f t="shared" si="74"/>
        <v>TEVA</v>
      </c>
      <c r="K1704" s="271"/>
      <c r="L1704" s="309"/>
      <c r="M1704" s="309"/>
      <c r="N1704" s="309"/>
      <c r="O1704" s="309"/>
      <c r="P1704" s="309"/>
      <c r="Q1704" s="309"/>
      <c r="R1704" s="309"/>
      <c r="S1704" s="309"/>
      <c r="T1704" s="309"/>
      <c r="U1704" s="309"/>
    </row>
    <row r="1705" spans="1:21" ht="12.75" customHeight="1">
      <c r="A1705" s="1422" t="s">
        <v>1048</v>
      </c>
      <c r="B1705" s="625"/>
      <c r="C1705" s="623"/>
      <c r="D1705" s="792"/>
      <c r="E1705" s="624"/>
      <c r="F1705" s="546"/>
      <c r="G1705" s="1508"/>
      <c r="H1705" s="1501"/>
      <c r="I1705" s="1501" t="str">
        <f t="shared" si="75"/>
        <v/>
      </c>
      <c r="J1705" s="1501" t="str">
        <f t="shared" si="74"/>
        <v/>
      </c>
      <c r="K1705" s="271"/>
      <c r="L1705" s="309"/>
      <c r="M1705" s="309"/>
      <c r="N1705" s="309"/>
      <c r="O1705" s="309"/>
      <c r="P1705" s="309"/>
      <c r="Q1705" s="309"/>
      <c r="R1705" s="309"/>
      <c r="S1705" s="309"/>
      <c r="T1705" s="309"/>
      <c r="U1705" s="309"/>
    </row>
    <row r="1706" spans="1:21" ht="12.75" customHeight="1">
      <c r="A1706" s="985" t="s">
        <v>46</v>
      </c>
      <c r="B1706" s="625">
        <v>75</v>
      </c>
      <c r="C1706" s="623">
        <v>38.549999999999997</v>
      </c>
      <c r="D1706" s="792">
        <v>12.99</v>
      </c>
      <c r="E1706" s="624">
        <f>B1706*C1706-D1706</f>
        <v>2878.26</v>
      </c>
      <c r="F1706" s="546" t="s">
        <v>47</v>
      </c>
      <c r="G1706" s="1508"/>
      <c r="H1706" s="1501"/>
      <c r="I1706" s="1501" t="str">
        <f t="shared" si="75"/>
        <v>TEVA</v>
      </c>
      <c r="J1706" s="1501" t="str">
        <f t="shared" si="74"/>
        <v/>
      </c>
      <c r="K1706" s="271"/>
      <c r="L1706" s="309"/>
      <c r="M1706" s="309"/>
      <c r="N1706" s="309"/>
      <c r="O1706" s="309"/>
      <c r="P1706" s="309"/>
      <c r="Q1706" s="309"/>
      <c r="R1706" s="309"/>
      <c r="S1706" s="309"/>
      <c r="T1706" s="309"/>
      <c r="U1706" s="309"/>
    </row>
    <row r="1707" spans="1:21" ht="12.75" customHeight="1">
      <c r="A1707" s="985"/>
      <c r="B1707" s="625"/>
      <c r="C1707" s="623"/>
      <c r="D1707" s="792"/>
      <c r="E1707" s="624"/>
      <c r="F1707" s="546"/>
      <c r="G1707" s="1508"/>
      <c r="H1707" s="1501"/>
      <c r="I1707" s="1501" t="str">
        <f t="shared" si="75"/>
        <v/>
      </c>
      <c r="J1707" s="1501" t="str">
        <f t="shared" si="74"/>
        <v/>
      </c>
      <c r="K1707" s="271"/>
      <c r="L1707" s="309"/>
      <c r="M1707" s="309"/>
      <c r="N1707" s="309"/>
      <c r="O1707" s="309"/>
      <c r="P1707" s="309"/>
      <c r="Q1707" s="309"/>
      <c r="R1707" s="309"/>
      <c r="S1707" s="309"/>
      <c r="T1707" s="309"/>
      <c r="U1707" s="309"/>
    </row>
    <row r="1708" spans="1:21" ht="12.75" customHeight="1">
      <c r="A1708" s="1423">
        <v>38657</v>
      </c>
      <c r="B1708" s="625"/>
      <c r="C1708" s="623"/>
      <c r="D1708" s="792"/>
      <c r="E1708" s="624"/>
      <c r="F1708" s="546"/>
      <c r="G1708" s="1508"/>
      <c r="H1708" s="1501"/>
      <c r="I1708" s="1501" t="str">
        <f t="shared" si="75"/>
        <v/>
      </c>
      <c r="J1708" s="1501" t="str">
        <f t="shared" si="74"/>
        <v>NUE</v>
      </c>
      <c r="K1708" s="271"/>
      <c r="L1708" s="309"/>
      <c r="M1708" s="309"/>
      <c r="N1708" s="309"/>
      <c r="O1708" s="309"/>
      <c r="P1708" s="309"/>
      <c r="Q1708" s="309"/>
      <c r="R1708" s="309"/>
      <c r="S1708" s="309"/>
      <c r="T1708" s="309"/>
      <c r="U1708" s="309"/>
    </row>
    <row r="1709" spans="1:21" ht="12.75" customHeight="1">
      <c r="A1709" s="1422" t="s">
        <v>1048</v>
      </c>
      <c r="B1709" s="625"/>
      <c r="C1709" s="623"/>
      <c r="D1709" s="792"/>
      <c r="E1709" s="624"/>
      <c r="F1709" s="546"/>
      <c r="G1709" s="1508"/>
      <c r="H1709" s="1501"/>
      <c r="I1709" s="1501" t="str">
        <f t="shared" si="75"/>
        <v/>
      </c>
      <c r="J1709" s="1501" t="str">
        <f t="shared" si="74"/>
        <v/>
      </c>
      <c r="K1709" s="271"/>
      <c r="L1709" s="309"/>
      <c r="M1709" s="309"/>
      <c r="N1709" s="309"/>
      <c r="O1709" s="309"/>
      <c r="P1709" s="309"/>
      <c r="Q1709" s="309"/>
      <c r="R1709" s="309"/>
      <c r="S1709" s="309"/>
      <c r="T1709" s="309"/>
      <c r="U1709" s="309"/>
    </row>
    <row r="1710" spans="1:21" ht="12.75" customHeight="1">
      <c r="A1710" s="985" t="s">
        <v>160</v>
      </c>
      <c r="B1710" s="625">
        <v>40</v>
      </c>
      <c r="C1710" s="623">
        <v>62</v>
      </c>
      <c r="D1710" s="792">
        <v>12.99</v>
      </c>
      <c r="E1710" s="624">
        <f>B1710*C1710-D1710</f>
        <v>2467.0100000000002</v>
      </c>
      <c r="F1710" s="546" t="s">
        <v>161</v>
      </c>
      <c r="G1710" s="1508"/>
      <c r="H1710" s="1501"/>
      <c r="I1710" s="1501" t="str">
        <f t="shared" si="75"/>
        <v>NUE</v>
      </c>
      <c r="J1710" s="1501" t="str">
        <f t="shared" si="74"/>
        <v>CSCO</v>
      </c>
      <c r="K1710" s="271"/>
      <c r="L1710" s="309"/>
      <c r="M1710" s="309"/>
      <c r="N1710" s="309"/>
      <c r="O1710" s="309"/>
      <c r="P1710" s="309"/>
      <c r="Q1710" s="309"/>
      <c r="R1710" s="309"/>
      <c r="S1710" s="309"/>
      <c r="T1710" s="309"/>
      <c r="U1710" s="309"/>
    </row>
    <row r="1711" spans="1:21" ht="12.75" customHeight="1">
      <c r="A1711" s="985"/>
      <c r="B1711" s="625"/>
      <c r="C1711" s="623"/>
      <c r="D1711" s="792"/>
      <c r="E1711" s="624"/>
      <c r="F1711" s="546"/>
      <c r="G1711" s="1508"/>
      <c r="H1711" s="1501"/>
      <c r="I1711" s="1501" t="str">
        <f t="shared" si="75"/>
        <v/>
      </c>
      <c r="J1711" s="1501" t="str">
        <f t="shared" si="74"/>
        <v/>
      </c>
      <c r="K1711" s="271"/>
      <c r="L1711" s="309"/>
      <c r="M1711" s="309"/>
      <c r="N1711" s="309"/>
      <c r="O1711" s="309"/>
      <c r="P1711" s="309"/>
      <c r="Q1711" s="309"/>
      <c r="R1711" s="309"/>
      <c r="S1711" s="309"/>
      <c r="T1711" s="309"/>
      <c r="U1711" s="309"/>
    </row>
    <row r="1712" spans="1:21" ht="12.75" customHeight="1">
      <c r="A1712" s="985" t="s">
        <v>151</v>
      </c>
      <c r="B1712" s="625">
        <v>200</v>
      </c>
      <c r="C1712" s="623">
        <v>17.489999999999998</v>
      </c>
      <c r="D1712" s="792">
        <v>12.99</v>
      </c>
      <c r="E1712" s="624">
        <f>B1712*C1712-D1712</f>
        <v>3485.0099999999998</v>
      </c>
      <c r="F1712" s="546" t="s">
        <v>152</v>
      </c>
      <c r="G1712" s="1508"/>
      <c r="H1712" s="1501"/>
      <c r="I1712" s="1501" t="str">
        <f t="shared" si="75"/>
        <v>CSCO</v>
      </c>
      <c r="J1712" s="1501" t="str">
        <f t="shared" si="74"/>
        <v/>
      </c>
      <c r="K1712" s="271"/>
      <c r="L1712" s="309"/>
      <c r="M1712" s="309"/>
      <c r="N1712" s="309"/>
      <c r="O1712" s="309"/>
      <c r="P1712" s="309"/>
      <c r="Q1712" s="309"/>
      <c r="R1712" s="309"/>
      <c r="S1712" s="309"/>
      <c r="T1712" s="309"/>
      <c r="U1712" s="309"/>
    </row>
    <row r="1713" spans="1:21" ht="12.75" customHeight="1">
      <c r="A1713" s="985"/>
      <c r="B1713" s="625"/>
      <c r="C1713" s="623"/>
      <c r="D1713" s="792"/>
      <c r="E1713" s="624"/>
      <c r="F1713" s="546"/>
      <c r="G1713" s="1508"/>
      <c r="H1713" s="1501"/>
      <c r="I1713" s="1501" t="str">
        <f t="shared" si="75"/>
        <v/>
      </c>
      <c r="J1713" s="1501" t="str">
        <f t="shared" si="74"/>
        <v/>
      </c>
      <c r="K1713" s="271"/>
      <c r="L1713" s="309"/>
      <c r="M1713" s="309"/>
      <c r="N1713" s="309"/>
      <c r="O1713" s="309"/>
      <c r="P1713" s="309"/>
      <c r="Q1713" s="309"/>
      <c r="R1713" s="309"/>
      <c r="S1713" s="309"/>
      <c r="T1713" s="309"/>
      <c r="U1713" s="309"/>
    </row>
    <row r="1714" spans="1:21" ht="12.75" customHeight="1">
      <c r="A1714" s="1423">
        <v>38650</v>
      </c>
      <c r="B1714" s="625"/>
      <c r="C1714" s="623"/>
      <c r="D1714" s="792"/>
      <c r="E1714" s="624"/>
      <c r="F1714" s="546"/>
      <c r="G1714" s="1508"/>
      <c r="H1714" s="1501"/>
      <c r="I1714" s="1501" t="str">
        <f t="shared" si="75"/>
        <v/>
      </c>
      <c r="J1714" s="1501" t="str">
        <f t="shared" si="74"/>
        <v>UNH</v>
      </c>
      <c r="K1714" s="271"/>
      <c r="L1714" s="309"/>
      <c r="M1714" s="309"/>
      <c r="N1714" s="309"/>
      <c r="O1714" s="309"/>
      <c r="P1714" s="309"/>
      <c r="Q1714" s="309"/>
      <c r="R1714" s="309"/>
      <c r="S1714" s="309"/>
      <c r="T1714" s="309"/>
      <c r="U1714" s="309"/>
    </row>
    <row r="1715" spans="1:21" ht="12.75" customHeight="1">
      <c r="A1715" s="1422" t="s">
        <v>1048</v>
      </c>
      <c r="B1715" s="625"/>
      <c r="C1715" s="623"/>
      <c r="D1715" s="792"/>
      <c r="E1715" s="624"/>
      <c r="F1715" s="546"/>
      <c r="G1715" s="1508"/>
      <c r="H1715" s="1501"/>
      <c r="I1715" s="1501" t="str">
        <f t="shared" si="75"/>
        <v/>
      </c>
      <c r="J1715" s="1501" t="str">
        <f t="shared" si="74"/>
        <v/>
      </c>
      <c r="K1715" s="271"/>
      <c r="L1715" s="309"/>
      <c r="M1715" s="309"/>
      <c r="N1715" s="309"/>
      <c r="O1715" s="309"/>
      <c r="P1715" s="309"/>
      <c r="Q1715" s="309"/>
      <c r="R1715" s="309"/>
      <c r="S1715" s="309"/>
      <c r="T1715" s="309"/>
      <c r="U1715" s="309"/>
    </row>
    <row r="1716" spans="1:21" ht="12.75" customHeight="1">
      <c r="A1716" s="985" t="s">
        <v>1067</v>
      </c>
      <c r="B1716" s="625">
        <v>50</v>
      </c>
      <c r="C1716" s="623">
        <v>55.18</v>
      </c>
      <c r="D1716" s="792">
        <v>12.99</v>
      </c>
      <c r="E1716" s="624">
        <f>B1716*C1716-D1716</f>
        <v>2746.01</v>
      </c>
      <c r="F1716" s="546" t="s">
        <v>173</v>
      </c>
      <c r="G1716" s="1508"/>
      <c r="H1716" s="1501"/>
      <c r="I1716" s="1501" t="str">
        <f t="shared" si="75"/>
        <v>UNH</v>
      </c>
      <c r="J1716" s="1501" t="str">
        <f t="shared" si="74"/>
        <v>DHR</v>
      </c>
      <c r="K1716" s="271"/>
      <c r="L1716" s="309"/>
      <c r="M1716" s="309"/>
      <c r="N1716" s="309"/>
      <c r="O1716" s="309"/>
      <c r="P1716" s="309"/>
      <c r="Q1716" s="309"/>
      <c r="R1716" s="309"/>
      <c r="S1716" s="309"/>
      <c r="T1716" s="309"/>
      <c r="U1716" s="309"/>
    </row>
    <row r="1717" spans="1:21" ht="12.75" customHeight="1">
      <c r="A1717" s="985"/>
      <c r="B1717" s="625"/>
      <c r="C1717" s="623"/>
      <c r="D1717" s="792"/>
      <c r="E1717" s="624"/>
      <c r="F1717" s="546"/>
      <c r="G1717" s="1508"/>
      <c r="H1717" s="1501"/>
      <c r="I1717" s="1501" t="str">
        <f t="shared" si="75"/>
        <v/>
      </c>
      <c r="J1717" s="1501" t="str">
        <f t="shared" si="74"/>
        <v/>
      </c>
      <c r="K1717" s="271"/>
      <c r="L1717" s="309"/>
      <c r="M1717" s="309"/>
      <c r="N1717" s="309"/>
      <c r="O1717" s="309"/>
      <c r="P1717" s="309"/>
      <c r="Q1717" s="309"/>
      <c r="R1717" s="309"/>
      <c r="S1717" s="309"/>
      <c r="T1717" s="309"/>
      <c r="U1717" s="309"/>
    </row>
    <row r="1718" spans="1:21" ht="12.75" customHeight="1">
      <c r="A1718" s="985" t="s">
        <v>354</v>
      </c>
      <c r="B1718" s="625">
        <v>80</v>
      </c>
      <c r="C1718" s="623">
        <v>25.375</v>
      </c>
      <c r="D1718" s="792">
        <v>12.99</v>
      </c>
      <c r="E1718" s="624">
        <f>B1718*C1718-D1718</f>
        <v>2017.01</v>
      </c>
      <c r="F1718" s="546" t="s">
        <v>25</v>
      </c>
      <c r="G1718" s="1508"/>
      <c r="H1718" s="1501"/>
      <c r="I1718" s="1501" t="str">
        <f t="shared" si="75"/>
        <v>DHR</v>
      </c>
      <c r="J1718" s="1501" t="str">
        <f t="shared" si="74"/>
        <v>BUD</v>
      </c>
      <c r="K1718" s="271"/>
      <c r="L1718" s="309"/>
      <c r="M1718" s="309"/>
      <c r="N1718" s="309"/>
      <c r="O1718" s="309"/>
      <c r="P1718" s="309"/>
      <c r="Q1718" s="309"/>
      <c r="R1718" s="309"/>
      <c r="S1718" s="309"/>
      <c r="T1718" s="309"/>
      <c r="U1718" s="309"/>
    </row>
    <row r="1719" spans="1:21" ht="12.75" customHeight="1">
      <c r="A1719" s="1422" t="s">
        <v>1021</v>
      </c>
      <c r="B1719" s="625"/>
      <c r="C1719" s="623"/>
      <c r="D1719" s="792"/>
      <c r="E1719" s="624"/>
      <c r="F1719" s="546"/>
      <c r="G1719" s="1508"/>
      <c r="H1719" s="1501"/>
      <c r="I1719" s="1501" t="str">
        <f t="shared" si="75"/>
        <v/>
      </c>
      <c r="J1719" s="1501" t="str">
        <f t="shared" si="74"/>
        <v/>
      </c>
      <c r="K1719" s="271"/>
      <c r="L1719" s="309"/>
      <c r="M1719" s="309"/>
      <c r="N1719" s="309"/>
      <c r="O1719" s="309"/>
      <c r="P1719" s="309"/>
      <c r="Q1719" s="309"/>
      <c r="R1719" s="309"/>
      <c r="S1719" s="309"/>
      <c r="T1719" s="309"/>
      <c r="U1719" s="309"/>
    </row>
    <row r="1720" spans="1:21" ht="12.75" customHeight="1">
      <c r="A1720" s="985" t="s">
        <v>1068</v>
      </c>
      <c r="B1720" s="625">
        <v>50</v>
      </c>
      <c r="C1720" s="623">
        <v>42.54</v>
      </c>
      <c r="D1720" s="792">
        <v>12.99</v>
      </c>
      <c r="E1720" s="624">
        <f>B1720*C1720-D1720</f>
        <v>2114.0100000000002</v>
      </c>
      <c r="F1720" s="546" t="s">
        <v>177</v>
      </c>
      <c r="G1720" s="1508"/>
      <c r="H1720" s="1501"/>
      <c r="I1720" s="1501" t="str">
        <f t="shared" si="75"/>
        <v>BUD</v>
      </c>
      <c r="J1720" s="1501" t="str">
        <f t="shared" si="74"/>
        <v/>
      </c>
      <c r="K1720" s="271"/>
      <c r="L1720" s="309"/>
      <c r="M1720" s="309"/>
      <c r="N1720" s="309"/>
      <c r="O1720" s="309"/>
      <c r="P1720" s="309"/>
      <c r="Q1720" s="309"/>
      <c r="R1720" s="309"/>
      <c r="S1720" s="309"/>
      <c r="T1720" s="309"/>
      <c r="U1720" s="309"/>
    </row>
    <row r="1721" spans="1:21" ht="12.75" customHeight="1">
      <c r="A1721" s="985"/>
      <c r="B1721" s="625"/>
      <c r="C1721" s="623"/>
      <c r="D1721" s="792"/>
      <c r="E1721" s="624"/>
      <c r="F1721" s="546"/>
      <c r="G1721" s="1508"/>
      <c r="H1721" s="1501"/>
      <c r="I1721" s="1501" t="str">
        <f t="shared" si="75"/>
        <v/>
      </c>
      <c r="J1721" s="1501" t="str">
        <f t="shared" si="74"/>
        <v/>
      </c>
      <c r="K1721" s="271"/>
      <c r="L1721" s="309"/>
      <c r="M1721" s="309"/>
      <c r="N1721" s="309"/>
      <c r="O1721" s="309"/>
      <c r="P1721" s="309"/>
      <c r="Q1721" s="309"/>
      <c r="R1721" s="309"/>
      <c r="S1721" s="309"/>
      <c r="T1721" s="309"/>
      <c r="U1721" s="309"/>
    </row>
    <row r="1722" spans="1:21" ht="12.75" customHeight="1">
      <c r="A1722" s="1423">
        <v>38639</v>
      </c>
      <c r="B1722" s="625"/>
      <c r="C1722" s="623"/>
      <c r="D1722" s="792"/>
      <c r="E1722" s="624"/>
      <c r="F1722" s="546"/>
      <c r="G1722" s="1508"/>
      <c r="H1722" s="1501"/>
      <c r="I1722" s="1501" t="str">
        <f t="shared" si="75"/>
        <v/>
      </c>
      <c r="J1722" s="1501" t="str">
        <f t="shared" si="74"/>
        <v>HRB</v>
      </c>
      <c r="K1722" s="271"/>
      <c r="L1722" s="309"/>
      <c r="M1722" s="309"/>
      <c r="N1722" s="309"/>
      <c r="O1722" s="309"/>
      <c r="P1722" s="309"/>
      <c r="Q1722" s="309"/>
      <c r="R1722" s="309"/>
      <c r="S1722" s="309"/>
      <c r="T1722" s="309"/>
      <c r="U1722" s="309"/>
    </row>
    <row r="1723" spans="1:21" ht="12.75" customHeight="1">
      <c r="A1723" s="1422" t="s">
        <v>1021</v>
      </c>
      <c r="B1723" s="625"/>
      <c r="C1723" s="623"/>
      <c r="D1723" s="792"/>
      <c r="E1723" s="624"/>
      <c r="F1723" s="546"/>
      <c r="G1723" s="1508"/>
      <c r="H1723" s="1501"/>
      <c r="I1723" s="1501" t="str">
        <f t="shared" si="75"/>
        <v/>
      </c>
      <c r="J1723" s="1501" t="str">
        <f t="shared" si="74"/>
        <v/>
      </c>
      <c r="K1723" s="271"/>
      <c r="L1723" s="309"/>
      <c r="M1723" s="309"/>
      <c r="N1723" s="309"/>
      <c r="O1723" s="309"/>
      <c r="P1723" s="309"/>
      <c r="Q1723" s="309"/>
      <c r="R1723" s="309"/>
      <c r="S1723" s="309"/>
      <c r="T1723" s="309"/>
      <c r="U1723" s="309"/>
    </row>
    <row r="1724" spans="1:21" ht="12.75" customHeight="1">
      <c r="A1724" s="985" t="s">
        <v>178</v>
      </c>
      <c r="B1724" s="625">
        <v>150</v>
      </c>
      <c r="C1724" s="623">
        <v>23.95</v>
      </c>
      <c r="D1724" s="792">
        <v>12.99</v>
      </c>
      <c r="E1724" s="624">
        <f>B1724*C1724-D1724</f>
        <v>3579.51</v>
      </c>
      <c r="F1724" s="546" t="s">
        <v>179</v>
      </c>
      <c r="G1724" s="1508"/>
      <c r="H1724" s="1501"/>
      <c r="I1724" s="1501" t="str">
        <f t="shared" si="75"/>
        <v>HRB</v>
      </c>
      <c r="J1724" s="1501" t="str">
        <f t="shared" si="74"/>
        <v>PHCC</v>
      </c>
      <c r="K1724" s="271"/>
      <c r="L1724" s="309"/>
      <c r="M1724" s="309"/>
      <c r="N1724" s="309"/>
      <c r="O1724" s="309"/>
      <c r="P1724" s="309"/>
      <c r="Q1724" s="309"/>
      <c r="R1724" s="309"/>
      <c r="S1724" s="309"/>
      <c r="T1724" s="309"/>
      <c r="U1724" s="309"/>
    </row>
    <row r="1725" spans="1:21" ht="12.75" customHeight="1">
      <c r="A1725" s="985"/>
      <c r="B1725" s="625"/>
      <c r="C1725" s="623"/>
      <c r="D1725" s="792"/>
      <c r="E1725" s="624"/>
      <c r="F1725" s="546"/>
      <c r="G1725" s="1508"/>
      <c r="H1725" s="1501"/>
      <c r="I1725" s="1501" t="str">
        <f t="shared" si="75"/>
        <v/>
      </c>
      <c r="J1725" s="1501" t="str">
        <f t="shared" si="74"/>
        <v/>
      </c>
      <c r="K1725" s="271"/>
      <c r="L1725" s="309"/>
      <c r="M1725" s="309"/>
      <c r="N1725" s="309"/>
      <c r="O1725" s="309"/>
      <c r="P1725" s="309"/>
      <c r="Q1725" s="309"/>
      <c r="R1725" s="309"/>
      <c r="S1725" s="309"/>
      <c r="T1725" s="309"/>
      <c r="U1725" s="309"/>
    </row>
    <row r="1726" spans="1:21" ht="12.75" customHeight="1">
      <c r="A1726" s="985" t="s">
        <v>115</v>
      </c>
      <c r="B1726" s="625">
        <v>60</v>
      </c>
      <c r="C1726" s="623">
        <v>27.99</v>
      </c>
      <c r="D1726" s="792">
        <v>12.99</v>
      </c>
      <c r="E1726" s="624">
        <f>B1726*C1726-D1726</f>
        <v>1666.4099999999999</v>
      </c>
      <c r="F1726" s="546" t="s">
        <v>116</v>
      </c>
      <c r="G1726" s="1508"/>
      <c r="H1726" s="1501"/>
      <c r="I1726" s="1501" t="str">
        <f t="shared" si="75"/>
        <v>PHCC</v>
      </c>
      <c r="J1726" s="1501" t="str">
        <f t="shared" si="74"/>
        <v>TJX</v>
      </c>
      <c r="K1726" s="271"/>
      <c r="L1726" s="309"/>
      <c r="M1726" s="309"/>
      <c r="N1726" s="309"/>
      <c r="O1726" s="309"/>
      <c r="P1726" s="309"/>
      <c r="Q1726" s="309"/>
      <c r="R1726" s="309"/>
      <c r="S1726" s="309"/>
      <c r="T1726" s="309"/>
      <c r="U1726" s="309"/>
    </row>
    <row r="1727" spans="1:21" ht="12.75" customHeight="1">
      <c r="A1727" s="985"/>
      <c r="B1727" s="625"/>
      <c r="C1727" s="623"/>
      <c r="D1727" s="792"/>
      <c r="E1727" s="624"/>
      <c r="F1727" s="546"/>
      <c r="G1727" s="1508"/>
      <c r="H1727" s="1501"/>
      <c r="I1727" s="1501" t="str">
        <f t="shared" si="75"/>
        <v/>
      </c>
      <c r="J1727" s="1501" t="str">
        <f t="shared" ref="J1727:J1790" si="76">IF(F1729="","",IF(OR(A1727="Sell",A1728="Sell"),"",F1729))</f>
        <v/>
      </c>
      <c r="K1727" s="271"/>
      <c r="L1727" s="309"/>
      <c r="M1727" s="309"/>
      <c r="N1727" s="309"/>
      <c r="O1727" s="309"/>
      <c r="P1727" s="309"/>
      <c r="Q1727" s="309"/>
      <c r="R1727" s="309"/>
      <c r="S1727" s="309"/>
      <c r="T1727" s="309"/>
      <c r="U1727" s="309"/>
    </row>
    <row r="1728" spans="1:21" ht="12.75" customHeight="1">
      <c r="A1728" s="985" t="s">
        <v>1069</v>
      </c>
      <c r="B1728" s="625">
        <v>215</v>
      </c>
      <c r="C1728" s="623">
        <v>20.971599999999999</v>
      </c>
      <c r="D1728" s="792">
        <v>12.99</v>
      </c>
      <c r="E1728" s="624">
        <f>B1728*C1728-D1728</f>
        <v>4495.9039999999995</v>
      </c>
      <c r="F1728" s="546" t="s">
        <v>124</v>
      </c>
      <c r="G1728" s="1508"/>
      <c r="H1728" s="1501"/>
      <c r="I1728" s="1501" t="str">
        <f t="shared" si="75"/>
        <v>TJX</v>
      </c>
      <c r="J1728" s="1501" t="str">
        <f t="shared" si="76"/>
        <v>RMK</v>
      </c>
      <c r="K1728" s="271"/>
      <c r="L1728" s="309"/>
      <c r="M1728" s="309"/>
      <c r="N1728" s="309"/>
      <c r="O1728" s="309"/>
      <c r="P1728" s="309"/>
      <c r="Q1728" s="309"/>
      <c r="R1728" s="309"/>
      <c r="S1728" s="309"/>
      <c r="T1728" s="309"/>
      <c r="U1728" s="309"/>
    </row>
    <row r="1729" spans="1:21" ht="12.75" customHeight="1">
      <c r="A1729" s="985"/>
      <c r="B1729" s="625"/>
      <c r="C1729" s="623"/>
      <c r="D1729" s="792"/>
      <c r="E1729" s="624"/>
      <c r="F1729" s="546"/>
      <c r="G1729" s="1508"/>
      <c r="H1729" s="1501"/>
      <c r="I1729" s="1501" t="str">
        <f t="shared" si="75"/>
        <v/>
      </c>
      <c r="J1729" s="1501" t="str">
        <f t="shared" si="76"/>
        <v/>
      </c>
      <c r="K1729" s="271"/>
      <c r="L1729" s="309"/>
      <c r="M1729" s="309"/>
      <c r="N1729" s="309"/>
      <c r="O1729" s="309"/>
      <c r="P1729" s="309"/>
      <c r="Q1729" s="309"/>
      <c r="R1729" s="309"/>
      <c r="S1729" s="309"/>
      <c r="T1729" s="309"/>
      <c r="U1729" s="309"/>
    </row>
    <row r="1730" spans="1:21" ht="12.75" customHeight="1">
      <c r="A1730" s="985" t="s">
        <v>88</v>
      </c>
      <c r="B1730" s="625">
        <v>20</v>
      </c>
      <c r="C1730" s="623">
        <v>25.41</v>
      </c>
      <c r="D1730" s="792">
        <v>12.99</v>
      </c>
      <c r="E1730" s="624">
        <f>B1730*C1730-D1730</f>
        <v>495.21</v>
      </c>
      <c r="F1730" s="546" t="s">
        <v>89</v>
      </c>
      <c r="G1730" s="1508"/>
      <c r="H1730" s="1501"/>
      <c r="I1730" s="1501" t="str">
        <f t="shared" si="75"/>
        <v>RMK</v>
      </c>
      <c r="J1730" s="1501" t="str">
        <f t="shared" si="76"/>
        <v>FRX</v>
      </c>
      <c r="K1730" s="271"/>
      <c r="L1730" s="309"/>
      <c r="M1730" s="309"/>
      <c r="N1730" s="309"/>
      <c r="O1730" s="309"/>
      <c r="P1730" s="309"/>
      <c r="Q1730" s="309"/>
      <c r="R1730" s="309"/>
      <c r="S1730" s="309"/>
      <c r="T1730" s="309"/>
      <c r="U1730" s="309"/>
    </row>
    <row r="1731" spans="1:21" ht="12.75" customHeight="1">
      <c r="A1731" s="985"/>
      <c r="B1731" s="625"/>
      <c r="C1731" s="623"/>
      <c r="D1731" s="792"/>
      <c r="E1731" s="624"/>
      <c r="F1731" s="546"/>
      <c r="G1731" s="1508"/>
      <c r="H1731" s="1501"/>
      <c r="I1731" s="1501" t="str">
        <f t="shared" si="75"/>
        <v/>
      </c>
      <c r="J1731" s="1501" t="str">
        <f t="shared" si="76"/>
        <v/>
      </c>
      <c r="K1731" s="271"/>
      <c r="L1731" s="309"/>
      <c r="M1731" s="309"/>
      <c r="N1731" s="309"/>
      <c r="O1731" s="309"/>
      <c r="P1731" s="309"/>
      <c r="Q1731" s="309"/>
      <c r="R1731" s="309"/>
      <c r="S1731" s="309"/>
      <c r="T1731" s="309"/>
      <c r="U1731" s="309"/>
    </row>
    <row r="1732" spans="1:21" ht="12.75" customHeight="1">
      <c r="A1732" s="985" t="s">
        <v>101</v>
      </c>
      <c r="B1732" s="625">
        <v>40</v>
      </c>
      <c r="C1732" s="623">
        <v>34.72</v>
      </c>
      <c r="D1732" s="792">
        <v>12.99</v>
      </c>
      <c r="E1732" s="624">
        <f>B1732*C1732-D1732</f>
        <v>1375.81</v>
      </c>
      <c r="F1732" s="546" t="s">
        <v>102</v>
      </c>
      <c r="G1732" s="1508"/>
      <c r="H1732" s="1501"/>
      <c r="I1732" s="1501" t="str">
        <f t="shared" si="75"/>
        <v>FRX</v>
      </c>
      <c r="J1732" s="1501" t="str">
        <f t="shared" si="76"/>
        <v>PFE</v>
      </c>
      <c r="K1732" s="271"/>
      <c r="L1732" s="309"/>
      <c r="M1732" s="309"/>
      <c r="N1732" s="309"/>
      <c r="O1732" s="309"/>
      <c r="P1732" s="309"/>
      <c r="Q1732" s="309"/>
      <c r="R1732" s="309"/>
      <c r="S1732" s="309"/>
      <c r="T1732" s="309"/>
      <c r="U1732" s="309"/>
    </row>
    <row r="1733" spans="1:21" ht="12.75" customHeight="1">
      <c r="A1733" s="985"/>
      <c r="B1733" s="625"/>
      <c r="C1733" s="623"/>
      <c r="D1733" s="792"/>
      <c r="E1733" s="624"/>
      <c r="F1733" s="546"/>
      <c r="G1733" s="1508"/>
      <c r="H1733" s="1501"/>
      <c r="I1733" s="1501" t="str">
        <f t="shared" si="75"/>
        <v/>
      </c>
      <c r="J1733" s="1501" t="str">
        <f t="shared" si="76"/>
        <v/>
      </c>
      <c r="K1733" s="271"/>
      <c r="L1733" s="309"/>
      <c r="M1733" s="309"/>
      <c r="N1733" s="309"/>
      <c r="O1733" s="309"/>
      <c r="P1733" s="309"/>
      <c r="Q1733" s="309"/>
      <c r="R1733" s="309"/>
      <c r="S1733" s="309"/>
      <c r="T1733" s="309"/>
      <c r="U1733" s="309"/>
    </row>
    <row r="1734" spans="1:21" ht="12.75" customHeight="1">
      <c r="A1734" s="985" t="s">
        <v>1070</v>
      </c>
      <c r="B1734" s="625">
        <v>100</v>
      </c>
      <c r="C1734" s="623">
        <v>23.9923</v>
      </c>
      <c r="D1734" s="792">
        <v>12.99</v>
      </c>
      <c r="E1734" s="624">
        <f>B1734*C1734-D1734</f>
        <v>2386.2400000000002</v>
      </c>
      <c r="F1734" s="546" t="s">
        <v>112</v>
      </c>
      <c r="G1734" s="1508"/>
      <c r="H1734" s="1501"/>
      <c r="I1734" s="1501" t="str">
        <f t="shared" si="75"/>
        <v>PFE</v>
      </c>
      <c r="J1734" s="1501" t="str">
        <f t="shared" si="76"/>
        <v/>
      </c>
      <c r="K1734" s="271"/>
      <c r="L1734" s="309"/>
      <c r="M1734" s="309"/>
      <c r="N1734" s="309"/>
      <c r="O1734" s="309"/>
      <c r="P1734" s="309"/>
      <c r="Q1734" s="309"/>
      <c r="R1734" s="309"/>
      <c r="S1734" s="309"/>
      <c r="T1734" s="309"/>
      <c r="U1734" s="309"/>
    </row>
    <row r="1735" spans="1:21" ht="12.75" customHeight="1">
      <c r="A1735" s="985"/>
      <c r="B1735" s="625"/>
      <c r="C1735" s="623"/>
      <c r="D1735" s="792"/>
      <c r="E1735" s="624"/>
      <c r="F1735" s="546"/>
      <c r="G1735" s="1508"/>
      <c r="H1735" s="1501"/>
      <c r="I1735" s="1501" t="str">
        <f t="shared" si="75"/>
        <v/>
      </c>
      <c r="J1735" s="1501" t="str">
        <f t="shared" si="76"/>
        <v/>
      </c>
      <c r="K1735" s="271"/>
      <c r="L1735" s="309"/>
      <c r="M1735" s="309"/>
      <c r="N1735" s="309"/>
      <c r="O1735" s="309"/>
      <c r="P1735" s="309"/>
      <c r="Q1735" s="309"/>
      <c r="R1735" s="309"/>
      <c r="S1735" s="309"/>
      <c r="T1735" s="309"/>
      <c r="U1735" s="309"/>
    </row>
    <row r="1736" spans="1:21" ht="12.75" customHeight="1">
      <c r="A1736" s="1423">
        <v>38628</v>
      </c>
      <c r="B1736" s="625"/>
      <c r="C1736" s="623"/>
      <c r="D1736" s="792"/>
      <c r="E1736" s="624"/>
      <c r="F1736" s="546"/>
      <c r="G1736" s="1508"/>
      <c r="H1736" s="1501"/>
      <c r="I1736" s="1501" t="str">
        <f t="shared" si="75"/>
        <v/>
      </c>
      <c r="J1736" s="1501" t="str">
        <f t="shared" si="76"/>
        <v>CBK</v>
      </c>
      <c r="K1736" s="271"/>
      <c r="L1736" s="309"/>
      <c r="M1736" s="309"/>
      <c r="N1736" s="309"/>
      <c r="O1736" s="309"/>
      <c r="P1736" s="309"/>
      <c r="Q1736" s="309"/>
      <c r="R1736" s="309"/>
      <c r="S1736" s="309"/>
      <c r="T1736" s="309"/>
      <c r="U1736" s="309"/>
    </row>
    <row r="1737" spans="1:21" ht="12.75" customHeight="1">
      <c r="A1737" s="1422" t="s">
        <v>1021</v>
      </c>
      <c r="B1737" s="625"/>
      <c r="C1737" s="623"/>
      <c r="D1737" s="792"/>
      <c r="E1737" s="624"/>
      <c r="F1737" s="546"/>
      <c r="G1737" s="1508"/>
      <c r="H1737" s="1501"/>
      <c r="I1737" s="1501" t="str">
        <f t="shared" si="75"/>
        <v/>
      </c>
      <c r="J1737" s="1501" t="str">
        <f t="shared" si="76"/>
        <v/>
      </c>
      <c r="K1737" s="271"/>
      <c r="L1737" s="309"/>
      <c r="M1737" s="309"/>
      <c r="N1737" s="309"/>
      <c r="O1737" s="309"/>
      <c r="P1737" s="309"/>
      <c r="Q1737" s="309"/>
      <c r="R1737" s="309"/>
      <c r="S1737" s="309"/>
      <c r="T1737" s="309"/>
      <c r="U1737" s="309"/>
    </row>
    <row r="1738" spans="1:21" ht="12.75" customHeight="1">
      <c r="A1738" s="985" t="s">
        <v>1071</v>
      </c>
      <c r="B1738" s="625">
        <v>75</v>
      </c>
      <c r="C1738" s="623">
        <v>13.97</v>
      </c>
      <c r="D1738" s="792">
        <v>12.99</v>
      </c>
      <c r="E1738" s="624">
        <f>B1738*C1738-D1738</f>
        <v>1034.76</v>
      </c>
      <c r="F1738" s="546" t="s">
        <v>91</v>
      </c>
      <c r="G1738" s="1508"/>
      <c r="H1738" s="1501"/>
      <c r="I1738" s="1501" t="str">
        <f t="shared" si="75"/>
        <v>CBK</v>
      </c>
      <c r="J1738" s="1501" t="str">
        <f t="shared" si="76"/>
        <v>COCO</v>
      </c>
      <c r="K1738" s="271"/>
      <c r="L1738" s="309"/>
      <c r="M1738" s="309"/>
      <c r="N1738" s="309"/>
      <c r="O1738" s="309"/>
      <c r="P1738" s="309"/>
      <c r="Q1738" s="309"/>
      <c r="R1738" s="309"/>
      <c r="S1738" s="309"/>
      <c r="T1738" s="309"/>
      <c r="U1738" s="309"/>
    </row>
    <row r="1739" spans="1:21" ht="12.75" customHeight="1">
      <c r="A1739" s="985"/>
      <c r="B1739" s="625"/>
      <c r="C1739" s="623"/>
      <c r="D1739" s="792"/>
      <c r="E1739" s="624"/>
      <c r="F1739" s="546"/>
      <c r="G1739" s="1508"/>
      <c r="H1739" s="1501"/>
      <c r="I1739" s="1501" t="str">
        <f t="shared" si="75"/>
        <v/>
      </c>
      <c r="J1739" s="1501" t="str">
        <f t="shared" si="76"/>
        <v/>
      </c>
      <c r="K1739" s="271"/>
      <c r="L1739" s="309"/>
      <c r="M1739" s="309"/>
      <c r="N1739" s="309"/>
      <c r="O1739" s="309"/>
      <c r="P1739" s="309"/>
      <c r="Q1739" s="309"/>
      <c r="R1739" s="309"/>
      <c r="S1739" s="309"/>
      <c r="T1739" s="309"/>
      <c r="U1739" s="309"/>
    </row>
    <row r="1740" spans="1:21" ht="12.75" customHeight="1">
      <c r="A1740" s="985" t="s">
        <v>92</v>
      </c>
      <c r="B1740" s="625">
        <v>34</v>
      </c>
      <c r="C1740" s="623">
        <v>13.531000000000001</v>
      </c>
      <c r="D1740" s="792">
        <v>12.99</v>
      </c>
      <c r="E1740" s="624">
        <f>B1740*C1740-D1740</f>
        <v>447.06400000000002</v>
      </c>
      <c r="F1740" s="546" t="s">
        <v>93</v>
      </c>
      <c r="G1740" s="1508"/>
      <c r="H1740" s="1501"/>
      <c r="I1740" s="1501" t="str">
        <f t="shared" si="75"/>
        <v>COCO</v>
      </c>
      <c r="J1740" s="1501" t="str">
        <f t="shared" si="76"/>
        <v>DRL</v>
      </c>
      <c r="K1740" s="271"/>
      <c r="L1740" s="309"/>
      <c r="M1740" s="309"/>
      <c r="N1740" s="309"/>
      <c r="O1740" s="309"/>
      <c r="P1740" s="309"/>
      <c r="Q1740" s="309"/>
      <c r="R1740" s="309"/>
      <c r="S1740" s="309"/>
      <c r="T1740" s="309"/>
      <c r="U1740" s="309"/>
    </row>
    <row r="1741" spans="1:21" ht="12.75" customHeight="1">
      <c r="A1741" s="985"/>
      <c r="B1741" s="625"/>
      <c r="C1741" s="623"/>
      <c r="D1741" s="792"/>
      <c r="E1741" s="624"/>
      <c r="F1741" s="546"/>
      <c r="G1741" s="1508"/>
      <c r="H1741" s="1501"/>
      <c r="I1741" s="1501" t="str">
        <f t="shared" si="75"/>
        <v/>
      </c>
      <c r="J1741" s="1501" t="str">
        <f t="shared" si="76"/>
        <v/>
      </c>
      <c r="K1741" s="271"/>
      <c r="L1741" s="309"/>
      <c r="M1741" s="309"/>
      <c r="N1741" s="309"/>
      <c r="O1741" s="309"/>
      <c r="P1741" s="309"/>
      <c r="Q1741" s="309"/>
      <c r="R1741" s="309"/>
      <c r="S1741" s="309"/>
      <c r="T1741" s="309"/>
      <c r="U1741" s="309"/>
    </row>
    <row r="1742" spans="1:21" ht="12.75" customHeight="1">
      <c r="A1742" s="985" t="s">
        <v>99</v>
      </c>
      <c r="B1742" s="625">
        <v>121</v>
      </c>
      <c r="C1742" s="623">
        <v>12.7812</v>
      </c>
      <c r="D1742" s="792">
        <v>12.99</v>
      </c>
      <c r="E1742" s="624">
        <f>B1742*C1742-D1742</f>
        <v>1533.5352</v>
      </c>
      <c r="F1742" s="546" t="s">
        <v>100</v>
      </c>
      <c r="G1742" s="1508"/>
      <c r="H1742" s="1501"/>
      <c r="I1742" s="1501" t="str">
        <f t="shared" si="75"/>
        <v>DRL</v>
      </c>
      <c r="J1742" s="1501" t="str">
        <f t="shared" si="76"/>
        <v>UTSI</v>
      </c>
      <c r="K1742" s="271"/>
      <c r="L1742" s="309"/>
      <c r="M1742" s="309"/>
      <c r="N1742" s="309"/>
      <c r="O1742" s="309"/>
      <c r="P1742" s="309"/>
      <c r="Q1742" s="309"/>
      <c r="R1742" s="309"/>
      <c r="S1742" s="309"/>
      <c r="T1742" s="309"/>
      <c r="U1742" s="309"/>
    </row>
    <row r="1743" spans="1:21" ht="12.75" customHeight="1">
      <c r="A1743" s="985"/>
      <c r="B1743" s="625"/>
      <c r="C1743" s="623"/>
      <c r="D1743" s="792"/>
      <c r="E1743" s="624"/>
      <c r="F1743" s="546"/>
      <c r="G1743" s="1508"/>
      <c r="H1743" s="1501"/>
      <c r="I1743" s="1501" t="str">
        <f t="shared" si="75"/>
        <v/>
      </c>
      <c r="J1743" s="1501" t="str">
        <f t="shared" si="76"/>
        <v/>
      </c>
      <c r="K1743" s="271"/>
      <c r="L1743" s="309"/>
      <c r="M1743" s="309"/>
      <c r="N1743" s="309"/>
      <c r="O1743" s="309"/>
      <c r="P1743" s="309"/>
      <c r="Q1743" s="309"/>
      <c r="R1743" s="309"/>
      <c r="S1743" s="309"/>
      <c r="T1743" s="309"/>
      <c r="U1743" s="309"/>
    </row>
    <row r="1744" spans="1:21" ht="12.75" customHeight="1">
      <c r="A1744" s="985" t="s">
        <v>125</v>
      </c>
      <c r="B1744" s="625">
        <v>43</v>
      </c>
      <c r="C1744" s="623">
        <v>8.0500000000000007</v>
      </c>
      <c r="D1744" s="792">
        <v>12.99</v>
      </c>
      <c r="E1744" s="624">
        <f>B1744*C1744-D1744</f>
        <v>333.16</v>
      </c>
      <c r="F1744" s="546" t="s">
        <v>126</v>
      </c>
      <c r="G1744" s="1508"/>
      <c r="H1744" s="1501"/>
      <c r="I1744" s="1501" t="str">
        <f t="shared" si="75"/>
        <v>UTSI</v>
      </c>
      <c r="J1744" s="1501" t="str">
        <f t="shared" si="76"/>
        <v>NEW</v>
      </c>
      <c r="K1744" s="271"/>
      <c r="L1744" s="309"/>
      <c r="M1744" s="309"/>
      <c r="N1744" s="309"/>
      <c r="O1744" s="309"/>
      <c r="P1744" s="309"/>
      <c r="Q1744" s="309"/>
      <c r="R1744" s="309"/>
      <c r="S1744" s="309"/>
      <c r="T1744" s="309"/>
      <c r="U1744" s="309"/>
    </row>
    <row r="1745" spans="1:21" ht="12.75" customHeight="1">
      <c r="A1745" s="985"/>
      <c r="B1745" s="625"/>
      <c r="C1745" s="623"/>
      <c r="D1745" s="792"/>
      <c r="E1745" s="624"/>
      <c r="F1745" s="546"/>
      <c r="G1745" s="1508"/>
      <c r="H1745" s="1501"/>
      <c r="I1745" s="1501" t="str">
        <f t="shared" si="75"/>
        <v/>
      </c>
      <c r="J1745" s="1501" t="str">
        <f t="shared" si="76"/>
        <v/>
      </c>
      <c r="K1745" s="271"/>
      <c r="L1745" s="309"/>
      <c r="M1745" s="309"/>
      <c r="N1745" s="309"/>
      <c r="O1745" s="309"/>
      <c r="P1745" s="309"/>
      <c r="Q1745" s="309"/>
      <c r="R1745" s="309"/>
      <c r="S1745" s="309"/>
      <c r="T1745" s="309"/>
      <c r="U1745" s="309"/>
    </row>
    <row r="1746" spans="1:21" ht="12.75" customHeight="1">
      <c r="A1746" s="985" t="s">
        <v>1072</v>
      </c>
      <c r="B1746" s="625">
        <v>80</v>
      </c>
      <c r="C1746" s="623">
        <v>36.42</v>
      </c>
      <c r="D1746" s="792">
        <v>12.99</v>
      </c>
      <c r="E1746" s="624">
        <f>B1746*C1746-D1746</f>
        <v>2900.6100000000006</v>
      </c>
      <c r="F1746" s="546" t="s">
        <v>181</v>
      </c>
      <c r="G1746" s="1508"/>
      <c r="H1746" s="1501"/>
      <c r="I1746" s="1501" t="str">
        <f t="shared" si="75"/>
        <v>NEW</v>
      </c>
      <c r="J1746" s="1501" t="str">
        <f t="shared" si="76"/>
        <v/>
      </c>
      <c r="K1746" s="271"/>
      <c r="L1746" s="309"/>
      <c r="M1746" s="309"/>
      <c r="N1746" s="309"/>
      <c r="O1746" s="309"/>
      <c r="P1746" s="309"/>
      <c r="Q1746" s="309"/>
      <c r="R1746" s="309"/>
      <c r="S1746" s="309"/>
      <c r="T1746" s="309"/>
      <c r="U1746" s="309"/>
    </row>
    <row r="1747" spans="1:21" ht="12.75" customHeight="1">
      <c r="A1747" s="985"/>
      <c r="B1747" s="625"/>
      <c r="C1747" s="623"/>
      <c r="D1747" s="792"/>
      <c r="E1747" s="624"/>
      <c r="F1747" s="546"/>
      <c r="G1747" s="1508"/>
      <c r="H1747" s="1501"/>
      <c r="I1747" s="1501" t="str">
        <f t="shared" si="75"/>
        <v/>
      </c>
      <c r="J1747" s="1501" t="str">
        <f t="shared" si="76"/>
        <v/>
      </c>
      <c r="K1747" s="271"/>
      <c r="L1747" s="309"/>
      <c r="M1747" s="309"/>
      <c r="N1747" s="309"/>
      <c r="O1747" s="309"/>
      <c r="P1747" s="309"/>
      <c r="Q1747" s="309"/>
      <c r="R1747" s="309"/>
      <c r="S1747" s="309"/>
      <c r="T1747" s="309"/>
      <c r="U1747" s="309"/>
    </row>
    <row r="1748" spans="1:21" ht="12.75" customHeight="1">
      <c r="A1748" s="1423">
        <v>38527</v>
      </c>
      <c r="B1748" s="625"/>
      <c r="C1748" s="623"/>
      <c r="D1748" s="792"/>
      <c r="E1748" s="624"/>
      <c r="F1748" s="546"/>
      <c r="G1748" s="1508"/>
      <c r="H1748" s="1501"/>
      <c r="I1748" s="1501" t="str">
        <f t="shared" si="75"/>
        <v/>
      </c>
      <c r="J1748" s="1501" t="str">
        <f t="shared" si="76"/>
        <v>HOTT</v>
      </c>
      <c r="K1748" s="271"/>
      <c r="L1748" s="309"/>
      <c r="M1748" s="309"/>
      <c r="N1748" s="309"/>
      <c r="O1748" s="309"/>
      <c r="P1748" s="309"/>
      <c r="Q1748" s="309"/>
      <c r="R1748" s="309"/>
      <c r="S1748" s="309"/>
      <c r="T1748" s="309"/>
      <c r="U1748" s="309"/>
    </row>
    <row r="1749" spans="1:21" ht="12.75" customHeight="1">
      <c r="A1749" s="1422" t="s">
        <v>1021</v>
      </c>
      <c r="B1749" s="625"/>
      <c r="C1749" s="623"/>
      <c r="D1749" s="792"/>
      <c r="E1749" s="624"/>
      <c r="F1749" s="546"/>
      <c r="G1749" s="1508"/>
      <c r="H1749" s="1501"/>
      <c r="I1749" s="1501" t="str">
        <f t="shared" si="75"/>
        <v/>
      </c>
      <c r="J1749" s="1501" t="str">
        <f t="shared" si="76"/>
        <v/>
      </c>
      <c r="K1749" s="271"/>
      <c r="L1749" s="309"/>
      <c r="M1749" s="309"/>
      <c r="N1749" s="309"/>
      <c r="O1749" s="309"/>
      <c r="P1749" s="309"/>
      <c r="Q1749" s="309"/>
      <c r="R1749" s="309"/>
      <c r="S1749" s="309"/>
      <c r="T1749" s="309"/>
      <c r="U1749" s="309"/>
    </row>
    <row r="1750" spans="1:21" ht="12.75" customHeight="1">
      <c r="A1750" s="985" t="s">
        <v>105</v>
      </c>
      <c r="B1750" s="625">
        <v>32</v>
      </c>
      <c r="C1750" s="623">
        <v>16.98</v>
      </c>
      <c r="D1750" s="792">
        <v>12.99</v>
      </c>
      <c r="E1750" s="624">
        <f>B1750*C1750-D1750</f>
        <v>530.37</v>
      </c>
      <c r="F1750" s="546" t="s">
        <v>106</v>
      </c>
      <c r="G1750" s="1508"/>
      <c r="H1750" s="1501"/>
      <c r="I1750" s="1501" t="str">
        <f t="shared" si="75"/>
        <v>HOTT</v>
      </c>
      <c r="J1750" s="1501" t="str">
        <f t="shared" si="76"/>
        <v>THO</v>
      </c>
      <c r="K1750" s="271"/>
      <c r="L1750" s="309"/>
      <c r="M1750" s="309"/>
      <c r="N1750" s="309"/>
      <c r="O1750" s="309"/>
      <c r="P1750" s="309"/>
      <c r="Q1750" s="309"/>
      <c r="R1750" s="309"/>
      <c r="S1750" s="309"/>
      <c r="T1750" s="309"/>
      <c r="U1750" s="309"/>
    </row>
    <row r="1751" spans="1:21" ht="12.75" customHeight="1">
      <c r="A1751" s="985"/>
      <c r="B1751" s="625"/>
      <c r="C1751" s="623"/>
      <c r="D1751" s="792"/>
      <c r="E1751" s="624"/>
      <c r="F1751" s="546"/>
      <c r="G1751" s="1508"/>
      <c r="H1751" s="1501"/>
      <c r="I1751" s="1501" t="str">
        <f t="shared" si="75"/>
        <v/>
      </c>
      <c r="J1751" s="1501" t="str">
        <f t="shared" si="76"/>
        <v/>
      </c>
      <c r="K1751" s="271"/>
      <c r="L1751" s="309"/>
      <c r="M1751" s="309"/>
      <c r="N1751" s="309"/>
      <c r="O1751" s="309"/>
      <c r="P1751" s="309"/>
      <c r="Q1751" s="309"/>
      <c r="R1751" s="309"/>
      <c r="S1751" s="309"/>
      <c r="T1751" s="309"/>
      <c r="U1751" s="309"/>
    </row>
    <row r="1752" spans="1:21" ht="12.75" customHeight="1">
      <c r="A1752" s="985" t="s">
        <v>119</v>
      </c>
      <c r="B1752" s="625">
        <v>140</v>
      </c>
      <c r="C1752" s="623">
        <v>30.5</v>
      </c>
      <c r="D1752" s="792">
        <v>12.99</v>
      </c>
      <c r="E1752" s="624">
        <f>B1752*C1752-D1752</f>
        <v>4257.01</v>
      </c>
      <c r="F1752" s="546" t="s">
        <v>120</v>
      </c>
      <c r="G1752" s="1508"/>
      <c r="H1752" s="1501"/>
      <c r="I1752" s="1501" t="str">
        <f t="shared" si="75"/>
        <v>THO</v>
      </c>
      <c r="J1752" s="1501" t="str">
        <f t="shared" si="76"/>
        <v/>
      </c>
      <c r="K1752" s="271"/>
      <c r="L1752" s="309"/>
      <c r="M1752" s="309"/>
      <c r="N1752" s="309"/>
      <c r="O1752" s="309"/>
      <c r="P1752" s="309"/>
      <c r="Q1752" s="309"/>
      <c r="R1752" s="309"/>
      <c r="S1752" s="309"/>
      <c r="T1752" s="309"/>
      <c r="U1752" s="309"/>
    </row>
    <row r="1753" spans="1:21" ht="12.75" customHeight="1">
      <c r="A1753" s="985"/>
      <c r="B1753" s="625"/>
      <c r="C1753" s="623"/>
      <c r="D1753" s="792"/>
      <c r="E1753" s="624"/>
      <c r="F1753" s="546"/>
      <c r="G1753" s="1508"/>
      <c r="H1753" s="1501"/>
      <c r="I1753" s="1501" t="str">
        <f t="shared" si="75"/>
        <v/>
      </c>
      <c r="J1753" s="1501" t="str">
        <f t="shared" si="76"/>
        <v/>
      </c>
      <c r="K1753" s="271"/>
      <c r="L1753" s="309"/>
      <c r="M1753" s="309"/>
      <c r="N1753" s="309"/>
      <c r="O1753" s="309"/>
      <c r="P1753" s="309"/>
      <c r="Q1753" s="309"/>
      <c r="R1753" s="309"/>
      <c r="S1753" s="309"/>
      <c r="T1753" s="309"/>
      <c r="U1753" s="309"/>
    </row>
    <row r="1754" spans="1:21" ht="12.75" customHeight="1">
      <c r="A1754" s="1423">
        <v>38464</v>
      </c>
      <c r="B1754" s="625"/>
      <c r="C1754" s="623"/>
      <c r="D1754" s="792"/>
      <c r="E1754" s="624"/>
      <c r="F1754" s="546"/>
      <c r="G1754" s="1508"/>
      <c r="H1754" s="1501"/>
      <c r="I1754" s="1501" t="str">
        <f t="shared" ref="I1754:I1817" si="77">IF(F1754="","",IF(OR(A1753="Sell",A1754="Sell"),"",F1754))</f>
        <v/>
      </c>
      <c r="J1754" s="1501" t="str">
        <f t="shared" si="76"/>
        <v>KRB</v>
      </c>
      <c r="K1754" s="271"/>
      <c r="L1754" s="309"/>
      <c r="M1754" s="309"/>
      <c r="N1754" s="309"/>
      <c r="O1754" s="309"/>
      <c r="P1754" s="309"/>
      <c r="Q1754" s="309"/>
      <c r="R1754" s="309"/>
      <c r="S1754" s="309"/>
      <c r="T1754" s="309"/>
      <c r="U1754" s="309"/>
    </row>
    <row r="1755" spans="1:21" ht="12.75" customHeight="1">
      <c r="A1755" s="1422" t="s">
        <v>1048</v>
      </c>
      <c r="B1755" s="625"/>
      <c r="C1755" s="623"/>
      <c r="D1755" s="792"/>
      <c r="E1755" s="624"/>
      <c r="F1755" s="546"/>
      <c r="G1755" s="1508"/>
      <c r="H1755" s="1501"/>
      <c r="I1755" s="1501" t="str">
        <f t="shared" si="77"/>
        <v/>
      </c>
      <c r="J1755" s="1501" t="str">
        <f t="shared" si="76"/>
        <v/>
      </c>
      <c r="K1755" s="271"/>
      <c r="L1755" s="309"/>
      <c r="M1755" s="309"/>
      <c r="N1755" s="309"/>
      <c r="O1755" s="309"/>
      <c r="P1755" s="309"/>
      <c r="Q1755" s="309"/>
      <c r="R1755" s="309"/>
      <c r="S1755" s="309"/>
      <c r="T1755" s="309"/>
      <c r="U1755" s="309"/>
    </row>
    <row r="1756" spans="1:21" ht="12.75" customHeight="1">
      <c r="A1756" s="985" t="s">
        <v>158</v>
      </c>
      <c r="B1756" s="625">
        <v>100</v>
      </c>
      <c r="C1756" s="623">
        <v>18.850000000000001</v>
      </c>
      <c r="D1756" s="792">
        <v>12.99</v>
      </c>
      <c r="E1756" s="624">
        <f>B1756*C1756-D1756</f>
        <v>1872.0100000000002</v>
      </c>
      <c r="F1756" s="546" t="s">
        <v>159</v>
      </c>
      <c r="G1756" s="1508"/>
      <c r="H1756" s="1501"/>
      <c r="I1756" s="1501" t="str">
        <f t="shared" si="77"/>
        <v>KRB</v>
      </c>
      <c r="J1756" s="1501" t="str">
        <f t="shared" si="76"/>
        <v>SRE</v>
      </c>
      <c r="K1756" s="271"/>
      <c r="L1756" s="309"/>
      <c r="M1756" s="309"/>
      <c r="N1756" s="309"/>
      <c r="O1756" s="309"/>
      <c r="P1756" s="309"/>
      <c r="Q1756" s="309"/>
      <c r="R1756" s="309"/>
      <c r="S1756" s="309"/>
      <c r="T1756" s="309"/>
      <c r="U1756" s="309"/>
    </row>
    <row r="1757" spans="1:21" ht="12.75" customHeight="1">
      <c r="A1757" s="985"/>
      <c r="B1757" s="625"/>
      <c r="C1757" s="623"/>
      <c r="D1757" s="792"/>
      <c r="E1757" s="624"/>
      <c r="F1757" s="546"/>
      <c r="G1757" s="1508"/>
      <c r="H1757" s="1501"/>
      <c r="I1757" s="1501" t="str">
        <f t="shared" si="77"/>
        <v/>
      </c>
      <c r="J1757" s="1501" t="str">
        <f t="shared" si="76"/>
        <v/>
      </c>
      <c r="K1757" s="271"/>
      <c r="L1757" s="309"/>
      <c r="M1757" s="309"/>
      <c r="N1757" s="309"/>
      <c r="O1757" s="309"/>
      <c r="P1757" s="309"/>
      <c r="Q1757" s="309"/>
      <c r="R1757" s="309"/>
      <c r="S1757" s="309"/>
      <c r="T1757" s="309"/>
      <c r="U1757" s="309"/>
    </row>
    <row r="1758" spans="1:21" ht="12.75" customHeight="1">
      <c r="A1758" s="985" t="s">
        <v>59</v>
      </c>
      <c r="B1758" s="625">
        <v>50</v>
      </c>
      <c r="C1758" s="623">
        <v>39.549999999999997</v>
      </c>
      <c r="D1758" s="792">
        <v>12.99</v>
      </c>
      <c r="E1758" s="624">
        <f>B1758*C1758-D1758</f>
        <v>1964.5099999999998</v>
      </c>
      <c r="F1758" s="546" t="s">
        <v>60</v>
      </c>
      <c r="G1758" s="1508"/>
      <c r="H1758" s="1501"/>
      <c r="I1758" s="1501" t="str">
        <f t="shared" si="77"/>
        <v>SRE</v>
      </c>
      <c r="J1758" s="1501" t="str">
        <f t="shared" si="76"/>
        <v/>
      </c>
      <c r="K1758" s="271"/>
      <c r="L1758" s="309"/>
      <c r="M1758" s="309"/>
      <c r="N1758" s="309"/>
      <c r="O1758" s="309"/>
      <c r="P1758" s="309"/>
      <c r="Q1758" s="309"/>
      <c r="R1758" s="309"/>
      <c r="S1758" s="309"/>
      <c r="T1758" s="309"/>
      <c r="U1758" s="309"/>
    </row>
    <row r="1759" spans="1:21" ht="12.75" customHeight="1">
      <c r="A1759" s="985"/>
      <c r="B1759" s="625"/>
      <c r="C1759" s="623"/>
      <c r="D1759" s="792"/>
      <c r="E1759" s="624"/>
      <c r="F1759" s="546"/>
      <c r="G1759" s="1508"/>
      <c r="H1759" s="1501"/>
      <c r="I1759" s="1501" t="str">
        <f t="shared" si="77"/>
        <v/>
      </c>
      <c r="J1759" s="1501" t="str">
        <f t="shared" si="76"/>
        <v/>
      </c>
      <c r="K1759" s="271"/>
      <c r="L1759" s="309"/>
      <c r="M1759" s="309"/>
      <c r="N1759" s="309"/>
      <c r="O1759" s="309"/>
      <c r="P1759" s="309"/>
      <c r="Q1759" s="309"/>
      <c r="R1759" s="309"/>
      <c r="S1759" s="309"/>
      <c r="T1759" s="309"/>
      <c r="U1759" s="309"/>
    </row>
    <row r="1760" spans="1:21" ht="12.75" customHeight="1">
      <c r="A1760" s="1423">
        <v>38440</v>
      </c>
      <c r="B1760" s="625"/>
      <c r="C1760" s="623"/>
      <c r="D1760" s="792"/>
      <c r="E1760" s="624"/>
      <c r="F1760" s="546"/>
      <c r="G1760" s="1508"/>
      <c r="H1760" s="1501"/>
      <c r="I1760" s="1501" t="str">
        <f t="shared" si="77"/>
        <v/>
      </c>
      <c r="J1760" s="1501" t="str">
        <f t="shared" si="76"/>
        <v>PIR</v>
      </c>
      <c r="K1760" s="271"/>
      <c r="L1760" s="309"/>
      <c r="M1760" s="309"/>
      <c r="N1760" s="309"/>
      <c r="O1760" s="309"/>
      <c r="P1760" s="309"/>
      <c r="Q1760" s="309"/>
      <c r="R1760" s="309"/>
      <c r="S1760" s="309"/>
      <c r="T1760" s="309"/>
      <c r="U1760" s="309"/>
    </row>
    <row r="1761" spans="1:21" ht="12.75" customHeight="1">
      <c r="A1761" s="1422" t="s">
        <v>1021</v>
      </c>
      <c r="B1761" s="625"/>
      <c r="C1761" s="623"/>
      <c r="D1761" s="792"/>
      <c r="E1761" s="624"/>
      <c r="F1761" s="546"/>
      <c r="G1761" s="1508"/>
      <c r="H1761" s="1501"/>
      <c r="I1761" s="1501" t="str">
        <f t="shared" si="77"/>
        <v/>
      </c>
      <c r="J1761" s="1501" t="str">
        <f t="shared" si="76"/>
        <v/>
      </c>
      <c r="K1761" s="271"/>
      <c r="L1761" s="309"/>
      <c r="M1761" s="309"/>
      <c r="N1761" s="309"/>
      <c r="O1761" s="309"/>
      <c r="P1761" s="309"/>
      <c r="Q1761" s="309"/>
      <c r="R1761" s="309"/>
      <c r="S1761" s="309"/>
      <c r="T1761" s="309"/>
      <c r="U1761" s="309"/>
    </row>
    <row r="1762" spans="1:21" ht="12.75" customHeight="1">
      <c r="A1762" s="985" t="s">
        <v>113</v>
      </c>
      <c r="B1762" s="625">
        <v>150</v>
      </c>
      <c r="C1762" s="623">
        <v>18.170000000000002</v>
      </c>
      <c r="D1762" s="792">
        <v>12.99</v>
      </c>
      <c r="E1762" s="624">
        <f>B1762*C1762-D1762</f>
        <v>2712.5100000000007</v>
      </c>
      <c r="F1762" s="546" t="s">
        <v>114</v>
      </c>
      <c r="G1762" s="1508"/>
      <c r="H1762" s="1501"/>
      <c r="I1762" s="1501" t="str">
        <f t="shared" si="77"/>
        <v>PIR</v>
      </c>
      <c r="J1762" s="1501" t="str">
        <f t="shared" si="76"/>
        <v/>
      </c>
      <c r="K1762" s="271"/>
      <c r="L1762" s="309"/>
      <c r="M1762" s="309"/>
      <c r="N1762" s="309"/>
      <c r="O1762" s="309"/>
      <c r="P1762" s="309"/>
      <c r="Q1762" s="309"/>
      <c r="R1762" s="309"/>
      <c r="S1762" s="309"/>
      <c r="T1762" s="309"/>
      <c r="U1762" s="309"/>
    </row>
    <row r="1763" spans="1:21" ht="12.75" customHeight="1">
      <c r="A1763" s="985"/>
      <c r="B1763" s="625"/>
      <c r="C1763" s="623"/>
      <c r="D1763" s="792"/>
      <c r="E1763" s="624"/>
      <c r="F1763" s="546"/>
      <c r="G1763" s="1508"/>
      <c r="H1763" s="1501"/>
      <c r="I1763" s="1501" t="str">
        <f t="shared" si="77"/>
        <v/>
      </c>
      <c r="J1763" s="1501" t="str">
        <f t="shared" si="76"/>
        <v/>
      </c>
      <c r="K1763" s="271"/>
      <c r="L1763" s="309"/>
      <c r="M1763" s="309"/>
      <c r="N1763" s="309"/>
      <c r="O1763" s="309"/>
      <c r="P1763" s="309"/>
      <c r="Q1763" s="309"/>
      <c r="R1763" s="309"/>
      <c r="S1763" s="309"/>
      <c r="T1763" s="309"/>
      <c r="U1763" s="309"/>
    </row>
    <row r="1764" spans="1:21" ht="12.75" customHeight="1">
      <c r="A1764" s="1423">
        <v>38412</v>
      </c>
      <c r="B1764" s="625"/>
      <c r="C1764" s="623"/>
      <c r="D1764" s="792"/>
      <c r="E1764" s="624"/>
      <c r="F1764" s="546"/>
      <c r="G1764" s="1508"/>
      <c r="H1764" s="1501"/>
      <c r="I1764" s="1501" t="str">
        <f t="shared" si="77"/>
        <v/>
      </c>
      <c r="J1764" s="1501" t="str">
        <f t="shared" si="76"/>
        <v>BUD</v>
      </c>
      <c r="K1764" s="271"/>
      <c r="L1764" s="309"/>
      <c r="M1764" s="309"/>
      <c r="N1764" s="309"/>
      <c r="O1764" s="309"/>
      <c r="P1764" s="309"/>
      <c r="Q1764" s="309"/>
      <c r="R1764" s="309"/>
      <c r="S1764" s="309"/>
      <c r="T1764" s="309"/>
      <c r="U1764" s="309"/>
    </row>
    <row r="1765" spans="1:21" ht="12.75" customHeight="1">
      <c r="A1765" s="1422" t="s">
        <v>1048</v>
      </c>
      <c r="B1765" s="625"/>
      <c r="C1765" s="623"/>
      <c r="D1765" s="792"/>
      <c r="E1765" s="624"/>
      <c r="F1765" s="546"/>
      <c r="G1765" s="1508"/>
      <c r="H1765" s="1501"/>
      <c r="I1765" s="1501" t="str">
        <f t="shared" si="77"/>
        <v/>
      </c>
      <c r="J1765" s="1501" t="str">
        <f t="shared" si="76"/>
        <v/>
      </c>
      <c r="K1765" s="271"/>
      <c r="L1765" s="309"/>
      <c r="M1765" s="309"/>
      <c r="N1765" s="309"/>
      <c r="O1765" s="309"/>
      <c r="P1765" s="309"/>
      <c r="Q1765" s="309"/>
      <c r="R1765" s="309"/>
      <c r="S1765" s="309"/>
      <c r="T1765" s="309"/>
      <c r="U1765" s="309"/>
    </row>
    <row r="1766" spans="1:21" ht="12.75" customHeight="1">
      <c r="A1766" s="985" t="s">
        <v>1073</v>
      </c>
      <c r="B1766" s="625">
        <v>50</v>
      </c>
      <c r="C1766" s="623">
        <v>47.41</v>
      </c>
      <c r="D1766" s="792">
        <v>12.99</v>
      </c>
      <c r="E1766" s="624">
        <f>B1766*C1766-D1766</f>
        <v>2357.5100000000002</v>
      </c>
      <c r="F1766" s="546" t="s">
        <v>177</v>
      </c>
      <c r="G1766" s="1508"/>
      <c r="H1766" s="1501"/>
      <c r="I1766" s="1501" t="str">
        <f t="shared" si="77"/>
        <v>BUD</v>
      </c>
      <c r="J1766" s="1501" t="str">
        <f t="shared" si="76"/>
        <v/>
      </c>
      <c r="K1766" s="271"/>
      <c r="L1766" s="309"/>
      <c r="M1766" s="309"/>
      <c r="N1766" s="309"/>
      <c r="O1766" s="309"/>
      <c r="P1766" s="309"/>
      <c r="Q1766" s="309"/>
      <c r="R1766" s="309"/>
      <c r="S1766" s="309"/>
      <c r="T1766" s="309"/>
      <c r="U1766" s="309"/>
    </row>
    <row r="1767" spans="1:21" ht="12.75" customHeight="1">
      <c r="A1767" s="1422"/>
      <c r="B1767" s="625"/>
      <c r="C1767" s="623"/>
      <c r="D1767" s="792"/>
      <c r="E1767" s="624"/>
      <c r="F1767" s="546"/>
      <c r="G1767" s="1508"/>
      <c r="H1767" s="1501"/>
      <c r="I1767" s="1501" t="str">
        <f t="shared" si="77"/>
        <v/>
      </c>
      <c r="J1767" s="1501" t="str">
        <f t="shared" si="76"/>
        <v/>
      </c>
      <c r="K1767" s="271"/>
      <c r="L1767" s="309"/>
      <c r="M1767" s="309"/>
      <c r="N1767" s="309"/>
      <c r="O1767" s="309"/>
      <c r="P1767" s="309"/>
      <c r="Q1767" s="309"/>
      <c r="R1767" s="309"/>
      <c r="S1767" s="309"/>
      <c r="T1767" s="309"/>
      <c r="U1767" s="309"/>
    </row>
    <row r="1768" spans="1:21" ht="12.75" customHeight="1">
      <c r="A1768" s="1423">
        <v>38412</v>
      </c>
      <c r="B1768" s="625"/>
      <c r="C1768" s="623"/>
      <c r="D1768" s="792"/>
      <c r="E1768" s="624"/>
      <c r="F1768" s="546"/>
      <c r="G1768" s="1508"/>
      <c r="H1768" s="1501"/>
      <c r="I1768" s="1501" t="str">
        <f t="shared" si="77"/>
        <v/>
      </c>
      <c r="J1768" s="1501" t="str">
        <f t="shared" si="76"/>
        <v>CRVL</v>
      </c>
      <c r="K1768" s="271"/>
      <c r="L1768" s="309"/>
      <c r="M1768" s="309"/>
      <c r="N1768" s="309"/>
      <c r="O1768" s="309"/>
      <c r="P1768" s="309"/>
      <c r="Q1768" s="309"/>
      <c r="R1768" s="309"/>
      <c r="S1768" s="309"/>
      <c r="T1768" s="309"/>
      <c r="U1768" s="309"/>
    </row>
    <row r="1769" spans="1:21" ht="12.75" customHeight="1">
      <c r="A1769" s="1422" t="s">
        <v>1021</v>
      </c>
      <c r="B1769" s="625"/>
      <c r="C1769" s="623"/>
      <c r="D1769" s="792"/>
      <c r="E1769" s="624"/>
      <c r="F1769" s="546"/>
      <c r="G1769" s="1508"/>
      <c r="H1769" s="1501"/>
      <c r="I1769" s="1501" t="str">
        <f t="shared" si="77"/>
        <v/>
      </c>
      <c r="J1769" s="1501" t="str">
        <f t="shared" si="76"/>
        <v/>
      </c>
      <c r="K1769" s="271"/>
      <c r="L1769" s="309"/>
      <c r="M1769" s="309"/>
      <c r="N1769" s="309"/>
      <c r="O1769" s="309"/>
      <c r="P1769" s="309"/>
      <c r="Q1769" s="309"/>
      <c r="R1769" s="309"/>
      <c r="S1769" s="309"/>
      <c r="T1769" s="309"/>
      <c r="U1769" s="309"/>
    </row>
    <row r="1770" spans="1:21" ht="12.75" customHeight="1">
      <c r="A1770" s="985" t="s">
        <v>1074</v>
      </c>
      <c r="B1770" s="625">
        <v>30</v>
      </c>
      <c r="C1770" s="623">
        <v>21.47</v>
      </c>
      <c r="D1770" s="792">
        <v>12.99</v>
      </c>
      <c r="E1770" s="624">
        <f>B1770*C1770-D1770</f>
        <v>631.1099999999999</v>
      </c>
      <c r="F1770" s="546" t="s">
        <v>95</v>
      </c>
      <c r="G1770" s="1508"/>
      <c r="H1770" s="1501"/>
      <c r="I1770" s="1501" t="str">
        <f t="shared" si="77"/>
        <v>CRVL</v>
      </c>
      <c r="J1770" s="1501" t="str">
        <f t="shared" si="76"/>
        <v/>
      </c>
      <c r="K1770" s="271"/>
      <c r="L1770" s="309"/>
      <c r="M1770" s="309"/>
      <c r="N1770" s="309"/>
      <c r="O1770" s="309"/>
      <c r="P1770" s="309"/>
      <c r="Q1770" s="309"/>
      <c r="R1770" s="309"/>
      <c r="S1770" s="309"/>
      <c r="T1770" s="309"/>
      <c r="U1770" s="309"/>
    </row>
    <row r="1771" spans="1:21" ht="12.75" customHeight="1">
      <c r="A1771" s="985"/>
      <c r="B1771" s="625"/>
      <c r="C1771" s="623"/>
      <c r="D1771" s="792"/>
      <c r="E1771" s="624"/>
      <c r="F1771" s="546"/>
      <c r="G1771" s="1508"/>
      <c r="H1771" s="1501"/>
      <c r="I1771" s="1501" t="str">
        <f t="shared" si="77"/>
        <v/>
      </c>
      <c r="J1771" s="1501" t="str">
        <f t="shared" si="76"/>
        <v/>
      </c>
      <c r="K1771" s="271"/>
      <c r="L1771" s="309"/>
      <c r="M1771" s="309"/>
      <c r="N1771" s="309"/>
      <c r="O1771" s="309"/>
      <c r="P1771" s="309"/>
      <c r="Q1771" s="309"/>
      <c r="R1771" s="309"/>
      <c r="S1771" s="309"/>
      <c r="T1771" s="309"/>
      <c r="U1771" s="309"/>
    </row>
    <row r="1772" spans="1:21" ht="12.75" customHeight="1">
      <c r="A1772" s="1423">
        <v>38407</v>
      </c>
      <c r="B1772" s="625"/>
      <c r="C1772" s="623"/>
      <c r="D1772" s="792"/>
      <c r="E1772" s="624"/>
      <c r="F1772" s="546"/>
      <c r="G1772" s="1508"/>
      <c r="H1772" s="1501"/>
      <c r="I1772" s="1501" t="str">
        <f t="shared" si="77"/>
        <v/>
      </c>
      <c r="J1772" s="1501" t="str">
        <f t="shared" si="76"/>
        <v>MSFT</v>
      </c>
      <c r="K1772" s="271"/>
      <c r="L1772" s="309"/>
      <c r="M1772" s="309"/>
      <c r="N1772" s="309"/>
      <c r="O1772" s="309"/>
      <c r="P1772" s="309"/>
      <c r="Q1772" s="309"/>
      <c r="R1772" s="309"/>
      <c r="S1772" s="309"/>
      <c r="T1772" s="309"/>
      <c r="U1772" s="309"/>
    </row>
    <row r="1773" spans="1:21" ht="12.75" customHeight="1">
      <c r="A1773" s="1422" t="s">
        <v>1048</v>
      </c>
      <c r="B1773" s="625"/>
      <c r="C1773" s="623"/>
      <c r="D1773" s="792"/>
      <c r="E1773" s="624"/>
      <c r="F1773" s="546"/>
      <c r="G1773" s="1508"/>
      <c r="H1773" s="1501"/>
      <c r="I1773" s="1501" t="str">
        <f t="shared" si="77"/>
        <v/>
      </c>
      <c r="J1773" s="1501" t="str">
        <f t="shared" si="76"/>
        <v/>
      </c>
      <c r="K1773" s="271"/>
      <c r="L1773" s="309"/>
      <c r="M1773" s="309"/>
      <c r="N1773" s="309"/>
      <c r="O1773" s="309"/>
      <c r="P1773" s="309"/>
      <c r="Q1773" s="309"/>
      <c r="R1773" s="309"/>
      <c r="S1773" s="309"/>
      <c r="T1773" s="309"/>
      <c r="U1773" s="309"/>
    </row>
    <row r="1774" spans="1:21" ht="12.75" customHeight="1">
      <c r="A1774" s="985" t="s">
        <v>40</v>
      </c>
      <c r="B1774" s="625">
        <v>150</v>
      </c>
      <c r="C1774" s="623">
        <v>25.46</v>
      </c>
      <c r="D1774" s="792">
        <v>12.99</v>
      </c>
      <c r="E1774" s="624">
        <f>B1774*C1774-D1774</f>
        <v>3806.01</v>
      </c>
      <c r="F1774" s="546" t="s">
        <v>41</v>
      </c>
      <c r="G1774" s="1508"/>
      <c r="H1774" s="1501"/>
      <c r="I1774" s="1501" t="str">
        <f t="shared" si="77"/>
        <v>MSFT</v>
      </c>
      <c r="J1774" s="1501" t="str">
        <f t="shared" si="76"/>
        <v/>
      </c>
      <c r="K1774" s="271"/>
      <c r="L1774" s="309"/>
      <c r="M1774" s="309"/>
      <c r="N1774" s="309"/>
      <c r="O1774" s="309"/>
      <c r="P1774" s="309"/>
      <c r="Q1774" s="309"/>
      <c r="R1774" s="309"/>
      <c r="S1774" s="309"/>
      <c r="T1774" s="309"/>
      <c r="U1774" s="309"/>
    </row>
    <row r="1775" spans="1:21" ht="12.75" customHeight="1">
      <c r="A1775" s="985"/>
      <c r="B1775" s="625"/>
      <c r="C1775" s="623"/>
      <c r="D1775" s="792"/>
      <c r="E1775" s="624"/>
      <c r="F1775" s="546"/>
      <c r="G1775" s="1508"/>
      <c r="H1775" s="1501"/>
      <c r="I1775" s="1501" t="str">
        <f t="shared" si="77"/>
        <v/>
      </c>
      <c r="J1775" s="1501" t="str">
        <f t="shared" si="76"/>
        <v/>
      </c>
      <c r="K1775" s="271"/>
      <c r="L1775" s="309"/>
      <c r="M1775" s="309"/>
      <c r="N1775" s="309"/>
      <c r="O1775" s="309"/>
      <c r="P1775" s="309"/>
      <c r="Q1775" s="309"/>
      <c r="R1775" s="309"/>
      <c r="S1775" s="309"/>
      <c r="T1775" s="309"/>
      <c r="U1775" s="309"/>
    </row>
    <row r="1776" spans="1:21" ht="12.75" customHeight="1">
      <c r="A1776" s="1423">
        <v>38400</v>
      </c>
      <c r="B1776" s="625"/>
      <c r="C1776" s="623"/>
      <c r="D1776" s="792"/>
      <c r="E1776" s="624"/>
      <c r="F1776" s="546"/>
      <c r="G1776" s="1508"/>
      <c r="H1776" s="1501"/>
      <c r="I1776" s="1501" t="str">
        <f t="shared" si="77"/>
        <v/>
      </c>
      <c r="J1776" s="1501" t="str">
        <f t="shared" si="76"/>
        <v>NEW</v>
      </c>
      <c r="K1776" s="271"/>
      <c r="L1776" s="309"/>
      <c r="M1776" s="309"/>
      <c r="N1776" s="309"/>
      <c r="O1776" s="309"/>
      <c r="P1776" s="309"/>
      <c r="Q1776" s="309"/>
      <c r="R1776" s="309"/>
      <c r="S1776" s="309"/>
      <c r="T1776" s="309"/>
      <c r="U1776" s="309"/>
    </row>
    <row r="1777" spans="1:21" ht="12.75" customHeight="1">
      <c r="A1777" s="1422" t="s">
        <v>1048</v>
      </c>
      <c r="B1777" s="625"/>
      <c r="C1777" s="623"/>
      <c r="D1777" s="792"/>
      <c r="E1777" s="624"/>
      <c r="F1777" s="546"/>
      <c r="G1777" s="1508"/>
      <c r="H1777" s="1501"/>
      <c r="I1777" s="1501" t="str">
        <f t="shared" si="77"/>
        <v/>
      </c>
      <c r="J1777" s="1501" t="str">
        <f t="shared" si="76"/>
        <v/>
      </c>
      <c r="K1777" s="271"/>
      <c r="L1777" s="309"/>
      <c r="M1777" s="309"/>
      <c r="N1777" s="309"/>
      <c r="O1777" s="309"/>
      <c r="P1777" s="309"/>
      <c r="Q1777" s="309"/>
      <c r="R1777" s="309"/>
      <c r="S1777" s="309"/>
      <c r="T1777" s="309"/>
      <c r="U1777" s="309"/>
    </row>
    <row r="1778" spans="1:21" ht="12.75" customHeight="1">
      <c r="A1778" s="985" t="s">
        <v>180</v>
      </c>
      <c r="B1778" s="625">
        <v>80</v>
      </c>
      <c r="C1778" s="623">
        <v>52.63</v>
      </c>
      <c r="D1778" s="792">
        <v>12.99</v>
      </c>
      <c r="E1778" s="624">
        <f>B1778*C1778-D1778</f>
        <v>4197.4100000000008</v>
      </c>
      <c r="F1778" s="546" t="s">
        <v>181</v>
      </c>
      <c r="G1778" s="1508"/>
      <c r="H1778" s="1501"/>
      <c r="I1778" s="1501" t="str">
        <f t="shared" si="77"/>
        <v>NEW</v>
      </c>
      <c r="J1778" s="1501" t="str">
        <f t="shared" si="76"/>
        <v/>
      </c>
      <c r="K1778" s="271"/>
      <c r="L1778" s="309"/>
      <c r="M1778" s="309"/>
      <c r="N1778" s="309"/>
      <c r="O1778" s="309"/>
      <c r="P1778" s="309"/>
      <c r="Q1778" s="309"/>
      <c r="R1778" s="309"/>
      <c r="S1778" s="309"/>
      <c r="T1778" s="309"/>
      <c r="U1778" s="309"/>
    </row>
    <row r="1779" spans="1:21" ht="12.75" customHeight="1">
      <c r="A1779" s="985"/>
      <c r="B1779" s="625"/>
      <c r="C1779" s="623"/>
      <c r="D1779" s="792"/>
      <c r="E1779" s="624"/>
      <c r="F1779" s="546"/>
      <c r="G1779" s="1508"/>
      <c r="H1779" s="1501"/>
      <c r="I1779" s="1501" t="str">
        <f t="shared" si="77"/>
        <v/>
      </c>
      <c r="J1779" s="1501" t="str">
        <f t="shared" si="76"/>
        <v>AME</v>
      </c>
      <c r="K1779" s="271"/>
      <c r="L1779" s="309"/>
      <c r="M1779" s="309"/>
      <c r="N1779" s="309"/>
      <c r="O1779" s="309"/>
      <c r="P1779" s="309"/>
      <c r="Q1779" s="309"/>
      <c r="R1779" s="309"/>
      <c r="S1779" s="309"/>
      <c r="T1779" s="309"/>
      <c r="U1779" s="309"/>
    </row>
    <row r="1780" spans="1:21" ht="12.75" customHeight="1">
      <c r="A1780" s="1422" t="s">
        <v>1021</v>
      </c>
      <c r="B1780" s="625"/>
      <c r="C1780" s="623"/>
      <c r="D1780" s="792"/>
      <c r="E1780" s="624"/>
      <c r="F1780" s="546"/>
      <c r="G1780" s="1508"/>
      <c r="H1780" s="1501"/>
      <c r="I1780" s="1501" t="str">
        <f t="shared" si="77"/>
        <v/>
      </c>
      <c r="J1780" s="1501" t="str">
        <f t="shared" si="76"/>
        <v/>
      </c>
      <c r="K1780" s="271"/>
      <c r="L1780" s="309"/>
      <c r="M1780" s="309"/>
      <c r="N1780" s="309"/>
      <c r="O1780" s="309"/>
      <c r="P1780" s="309"/>
      <c r="Q1780" s="309"/>
      <c r="R1780" s="309"/>
      <c r="S1780" s="309"/>
      <c r="T1780" s="309"/>
      <c r="U1780" s="309"/>
    </row>
    <row r="1781" spans="1:21" ht="12.75" customHeight="1">
      <c r="A1781" s="985" t="s">
        <v>1075</v>
      </c>
      <c r="B1781" s="625">
        <v>200</v>
      </c>
      <c r="C1781" s="623">
        <v>37.869999999999997</v>
      </c>
      <c r="D1781" s="792">
        <v>12.99</v>
      </c>
      <c r="E1781" s="624">
        <f>B1781*C1781-D1781</f>
        <v>7561.0099999999993</v>
      </c>
      <c r="F1781" s="546" t="s">
        <v>85</v>
      </c>
      <c r="G1781" s="1508"/>
      <c r="H1781" s="1501"/>
      <c r="I1781" s="1501" t="str">
        <f t="shared" si="77"/>
        <v>AME</v>
      </c>
      <c r="J1781" s="1501" t="str">
        <f t="shared" si="76"/>
        <v/>
      </c>
      <c r="K1781" s="271"/>
      <c r="L1781" s="309"/>
      <c r="M1781" s="309"/>
      <c r="N1781" s="309"/>
      <c r="O1781" s="309"/>
      <c r="P1781" s="309"/>
      <c r="Q1781" s="309"/>
      <c r="R1781" s="309"/>
      <c r="S1781" s="309"/>
      <c r="T1781" s="309"/>
      <c r="U1781" s="309"/>
    </row>
    <row r="1782" spans="1:21" ht="12.75" customHeight="1">
      <c r="A1782" s="985"/>
      <c r="B1782" s="625"/>
      <c r="C1782" s="623"/>
      <c r="D1782" s="792"/>
      <c r="E1782" s="624"/>
      <c r="F1782" s="546"/>
      <c r="G1782" s="1508"/>
      <c r="H1782" s="1501"/>
      <c r="I1782" s="1501" t="str">
        <f t="shared" si="77"/>
        <v/>
      </c>
      <c r="J1782" s="1501" t="str">
        <f t="shared" si="76"/>
        <v/>
      </c>
      <c r="K1782" s="271"/>
      <c r="L1782" s="309"/>
      <c r="M1782" s="309"/>
      <c r="N1782" s="309"/>
      <c r="O1782" s="309"/>
      <c r="P1782" s="309"/>
      <c r="Q1782" s="309"/>
      <c r="R1782" s="309"/>
      <c r="S1782" s="309"/>
      <c r="T1782" s="309"/>
      <c r="U1782" s="309"/>
    </row>
    <row r="1783" spans="1:21" ht="12.75" customHeight="1">
      <c r="A1783" s="1423">
        <v>38394</v>
      </c>
      <c r="B1783" s="625"/>
      <c r="C1783" s="623"/>
      <c r="D1783" s="792"/>
      <c r="E1783" s="624"/>
      <c r="F1783" s="546"/>
      <c r="G1783" s="1508"/>
      <c r="H1783" s="1501"/>
      <c r="I1783" s="1501" t="str">
        <f t="shared" si="77"/>
        <v/>
      </c>
      <c r="J1783" s="1501" t="str">
        <f t="shared" si="76"/>
        <v>AIG</v>
      </c>
      <c r="K1783" s="271"/>
      <c r="L1783" s="309"/>
      <c r="M1783" s="309"/>
      <c r="N1783" s="309"/>
      <c r="O1783" s="309"/>
      <c r="P1783" s="309"/>
      <c r="Q1783" s="309"/>
      <c r="R1783" s="309"/>
      <c r="S1783" s="309"/>
      <c r="T1783" s="309"/>
      <c r="U1783" s="309"/>
    </row>
    <row r="1784" spans="1:21" ht="12.75" customHeight="1">
      <c r="A1784" s="1422" t="s">
        <v>1048</v>
      </c>
      <c r="B1784" s="625"/>
      <c r="C1784" s="623"/>
      <c r="D1784" s="792"/>
      <c r="E1784" s="624"/>
      <c r="F1784" s="546"/>
      <c r="G1784" s="1508"/>
      <c r="H1784" s="1501"/>
      <c r="I1784" s="1501" t="str">
        <f t="shared" si="77"/>
        <v/>
      </c>
      <c r="J1784" s="1501" t="str">
        <f t="shared" si="76"/>
        <v/>
      </c>
      <c r="K1784" s="271"/>
      <c r="L1784" s="309"/>
      <c r="M1784" s="309"/>
      <c r="N1784" s="309"/>
      <c r="O1784" s="309"/>
      <c r="P1784" s="309"/>
      <c r="Q1784" s="309"/>
      <c r="R1784" s="309"/>
      <c r="S1784" s="309"/>
      <c r="T1784" s="309"/>
      <c r="U1784" s="309"/>
    </row>
    <row r="1785" spans="1:21" ht="12.75" customHeight="1">
      <c r="A1785" s="985" t="s">
        <v>150</v>
      </c>
      <c r="B1785" s="625">
        <v>25</v>
      </c>
      <c r="C1785" s="623">
        <v>72.400000000000006</v>
      </c>
      <c r="D1785" s="792">
        <v>12.99</v>
      </c>
      <c r="E1785" s="624">
        <f>B1785*C1785-D1785</f>
        <v>1797.0100000000002</v>
      </c>
      <c r="F1785" s="546" t="s">
        <v>19</v>
      </c>
      <c r="G1785" s="1508"/>
      <c r="H1785" s="1501"/>
      <c r="I1785" s="1501" t="str">
        <f t="shared" si="77"/>
        <v>AIG</v>
      </c>
      <c r="J1785" s="1501" t="str">
        <f t="shared" si="76"/>
        <v/>
      </c>
      <c r="K1785" s="271"/>
      <c r="L1785" s="309"/>
      <c r="M1785" s="309"/>
      <c r="N1785" s="309"/>
      <c r="O1785" s="309"/>
      <c r="P1785" s="309"/>
      <c r="Q1785" s="309"/>
      <c r="R1785" s="309"/>
      <c r="S1785" s="309"/>
      <c r="T1785" s="309"/>
      <c r="U1785" s="309"/>
    </row>
    <row r="1786" spans="1:21" ht="12.75" customHeight="1">
      <c r="A1786" s="1425"/>
      <c r="B1786" s="625"/>
      <c r="C1786" s="623"/>
      <c r="D1786" s="792"/>
      <c r="E1786" s="624"/>
      <c r="F1786" s="546"/>
      <c r="G1786" s="1508"/>
      <c r="H1786" s="1501"/>
      <c r="I1786" s="1501" t="str">
        <f t="shared" si="77"/>
        <v/>
      </c>
      <c r="J1786" s="1501" t="str">
        <f t="shared" si="76"/>
        <v>THO</v>
      </c>
      <c r="K1786" s="271"/>
      <c r="L1786" s="309"/>
      <c r="M1786" s="309"/>
      <c r="N1786" s="309"/>
      <c r="O1786" s="309"/>
      <c r="P1786" s="309"/>
      <c r="Q1786" s="309"/>
      <c r="R1786" s="309"/>
      <c r="S1786" s="309"/>
      <c r="T1786" s="309"/>
      <c r="U1786" s="309"/>
    </row>
    <row r="1787" spans="1:21" ht="12.75" customHeight="1">
      <c r="A1787" s="1422" t="s">
        <v>1021</v>
      </c>
      <c r="B1787" s="625"/>
      <c r="C1787" s="623"/>
      <c r="D1787" s="792"/>
      <c r="E1787" s="624"/>
      <c r="F1787" s="546"/>
      <c r="G1787" s="1508"/>
      <c r="H1787" s="1501"/>
      <c r="I1787" s="1501" t="str">
        <f t="shared" si="77"/>
        <v/>
      </c>
      <c r="J1787" s="1501" t="str">
        <f t="shared" si="76"/>
        <v/>
      </c>
      <c r="K1787" s="271"/>
      <c r="L1787" s="309"/>
      <c r="M1787" s="309"/>
      <c r="N1787" s="309"/>
      <c r="O1787" s="309"/>
      <c r="P1787" s="309"/>
      <c r="Q1787" s="309"/>
      <c r="R1787" s="309"/>
      <c r="S1787" s="309"/>
      <c r="T1787" s="309"/>
      <c r="U1787" s="309"/>
    </row>
    <row r="1788" spans="1:21" ht="12.75" customHeight="1">
      <c r="A1788" s="985" t="s">
        <v>119</v>
      </c>
      <c r="B1788" s="625">
        <v>60</v>
      </c>
      <c r="C1788" s="623">
        <v>35.369999999999997</v>
      </c>
      <c r="D1788" s="792">
        <v>12.99</v>
      </c>
      <c r="E1788" s="624">
        <f>B1788*C1788-D1788</f>
        <v>2109.21</v>
      </c>
      <c r="F1788" s="546" t="s">
        <v>120</v>
      </c>
      <c r="G1788" s="1508"/>
      <c r="H1788" s="1501"/>
      <c r="I1788" s="1501" t="str">
        <f t="shared" si="77"/>
        <v>THO</v>
      </c>
      <c r="J1788" s="1501" t="str">
        <f t="shared" si="76"/>
        <v/>
      </c>
      <c r="K1788" s="271"/>
      <c r="L1788" s="309"/>
      <c r="M1788" s="309"/>
      <c r="N1788" s="309"/>
      <c r="O1788" s="309"/>
      <c r="P1788" s="309"/>
      <c r="Q1788" s="309"/>
      <c r="R1788" s="309"/>
      <c r="S1788" s="309"/>
      <c r="T1788" s="309"/>
      <c r="U1788" s="309"/>
    </row>
    <row r="1789" spans="1:21" ht="12.75" customHeight="1">
      <c r="A1789" s="985"/>
      <c r="B1789" s="625"/>
      <c r="C1789" s="623"/>
      <c r="D1789" s="792"/>
      <c r="E1789" s="624"/>
      <c r="F1789" s="546"/>
      <c r="G1789" s="1508"/>
      <c r="H1789" s="1501"/>
      <c r="I1789" s="1501" t="str">
        <f t="shared" si="77"/>
        <v/>
      </c>
      <c r="J1789" s="1501" t="str">
        <f t="shared" si="76"/>
        <v/>
      </c>
      <c r="K1789" s="271"/>
      <c r="L1789" s="309"/>
      <c r="M1789" s="309"/>
      <c r="N1789" s="309"/>
      <c r="O1789" s="309"/>
      <c r="P1789" s="309"/>
      <c r="Q1789" s="309"/>
      <c r="R1789" s="309"/>
      <c r="S1789" s="309"/>
      <c r="T1789" s="309"/>
      <c r="U1789" s="309"/>
    </row>
    <row r="1790" spans="1:21" ht="12.75" customHeight="1">
      <c r="A1790" s="1423">
        <v>38386</v>
      </c>
      <c r="B1790" s="625"/>
      <c r="C1790" s="623"/>
      <c r="D1790" s="792"/>
      <c r="E1790" s="624"/>
      <c r="F1790" s="546"/>
      <c r="G1790" s="1508"/>
      <c r="H1790" s="1501"/>
      <c r="I1790" s="1501" t="str">
        <f t="shared" si="77"/>
        <v/>
      </c>
      <c r="J1790" s="1501" t="str">
        <f t="shared" si="76"/>
        <v>KO</v>
      </c>
      <c r="K1790" s="271"/>
      <c r="L1790" s="309"/>
      <c r="M1790" s="309"/>
      <c r="N1790" s="309"/>
      <c r="O1790" s="309"/>
      <c r="P1790" s="309"/>
      <c r="Q1790" s="309"/>
      <c r="R1790" s="309"/>
      <c r="S1790" s="309"/>
      <c r="T1790" s="309"/>
      <c r="U1790" s="309"/>
    </row>
    <row r="1791" spans="1:21" ht="12.75" customHeight="1">
      <c r="A1791" s="1422" t="s">
        <v>1048</v>
      </c>
      <c r="B1791" s="625"/>
      <c r="C1791" s="623"/>
      <c r="D1791" s="792"/>
      <c r="E1791" s="624"/>
      <c r="F1791" s="546"/>
      <c r="G1791" s="1508"/>
      <c r="H1791" s="1501"/>
      <c r="I1791" s="1501" t="str">
        <f t="shared" si="77"/>
        <v/>
      </c>
      <c r="J1791" s="1501" t="str">
        <f t="shared" ref="J1791:J1854" si="78">IF(F1793="","",IF(OR(A1791="Sell",A1792="Sell"),"",F1793))</f>
        <v>PEP</v>
      </c>
      <c r="K1791" s="271"/>
      <c r="L1791" s="309"/>
      <c r="M1791" s="309"/>
      <c r="N1791" s="309"/>
      <c r="O1791" s="309"/>
      <c r="P1791" s="309"/>
      <c r="Q1791" s="309"/>
      <c r="R1791" s="309"/>
      <c r="S1791" s="309"/>
      <c r="T1791" s="309"/>
      <c r="U1791" s="309"/>
    </row>
    <row r="1792" spans="1:21" ht="12.75" customHeight="1">
      <c r="A1792" s="985" t="s">
        <v>153</v>
      </c>
      <c r="B1792" s="625">
        <v>30</v>
      </c>
      <c r="C1792" s="623">
        <v>41.75</v>
      </c>
      <c r="D1792" s="792">
        <v>12.99</v>
      </c>
      <c r="E1792" s="624">
        <f>B1792*C1792-D1792</f>
        <v>1239.51</v>
      </c>
      <c r="F1792" s="546" t="s">
        <v>154</v>
      </c>
      <c r="G1792" s="1508"/>
      <c r="H1792" s="1501"/>
      <c r="I1792" s="1501" t="str">
        <f t="shared" si="77"/>
        <v>KO</v>
      </c>
      <c r="J1792" s="1501" t="str">
        <f t="shared" si="78"/>
        <v/>
      </c>
      <c r="K1792" s="271"/>
      <c r="L1792" s="309"/>
      <c r="M1792" s="309"/>
      <c r="N1792" s="309"/>
      <c r="O1792" s="309"/>
      <c r="P1792" s="309"/>
      <c r="Q1792" s="309"/>
      <c r="R1792" s="309"/>
      <c r="S1792" s="309"/>
      <c r="T1792" s="309"/>
      <c r="U1792" s="309"/>
    </row>
    <row r="1793" spans="1:21" ht="12.75" customHeight="1">
      <c r="A1793" s="985" t="s">
        <v>164</v>
      </c>
      <c r="B1793" s="625">
        <v>30</v>
      </c>
      <c r="C1793" s="623">
        <v>54.3</v>
      </c>
      <c r="D1793" s="792">
        <v>12.99</v>
      </c>
      <c r="E1793" s="624">
        <f>B1793*C1793-D1793</f>
        <v>1616.01</v>
      </c>
      <c r="F1793" s="546" t="s">
        <v>165</v>
      </c>
      <c r="G1793" s="1508"/>
      <c r="H1793" s="1501"/>
      <c r="I1793" s="1501" t="str">
        <f t="shared" si="77"/>
        <v>PEP</v>
      </c>
      <c r="J1793" s="1501" t="str">
        <f t="shared" si="78"/>
        <v/>
      </c>
      <c r="K1793" s="271"/>
      <c r="L1793" s="309"/>
      <c r="M1793" s="309"/>
      <c r="N1793" s="309"/>
      <c r="O1793" s="309"/>
      <c r="P1793" s="309"/>
      <c r="Q1793" s="309"/>
      <c r="R1793" s="309"/>
      <c r="S1793" s="309"/>
      <c r="T1793" s="309"/>
      <c r="U1793" s="309"/>
    </row>
    <row r="1794" spans="1:21" ht="12.75" customHeight="1">
      <c r="A1794" s="309"/>
      <c r="B1794" s="625"/>
      <c r="C1794" s="623"/>
      <c r="D1794" s="792"/>
      <c r="E1794" s="624"/>
      <c r="F1794" s="546"/>
      <c r="G1794" s="1523" t="s">
        <v>1076</v>
      </c>
      <c r="I1794" s="1501" t="str">
        <f t="shared" si="77"/>
        <v/>
      </c>
      <c r="J1794" s="1501" t="str">
        <f t="shared" si="78"/>
        <v/>
      </c>
      <c r="K1794" s="271"/>
      <c r="L1794" s="309"/>
      <c r="M1794" s="309"/>
      <c r="N1794" s="309"/>
      <c r="O1794" s="309"/>
      <c r="P1794" s="309"/>
      <c r="Q1794" s="309"/>
      <c r="R1794" s="309"/>
      <c r="S1794" s="309"/>
      <c r="T1794" s="309"/>
      <c r="U1794" s="309"/>
    </row>
    <row r="1795" spans="1:21" ht="12.75" customHeight="1">
      <c r="A1795" s="1423">
        <v>38384</v>
      </c>
      <c r="B1795" s="625"/>
      <c r="C1795" s="623"/>
      <c r="D1795" s="792"/>
      <c r="E1795" s="624"/>
      <c r="F1795" s="546"/>
      <c r="G1795" s="1508"/>
      <c r="H1795" s="1501"/>
      <c r="I1795" s="1501" t="str">
        <f t="shared" si="77"/>
        <v/>
      </c>
      <c r="J1795" s="1501" t="str">
        <f t="shared" si="78"/>
        <v>HRB</v>
      </c>
      <c r="K1795" s="271"/>
      <c r="L1795" s="309"/>
      <c r="M1795" s="309"/>
      <c r="N1795" s="309"/>
      <c r="O1795" s="309"/>
      <c r="P1795" s="309"/>
      <c r="Q1795" s="309"/>
      <c r="R1795" s="309"/>
      <c r="S1795" s="309"/>
      <c r="T1795" s="309"/>
      <c r="U1795" s="309"/>
    </row>
    <row r="1796" spans="1:21" ht="12.75" customHeight="1">
      <c r="A1796" s="1422" t="s">
        <v>1048</v>
      </c>
      <c r="B1796" s="625"/>
      <c r="C1796" s="623"/>
      <c r="D1796" s="792"/>
      <c r="E1796" s="624"/>
      <c r="F1796" s="546"/>
      <c r="G1796" s="1508"/>
      <c r="H1796" s="1501"/>
      <c r="I1796" s="1501" t="str">
        <f t="shared" si="77"/>
        <v/>
      </c>
      <c r="J1796" s="1501" t="str">
        <f t="shared" si="78"/>
        <v>TM</v>
      </c>
      <c r="K1796" s="271"/>
      <c r="L1796" s="309"/>
      <c r="M1796" s="309"/>
      <c r="N1796" s="309"/>
      <c r="O1796" s="309"/>
      <c r="P1796" s="309"/>
      <c r="Q1796" s="309"/>
      <c r="R1796" s="309"/>
      <c r="S1796" s="309"/>
      <c r="T1796" s="309"/>
      <c r="U1796" s="309"/>
    </row>
    <row r="1797" spans="1:21" ht="12.75" customHeight="1">
      <c r="A1797" s="985" t="s">
        <v>1077</v>
      </c>
      <c r="B1797" s="625">
        <v>75</v>
      </c>
      <c r="C1797" s="623">
        <v>48.46</v>
      </c>
      <c r="D1797" s="792">
        <v>12.99</v>
      </c>
      <c r="E1797" s="624">
        <f>B1797*C1797-D1797</f>
        <v>3621.51</v>
      </c>
      <c r="F1797" s="546" t="s">
        <v>179</v>
      </c>
      <c r="G1797" s="1508"/>
      <c r="H1797" s="1501"/>
      <c r="I1797" s="1501" t="str">
        <f t="shared" si="77"/>
        <v>HRB</v>
      </c>
      <c r="J1797" s="1501" t="str">
        <f t="shared" si="78"/>
        <v/>
      </c>
      <c r="K1797" s="271"/>
      <c r="L1797" s="309"/>
      <c r="M1797" s="309"/>
      <c r="N1797" s="309"/>
      <c r="O1797" s="309"/>
      <c r="P1797" s="309"/>
      <c r="Q1797" s="309"/>
      <c r="R1797" s="309"/>
      <c r="S1797" s="309"/>
      <c r="T1797" s="309"/>
      <c r="U1797" s="309"/>
    </row>
    <row r="1798" spans="1:21" ht="12.75" customHeight="1">
      <c r="A1798" s="985" t="s">
        <v>170</v>
      </c>
      <c r="B1798" s="625">
        <v>50</v>
      </c>
      <c r="C1798" s="623">
        <v>78.55</v>
      </c>
      <c r="D1798" s="792">
        <v>12.99</v>
      </c>
      <c r="E1798" s="624">
        <f>B1798*C1798-D1798</f>
        <v>3914.51</v>
      </c>
      <c r="F1798" s="546" t="s">
        <v>171</v>
      </c>
      <c r="G1798" s="1508"/>
      <c r="H1798" s="1501"/>
      <c r="I1798" s="1501" t="str">
        <f t="shared" si="77"/>
        <v>TM</v>
      </c>
      <c r="J1798" s="1501" t="str">
        <f t="shared" si="78"/>
        <v/>
      </c>
      <c r="K1798" s="271"/>
      <c r="L1798" s="309"/>
      <c r="M1798" s="309"/>
      <c r="N1798" s="309"/>
      <c r="O1798" s="309"/>
      <c r="P1798" s="309"/>
      <c r="Q1798" s="309"/>
      <c r="R1798" s="309"/>
      <c r="S1798" s="309"/>
      <c r="T1798" s="309"/>
      <c r="U1798" s="309"/>
    </row>
    <row r="1799" spans="1:21" ht="12.75" customHeight="1">
      <c r="A1799" s="985"/>
      <c r="B1799" s="625"/>
      <c r="C1799" s="623"/>
      <c r="D1799" s="792"/>
      <c r="E1799" s="624"/>
      <c r="F1799" s="546"/>
      <c r="G1799" s="1508"/>
      <c r="H1799" s="1501"/>
      <c r="I1799" s="1501" t="str">
        <f t="shared" si="77"/>
        <v/>
      </c>
      <c r="J1799" s="1501" t="str">
        <f t="shared" si="78"/>
        <v/>
      </c>
      <c r="K1799" s="271"/>
      <c r="L1799" s="309"/>
      <c r="M1799" s="309"/>
      <c r="N1799" s="309"/>
      <c r="O1799" s="309"/>
      <c r="P1799" s="309"/>
      <c r="Q1799" s="309"/>
      <c r="R1799" s="309"/>
      <c r="S1799" s="309"/>
      <c r="T1799" s="309"/>
      <c r="U1799" s="309"/>
    </row>
    <row r="1800" spans="1:21" ht="12.75" customHeight="1">
      <c r="A1800" s="1423">
        <v>38330</v>
      </c>
      <c r="B1800" s="625"/>
      <c r="C1800" s="623"/>
      <c r="D1800" s="792"/>
      <c r="E1800" s="624"/>
      <c r="F1800" s="546"/>
      <c r="G1800" s="1508"/>
      <c r="H1800" s="1501"/>
      <c r="I1800" s="1501" t="str">
        <f t="shared" si="77"/>
        <v/>
      </c>
      <c r="J1800" s="1501" t="str">
        <f t="shared" si="78"/>
        <v>FRX</v>
      </c>
      <c r="K1800" s="271"/>
      <c r="L1800" s="309"/>
      <c r="M1800" s="309"/>
      <c r="N1800" s="309"/>
      <c r="O1800" s="309"/>
      <c r="P1800" s="309"/>
      <c r="Q1800" s="309"/>
      <c r="R1800" s="309"/>
      <c r="S1800" s="309"/>
      <c r="T1800" s="309"/>
      <c r="U1800" s="309"/>
    </row>
    <row r="1801" spans="1:21" ht="12.75" customHeight="1">
      <c r="A1801" s="1422" t="s">
        <v>1048</v>
      </c>
      <c r="B1801" s="625"/>
      <c r="C1801" s="623"/>
      <c r="D1801" s="792"/>
      <c r="E1801" s="624"/>
      <c r="F1801" s="546"/>
      <c r="G1801" s="1508"/>
      <c r="H1801" s="1501"/>
      <c r="I1801" s="1501" t="str">
        <f t="shared" si="77"/>
        <v/>
      </c>
      <c r="J1801" s="1501" t="str">
        <f t="shared" si="78"/>
        <v/>
      </c>
      <c r="K1801" s="271"/>
      <c r="L1801" s="309"/>
      <c r="M1801" s="309"/>
      <c r="N1801" s="309"/>
      <c r="O1801" s="309"/>
      <c r="P1801" s="309"/>
      <c r="Q1801" s="309"/>
      <c r="R1801" s="309"/>
      <c r="S1801" s="309"/>
      <c r="T1801" s="309"/>
      <c r="U1801" s="309"/>
    </row>
    <row r="1802" spans="1:21" ht="12.75" customHeight="1">
      <c r="A1802" s="985" t="s">
        <v>101</v>
      </c>
      <c r="B1802" s="625">
        <v>40</v>
      </c>
      <c r="C1802" s="623">
        <v>41.76</v>
      </c>
      <c r="D1802" s="792">
        <v>12.99</v>
      </c>
      <c r="E1802" s="624">
        <f>B1802*C1802-D1802</f>
        <v>1657.4099999999999</v>
      </c>
      <c r="F1802" s="546" t="s">
        <v>102</v>
      </c>
      <c r="G1802" s="1508"/>
      <c r="H1802" s="1501"/>
      <c r="I1802" s="1501" t="str">
        <f t="shared" si="77"/>
        <v>FRX</v>
      </c>
      <c r="J1802" s="1501" t="str">
        <f t="shared" si="78"/>
        <v/>
      </c>
      <c r="K1802" s="271"/>
      <c r="L1802" s="309"/>
      <c r="M1802" s="309"/>
      <c r="N1802" s="309"/>
      <c r="O1802" s="309"/>
      <c r="P1802" s="309"/>
      <c r="Q1802" s="309"/>
      <c r="R1802" s="309"/>
      <c r="S1802" s="309"/>
      <c r="T1802" s="309"/>
      <c r="U1802" s="309"/>
    </row>
    <row r="1803" spans="1:21" ht="12.75" customHeight="1">
      <c r="A1803" s="985"/>
      <c r="B1803" s="625"/>
      <c r="C1803" s="623"/>
      <c r="D1803" s="792"/>
      <c r="E1803" s="624"/>
      <c r="F1803" s="546"/>
      <c r="G1803" s="1508"/>
      <c r="H1803" s="1501"/>
      <c r="I1803" s="1501" t="str">
        <f t="shared" si="77"/>
        <v/>
      </c>
      <c r="J1803" s="1501" t="str">
        <f t="shared" si="78"/>
        <v/>
      </c>
      <c r="K1803" s="271"/>
      <c r="L1803" s="309"/>
      <c r="M1803" s="309"/>
      <c r="N1803" s="309"/>
      <c r="O1803" s="309"/>
      <c r="P1803" s="309"/>
      <c r="Q1803" s="309"/>
      <c r="R1803" s="309"/>
      <c r="S1803" s="309"/>
      <c r="T1803" s="309"/>
      <c r="U1803" s="309"/>
    </row>
    <row r="1804" spans="1:21" ht="12.75" customHeight="1">
      <c r="A1804" s="1423">
        <v>38321</v>
      </c>
      <c r="B1804" s="625"/>
      <c r="C1804" s="623"/>
      <c r="D1804" s="792"/>
      <c r="E1804" s="624"/>
      <c r="F1804" s="546"/>
      <c r="G1804" s="1508"/>
      <c r="H1804" s="1501"/>
      <c r="I1804" s="1501" t="str">
        <f t="shared" si="77"/>
        <v/>
      </c>
      <c r="J1804" s="1501" t="str">
        <f t="shared" si="78"/>
        <v>PFE</v>
      </c>
      <c r="K1804" s="271"/>
      <c r="L1804" s="309"/>
      <c r="M1804" s="309"/>
      <c r="N1804" s="309"/>
      <c r="O1804" s="309"/>
      <c r="P1804" s="309"/>
      <c r="Q1804" s="309"/>
      <c r="R1804" s="309"/>
      <c r="S1804" s="309"/>
      <c r="T1804" s="309"/>
      <c r="U1804" s="309"/>
    </row>
    <row r="1805" spans="1:21" ht="12.75" customHeight="1">
      <c r="A1805" s="1422" t="s">
        <v>1048</v>
      </c>
      <c r="B1805" s="625"/>
      <c r="C1805" s="623"/>
      <c r="D1805" s="792"/>
      <c r="E1805" s="624"/>
      <c r="F1805" s="546"/>
      <c r="G1805" s="1508"/>
      <c r="H1805" s="1501"/>
      <c r="I1805" s="1501" t="str">
        <f t="shared" si="77"/>
        <v/>
      </c>
      <c r="J1805" s="1501" t="str">
        <f t="shared" si="78"/>
        <v/>
      </c>
      <c r="K1805" s="271"/>
      <c r="L1805" s="309"/>
      <c r="M1805" s="309"/>
      <c r="N1805" s="309"/>
      <c r="O1805" s="309"/>
      <c r="P1805" s="309"/>
      <c r="Q1805" s="309"/>
      <c r="R1805" s="309"/>
      <c r="S1805" s="309"/>
      <c r="T1805" s="309"/>
      <c r="U1805" s="309"/>
    </row>
    <row r="1806" spans="1:21" ht="12.75" customHeight="1">
      <c r="A1806" s="985" t="s">
        <v>111</v>
      </c>
      <c r="B1806" s="625">
        <v>80</v>
      </c>
      <c r="C1806" s="623">
        <v>28.03</v>
      </c>
      <c r="D1806" s="792">
        <v>12.99</v>
      </c>
      <c r="E1806" s="624">
        <f>B1806*C1806-D1806</f>
        <v>2229.4100000000003</v>
      </c>
      <c r="F1806" s="546" t="s">
        <v>112</v>
      </c>
      <c r="G1806" s="1508"/>
      <c r="H1806" s="1501"/>
      <c r="I1806" s="1501" t="str">
        <f t="shared" si="77"/>
        <v>PFE</v>
      </c>
      <c r="J1806" s="1501" t="str">
        <f t="shared" si="78"/>
        <v/>
      </c>
      <c r="K1806" s="271"/>
      <c r="L1806" s="309"/>
      <c r="M1806" s="309"/>
      <c r="N1806" s="309"/>
      <c r="O1806" s="309"/>
      <c r="P1806" s="309"/>
      <c r="Q1806" s="309"/>
      <c r="R1806" s="309"/>
      <c r="S1806" s="309"/>
      <c r="T1806" s="309"/>
      <c r="U1806" s="309"/>
    </row>
    <row r="1807" spans="1:21" ht="12.75" customHeight="1">
      <c r="A1807" s="985"/>
      <c r="B1807" s="625"/>
      <c r="C1807" s="623"/>
      <c r="D1807" s="792"/>
      <c r="E1807" s="624"/>
      <c r="F1807" s="546"/>
      <c r="G1807" s="1508"/>
      <c r="H1807" s="1501"/>
      <c r="I1807" s="1501" t="str">
        <f t="shared" si="77"/>
        <v/>
      </c>
      <c r="J1807" s="1501" t="str">
        <f t="shared" si="78"/>
        <v/>
      </c>
      <c r="K1807" s="271"/>
      <c r="L1807" s="309"/>
      <c r="M1807" s="309"/>
      <c r="N1807" s="309"/>
      <c r="O1807" s="309"/>
      <c r="P1807" s="309"/>
      <c r="Q1807" s="309"/>
      <c r="R1807" s="309"/>
      <c r="S1807" s="309"/>
      <c r="T1807" s="309"/>
      <c r="U1807" s="309"/>
    </row>
    <row r="1808" spans="1:21" ht="12.75" customHeight="1">
      <c r="A1808" s="1423">
        <v>38314</v>
      </c>
      <c r="B1808" s="625"/>
      <c r="C1808" s="623"/>
      <c r="D1808" s="792"/>
      <c r="E1808" s="624"/>
      <c r="F1808" s="546"/>
      <c r="G1808" s="1508"/>
      <c r="H1808" s="1501"/>
      <c r="I1808" s="1501" t="str">
        <f t="shared" si="77"/>
        <v/>
      </c>
      <c r="J1808" s="1501" t="str">
        <f t="shared" si="78"/>
        <v>SCHN</v>
      </c>
      <c r="K1808" s="271"/>
      <c r="L1808" s="309"/>
      <c r="M1808" s="309"/>
      <c r="N1808" s="309"/>
      <c r="O1808" s="309"/>
      <c r="P1808" s="309"/>
      <c r="Q1808" s="309"/>
      <c r="R1808" s="309"/>
      <c r="S1808" s="309"/>
      <c r="T1808" s="309"/>
      <c r="U1808" s="309"/>
    </row>
    <row r="1809" spans="1:21" ht="12.75" customHeight="1">
      <c r="A1809" s="1422" t="s">
        <v>1048</v>
      </c>
      <c r="B1809" s="625"/>
      <c r="C1809" s="623"/>
      <c r="D1809" s="792"/>
      <c r="E1809" s="624"/>
      <c r="F1809" s="546"/>
      <c r="G1809" s="1508"/>
      <c r="H1809" s="1501"/>
      <c r="I1809" s="1501" t="str">
        <f t="shared" si="77"/>
        <v/>
      </c>
      <c r="J1809" s="1501" t="str">
        <f t="shared" si="78"/>
        <v/>
      </c>
      <c r="K1809" s="271"/>
      <c r="L1809" s="309"/>
      <c r="M1809" s="309"/>
      <c r="N1809" s="309"/>
      <c r="O1809" s="309"/>
      <c r="P1809" s="309"/>
      <c r="Q1809" s="309"/>
      <c r="R1809" s="309"/>
      <c r="S1809" s="309"/>
      <c r="T1809" s="309"/>
      <c r="U1809" s="309"/>
    </row>
    <row r="1810" spans="1:21" ht="12.75" customHeight="1">
      <c r="A1810" s="985" t="s">
        <v>117</v>
      </c>
      <c r="B1810" s="625">
        <v>100</v>
      </c>
      <c r="C1810" s="623">
        <v>34.9</v>
      </c>
      <c r="D1810" s="792">
        <v>12.99</v>
      </c>
      <c r="E1810" s="624">
        <f>B1810*C1810-D1810</f>
        <v>3477.01</v>
      </c>
      <c r="F1810" s="546" t="s">
        <v>118</v>
      </c>
      <c r="G1810" s="1508"/>
      <c r="H1810" s="1501"/>
      <c r="I1810" s="1501" t="str">
        <f t="shared" si="77"/>
        <v>SCHN</v>
      </c>
      <c r="J1810" s="1501" t="str">
        <f t="shared" si="78"/>
        <v/>
      </c>
      <c r="K1810" s="271"/>
      <c r="L1810" s="309"/>
      <c r="M1810" s="309"/>
      <c r="N1810" s="309"/>
      <c r="O1810" s="309"/>
      <c r="P1810" s="309"/>
      <c r="Q1810" s="309"/>
      <c r="R1810" s="309"/>
      <c r="S1810" s="309"/>
      <c r="T1810" s="309"/>
      <c r="U1810" s="309"/>
    </row>
    <row r="1811" spans="1:21" ht="12.75" customHeight="1">
      <c r="A1811" s="985"/>
      <c r="B1811" s="625"/>
      <c r="C1811" s="623"/>
      <c r="D1811" s="792"/>
      <c r="E1811" s="624"/>
      <c r="F1811" s="546"/>
      <c r="G1811" s="1508"/>
      <c r="H1811" s="1501"/>
      <c r="I1811" s="1501" t="str">
        <f t="shared" si="77"/>
        <v/>
      </c>
      <c r="J1811" s="1501" t="str">
        <f t="shared" si="78"/>
        <v/>
      </c>
      <c r="K1811" s="271"/>
      <c r="L1811" s="309"/>
      <c r="M1811" s="309"/>
      <c r="N1811" s="309"/>
      <c r="O1811" s="309"/>
      <c r="P1811" s="309"/>
      <c r="Q1811" s="309"/>
      <c r="R1811" s="309"/>
      <c r="S1811" s="309"/>
      <c r="T1811" s="309"/>
      <c r="U1811" s="309"/>
    </row>
    <row r="1812" spans="1:21" ht="12.75" customHeight="1">
      <c r="A1812" s="1423">
        <v>38301</v>
      </c>
      <c r="B1812" s="625"/>
      <c r="C1812" s="623"/>
      <c r="D1812" s="792"/>
      <c r="E1812" s="624"/>
      <c r="F1812" s="546"/>
      <c r="G1812" s="1508"/>
      <c r="H1812" s="1501"/>
      <c r="I1812" s="1501" t="str">
        <f t="shared" si="77"/>
        <v/>
      </c>
      <c r="J1812" s="1501" t="str">
        <f t="shared" si="78"/>
        <v>PLMD</v>
      </c>
      <c r="K1812" s="271"/>
      <c r="L1812" s="309"/>
      <c r="M1812" s="309"/>
      <c r="N1812" s="309"/>
      <c r="O1812" s="309"/>
      <c r="P1812" s="309"/>
      <c r="Q1812" s="309"/>
      <c r="R1812" s="309"/>
      <c r="S1812" s="309"/>
      <c r="T1812" s="309"/>
      <c r="U1812" s="309"/>
    </row>
    <row r="1813" spans="1:21" ht="12.75" customHeight="1">
      <c r="A1813" s="1422" t="s">
        <v>1021</v>
      </c>
      <c r="B1813" s="625"/>
      <c r="C1813" s="623"/>
      <c r="D1813" s="792"/>
      <c r="E1813" s="624"/>
      <c r="F1813" s="546"/>
      <c r="G1813" s="1508"/>
      <c r="H1813" s="1501"/>
      <c r="I1813" s="1501" t="str">
        <f t="shared" si="77"/>
        <v/>
      </c>
      <c r="J1813" s="1501" t="str">
        <f t="shared" si="78"/>
        <v>CBK</v>
      </c>
      <c r="K1813" s="271"/>
      <c r="L1813" s="309"/>
      <c r="M1813" s="309"/>
      <c r="N1813" s="309"/>
      <c r="O1813" s="309"/>
      <c r="P1813" s="309"/>
      <c r="Q1813" s="309"/>
      <c r="R1813" s="309"/>
      <c r="S1813" s="309"/>
      <c r="T1813" s="309"/>
      <c r="U1813" s="309"/>
    </row>
    <row r="1814" spans="1:21" ht="12.75" customHeight="1">
      <c r="A1814" s="985" t="s">
        <v>1078</v>
      </c>
      <c r="B1814" s="625">
        <v>200</v>
      </c>
      <c r="C1814" s="623">
        <v>35.621000000000002</v>
      </c>
      <c r="D1814" s="792">
        <v>12.99</v>
      </c>
      <c r="E1814" s="624">
        <f>B1814*C1814-D1814</f>
        <v>7111.2100000000009</v>
      </c>
      <c r="F1814" s="546" t="s">
        <v>134</v>
      </c>
      <c r="G1814" s="1508"/>
      <c r="H1814" s="1501"/>
      <c r="I1814" s="1501" t="str">
        <f t="shared" si="77"/>
        <v>PLMD</v>
      </c>
      <c r="J1814" s="1501" t="str">
        <f t="shared" si="78"/>
        <v>NXTL</v>
      </c>
      <c r="K1814" s="271"/>
      <c r="L1814" s="309"/>
      <c r="M1814" s="309"/>
      <c r="N1814" s="309"/>
      <c r="O1814" s="309"/>
      <c r="P1814" s="309"/>
      <c r="Q1814" s="309"/>
      <c r="R1814" s="309"/>
      <c r="S1814" s="309"/>
      <c r="T1814" s="309"/>
      <c r="U1814" s="309"/>
    </row>
    <row r="1815" spans="1:21" ht="12.75" customHeight="1">
      <c r="A1815" s="985" t="s">
        <v>90</v>
      </c>
      <c r="B1815" s="625">
        <v>150</v>
      </c>
      <c r="C1815" s="623">
        <v>18.850000000000001</v>
      </c>
      <c r="D1815" s="792">
        <v>12.99</v>
      </c>
      <c r="E1815" s="624">
        <f>B1815*C1815-D1815</f>
        <v>2814.51</v>
      </c>
      <c r="F1815" s="546" t="s">
        <v>91</v>
      </c>
      <c r="G1815" s="1508"/>
      <c r="H1815" s="1501"/>
      <c r="I1815" s="1501" t="str">
        <f t="shared" si="77"/>
        <v>CBK</v>
      </c>
      <c r="J1815" s="1501" t="str">
        <f t="shared" si="78"/>
        <v/>
      </c>
      <c r="K1815" s="271"/>
      <c r="L1815" s="309"/>
      <c r="M1815" s="309"/>
      <c r="N1815" s="309"/>
      <c r="O1815" s="309"/>
      <c r="P1815" s="309"/>
      <c r="Q1815" s="309"/>
      <c r="R1815" s="309"/>
      <c r="S1815" s="309"/>
      <c r="T1815" s="309"/>
      <c r="U1815" s="309"/>
    </row>
    <row r="1816" spans="1:21" ht="12.75" customHeight="1">
      <c r="A1816" s="985" t="s">
        <v>1079</v>
      </c>
      <c r="B1816" s="625">
        <v>45</v>
      </c>
      <c r="C1816" s="623">
        <v>27.72</v>
      </c>
      <c r="D1816" s="792">
        <v>12.99</v>
      </c>
      <c r="E1816" s="624">
        <f>B1816*C1816-D1816</f>
        <v>1234.4099999999999</v>
      </c>
      <c r="F1816" s="546" t="s">
        <v>132</v>
      </c>
      <c r="G1816" s="1523" t="s">
        <v>1080</v>
      </c>
      <c r="I1816" s="1501" t="str">
        <f t="shared" si="77"/>
        <v>NXTL</v>
      </c>
      <c r="J1816" s="1501" t="str">
        <f t="shared" si="78"/>
        <v/>
      </c>
      <c r="K1816" s="271"/>
      <c r="L1816" s="309"/>
      <c r="M1816" s="309"/>
      <c r="N1816" s="309"/>
      <c r="O1816" s="309"/>
      <c r="P1816" s="309"/>
      <c r="Q1816" s="309"/>
      <c r="R1816" s="309"/>
      <c r="S1816" s="309"/>
      <c r="T1816" s="309"/>
      <c r="U1816" s="309"/>
    </row>
    <row r="1817" spans="1:21" ht="12.75" customHeight="1">
      <c r="A1817" s="985"/>
      <c r="B1817" s="625"/>
      <c r="C1817" s="623"/>
      <c r="D1817" s="792"/>
      <c r="E1817" s="624"/>
      <c r="F1817" s="546"/>
      <c r="G1817" s="1508"/>
      <c r="H1817" s="1501"/>
      <c r="I1817" s="1501" t="str">
        <f t="shared" si="77"/>
        <v/>
      </c>
      <c r="J1817" s="1501" t="str">
        <f t="shared" si="78"/>
        <v>CBK</v>
      </c>
      <c r="K1817" s="271"/>
      <c r="L1817" s="309"/>
      <c r="M1817" s="309"/>
      <c r="N1817" s="309"/>
      <c r="O1817" s="309"/>
      <c r="P1817" s="309"/>
      <c r="Q1817" s="309"/>
      <c r="R1817" s="309"/>
      <c r="S1817" s="309"/>
      <c r="T1817" s="309"/>
      <c r="U1817" s="309"/>
    </row>
    <row r="1818" spans="1:21" ht="12.75" customHeight="1">
      <c r="A1818" s="1422" t="s">
        <v>1048</v>
      </c>
      <c r="B1818" s="625"/>
      <c r="C1818" s="623"/>
      <c r="D1818" s="792"/>
      <c r="E1818" s="624"/>
      <c r="F1818" s="546"/>
      <c r="G1818" s="1508"/>
      <c r="H1818" s="1501"/>
      <c r="I1818" s="1501" t="str">
        <f t="shared" ref="I1818:I1881" si="79">IF(F1818="","",IF(OR(A1817="Sell",A1818="Sell"),"",F1818))</f>
        <v/>
      </c>
      <c r="J1818" s="1501" t="str">
        <f t="shared" si="78"/>
        <v/>
      </c>
      <c r="K1818" s="271"/>
      <c r="L1818" s="309"/>
      <c r="M1818" s="309"/>
      <c r="N1818" s="309"/>
      <c r="O1818" s="309"/>
      <c r="P1818" s="309"/>
      <c r="Q1818" s="309"/>
      <c r="R1818" s="309"/>
      <c r="S1818" s="309"/>
      <c r="T1818" s="309"/>
      <c r="U1818" s="309"/>
    </row>
    <row r="1819" spans="1:21" ht="12.75" customHeight="1">
      <c r="A1819" s="985" t="s">
        <v>90</v>
      </c>
      <c r="B1819" s="625">
        <v>75</v>
      </c>
      <c r="C1819" s="623">
        <v>18.78</v>
      </c>
      <c r="D1819" s="792">
        <v>12.99</v>
      </c>
      <c r="E1819" s="624">
        <f>B1819*C1819-D1819</f>
        <v>1395.51</v>
      </c>
      <c r="F1819" s="546" t="s">
        <v>91</v>
      </c>
      <c r="G1819" s="1508"/>
      <c r="H1819" s="1501"/>
      <c r="I1819" s="1501" t="str">
        <f t="shared" si="79"/>
        <v>CBK</v>
      </c>
      <c r="J1819" s="1501" t="str">
        <f t="shared" si="78"/>
        <v/>
      </c>
      <c r="K1819" s="271"/>
      <c r="L1819" s="309"/>
      <c r="M1819" s="309"/>
      <c r="N1819" s="309"/>
      <c r="O1819" s="309"/>
      <c r="P1819" s="309"/>
      <c r="Q1819" s="309"/>
      <c r="R1819" s="309"/>
      <c r="S1819" s="309"/>
      <c r="T1819" s="309"/>
      <c r="U1819" s="309"/>
    </row>
    <row r="1820" spans="1:21" ht="12.75" customHeight="1">
      <c r="A1820" s="985"/>
      <c r="B1820" s="625"/>
      <c r="C1820" s="623"/>
      <c r="D1820" s="792"/>
      <c r="E1820" s="624"/>
      <c r="F1820" s="546"/>
      <c r="G1820" s="1508"/>
      <c r="H1820" s="1501"/>
      <c r="I1820" s="1501" t="str">
        <f t="shared" si="79"/>
        <v/>
      </c>
      <c r="J1820" s="1501" t="str">
        <f t="shared" si="78"/>
        <v/>
      </c>
      <c r="K1820" s="271"/>
      <c r="L1820" s="309"/>
      <c r="M1820" s="309"/>
      <c r="N1820" s="309"/>
      <c r="O1820" s="309"/>
      <c r="P1820" s="309"/>
      <c r="Q1820" s="309"/>
      <c r="R1820" s="309"/>
      <c r="S1820" s="309"/>
      <c r="T1820" s="309"/>
      <c r="U1820" s="309"/>
    </row>
    <row r="1821" spans="1:21" ht="12.75" customHeight="1">
      <c r="A1821" s="1423">
        <v>38294</v>
      </c>
      <c r="B1821" s="625"/>
      <c r="C1821" s="623"/>
      <c r="D1821" s="792"/>
      <c r="E1821" s="624"/>
      <c r="F1821" s="546"/>
      <c r="G1821" s="1508"/>
      <c r="H1821" s="1501"/>
      <c r="I1821" s="1501" t="str">
        <f t="shared" si="79"/>
        <v/>
      </c>
      <c r="J1821" s="1501" t="str">
        <f t="shared" si="78"/>
        <v>COLM</v>
      </c>
      <c r="K1821" s="271"/>
      <c r="L1821" s="309"/>
      <c r="M1821" s="309"/>
      <c r="N1821" s="309"/>
      <c r="O1821" s="309"/>
      <c r="P1821" s="309"/>
      <c r="Q1821" s="309"/>
      <c r="R1821" s="309"/>
      <c r="S1821" s="309"/>
      <c r="T1821" s="309"/>
      <c r="U1821" s="309"/>
    </row>
    <row r="1822" spans="1:21" ht="12.75" customHeight="1">
      <c r="A1822" s="1422" t="s">
        <v>1021</v>
      </c>
      <c r="B1822" s="625"/>
      <c r="C1822" s="623"/>
      <c r="D1822" s="792"/>
      <c r="E1822" s="624"/>
      <c r="F1822" s="546"/>
      <c r="G1822" s="1508"/>
      <c r="H1822" s="1501"/>
      <c r="I1822" s="1501" t="str">
        <f t="shared" si="79"/>
        <v/>
      </c>
      <c r="J1822" s="1501" t="str">
        <f t="shared" si="78"/>
        <v>PII</v>
      </c>
      <c r="K1822" s="271"/>
      <c r="L1822" s="309"/>
      <c r="M1822" s="309"/>
      <c r="N1822" s="309"/>
      <c r="O1822" s="309"/>
      <c r="P1822" s="309"/>
      <c r="Q1822" s="309"/>
      <c r="R1822" s="309"/>
      <c r="S1822" s="309"/>
      <c r="T1822" s="309"/>
      <c r="U1822" s="309"/>
    </row>
    <row r="1823" spans="1:21" ht="12.75" customHeight="1">
      <c r="A1823" s="985" t="s">
        <v>1081</v>
      </c>
      <c r="B1823" s="625">
        <v>100</v>
      </c>
      <c r="C1823" s="623">
        <v>59.470999999999997</v>
      </c>
      <c r="D1823" s="792">
        <v>12.99</v>
      </c>
      <c r="E1823" s="624">
        <f>B1823*C1823-D1823</f>
        <v>5934.11</v>
      </c>
      <c r="F1823" s="546" t="s">
        <v>128</v>
      </c>
      <c r="G1823" s="1508"/>
      <c r="H1823" s="1501"/>
      <c r="I1823" s="1501" t="str">
        <f t="shared" si="79"/>
        <v>COLM</v>
      </c>
      <c r="J1823" s="1501" t="str">
        <f t="shared" si="78"/>
        <v/>
      </c>
      <c r="K1823" s="271"/>
      <c r="L1823" s="309"/>
      <c r="M1823" s="309"/>
      <c r="N1823" s="309"/>
      <c r="O1823" s="309"/>
      <c r="P1823" s="309"/>
      <c r="Q1823" s="309"/>
      <c r="R1823" s="309"/>
      <c r="S1823" s="309"/>
      <c r="T1823" s="309"/>
      <c r="U1823" s="309"/>
    </row>
    <row r="1824" spans="1:21" ht="12.75" customHeight="1">
      <c r="A1824" s="985" t="s">
        <v>1082</v>
      </c>
      <c r="B1824" s="625">
        <v>70</v>
      </c>
      <c r="C1824" s="623">
        <v>59.46</v>
      </c>
      <c r="D1824" s="792">
        <v>12.99</v>
      </c>
      <c r="E1824" s="624">
        <f>B1824*C1824-D1824</f>
        <v>4149.21</v>
      </c>
      <c r="F1824" s="546" t="s">
        <v>136</v>
      </c>
      <c r="G1824" s="1508"/>
      <c r="H1824" s="1501"/>
      <c r="I1824" s="1501" t="str">
        <f t="shared" si="79"/>
        <v>PII</v>
      </c>
      <c r="J1824" s="1501" t="str">
        <f t="shared" si="78"/>
        <v/>
      </c>
      <c r="K1824" s="271"/>
      <c r="L1824" s="309"/>
      <c r="M1824" s="309"/>
      <c r="N1824" s="309"/>
      <c r="O1824" s="309"/>
      <c r="P1824" s="309"/>
      <c r="Q1824" s="309"/>
      <c r="R1824" s="309"/>
      <c r="S1824" s="309"/>
      <c r="T1824" s="309"/>
      <c r="U1824" s="309"/>
    </row>
    <row r="1825" spans="1:21" ht="12.75" customHeight="1">
      <c r="A1825" s="985"/>
      <c r="B1825" s="625"/>
      <c r="C1825" s="623"/>
      <c r="D1825" s="792"/>
      <c r="E1825" s="624"/>
      <c r="F1825" s="546"/>
      <c r="G1825" s="1508"/>
      <c r="H1825" s="1501"/>
      <c r="I1825" s="1501" t="str">
        <f t="shared" si="79"/>
        <v/>
      </c>
      <c r="J1825" s="1501" t="str">
        <f t="shared" si="78"/>
        <v/>
      </c>
      <c r="K1825" s="271"/>
      <c r="L1825" s="309"/>
      <c r="M1825" s="309"/>
      <c r="N1825" s="309"/>
      <c r="O1825" s="309"/>
      <c r="P1825" s="309"/>
      <c r="Q1825" s="309"/>
      <c r="R1825" s="309"/>
      <c r="S1825" s="309"/>
      <c r="T1825" s="309"/>
      <c r="U1825" s="309"/>
    </row>
    <row r="1826" spans="1:21" ht="12.75" customHeight="1">
      <c r="A1826" s="1423">
        <v>38281</v>
      </c>
      <c r="B1826" s="625"/>
      <c r="C1826" s="623"/>
      <c r="D1826" s="792"/>
      <c r="E1826" s="624"/>
      <c r="F1826" s="546"/>
      <c r="G1826" s="1508"/>
      <c r="H1826" s="1501"/>
      <c r="I1826" s="1501" t="str">
        <f t="shared" si="79"/>
        <v/>
      </c>
      <c r="J1826" s="1501" t="str">
        <f t="shared" si="78"/>
        <v>MAT</v>
      </c>
      <c r="K1826" s="271"/>
      <c r="L1826" s="309"/>
      <c r="M1826" s="309"/>
      <c r="N1826" s="309"/>
      <c r="O1826" s="309"/>
      <c r="P1826" s="309"/>
      <c r="Q1826" s="309"/>
      <c r="R1826" s="309"/>
      <c r="S1826" s="309"/>
      <c r="T1826" s="309"/>
      <c r="U1826" s="309"/>
    </row>
    <row r="1827" spans="1:21" ht="12.75" customHeight="1">
      <c r="A1827" s="1422" t="s">
        <v>1021</v>
      </c>
      <c r="B1827" s="625"/>
      <c r="C1827" s="623"/>
      <c r="D1827" s="792"/>
      <c r="E1827" s="624"/>
      <c r="F1827" s="546"/>
      <c r="G1827" s="1508"/>
      <c r="H1827" s="1501"/>
      <c r="I1827" s="1501" t="str">
        <f t="shared" si="79"/>
        <v/>
      </c>
      <c r="J1827" s="1501" t="str">
        <f t="shared" si="78"/>
        <v/>
      </c>
      <c r="K1827" s="271"/>
      <c r="L1827" s="309"/>
      <c r="M1827" s="309"/>
      <c r="N1827" s="309"/>
      <c r="O1827" s="309"/>
      <c r="P1827" s="309"/>
      <c r="Q1827" s="309"/>
      <c r="R1827" s="309"/>
      <c r="S1827" s="309"/>
      <c r="T1827" s="309"/>
      <c r="U1827" s="309"/>
    </row>
    <row r="1828" spans="1:21" ht="12.75" customHeight="1">
      <c r="A1828" s="985" t="s">
        <v>1083</v>
      </c>
      <c r="B1828" s="625">
        <v>167</v>
      </c>
      <c r="C1828" s="623">
        <v>17.420000000000002</v>
      </c>
      <c r="D1828" s="792">
        <v>12.99</v>
      </c>
      <c r="E1828" s="624">
        <f>B1828*C1828-D1828</f>
        <v>2896.1500000000005</v>
      </c>
      <c r="F1828" s="546" t="s">
        <v>1084</v>
      </c>
      <c r="G1828" s="1508"/>
      <c r="H1828" s="1501"/>
      <c r="I1828" s="1501" t="str">
        <f t="shared" si="79"/>
        <v>MAT</v>
      </c>
      <c r="J1828" s="1501" t="str">
        <f t="shared" si="78"/>
        <v/>
      </c>
      <c r="K1828" s="271"/>
      <c r="L1828" s="309"/>
      <c r="M1828" s="309"/>
      <c r="N1828" s="309"/>
      <c r="O1828" s="309"/>
      <c r="P1828" s="309"/>
      <c r="Q1828" s="309"/>
      <c r="R1828" s="309"/>
      <c r="S1828" s="309"/>
      <c r="T1828" s="309"/>
      <c r="U1828" s="309"/>
    </row>
    <row r="1829" spans="1:21" ht="12.75" customHeight="1">
      <c r="A1829" s="985"/>
      <c r="B1829" s="625"/>
      <c r="C1829" s="623"/>
      <c r="D1829" s="792"/>
      <c r="E1829" s="624"/>
      <c r="F1829" s="546"/>
      <c r="G1829" s="1508"/>
      <c r="H1829" s="1501"/>
      <c r="I1829" s="1501" t="str">
        <f t="shared" si="79"/>
        <v/>
      </c>
      <c r="J1829" s="1501" t="str">
        <f t="shared" si="78"/>
        <v/>
      </c>
      <c r="K1829" s="271"/>
      <c r="L1829" s="309"/>
      <c r="M1829" s="309"/>
      <c r="N1829" s="309"/>
      <c r="O1829" s="309"/>
      <c r="P1829" s="309"/>
      <c r="Q1829" s="309"/>
      <c r="R1829" s="309"/>
      <c r="S1829" s="309"/>
      <c r="T1829" s="309"/>
      <c r="U1829" s="309"/>
    </row>
    <row r="1830" spans="1:21" ht="12.75" customHeight="1">
      <c r="A1830" s="1423">
        <v>38274</v>
      </c>
      <c r="B1830" s="625"/>
      <c r="C1830" s="623"/>
      <c r="D1830" s="792"/>
      <c r="E1830" s="624"/>
      <c r="F1830" s="546"/>
      <c r="G1830" s="1508"/>
      <c r="H1830" s="1501"/>
      <c r="I1830" s="1501" t="str">
        <f t="shared" si="79"/>
        <v/>
      </c>
      <c r="J1830" s="1501" t="str">
        <f t="shared" si="78"/>
        <v>TOL</v>
      </c>
      <c r="K1830" s="271"/>
      <c r="L1830" s="309"/>
      <c r="M1830" s="309"/>
      <c r="N1830" s="309"/>
      <c r="O1830" s="309"/>
      <c r="P1830" s="309"/>
      <c r="Q1830" s="309"/>
      <c r="R1830" s="309"/>
      <c r="S1830" s="309"/>
      <c r="T1830" s="309"/>
      <c r="U1830" s="309"/>
    </row>
    <row r="1831" spans="1:21" ht="12.75" customHeight="1">
      <c r="A1831" s="1422" t="s">
        <v>1021</v>
      </c>
      <c r="B1831" s="625"/>
      <c r="C1831" s="623"/>
      <c r="D1831" s="792"/>
      <c r="E1831" s="624"/>
      <c r="F1831" s="546"/>
      <c r="G1831" s="1508"/>
      <c r="H1831" s="1501"/>
      <c r="I1831" s="1501" t="str">
        <f t="shared" si="79"/>
        <v/>
      </c>
      <c r="J1831" s="1501" t="str">
        <f t="shared" si="78"/>
        <v/>
      </c>
      <c r="K1831" s="271"/>
      <c r="L1831" s="309"/>
      <c r="M1831" s="309"/>
      <c r="N1831" s="309"/>
      <c r="O1831" s="309"/>
      <c r="P1831" s="309"/>
      <c r="Q1831" s="309"/>
      <c r="R1831" s="309"/>
      <c r="S1831" s="309"/>
      <c r="T1831" s="309"/>
      <c r="U1831" s="309"/>
    </row>
    <row r="1832" spans="1:21" ht="12.75" customHeight="1">
      <c r="A1832" s="1426" t="s">
        <v>1085</v>
      </c>
      <c r="B1832" s="625">
        <v>100</v>
      </c>
      <c r="C1832" s="623">
        <v>43.44</v>
      </c>
      <c r="D1832" s="792">
        <v>12.99</v>
      </c>
      <c r="E1832" s="624">
        <f>B1832*C1832-D1832</f>
        <v>4331.01</v>
      </c>
      <c r="F1832" s="546" t="s">
        <v>1086</v>
      </c>
      <c r="G1832" s="1508"/>
      <c r="H1832" s="1501"/>
      <c r="I1832" s="1501" t="str">
        <f t="shared" si="79"/>
        <v>TOL</v>
      </c>
      <c r="J1832" s="1501" t="str">
        <f t="shared" si="78"/>
        <v/>
      </c>
      <c r="K1832" s="271"/>
      <c r="L1832" s="309"/>
      <c r="M1832" s="309"/>
      <c r="N1832" s="309"/>
      <c r="O1832" s="309"/>
      <c r="P1832" s="309"/>
      <c r="Q1832" s="309"/>
      <c r="R1832" s="309"/>
      <c r="S1832" s="309"/>
      <c r="T1832" s="309"/>
      <c r="U1832" s="309"/>
    </row>
    <row r="1833" spans="1:21" ht="12.75" customHeight="1">
      <c r="A1833" s="1426"/>
      <c r="B1833" s="625"/>
      <c r="C1833" s="623"/>
      <c r="D1833" s="792"/>
      <c r="E1833" s="624"/>
      <c r="F1833" s="546"/>
      <c r="G1833" s="1508"/>
      <c r="H1833" s="1501"/>
      <c r="I1833" s="1501" t="str">
        <f t="shared" si="79"/>
        <v/>
      </c>
      <c r="J1833" s="1501" t="str">
        <f t="shared" si="78"/>
        <v/>
      </c>
      <c r="K1833" s="271"/>
      <c r="L1833" s="309"/>
      <c r="M1833" s="309"/>
      <c r="N1833" s="309"/>
      <c r="O1833" s="309"/>
      <c r="P1833" s="309"/>
      <c r="Q1833" s="309"/>
      <c r="R1833" s="309"/>
      <c r="S1833" s="309"/>
      <c r="T1833" s="309"/>
      <c r="U1833" s="309"/>
    </row>
    <row r="1834" spans="1:21" ht="12.75" customHeight="1">
      <c r="A1834" s="1423">
        <v>38118</v>
      </c>
      <c r="B1834" s="625"/>
      <c r="C1834" s="623"/>
      <c r="D1834" s="792"/>
      <c r="E1834" s="624"/>
      <c r="F1834" s="546"/>
      <c r="G1834" s="1508"/>
      <c r="H1834" s="1501"/>
      <c r="I1834" s="1501" t="str">
        <f t="shared" si="79"/>
        <v/>
      </c>
      <c r="J1834" s="1501" t="str">
        <f t="shared" si="78"/>
        <v>HOTT</v>
      </c>
      <c r="K1834" s="271"/>
      <c r="L1834" s="309"/>
      <c r="M1834" s="309"/>
      <c r="N1834" s="309"/>
      <c r="O1834" s="309"/>
      <c r="P1834" s="309"/>
      <c r="Q1834" s="309"/>
      <c r="R1834" s="309"/>
      <c r="S1834" s="309"/>
      <c r="T1834" s="309"/>
      <c r="U1834" s="309"/>
    </row>
    <row r="1835" spans="1:21" ht="12.75" customHeight="1">
      <c r="A1835" s="1427" t="s">
        <v>1048</v>
      </c>
      <c r="B1835" s="625"/>
      <c r="C1835" s="623"/>
      <c r="D1835" s="792"/>
      <c r="E1835" s="624"/>
      <c r="F1835" s="546"/>
      <c r="G1835" s="1508"/>
      <c r="H1835" s="1501"/>
      <c r="I1835" s="1501" t="str">
        <f t="shared" si="79"/>
        <v/>
      </c>
      <c r="J1835" s="1501" t="str">
        <f t="shared" si="78"/>
        <v/>
      </c>
      <c r="K1835" s="271"/>
      <c r="L1835" s="309"/>
      <c r="M1835" s="309"/>
      <c r="N1835" s="309"/>
      <c r="O1835" s="309"/>
      <c r="P1835" s="309"/>
      <c r="Q1835" s="309"/>
      <c r="R1835" s="309"/>
      <c r="S1835" s="309"/>
      <c r="T1835" s="309"/>
      <c r="U1835" s="309"/>
    </row>
    <row r="1836" spans="1:21" ht="12.75" customHeight="1">
      <c r="A1836" s="1426" t="s">
        <v>105</v>
      </c>
      <c r="B1836" s="625">
        <v>32</v>
      </c>
      <c r="C1836" s="623">
        <v>21.616</v>
      </c>
      <c r="D1836" s="792">
        <v>12.99</v>
      </c>
      <c r="E1836" s="624">
        <f>B1836*C1836-D1836</f>
        <v>678.72199999999998</v>
      </c>
      <c r="F1836" s="546" t="s">
        <v>106</v>
      </c>
      <c r="G1836" s="1508"/>
      <c r="H1836" s="1501"/>
      <c r="I1836" s="1501" t="str">
        <f t="shared" si="79"/>
        <v>HOTT</v>
      </c>
      <c r="J1836" s="1501" t="str">
        <f t="shared" si="78"/>
        <v/>
      </c>
      <c r="K1836" s="271"/>
      <c r="L1836" s="309"/>
      <c r="M1836" s="309"/>
      <c r="N1836" s="309"/>
      <c r="O1836" s="309"/>
      <c r="P1836" s="309"/>
      <c r="Q1836" s="309"/>
      <c r="R1836" s="309"/>
      <c r="S1836" s="309"/>
      <c r="T1836" s="309"/>
      <c r="U1836" s="309"/>
    </row>
    <row r="1837" spans="1:21" ht="12.75" customHeight="1">
      <c r="A1837" s="309"/>
      <c r="B1837" s="625"/>
      <c r="C1837" s="623"/>
      <c r="D1837" s="792"/>
      <c r="E1837" s="624"/>
      <c r="F1837" s="546"/>
      <c r="G1837" s="1508"/>
      <c r="H1837" s="1501"/>
      <c r="I1837" s="1501" t="str">
        <f t="shared" si="79"/>
        <v/>
      </c>
      <c r="J1837" s="1501" t="str">
        <f t="shared" si="78"/>
        <v/>
      </c>
      <c r="K1837" s="271"/>
      <c r="L1837" s="309"/>
      <c r="M1837" s="309"/>
      <c r="N1837" s="309"/>
      <c r="O1837" s="309"/>
      <c r="P1837" s="309"/>
      <c r="Q1837" s="309"/>
      <c r="R1837" s="309"/>
      <c r="S1837" s="309"/>
      <c r="T1837" s="309"/>
      <c r="U1837" s="309"/>
    </row>
    <row r="1838" spans="1:21" ht="12.75" customHeight="1">
      <c r="A1838" s="1423">
        <v>38069</v>
      </c>
      <c r="B1838" s="625"/>
      <c r="C1838" s="623"/>
      <c r="D1838" s="792"/>
      <c r="E1838" s="624"/>
      <c r="F1838" s="546"/>
      <c r="G1838" s="1508"/>
      <c r="H1838" s="1501"/>
      <c r="I1838" s="1501" t="str">
        <f t="shared" si="79"/>
        <v/>
      </c>
      <c r="J1838" s="1501" t="str">
        <f t="shared" si="78"/>
        <v>THO</v>
      </c>
      <c r="K1838" s="271"/>
      <c r="L1838" s="309"/>
      <c r="M1838" s="309"/>
      <c r="N1838" s="309"/>
      <c r="O1838" s="309"/>
      <c r="P1838" s="309"/>
      <c r="Q1838" s="309"/>
      <c r="R1838" s="309"/>
      <c r="S1838" s="309"/>
      <c r="T1838" s="309"/>
      <c r="U1838" s="309"/>
    </row>
    <row r="1839" spans="1:21" ht="12.75" customHeight="1">
      <c r="A1839" s="1422" t="s">
        <v>1048</v>
      </c>
      <c r="B1839" s="625"/>
      <c r="C1839" s="623"/>
      <c r="D1839" s="792"/>
      <c r="E1839" s="624"/>
      <c r="F1839" s="546"/>
      <c r="G1839" s="1508"/>
      <c r="H1839" s="1501"/>
      <c r="I1839" s="1501" t="str">
        <f t="shared" si="79"/>
        <v/>
      </c>
      <c r="J1839" s="1501" t="str">
        <f t="shared" si="78"/>
        <v/>
      </c>
      <c r="K1839" s="271"/>
      <c r="L1839" s="309"/>
      <c r="M1839" s="309"/>
      <c r="N1839" s="309"/>
      <c r="O1839" s="309"/>
      <c r="P1839" s="309"/>
      <c r="Q1839" s="309"/>
      <c r="R1839" s="309"/>
      <c r="S1839" s="309"/>
      <c r="T1839" s="309"/>
      <c r="U1839" s="309"/>
    </row>
    <row r="1840" spans="1:21" ht="12.75" customHeight="1">
      <c r="A1840" s="985" t="s">
        <v>119</v>
      </c>
      <c r="B1840" s="625">
        <v>200</v>
      </c>
      <c r="C1840" s="623">
        <v>24.7</v>
      </c>
      <c r="D1840" s="792">
        <v>12.99</v>
      </c>
      <c r="E1840" s="624">
        <f>B1840*C1840-D1840</f>
        <v>4927.01</v>
      </c>
      <c r="F1840" s="546" t="s">
        <v>120</v>
      </c>
      <c r="G1840" s="1508"/>
      <c r="H1840" s="1501"/>
      <c r="I1840" s="1501" t="str">
        <f t="shared" si="79"/>
        <v>THO</v>
      </c>
      <c r="J1840" s="1501" t="str">
        <f t="shared" si="78"/>
        <v/>
      </c>
      <c r="K1840" s="271"/>
      <c r="L1840" s="309"/>
      <c r="M1840" s="309"/>
      <c r="N1840" s="309"/>
      <c r="O1840" s="309"/>
      <c r="P1840" s="309"/>
      <c r="Q1840" s="309"/>
      <c r="R1840" s="309"/>
      <c r="S1840" s="309"/>
      <c r="T1840" s="309"/>
      <c r="U1840" s="309"/>
    </row>
    <row r="1841" spans="1:21" ht="12.75" customHeight="1">
      <c r="A1841" s="985"/>
      <c r="B1841" s="625"/>
      <c r="C1841" s="623"/>
      <c r="D1841" s="792"/>
      <c r="E1841" s="624"/>
      <c r="F1841" s="546"/>
      <c r="G1841" s="1508"/>
      <c r="H1841" s="1501"/>
      <c r="I1841" s="1501" t="str">
        <f t="shared" si="79"/>
        <v/>
      </c>
      <c r="J1841" s="1501" t="str">
        <f t="shared" si="78"/>
        <v/>
      </c>
      <c r="K1841" s="271"/>
      <c r="L1841" s="309"/>
      <c r="M1841" s="309"/>
      <c r="N1841" s="309"/>
      <c r="O1841" s="309"/>
      <c r="P1841" s="309"/>
      <c r="Q1841" s="309"/>
      <c r="R1841" s="309"/>
      <c r="S1841" s="309"/>
      <c r="T1841" s="309"/>
      <c r="U1841" s="309"/>
    </row>
    <row r="1842" spans="1:21" ht="12.75" customHeight="1">
      <c r="A1842" s="1423">
        <v>38063</v>
      </c>
      <c r="B1842" s="625"/>
      <c r="C1842" s="623"/>
      <c r="D1842" s="792"/>
      <c r="E1842" s="624"/>
      <c r="F1842" s="546"/>
      <c r="G1842" s="1508"/>
      <c r="H1842" s="1501"/>
      <c r="I1842" s="1501" t="str">
        <f t="shared" si="79"/>
        <v/>
      </c>
      <c r="J1842" s="1501" t="str">
        <f t="shared" si="78"/>
        <v>MAT</v>
      </c>
      <c r="K1842" s="271"/>
      <c r="L1842" s="309"/>
      <c r="M1842" s="309"/>
      <c r="N1842" s="309"/>
      <c r="O1842" s="309"/>
      <c r="P1842" s="309"/>
      <c r="Q1842" s="309"/>
      <c r="R1842" s="309"/>
      <c r="S1842" s="309"/>
      <c r="T1842" s="309"/>
      <c r="U1842" s="309"/>
    </row>
    <row r="1843" spans="1:21" ht="12.75" customHeight="1">
      <c r="A1843" s="1422" t="s">
        <v>1048</v>
      </c>
      <c r="B1843" s="625"/>
      <c r="C1843" s="623"/>
      <c r="D1843" s="792"/>
      <c r="E1843" s="624"/>
      <c r="F1843" s="546"/>
      <c r="G1843" s="1508"/>
      <c r="H1843" s="1501"/>
      <c r="I1843" s="1501" t="str">
        <f t="shared" si="79"/>
        <v/>
      </c>
      <c r="J1843" s="1501" t="str">
        <f t="shared" si="78"/>
        <v/>
      </c>
      <c r="K1843" s="271"/>
      <c r="L1843" s="309"/>
      <c r="M1843" s="309"/>
      <c r="N1843" s="309"/>
      <c r="O1843" s="309"/>
      <c r="P1843" s="309"/>
      <c r="Q1843" s="309"/>
      <c r="R1843" s="309"/>
      <c r="S1843" s="309"/>
      <c r="T1843" s="309"/>
      <c r="U1843" s="309"/>
    </row>
    <row r="1844" spans="1:21" ht="12.75" customHeight="1">
      <c r="A1844" s="985" t="s">
        <v>1083</v>
      </c>
      <c r="B1844" s="625">
        <v>167</v>
      </c>
      <c r="C1844" s="623">
        <v>18.46</v>
      </c>
      <c r="D1844" s="792">
        <v>12.99</v>
      </c>
      <c r="E1844" s="624">
        <f>B1844*C1844-D1844</f>
        <v>3069.8300000000004</v>
      </c>
      <c r="F1844" s="546" t="s">
        <v>1084</v>
      </c>
      <c r="G1844" s="1508"/>
      <c r="H1844" s="1501"/>
      <c r="I1844" s="1501" t="str">
        <f t="shared" si="79"/>
        <v>MAT</v>
      </c>
      <c r="J1844" s="1501" t="str">
        <f t="shared" si="78"/>
        <v/>
      </c>
      <c r="K1844" s="271"/>
      <c r="L1844" s="309"/>
      <c r="M1844" s="309"/>
      <c r="N1844" s="309"/>
      <c r="O1844" s="309"/>
      <c r="P1844" s="309"/>
      <c r="Q1844" s="309"/>
      <c r="R1844" s="309"/>
      <c r="S1844" s="309"/>
      <c r="T1844" s="309"/>
      <c r="U1844" s="309"/>
    </row>
    <row r="1845" spans="1:21" ht="12.75" customHeight="1">
      <c r="A1845" s="985"/>
      <c r="B1845" s="625"/>
      <c r="C1845" s="623"/>
      <c r="D1845" s="792"/>
      <c r="E1845" s="624"/>
      <c r="F1845" s="546"/>
      <c r="G1845" s="1508"/>
      <c r="H1845" s="1501"/>
      <c r="I1845" s="1501" t="str">
        <f t="shared" si="79"/>
        <v/>
      </c>
      <c r="J1845" s="1501" t="str">
        <f t="shared" si="78"/>
        <v/>
      </c>
      <c r="K1845" s="271"/>
      <c r="L1845" s="309"/>
      <c r="M1845" s="309"/>
      <c r="N1845" s="309"/>
      <c r="O1845" s="309"/>
      <c r="P1845" s="309"/>
      <c r="Q1845" s="309"/>
      <c r="R1845" s="309"/>
      <c r="S1845" s="309"/>
      <c r="T1845" s="309"/>
      <c r="U1845" s="309"/>
    </row>
    <row r="1846" spans="1:21" ht="12.75" customHeight="1">
      <c r="A1846" s="1423">
        <v>38034</v>
      </c>
      <c r="B1846" s="625"/>
      <c r="C1846" s="623"/>
      <c r="D1846" s="792"/>
      <c r="E1846" s="624"/>
      <c r="F1846" s="546"/>
      <c r="G1846" s="1508"/>
      <c r="H1846" s="1501"/>
      <c r="I1846" s="1501" t="str">
        <f t="shared" si="79"/>
        <v/>
      </c>
      <c r="J1846" s="1501" t="str">
        <f t="shared" si="78"/>
        <v>SSL</v>
      </c>
      <c r="K1846" s="271"/>
      <c r="L1846" s="309"/>
      <c r="M1846" s="309"/>
      <c r="N1846" s="309"/>
      <c r="O1846" s="309"/>
      <c r="P1846" s="309"/>
      <c r="Q1846" s="309"/>
      <c r="R1846" s="309"/>
      <c r="S1846" s="309"/>
      <c r="T1846" s="309"/>
      <c r="U1846" s="309"/>
    </row>
    <row r="1847" spans="1:21" ht="12.75" customHeight="1">
      <c r="A1847" s="1422" t="s">
        <v>1021</v>
      </c>
      <c r="B1847" s="625"/>
      <c r="C1847" s="623"/>
      <c r="D1847" s="792"/>
      <c r="E1847" s="624"/>
      <c r="F1847" s="546"/>
      <c r="G1847" s="1508"/>
      <c r="H1847" s="1501"/>
      <c r="I1847" s="1501" t="str">
        <f t="shared" si="79"/>
        <v/>
      </c>
      <c r="J1847" s="1501" t="str">
        <f t="shared" si="78"/>
        <v>TYC</v>
      </c>
      <c r="K1847" s="271"/>
      <c r="L1847" s="309"/>
      <c r="M1847" s="309"/>
      <c r="N1847" s="309"/>
      <c r="O1847" s="309"/>
      <c r="P1847" s="309"/>
      <c r="Q1847" s="309"/>
      <c r="R1847" s="309"/>
      <c r="S1847" s="309"/>
      <c r="T1847" s="309"/>
      <c r="U1847" s="309"/>
    </row>
    <row r="1848" spans="1:21" ht="12.75" customHeight="1">
      <c r="A1848" s="985" t="s">
        <v>1087</v>
      </c>
      <c r="B1848" s="625">
        <v>115</v>
      </c>
      <c r="C1848" s="623">
        <v>15.4</v>
      </c>
      <c r="D1848" s="792">
        <v>12.99</v>
      </c>
      <c r="E1848" s="624">
        <f>B1848*C1848-D1848</f>
        <v>1758.01</v>
      </c>
      <c r="F1848" s="546" t="s">
        <v>138</v>
      </c>
      <c r="G1848" s="1508"/>
      <c r="H1848" s="1501"/>
      <c r="I1848" s="1501" t="str">
        <f t="shared" si="79"/>
        <v>SSL</v>
      </c>
      <c r="J1848" s="1501" t="str">
        <f t="shared" si="78"/>
        <v/>
      </c>
      <c r="K1848" s="271"/>
      <c r="L1848" s="309"/>
      <c r="M1848" s="309"/>
      <c r="N1848" s="309"/>
      <c r="O1848" s="309"/>
      <c r="P1848" s="309"/>
      <c r="Q1848" s="309"/>
      <c r="R1848" s="309"/>
      <c r="S1848" s="309"/>
      <c r="T1848" s="309"/>
      <c r="U1848" s="309"/>
    </row>
    <row r="1849" spans="1:21" ht="12.75" customHeight="1">
      <c r="A1849" s="985" t="s">
        <v>1088</v>
      </c>
      <c r="B1849" s="625">
        <v>100</v>
      </c>
      <c r="C1849" s="623">
        <v>29.23</v>
      </c>
      <c r="D1849" s="792">
        <v>12.99</v>
      </c>
      <c r="E1849" s="624">
        <f>B1849*C1849-D1849</f>
        <v>2910.01</v>
      </c>
      <c r="F1849" s="546" t="s">
        <v>140</v>
      </c>
      <c r="G1849" s="1508"/>
      <c r="H1849" s="1501"/>
      <c r="I1849" s="1501" t="str">
        <f t="shared" si="79"/>
        <v>TYC</v>
      </c>
      <c r="J1849" s="1501" t="str">
        <f t="shared" si="78"/>
        <v/>
      </c>
      <c r="K1849" s="271"/>
      <c r="L1849" s="309"/>
      <c r="M1849" s="309"/>
      <c r="N1849" s="309"/>
      <c r="O1849" s="309"/>
      <c r="P1849" s="309"/>
      <c r="Q1849" s="309"/>
      <c r="R1849" s="309"/>
      <c r="S1849" s="309"/>
      <c r="T1849" s="309"/>
      <c r="U1849" s="309"/>
    </row>
    <row r="1850" spans="1:21" ht="12.75" customHeight="1">
      <c r="A1850" s="1425"/>
      <c r="B1850" s="625"/>
      <c r="C1850" s="623"/>
      <c r="D1850" s="792"/>
      <c r="E1850" s="624"/>
      <c r="F1850" s="546"/>
      <c r="G1850" s="1508"/>
      <c r="H1850" s="1501"/>
      <c r="I1850" s="1501" t="str">
        <f t="shared" si="79"/>
        <v/>
      </c>
      <c r="J1850" s="1501" t="str">
        <f t="shared" si="78"/>
        <v/>
      </c>
      <c r="K1850" s="271"/>
      <c r="L1850" s="309"/>
      <c r="M1850" s="309"/>
      <c r="N1850" s="309"/>
      <c r="O1850" s="309"/>
      <c r="P1850" s="309"/>
      <c r="Q1850" s="309"/>
      <c r="R1850" s="309"/>
      <c r="S1850" s="309"/>
      <c r="T1850" s="309"/>
      <c r="U1850" s="309"/>
    </row>
    <row r="1851" spans="1:21" ht="12.75" customHeight="1">
      <c r="A1851" s="1423">
        <v>38020</v>
      </c>
      <c r="B1851" s="625"/>
      <c r="C1851" s="623"/>
      <c r="D1851" s="792"/>
      <c r="E1851" s="624"/>
      <c r="F1851" s="546"/>
      <c r="G1851" s="1508"/>
      <c r="H1851" s="1501"/>
      <c r="I1851" s="1501" t="str">
        <f t="shared" si="79"/>
        <v/>
      </c>
      <c r="J1851" s="1501" t="str">
        <f t="shared" si="78"/>
        <v>TOL</v>
      </c>
      <c r="K1851" s="271"/>
      <c r="L1851" s="309"/>
      <c r="M1851" s="309"/>
      <c r="N1851" s="309"/>
      <c r="O1851" s="309"/>
      <c r="P1851" s="309"/>
      <c r="Q1851" s="309"/>
      <c r="R1851" s="309"/>
      <c r="S1851" s="309"/>
      <c r="T1851" s="309"/>
      <c r="U1851" s="309"/>
    </row>
    <row r="1852" spans="1:21" ht="12.75" customHeight="1">
      <c r="A1852" s="1422" t="s">
        <v>1048</v>
      </c>
      <c r="B1852" s="625"/>
      <c r="C1852" s="623"/>
      <c r="D1852" s="792"/>
      <c r="E1852" s="624"/>
      <c r="F1852" s="546"/>
      <c r="G1852" s="1508"/>
      <c r="H1852" s="1501"/>
      <c r="I1852" s="1501" t="str">
        <f t="shared" si="79"/>
        <v/>
      </c>
      <c r="J1852" s="1501" t="str">
        <f t="shared" si="78"/>
        <v/>
      </c>
      <c r="K1852" s="271"/>
      <c r="L1852" s="309"/>
      <c r="M1852" s="309"/>
      <c r="N1852" s="309"/>
      <c r="O1852" s="309"/>
      <c r="P1852" s="309"/>
      <c r="Q1852" s="309"/>
      <c r="R1852" s="309"/>
      <c r="S1852" s="309"/>
      <c r="T1852" s="309"/>
      <c r="U1852" s="309"/>
    </row>
    <row r="1853" spans="1:21" ht="12.75" customHeight="1">
      <c r="A1853" s="985" t="s">
        <v>1085</v>
      </c>
      <c r="B1853" s="625">
        <v>100</v>
      </c>
      <c r="C1853" s="623">
        <v>39.909999999999997</v>
      </c>
      <c r="D1853" s="792">
        <v>12.99</v>
      </c>
      <c r="E1853" s="624">
        <f>B1853*C1853-D1853</f>
        <v>3978.0099999999998</v>
      </c>
      <c r="F1853" s="546" t="s">
        <v>1086</v>
      </c>
      <c r="G1853" s="1508"/>
      <c r="H1853" s="1501"/>
      <c r="I1853" s="1501" t="str">
        <f t="shared" si="79"/>
        <v>TOL</v>
      </c>
      <c r="J1853" s="1501" t="str">
        <f t="shared" si="78"/>
        <v/>
      </c>
      <c r="K1853" s="271"/>
      <c r="L1853" s="309"/>
      <c r="M1853" s="309"/>
      <c r="N1853" s="309"/>
      <c r="O1853" s="309"/>
      <c r="P1853" s="309"/>
      <c r="Q1853" s="309"/>
      <c r="R1853" s="309"/>
      <c r="S1853" s="309"/>
      <c r="T1853" s="309"/>
      <c r="U1853" s="309"/>
    </row>
    <row r="1854" spans="1:21" ht="12.75" customHeight="1">
      <c r="A1854" s="985"/>
      <c r="B1854" s="625"/>
      <c r="C1854" s="623"/>
      <c r="D1854" s="792"/>
      <c r="E1854" s="624"/>
      <c r="F1854" s="546"/>
      <c r="G1854" s="1508"/>
      <c r="H1854" s="1501"/>
      <c r="I1854" s="1501" t="str">
        <f t="shared" si="79"/>
        <v/>
      </c>
      <c r="J1854" s="1501" t="str">
        <f t="shared" si="78"/>
        <v/>
      </c>
      <c r="K1854" s="271"/>
      <c r="L1854" s="309"/>
      <c r="M1854" s="309"/>
      <c r="N1854" s="309"/>
      <c r="O1854" s="309"/>
      <c r="P1854" s="309"/>
      <c r="Q1854" s="309"/>
      <c r="R1854" s="309"/>
      <c r="S1854" s="309"/>
      <c r="T1854" s="309"/>
      <c r="U1854" s="309"/>
    </row>
    <row r="1855" spans="1:21" ht="12.75" customHeight="1">
      <c r="A1855" s="1423">
        <v>38013</v>
      </c>
      <c r="B1855" s="625"/>
      <c r="C1855" s="623"/>
      <c r="D1855" s="792"/>
      <c r="E1855" s="624"/>
      <c r="F1855" s="546"/>
      <c r="G1855" s="1508"/>
      <c r="H1855" s="1501"/>
      <c r="I1855" s="1501" t="str">
        <f t="shared" si="79"/>
        <v/>
      </c>
      <c r="J1855" s="1501" t="str">
        <f t="shared" ref="J1855:J1918" si="80">IF(F1857="","",IF(OR(A1855="Sell",A1856="Sell"),"",F1857))</f>
        <v>DYII</v>
      </c>
      <c r="K1855" s="271"/>
      <c r="L1855" s="309"/>
      <c r="M1855" s="309"/>
      <c r="N1855" s="309"/>
      <c r="O1855" s="309"/>
      <c r="P1855" s="309"/>
      <c r="Q1855" s="309"/>
      <c r="R1855" s="309"/>
      <c r="S1855" s="309"/>
      <c r="T1855" s="309"/>
      <c r="U1855" s="309"/>
    </row>
    <row r="1856" spans="1:21" ht="12.75" customHeight="1">
      <c r="A1856" s="1422" t="s">
        <v>1021</v>
      </c>
      <c r="B1856" s="625"/>
      <c r="C1856" s="623"/>
      <c r="D1856" s="792"/>
      <c r="E1856" s="624"/>
      <c r="F1856" s="546"/>
      <c r="G1856" s="1508"/>
      <c r="H1856" s="1501"/>
      <c r="I1856" s="1501" t="str">
        <f t="shared" si="79"/>
        <v/>
      </c>
      <c r="J1856" s="1501" t="str">
        <f t="shared" si="80"/>
        <v/>
      </c>
      <c r="K1856" s="271"/>
      <c r="L1856" s="309"/>
      <c r="M1856" s="309"/>
      <c r="N1856" s="309"/>
      <c r="O1856" s="309"/>
      <c r="P1856" s="309"/>
      <c r="Q1856" s="309"/>
      <c r="R1856" s="309"/>
      <c r="S1856" s="309"/>
      <c r="T1856" s="309"/>
      <c r="U1856" s="309"/>
    </row>
    <row r="1857" spans="1:21" ht="12.75" customHeight="1">
      <c r="A1857" s="985" t="s">
        <v>1089</v>
      </c>
      <c r="B1857" s="625">
        <v>50</v>
      </c>
      <c r="C1857" s="623">
        <v>6.98</v>
      </c>
      <c r="D1857" s="792">
        <v>12.99</v>
      </c>
      <c r="E1857" s="624">
        <f>B1857*C1857-D1857</f>
        <v>336.01</v>
      </c>
      <c r="F1857" s="546" t="s">
        <v>130</v>
      </c>
      <c r="G1857" s="1508"/>
      <c r="H1857" s="1501"/>
      <c r="I1857" s="1501" t="str">
        <f t="shared" si="79"/>
        <v>DYII</v>
      </c>
      <c r="J1857" s="1501" t="str">
        <f t="shared" si="80"/>
        <v/>
      </c>
      <c r="K1857" s="271"/>
      <c r="L1857" s="309"/>
      <c r="M1857" s="309"/>
      <c r="N1857" s="309"/>
      <c r="O1857" s="309"/>
      <c r="P1857" s="309"/>
      <c r="Q1857" s="309"/>
      <c r="R1857" s="309"/>
      <c r="S1857" s="309"/>
      <c r="T1857" s="309"/>
      <c r="U1857" s="309"/>
    </row>
    <row r="1858" spans="1:21" ht="12.75" customHeight="1">
      <c r="A1858" s="985"/>
      <c r="B1858" s="625"/>
      <c r="C1858" s="623"/>
      <c r="D1858" s="792"/>
      <c r="E1858" s="624"/>
      <c r="F1858" s="546"/>
      <c r="G1858" s="1508"/>
      <c r="H1858" s="1501"/>
      <c r="I1858" s="1501" t="str">
        <f t="shared" si="79"/>
        <v/>
      </c>
      <c r="J1858" s="1501" t="str">
        <f t="shared" si="80"/>
        <v/>
      </c>
      <c r="K1858" s="271"/>
      <c r="L1858" s="309"/>
      <c r="M1858" s="309"/>
      <c r="N1858" s="309"/>
      <c r="O1858" s="309"/>
      <c r="P1858" s="309"/>
      <c r="Q1858" s="309"/>
      <c r="R1858" s="309"/>
      <c r="S1858" s="309"/>
      <c r="T1858" s="309"/>
      <c r="U1858" s="309"/>
    </row>
    <row r="1859" spans="1:21" ht="12.75" customHeight="1">
      <c r="A1859" s="1423">
        <v>37958</v>
      </c>
      <c r="B1859" s="625"/>
      <c r="C1859" s="623"/>
      <c r="D1859" s="792"/>
      <c r="E1859" s="624"/>
      <c r="F1859" s="546"/>
      <c r="G1859" s="1523" t="s">
        <v>1090</v>
      </c>
      <c r="I1859" s="1501" t="str">
        <f t="shared" si="79"/>
        <v/>
      </c>
      <c r="J1859" s="1501" t="str">
        <f t="shared" si="80"/>
        <v>PIR</v>
      </c>
      <c r="K1859" s="271"/>
      <c r="L1859" s="309"/>
      <c r="M1859" s="309"/>
      <c r="N1859" s="309"/>
      <c r="O1859" s="309"/>
      <c r="P1859" s="309"/>
      <c r="Q1859" s="309"/>
      <c r="R1859" s="309"/>
      <c r="S1859" s="309"/>
      <c r="T1859" s="309"/>
      <c r="U1859" s="309"/>
    </row>
    <row r="1860" spans="1:21" ht="12.75" customHeight="1">
      <c r="A1860" s="1427" t="s">
        <v>1091</v>
      </c>
      <c r="B1860" s="625"/>
      <c r="C1860" s="623"/>
      <c r="D1860" s="792"/>
      <c r="E1860" s="624"/>
      <c r="F1860" s="546"/>
      <c r="G1860" s="1508"/>
      <c r="H1860" s="1501"/>
      <c r="I1860" s="1501" t="str">
        <f t="shared" si="79"/>
        <v/>
      </c>
      <c r="J1860" s="1501" t="str">
        <f t="shared" si="80"/>
        <v>PII</v>
      </c>
      <c r="K1860" s="271"/>
      <c r="L1860" s="309"/>
      <c r="M1860" s="309"/>
      <c r="N1860" s="309"/>
      <c r="O1860" s="309"/>
      <c r="P1860" s="309"/>
      <c r="Q1860" s="309"/>
      <c r="R1860" s="309"/>
      <c r="S1860" s="309"/>
      <c r="T1860" s="309"/>
      <c r="U1860" s="309"/>
    </row>
    <row r="1861" spans="1:21" ht="12.75" customHeight="1">
      <c r="A1861" s="985" t="s">
        <v>1092</v>
      </c>
      <c r="B1861" s="625">
        <v>150</v>
      </c>
      <c r="C1861" s="623">
        <v>24.91</v>
      </c>
      <c r="D1861" s="792">
        <v>12.99</v>
      </c>
      <c r="E1861" s="624">
        <f>B1861*C1861-D1861</f>
        <v>3723.51</v>
      </c>
      <c r="F1861" s="546" t="s">
        <v>114</v>
      </c>
      <c r="G1861" s="1508"/>
      <c r="H1861" s="1501"/>
      <c r="I1861" s="1501" t="str">
        <f t="shared" si="79"/>
        <v>PIR</v>
      </c>
      <c r="J1861" s="1501" t="str">
        <f t="shared" si="80"/>
        <v/>
      </c>
      <c r="K1861" s="271"/>
      <c r="L1861" s="309"/>
      <c r="M1861" s="309"/>
      <c r="N1861" s="309"/>
      <c r="O1861" s="309"/>
      <c r="P1861" s="309"/>
      <c r="Q1861" s="309"/>
      <c r="R1861" s="309"/>
      <c r="S1861" s="309"/>
      <c r="T1861" s="309"/>
      <c r="U1861" s="309"/>
    </row>
    <row r="1862" spans="1:21" ht="12.75" customHeight="1">
      <c r="A1862" s="985" t="s">
        <v>1093</v>
      </c>
      <c r="B1862" s="625">
        <v>70</v>
      </c>
      <c r="C1862" s="623">
        <v>42.27</v>
      </c>
      <c r="D1862" s="792">
        <v>12.99</v>
      </c>
      <c r="E1862" s="624">
        <f>B1862*C1862-D1862</f>
        <v>2945.9100000000003</v>
      </c>
      <c r="F1862" s="546" t="s">
        <v>136</v>
      </c>
      <c r="G1862" s="1508"/>
      <c r="H1862" s="1501"/>
      <c r="I1862" s="1501" t="str">
        <f t="shared" si="79"/>
        <v>PII</v>
      </c>
      <c r="J1862" s="1501" t="str">
        <f t="shared" si="80"/>
        <v/>
      </c>
      <c r="K1862" s="271"/>
      <c r="L1862" s="309"/>
      <c r="M1862" s="309"/>
      <c r="N1862" s="309"/>
      <c r="O1862" s="309"/>
      <c r="P1862" s="309"/>
      <c r="Q1862" s="309"/>
      <c r="R1862" s="309"/>
      <c r="S1862" s="309"/>
      <c r="T1862" s="309"/>
      <c r="U1862" s="309"/>
    </row>
    <row r="1863" spans="1:21" ht="12.75" customHeight="1">
      <c r="A1863" s="985"/>
      <c r="B1863" s="625"/>
      <c r="C1863" s="623"/>
      <c r="D1863" s="792"/>
      <c r="E1863" s="624"/>
      <c r="F1863" s="546"/>
      <c r="G1863" s="1523" t="s">
        <v>1094</v>
      </c>
      <c r="I1863" s="1501" t="str">
        <f t="shared" si="79"/>
        <v/>
      </c>
      <c r="J1863" s="1501" t="str">
        <f t="shared" si="80"/>
        <v/>
      </c>
      <c r="K1863" s="271"/>
      <c r="L1863" s="309"/>
      <c r="M1863" s="309"/>
      <c r="N1863" s="309"/>
      <c r="O1863" s="309"/>
      <c r="P1863" s="309"/>
      <c r="Q1863" s="309"/>
      <c r="R1863" s="309"/>
      <c r="S1863" s="309"/>
      <c r="T1863" s="309"/>
      <c r="U1863" s="309"/>
    </row>
    <row r="1864" spans="1:21" ht="12.75" customHeight="1">
      <c r="A1864" s="1423">
        <v>37949</v>
      </c>
      <c r="B1864" s="625"/>
      <c r="C1864" s="623"/>
      <c r="D1864" s="792"/>
      <c r="E1864" s="624"/>
      <c r="F1864" s="546"/>
      <c r="G1864" s="1508"/>
      <c r="H1864" s="1501"/>
      <c r="I1864" s="1501" t="str">
        <f t="shared" si="79"/>
        <v/>
      </c>
      <c r="J1864" s="1501" t="str">
        <f t="shared" si="80"/>
        <v>COCO</v>
      </c>
      <c r="K1864" s="271"/>
      <c r="L1864" s="309"/>
      <c r="M1864" s="309"/>
      <c r="N1864" s="309"/>
      <c r="O1864" s="309"/>
      <c r="P1864" s="309"/>
      <c r="Q1864" s="309"/>
      <c r="R1864" s="309"/>
      <c r="S1864" s="309"/>
      <c r="T1864" s="309"/>
      <c r="U1864" s="309"/>
    </row>
    <row r="1865" spans="1:21" ht="12.75" customHeight="1">
      <c r="A1865" s="1427" t="s">
        <v>1091</v>
      </c>
      <c r="B1865" s="625"/>
      <c r="C1865" s="623"/>
      <c r="D1865" s="792"/>
      <c r="E1865" s="624"/>
      <c r="F1865" s="546"/>
      <c r="G1865" s="1508"/>
      <c r="H1865" s="1501"/>
      <c r="I1865" s="1501" t="str">
        <f t="shared" si="79"/>
        <v/>
      </c>
      <c r="J1865" s="1501" t="str">
        <f t="shared" si="80"/>
        <v>TJX</v>
      </c>
      <c r="K1865" s="271"/>
      <c r="L1865" s="309"/>
      <c r="M1865" s="309"/>
      <c r="N1865" s="309"/>
      <c r="O1865" s="309"/>
      <c r="P1865" s="309"/>
      <c r="Q1865" s="309"/>
      <c r="R1865" s="309"/>
      <c r="S1865" s="309"/>
      <c r="T1865" s="309"/>
      <c r="U1865" s="309"/>
    </row>
    <row r="1866" spans="1:21" ht="12.75" customHeight="1">
      <c r="A1866" s="1426" t="s">
        <v>92</v>
      </c>
      <c r="B1866" s="625">
        <v>34</v>
      </c>
      <c r="C1866" s="623">
        <v>31.39</v>
      </c>
      <c r="D1866" s="792">
        <v>12.99</v>
      </c>
      <c r="E1866" s="624">
        <f>B1866*C1866-D1866</f>
        <v>1054.27</v>
      </c>
      <c r="F1866" s="546" t="s">
        <v>93</v>
      </c>
      <c r="G1866" s="1508"/>
      <c r="H1866" s="1501"/>
      <c r="I1866" s="1501" t="str">
        <f t="shared" si="79"/>
        <v>COCO</v>
      </c>
      <c r="J1866" s="1501" t="str">
        <f t="shared" si="80"/>
        <v/>
      </c>
      <c r="K1866" s="271"/>
      <c r="L1866" s="309"/>
      <c r="M1866" s="309"/>
      <c r="N1866" s="309"/>
      <c r="O1866" s="309"/>
      <c r="P1866" s="309"/>
      <c r="Q1866" s="309"/>
      <c r="R1866" s="309"/>
      <c r="S1866" s="309"/>
      <c r="T1866" s="309"/>
      <c r="U1866" s="309"/>
    </row>
    <row r="1867" spans="1:21" ht="12.75" customHeight="1">
      <c r="A1867" s="1426" t="s">
        <v>1095</v>
      </c>
      <c r="B1867" s="625">
        <v>215</v>
      </c>
      <c r="C1867" s="623">
        <v>22.25</v>
      </c>
      <c r="D1867" s="792">
        <v>12.99</v>
      </c>
      <c r="E1867" s="624">
        <f>B1867*C1867-D1867</f>
        <v>4770.76</v>
      </c>
      <c r="F1867" s="546" t="s">
        <v>124</v>
      </c>
      <c r="G1867" s="1508"/>
      <c r="H1867" s="1501"/>
      <c r="I1867" s="1501" t="str">
        <f t="shared" si="79"/>
        <v>TJX</v>
      </c>
      <c r="J1867" s="1501" t="str">
        <f t="shared" si="80"/>
        <v/>
      </c>
      <c r="K1867" s="271"/>
      <c r="L1867" s="309"/>
      <c r="M1867" s="309"/>
      <c r="N1867" s="309"/>
      <c r="O1867" s="309"/>
      <c r="P1867" s="309"/>
      <c r="Q1867" s="309"/>
      <c r="R1867" s="309"/>
      <c r="S1867" s="309"/>
      <c r="T1867" s="309"/>
      <c r="U1867" s="309"/>
    </row>
    <row r="1868" spans="1:21" ht="12.75" customHeight="1">
      <c r="A1868" s="985"/>
      <c r="B1868" s="625"/>
      <c r="C1868" s="623"/>
      <c r="D1868" s="792"/>
      <c r="E1868" s="624"/>
      <c r="F1868" s="546"/>
      <c r="G1868" s="1508"/>
      <c r="H1868" s="1501"/>
      <c r="I1868" s="1501" t="str">
        <f t="shared" si="79"/>
        <v/>
      </c>
      <c r="J1868" s="1501" t="str">
        <f t="shared" si="80"/>
        <v/>
      </c>
      <c r="K1868" s="271"/>
      <c r="L1868" s="309"/>
      <c r="M1868" s="309"/>
      <c r="N1868" s="309"/>
      <c r="O1868" s="309"/>
      <c r="P1868" s="309"/>
      <c r="Q1868" s="309"/>
      <c r="R1868" s="309"/>
      <c r="S1868" s="309"/>
      <c r="T1868" s="309"/>
      <c r="U1868" s="309"/>
    </row>
    <row r="1869" spans="1:21" ht="12.75" customHeight="1">
      <c r="A1869" s="1423">
        <v>37944</v>
      </c>
      <c r="B1869" s="625"/>
      <c r="C1869" s="623"/>
      <c r="D1869" s="792"/>
      <c r="E1869" s="624"/>
      <c r="F1869" s="546"/>
      <c r="G1869" s="1508"/>
      <c r="H1869" s="1501"/>
      <c r="I1869" s="1501" t="str">
        <f t="shared" si="79"/>
        <v/>
      </c>
      <c r="J1869" s="1501" t="str">
        <f t="shared" si="80"/>
        <v>CRVL</v>
      </c>
      <c r="K1869" s="271"/>
      <c r="L1869" s="309"/>
      <c r="M1869" s="309"/>
      <c r="N1869" s="309"/>
      <c r="O1869" s="309"/>
      <c r="P1869" s="309"/>
      <c r="Q1869" s="309"/>
      <c r="R1869" s="309"/>
      <c r="S1869" s="309"/>
      <c r="T1869" s="309"/>
      <c r="U1869" s="309"/>
    </row>
    <row r="1870" spans="1:21" ht="12.75" customHeight="1">
      <c r="A1870" s="1427" t="s">
        <v>1091</v>
      </c>
      <c r="B1870" s="625"/>
      <c r="C1870" s="623"/>
      <c r="D1870" s="792"/>
      <c r="E1870" s="624"/>
      <c r="F1870" s="546"/>
      <c r="G1870" s="1508"/>
      <c r="H1870" s="1501"/>
      <c r="I1870" s="1501" t="str">
        <f t="shared" si="79"/>
        <v/>
      </c>
      <c r="J1870" s="1501" t="str">
        <f t="shared" si="80"/>
        <v/>
      </c>
      <c r="K1870" s="271"/>
      <c r="L1870" s="309"/>
      <c r="M1870" s="309"/>
      <c r="N1870" s="309"/>
      <c r="O1870" s="309"/>
      <c r="P1870" s="309"/>
      <c r="Q1870" s="309"/>
      <c r="R1870" s="309"/>
      <c r="S1870" s="309"/>
      <c r="T1870" s="309"/>
      <c r="U1870" s="309"/>
    </row>
    <row r="1871" spans="1:21" ht="12.75" customHeight="1">
      <c r="A1871" s="985" t="s">
        <v>1074</v>
      </c>
      <c r="B1871" s="625">
        <v>30</v>
      </c>
      <c r="C1871" s="623">
        <v>34.299999999999997</v>
      </c>
      <c r="D1871" s="792">
        <v>12.99</v>
      </c>
      <c r="E1871" s="624">
        <f>B1871*C1871-D1871</f>
        <v>1016.01</v>
      </c>
      <c r="F1871" s="546" t="s">
        <v>95</v>
      </c>
      <c r="G1871" s="1508"/>
      <c r="H1871" s="1501"/>
      <c r="I1871" s="1501" t="str">
        <f t="shared" si="79"/>
        <v>CRVL</v>
      </c>
      <c r="J1871" s="1501" t="str">
        <f t="shared" si="80"/>
        <v/>
      </c>
      <c r="K1871" s="271"/>
      <c r="L1871" s="309"/>
      <c r="M1871" s="309"/>
      <c r="N1871" s="309"/>
      <c r="O1871" s="309"/>
      <c r="P1871" s="309"/>
      <c r="Q1871" s="309"/>
      <c r="R1871" s="309"/>
      <c r="S1871" s="309"/>
      <c r="T1871" s="309"/>
      <c r="U1871" s="309"/>
    </row>
    <row r="1872" spans="1:21" ht="12.75" customHeight="1">
      <c r="A1872" s="985"/>
      <c r="B1872" s="625"/>
      <c r="C1872" s="623"/>
      <c r="D1872" s="792"/>
      <c r="E1872" s="624"/>
      <c r="F1872" s="546"/>
      <c r="G1872" s="1508"/>
      <c r="H1872" s="1501"/>
      <c r="I1872" s="1501" t="str">
        <f t="shared" si="79"/>
        <v/>
      </c>
      <c r="J1872" s="1501" t="str">
        <f t="shared" si="80"/>
        <v/>
      </c>
      <c r="K1872" s="271"/>
      <c r="L1872" s="309"/>
      <c r="M1872" s="309"/>
      <c r="N1872" s="309"/>
      <c r="O1872" s="309"/>
      <c r="P1872" s="309"/>
      <c r="Q1872" s="309"/>
      <c r="R1872" s="309"/>
      <c r="S1872" s="309"/>
      <c r="T1872" s="309"/>
      <c r="U1872" s="309"/>
    </row>
    <row r="1873" spans="1:21" ht="12.75" customHeight="1">
      <c r="A1873" s="1423">
        <v>37937</v>
      </c>
      <c r="B1873" s="625"/>
      <c r="C1873" s="623"/>
      <c r="D1873" s="792"/>
      <c r="E1873" s="624"/>
      <c r="F1873" s="546"/>
      <c r="G1873" s="1508"/>
      <c r="H1873" s="1501"/>
      <c r="I1873" s="1501" t="str">
        <f t="shared" si="79"/>
        <v/>
      </c>
      <c r="J1873" s="1501" t="str">
        <f t="shared" si="80"/>
        <v>DRI</v>
      </c>
      <c r="K1873" s="271"/>
      <c r="L1873" s="309"/>
      <c r="M1873" s="309"/>
      <c r="N1873" s="309"/>
      <c r="O1873" s="309"/>
      <c r="P1873" s="309"/>
      <c r="Q1873" s="309"/>
      <c r="R1873" s="309"/>
      <c r="S1873" s="309"/>
      <c r="T1873" s="309"/>
      <c r="U1873" s="309"/>
    </row>
    <row r="1874" spans="1:21" ht="12.75" customHeight="1">
      <c r="A1874" s="1427" t="s">
        <v>1091</v>
      </c>
      <c r="B1874" s="625"/>
      <c r="C1874" s="623"/>
      <c r="D1874" s="792"/>
      <c r="E1874" s="624"/>
      <c r="F1874" s="546"/>
      <c r="G1874" s="1508"/>
      <c r="H1874" s="1501"/>
      <c r="I1874" s="1501" t="str">
        <f t="shared" si="79"/>
        <v/>
      </c>
      <c r="J1874" s="1501" t="str">
        <f t="shared" si="80"/>
        <v/>
      </c>
      <c r="K1874" s="271"/>
      <c r="L1874" s="309"/>
      <c r="M1874" s="309"/>
      <c r="N1874" s="309"/>
      <c r="O1874" s="309"/>
      <c r="P1874" s="309"/>
      <c r="Q1874" s="309"/>
      <c r="R1874" s="309"/>
      <c r="S1874" s="309"/>
      <c r="T1874" s="309"/>
      <c r="U1874" s="309"/>
    </row>
    <row r="1875" spans="1:21" ht="12.75" customHeight="1">
      <c r="A1875" s="985" t="s">
        <v>1096</v>
      </c>
      <c r="B1875" s="625">
        <v>55</v>
      </c>
      <c r="C1875" s="623">
        <v>20.309999999999999</v>
      </c>
      <c r="D1875" s="792">
        <v>12.99</v>
      </c>
      <c r="E1875" s="624">
        <f>B1875*C1875-D1875</f>
        <v>1104.06</v>
      </c>
      <c r="F1875" s="546" t="s">
        <v>98</v>
      </c>
      <c r="G1875" s="1508"/>
      <c r="H1875" s="1501"/>
      <c r="I1875" s="1501" t="str">
        <f t="shared" si="79"/>
        <v>DRI</v>
      </c>
      <c r="J1875" s="1501" t="str">
        <f t="shared" si="80"/>
        <v/>
      </c>
      <c r="K1875" s="271"/>
      <c r="L1875" s="309"/>
      <c r="M1875" s="309"/>
      <c r="N1875" s="309"/>
      <c r="O1875" s="309"/>
      <c r="P1875" s="309"/>
      <c r="Q1875" s="309"/>
      <c r="R1875" s="309"/>
      <c r="S1875" s="309"/>
      <c r="T1875" s="309"/>
      <c r="U1875" s="309"/>
    </row>
    <row r="1876" spans="1:21" ht="12.75" customHeight="1">
      <c r="A1876" s="985"/>
      <c r="B1876" s="625"/>
      <c r="C1876" s="623"/>
      <c r="D1876" s="792"/>
      <c r="E1876" s="624"/>
      <c r="F1876" s="546"/>
      <c r="G1876" s="1508"/>
      <c r="H1876" s="1501"/>
      <c r="I1876" s="1501" t="str">
        <f t="shared" si="79"/>
        <v/>
      </c>
      <c r="J1876" s="1501" t="str">
        <f t="shared" si="80"/>
        <v/>
      </c>
      <c r="K1876" s="271"/>
      <c r="L1876" s="309"/>
      <c r="M1876" s="309"/>
      <c r="N1876" s="309"/>
      <c r="O1876" s="309"/>
      <c r="P1876" s="309"/>
      <c r="Q1876" s="309"/>
      <c r="R1876" s="309"/>
      <c r="S1876" s="309"/>
      <c r="T1876" s="309"/>
      <c r="U1876" s="309"/>
    </row>
    <row r="1877" spans="1:21" ht="12.75" customHeight="1">
      <c r="A1877" s="1423">
        <v>37930</v>
      </c>
      <c r="B1877" s="625"/>
      <c r="C1877" s="623"/>
      <c r="D1877" s="792"/>
      <c r="E1877" s="624"/>
      <c r="F1877" s="546"/>
      <c r="G1877" s="1508"/>
      <c r="H1877" s="1501"/>
      <c r="I1877" s="1501" t="str">
        <f t="shared" si="79"/>
        <v/>
      </c>
      <c r="J1877" s="1501" t="str">
        <f t="shared" si="80"/>
        <v>PHCC</v>
      </c>
      <c r="K1877" s="271"/>
      <c r="L1877" s="309"/>
      <c r="M1877" s="309"/>
      <c r="N1877" s="309"/>
      <c r="O1877" s="309"/>
      <c r="P1877" s="309"/>
      <c r="Q1877" s="309"/>
      <c r="R1877" s="309"/>
      <c r="S1877" s="309"/>
      <c r="T1877" s="309"/>
      <c r="U1877" s="309"/>
    </row>
    <row r="1878" spans="1:21" ht="12.75" customHeight="1">
      <c r="A1878" s="1427" t="s">
        <v>1091</v>
      </c>
      <c r="B1878" s="625"/>
      <c r="C1878" s="623"/>
      <c r="D1878" s="792"/>
      <c r="E1878" s="624"/>
      <c r="F1878" s="546"/>
      <c r="G1878" s="1508"/>
      <c r="H1878" s="1501"/>
      <c r="I1878" s="1501" t="str">
        <f t="shared" si="79"/>
        <v/>
      </c>
      <c r="J1878" s="1501" t="str">
        <f t="shared" si="80"/>
        <v/>
      </c>
      <c r="K1878" s="271"/>
      <c r="L1878" s="309"/>
      <c r="M1878" s="309"/>
      <c r="N1878" s="309"/>
      <c r="O1878" s="309"/>
      <c r="P1878" s="309"/>
      <c r="Q1878" s="309"/>
      <c r="R1878" s="309"/>
      <c r="S1878" s="309"/>
      <c r="T1878" s="309"/>
      <c r="U1878" s="309"/>
    </row>
    <row r="1879" spans="1:21" ht="12.75" customHeight="1">
      <c r="A1879" s="985" t="s">
        <v>1097</v>
      </c>
      <c r="B1879" s="625">
        <v>60</v>
      </c>
      <c r="C1879" s="623">
        <v>21.62</v>
      </c>
      <c r="D1879" s="792">
        <v>12.99</v>
      </c>
      <c r="E1879" s="624">
        <f>B1879*C1879-D1879</f>
        <v>1284.21</v>
      </c>
      <c r="F1879" s="546" t="s">
        <v>116</v>
      </c>
      <c r="G1879" s="1508"/>
      <c r="H1879" s="1501"/>
      <c r="I1879" s="1501" t="str">
        <f t="shared" si="79"/>
        <v>PHCC</v>
      </c>
      <c r="J1879" s="1501" t="str">
        <f t="shared" si="80"/>
        <v/>
      </c>
      <c r="K1879" s="271"/>
      <c r="L1879" s="309"/>
      <c r="M1879" s="309"/>
      <c r="N1879" s="309"/>
      <c r="O1879" s="309"/>
      <c r="P1879" s="309"/>
      <c r="Q1879" s="309"/>
      <c r="R1879" s="309"/>
      <c r="S1879" s="309"/>
      <c r="T1879" s="309"/>
      <c r="U1879" s="309"/>
    </row>
    <row r="1880" spans="1:21" ht="12.75" customHeight="1">
      <c r="A1880" s="985"/>
      <c r="B1880" s="625"/>
      <c r="C1880" s="623"/>
      <c r="D1880" s="792"/>
      <c r="E1880" s="624"/>
      <c r="F1880" s="546"/>
      <c r="G1880" s="1523" t="s">
        <v>1098</v>
      </c>
      <c r="I1880" s="1501" t="str">
        <f t="shared" si="79"/>
        <v/>
      </c>
      <c r="J1880" s="1501" t="str">
        <f t="shared" si="80"/>
        <v/>
      </c>
      <c r="K1880" s="271"/>
      <c r="L1880" s="309"/>
      <c r="M1880" s="309"/>
      <c r="N1880" s="309"/>
      <c r="O1880" s="309"/>
      <c r="P1880" s="309"/>
      <c r="Q1880" s="309"/>
      <c r="R1880" s="309"/>
      <c r="S1880" s="309"/>
      <c r="T1880" s="309"/>
      <c r="U1880" s="309"/>
    </row>
    <row r="1881" spans="1:21" ht="12.75" customHeight="1">
      <c r="A1881" s="1423">
        <v>37923</v>
      </c>
      <c r="B1881" s="625"/>
      <c r="C1881" s="623"/>
      <c r="D1881" s="792"/>
      <c r="E1881" s="624"/>
      <c r="F1881" s="546"/>
      <c r="G1881" s="1508"/>
      <c r="H1881" s="1501"/>
      <c r="I1881" s="1501" t="str">
        <f t="shared" si="79"/>
        <v/>
      </c>
      <c r="J1881" s="1501" t="str">
        <f t="shared" si="80"/>
        <v>AME</v>
      </c>
      <c r="K1881" s="271"/>
      <c r="L1881" s="309"/>
      <c r="M1881" s="309"/>
      <c r="N1881" s="309"/>
      <c r="O1881" s="309"/>
      <c r="P1881" s="309"/>
      <c r="Q1881" s="309"/>
      <c r="R1881" s="309"/>
      <c r="S1881" s="309"/>
      <c r="T1881" s="309"/>
      <c r="U1881" s="309"/>
    </row>
    <row r="1882" spans="1:21" ht="12.75" customHeight="1">
      <c r="A1882" s="1427" t="s">
        <v>1091</v>
      </c>
      <c r="B1882" s="625"/>
      <c r="C1882" s="623"/>
      <c r="D1882" s="792"/>
      <c r="E1882" s="624"/>
      <c r="F1882" s="546"/>
      <c r="G1882" s="1508"/>
      <c r="H1882" s="1501"/>
      <c r="I1882" s="1501" t="str">
        <f t="shared" ref="I1882:I1945" si="81">IF(F1882="","",IF(OR(A1881="Sell",A1882="Sell"),"",F1882))</f>
        <v/>
      </c>
      <c r="J1882" s="1501" t="str">
        <f t="shared" si="80"/>
        <v/>
      </c>
      <c r="K1882" s="271"/>
      <c r="L1882" s="309"/>
      <c r="M1882" s="309"/>
      <c r="N1882" s="309"/>
      <c r="O1882" s="309"/>
      <c r="P1882" s="309"/>
      <c r="Q1882" s="309"/>
      <c r="R1882" s="309"/>
      <c r="S1882" s="309"/>
      <c r="T1882" s="309"/>
      <c r="U1882" s="309"/>
    </row>
    <row r="1883" spans="1:21" ht="12.75" customHeight="1">
      <c r="A1883" s="985" t="s">
        <v>1099</v>
      </c>
      <c r="B1883" s="625">
        <v>200</v>
      </c>
      <c r="C1883" s="623">
        <v>23.45</v>
      </c>
      <c r="D1883" s="792">
        <v>12.99</v>
      </c>
      <c r="E1883" s="624">
        <f>B1883*C1883-D1883</f>
        <v>4677.01</v>
      </c>
      <c r="F1883" s="546" t="s">
        <v>85</v>
      </c>
      <c r="G1883" s="1508"/>
      <c r="H1883" s="1501"/>
      <c r="I1883" s="1501" t="str">
        <f t="shared" si="81"/>
        <v>AME</v>
      </c>
      <c r="J1883" s="1501" t="str">
        <f t="shared" si="80"/>
        <v/>
      </c>
      <c r="K1883" s="271"/>
      <c r="L1883" s="309"/>
      <c r="M1883" s="309"/>
      <c r="N1883" s="309"/>
      <c r="O1883" s="309"/>
      <c r="P1883" s="309"/>
      <c r="Q1883" s="309"/>
      <c r="R1883" s="309"/>
      <c r="S1883" s="309"/>
      <c r="T1883" s="309"/>
      <c r="U1883" s="309"/>
    </row>
    <row r="1884" spans="1:21" ht="12.75" customHeight="1">
      <c r="A1884" s="1422"/>
      <c r="B1884" s="625"/>
      <c r="C1884" s="623"/>
      <c r="D1884" s="792"/>
      <c r="E1884" s="624"/>
      <c r="F1884" s="546"/>
      <c r="G1884" s="1508"/>
      <c r="H1884" s="1501"/>
      <c r="I1884" s="1501" t="str">
        <f t="shared" si="81"/>
        <v/>
      </c>
      <c r="J1884" s="1501" t="str">
        <f t="shared" si="80"/>
        <v/>
      </c>
      <c r="K1884" s="271"/>
      <c r="L1884" s="309"/>
      <c r="M1884" s="309"/>
      <c r="N1884" s="309"/>
      <c r="O1884" s="309"/>
      <c r="P1884" s="309"/>
      <c r="Q1884" s="309"/>
      <c r="R1884" s="309"/>
      <c r="S1884" s="309"/>
      <c r="T1884" s="309"/>
      <c r="U1884" s="309"/>
    </row>
    <row r="1885" spans="1:21" ht="12.75" customHeight="1">
      <c r="A1885" s="1423">
        <v>37916</v>
      </c>
      <c r="B1885" s="625"/>
      <c r="C1885" s="623"/>
      <c r="D1885" s="792"/>
      <c r="E1885" s="624"/>
      <c r="F1885" s="546"/>
      <c r="G1885" s="1508"/>
      <c r="H1885" s="1501"/>
      <c r="I1885" s="1501" t="str">
        <f t="shared" si="81"/>
        <v/>
      </c>
      <c r="J1885" s="1501" t="str">
        <f t="shared" si="80"/>
        <v>CHKP</v>
      </c>
      <c r="K1885" s="271"/>
      <c r="L1885" s="309"/>
      <c r="M1885" s="309"/>
      <c r="N1885" s="309"/>
      <c r="O1885" s="309"/>
      <c r="P1885" s="309"/>
      <c r="Q1885" s="309"/>
      <c r="R1885" s="309"/>
      <c r="S1885" s="309"/>
      <c r="T1885" s="309"/>
      <c r="U1885" s="309"/>
    </row>
    <row r="1886" spans="1:21" ht="12.75" customHeight="1">
      <c r="A1886" s="1427" t="s">
        <v>1021</v>
      </c>
      <c r="B1886" s="625"/>
      <c r="C1886" s="623"/>
      <c r="D1886" s="792"/>
      <c r="E1886" s="624"/>
      <c r="F1886" s="546"/>
      <c r="G1886" s="1508"/>
      <c r="H1886" s="1501"/>
      <c r="I1886" s="1501" t="str">
        <f t="shared" si="81"/>
        <v/>
      </c>
      <c r="J1886" s="1501" t="str">
        <f t="shared" si="80"/>
        <v>IBM</v>
      </c>
      <c r="K1886" s="271"/>
      <c r="L1886" s="309"/>
      <c r="M1886" s="309"/>
      <c r="N1886" s="309"/>
      <c r="O1886" s="309"/>
      <c r="P1886" s="309"/>
      <c r="Q1886" s="309"/>
      <c r="R1886" s="309"/>
      <c r="S1886" s="309"/>
      <c r="T1886" s="309"/>
      <c r="U1886" s="309"/>
    </row>
    <row r="1887" spans="1:21" ht="12.75" customHeight="1">
      <c r="A1887" s="985" t="s">
        <v>1100</v>
      </c>
      <c r="B1887" s="625">
        <v>150</v>
      </c>
      <c r="C1887" s="623">
        <v>17.05</v>
      </c>
      <c r="D1887" s="792">
        <v>12.99</v>
      </c>
      <c r="E1887" s="624">
        <f>B1887*C1887-D1887</f>
        <v>2544.5100000000002</v>
      </c>
      <c r="F1887" s="546" t="s">
        <v>1101</v>
      </c>
      <c r="G1887" s="1508"/>
      <c r="H1887" s="1501"/>
      <c r="I1887" s="1501" t="str">
        <f t="shared" si="81"/>
        <v>CHKP</v>
      </c>
      <c r="J1887" s="1501" t="str">
        <f t="shared" si="80"/>
        <v/>
      </c>
      <c r="K1887" s="271"/>
      <c r="L1887" s="309"/>
      <c r="M1887" s="309"/>
      <c r="N1887" s="309"/>
      <c r="O1887" s="309"/>
      <c r="P1887" s="309"/>
      <c r="Q1887" s="309"/>
      <c r="R1887" s="309"/>
      <c r="S1887" s="309"/>
      <c r="T1887" s="309"/>
      <c r="U1887" s="309"/>
    </row>
    <row r="1888" spans="1:21" ht="12.75" customHeight="1">
      <c r="A1888" s="985" t="s">
        <v>1102</v>
      </c>
      <c r="B1888" s="625">
        <v>10</v>
      </c>
      <c r="C1888" s="623">
        <v>88.77</v>
      </c>
      <c r="D1888" s="792">
        <v>12.99</v>
      </c>
      <c r="E1888" s="624">
        <f>B1888*C1888-D1888</f>
        <v>874.70999999999992</v>
      </c>
      <c r="F1888" s="546" t="s">
        <v>489</v>
      </c>
      <c r="G1888" s="1508"/>
      <c r="H1888" s="1501"/>
      <c r="I1888" s="1501" t="str">
        <f t="shared" si="81"/>
        <v>IBM</v>
      </c>
      <c r="J1888" s="1501" t="str">
        <f t="shared" si="80"/>
        <v/>
      </c>
      <c r="K1888" s="271"/>
      <c r="L1888" s="309"/>
      <c r="M1888" s="309"/>
      <c r="N1888" s="309"/>
      <c r="O1888" s="309"/>
      <c r="P1888" s="309"/>
      <c r="Q1888" s="309"/>
      <c r="R1888" s="309"/>
      <c r="S1888" s="309"/>
      <c r="T1888" s="309"/>
      <c r="U1888" s="309"/>
    </row>
    <row r="1889" spans="1:21" ht="12.75" customHeight="1">
      <c r="A1889" s="309"/>
      <c r="B1889" s="625"/>
      <c r="C1889" s="623"/>
      <c r="D1889" s="792"/>
      <c r="E1889" s="624"/>
      <c r="F1889" s="546"/>
      <c r="G1889" s="1508"/>
      <c r="H1889" s="1501"/>
      <c r="I1889" s="1501" t="str">
        <f t="shared" si="81"/>
        <v/>
      </c>
      <c r="J1889" s="1501" t="str">
        <f t="shared" si="80"/>
        <v/>
      </c>
      <c r="K1889" s="271"/>
      <c r="L1889" s="309"/>
      <c r="M1889" s="309"/>
      <c r="N1889" s="309"/>
      <c r="O1889" s="309"/>
      <c r="P1889" s="309"/>
      <c r="Q1889" s="309"/>
      <c r="R1889" s="309"/>
      <c r="S1889" s="309"/>
      <c r="T1889" s="309"/>
      <c r="U1889" s="309"/>
    </row>
    <row r="1890" spans="1:21" ht="12.75" customHeight="1">
      <c r="A1890" s="1423">
        <v>37902</v>
      </c>
      <c r="B1890" s="625"/>
      <c r="C1890" s="623"/>
      <c r="D1890" s="792"/>
      <c r="E1890" s="624"/>
      <c r="F1890" s="546"/>
      <c r="G1890" s="1508"/>
      <c r="H1890" s="1501"/>
      <c r="I1890" s="1501" t="str">
        <f t="shared" si="81"/>
        <v/>
      </c>
      <c r="J1890" s="1501" t="str">
        <f t="shared" si="80"/>
        <v>ANF</v>
      </c>
      <c r="K1890" s="271"/>
      <c r="L1890" s="309"/>
      <c r="M1890" s="309"/>
      <c r="N1890" s="309"/>
      <c r="O1890" s="309"/>
      <c r="P1890" s="309"/>
      <c r="Q1890" s="309"/>
      <c r="R1890" s="309"/>
      <c r="S1890" s="309"/>
      <c r="T1890" s="309"/>
      <c r="U1890" s="309"/>
    </row>
    <row r="1891" spans="1:21" ht="12.75" customHeight="1">
      <c r="A1891" s="1422" t="s">
        <v>1021</v>
      </c>
      <c r="B1891" s="625"/>
      <c r="C1891" s="623"/>
      <c r="D1891" s="792"/>
      <c r="E1891" s="624"/>
      <c r="F1891" s="546"/>
      <c r="G1891" s="1508"/>
      <c r="H1891" s="1501"/>
      <c r="I1891" s="1501" t="str">
        <f t="shared" si="81"/>
        <v/>
      </c>
      <c r="J1891" s="1501" t="str">
        <f t="shared" si="80"/>
        <v/>
      </c>
      <c r="K1891" s="271"/>
      <c r="L1891" s="309"/>
      <c r="M1891" s="309"/>
      <c r="N1891" s="309"/>
      <c r="O1891" s="309"/>
      <c r="P1891" s="309"/>
      <c r="Q1891" s="309"/>
      <c r="R1891" s="309"/>
      <c r="S1891" s="309"/>
      <c r="T1891" s="309"/>
      <c r="U1891" s="309"/>
    </row>
    <row r="1892" spans="1:21" ht="12.75" customHeight="1">
      <c r="A1892" s="985" t="s">
        <v>1103</v>
      </c>
      <c r="B1892" s="625">
        <v>175</v>
      </c>
      <c r="C1892" s="623">
        <v>30.86</v>
      </c>
      <c r="D1892" s="792">
        <v>12.99</v>
      </c>
      <c r="E1892" s="624">
        <f>B1892*C1892-D1892</f>
        <v>5387.51</v>
      </c>
      <c r="F1892" s="546" t="s">
        <v>1104</v>
      </c>
      <c r="G1892" s="1508"/>
      <c r="H1892" s="1501"/>
      <c r="I1892" s="1501" t="str">
        <f t="shared" si="81"/>
        <v>ANF</v>
      </c>
      <c r="J1892" s="1501" t="str">
        <f t="shared" si="80"/>
        <v/>
      </c>
      <c r="K1892" s="271"/>
      <c r="L1892" s="309"/>
      <c r="M1892" s="309"/>
      <c r="N1892" s="309"/>
      <c r="O1892" s="309"/>
      <c r="P1892" s="309"/>
      <c r="Q1892" s="309"/>
      <c r="R1892" s="309"/>
      <c r="S1892" s="309"/>
      <c r="T1892" s="309"/>
      <c r="U1892" s="309"/>
    </row>
    <row r="1893" spans="1:21" ht="12.75" customHeight="1">
      <c r="A1893" s="985"/>
      <c r="B1893" s="625"/>
      <c r="C1893" s="623"/>
      <c r="D1893" s="792"/>
      <c r="E1893" s="624"/>
      <c r="F1893" s="546"/>
      <c r="G1893" s="1508"/>
      <c r="H1893" s="1501"/>
      <c r="I1893" s="1501" t="str">
        <f t="shared" si="81"/>
        <v/>
      </c>
      <c r="J1893" s="1501" t="str">
        <f t="shared" si="80"/>
        <v/>
      </c>
      <c r="K1893" s="271"/>
      <c r="L1893" s="309"/>
      <c r="M1893" s="309"/>
      <c r="N1893" s="309"/>
      <c r="O1893" s="309"/>
      <c r="P1893" s="309"/>
      <c r="Q1893" s="309"/>
      <c r="R1893" s="309"/>
      <c r="S1893" s="309"/>
      <c r="T1893" s="309"/>
      <c r="U1893" s="309"/>
    </row>
    <row r="1894" spans="1:21" ht="12.75" customHeight="1">
      <c r="A1894" s="1423">
        <v>37897</v>
      </c>
      <c r="B1894" s="625"/>
      <c r="C1894" s="623"/>
      <c r="D1894" s="792"/>
      <c r="E1894" s="624"/>
      <c r="F1894" s="546"/>
      <c r="G1894" s="1508"/>
      <c r="H1894" s="1501"/>
      <c r="I1894" s="1501" t="str">
        <f t="shared" si="81"/>
        <v/>
      </c>
      <c r="J1894" s="1501" t="str">
        <f t="shared" si="80"/>
        <v>UTSI</v>
      </c>
      <c r="K1894" s="271"/>
      <c r="L1894" s="309"/>
      <c r="M1894" s="309"/>
      <c r="N1894" s="309"/>
      <c r="O1894" s="309"/>
      <c r="P1894" s="309"/>
      <c r="Q1894" s="309"/>
      <c r="R1894" s="309"/>
      <c r="S1894" s="309"/>
      <c r="T1894" s="309"/>
      <c r="U1894" s="309"/>
    </row>
    <row r="1895" spans="1:21" ht="12.75" customHeight="1">
      <c r="A1895" s="1427" t="s">
        <v>1091</v>
      </c>
      <c r="B1895" s="625"/>
      <c r="C1895" s="623"/>
      <c r="D1895" s="792"/>
      <c r="E1895" s="624"/>
      <c r="F1895" s="546"/>
      <c r="G1895" s="1508"/>
      <c r="H1895" s="1501"/>
      <c r="I1895" s="1501" t="str">
        <f t="shared" si="81"/>
        <v/>
      </c>
      <c r="J1895" s="1501" t="str">
        <f t="shared" si="80"/>
        <v/>
      </c>
      <c r="K1895" s="271"/>
      <c r="L1895" s="309"/>
      <c r="M1895" s="309"/>
      <c r="N1895" s="309"/>
      <c r="O1895" s="309"/>
      <c r="P1895" s="309"/>
      <c r="Q1895" s="309"/>
      <c r="R1895" s="309"/>
      <c r="S1895" s="309"/>
      <c r="T1895" s="309"/>
      <c r="U1895" s="309"/>
    </row>
    <row r="1896" spans="1:21" ht="12.75" customHeight="1">
      <c r="A1896" s="985" t="s">
        <v>1105</v>
      </c>
      <c r="B1896" s="625">
        <v>43</v>
      </c>
      <c r="C1896" s="623">
        <v>32.39</v>
      </c>
      <c r="D1896" s="792">
        <v>12.99</v>
      </c>
      <c r="E1896" s="624">
        <f>B1896*C1896-D1896</f>
        <v>1379.78</v>
      </c>
      <c r="F1896" s="546" t="s">
        <v>126</v>
      </c>
      <c r="G1896" s="1508"/>
      <c r="H1896" s="1501"/>
      <c r="I1896" s="1501" t="str">
        <f t="shared" si="81"/>
        <v>UTSI</v>
      </c>
      <c r="J1896" s="1501" t="str">
        <f t="shared" si="80"/>
        <v/>
      </c>
      <c r="K1896" s="271"/>
      <c r="L1896" s="309"/>
      <c r="M1896" s="309"/>
      <c r="N1896" s="309"/>
      <c r="O1896" s="309"/>
      <c r="P1896" s="309"/>
      <c r="Q1896" s="309"/>
      <c r="R1896" s="309"/>
      <c r="S1896" s="309"/>
      <c r="T1896" s="309"/>
      <c r="U1896" s="309"/>
    </row>
    <row r="1897" spans="1:21" ht="12.75" customHeight="1">
      <c r="A1897" s="985"/>
      <c r="B1897" s="625"/>
      <c r="C1897" s="623"/>
      <c r="D1897" s="792"/>
      <c r="E1897" s="624"/>
      <c r="F1897" s="546"/>
      <c r="G1897" s="1508"/>
      <c r="H1897" s="1501"/>
      <c r="I1897" s="1501" t="str">
        <f t="shared" si="81"/>
        <v/>
      </c>
      <c r="J1897" s="1501" t="str">
        <f t="shared" si="80"/>
        <v/>
      </c>
      <c r="K1897" s="271"/>
      <c r="L1897" s="309"/>
      <c r="M1897" s="309"/>
      <c r="N1897" s="309"/>
      <c r="O1897" s="309"/>
      <c r="P1897" s="309"/>
      <c r="Q1897" s="309"/>
      <c r="R1897" s="309"/>
      <c r="S1897" s="309"/>
      <c r="T1897" s="309"/>
      <c r="U1897" s="309"/>
    </row>
    <row r="1898" spans="1:21" ht="12.75" customHeight="1">
      <c r="A1898" s="1423">
        <v>37893</v>
      </c>
      <c r="B1898" s="625"/>
      <c r="C1898" s="623"/>
      <c r="D1898" s="792"/>
      <c r="E1898" s="624"/>
      <c r="F1898" s="546"/>
      <c r="G1898" s="1508"/>
      <c r="H1898" s="1501"/>
      <c r="I1898" s="1501" t="str">
        <f t="shared" si="81"/>
        <v/>
      </c>
      <c r="J1898" s="1501" t="str">
        <f t="shared" si="80"/>
        <v>C</v>
      </c>
      <c r="K1898" s="271"/>
      <c r="L1898" s="309"/>
      <c r="M1898" s="309"/>
      <c r="N1898" s="309"/>
      <c r="O1898" s="309"/>
      <c r="P1898" s="309"/>
      <c r="Q1898" s="309"/>
      <c r="R1898" s="309"/>
      <c r="S1898" s="309"/>
      <c r="T1898" s="309"/>
      <c r="U1898" s="309"/>
    </row>
    <row r="1899" spans="1:21" ht="12.75" customHeight="1">
      <c r="A1899" s="1427" t="s">
        <v>1021</v>
      </c>
      <c r="B1899" s="625"/>
      <c r="C1899" s="623"/>
      <c r="D1899" s="792"/>
      <c r="E1899" s="624"/>
      <c r="F1899" s="546"/>
      <c r="G1899" s="1508"/>
      <c r="H1899" s="1501"/>
      <c r="I1899" s="1501" t="str">
        <f t="shared" si="81"/>
        <v/>
      </c>
      <c r="J1899" s="1501" t="str">
        <f t="shared" si="80"/>
        <v>NE</v>
      </c>
      <c r="K1899" s="271"/>
      <c r="L1899" s="309"/>
      <c r="M1899" s="309"/>
      <c r="N1899" s="309"/>
      <c r="O1899" s="309"/>
      <c r="P1899" s="309"/>
      <c r="Q1899" s="309"/>
      <c r="R1899" s="309"/>
      <c r="S1899" s="309"/>
      <c r="T1899" s="309"/>
      <c r="U1899" s="309"/>
    </row>
    <row r="1900" spans="1:21" ht="12.75" customHeight="1">
      <c r="A1900" s="985" t="s">
        <v>1106</v>
      </c>
      <c r="B1900" s="625">
        <v>53</v>
      </c>
      <c r="C1900" s="623">
        <v>46.4</v>
      </c>
      <c r="D1900" s="792">
        <v>12.99</v>
      </c>
      <c r="E1900" s="624">
        <f>B1900*C1900-D1900</f>
        <v>2446.21</v>
      </c>
      <c r="F1900" s="546" t="s">
        <v>1107</v>
      </c>
      <c r="G1900" s="1508"/>
      <c r="H1900" s="1501"/>
      <c r="I1900" s="1501" t="str">
        <f t="shared" si="81"/>
        <v>C</v>
      </c>
      <c r="J1900" s="1501" t="str">
        <f t="shared" si="80"/>
        <v>VLO</v>
      </c>
      <c r="K1900" s="271"/>
      <c r="L1900" s="309"/>
      <c r="M1900" s="309"/>
      <c r="N1900" s="309"/>
      <c r="O1900" s="309"/>
      <c r="P1900" s="309"/>
      <c r="Q1900" s="309"/>
      <c r="R1900" s="309"/>
      <c r="S1900" s="309"/>
      <c r="T1900" s="309"/>
      <c r="U1900" s="309"/>
    </row>
    <row r="1901" spans="1:21" ht="12.75" customHeight="1">
      <c r="A1901" s="985" t="s">
        <v>1108</v>
      </c>
      <c r="B1901" s="625">
        <v>70</v>
      </c>
      <c r="C1901" s="623">
        <v>33.89</v>
      </c>
      <c r="D1901" s="792">
        <v>12.99</v>
      </c>
      <c r="E1901" s="624">
        <f>B1901*C1901-D1901</f>
        <v>2359.3100000000004</v>
      </c>
      <c r="F1901" s="546" t="s">
        <v>1109</v>
      </c>
      <c r="G1901" s="1508"/>
      <c r="H1901" s="1501"/>
      <c r="I1901" s="1501" t="str">
        <f t="shared" si="81"/>
        <v>NE</v>
      </c>
      <c r="J1901" s="1501" t="str">
        <f t="shared" si="80"/>
        <v/>
      </c>
      <c r="K1901" s="271"/>
      <c r="L1901" s="309"/>
      <c r="M1901" s="309"/>
      <c r="N1901" s="309"/>
      <c r="O1901" s="309"/>
      <c r="P1901" s="309"/>
      <c r="Q1901" s="309"/>
      <c r="R1901" s="309"/>
      <c r="S1901" s="309"/>
      <c r="T1901" s="309"/>
      <c r="U1901" s="309"/>
    </row>
    <row r="1902" spans="1:21" ht="12.75" customHeight="1">
      <c r="A1902" s="985" t="s">
        <v>1110</v>
      </c>
      <c r="B1902" s="625">
        <v>75</v>
      </c>
      <c r="C1902" s="623">
        <v>37.94</v>
      </c>
      <c r="D1902" s="792">
        <v>12.99</v>
      </c>
      <c r="E1902" s="624">
        <f>B1902*C1902-D1902</f>
        <v>2832.51</v>
      </c>
      <c r="F1902" s="546" t="s">
        <v>331</v>
      </c>
      <c r="G1902" s="1508"/>
      <c r="H1902" s="1501"/>
      <c r="I1902" s="1501" t="str">
        <f t="shared" si="81"/>
        <v>VLO</v>
      </c>
      <c r="J1902" s="1501" t="str">
        <f t="shared" si="80"/>
        <v/>
      </c>
      <c r="K1902" s="271"/>
      <c r="L1902" s="309"/>
      <c r="M1902" s="309"/>
      <c r="N1902" s="309"/>
      <c r="O1902" s="309"/>
      <c r="P1902" s="309"/>
      <c r="Q1902" s="309"/>
      <c r="R1902" s="309"/>
      <c r="S1902" s="309"/>
      <c r="T1902" s="309"/>
      <c r="U1902" s="309"/>
    </row>
    <row r="1903" spans="1:21" ht="12.75" customHeight="1">
      <c r="A1903" s="985"/>
      <c r="B1903" s="625"/>
      <c r="C1903" s="623"/>
      <c r="D1903" s="792"/>
      <c r="E1903" s="624"/>
      <c r="F1903" s="546"/>
      <c r="G1903" s="1508"/>
      <c r="H1903" s="1501"/>
      <c r="I1903" s="1501" t="str">
        <f t="shared" si="81"/>
        <v/>
      </c>
      <c r="J1903" s="1501" t="str">
        <f t="shared" si="80"/>
        <v/>
      </c>
      <c r="K1903" s="271"/>
      <c r="L1903" s="309"/>
      <c r="M1903" s="309"/>
      <c r="N1903" s="309"/>
      <c r="O1903" s="309"/>
      <c r="P1903" s="309"/>
      <c r="Q1903" s="309"/>
      <c r="R1903" s="309"/>
      <c r="S1903" s="309"/>
      <c r="T1903" s="309"/>
      <c r="U1903" s="309"/>
    </row>
    <row r="1904" spans="1:21" ht="12.75" customHeight="1">
      <c r="A1904" s="1423">
        <v>37736</v>
      </c>
      <c r="B1904" s="625"/>
      <c r="C1904" s="623"/>
      <c r="D1904" s="792"/>
      <c r="E1904" s="624"/>
      <c r="F1904" s="546"/>
      <c r="G1904" s="1508"/>
      <c r="H1904" s="1501"/>
      <c r="I1904" s="1501" t="str">
        <f t="shared" si="81"/>
        <v/>
      </c>
      <c r="J1904" s="1501" t="str">
        <f t="shared" si="80"/>
        <v>NXTL</v>
      </c>
      <c r="K1904" s="271"/>
      <c r="L1904" s="309"/>
      <c r="M1904" s="309"/>
      <c r="N1904" s="309"/>
      <c r="O1904" s="309"/>
      <c r="P1904" s="309"/>
      <c r="Q1904" s="309"/>
      <c r="R1904" s="309"/>
      <c r="S1904" s="309"/>
      <c r="T1904" s="309"/>
      <c r="U1904" s="309"/>
    </row>
    <row r="1905" spans="1:21" ht="12.75" customHeight="1">
      <c r="A1905" s="1422" t="s">
        <v>1091</v>
      </c>
      <c r="B1905" s="625"/>
      <c r="C1905" s="623"/>
      <c r="D1905" s="792"/>
      <c r="E1905" s="624"/>
      <c r="F1905" s="546"/>
      <c r="G1905" s="1508"/>
      <c r="H1905" s="1501"/>
      <c r="I1905" s="1501" t="str">
        <f t="shared" si="81"/>
        <v/>
      </c>
      <c r="J1905" s="1501" t="str">
        <f t="shared" si="80"/>
        <v>HDI</v>
      </c>
      <c r="K1905" s="271"/>
      <c r="L1905" s="309"/>
      <c r="M1905" s="309"/>
      <c r="N1905" s="309"/>
      <c r="O1905" s="309"/>
      <c r="P1905" s="309"/>
      <c r="Q1905" s="309"/>
      <c r="R1905" s="309"/>
      <c r="S1905" s="309"/>
      <c r="T1905" s="309"/>
      <c r="U1905" s="309"/>
    </row>
    <row r="1906" spans="1:21" ht="12.75" customHeight="1">
      <c r="A1906" s="985" t="s">
        <v>1079</v>
      </c>
      <c r="B1906" s="625">
        <v>45</v>
      </c>
      <c r="C1906" s="623">
        <v>13.78</v>
      </c>
      <c r="D1906" s="792">
        <v>12.99</v>
      </c>
      <c r="E1906" s="624">
        <f>B1906*C1906-D1906</f>
        <v>607.11</v>
      </c>
      <c r="F1906" s="546" t="s">
        <v>132</v>
      </c>
      <c r="G1906" s="1508"/>
      <c r="H1906" s="1501"/>
      <c r="I1906" s="1501" t="str">
        <f t="shared" si="81"/>
        <v>NXTL</v>
      </c>
      <c r="J1906" s="1501" t="str">
        <f t="shared" si="80"/>
        <v/>
      </c>
      <c r="K1906" s="271"/>
      <c r="L1906" s="309"/>
      <c r="M1906" s="309"/>
      <c r="N1906" s="309"/>
      <c r="O1906" s="309"/>
      <c r="P1906" s="309"/>
      <c r="Q1906" s="309"/>
      <c r="R1906" s="309"/>
      <c r="S1906" s="309"/>
      <c r="T1906" s="309"/>
      <c r="U1906" s="309"/>
    </row>
    <row r="1907" spans="1:21" ht="12.75" customHeight="1">
      <c r="A1907" s="985" t="s">
        <v>1063</v>
      </c>
      <c r="B1907" s="625">
        <v>60</v>
      </c>
      <c r="C1907" s="623">
        <v>42.75</v>
      </c>
      <c r="D1907" s="792">
        <v>12.99</v>
      </c>
      <c r="E1907" s="624">
        <f>B1907*C1907-D1907</f>
        <v>2552.0100000000002</v>
      </c>
      <c r="F1907" s="546" t="s">
        <v>104</v>
      </c>
      <c r="G1907" s="1508"/>
      <c r="H1907" s="1501"/>
      <c r="I1907" s="1501" t="str">
        <f t="shared" si="81"/>
        <v>HDI</v>
      </c>
      <c r="J1907" s="1501" t="str">
        <f t="shared" si="80"/>
        <v/>
      </c>
      <c r="K1907" s="271"/>
      <c r="L1907" s="309"/>
      <c r="M1907" s="309"/>
      <c r="N1907" s="309"/>
      <c r="O1907" s="309"/>
      <c r="P1907" s="309"/>
      <c r="Q1907" s="309"/>
      <c r="R1907" s="309"/>
      <c r="S1907" s="309"/>
      <c r="T1907" s="309"/>
      <c r="U1907" s="309"/>
    </row>
    <row r="1908" spans="1:21" ht="12.75" customHeight="1">
      <c r="A1908" s="1426"/>
      <c r="B1908" s="625"/>
      <c r="C1908" s="623"/>
      <c r="D1908" s="792"/>
      <c r="E1908" s="624"/>
      <c r="F1908" s="546"/>
      <c r="G1908" s="1508"/>
      <c r="H1908" s="1501"/>
      <c r="I1908" s="1501" t="str">
        <f t="shared" si="81"/>
        <v/>
      </c>
      <c r="J1908" s="1501" t="str">
        <f t="shared" si="80"/>
        <v/>
      </c>
      <c r="K1908" s="271"/>
      <c r="L1908" s="309"/>
      <c r="M1908" s="309"/>
      <c r="N1908" s="309"/>
      <c r="O1908" s="309"/>
      <c r="P1908" s="309"/>
      <c r="Q1908" s="309"/>
      <c r="R1908" s="309"/>
      <c r="S1908" s="309"/>
      <c r="T1908" s="309"/>
      <c r="U1908" s="309"/>
    </row>
    <row r="1909" spans="1:21" ht="12.75" customHeight="1">
      <c r="A1909" s="1423">
        <v>37728</v>
      </c>
      <c r="B1909" s="625"/>
      <c r="C1909" s="623"/>
      <c r="D1909" s="792"/>
      <c r="E1909" s="624"/>
      <c r="F1909" s="546"/>
      <c r="G1909" s="1508"/>
      <c r="H1909" s="1501"/>
      <c r="I1909" s="1501" t="str">
        <f t="shared" si="81"/>
        <v/>
      </c>
      <c r="J1909" s="1501" t="str">
        <f t="shared" si="80"/>
        <v>PFE</v>
      </c>
      <c r="K1909" s="271"/>
      <c r="L1909" s="309"/>
      <c r="M1909" s="309"/>
      <c r="N1909" s="309"/>
      <c r="O1909" s="309"/>
      <c r="P1909" s="309"/>
      <c r="Q1909" s="309"/>
      <c r="R1909" s="309"/>
      <c r="S1909" s="309"/>
      <c r="T1909" s="309"/>
      <c r="U1909" s="309"/>
    </row>
    <row r="1910" spans="1:21" ht="12.75" customHeight="1">
      <c r="A1910" s="1427" t="s">
        <v>1091</v>
      </c>
      <c r="B1910" s="625"/>
      <c r="C1910" s="623"/>
      <c r="D1910" s="792"/>
      <c r="E1910" s="624"/>
      <c r="F1910" s="546"/>
      <c r="G1910" s="1508"/>
      <c r="H1910" s="1501"/>
      <c r="I1910" s="1501" t="str">
        <f t="shared" si="81"/>
        <v/>
      </c>
      <c r="J1910" s="1501" t="str">
        <f t="shared" si="80"/>
        <v/>
      </c>
      <c r="K1910" s="271"/>
      <c r="L1910" s="309"/>
      <c r="M1910" s="309"/>
      <c r="N1910" s="309"/>
      <c r="O1910" s="309"/>
      <c r="P1910" s="309"/>
      <c r="Q1910" s="309"/>
      <c r="R1910" s="309"/>
      <c r="S1910" s="309"/>
      <c r="T1910" s="309"/>
      <c r="U1910" s="309"/>
    </row>
    <row r="1911" spans="1:21" ht="12.75" customHeight="1">
      <c r="A1911" s="1426" t="s">
        <v>1111</v>
      </c>
      <c r="B1911" s="625">
        <v>20</v>
      </c>
      <c r="C1911" s="623">
        <v>31.36</v>
      </c>
      <c r="D1911" s="792">
        <v>12.99</v>
      </c>
      <c r="E1911" s="624">
        <f>B1911*C1911-D1911</f>
        <v>614.21</v>
      </c>
      <c r="F1911" s="546" t="s">
        <v>112</v>
      </c>
      <c r="G1911" s="1508"/>
      <c r="H1911" s="1501"/>
      <c r="I1911" s="1501" t="str">
        <f t="shared" si="81"/>
        <v>PFE</v>
      </c>
      <c r="J1911" s="1501" t="str">
        <f t="shared" si="80"/>
        <v/>
      </c>
      <c r="K1911" s="271"/>
      <c r="L1911" s="309"/>
      <c r="M1911" s="309"/>
      <c r="N1911" s="309"/>
      <c r="O1911" s="309"/>
      <c r="P1911" s="309"/>
      <c r="Q1911" s="309"/>
      <c r="R1911" s="309"/>
      <c r="S1911" s="309"/>
      <c r="T1911" s="309"/>
      <c r="U1911" s="309"/>
    </row>
    <row r="1912" spans="1:21" ht="12.75" customHeight="1">
      <c r="A1912" s="1426"/>
      <c r="B1912" s="625"/>
      <c r="C1912" s="623"/>
      <c r="D1912" s="792"/>
      <c r="E1912" s="624"/>
      <c r="F1912" s="546"/>
      <c r="G1912" s="1508"/>
      <c r="H1912" s="1501"/>
      <c r="I1912" s="1501" t="str">
        <f t="shared" si="81"/>
        <v/>
      </c>
      <c r="J1912" s="1501" t="str">
        <f t="shared" si="80"/>
        <v/>
      </c>
      <c r="K1912" s="271"/>
      <c r="L1912" s="309"/>
      <c r="M1912" s="309"/>
      <c r="N1912" s="309"/>
      <c r="O1912" s="309"/>
      <c r="P1912" s="309"/>
      <c r="Q1912" s="309"/>
      <c r="R1912" s="309"/>
      <c r="S1912" s="309"/>
      <c r="T1912" s="309"/>
      <c r="U1912" s="309"/>
    </row>
    <row r="1913" spans="1:21" ht="12.75" customHeight="1">
      <c r="A1913" s="1423">
        <v>37726</v>
      </c>
      <c r="B1913" s="625"/>
      <c r="C1913" s="623"/>
      <c r="D1913" s="792"/>
      <c r="E1913" s="624"/>
      <c r="F1913" s="546"/>
      <c r="G1913" s="1508"/>
      <c r="H1913" s="1501"/>
      <c r="I1913" s="1501" t="str">
        <f t="shared" si="81"/>
        <v/>
      </c>
      <c r="J1913" s="1501" t="str">
        <f t="shared" si="80"/>
        <v>RMK</v>
      </c>
      <c r="K1913" s="271"/>
      <c r="L1913" s="309"/>
      <c r="M1913" s="309"/>
      <c r="N1913" s="309"/>
      <c r="O1913" s="309"/>
      <c r="P1913" s="309"/>
      <c r="Q1913" s="309"/>
      <c r="R1913" s="309"/>
      <c r="S1913" s="309"/>
      <c r="T1913" s="309"/>
      <c r="U1913" s="309"/>
    </row>
    <row r="1914" spans="1:21" ht="12.75" customHeight="1">
      <c r="A1914" s="1427" t="s">
        <v>1091</v>
      </c>
      <c r="B1914" s="625"/>
      <c r="C1914" s="623"/>
      <c r="D1914" s="792"/>
      <c r="E1914" s="624"/>
      <c r="F1914" s="546"/>
      <c r="G1914" s="1508"/>
      <c r="H1914" s="1501"/>
      <c r="I1914" s="1501" t="str">
        <f t="shared" si="81"/>
        <v/>
      </c>
      <c r="J1914" s="1501" t="str">
        <f t="shared" si="80"/>
        <v/>
      </c>
      <c r="K1914" s="271"/>
      <c r="L1914" s="309"/>
      <c r="M1914" s="309"/>
      <c r="N1914" s="309"/>
      <c r="O1914" s="309"/>
      <c r="P1914" s="309"/>
      <c r="Q1914" s="309"/>
      <c r="R1914" s="309"/>
      <c r="S1914" s="309"/>
      <c r="T1914" s="309"/>
      <c r="U1914" s="309"/>
    </row>
    <row r="1915" spans="1:21" ht="12.75" customHeight="1">
      <c r="A1915" s="1426" t="s">
        <v>88</v>
      </c>
      <c r="B1915" s="625">
        <v>20</v>
      </c>
      <c r="C1915" s="623">
        <v>22.25</v>
      </c>
      <c r="D1915" s="792">
        <v>12.99</v>
      </c>
      <c r="E1915" s="624">
        <f>B1915*C1915-D1915</f>
        <v>432.01</v>
      </c>
      <c r="F1915" s="546" t="s">
        <v>89</v>
      </c>
      <c r="G1915" s="1508"/>
      <c r="H1915" s="1501"/>
      <c r="I1915" s="1501" t="str">
        <f t="shared" si="81"/>
        <v>RMK</v>
      </c>
      <c r="J1915" s="1501" t="str">
        <f t="shared" si="80"/>
        <v/>
      </c>
      <c r="K1915" s="271"/>
      <c r="L1915" s="309"/>
      <c r="M1915" s="309"/>
      <c r="N1915" s="309"/>
      <c r="O1915" s="309"/>
      <c r="P1915" s="309"/>
      <c r="Q1915" s="309"/>
      <c r="R1915" s="309"/>
      <c r="S1915" s="309"/>
      <c r="T1915" s="309"/>
      <c r="U1915" s="309"/>
    </row>
    <row r="1916" spans="1:21" ht="12.75" customHeight="1">
      <c r="A1916" s="1426"/>
      <c r="B1916" s="625"/>
      <c r="C1916" s="623"/>
      <c r="D1916" s="792"/>
      <c r="E1916" s="624"/>
      <c r="F1916" s="546"/>
      <c r="G1916" s="1508" t="s">
        <v>1112</v>
      </c>
      <c r="H1916" s="1501"/>
      <c r="I1916" s="1501" t="str">
        <f t="shared" si="81"/>
        <v/>
      </c>
      <c r="J1916" s="1501" t="str">
        <f t="shared" si="80"/>
        <v/>
      </c>
      <c r="K1916" s="271"/>
      <c r="L1916" s="309"/>
      <c r="M1916" s="309"/>
      <c r="N1916" s="309"/>
      <c r="O1916" s="309"/>
      <c r="P1916" s="309"/>
      <c r="Q1916" s="309"/>
      <c r="R1916" s="309"/>
      <c r="S1916" s="309"/>
      <c r="T1916" s="309"/>
      <c r="U1916" s="309"/>
    </row>
    <row r="1917" spans="1:21" ht="12.75" customHeight="1">
      <c r="A1917" s="1423">
        <v>37721</v>
      </c>
      <c r="B1917" s="625"/>
      <c r="C1917" s="623"/>
      <c r="D1917" s="792"/>
      <c r="E1917" s="624"/>
      <c r="F1917" s="546"/>
      <c r="G1917" s="1508"/>
      <c r="H1917" s="1501"/>
      <c r="I1917" s="1501" t="str">
        <f t="shared" si="81"/>
        <v/>
      </c>
      <c r="J1917" s="1501" t="str">
        <f t="shared" si="80"/>
        <v>HOV</v>
      </c>
      <c r="K1917" s="271"/>
      <c r="L1917" s="309"/>
      <c r="M1917" s="309"/>
      <c r="N1917" s="309"/>
      <c r="O1917" s="309"/>
      <c r="P1917" s="309"/>
      <c r="Q1917" s="309"/>
      <c r="R1917" s="309"/>
      <c r="S1917" s="309"/>
      <c r="T1917" s="309"/>
      <c r="U1917" s="309"/>
    </row>
    <row r="1918" spans="1:21" ht="12.75" customHeight="1">
      <c r="A1918" s="1427" t="s">
        <v>1048</v>
      </c>
      <c r="B1918" s="625"/>
      <c r="C1918" s="623"/>
      <c r="D1918" s="792"/>
      <c r="E1918" s="624"/>
      <c r="F1918" s="546"/>
      <c r="G1918" s="1508"/>
      <c r="H1918" s="1501"/>
      <c r="I1918" s="1501" t="str">
        <f t="shared" si="81"/>
        <v/>
      </c>
      <c r="J1918" s="1501" t="str">
        <f t="shared" si="80"/>
        <v/>
      </c>
      <c r="K1918" s="271"/>
      <c r="L1918" s="309"/>
      <c r="M1918" s="309"/>
      <c r="N1918" s="309"/>
      <c r="O1918" s="309"/>
      <c r="P1918" s="309"/>
      <c r="Q1918" s="309"/>
      <c r="R1918" s="309"/>
      <c r="S1918" s="309"/>
      <c r="T1918" s="309"/>
      <c r="U1918" s="309"/>
    </row>
    <row r="1919" spans="1:21" ht="12.75" customHeight="1">
      <c r="A1919" s="1426" t="s">
        <v>1113</v>
      </c>
      <c r="B1919" s="625">
        <v>20</v>
      </c>
      <c r="C1919" s="623">
        <v>37.450000000000003</v>
      </c>
      <c r="D1919" s="792">
        <v>12.99</v>
      </c>
      <c r="E1919" s="624">
        <f>B1919*C1919-D1919</f>
        <v>736.01</v>
      </c>
      <c r="F1919" s="546" t="s">
        <v>108</v>
      </c>
      <c r="G1919" s="1508"/>
      <c r="H1919" s="1501"/>
      <c r="I1919" s="1501" t="str">
        <f t="shared" si="81"/>
        <v>HOV</v>
      </c>
      <c r="J1919" s="1501" t="str">
        <f t="shared" ref="J1919:J1959" si="82">IF(F1921="","",IF(OR(A1919="Sell",A1920="Sell"),"",F1921))</f>
        <v/>
      </c>
      <c r="K1919" s="271"/>
      <c r="L1919" s="309"/>
      <c r="M1919" s="309"/>
      <c r="N1919" s="309"/>
      <c r="O1919" s="309"/>
      <c r="P1919" s="309"/>
      <c r="Q1919" s="309"/>
      <c r="R1919" s="309"/>
      <c r="S1919" s="309"/>
      <c r="T1919" s="309"/>
      <c r="U1919" s="309"/>
    </row>
    <row r="1920" spans="1:21" ht="12.75" customHeight="1">
      <c r="A1920" s="1426"/>
      <c r="B1920" s="625"/>
      <c r="C1920" s="623"/>
      <c r="D1920" s="792"/>
      <c r="E1920" s="624"/>
      <c r="F1920" s="546"/>
      <c r="G1920" s="1524" t="s">
        <v>1114</v>
      </c>
      <c r="I1920" s="1501" t="str">
        <f t="shared" si="81"/>
        <v/>
      </c>
      <c r="J1920" s="1501" t="str">
        <f t="shared" si="82"/>
        <v/>
      </c>
      <c r="K1920" s="271"/>
      <c r="L1920" s="309"/>
      <c r="M1920" s="309"/>
      <c r="N1920" s="309"/>
      <c r="O1920" s="309"/>
      <c r="P1920" s="309"/>
      <c r="Q1920" s="309"/>
      <c r="R1920" s="309"/>
      <c r="S1920" s="309"/>
      <c r="T1920" s="309"/>
      <c r="U1920" s="309"/>
    </row>
    <row r="1921" spans="1:21" ht="12.75" customHeight="1">
      <c r="A1921" s="1423">
        <v>37680</v>
      </c>
      <c r="B1921" s="625"/>
      <c r="C1921" s="623"/>
      <c r="D1921" s="792"/>
      <c r="E1921" s="624"/>
      <c r="F1921" s="546"/>
      <c r="G1921" s="1508"/>
      <c r="H1921" s="1501"/>
      <c r="I1921" s="1501" t="str">
        <f t="shared" si="81"/>
        <v/>
      </c>
      <c r="J1921" s="1501" t="str">
        <f t="shared" si="82"/>
        <v>TBL</v>
      </c>
      <c r="K1921" s="271"/>
      <c r="L1921" s="309"/>
      <c r="M1921" s="309"/>
      <c r="N1921" s="309"/>
      <c r="O1921" s="309"/>
      <c r="P1921" s="309"/>
      <c r="Q1921" s="309"/>
      <c r="R1921" s="309"/>
      <c r="S1921" s="309"/>
      <c r="T1921" s="309"/>
      <c r="U1921" s="309"/>
    </row>
    <row r="1922" spans="1:21" ht="12.75" customHeight="1">
      <c r="A1922" s="1427" t="s">
        <v>1048</v>
      </c>
      <c r="B1922" s="625"/>
      <c r="C1922" s="623"/>
      <c r="D1922" s="792"/>
      <c r="E1922" s="624"/>
      <c r="F1922" s="546"/>
      <c r="G1922" s="1508"/>
      <c r="H1922" s="1501"/>
      <c r="I1922" s="1501" t="str">
        <f t="shared" si="81"/>
        <v/>
      </c>
      <c r="J1922" s="1501" t="str">
        <f t="shared" si="82"/>
        <v/>
      </c>
      <c r="K1922" s="271"/>
      <c r="L1922" s="309"/>
      <c r="M1922" s="309"/>
      <c r="N1922" s="309"/>
      <c r="O1922" s="309"/>
      <c r="P1922" s="309"/>
      <c r="Q1922" s="309"/>
      <c r="R1922" s="309"/>
      <c r="S1922" s="309"/>
      <c r="T1922" s="309"/>
      <c r="U1922" s="309"/>
    </row>
    <row r="1923" spans="1:21" ht="12.75" customHeight="1">
      <c r="A1923" s="1426" t="s">
        <v>1115</v>
      </c>
      <c r="B1923" s="625">
        <v>50</v>
      </c>
      <c r="C1923" s="623">
        <v>38.479999999999997</v>
      </c>
      <c r="D1923" s="792">
        <v>12.99</v>
      </c>
      <c r="E1923" s="624">
        <f>B1923*C1923-D1923</f>
        <v>1911.0099999999998</v>
      </c>
      <c r="F1923" s="546" t="s">
        <v>122</v>
      </c>
      <c r="G1923" s="1508"/>
      <c r="H1923" s="1501"/>
      <c r="I1923" s="1501" t="str">
        <f t="shared" si="81"/>
        <v>TBL</v>
      </c>
      <c r="J1923" s="1501" t="str">
        <f t="shared" si="82"/>
        <v/>
      </c>
      <c r="K1923" s="271"/>
      <c r="L1923" s="309"/>
      <c r="M1923" s="309"/>
      <c r="N1923" s="309"/>
      <c r="O1923" s="309"/>
      <c r="P1923" s="309"/>
      <c r="Q1923" s="309"/>
      <c r="R1923" s="309"/>
      <c r="S1923" s="309"/>
      <c r="T1923" s="309"/>
      <c r="U1923" s="309"/>
    </row>
    <row r="1924" spans="1:21" ht="12.75" customHeight="1">
      <c r="A1924" s="1426"/>
      <c r="B1924" s="625"/>
      <c r="C1924" s="623"/>
      <c r="D1924" s="786"/>
      <c r="E1924" s="858"/>
      <c r="F1924" s="546"/>
      <c r="G1924" s="1508"/>
      <c r="H1924" s="1501"/>
      <c r="I1924" s="1501" t="str">
        <f t="shared" si="81"/>
        <v/>
      </c>
      <c r="J1924" s="1501" t="str">
        <f t="shared" si="82"/>
        <v/>
      </c>
      <c r="K1924" s="271"/>
      <c r="L1924" s="309"/>
      <c r="M1924" s="309"/>
      <c r="N1924" s="309"/>
      <c r="O1924" s="309"/>
      <c r="P1924" s="309"/>
      <c r="Q1924" s="309"/>
      <c r="R1924" s="309"/>
      <c r="S1924" s="309"/>
      <c r="T1924" s="309"/>
      <c r="U1924" s="309"/>
    </row>
    <row r="1925" spans="1:21" ht="12.75" customHeight="1">
      <c r="A1925" s="1423">
        <v>37672</v>
      </c>
      <c r="B1925" s="625"/>
      <c r="C1925" s="623"/>
      <c r="D1925" s="792"/>
      <c r="E1925" s="624"/>
      <c r="F1925" s="546"/>
      <c r="G1925" s="1508"/>
      <c r="H1925" s="1501"/>
      <c r="I1925" s="1501" t="str">
        <f t="shared" si="81"/>
        <v/>
      </c>
      <c r="J1925" s="1501" t="str">
        <f t="shared" si="82"/>
        <v>DYII</v>
      </c>
      <c r="K1925" s="271"/>
      <c r="L1925" s="309"/>
      <c r="M1925" s="309"/>
      <c r="N1925" s="309"/>
      <c r="O1925" s="309"/>
      <c r="P1925" s="309"/>
      <c r="Q1925" s="309"/>
      <c r="R1925" s="309"/>
      <c r="S1925" s="309"/>
      <c r="T1925" s="309"/>
      <c r="U1925" s="309"/>
    </row>
    <row r="1926" spans="1:21" ht="12.75" customHeight="1">
      <c r="A1926" s="1427" t="s">
        <v>1048</v>
      </c>
      <c r="B1926" s="625"/>
      <c r="C1926" s="623"/>
      <c r="D1926" s="792"/>
      <c r="E1926" s="624"/>
      <c r="F1926" s="546"/>
      <c r="G1926" s="1508"/>
      <c r="H1926" s="1501"/>
      <c r="I1926" s="1501" t="str">
        <f t="shared" si="81"/>
        <v/>
      </c>
      <c r="J1926" s="1501" t="str">
        <f t="shared" si="82"/>
        <v/>
      </c>
      <c r="K1926" s="271"/>
      <c r="L1926" s="309"/>
      <c r="M1926" s="309"/>
      <c r="N1926" s="309"/>
      <c r="O1926" s="309"/>
      <c r="P1926" s="309"/>
      <c r="Q1926" s="309"/>
      <c r="R1926" s="309"/>
      <c r="S1926" s="309"/>
      <c r="T1926" s="309"/>
      <c r="U1926" s="309"/>
    </row>
    <row r="1927" spans="1:21" ht="12.75" customHeight="1">
      <c r="A1927" s="985" t="s">
        <v>1089</v>
      </c>
      <c r="B1927" s="625">
        <v>50</v>
      </c>
      <c r="C1927" s="623">
        <v>14.12</v>
      </c>
      <c r="D1927" s="792">
        <v>12.99</v>
      </c>
      <c r="E1927" s="624">
        <f>B1927*C1927-D1927</f>
        <v>693.01</v>
      </c>
      <c r="F1927" s="546" t="s">
        <v>130</v>
      </c>
      <c r="G1927" s="1508"/>
      <c r="H1927" s="1501"/>
      <c r="I1927" s="1501" t="str">
        <f t="shared" si="81"/>
        <v>DYII</v>
      </c>
      <c r="J1927" s="1501" t="str">
        <f t="shared" si="82"/>
        <v/>
      </c>
      <c r="K1927" s="271"/>
      <c r="L1927" s="309"/>
      <c r="M1927" s="309"/>
      <c r="N1927" s="309"/>
      <c r="O1927" s="309"/>
      <c r="P1927" s="309"/>
      <c r="Q1927" s="309"/>
      <c r="R1927" s="309"/>
      <c r="S1927" s="309"/>
      <c r="T1927" s="309"/>
      <c r="U1927" s="309"/>
    </row>
    <row r="1928" spans="1:21" ht="12.75" customHeight="1">
      <c r="A1928" s="985"/>
      <c r="B1928" s="625"/>
      <c r="C1928" s="623"/>
      <c r="D1928" s="792"/>
      <c r="E1928" s="624"/>
      <c r="F1928" s="546"/>
      <c r="G1928" s="1508"/>
      <c r="H1928" s="1501"/>
      <c r="I1928" s="1501" t="str">
        <f t="shared" si="81"/>
        <v/>
      </c>
      <c r="J1928" s="1501" t="str">
        <f t="shared" si="82"/>
        <v/>
      </c>
      <c r="K1928" s="271"/>
      <c r="L1928" s="309"/>
      <c r="M1928" s="309"/>
      <c r="N1928" s="309"/>
      <c r="O1928" s="309"/>
      <c r="P1928" s="309"/>
      <c r="Q1928" s="309"/>
      <c r="R1928" s="309"/>
      <c r="S1928" s="309"/>
      <c r="T1928" s="309"/>
      <c r="U1928" s="309"/>
    </row>
    <row r="1929" spans="1:21" ht="12.75" customHeight="1">
      <c r="A1929" s="1423">
        <v>37587</v>
      </c>
      <c r="B1929" s="625"/>
      <c r="C1929" s="623"/>
      <c r="D1929" s="792"/>
      <c r="E1929" s="624"/>
      <c r="F1929" s="546"/>
      <c r="G1929" s="1508"/>
      <c r="H1929" s="1501"/>
      <c r="I1929" s="1501" t="str">
        <f t="shared" si="81"/>
        <v/>
      </c>
      <c r="J1929" s="1501" t="str">
        <f t="shared" si="82"/>
        <v>TYC</v>
      </c>
      <c r="K1929" s="271"/>
      <c r="L1929" s="309"/>
      <c r="M1929" s="309"/>
      <c r="N1929" s="309"/>
      <c r="O1929" s="309"/>
      <c r="P1929" s="309"/>
      <c r="Q1929" s="309"/>
      <c r="R1929" s="309"/>
      <c r="S1929" s="309"/>
      <c r="T1929" s="309"/>
      <c r="U1929" s="309"/>
    </row>
    <row r="1930" spans="1:21" ht="12.75" customHeight="1">
      <c r="A1930" s="1427" t="s">
        <v>1048</v>
      </c>
      <c r="B1930" s="625"/>
      <c r="C1930" s="623"/>
      <c r="D1930" s="792"/>
      <c r="E1930" s="624"/>
      <c r="F1930" s="546"/>
      <c r="G1930" s="1508"/>
      <c r="H1930" s="1501"/>
      <c r="I1930" s="1501" t="str">
        <f t="shared" si="81"/>
        <v/>
      </c>
      <c r="J1930" s="1501" t="str">
        <f t="shared" si="82"/>
        <v/>
      </c>
      <c r="K1930" s="271"/>
      <c r="L1930" s="309"/>
      <c r="M1930" s="309"/>
      <c r="N1930" s="309"/>
      <c r="O1930" s="309"/>
      <c r="P1930" s="309"/>
      <c r="Q1930" s="309"/>
      <c r="R1930" s="309"/>
      <c r="S1930" s="309"/>
      <c r="T1930" s="309"/>
      <c r="U1930" s="309"/>
    </row>
    <row r="1931" spans="1:21" ht="12.75" customHeight="1">
      <c r="A1931" s="985" t="s">
        <v>1116</v>
      </c>
      <c r="B1931" s="625">
        <v>75</v>
      </c>
      <c r="C1931" s="623">
        <v>17.7</v>
      </c>
      <c r="D1931" s="792">
        <v>12.99</v>
      </c>
      <c r="E1931" s="624">
        <f>B1931*C1931-D1931</f>
        <v>1314.51</v>
      </c>
      <c r="F1931" s="546" t="s">
        <v>140</v>
      </c>
      <c r="G1931" s="1508"/>
      <c r="H1931" s="1501"/>
      <c r="I1931" s="1501" t="str">
        <f t="shared" si="81"/>
        <v>TYC</v>
      </c>
      <c r="J1931" s="1501" t="str">
        <f t="shared" si="82"/>
        <v/>
      </c>
      <c r="K1931" s="271"/>
      <c r="L1931" s="309"/>
      <c r="M1931" s="309"/>
      <c r="N1931" s="309"/>
      <c r="O1931" s="309"/>
      <c r="P1931" s="309"/>
      <c r="Q1931" s="309"/>
      <c r="R1931" s="309"/>
      <c r="S1931" s="309"/>
      <c r="T1931" s="309"/>
      <c r="U1931" s="309"/>
    </row>
    <row r="1932" spans="1:21" ht="12.75" customHeight="1">
      <c r="A1932" s="985"/>
      <c r="B1932" s="625"/>
      <c r="C1932" s="623"/>
      <c r="D1932" s="792"/>
      <c r="E1932" s="624"/>
      <c r="F1932" s="546"/>
      <c r="G1932" s="1508"/>
      <c r="H1932" s="1501"/>
      <c r="I1932" s="1501" t="str">
        <f t="shared" si="81"/>
        <v/>
      </c>
      <c r="J1932" s="1501" t="str">
        <f t="shared" si="82"/>
        <v/>
      </c>
      <c r="K1932" s="271"/>
      <c r="L1932" s="309"/>
      <c r="M1932" s="309"/>
      <c r="N1932" s="309"/>
      <c r="O1932" s="309"/>
      <c r="P1932" s="309"/>
      <c r="Q1932" s="309"/>
      <c r="R1932" s="309"/>
      <c r="S1932" s="309"/>
      <c r="T1932" s="309"/>
      <c r="U1932" s="309"/>
    </row>
    <row r="1933" spans="1:21" ht="12.75" customHeight="1">
      <c r="A1933" s="1423">
        <v>37364</v>
      </c>
      <c r="B1933" s="625"/>
      <c r="C1933" s="623"/>
      <c r="D1933" s="792"/>
      <c r="E1933" s="624"/>
      <c r="F1933" s="546"/>
      <c r="G1933" s="1508"/>
      <c r="H1933" s="1501"/>
      <c r="I1933" s="1501" t="str">
        <f t="shared" si="81"/>
        <v/>
      </c>
      <c r="J1933" s="1501" t="str">
        <f t="shared" si="82"/>
        <v>SSL</v>
      </c>
      <c r="K1933" s="271"/>
      <c r="L1933" s="309"/>
      <c r="M1933" s="309"/>
      <c r="N1933" s="309"/>
      <c r="O1933" s="309"/>
      <c r="P1933" s="309"/>
      <c r="Q1933" s="309"/>
      <c r="R1933" s="309"/>
      <c r="S1933" s="309"/>
      <c r="T1933" s="309"/>
      <c r="U1933" s="309"/>
    </row>
    <row r="1934" spans="1:21" ht="12.75" customHeight="1">
      <c r="A1934" s="1422" t="s">
        <v>1048</v>
      </c>
      <c r="B1934" s="625"/>
      <c r="C1934" s="623"/>
      <c r="D1934" s="792"/>
      <c r="E1934" s="624"/>
      <c r="F1934" s="546"/>
      <c r="G1934" s="1508"/>
      <c r="H1934" s="1501"/>
      <c r="I1934" s="1501" t="str">
        <f t="shared" si="81"/>
        <v/>
      </c>
      <c r="J1934" s="1501" t="str">
        <f t="shared" si="82"/>
        <v/>
      </c>
      <c r="K1934" s="271"/>
      <c r="L1934" s="309"/>
      <c r="M1934" s="309"/>
      <c r="N1934" s="309"/>
      <c r="O1934" s="309"/>
      <c r="P1934" s="309"/>
      <c r="Q1934" s="309"/>
      <c r="R1934" s="309"/>
      <c r="S1934" s="309"/>
      <c r="T1934" s="309"/>
      <c r="U1934" s="309"/>
    </row>
    <row r="1935" spans="1:21" ht="12.75" customHeight="1">
      <c r="A1935" s="985" t="s">
        <v>1117</v>
      </c>
      <c r="B1935" s="625">
        <v>115</v>
      </c>
      <c r="C1935" s="623">
        <v>11.3</v>
      </c>
      <c r="D1935" s="792">
        <v>12.99</v>
      </c>
      <c r="E1935" s="624">
        <f>B1935*C1935-D1935</f>
        <v>1286.51</v>
      </c>
      <c r="F1935" s="546" t="s">
        <v>138</v>
      </c>
      <c r="G1935" s="1508"/>
      <c r="H1935" s="1501"/>
      <c r="I1935" s="1501" t="str">
        <f t="shared" si="81"/>
        <v>SSL</v>
      </c>
      <c r="J1935" s="1501" t="str">
        <f t="shared" si="82"/>
        <v/>
      </c>
      <c r="K1935" s="271"/>
      <c r="L1935" s="309"/>
      <c r="M1935" s="309"/>
      <c r="N1935" s="309"/>
      <c r="O1935" s="309"/>
      <c r="P1935" s="309"/>
      <c r="Q1935" s="309"/>
      <c r="R1935" s="309"/>
      <c r="S1935" s="309"/>
      <c r="T1935" s="309"/>
      <c r="U1935" s="309"/>
    </row>
    <row r="1936" spans="1:21" ht="12.75" customHeight="1">
      <c r="A1936" s="985"/>
      <c r="B1936" s="625"/>
      <c r="C1936" s="623"/>
      <c r="D1936" s="792"/>
      <c r="E1936" s="624"/>
      <c r="F1936" s="546"/>
      <c r="G1936" s="1523" t="s">
        <v>1118</v>
      </c>
      <c r="I1936" s="1501" t="str">
        <f t="shared" si="81"/>
        <v/>
      </c>
      <c r="J1936" s="1501" t="str">
        <f t="shared" si="82"/>
        <v/>
      </c>
      <c r="K1936" s="271"/>
      <c r="L1936" s="309"/>
      <c r="M1936" s="309"/>
      <c r="N1936" s="309"/>
      <c r="O1936" s="309"/>
      <c r="P1936" s="309"/>
      <c r="Q1936" s="309"/>
      <c r="R1936" s="309"/>
      <c r="S1936" s="309"/>
      <c r="T1936" s="309"/>
      <c r="U1936" s="309"/>
    </row>
    <row r="1937" spans="1:21" ht="12.75" customHeight="1">
      <c r="A1937" s="1423">
        <v>37364</v>
      </c>
      <c r="B1937" s="625"/>
      <c r="C1937" s="623"/>
      <c r="D1937" s="792"/>
      <c r="E1937" s="624"/>
      <c r="F1937" s="546"/>
      <c r="G1937" s="1508"/>
      <c r="H1937" s="1501"/>
      <c r="I1937" s="1501" t="str">
        <f t="shared" si="81"/>
        <v/>
      </c>
      <c r="J1937" s="1501" t="str">
        <f t="shared" si="82"/>
        <v>DRL</v>
      </c>
      <c r="K1937" s="271"/>
      <c r="L1937" s="309"/>
      <c r="M1937" s="309"/>
      <c r="N1937" s="309"/>
      <c r="O1937" s="309"/>
      <c r="P1937" s="309"/>
      <c r="Q1937" s="309"/>
      <c r="R1937" s="309"/>
      <c r="S1937" s="309"/>
      <c r="T1937" s="309"/>
      <c r="U1937" s="309"/>
    </row>
    <row r="1938" spans="1:21" ht="12.75" customHeight="1">
      <c r="A1938" s="1427" t="s">
        <v>1048</v>
      </c>
      <c r="B1938" s="625"/>
      <c r="C1938" s="623"/>
      <c r="D1938" s="792"/>
      <c r="E1938" s="624"/>
      <c r="F1938" s="546"/>
      <c r="G1938" s="1508"/>
      <c r="H1938" s="1501"/>
      <c r="I1938" s="1501" t="str">
        <f t="shared" si="81"/>
        <v/>
      </c>
      <c r="J1938" s="1501" t="str">
        <f t="shared" si="82"/>
        <v/>
      </c>
      <c r="K1938" s="271"/>
      <c r="L1938" s="309"/>
      <c r="M1938" s="309"/>
      <c r="N1938" s="309"/>
      <c r="O1938" s="309"/>
      <c r="P1938" s="309"/>
      <c r="Q1938" s="309"/>
      <c r="R1938" s="309"/>
      <c r="S1938" s="309"/>
      <c r="T1938" s="309"/>
      <c r="U1938" s="309"/>
    </row>
    <row r="1939" spans="1:21" ht="12.75" customHeight="1">
      <c r="A1939" s="985" t="s">
        <v>1119</v>
      </c>
      <c r="B1939" s="625">
        <v>121</v>
      </c>
      <c r="C1939" s="623">
        <v>34.97</v>
      </c>
      <c r="D1939" s="792">
        <v>12.99</v>
      </c>
      <c r="E1939" s="624">
        <f>B1939*C1939-D1939</f>
        <v>4218.38</v>
      </c>
      <c r="F1939" s="546" t="s">
        <v>100</v>
      </c>
      <c r="G1939" s="1508"/>
      <c r="H1939" s="1501"/>
      <c r="I1939" s="1501" t="str">
        <f t="shared" si="81"/>
        <v>DRL</v>
      </c>
      <c r="J1939" s="1501" t="str">
        <f t="shared" si="82"/>
        <v/>
      </c>
      <c r="K1939" s="271"/>
      <c r="L1939" s="309"/>
      <c r="M1939" s="309"/>
      <c r="N1939" s="309"/>
      <c r="O1939" s="309"/>
      <c r="P1939" s="309"/>
      <c r="Q1939" s="309"/>
      <c r="R1939" s="309"/>
      <c r="S1939" s="309"/>
      <c r="T1939" s="309"/>
      <c r="U1939" s="309"/>
    </row>
    <row r="1940" spans="1:21" ht="12.75" customHeight="1">
      <c r="A1940" s="985"/>
      <c r="B1940" s="625"/>
      <c r="C1940" s="623"/>
      <c r="D1940" s="792"/>
      <c r="E1940" s="624"/>
      <c r="F1940" s="546"/>
      <c r="G1940" s="1508" t="s">
        <v>1120</v>
      </c>
      <c r="H1940" s="1501"/>
      <c r="I1940" s="1501" t="str">
        <f t="shared" si="81"/>
        <v/>
      </c>
      <c r="J1940" s="1501" t="str">
        <f t="shared" si="82"/>
        <v/>
      </c>
      <c r="K1940" s="271"/>
      <c r="L1940" s="309"/>
      <c r="M1940" s="309"/>
      <c r="N1940" s="309"/>
      <c r="O1940" s="309"/>
      <c r="P1940" s="309"/>
      <c r="Q1940" s="309"/>
      <c r="R1940" s="309"/>
      <c r="S1940" s="309"/>
      <c r="T1940" s="309"/>
      <c r="U1940" s="309"/>
    </row>
    <row r="1941" spans="1:21" ht="12.75" customHeight="1">
      <c r="A1941" s="1423">
        <v>37348</v>
      </c>
      <c r="B1941" s="625"/>
      <c r="C1941" s="623"/>
      <c r="D1941" s="792"/>
      <c r="E1941" s="624"/>
      <c r="F1941" s="546"/>
      <c r="G1941" s="1508"/>
      <c r="H1941" s="1501"/>
      <c r="I1941" s="1501" t="str">
        <f t="shared" si="81"/>
        <v/>
      </c>
      <c r="J1941" s="1501" t="str">
        <f t="shared" si="82"/>
        <v>PLMD</v>
      </c>
      <c r="K1941" s="271"/>
      <c r="L1941" s="309"/>
      <c r="M1941" s="309"/>
      <c r="N1941" s="309"/>
      <c r="O1941" s="309"/>
      <c r="P1941" s="309"/>
      <c r="Q1941" s="309"/>
      <c r="R1941" s="309"/>
      <c r="S1941" s="309"/>
      <c r="T1941" s="309"/>
      <c r="U1941" s="309"/>
    </row>
    <row r="1942" spans="1:21" ht="12.75" customHeight="1">
      <c r="A1942" s="1422" t="s">
        <v>1048</v>
      </c>
      <c r="B1942" s="625"/>
      <c r="C1942" s="623"/>
      <c r="D1942" s="792"/>
      <c r="E1942" s="624"/>
      <c r="F1942" s="546"/>
      <c r="G1942" s="1508"/>
      <c r="H1942" s="1501"/>
      <c r="I1942" s="1501" t="str">
        <f t="shared" si="81"/>
        <v/>
      </c>
      <c r="J1942" s="1501" t="str">
        <f t="shared" si="82"/>
        <v/>
      </c>
      <c r="K1942" s="271"/>
      <c r="L1942" s="309"/>
      <c r="M1942" s="309"/>
      <c r="N1942" s="309"/>
      <c r="O1942" s="309"/>
      <c r="P1942" s="309"/>
      <c r="Q1942" s="309"/>
      <c r="R1942" s="309"/>
      <c r="S1942" s="309"/>
      <c r="T1942" s="309"/>
      <c r="U1942" s="309"/>
    </row>
    <row r="1943" spans="1:21" ht="12.75" customHeight="1">
      <c r="A1943" s="985" t="s">
        <v>1121</v>
      </c>
      <c r="B1943" s="625">
        <v>200</v>
      </c>
      <c r="C1943" s="623">
        <v>12.7</v>
      </c>
      <c r="D1943" s="792">
        <v>12.99</v>
      </c>
      <c r="E1943" s="624">
        <f>B1943*C1943-D1943</f>
        <v>2527.0100000000002</v>
      </c>
      <c r="F1943" s="546" t="s">
        <v>134</v>
      </c>
      <c r="G1943" s="1508"/>
      <c r="H1943" s="1501"/>
      <c r="I1943" s="1501" t="str">
        <f t="shared" si="81"/>
        <v>PLMD</v>
      </c>
      <c r="J1943" s="1501" t="str">
        <f t="shared" si="82"/>
        <v/>
      </c>
      <c r="K1943" s="271"/>
      <c r="L1943" s="309"/>
      <c r="M1943" s="309"/>
      <c r="N1943" s="309"/>
      <c r="O1943" s="309"/>
      <c r="P1943" s="309"/>
      <c r="Q1943" s="309"/>
      <c r="R1943" s="309"/>
      <c r="S1943" s="309"/>
      <c r="T1943" s="309"/>
      <c r="U1943" s="309"/>
    </row>
    <row r="1944" spans="1:21" ht="12.75" customHeight="1">
      <c r="A1944" s="985"/>
      <c r="B1944" s="625"/>
      <c r="C1944" s="623"/>
      <c r="D1944" s="792"/>
      <c r="E1944" s="624"/>
      <c r="F1944" s="546"/>
      <c r="G1944" s="1508"/>
      <c r="H1944" s="1501"/>
      <c r="I1944" s="1501" t="str">
        <f t="shared" si="81"/>
        <v/>
      </c>
      <c r="J1944" s="1501" t="str">
        <f t="shared" si="82"/>
        <v/>
      </c>
      <c r="K1944" s="271"/>
      <c r="L1944" s="309"/>
      <c r="M1944" s="309"/>
      <c r="N1944" s="309"/>
      <c r="O1944" s="309"/>
      <c r="P1944" s="309"/>
      <c r="Q1944" s="309"/>
      <c r="R1944" s="309"/>
      <c r="S1944" s="309"/>
      <c r="T1944" s="309"/>
      <c r="U1944" s="309"/>
    </row>
    <row r="1945" spans="1:21" ht="12.75" customHeight="1">
      <c r="A1945" s="1423">
        <v>37327</v>
      </c>
      <c r="B1945" s="625"/>
      <c r="C1945" s="623"/>
      <c r="D1945" s="786"/>
      <c r="E1945" s="858"/>
      <c r="F1945" s="546"/>
      <c r="G1945" s="1508"/>
      <c r="H1945" s="1501"/>
      <c r="I1945" s="1501" t="str">
        <f t="shared" si="81"/>
        <v/>
      </c>
      <c r="J1945" s="1501" t="str">
        <f t="shared" si="82"/>
        <v>COLM</v>
      </c>
      <c r="K1945" s="271"/>
      <c r="L1945" s="309"/>
      <c r="M1945" s="309"/>
      <c r="N1945" s="309"/>
      <c r="O1945" s="309"/>
      <c r="P1945" s="309"/>
      <c r="Q1945" s="309"/>
      <c r="R1945" s="309"/>
      <c r="S1945" s="309"/>
      <c r="T1945" s="309"/>
      <c r="U1945" s="309"/>
    </row>
    <row r="1946" spans="1:21" ht="12.75" customHeight="1">
      <c r="A1946" s="1422" t="s">
        <v>1048</v>
      </c>
      <c r="B1946" s="625"/>
      <c r="C1946" s="623"/>
      <c r="D1946" s="792"/>
      <c r="E1946" s="624"/>
      <c r="F1946" s="546"/>
      <c r="G1946" s="1508"/>
      <c r="H1946" s="1501"/>
      <c r="I1946" s="1501" t="str">
        <f t="shared" ref="I1946:I1959" si="83">IF(F1946="","",IF(OR(A1945="Sell",A1946="Sell"),"",F1946))</f>
        <v/>
      </c>
      <c r="J1946" s="1501" t="str">
        <f t="shared" si="82"/>
        <v/>
      </c>
      <c r="K1946" s="271"/>
      <c r="L1946" s="309"/>
      <c r="M1946" s="309"/>
      <c r="N1946" s="309"/>
      <c r="O1946" s="309"/>
      <c r="P1946" s="309"/>
      <c r="Q1946" s="309"/>
      <c r="R1946" s="309"/>
      <c r="S1946" s="309"/>
      <c r="T1946" s="309"/>
      <c r="U1946" s="309"/>
    </row>
    <row r="1947" spans="1:21" ht="12.75" customHeight="1">
      <c r="A1947" s="985" t="s">
        <v>1122</v>
      </c>
      <c r="B1947" s="625">
        <v>100</v>
      </c>
      <c r="C1947" s="785">
        <v>33.72</v>
      </c>
      <c r="D1947" s="786">
        <v>12.99</v>
      </c>
      <c r="E1947" s="624">
        <f>B1947*C1947-D1947</f>
        <v>3359.01</v>
      </c>
      <c r="F1947" s="546" t="s">
        <v>128</v>
      </c>
      <c r="G1947" s="1508"/>
      <c r="H1947" s="1501"/>
      <c r="I1947" s="1501" t="str">
        <f t="shared" si="83"/>
        <v>COLM</v>
      </c>
      <c r="J1947" s="1501" t="str">
        <f t="shared" si="82"/>
        <v/>
      </c>
      <c r="K1947" s="271"/>
      <c r="L1947" s="309"/>
      <c r="M1947" s="309"/>
      <c r="N1947" s="309"/>
      <c r="O1947" s="309"/>
      <c r="P1947" s="309"/>
      <c r="Q1947" s="309"/>
      <c r="R1947" s="309"/>
      <c r="S1947" s="309"/>
      <c r="T1947" s="309"/>
      <c r="U1947" s="309"/>
    </row>
    <row r="1948" spans="1:21" ht="12.75" customHeight="1">
      <c r="A1948" s="985"/>
      <c r="B1948" s="625"/>
      <c r="C1948" s="785"/>
      <c r="D1948" s="786"/>
      <c r="E1948" s="624"/>
      <c r="F1948" s="546"/>
      <c r="G1948" s="1508"/>
      <c r="H1948" s="1501"/>
      <c r="I1948" s="1501" t="str">
        <f t="shared" si="83"/>
        <v/>
      </c>
      <c r="J1948" s="1501" t="str">
        <f t="shared" si="82"/>
        <v/>
      </c>
      <c r="K1948" s="271"/>
      <c r="L1948" s="309"/>
      <c r="M1948" s="309"/>
      <c r="N1948" s="309"/>
      <c r="O1948" s="309"/>
      <c r="P1948" s="309"/>
      <c r="Q1948" s="309"/>
      <c r="R1948" s="309"/>
      <c r="S1948" s="309"/>
      <c r="T1948" s="309"/>
      <c r="U1948" s="309"/>
    </row>
    <row r="1949" spans="1:21" ht="12.75" customHeight="1">
      <c r="A1949" s="1423">
        <v>37327</v>
      </c>
      <c r="B1949" s="625"/>
      <c r="C1949" s="785"/>
      <c r="D1949" s="786"/>
      <c r="E1949" s="624"/>
      <c r="F1949" s="546"/>
      <c r="G1949" s="1508"/>
      <c r="H1949" s="1501"/>
      <c r="I1949" s="1501" t="str">
        <f t="shared" si="83"/>
        <v/>
      </c>
      <c r="J1949" s="1501" t="str">
        <f t="shared" si="82"/>
        <v>CBK</v>
      </c>
      <c r="K1949" s="271"/>
      <c r="L1949" s="309"/>
      <c r="M1949" s="309"/>
      <c r="N1949" s="309"/>
      <c r="O1949" s="309"/>
      <c r="P1949" s="309"/>
      <c r="Q1949" s="309"/>
      <c r="R1949" s="309"/>
      <c r="S1949" s="309"/>
      <c r="T1949" s="309"/>
      <c r="U1949" s="309"/>
    </row>
    <row r="1950" spans="1:21" ht="12.75" customHeight="1">
      <c r="A1950" s="1422" t="s">
        <v>1048</v>
      </c>
      <c r="B1950" s="625"/>
      <c r="C1950" s="785"/>
      <c r="D1950" s="786"/>
      <c r="E1950" s="624"/>
      <c r="F1950" s="546"/>
      <c r="G1950" s="1508"/>
      <c r="H1950" s="1501"/>
      <c r="I1950" s="1501" t="str">
        <f t="shared" si="83"/>
        <v/>
      </c>
      <c r="J1950" s="1501" t="str">
        <f t="shared" si="82"/>
        <v/>
      </c>
      <c r="K1950" s="271"/>
      <c r="L1950" s="309"/>
      <c r="M1950" s="309"/>
      <c r="N1950" s="309"/>
      <c r="O1950" s="309"/>
      <c r="P1950" s="309"/>
      <c r="Q1950" s="309"/>
      <c r="R1950" s="309"/>
      <c r="S1950" s="309"/>
      <c r="T1950" s="309"/>
      <c r="U1950" s="309"/>
    </row>
    <row r="1951" spans="1:21" ht="12.75" customHeight="1">
      <c r="A1951" s="985" t="s">
        <v>1123</v>
      </c>
      <c r="B1951" s="625">
        <v>100</v>
      </c>
      <c r="C1951" s="785">
        <v>28.04</v>
      </c>
      <c r="D1951" s="786">
        <v>12.99</v>
      </c>
      <c r="E1951" s="624">
        <f>B1951*C1951-D1951</f>
        <v>2791.01</v>
      </c>
      <c r="F1951" s="546" t="s">
        <v>91</v>
      </c>
      <c r="G1951" s="1508"/>
      <c r="H1951" s="1501"/>
      <c r="I1951" s="1501" t="str">
        <f t="shared" si="83"/>
        <v>CBK</v>
      </c>
      <c r="J1951" s="1501" t="str">
        <f t="shared" si="82"/>
        <v/>
      </c>
      <c r="K1951" s="271"/>
      <c r="L1951" s="309"/>
      <c r="M1951" s="309"/>
      <c r="N1951" s="309"/>
      <c r="O1951" s="309"/>
      <c r="P1951" s="309"/>
      <c r="Q1951" s="309"/>
      <c r="R1951" s="309"/>
      <c r="S1951" s="309"/>
      <c r="T1951" s="309"/>
      <c r="U1951" s="309"/>
    </row>
    <row r="1952" spans="1:21" ht="12.75" customHeight="1">
      <c r="A1952" s="985"/>
      <c r="B1952" s="625"/>
      <c r="C1952" s="785"/>
      <c r="D1952" s="786"/>
      <c r="E1952" s="624"/>
      <c r="F1952" s="546"/>
      <c r="G1952" s="1508"/>
      <c r="H1952" s="1501"/>
      <c r="I1952" s="1501" t="str">
        <f t="shared" si="83"/>
        <v/>
      </c>
      <c r="J1952" s="1501" t="str">
        <f t="shared" si="82"/>
        <v/>
      </c>
      <c r="K1952" s="271"/>
      <c r="L1952" s="309"/>
      <c r="M1952" s="309"/>
      <c r="N1952" s="309"/>
      <c r="O1952" s="309"/>
      <c r="P1952" s="309"/>
      <c r="Q1952" s="309"/>
      <c r="R1952" s="309"/>
      <c r="S1952" s="309"/>
      <c r="T1952" s="309"/>
      <c r="U1952" s="309"/>
    </row>
    <row r="1953" spans="1:21" ht="12.75" customHeight="1">
      <c r="A1953" s="1423">
        <v>37197</v>
      </c>
      <c r="B1953" s="625"/>
      <c r="C1953" s="785"/>
      <c r="D1953" s="786"/>
      <c r="E1953" s="624"/>
      <c r="F1953" s="546"/>
      <c r="G1953" s="1508"/>
      <c r="H1953" s="1501"/>
      <c r="I1953" s="1501" t="str">
        <f t="shared" si="83"/>
        <v/>
      </c>
      <c r="J1953" s="1501" t="str">
        <f t="shared" si="82"/>
        <v>TYC</v>
      </c>
      <c r="K1953" s="271"/>
      <c r="L1953" s="309"/>
      <c r="M1953" s="309"/>
      <c r="N1953" s="309"/>
      <c r="O1953" s="309"/>
      <c r="P1953" s="309"/>
      <c r="Q1953" s="309"/>
      <c r="R1953" s="309"/>
      <c r="S1953" s="309"/>
      <c r="T1953" s="309"/>
      <c r="U1953" s="309"/>
    </row>
    <row r="1954" spans="1:21" ht="12.75" customHeight="1">
      <c r="A1954" s="1422" t="s">
        <v>1048</v>
      </c>
      <c r="B1954" s="625"/>
      <c r="C1954" s="785"/>
      <c r="D1954" s="786"/>
      <c r="E1954" s="624"/>
      <c r="F1954" s="546"/>
      <c r="G1954" s="1508"/>
      <c r="H1954" s="1501"/>
      <c r="I1954" s="1501" t="str">
        <f t="shared" si="83"/>
        <v/>
      </c>
      <c r="J1954" s="1501" t="str">
        <f t="shared" si="82"/>
        <v/>
      </c>
      <c r="K1954" s="271"/>
      <c r="L1954" s="309"/>
      <c r="M1954" s="309"/>
      <c r="N1954" s="309"/>
      <c r="O1954" s="309"/>
      <c r="P1954" s="309"/>
      <c r="Q1954" s="309"/>
      <c r="R1954" s="309"/>
      <c r="S1954" s="309"/>
      <c r="T1954" s="309"/>
      <c r="U1954" s="309"/>
    </row>
    <row r="1955" spans="1:21" ht="12.75" customHeight="1">
      <c r="A1955" s="985" t="s">
        <v>1116</v>
      </c>
      <c r="B1955" s="625">
        <v>25</v>
      </c>
      <c r="C1955" s="785">
        <v>48.4</v>
      </c>
      <c r="D1955" s="786">
        <v>12.99</v>
      </c>
      <c r="E1955" s="624">
        <f>B1955*C1955-D1955</f>
        <v>1197.01</v>
      </c>
      <c r="F1955" s="546" t="s">
        <v>140</v>
      </c>
      <c r="G1955" s="1508"/>
      <c r="H1955" s="1501"/>
      <c r="I1955" s="1501" t="str">
        <f t="shared" si="83"/>
        <v>TYC</v>
      </c>
      <c r="J1955" s="1501" t="str">
        <f t="shared" si="82"/>
        <v/>
      </c>
      <c r="K1955" s="271"/>
      <c r="L1955" s="309"/>
      <c r="M1955" s="309"/>
      <c r="N1955" s="309"/>
      <c r="O1955" s="309"/>
      <c r="P1955" s="309"/>
      <c r="Q1955" s="309"/>
      <c r="R1955" s="309"/>
      <c r="S1955" s="309"/>
      <c r="T1955" s="309"/>
      <c r="U1955" s="309"/>
    </row>
    <row r="1956" spans="1:21" ht="12.75" customHeight="1">
      <c r="A1956" s="985"/>
      <c r="B1956" s="625"/>
      <c r="C1956" s="623"/>
      <c r="D1956" s="792"/>
      <c r="E1956" s="624"/>
      <c r="F1956" s="546"/>
      <c r="G1956" s="1508"/>
      <c r="H1956" s="1501"/>
      <c r="I1956" s="1501" t="str">
        <f t="shared" si="83"/>
        <v/>
      </c>
      <c r="J1956" s="1501" t="str">
        <f t="shared" si="82"/>
        <v/>
      </c>
      <c r="K1956" s="271"/>
      <c r="L1956" s="309"/>
      <c r="M1956" s="309"/>
      <c r="N1956" s="309"/>
      <c r="O1956" s="309"/>
      <c r="P1956" s="309"/>
      <c r="Q1956" s="309"/>
      <c r="R1956" s="309"/>
      <c r="S1956" s="309"/>
      <c r="T1956" s="309"/>
      <c r="U1956" s="309"/>
    </row>
    <row r="1957" spans="1:21" ht="12.75" customHeight="1">
      <c r="A1957" s="1423">
        <v>35551</v>
      </c>
      <c r="B1957" s="625"/>
      <c r="C1957" s="623"/>
      <c r="D1957" s="792"/>
      <c r="E1957" s="624"/>
      <c r="F1957" s="546"/>
      <c r="G1957" s="1508"/>
      <c r="H1957" s="1501"/>
      <c r="I1957" s="1501" t="str">
        <f t="shared" si="83"/>
        <v/>
      </c>
      <c r="J1957" s="1501" t="str">
        <f t="shared" si="82"/>
        <v>INTC</v>
      </c>
      <c r="K1957" s="271"/>
      <c r="L1957" s="309"/>
      <c r="M1957" s="309"/>
      <c r="N1957" s="309"/>
      <c r="O1957" s="309"/>
      <c r="P1957" s="309"/>
      <c r="Q1957" s="309"/>
      <c r="R1957" s="309"/>
      <c r="S1957" s="309"/>
      <c r="T1957" s="309"/>
      <c r="U1957" s="309"/>
    </row>
    <row r="1958" spans="1:21" ht="12.75" customHeight="1">
      <c r="A1958" s="1422" t="s">
        <v>1048</v>
      </c>
      <c r="B1958" s="625"/>
      <c r="C1958" s="623"/>
      <c r="D1958" s="792"/>
      <c r="E1958" s="624"/>
      <c r="F1958" s="546"/>
      <c r="G1958" s="1508"/>
      <c r="H1958" s="1501"/>
      <c r="I1958" s="1501" t="str">
        <f t="shared" si="83"/>
        <v/>
      </c>
      <c r="J1958" s="1501" t="str">
        <f t="shared" si="82"/>
        <v/>
      </c>
      <c r="K1958" s="271"/>
      <c r="L1958" s="309"/>
      <c r="M1958" s="309"/>
      <c r="N1958" s="309"/>
      <c r="O1958" s="309"/>
      <c r="P1958" s="309"/>
      <c r="Q1958" s="309"/>
      <c r="R1958" s="309"/>
      <c r="S1958" s="309"/>
      <c r="T1958" s="309"/>
      <c r="U1958" s="309"/>
    </row>
    <row r="1959" spans="1:21" ht="12.75" customHeight="1">
      <c r="A1959" s="985" t="s">
        <v>109</v>
      </c>
      <c r="B1959" s="625">
        <v>136</v>
      </c>
      <c r="C1959" s="623">
        <v>14.07</v>
      </c>
      <c r="D1959" s="792">
        <v>12.99</v>
      </c>
      <c r="E1959" s="624">
        <f>B1959*C1959-D1959</f>
        <v>1900.53</v>
      </c>
      <c r="F1959" s="546" t="s">
        <v>110</v>
      </c>
      <c r="G1959" s="1508"/>
      <c r="H1959" s="1501"/>
      <c r="I1959" s="1501" t="str">
        <f t="shared" si="83"/>
        <v>INTC</v>
      </c>
      <c r="J1959" s="1501" t="str">
        <f t="shared" si="82"/>
        <v/>
      </c>
      <c r="K1959" s="271"/>
      <c r="L1959" s="309"/>
      <c r="M1959" s="309"/>
      <c r="N1959" s="309"/>
      <c r="O1959" s="309"/>
      <c r="P1959" s="309"/>
      <c r="Q1959" s="309"/>
      <c r="R1959" s="309"/>
      <c r="S1959" s="309"/>
      <c r="T1959" s="309"/>
      <c r="U1959" s="309"/>
    </row>
    <row r="1960" spans="1:21" ht="12.75" customHeight="1">
      <c r="A1960" s="985"/>
      <c r="B1960" s="625"/>
      <c r="C1960" s="623"/>
      <c r="D1960" s="792"/>
      <c r="E1960" s="624"/>
      <c r="F1960" s="546"/>
      <c r="G1960" s="1508"/>
      <c r="H1960" s="1501"/>
      <c r="I1960" s="1501"/>
      <c r="J1960" s="271"/>
      <c r="K1960" s="271"/>
      <c r="L1960" s="309"/>
      <c r="M1960" s="309"/>
      <c r="N1960" s="309"/>
      <c r="O1960" s="309"/>
      <c r="P1960" s="309"/>
      <c r="Q1960" s="309"/>
      <c r="R1960" s="309"/>
      <c r="S1960" s="309"/>
      <c r="T1960" s="309"/>
      <c r="U1960" s="309"/>
    </row>
    <row r="1961" spans="1:21" ht="12.75" customHeight="1">
      <c r="A1961" s="1425"/>
      <c r="B1961" s="625"/>
      <c r="C1961" s="623"/>
      <c r="D1961" s="792"/>
      <c r="E1961" s="624"/>
      <c r="F1961" s="546"/>
      <c r="G1961" s="1508"/>
      <c r="H1961" s="1501"/>
      <c r="I1961" s="1501"/>
      <c r="J1961" s="271"/>
      <c r="K1961" s="271"/>
      <c r="L1961" s="309"/>
      <c r="M1961" s="309"/>
      <c r="N1961" s="309"/>
      <c r="O1961" s="309"/>
      <c r="P1961" s="309"/>
      <c r="Q1961" s="309"/>
      <c r="R1961" s="309"/>
      <c r="S1961" s="309"/>
      <c r="T1961" s="309"/>
      <c r="U1961" s="309"/>
    </row>
    <row r="1962" spans="1:21" ht="12.75" customHeight="1">
      <c r="A1962" s="309"/>
      <c r="B1962" s="625"/>
      <c r="C1962" s="623"/>
      <c r="D1962" s="792"/>
      <c r="E1962" s="624"/>
      <c r="F1962" s="546"/>
      <c r="G1962" s="1508"/>
      <c r="H1962" s="1501"/>
      <c r="I1962" s="1501"/>
      <c r="J1962" s="271"/>
      <c r="K1962" s="271"/>
      <c r="L1962" s="309"/>
      <c r="M1962" s="309"/>
      <c r="N1962" s="309"/>
      <c r="O1962" s="309"/>
      <c r="P1962" s="309"/>
      <c r="Q1962" s="309"/>
      <c r="R1962" s="309"/>
      <c r="S1962" s="309"/>
      <c r="T1962" s="309"/>
      <c r="U1962" s="309"/>
    </row>
    <row r="1963" spans="1:21" ht="15" customHeight="1">
      <c r="A1963" s="309"/>
      <c r="B1963" s="625"/>
      <c r="C1963" s="623"/>
      <c r="D1963" s="792"/>
      <c r="E1963" s="624"/>
      <c r="F1963" s="546"/>
      <c r="G1963" s="1508"/>
      <c r="H1963" s="1501"/>
      <c r="I1963" s="1501"/>
      <c r="J1963" s="271"/>
      <c r="K1963" s="271"/>
    </row>
    <row r="1964" spans="1:21" ht="15" customHeight="1">
      <c r="A1964" s="309"/>
      <c r="B1964" s="625"/>
      <c r="C1964" s="623"/>
      <c r="D1964" s="792"/>
      <c r="E1964" s="624"/>
      <c r="F1964" s="546"/>
      <c r="G1964" s="1508"/>
      <c r="H1964" s="1501"/>
      <c r="I1964" s="1501"/>
    </row>
    <row r="1965" spans="1:21" ht="15" customHeight="1">
      <c r="A1965" s="309"/>
      <c r="B1965" s="625"/>
      <c r="C1965" s="623"/>
      <c r="D1965" s="792"/>
      <c r="E1965" s="623"/>
      <c r="F1965" s="546"/>
      <c r="G1965" s="1508"/>
      <c r="H1965" s="1501"/>
      <c r="I1965" s="1501"/>
    </row>
    <row r="1966" spans="1:21" ht="15" customHeight="1">
      <c r="A1966" s="309"/>
      <c r="B1966" s="625"/>
      <c r="C1966" s="623"/>
      <c r="D1966" s="792"/>
      <c r="E1966" s="623"/>
      <c r="F1966" s="546"/>
      <c r="G1966" s="1508"/>
      <c r="H1966" s="1501"/>
      <c r="I1966" s="1501"/>
    </row>
    <row r="1967" spans="1:21" ht="15" customHeight="1">
      <c r="A1967" s="309"/>
      <c r="B1967" s="625"/>
      <c r="C1967" s="623"/>
      <c r="D1967" s="792"/>
      <c r="E1967" s="623"/>
      <c r="F1967" s="546"/>
      <c r="I1967" s="1501"/>
    </row>
    <row r="1968" spans="1:21" ht="15" customHeight="1">
      <c r="A1968" s="309"/>
      <c r="B1968" s="625"/>
      <c r="C1968" s="623"/>
      <c r="D1968" s="792"/>
      <c r="E1968" s="623"/>
      <c r="F1968" s="546"/>
      <c r="I1968" s="1501"/>
    </row>
    <row r="1969" spans="1:9" ht="15" customHeight="1">
      <c r="A1969" s="309"/>
      <c r="B1969" s="625"/>
      <c r="C1969" s="623"/>
      <c r="D1969" s="792"/>
      <c r="E1969" s="623"/>
      <c r="F1969" s="546"/>
      <c r="I1969" s="1501"/>
    </row>
  </sheetData>
  <conditionalFormatting sqref="A1:A77">
    <cfRule type="containsText" dxfId="55" priority="1" operator="containsText" text="Buy">
      <formula>NOT(ISERROR(SEARCH(("Buy"),(A1))))</formula>
    </cfRule>
    <cfRule type="containsText" dxfId="54" priority="2" operator="containsText" text="Sell">
      <formula>NOT(ISERROR(SEARCH(("Sell"),(A1))))</formula>
    </cfRule>
  </conditionalFormatting>
  <conditionalFormatting sqref="A78:A152">
    <cfRule type="containsText" dxfId="53" priority="15" operator="containsText" text="Buy">
      <formula>NOT(ISERROR(SEARCH(("Buy"),(A78))))</formula>
    </cfRule>
    <cfRule type="containsText" dxfId="52" priority="16" operator="containsText" text="Sell">
      <formula>NOT(ISERROR(SEARCH(("Sell"),(A78))))</formula>
    </cfRule>
  </conditionalFormatting>
  <conditionalFormatting sqref="A128 A132 A136 A140 A144">
    <cfRule type="containsText" dxfId="51" priority="13" operator="containsText" text="Buy">
      <formula>NOT(ISERROR(SEARCH(("Buy"),(A128))))</formula>
    </cfRule>
    <cfRule type="containsText" dxfId="50" priority="14" operator="containsText" text="Sell">
      <formula>NOT(ISERROR(SEARCH(("Sell"),(A128))))</formula>
    </cfRule>
  </conditionalFormatting>
  <conditionalFormatting sqref="A146:A148 A150:A152 A154">
    <cfRule type="containsText" dxfId="49" priority="17" operator="containsText" text="Buy">
      <formula>NOT(ISERROR(SEARCH(("Buy"),(A146))))</formula>
    </cfRule>
    <cfRule type="containsText" dxfId="48" priority="18" operator="containsText" text="Sell">
      <formula>NOT(ISERROR(SEARCH(("Sell"),(A146))))</formula>
    </cfRule>
  </conditionalFormatting>
  <conditionalFormatting sqref="A155:A170">
    <cfRule type="containsText" dxfId="47" priority="23" operator="containsText" text="Buy">
      <formula>NOT(ISERROR(SEARCH(("Buy"),(A155))))</formula>
    </cfRule>
    <cfRule type="containsText" dxfId="46" priority="24" operator="containsText" text="Sell">
      <formula>NOT(ISERROR(SEARCH(("Sell"),(A155))))</formula>
    </cfRule>
  </conditionalFormatting>
  <conditionalFormatting sqref="A156:A157 A160:A161 A164:A165">
    <cfRule type="containsText" dxfId="45" priority="19" operator="containsText" text="Buy">
      <formula>NOT(ISERROR(SEARCH(("Buy"),(A156))))</formula>
    </cfRule>
    <cfRule type="containsText" dxfId="44" priority="20" operator="containsText" text="Sell">
      <formula>NOT(ISERROR(SEARCH(("Sell"),(A156))))</formula>
    </cfRule>
  </conditionalFormatting>
  <conditionalFormatting sqref="A168:A169">
    <cfRule type="containsText" dxfId="43" priority="21" operator="containsText" text="Buy">
      <formula>NOT(ISERROR(SEARCH(("Buy"),(A168))))</formula>
    </cfRule>
    <cfRule type="containsText" dxfId="42" priority="22" operator="containsText" text="Sell">
      <formula>NOT(ISERROR(SEARCH(("Sell"),(A168))))</formula>
    </cfRule>
  </conditionalFormatting>
  <conditionalFormatting sqref="A171:A178 A315:A318 A326 A330">
    <cfRule type="containsText" dxfId="41" priority="131" operator="containsText" text="Buy">
      <formula>NOT(ISERROR(SEARCH(("Buy"),(A171))))</formula>
    </cfRule>
    <cfRule type="containsText" dxfId="40" priority="132" operator="containsText" text="Sell">
      <formula>NOT(ISERROR(SEARCH(("Sell"),(A171))))</formula>
    </cfRule>
  </conditionalFormatting>
  <conditionalFormatting sqref="A172:A173">
    <cfRule type="containsText" dxfId="39" priority="25" operator="containsText" text="Buy">
      <formula>NOT(ISERROR(SEARCH(("Buy"),(A172))))</formula>
    </cfRule>
    <cfRule type="containsText" dxfId="38" priority="26" operator="containsText" text="Sell">
      <formula>NOT(ISERROR(SEARCH(("Sell"),(A172))))</formula>
    </cfRule>
  </conditionalFormatting>
  <conditionalFormatting sqref="A176:A177">
    <cfRule type="containsText" dxfId="37" priority="27" operator="containsText" text="Buy">
      <formula>NOT(ISERROR(SEARCH(("Buy"),(A176))))</formula>
    </cfRule>
    <cfRule type="containsText" dxfId="36" priority="28" operator="containsText" text="Sell">
      <formula>NOT(ISERROR(SEARCH(("Sell"),(A176))))</formula>
    </cfRule>
  </conditionalFormatting>
  <conditionalFormatting sqref="A180:A181">
    <cfRule type="containsText" dxfId="35" priority="29" operator="containsText" text="Buy">
      <formula>NOT(ISERROR(SEARCH(("Buy"),(A180))))</formula>
    </cfRule>
    <cfRule type="containsText" dxfId="34" priority="30" operator="containsText" text="Sell">
      <formula>NOT(ISERROR(SEARCH(("Sell"),(A180))))</formula>
    </cfRule>
  </conditionalFormatting>
  <conditionalFormatting sqref="A184:A185 A188:A189 A192:A193">
    <cfRule type="containsText" dxfId="33" priority="31" operator="containsText" text="Buy">
      <formula>NOT(ISERROR(SEARCH(("Buy"),(A184))))</formula>
    </cfRule>
    <cfRule type="containsText" dxfId="32" priority="32" operator="containsText" text="Sell">
      <formula>NOT(ISERROR(SEARCH(("Sell"),(A184))))</formula>
    </cfRule>
  </conditionalFormatting>
  <conditionalFormatting sqref="A196:A197 A200:A201 A204:A205 A208:A209 A212:A213">
    <cfRule type="containsText" dxfId="31" priority="33" operator="containsText" text="Buy">
      <formula>NOT(ISERROR(SEARCH(("Buy"),(A196))))</formula>
    </cfRule>
    <cfRule type="containsText" dxfId="30" priority="34" operator="containsText" text="Sell">
      <formula>NOT(ISERROR(SEARCH(("Sell"),(A196))))</formula>
    </cfRule>
  </conditionalFormatting>
  <conditionalFormatting sqref="A216:A217 A220:A221 A224:A225 A228:A229">
    <cfRule type="containsText" dxfId="29" priority="44" operator="containsText" text="Sell">
      <formula>NOT(ISERROR(SEARCH(("Sell"),(A216))))</formula>
    </cfRule>
    <cfRule type="containsText" dxfId="28" priority="43" operator="containsText" text="Buy">
      <formula>NOT(ISERROR(SEARCH(("Buy"),(A216))))</formula>
    </cfRule>
  </conditionalFormatting>
  <conditionalFormatting sqref="A232:A233 A236:A237">
    <cfRule type="containsText" dxfId="27" priority="46" operator="containsText" text="Sell">
      <formula>NOT(ISERROR(SEARCH(("Sell"),(A232))))</formula>
    </cfRule>
    <cfRule type="containsText" dxfId="26" priority="45" operator="containsText" text="Buy">
      <formula>NOT(ISERROR(SEARCH(("Buy"),(A232))))</formula>
    </cfRule>
  </conditionalFormatting>
  <conditionalFormatting sqref="A240:A241">
    <cfRule type="containsText" dxfId="25" priority="47" operator="containsText" text="Buy">
      <formula>NOT(ISERROR(SEARCH(("Buy"),(A240))))</formula>
    </cfRule>
    <cfRule type="containsText" dxfId="24" priority="48" operator="containsText" text="Sell">
      <formula>NOT(ISERROR(SEARCH(("Sell"),(A240))))</formula>
    </cfRule>
  </conditionalFormatting>
  <conditionalFormatting sqref="A244:A245">
    <cfRule type="containsText" dxfId="23" priority="55" operator="containsText" text="Buy">
      <formula>NOT(ISERROR(SEARCH(("Buy"),(A244))))</formula>
    </cfRule>
    <cfRule type="containsText" dxfId="22" priority="56" operator="containsText" text="Sell">
      <formula>NOT(ISERROR(SEARCH(("Sell"),(A244))))</formula>
    </cfRule>
  </conditionalFormatting>
  <conditionalFormatting sqref="A248:A250">
    <cfRule type="containsText" dxfId="21" priority="49" operator="containsText" text="Buy">
      <formula>NOT(ISERROR(SEARCH(("Buy"),(A248))))</formula>
    </cfRule>
  </conditionalFormatting>
  <conditionalFormatting sqref="A248:A258">
    <cfRule type="containsText" dxfId="20" priority="50" operator="containsText" text="Sell">
      <formula>NOT(ISERROR(SEARCH(("Sell"),(A248))))</formula>
    </cfRule>
  </conditionalFormatting>
  <conditionalFormatting sqref="A252:A293">
    <cfRule type="containsText" dxfId="19" priority="41" operator="containsText" text="Buy">
      <formula>NOT(ISERROR(SEARCH(("Buy"),(A252))))</formula>
    </cfRule>
  </conditionalFormatting>
  <conditionalFormatting sqref="A260:A293">
    <cfRule type="containsText" dxfId="18" priority="42" operator="containsText" text="Sell">
      <formula>NOT(ISERROR(SEARCH(("Sell"),(A260))))</formula>
    </cfRule>
  </conditionalFormatting>
  <conditionalFormatting sqref="A297">
    <cfRule type="containsText" dxfId="17" priority="40" operator="containsText" text="Sell">
      <formula>NOT(ISERROR(SEARCH(("Sell"),(A297))))</formula>
    </cfRule>
    <cfRule type="containsText" dxfId="16" priority="39" operator="containsText" text="Buy">
      <formula>NOT(ISERROR(SEARCH(("Buy"),(A297))))</formula>
    </cfRule>
  </conditionalFormatting>
  <conditionalFormatting sqref="A301">
    <cfRule type="containsText" dxfId="15" priority="38" operator="containsText" text="Sell">
      <formula>NOT(ISERROR(SEARCH(("Sell"),(A301))))</formula>
    </cfRule>
    <cfRule type="containsText" dxfId="14" priority="37" operator="containsText" text="Buy">
      <formula>NOT(ISERROR(SEARCH(("Buy"),(A301))))</formula>
    </cfRule>
  </conditionalFormatting>
  <conditionalFormatting sqref="A305">
    <cfRule type="containsText" dxfId="13" priority="36" operator="containsText" text="Sell">
      <formula>NOT(ISERROR(SEARCH(("Sell"),(A305))))</formula>
    </cfRule>
    <cfRule type="containsText" dxfId="12" priority="35" operator="containsText" text="Buy">
      <formula>NOT(ISERROR(SEARCH(("Buy"),(A305))))</formula>
    </cfRule>
  </conditionalFormatting>
  <conditionalFormatting sqref="A309">
    <cfRule type="containsText" dxfId="11" priority="83" operator="containsText" text="Buy">
      <formula>NOT(ISERROR(SEARCH(("Buy"),(A309))))</formula>
    </cfRule>
    <cfRule type="containsText" dxfId="10" priority="84" operator="containsText" text="Sell">
      <formula>NOT(ISERROR(SEARCH(("Sell"),(A309))))</formula>
    </cfRule>
  </conditionalFormatting>
  <conditionalFormatting sqref="A320">
    <cfRule type="containsText" dxfId="9" priority="97" operator="containsText" text="Buy">
      <formula>NOT(ISERROR(SEARCH(("Buy"),(A320))))</formula>
    </cfRule>
    <cfRule type="containsText" dxfId="8" priority="98" operator="containsText" text="Sell">
      <formula>NOT(ISERROR(SEARCH(("Sell"),(A320))))</formula>
    </cfRule>
  </conditionalFormatting>
  <conditionalFormatting sqref="A324">
    <cfRule type="containsText" dxfId="7" priority="100" operator="containsText" text="Sell">
      <formula>NOT(ISERROR(SEARCH(("Sell"),(A324))))</formula>
    </cfRule>
    <cfRule type="containsText" dxfId="6" priority="99" operator="containsText" text="Buy">
      <formula>NOT(ISERROR(SEARCH(("Buy"),(A324))))</formula>
    </cfRule>
  </conditionalFormatting>
  <conditionalFormatting sqref="A328">
    <cfRule type="containsText" dxfId="5" priority="103" operator="containsText" text="Buy">
      <formula>NOT(ISERROR(SEARCH(("Buy"),(A328))))</formula>
    </cfRule>
    <cfRule type="containsText" dxfId="4" priority="104" operator="containsText" text="Sell">
      <formula>NOT(ISERROR(SEARCH(("Sell"),(A328))))</formula>
    </cfRule>
  </conditionalFormatting>
  <conditionalFormatting sqref="A332">
    <cfRule type="containsText" dxfId="3" priority="107" operator="containsText" text="Buy">
      <formula>NOT(ISERROR(SEARCH(("Buy"),(A332))))</formula>
    </cfRule>
    <cfRule type="containsText" dxfId="2" priority="108" operator="containsText" text="Sell">
      <formula>NOT(ISERROR(SEARCH(("Sell"),(A332))))</formula>
    </cfRule>
  </conditionalFormatting>
  <conditionalFormatting sqref="A334:A1969">
    <cfRule type="containsText" dxfId="1" priority="95" operator="containsText" text="Buy">
      <formula>NOT(ISERROR(SEARCH(("Buy"),(A334))))</formula>
    </cfRule>
    <cfRule type="containsText" dxfId="0" priority="96" operator="containsText" text="Sell">
      <formula>NOT(ISERROR(SEARCH(("Sell"),(A334))))</formula>
    </cfRule>
  </conditionalFormatting>
  <pageMargins left="0.7" right="0.7" top="0.75" bottom="0.75" header="0.3" footer="0.3"/>
  <pageSetup orientation="portrait" horizontalDpi="1200" verticalDpi="1200" r:id="rId1"/>
  <ignoredErrors>
    <ignoredError sqref="J703 J770 I777 J936 I938" formula="1"/>
  </ignoredError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B1064"/>
  <sheetViews>
    <sheetView workbookViewId="0">
      <pane ySplit="3" topLeftCell="A335" activePane="bottomLeft" state="frozen"/>
      <selection pane="bottomLeft" activeCell="K361" sqref="K361"/>
    </sheetView>
  </sheetViews>
  <sheetFormatPr defaultColWidth="14.28515625" defaultRowHeight="15" customHeight="1"/>
  <cols>
    <col min="1" max="1" width="24.28515625" customWidth="1"/>
    <col min="2" max="2" width="17.28515625" customWidth="1"/>
    <col min="3" max="3" width="13.7109375" customWidth="1"/>
    <col min="4" max="4" width="16.7109375" customWidth="1"/>
    <col min="5" max="5" width="13.28515625" customWidth="1"/>
    <col min="6" max="6" width="13.7109375" customWidth="1"/>
    <col min="7" max="7" width="12.7109375" customWidth="1"/>
    <col min="8" max="8" width="18.7109375" customWidth="1"/>
    <col min="9" max="9" width="22.7109375" bestFit="1" customWidth="1"/>
    <col min="10" max="10" width="25.7109375" bestFit="1" customWidth="1"/>
    <col min="11" max="11" width="25.42578125" bestFit="1" customWidth="1"/>
    <col min="12" max="12" width="16.28515625" customWidth="1"/>
    <col min="13" max="13" width="13.28515625" customWidth="1"/>
    <col min="14" max="14" width="8.28515625" customWidth="1"/>
    <col min="15" max="15" width="13" customWidth="1"/>
    <col min="16" max="16" width="13.28515625" customWidth="1"/>
    <col min="17" max="17" width="20.28515625" customWidth="1"/>
    <col min="18" max="19" width="21.7109375" customWidth="1"/>
    <col min="20" max="20" width="21.28515625" customWidth="1"/>
    <col min="21" max="21" width="23.7109375" customWidth="1"/>
    <col min="22" max="22" width="20.28515625" customWidth="1"/>
    <col min="23" max="23" width="24.28515625" customWidth="1"/>
    <col min="24" max="28" width="9.28515625" customWidth="1"/>
  </cols>
  <sheetData>
    <row r="1" spans="1:28" ht="12.75" customHeight="1">
      <c r="A1" s="164"/>
      <c r="B1" s="1428"/>
      <c r="C1" s="165" t="s">
        <v>1124</v>
      </c>
      <c r="D1" s="166"/>
      <c r="E1" s="1429"/>
      <c r="F1" s="167"/>
      <c r="G1" s="1430"/>
      <c r="H1" s="168"/>
      <c r="I1" s="1431" t="s">
        <v>1125</v>
      </c>
      <c r="J1" s="169"/>
      <c r="K1" s="169" t="s">
        <v>1126</v>
      </c>
      <c r="L1" s="1432" t="s">
        <v>1127</v>
      </c>
      <c r="M1" s="170" t="s">
        <v>67</v>
      </c>
      <c r="N1" s="1433" t="s">
        <v>67</v>
      </c>
      <c r="O1" s="1434"/>
      <c r="P1" s="1434"/>
      <c r="Q1" s="1434"/>
      <c r="R1" s="1434"/>
      <c r="S1" s="1434"/>
      <c r="T1" s="1434"/>
      <c r="U1" s="1434"/>
      <c r="V1" s="1434"/>
      <c r="W1" s="1434"/>
      <c r="X1" s="1435"/>
      <c r="Y1" s="1435"/>
      <c r="Z1" s="1435"/>
      <c r="AA1" s="1435"/>
      <c r="AB1" s="1435"/>
    </row>
    <row r="2" spans="1:28" ht="12.75" customHeight="1">
      <c r="A2" s="173"/>
      <c r="B2" s="1428" t="s">
        <v>1128</v>
      </c>
      <c r="C2" s="165" t="s">
        <v>1129</v>
      </c>
      <c r="D2" s="166" t="s">
        <v>1130</v>
      </c>
      <c r="E2" s="1429"/>
      <c r="F2" s="167"/>
      <c r="G2" s="1430"/>
      <c r="H2" s="168" t="s">
        <v>1125</v>
      </c>
      <c r="I2" s="1431" t="s">
        <v>1131</v>
      </c>
      <c r="J2" s="169" t="s">
        <v>1132</v>
      </c>
      <c r="K2" s="171" t="s">
        <v>1131</v>
      </c>
      <c r="L2" s="1429" t="s">
        <v>1133</v>
      </c>
      <c r="M2" s="171" t="s">
        <v>1133</v>
      </c>
      <c r="N2" s="1429" t="s">
        <v>1134</v>
      </c>
      <c r="O2" s="2072" t="s">
        <v>1135</v>
      </c>
      <c r="P2" s="1985"/>
      <c r="Q2" s="174"/>
      <c r="R2" s="1434"/>
      <c r="S2" s="1434"/>
      <c r="T2" s="1434"/>
      <c r="U2" s="1434"/>
      <c r="V2" s="1434"/>
      <c r="W2" s="1434"/>
      <c r="X2" s="1435"/>
      <c r="Y2" s="1435"/>
      <c r="Z2" s="1435"/>
      <c r="AA2" s="1435"/>
      <c r="AB2" s="1435"/>
    </row>
    <row r="3" spans="1:28" ht="12.75" customHeight="1">
      <c r="A3" s="175" t="s">
        <v>1136</v>
      </c>
      <c r="B3" s="1428" t="s">
        <v>1137</v>
      </c>
      <c r="C3" s="165" t="s">
        <v>1138</v>
      </c>
      <c r="D3" s="166" t="s">
        <v>1137</v>
      </c>
      <c r="E3" s="1429" t="s">
        <v>9</v>
      </c>
      <c r="F3" s="176" t="s">
        <v>1139</v>
      </c>
      <c r="G3" s="1436"/>
      <c r="H3" s="168" t="s">
        <v>15</v>
      </c>
      <c r="I3" s="177" t="s">
        <v>15</v>
      </c>
      <c r="J3" s="169" t="s">
        <v>15</v>
      </c>
      <c r="K3" s="171" t="s">
        <v>15</v>
      </c>
      <c r="L3" s="1429" t="s">
        <v>15</v>
      </c>
      <c r="M3" s="171" t="s">
        <v>4</v>
      </c>
      <c r="N3" s="1429" t="s">
        <v>1140</v>
      </c>
      <c r="O3" s="1437" t="s">
        <v>1125</v>
      </c>
      <c r="P3" s="1437" t="s">
        <v>1126</v>
      </c>
      <c r="Q3" s="172"/>
      <c r="R3" s="1438"/>
      <c r="S3" s="1438"/>
      <c r="T3" s="1434"/>
      <c r="U3" s="1434"/>
      <c r="V3" s="1434"/>
      <c r="W3" s="1434"/>
      <c r="X3" s="1435"/>
      <c r="Y3" s="1435"/>
      <c r="Z3" s="1435"/>
      <c r="AA3" s="1435"/>
      <c r="AB3" s="1435"/>
    </row>
    <row r="4" spans="1:28" ht="12.75" customHeight="1">
      <c r="A4" s="178">
        <v>34700</v>
      </c>
      <c r="B4" s="179">
        <v>0</v>
      </c>
      <c r="C4" s="180">
        <v>15000</v>
      </c>
      <c r="D4" s="181">
        <v>15000</v>
      </c>
      <c r="E4" s="182">
        <v>3000</v>
      </c>
      <c r="F4" s="183">
        <f t="shared" ref="F4:F67" si="0">D4/E4</f>
        <v>5</v>
      </c>
      <c r="G4" s="184"/>
      <c r="H4" s="185"/>
      <c r="I4" s="186"/>
      <c r="J4" s="187"/>
      <c r="K4" s="187"/>
      <c r="L4" s="188"/>
      <c r="M4" s="187"/>
      <c r="N4" s="188"/>
      <c r="O4" s="191"/>
      <c r="P4" s="191"/>
      <c r="Q4" s="190"/>
      <c r="R4" s="191"/>
      <c r="S4" s="191"/>
      <c r="T4" s="191"/>
      <c r="U4" s="191"/>
      <c r="V4" s="191"/>
      <c r="W4" s="191"/>
      <c r="X4" s="5"/>
      <c r="Y4" s="5"/>
      <c r="Z4" s="5"/>
      <c r="AA4" s="5"/>
      <c r="AB4" s="5"/>
    </row>
    <row r="5" spans="1:28" ht="12.75" customHeight="1">
      <c r="A5" s="178">
        <v>34731</v>
      </c>
      <c r="B5" s="192">
        <f>D4</f>
        <v>15000</v>
      </c>
      <c r="C5" s="180"/>
      <c r="D5" s="192">
        <v>15000</v>
      </c>
      <c r="E5" s="193">
        <f t="shared" ref="E5:E68" si="1">E4+C5/F4</f>
        <v>3000</v>
      </c>
      <c r="F5" s="183">
        <f t="shared" si="0"/>
        <v>5</v>
      </c>
      <c r="G5" s="184"/>
      <c r="H5" s="185">
        <f t="shared" ref="H5:H243" si="2">(F5-F4)/F4</f>
        <v>0</v>
      </c>
      <c r="I5" s="193"/>
      <c r="J5" s="216">
        <v>3.8800000000000001E-2</v>
      </c>
      <c r="K5" s="216"/>
      <c r="L5" s="216"/>
      <c r="M5" s="185">
        <f t="shared" ref="M5:M207" si="3">J5</f>
        <v>3.8800000000000001E-2</v>
      </c>
      <c r="N5" s="216"/>
      <c r="O5" s="195">
        <v>10000</v>
      </c>
      <c r="P5" s="195">
        <v>10000</v>
      </c>
      <c r="Q5" s="187"/>
      <c r="R5" s="194"/>
      <c r="S5" s="194"/>
      <c r="T5" s="194"/>
      <c r="U5" s="194"/>
      <c r="V5" s="194"/>
      <c r="W5" s="194"/>
      <c r="X5" s="5"/>
      <c r="Y5" s="5"/>
      <c r="Z5" s="5"/>
      <c r="AA5" s="5"/>
      <c r="AB5" s="5"/>
    </row>
    <row r="6" spans="1:28" ht="12.75" customHeight="1">
      <c r="A6" s="178">
        <v>34759</v>
      </c>
      <c r="B6" s="192">
        <f>D5</f>
        <v>15000</v>
      </c>
      <c r="C6" s="196"/>
      <c r="D6" s="192">
        <v>15115</v>
      </c>
      <c r="E6" s="193">
        <f t="shared" si="1"/>
        <v>3000</v>
      </c>
      <c r="F6" s="184">
        <f t="shared" si="0"/>
        <v>5.0383333333333331</v>
      </c>
      <c r="G6" s="184"/>
      <c r="H6" s="216">
        <f t="shared" si="2"/>
        <v>7.666666666666622E-3</v>
      </c>
      <c r="I6" s="193"/>
      <c r="J6" s="216">
        <v>2.9600000000000001E-2</v>
      </c>
      <c r="K6" s="216"/>
      <c r="L6" s="216"/>
      <c r="M6" s="216">
        <f t="shared" si="3"/>
        <v>2.9600000000000001E-2</v>
      </c>
      <c r="N6" s="216"/>
      <c r="O6" s="195">
        <f t="shared" ref="O6:O69" si="4">O5*(1+H6)</f>
        <v>10076.666666666668</v>
      </c>
      <c r="P6" s="195">
        <f t="shared" ref="P6:P69" si="5">P5*(1+M6)</f>
        <v>10296</v>
      </c>
      <c r="Q6" s="194"/>
      <c r="R6" s="194"/>
      <c r="S6" s="194"/>
      <c r="T6" s="194"/>
      <c r="U6" s="194"/>
      <c r="V6" s="194"/>
      <c r="W6" s="194"/>
      <c r="X6" s="5"/>
      <c r="Y6" s="5"/>
      <c r="Z6" s="5"/>
      <c r="AA6" s="5"/>
      <c r="AB6" s="5"/>
    </row>
    <row r="7" spans="1:28" ht="12.75" customHeight="1">
      <c r="A7" s="178">
        <v>34790</v>
      </c>
      <c r="B7" s="192">
        <f>D6</f>
        <v>15115</v>
      </c>
      <c r="C7" s="196"/>
      <c r="D7" s="192">
        <v>15023.68</v>
      </c>
      <c r="E7" s="193">
        <f t="shared" si="1"/>
        <v>3000</v>
      </c>
      <c r="F7" s="184">
        <f t="shared" si="0"/>
        <v>5.0078933333333335</v>
      </c>
      <c r="G7" s="184"/>
      <c r="H7" s="216">
        <f t="shared" si="2"/>
        <v>-6.0416804498841375E-3</v>
      </c>
      <c r="I7" s="193"/>
      <c r="J7" s="216">
        <v>2.9100000000000001E-2</v>
      </c>
      <c r="K7" s="216"/>
      <c r="L7" s="216"/>
      <c r="M7" s="216">
        <f t="shared" si="3"/>
        <v>2.9100000000000001E-2</v>
      </c>
      <c r="N7" s="216"/>
      <c r="O7" s="195">
        <f t="shared" si="4"/>
        <v>10015.786666666669</v>
      </c>
      <c r="P7" s="195">
        <f t="shared" si="5"/>
        <v>10595.613599999999</v>
      </c>
      <c r="Q7" s="194"/>
      <c r="R7" s="194"/>
      <c r="S7" s="194"/>
      <c r="T7" s="194"/>
      <c r="U7" s="194"/>
      <c r="V7" s="194"/>
      <c r="W7" s="194"/>
      <c r="X7" s="5"/>
      <c r="Y7" s="5"/>
      <c r="Z7" s="5"/>
      <c r="AA7" s="5"/>
      <c r="AB7" s="5"/>
    </row>
    <row r="8" spans="1:28" ht="12.75" customHeight="1">
      <c r="A8" s="178">
        <v>34820</v>
      </c>
      <c r="B8" s="192">
        <v>15023.68</v>
      </c>
      <c r="C8" s="196"/>
      <c r="D8" s="192">
        <v>15699.78</v>
      </c>
      <c r="E8" s="193">
        <f t="shared" si="1"/>
        <v>3000</v>
      </c>
      <c r="F8" s="184">
        <f t="shared" si="0"/>
        <v>5.2332600000000005</v>
      </c>
      <c r="G8" s="184"/>
      <c r="H8" s="216">
        <f t="shared" si="2"/>
        <v>4.5002289718630906E-2</v>
      </c>
      <c r="I8" s="193"/>
      <c r="J8" s="216">
        <v>3.95E-2</v>
      </c>
      <c r="K8" s="216"/>
      <c r="L8" s="216"/>
      <c r="M8" s="216">
        <f t="shared" si="3"/>
        <v>3.95E-2</v>
      </c>
      <c r="N8" s="216"/>
      <c r="O8" s="195">
        <f t="shared" si="4"/>
        <v>10466.520000000002</v>
      </c>
      <c r="P8" s="195">
        <f t="shared" si="5"/>
        <v>11014.1403372</v>
      </c>
      <c r="Q8" s="194"/>
      <c r="R8" s="194"/>
      <c r="S8" s="194"/>
      <c r="T8" s="194"/>
      <c r="U8" s="194"/>
      <c r="V8" s="194"/>
      <c r="W8" s="194"/>
      <c r="X8" s="5"/>
      <c r="Y8" s="5"/>
      <c r="Z8" s="5"/>
      <c r="AA8" s="5"/>
      <c r="AB8" s="5"/>
    </row>
    <row r="9" spans="1:28" ht="12.75" customHeight="1">
      <c r="A9" s="178">
        <v>34851</v>
      </c>
      <c r="B9" s="192">
        <f t="shared" ref="B9:B121" si="6">D8</f>
        <v>15699.78</v>
      </c>
      <c r="C9" s="196"/>
      <c r="D9" s="192">
        <v>16317.09</v>
      </c>
      <c r="E9" s="193">
        <f t="shared" si="1"/>
        <v>3000</v>
      </c>
      <c r="F9" s="184">
        <f t="shared" si="0"/>
        <v>5.4390299999999998</v>
      </c>
      <c r="G9" s="184"/>
      <c r="H9" s="216">
        <f t="shared" si="2"/>
        <v>3.9319659256371618E-2</v>
      </c>
      <c r="I9" s="193"/>
      <c r="J9" s="216">
        <v>2.35E-2</v>
      </c>
      <c r="K9" s="216"/>
      <c r="L9" s="216"/>
      <c r="M9" s="216">
        <f t="shared" si="3"/>
        <v>2.35E-2</v>
      </c>
      <c r="N9" s="216"/>
      <c r="O9" s="195">
        <f t="shared" si="4"/>
        <v>10878.060000000001</v>
      </c>
      <c r="P9" s="195">
        <f t="shared" si="5"/>
        <v>11272.972635124201</v>
      </c>
      <c r="Q9" s="194"/>
      <c r="R9" s="194"/>
      <c r="S9" s="194"/>
      <c r="T9" s="194"/>
      <c r="U9" s="194"/>
      <c r="V9" s="194"/>
      <c r="W9" s="194"/>
      <c r="X9" s="5"/>
      <c r="Y9" s="5"/>
      <c r="Z9" s="5"/>
      <c r="AA9" s="5"/>
      <c r="AB9" s="5"/>
    </row>
    <row r="10" spans="1:28" ht="12.75" customHeight="1">
      <c r="A10" s="178">
        <v>34881</v>
      </c>
      <c r="B10" s="192">
        <f t="shared" si="6"/>
        <v>16317.09</v>
      </c>
      <c r="C10" s="196"/>
      <c r="D10" s="192">
        <v>17552.29</v>
      </c>
      <c r="E10" s="193">
        <f t="shared" si="1"/>
        <v>3000</v>
      </c>
      <c r="F10" s="184">
        <f t="shared" si="0"/>
        <v>5.850763333333334</v>
      </c>
      <c r="G10" s="184"/>
      <c r="H10" s="216">
        <f t="shared" si="2"/>
        <v>7.5699772447170577E-2</v>
      </c>
      <c r="I10" s="193"/>
      <c r="J10" s="216">
        <v>3.3300000000000003E-2</v>
      </c>
      <c r="K10" s="216"/>
      <c r="L10" s="216"/>
      <c r="M10" s="216">
        <f t="shared" si="3"/>
        <v>3.3300000000000003E-2</v>
      </c>
      <c r="N10" s="216"/>
      <c r="O10" s="195">
        <f t="shared" si="4"/>
        <v>11701.52666666667</v>
      </c>
      <c r="P10" s="195">
        <f t="shared" si="5"/>
        <v>11648.362623873838</v>
      </c>
      <c r="Q10" s="194"/>
      <c r="R10" s="194"/>
      <c r="S10" s="194"/>
      <c r="T10" s="194"/>
      <c r="U10" s="194"/>
      <c r="V10" s="194"/>
      <c r="W10" s="194"/>
      <c r="X10" s="5"/>
      <c r="Y10" s="5"/>
      <c r="Z10" s="5"/>
      <c r="AA10" s="5"/>
      <c r="AB10" s="5"/>
    </row>
    <row r="11" spans="1:28" ht="12.75" customHeight="1">
      <c r="A11" s="178">
        <v>34912</v>
      </c>
      <c r="B11" s="192">
        <f t="shared" si="6"/>
        <v>17552.29</v>
      </c>
      <c r="C11" s="196"/>
      <c r="D11" s="192">
        <v>17891.29</v>
      </c>
      <c r="E11" s="193">
        <f t="shared" si="1"/>
        <v>3000</v>
      </c>
      <c r="F11" s="184">
        <f t="shared" si="0"/>
        <v>5.9637633333333335</v>
      </c>
      <c r="G11" s="184"/>
      <c r="H11" s="216">
        <f t="shared" si="2"/>
        <v>1.9313719178523064E-2</v>
      </c>
      <c r="I11" s="193"/>
      <c r="J11" s="216">
        <v>2.7000000000000001E-3</v>
      </c>
      <c r="K11" s="216"/>
      <c r="L11" s="216"/>
      <c r="M11" s="216">
        <f t="shared" si="3"/>
        <v>2.7000000000000001E-3</v>
      </c>
      <c r="N11" s="216"/>
      <c r="O11" s="195">
        <f t="shared" si="4"/>
        <v>11927.52666666667</v>
      </c>
      <c r="P11" s="195">
        <f t="shared" si="5"/>
        <v>11679.813202958296</v>
      </c>
      <c r="Q11" s="216"/>
      <c r="R11" s="194"/>
      <c r="S11" s="194"/>
      <c r="T11" s="194"/>
      <c r="U11" s="194"/>
      <c r="V11" s="194"/>
      <c r="W11" s="194"/>
      <c r="X11" s="5"/>
      <c r="Y11" s="5"/>
      <c r="Z11" s="5"/>
      <c r="AA11" s="5"/>
      <c r="AB11" s="5"/>
    </row>
    <row r="12" spans="1:28" ht="12.75" customHeight="1">
      <c r="A12" s="178">
        <v>34943</v>
      </c>
      <c r="B12" s="192">
        <f t="shared" si="6"/>
        <v>17891.29</v>
      </c>
      <c r="C12" s="196"/>
      <c r="D12" s="192">
        <v>18877.36</v>
      </c>
      <c r="E12" s="193">
        <f t="shared" si="1"/>
        <v>3000</v>
      </c>
      <c r="F12" s="184">
        <f t="shared" si="0"/>
        <v>6.2924533333333335</v>
      </c>
      <c r="G12" s="184"/>
      <c r="H12" s="216">
        <f t="shared" si="2"/>
        <v>5.5114527795368573E-2</v>
      </c>
      <c r="I12" s="193"/>
      <c r="J12" s="216">
        <v>4.19E-2</v>
      </c>
      <c r="K12" s="216"/>
      <c r="L12" s="216"/>
      <c r="M12" s="216">
        <f t="shared" si="3"/>
        <v>4.19E-2</v>
      </c>
      <c r="N12" s="216"/>
      <c r="O12" s="195">
        <f t="shared" si="4"/>
        <v>12584.906666666671</v>
      </c>
      <c r="P12" s="195">
        <f t="shared" si="5"/>
        <v>12169.197376162248</v>
      </c>
      <c r="Q12" s="216"/>
      <c r="R12" s="194"/>
      <c r="S12" s="194"/>
      <c r="T12" s="194"/>
      <c r="U12" s="194"/>
      <c r="V12" s="194"/>
      <c r="W12" s="194"/>
      <c r="X12" s="5"/>
      <c r="Y12" s="5"/>
      <c r="Z12" s="5"/>
      <c r="AA12" s="5"/>
      <c r="AB12" s="5"/>
    </row>
    <row r="13" spans="1:28" ht="12.75" customHeight="1">
      <c r="A13" s="178">
        <v>34973</v>
      </c>
      <c r="B13" s="192">
        <f t="shared" si="6"/>
        <v>18877.36</v>
      </c>
      <c r="C13" s="196"/>
      <c r="D13" s="192">
        <v>18392.53</v>
      </c>
      <c r="E13" s="193">
        <f t="shared" si="1"/>
        <v>3000</v>
      </c>
      <c r="F13" s="184">
        <f t="shared" si="0"/>
        <v>6.130843333333333</v>
      </c>
      <c r="G13" s="184"/>
      <c r="H13" s="216">
        <f t="shared" si="2"/>
        <v>-2.5683146372162284E-2</v>
      </c>
      <c r="I13" s="193"/>
      <c r="J13" s="216">
        <v>-3.5000000000000001E-3</v>
      </c>
      <c r="K13" s="216"/>
      <c r="L13" s="216"/>
      <c r="M13" s="216">
        <f t="shared" si="3"/>
        <v>-3.5000000000000001E-3</v>
      </c>
      <c r="N13" s="216"/>
      <c r="O13" s="195">
        <f t="shared" si="4"/>
        <v>12261.68666666667</v>
      </c>
      <c r="P13" s="195">
        <f t="shared" si="5"/>
        <v>12126.605185345681</v>
      </c>
      <c r="Q13" s="216"/>
      <c r="R13" s="194"/>
      <c r="S13" s="194"/>
      <c r="T13" s="194"/>
      <c r="U13" s="194"/>
      <c r="V13" s="194"/>
      <c r="W13" s="194"/>
      <c r="X13" s="5"/>
      <c r="Y13" s="5"/>
      <c r="Z13" s="5"/>
      <c r="AA13" s="5"/>
      <c r="AB13" s="5"/>
    </row>
    <row r="14" spans="1:28" ht="12.75" customHeight="1">
      <c r="A14" s="178">
        <v>35004</v>
      </c>
      <c r="B14" s="192">
        <f t="shared" si="6"/>
        <v>18392.53</v>
      </c>
      <c r="C14" s="196"/>
      <c r="D14" s="192">
        <f>17194.66+(28.43*81.699)</f>
        <v>19517.362570000001</v>
      </c>
      <c r="E14" s="193">
        <f t="shared" si="1"/>
        <v>3000</v>
      </c>
      <c r="F14" s="184">
        <f t="shared" si="0"/>
        <v>6.5057875233333338</v>
      </c>
      <c r="G14" s="184"/>
      <c r="H14" s="216">
        <f t="shared" si="2"/>
        <v>6.1157033317330592E-2</v>
      </c>
      <c r="I14" s="193"/>
      <c r="J14" s="216">
        <v>4.3999999999999997E-2</v>
      </c>
      <c r="K14" s="216"/>
      <c r="L14" s="216"/>
      <c r="M14" s="216">
        <f t="shared" si="3"/>
        <v>4.3999999999999997E-2</v>
      </c>
      <c r="N14" s="216"/>
      <c r="O14" s="195">
        <f t="shared" si="4"/>
        <v>13011.575046666672</v>
      </c>
      <c r="P14" s="195">
        <f t="shared" si="5"/>
        <v>12660.175813500891</v>
      </c>
      <c r="Q14" s="216"/>
      <c r="R14" s="194"/>
      <c r="S14" s="194"/>
      <c r="T14" s="194"/>
      <c r="U14" s="194"/>
      <c r="V14" s="194"/>
      <c r="W14" s="194"/>
      <c r="X14" s="5"/>
      <c r="Y14" s="5"/>
      <c r="Z14" s="5"/>
      <c r="AA14" s="5"/>
      <c r="AB14" s="5"/>
    </row>
    <row r="15" spans="1:28" ht="12.75" customHeight="1">
      <c r="A15" s="1439">
        <v>35034</v>
      </c>
      <c r="B15" s="1440">
        <f t="shared" si="6"/>
        <v>19517.362570000001</v>
      </c>
      <c r="C15" s="1441"/>
      <c r="D15" s="1440">
        <f>17943.21+(28.4*85.526)</f>
        <v>20372.148399999998</v>
      </c>
      <c r="E15" s="1442">
        <f t="shared" si="1"/>
        <v>3000</v>
      </c>
      <c r="F15" s="1443">
        <f t="shared" si="0"/>
        <v>6.7907161333333326</v>
      </c>
      <c r="G15" s="1443"/>
      <c r="H15" s="1444">
        <f t="shared" si="2"/>
        <v>4.3796175171428212E-2</v>
      </c>
      <c r="I15" s="481">
        <f t="shared" ref="I15:I78" si="7">((1+H4)*(1+H5)*(1+H6)*(1+H7)*(1+H8)*(1+H9)*(1+H10)*(1+H11)*(1+H12)*(1+H13)*(1+H14)*(1+H15))-1</f>
        <v>0.35814322666666665</v>
      </c>
      <c r="J15" s="1445">
        <v>1.8499999999999999E-2</v>
      </c>
      <c r="K15" s="481">
        <f t="shared" ref="K15:K78" si="8">((1+J4)*(1+J5)*(1+J6)*(1+J7)*(1+J8)*(1+J9)*(1+J10)*(1+J11)*(1+J12)*(1+J13)*(1+J14)*(1+J15))-1</f>
        <v>0.33946913618134267</v>
      </c>
      <c r="L15" s="1444"/>
      <c r="M15" s="1446">
        <f t="shared" si="3"/>
        <v>1.8499999999999999E-2</v>
      </c>
      <c r="N15" s="1444"/>
      <c r="O15" s="1447">
        <f t="shared" si="4"/>
        <v>13581.43226666667</v>
      </c>
      <c r="P15" s="1448">
        <f t="shared" si="5"/>
        <v>12894.389066050657</v>
      </c>
      <c r="Q15" s="1444"/>
      <c r="R15" s="1438"/>
      <c r="S15" s="1438"/>
      <c r="T15" s="1438"/>
      <c r="U15" s="1438"/>
      <c r="V15" s="1438"/>
      <c r="W15" s="1438"/>
      <c r="X15" s="1435"/>
      <c r="Y15" s="1435"/>
      <c r="Z15" s="1435"/>
      <c r="AA15" s="1435"/>
      <c r="AB15" s="1435"/>
    </row>
    <row r="16" spans="1:28" ht="12.75" customHeight="1">
      <c r="A16" s="178">
        <v>35065</v>
      </c>
      <c r="B16" s="192">
        <f t="shared" si="6"/>
        <v>20372.148399999998</v>
      </c>
      <c r="C16" s="196"/>
      <c r="D16" s="192">
        <f>17854.77+(29.33*85.526)</f>
        <v>20363.247579999999</v>
      </c>
      <c r="E16" s="193">
        <f t="shared" si="1"/>
        <v>3000</v>
      </c>
      <c r="F16" s="184">
        <f t="shared" si="0"/>
        <v>6.7877491933333332</v>
      </c>
      <c r="G16" s="184"/>
      <c r="H16" s="216">
        <f t="shared" si="2"/>
        <v>-4.3691120961980898E-4</v>
      </c>
      <c r="I16" s="216">
        <f t="shared" si="7"/>
        <v>0.35754983866666668</v>
      </c>
      <c r="J16" s="216">
        <v>3.44E-2</v>
      </c>
      <c r="K16" s="216">
        <f t="shared" si="8"/>
        <v>0.3855468744659809</v>
      </c>
      <c r="L16" s="216"/>
      <c r="M16" s="216">
        <f t="shared" si="3"/>
        <v>3.44E-2</v>
      </c>
      <c r="N16" s="216"/>
      <c r="O16" s="195">
        <f t="shared" si="4"/>
        <v>13575.498386666672</v>
      </c>
      <c r="P16" s="195">
        <f t="shared" si="5"/>
        <v>13337.956049922799</v>
      </c>
      <c r="Q16" s="216"/>
      <c r="R16" s="216"/>
      <c r="S16" s="216"/>
      <c r="T16" s="194"/>
      <c r="U16" s="194"/>
      <c r="V16" s="194"/>
      <c r="W16" s="194"/>
      <c r="X16" s="5"/>
      <c r="Y16" s="5"/>
      <c r="Z16" s="5"/>
      <c r="AA16" s="5"/>
      <c r="AB16" s="5"/>
    </row>
    <row r="17" spans="1:28" ht="12.75" customHeight="1">
      <c r="A17" s="178">
        <v>35096</v>
      </c>
      <c r="B17" s="192">
        <f t="shared" si="6"/>
        <v>20363.247579999999</v>
      </c>
      <c r="C17" s="196"/>
      <c r="D17" s="192">
        <f>19311.76+(30.5*85.526)</f>
        <v>21920.303</v>
      </c>
      <c r="E17" s="193">
        <f t="shared" si="1"/>
        <v>3000</v>
      </c>
      <c r="F17" s="184">
        <f t="shared" si="0"/>
        <v>7.3067676666666665</v>
      </c>
      <c r="G17" s="184"/>
      <c r="H17" s="216">
        <f t="shared" si="2"/>
        <v>7.6464002801266348E-2</v>
      </c>
      <c r="I17" s="216">
        <f t="shared" si="7"/>
        <v>0.4613535333333334</v>
      </c>
      <c r="J17" s="216">
        <v>9.5999999999999992E-3</v>
      </c>
      <c r="K17" s="216">
        <f t="shared" si="8"/>
        <v>0.34660004280020607</v>
      </c>
      <c r="L17" s="216"/>
      <c r="M17" s="216">
        <f t="shared" si="3"/>
        <v>9.5999999999999992E-3</v>
      </c>
      <c r="N17" s="216"/>
      <c r="O17" s="195">
        <f t="shared" si="4"/>
        <v>14613.535333333341</v>
      </c>
      <c r="P17" s="195">
        <f t="shared" si="5"/>
        <v>13466.000428002058</v>
      </c>
      <c r="Q17" s="216"/>
      <c r="R17" s="216"/>
      <c r="S17" s="216"/>
      <c r="T17" s="194"/>
      <c r="U17" s="194"/>
      <c r="V17" s="194"/>
      <c r="W17" s="194"/>
      <c r="X17" s="5"/>
      <c r="Y17" s="5"/>
      <c r="Z17" s="5"/>
      <c r="AA17" s="5"/>
      <c r="AB17" s="5"/>
    </row>
    <row r="18" spans="1:28" ht="12.75" customHeight="1">
      <c r="A18" s="178">
        <v>35125</v>
      </c>
      <c r="B18" s="192">
        <f t="shared" si="6"/>
        <v>21920.303</v>
      </c>
      <c r="C18" s="196">
        <v>5343.69</v>
      </c>
      <c r="D18" s="192">
        <f>26099.24+(31.55*85.526)</f>
        <v>28797.585300000002</v>
      </c>
      <c r="E18" s="193">
        <f t="shared" si="1"/>
        <v>3731.334325077532</v>
      </c>
      <c r="F18" s="184">
        <f t="shared" si="0"/>
        <v>7.7177713898369662</v>
      </c>
      <c r="G18" s="184"/>
      <c r="H18" s="216">
        <f t="shared" si="2"/>
        <v>5.6249732018343858E-2</v>
      </c>
      <c r="I18" s="216">
        <f t="shared" si="7"/>
        <v>0.53181039824749621</v>
      </c>
      <c r="J18" s="216">
        <v>9.5999999999999992E-3</v>
      </c>
      <c r="K18" s="216">
        <f t="shared" si="8"/>
        <v>0.3204423108110801</v>
      </c>
      <c r="L18" s="216"/>
      <c r="M18" s="216">
        <f t="shared" si="3"/>
        <v>9.5999999999999992E-3</v>
      </c>
      <c r="N18" s="216"/>
      <c r="O18" s="195">
        <f t="shared" si="4"/>
        <v>15435.54277967394</v>
      </c>
      <c r="P18" s="195">
        <f t="shared" si="5"/>
        <v>13595.274032110879</v>
      </c>
      <c r="Q18" s="216"/>
      <c r="R18" s="216"/>
      <c r="S18" s="216"/>
      <c r="T18" s="194"/>
      <c r="U18" s="194"/>
      <c r="V18" s="194"/>
      <c r="W18" s="194"/>
      <c r="X18" s="5"/>
      <c r="Y18" s="5"/>
      <c r="Z18" s="5"/>
      <c r="AA18" s="5"/>
      <c r="AB18" s="5"/>
    </row>
    <row r="19" spans="1:28" ht="12.75" customHeight="1">
      <c r="A19" s="178">
        <v>35156</v>
      </c>
      <c r="B19" s="192">
        <f t="shared" si="6"/>
        <v>28797.585300000002</v>
      </c>
      <c r="C19" s="196">
        <f>3950+4900+652.5</f>
        <v>9502.5</v>
      </c>
      <c r="D19" s="192">
        <f>37228.26+(32.36*85.526)</f>
        <v>39995.881359999999</v>
      </c>
      <c r="E19" s="193">
        <f t="shared" si="1"/>
        <v>4962.5835445754337</v>
      </c>
      <c r="F19" s="184">
        <f t="shared" si="0"/>
        <v>8.0594877649403447</v>
      </c>
      <c r="G19" s="184"/>
      <c r="H19" s="216">
        <f t="shared" si="2"/>
        <v>4.427656091930407E-2</v>
      </c>
      <c r="I19" s="216">
        <f t="shared" si="7"/>
        <v>0.60935691487179144</v>
      </c>
      <c r="J19" s="216">
        <v>1.47E-2</v>
      </c>
      <c r="K19" s="216">
        <f t="shared" si="8"/>
        <v>0.30196561342921302</v>
      </c>
      <c r="L19" s="216"/>
      <c r="M19" s="216">
        <f t="shared" si="3"/>
        <v>1.47E-2</v>
      </c>
      <c r="N19" s="216"/>
      <c r="O19" s="195">
        <f t="shared" si="4"/>
        <v>16118.975529880698</v>
      </c>
      <c r="P19" s="195">
        <f t="shared" si="5"/>
        <v>13795.124560382908</v>
      </c>
      <c r="Q19" s="216"/>
      <c r="R19" s="216"/>
      <c r="S19" s="216"/>
      <c r="T19" s="194"/>
      <c r="U19" s="194"/>
      <c r="V19" s="194"/>
      <c r="W19" s="194"/>
      <c r="X19" s="5"/>
      <c r="Y19" s="5"/>
      <c r="Z19" s="5"/>
      <c r="AA19" s="5"/>
      <c r="AB19" s="5"/>
    </row>
    <row r="20" spans="1:28" ht="12.75" customHeight="1">
      <c r="A20" s="178">
        <v>35186</v>
      </c>
      <c r="B20" s="192">
        <f t="shared" si="6"/>
        <v>39995.881359999999</v>
      </c>
      <c r="C20" s="196"/>
      <c r="D20" s="192">
        <f>41678.6+(33.39*85.526)</f>
        <v>44534.313139999998</v>
      </c>
      <c r="E20" s="193">
        <f t="shared" si="1"/>
        <v>4962.5835445754337</v>
      </c>
      <c r="F20" s="184">
        <f t="shared" si="0"/>
        <v>8.9740178155146939</v>
      </c>
      <c r="G20" s="184"/>
      <c r="H20" s="216">
        <f t="shared" si="2"/>
        <v>0.1134724783072015</v>
      </c>
      <c r="I20" s="216">
        <f t="shared" si="7"/>
        <v>0.71480450340986224</v>
      </c>
      <c r="J20" s="216">
        <v>2.58E-2</v>
      </c>
      <c r="K20" s="216">
        <f t="shared" si="8"/>
        <v>0.28480647066444087</v>
      </c>
      <c r="L20" s="216"/>
      <c r="M20" s="216">
        <f t="shared" si="3"/>
        <v>2.58E-2</v>
      </c>
      <c r="N20" s="216"/>
      <c r="O20" s="195">
        <f t="shared" si="4"/>
        <v>17948.035631029397</v>
      </c>
      <c r="P20" s="195">
        <f t="shared" si="5"/>
        <v>14151.038774040788</v>
      </c>
      <c r="Q20" s="216"/>
      <c r="R20" s="216"/>
      <c r="S20" s="216"/>
      <c r="T20" s="194"/>
      <c r="U20" s="194"/>
      <c r="V20" s="194"/>
      <c r="W20" s="194"/>
      <c r="X20" s="5"/>
      <c r="Y20" s="5"/>
      <c r="Z20" s="5"/>
      <c r="AA20" s="5"/>
      <c r="AB20" s="5"/>
    </row>
    <row r="21" spans="1:28" ht="12.75" customHeight="1">
      <c r="A21" s="178">
        <v>35217</v>
      </c>
      <c r="B21" s="192">
        <f t="shared" si="6"/>
        <v>44534.313139999998</v>
      </c>
      <c r="C21" s="196"/>
      <c r="D21" s="192">
        <f>40551.09+(33.97*85.526)</f>
        <v>43456.408219999998</v>
      </c>
      <c r="E21" s="193">
        <f t="shared" si="1"/>
        <v>4962.5835445754337</v>
      </c>
      <c r="F21" s="184">
        <f t="shared" si="0"/>
        <v>8.7568114127775036</v>
      </c>
      <c r="G21" s="184"/>
      <c r="H21" s="216">
        <f t="shared" si="2"/>
        <v>-2.4203919270326595E-2</v>
      </c>
      <c r="I21" s="216">
        <f t="shared" si="7"/>
        <v>0.60999505661441566</v>
      </c>
      <c r="J21" s="216">
        <v>4.1000000000000003E-3</v>
      </c>
      <c r="K21" s="216">
        <f t="shared" si="8"/>
        <v>0.26045351948623874</v>
      </c>
      <c r="L21" s="216"/>
      <c r="M21" s="216">
        <f t="shared" si="3"/>
        <v>4.1000000000000003E-3</v>
      </c>
      <c r="N21" s="216"/>
      <c r="O21" s="195">
        <f t="shared" si="4"/>
        <v>17513.622825555016</v>
      </c>
      <c r="P21" s="195">
        <f t="shared" si="5"/>
        <v>14209.058033014355</v>
      </c>
      <c r="Q21" s="216"/>
      <c r="R21" s="216"/>
      <c r="S21" s="216"/>
      <c r="T21" s="194"/>
      <c r="U21" s="194"/>
      <c r="V21" s="194"/>
      <c r="W21" s="194"/>
      <c r="X21" s="5"/>
      <c r="Y21" s="5"/>
      <c r="Z21" s="5"/>
      <c r="AA21" s="5"/>
      <c r="AB21" s="5"/>
    </row>
    <row r="22" spans="1:28" ht="12.75" customHeight="1">
      <c r="A22" s="178">
        <v>35247</v>
      </c>
      <c r="B22" s="192">
        <f t="shared" si="6"/>
        <v>43456.408219999998</v>
      </c>
      <c r="C22" s="196"/>
      <c r="D22" s="192">
        <f>37436.42+(32.8*85.526)</f>
        <v>40241.6728</v>
      </c>
      <c r="E22" s="193">
        <f t="shared" si="1"/>
        <v>4962.5835445754337</v>
      </c>
      <c r="F22" s="184">
        <f t="shared" si="0"/>
        <v>8.1090166923210596</v>
      </c>
      <c r="G22" s="184"/>
      <c r="H22" s="216">
        <f t="shared" si="2"/>
        <v>-7.3976095855075086E-2</v>
      </c>
      <c r="I22" s="216">
        <f t="shared" si="7"/>
        <v>0.38597585141102275</v>
      </c>
      <c r="J22" s="216">
        <v>-4.4499999999999998E-2</v>
      </c>
      <c r="K22" s="216">
        <f t="shared" si="8"/>
        <v>0.16555050601867882</v>
      </c>
      <c r="L22" s="216"/>
      <c r="M22" s="216">
        <f t="shared" si="3"/>
        <v>-4.4499999999999998E-2</v>
      </c>
      <c r="N22" s="216"/>
      <c r="O22" s="195">
        <f t="shared" si="4"/>
        <v>16218.033384642127</v>
      </c>
      <c r="P22" s="195">
        <f t="shared" si="5"/>
        <v>13576.754950545217</v>
      </c>
      <c r="Q22" s="216"/>
      <c r="R22" s="216"/>
      <c r="S22" s="216"/>
      <c r="T22" s="194"/>
      <c r="U22" s="194"/>
      <c r="V22" s="194"/>
      <c r="W22" s="194"/>
      <c r="X22" s="5"/>
      <c r="Y22" s="5"/>
      <c r="Z22" s="5"/>
      <c r="AA22" s="5"/>
      <c r="AB22" s="5"/>
    </row>
    <row r="23" spans="1:28" ht="12.75" customHeight="1">
      <c r="A23" s="178">
        <v>35278</v>
      </c>
      <c r="B23" s="192">
        <f t="shared" si="6"/>
        <v>40241.6728</v>
      </c>
      <c r="C23" s="196"/>
      <c r="D23" s="192">
        <f>38884.04+(33.91*85.526)</f>
        <v>41784.22666</v>
      </c>
      <c r="E23" s="193">
        <f t="shared" si="1"/>
        <v>4962.5835445754337</v>
      </c>
      <c r="F23" s="184">
        <f t="shared" si="0"/>
        <v>8.4198535469844238</v>
      </c>
      <c r="G23" s="184"/>
      <c r="H23" s="216">
        <f t="shared" si="2"/>
        <v>3.833224994563339E-2</v>
      </c>
      <c r="I23" s="216">
        <f t="shared" si="7"/>
        <v>0.41183562733337142</v>
      </c>
      <c r="J23" s="216">
        <v>2.12E-2</v>
      </c>
      <c r="K23" s="216">
        <f t="shared" si="8"/>
        <v>0.1870551279009427</v>
      </c>
      <c r="L23" s="216"/>
      <c r="M23" s="216">
        <f t="shared" si="3"/>
        <v>2.12E-2</v>
      </c>
      <c r="N23" s="216"/>
      <c r="O23" s="195">
        <f t="shared" si="4"/>
        <v>16839.707093968856</v>
      </c>
      <c r="P23" s="195">
        <f t="shared" si="5"/>
        <v>13864.582155496777</v>
      </c>
      <c r="Q23" s="216"/>
      <c r="R23" s="216"/>
      <c r="S23" s="216"/>
      <c r="T23" s="194"/>
      <c r="U23" s="194"/>
      <c r="V23" s="194"/>
      <c r="W23" s="194"/>
      <c r="X23" s="5"/>
      <c r="Y23" s="5"/>
      <c r="Z23" s="5"/>
      <c r="AA23" s="5"/>
      <c r="AB23" s="5"/>
    </row>
    <row r="24" spans="1:28" ht="12.75" customHeight="1">
      <c r="A24" s="178">
        <v>35309</v>
      </c>
      <c r="B24" s="192">
        <f t="shared" si="6"/>
        <v>41784.22666</v>
      </c>
      <c r="C24" s="196"/>
      <c r="D24" s="192">
        <f>40640.1+(34.51*85.526)</f>
        <v>43591.60226</v>
      </c>
      <c r="E24" s="193">
        <f t="shared" si="1"/>
        <v>4962.5835445754337</v>
      </c>
      <c r="F24" s="184">
        <f t="shared" si="0"/>
        <v>8.7840540856283784</v>
      </c>
      <c r="G24" s="184"/>
      <c r="H24" s="216">
        <f t="shared" si="2"/>
        <v>4.3254973095629826E-2</v>
      </c>
      <c r="I24" s="216">
        <f t="shared" si="7"/>
        <v>0.39596650468524897</v>
      </c>
      <c r="J24" s="216">
        <v>5.62E-2</v>
      </c>
      <c r="K24" s="216">
        <f t="shared" si="8"/>
        <v>0.20334737123426017</v>
      </c>
      <c r="L24" s="216"/>
      <c r="M24" s="216">
        <f t="shared" si="3"/>
        <v>5.62E-2</v>
      </c>
      <c r="N24" s="216"/>
      <c r="O24" s="195">
        <f t="shared" si="4"/>
        <v>17568.108171256765</v>
      </c>
      <c r="P24" s="195">
        <f t="shared" si="5"/>
        <v>14643.771672635696</v>
      </c>
      <c r="Q24" s="216"/>
      <c r="R24" s="216"/>
      <c r="S24" s="216"/>
      <c r="T24" s="194"/>
      <c r="U24" s="194"/>
      <c r="V24" s="194"/>
      <c r="W24" s="194"/>
      <c r="X24" s="5"/>
      <c r="Y24" s="5"/>
      <c r="Z24" s="5"/>
      <c r="AA24" s="5"/>
      <c r="AB24" s="5"/>
    </row>
    <row r="25" spans="1:28" ht="12.75" customHeight="1">
      <c r="A25" s="178">
        <v>35339</v>
      </c>
      <c r="B25" s="192">
        <f t="shared" si="6"/>
        <v>43591.60226</v>
      </c>
      <c r="C25" s="196"/>
      <c r="D25" s="192">
        <f>38551.07+(34.6*85.526)</f>
        <v>41510.2696</v>
      </c>
      <c r="E25" s="193">
        <f t="shared" si="1"/>
        <v>4962.5835445754337</v>
      </c>
      <c r="F25" s="184">
        <f t="shared" si="0"/>
        <v>8.3646490234657289</v>
      </c>
      <c r="G25" s="184"/>
      <c r="H25" s="216">
        <f t="shared" si="2"/>
        <v>-4.7746183945843367E-2</v>
      </c>
      <c r="I25" s="216">
        <f t="shared" si="7"/>
        <v>0.36435536983749328</v>
      </c>
      <c r="J25" s="216">
        <v>2.7400000000000001E-2</v>
      </c>
      <c r="K25" s="216">
        <f t="shared" si="8"/>
        <v>0.24066140412050063</v>
      </c>
      <c r="L25" s="216"/>
      <c r="M25" s="216">
        <f t="shared" si="3"/>
        <v>2.7400000000000001E-2</v>
      </c>
      <c r="N25" s="216"/>
      <c r="O25" s="195">
        <f t="shared" si="4"/>
        <v>16729.298046931464</v>
      </c>
      <c r="P25" s="195">
        <f t="shared" si="5"/>
        <v>15045.011016465915</v>
      </c>
      <c r="Q25" s="216"/>
      <c r="R25" s="216"/>
      <c r="S25" s="216"/>
      <c r="T25" s="194"/>
      <c r="U25" s="194"/>
      <c r="V25" s="194"/>
      <c r="W25" s="194"/>
      <c r="X25" s="5"/>
      <c r="Y25" s="5"/>
      <c r="Z25" s="5"/>
      <c r="AA25" s="5"/>
      <c r="AB25" s="5"/>
    </row>
    <row r="26" spans="1:28" ht="12.75" customHeight="1">
      <c r="A26" s="178">
        <v>35370</v>
      </c>
      <c r="B26" s="192">
        <f t="shared" si="6"/>
        <v>41510.2696</v>
      </c>
      <c r="C26" s="196"/>
      <c r="D26" s="192">
        <f>40783.45+(35.95*85.526)</f>
        <v>43858.109700000001</v>
      </c>
      <c r="E26" s="193">
        <f t="shared" si="1"/>
        <v>4962.5835445754337</v>
      </c>
      <c r="F26" s="184">
        <f t="shared" si="0"/>
        <v>8.8377574515477928</v>
      </c>
      <c r="G26" s="184"/>
      <c r="H26" s="216">
        <f t="shared" si="2"/>
        <v>5.656046377496908E-2</v>
      </c>
      <c r="I26" s="216">
        <f t="shared" si="7"/>
        <v>0.35844544874094475</v>
      </c>
      <c r="J26" s="216">
        <v>7.5899999999999995E-2</v>
      </c>
      <c r="K26" s="216">
        <f t="shared" si="8"/>
        <v>0.27857050257973848</v>
      </c>
      <c r="L26" s="216"/>
      <c r="M26" s="216">
        <f t="shared" si="3"/>
        <v>7.5899999999999995E-2</v>
      </c>
      <c r="N26" s="216"/>
      <c r="O26" s="195">
        <f t="shared" si="4"/>
        <v>17675.514903095591</v>
      </c>
      <c r="P26" s="195">
        <f t="shared" si="5"/>
        <v>16186.927352615679</v>
      </c>
      <c r="Q26" s="216"/>
      <c r="R26" s="216"/>
      <c r="S26" s="216"/>
      <c r="T26" s="194"/>
      <c r="U26" s="194"/>
      <c r="V26" s="194"/>
      <c r="W26" s="194"/>
      <c r="X26" s="5"/>
      <c r="Y26" s="5"/>
      <c r="Z26" s="5"/>
      <c r="AA26" s="5"/>
      <c r="AB26" s="5"/>
    </row>
    <row r="27" spans="1:28" ht="12.75" customHeight="1">
      <c r="A27" s="1439">
        <v>35400</v>
      </c>
      <c r="B27" s="1440">
        <f t="shared" si="6"/>
        <v>43858.109700000001</v>
      </c>
      <c r="C27" s="1441"/>
      <c r="D27" s="1440">
        <f>39972.37+(33.69*91.134)</f>
        <v>43042.674460000002</v>
      </c>
      <c r="E27" s="1442">
        <f t="shared" si="1"/>
        <v>4962.5835445754337</v>
      </c>
      <c r="F27" s="1443">
        <f t="shared" si="0"/>
        <v>8.6734407740197454</v>
      </c>
      <c r="G27" s="1443"/>
      <c r="H27" s="1444">
        <f t="shared" si="2"/>
        <v>-1.8592576049851865E-2</v>
      </c>
      <c r="I27" s="1444">
        <f t="shared" si="7"/>
        <v>0.27724979276408734</v>
      </c>
      <c r="J27" s="1444">
        <v>-1.9599999999999999E-2</v>
      </c>
      <c r="K27" s="1444">
        <f t="shared" si="8"/>
        <v>0.23074179747587165</v>
      </c>
      <c r="L27" s="1444"/>
      <c r="M27" s="1446">
        <f t="shared" si="3"/>
        <v>-1.9599999999999999E-2</v>
      </c>
      <c r="N27" s="1444"/>
      <c r="O27" s="1447">
        <f t="shared" si="4"/>
        <v>17346.881548039495</v>
      </c>
      <c r="P27" s="1448">
        <f t="shared" si="5"/>
        <v>15869.663576504412</v>
      </c>
      <c r="Q27" s="1444"/>
      <c r="R27" s="1444"/>
      <c r="S27" s="1444"/>
      <c r="T27" s="1438"/>
      <c r="U27" s="1438"/>
      <c r="V27" s="1438"/>
      <c r="W27" s="1438"/>
      <c r="X27" s="1435"/>
      <c r="Y27" s="1435"/>
      <c r="Z27" s="1435"/>
      <c r="AA27" s="1435"/>
      <c r="AB27" s="1435"/>
    </row>
    <row r="28" spans="1:28" ht="12.75" customHeight="1">
      <c r="A28" s="178">
        <v>35431</v>
      </c>
      <c r="B28" s="192">
        <f t="shared" si="6"/>
        <v>43042.674460000002</v>
      </c>
      <c r="C28" s="196"/>
      <c r="D28" s="192">
        <f>41422.36+(35.19*91.134)</f>
        <v>44629.365460000001</v>
      </c>
      <c r="E28" s="193">
        <f t="shared" si="1"/>
        <v>4962.5835445754337</v>
      </c>
      <c r="F28" s="184">
        <f t="shared" si="0"/>
        <v>8.9931716129563313</v>
      </c>
      <c r="G28" s="184"/>
      <c r="H28" s="216">
        <f t="shared" si="2"/>
        <v>3.6863206571295361E-2</v>
      </c>
      <c r="I28" s="216">
        <f t="shared" si="7"/>
        <v>0.32491218470315286</v>
      </c>
      <c r="J28" s="216">
        <v>6.2100000000000002E-2</v>
      </c>
      <c r="K28" s="216">
        <f t="shared" si="8"/>
        <v>0.26369959696357625</v>
      </c>
      <c r="L28" s="216"/>
      <c r="M28" s="216">
        <f t="shared" si="3"/>
        <v>6.2100000000000002E-2</v>
      </c>
      <c r="N28" s="216"/>
      <c r="O28" s="195">
        <f t="shared" si="4"/>
        <v>17986.343225912664</v>
      </c>
      <c r="P28" s="195">
        <f t="shared" si="5"/>
        <v>16855.169684605338</v>
      </c>
      <c r="Q28" s="216"/>
      <c r="R28" s="216"/>
      <c r="S28" s="216"/>
      <c r="T28" s="194"/>
      <c r="U28" s="194"/>
      <c r="V28" s="194"/>
      <c r="W28" s="194"/>
      <c r="X28" s="5"/>
      <c r="Y28" s="5"/>
      <c r="Z28" s="5"/>
      <c r="AA28" s="5"/>
      <c r="AB28" s="5"/>
    </row>
    <row r="29" spans="1:28" ht="12.75" customHeight="1">
      <c r="A29" s="178">
        <v>35462</v>
      </c>
      <c r="B29" s="192">
        <f t="shared" si="6"/>
        <v>44629.365460000001</v>
      </c>
      <c r="C29" s="196"/>
      <c r="D29" s="192">
        <f>42068.15+(35.6*91.134)</f>
        <v>45312.520400000001</v>
      </c>
      <c r="E29" s="193">
        <f t="shared" si="1"/>
        <v>4962.5835445754337</v>
      </c>
      <c r="F29" s="184">
        <f t="shared" si="0"/>
        <v>9.1308327593861485</v>
      </c>
      <c r="G29" s="184"/>
      <c r="H29" s="216">
        <f t="shared" si="2"/>
        <v>1.530729673072076E-2</v>
      </c>
      <c r="I29" s="216">
        <f t="shared" si="7"/>
        <v>0.24964049439273039</v>
      </c>
      <c r="J29" s="216">
        <v>8.0999999999999996E-3</v>
      </c>
      <c r="K29" s="216">
        <f t="shared" si="8"/>
        <v>0.26182207180960981</v>
      </c>
      <c r="L29" s="216"/>
      <c r="M29" s="216">
        <f t="shared" si="3"/>
        <v>8.0999999999999996E-3</v>
      </c>
      <c r="N29" s="216"/>
      <c r="O29" s="195">
        <f t="shared" si="4"/>
        <v>18261.665518772301</v>
      </c>
      <c r="P29" s="195">
        <f t="shared" si="5"/>
        <v>16991.696559050641</v>
      </c>
      <c r="Q29" s="216"/>
      <c r="R29" s="216"/>
      <c r="S29" s="216"/>
      <c r="T29" s="194"/>
      <c r="U29" s="194"/>
      <c r="V29" s="194"/>
      <c r="W29" s="194"/>
      <c r="X29" s="5"/>
      <c r="Y29" s="5"/>
      <c r="Z29" s="5"/>
      <c r="AA29" s="5"/>
      <c r="AB29" s="5"/>
    </row>
    <row r="30" spans="1:28" ht="12.75" customHeight="1">
      <c r="A30" s="178">
        <v>35490</v>
      </c>
      <c r="B30" s="192">
        <f t="shared" si="6"/>
        <v>45312.520400000001</v>
      </c>
      <c r="C30" s="196"/>
      <c r="D30" s="192">
        <f>42110.15+(35.6*91.134)</f>
        <v>45354.520400000001</v>
      </c>
      <c r="E30" s="193">
        <f t="shared" si="1"/>
        <v>4962.5835445754337</v>
      </c>
      <c r="F30" s="184">
        <f t="shared" si="0"/>
        <v>9.1392960929749414</v>
      </c>
      <c r="G30" s="184"/>
      <c r="H30" s="216">
        <f t="shared" si="2"/>
        <v>9.2689613442902409E-4</v>
      </c>
      <c r="I30" s="216">
        <f t="shared" si="7"/>
        <v>0.1841884957890676</v>
      </c>
      <c r="J30" s="216">
        <v>-4.1599999999999998E-2</v>
      </c>
      <c r="K30" s="216">
        <f t="shared" si="8"/>
        <v>0.19783109510928054</v>
      </c>
      <c r="L30" s="216"/>
      <c r="M30" s="216">
        <f t="shared" si="3"/>
        <v>-4.1599999999999998E-2</v>
      </c>
      <c r="N30" s="216"/>
      <c r="O30" s="195">
        <f t="shared" si="4"/>
        <v>18278.592185949889</v>
      </c>
      <c r="P30" s="195">
        <f t="shared" si="5"/>
        <v>16284.841982194135</v>
      </c>
      <c r="Q30" s="216"/>
      <c r="R30" s="216"/>
      <c r="S30" s="216"/>
      <c r="T30" s="194"/>
      <c r="U30" s="194"/>
      <c r="V30" s="194"/>
      <c r="W30" s="194"/>
      <c r="X30" s="5"/>
      <c r="Y30" s="5"/>
      <c r="Z30" s="5"/>
      <c r="AA30" s="5"/>
      <c r="AB30" s="5"/>
    </row>
    <row r="31" spans="1:28" ht="12.75" customHeight="1">
      <c r="A31" s="178">
        <v>35521</v>
      </c>
      <c r="B31" s="192">
        <f t="shared" si="6"/>
        <v>45354.520400000001</v>
      </c>
      <c r="C31" s="196"/>
      <c r="D31" s="192">
        <f>41271.89+(35.98*91.134)</f>
        <v>44550.891320000002</v>
      </c>
      <c r="E31" s="193">
        <f t="shared" si="1"/>
        <v>4962.5835445754337</v>
      </c>
      <c r="F31" s="184">
        <f t="shared" si="0"/>
        <v>8.9773584504583859</v>
      </c>
      <c r="G31" s="184"/>
      <c r="H31" s="216">
        <f t="shared" si="2"/>
        <v>-1.7718830954719954E-2</v>
      </c>
      <c r="I31" s="216">
        <f t="shared" si="7"/>
        <v>0.11388697548631788</v>
      </c>
      <c r="J31" s="216">
        <v>5.9700000000000003E-2</v>
      </c>
      <c r="K31" s="216">
        <f t="shared" si="8"/>
        <v>0.25095260814753573</v>
      </c>
      <c r="L31" s="216"/>
      <c r="M31" s="216">
        <f t="shared" si="3"/>
        <v>5.9700000000000003E-2</v>
      </c>
      <c r="N31" s="216"/>
      <c r="O31" s="195">
        <f t="shared" si="4"/>
        <v>17954.716900916777</v>
      </c>
      <c r="P31" s="195">
        <f t="shared" si="5"/>
        <v>17257.047048531127</v>
      </c>
      <c r="Q31" s="216"/>
      <c r="R31" s="216"/>
      <c r="S31" s="216"/>
      <c r="T31" s="194"/>
      <c r="U31" s="194"/>
      <c r="V31" s="194"/>
      <c r="W31" s="194"/>
      <c r="X31" s="5"/>
      <c r="Y31" s="5"/>
      <c r="Z31" s="5"/>
      <c r="AA31" s="5"/>
      <c r="AB31" s="5"/>
    </row>
    <row r="32" spans="1:28" ht="12.75" customHeight="1">
      <c r="A32" s="178">
        <v>35551</v>
      </c>
      <c r="B32" s="192">
        <f t="shared" si="6"/>
        <v>44550.891320000002</v>
      </c>
      <c r="C32" s="196">
        <v>607.5</v>
      </c>
      <c r="D32" s="192">
        <f>45806.55+(38.03*91.134)</f>
        <v>49272.376020000003</v>
      </c>
      <c r="E32" s="193">
        <f t="shared" si="1"/>
        <v>5030.2537844742292</v>
      </c>
      <c r="F32" s="184">
        <f t="shared" si="0"/>
        <v>9.7952067889851087</v>
      </c>
      <c r="G32" s="184"/>
      <c r="H32" s="216">
        <f t="shared" si="2"/>
        <v>9.1101223487958558E-2</v>
      </c>
      <c r="I32" s="216">
        <f t="shared" si="7"/>
        <v>9.1507392825842526E-2</v>
      </c>
      <c r="J32" s="216">
        <v>6.1400000000000003E-2</v>
      </c>
      <c r="K32" s="216">
        <f t="shared" si="8"/>
        <v>0.29436644403177503</v>
      </c>
      <c r="L32" s="216"/>
      <c r="M32" s="216">
        <f t="shared" si="3"/>
        <v>6.1400000000000003E-2</v>
      </c>
      <c r="N32" s="216"/>
      <c r="O32" s="195">
        <f t="shared" si="4"/>
        <v>19590.413577970223</v>
      </c>
      <c r="P32" s="195">
        <f t="shared" si="5"/>
        <v>18316.629737310937</v>
      </c>
      <c r="Q32" s="216"/>
      <c r="R32" s="216"/>
      <c r="S32" s="216"/>
      <c r="T32" s="194"/>
      <c r="U32" s="194"/>
      <c r="V32" s="194"/>
      <c r="W32" s="194"/>
      <c r="X32" s="5"/>
      <c r="Y32" s="5"/>
      <c r="Z32" s="5"/>
      <c r="AA32" s="5"/>
      <c r="AB32" s="5"/>
    </row>
    <row r="33" spans="1:28" ht="12.75" customHeight="1">
      <c r="A33" s="178">
        <v>35582</v>
      </c>
      <c r="B33" s="192">
        <f t="shared" si="6"/>
        <v>49272.376020000003</v>
      </c>
      <c r="C33" s="196"/>
      <c r="D33" s="192">
        <f>45390.87+(40.08*91.134)</f>
        <v>49043.52072</v>
      </c>
      <c r="E33" s="193">
        <f t="shared" si="1"/>
        <v>5030.2537844742292</v>
      </c>
      <c r="F33" s="184">
        <f t="shared" si="0"/>
        <v>9.7497110128661451</v>
      </c>
      <c r="G33" s="184"/>
      <c r="H33" s="216">
        <f t="shared" si="2"/>
        <v>-4.6446978710163065E-3</v>
      </c>
      <c r="I33" s="216">
        <f t="shared" si="7"/>
        <v>0.1133859750182411</v>
      </c>
      <c r="J33" s="216">
        <v>4.4600000000000001E-2</v>
      </c>
      <c r="K33" s="216">
        <f t="shared" si="8"/>
        <v>0.34657423307996349</v>
      </c>
      <c r="L33" s="216"/>
      <c r="M33" s="216">
        <f t="shared" si="3"/>
        <v>4.4600000000000001E-2</v>
      </c>
      <c r="N33" s="216"/>
      <c r="O33" s="195">
        <f t="shared" si="4"/>
        <v>19499.422025732296</v>
      </c>
      <c r="P33" s="195">
        <f t="shared" si="5"/>
        <v>19133.551423595003</v>
      </c>
      <c r="Q33" s="216"/>
      <c r="R33" s="216"/>
      <c r="S33" s="216"/>
      <c r="T33" s="194"/>
      <c r="U33" s="194"/>
      <c r="V33" s="194"/>
      <c r="W33" s="194"/>
      <c r="X33" s="5"/>
      <c r="Y33" s="5"/>
      <c r="Z33" s="5"/>
      <c r="AA33" s="5"/>
      <c r="AB33" s="5"/>
    </row>
    <row r="34" spans="1:28" ht="12.75" customHeight="1">
      <c r="A34" s="178">
        <v>35612</v>
      </c>
      <c r="B34" s="192">
        <f t="shared" si="6"/>
        <v>49043.52072</v>
      </c>
      <c r="C34" s="196"/>
      <c r="D34" s="192">
        <f>49167.53+(42.16*91.134)</f>
        <v>53009.739439999998</v>
      </c>
      <c r="E34" s="193">
        <f t="shared" si="1"/>
        <v>5030.2537844742292</v>
      </c>
      <c r="F34" s="184">
        <f t="shared" si="0"/>
        <v>10.538183899113287</v>
      </c>
      <c r="G34" s="184"/>
      <c r="H34" s="216">
        <f t="shared" si="2"/>
        <v>8.087141097891401E-2</v>
      </c>
      <c r="I34" s="216">
        <f t="shared" si="7"/>
        <v>0.29956372011079369</v>
      </c>
      <c r="J34" s="216">
        <v>7.9399999999999998E-2</v>
      </c>
      <c r="K34" s="216">
        <f t="shared" si="8"/>
        <v>0.52118495780901375</v>
      </c>
      <c r="L34" s="216"/>
      <c r="M34" s="216">
        <f t="shared" si="3"/>
        <v>7.9399999999999998E-2</v>
      </c>
      <c r="N34" s="216"/>
      <c r="O34" s="195">
        <f t="shared" si="4"/>
        <v>21076.36779822658</v>
      </c>
      <c r="P34" s="195">
        <f t="shared" si="5"/>
        <v>20652.755406628447</v>
      </c>
      <c r="Q34" s="216"/>
      <c r="R34" s="216"/>
      <c r="S34" s="216"/>
      <c r="T34" s="194"/>
      <c r="U34" s="194"/>
      <c r="V34" s="194"/>
      <c r="W34" s="194"/>
      <c r="X34" s="5"/>
      <c r="Y34" s="5"/>
      <c r="Z34" s="5"/>
      <c r="AA34" s="5"/>
      <c r="AB34" s="5"/>
    </row>
    <row r="35" spans="1:28" ht="12.75" customHeight="1">
      <c r="A35" s="178">
        <v>35643</v>
      </c>
      <c r="B35" s="192">
        <f t="shared" si="6"/>
        <v>53009.739439999998</v>
      </c>
      <c r="C35" s="196"/>
      <c r="D35" s="192">
        <f>47719.67+(39.32*91.134)</f>
        <v>51303.058879999997</v>
      </c>
      <c r="E35" s="193">
        <f t="shared" si="1"/>
        <v>5030.2537844742292</v>
      </c>
      <c r="F35" s="184">
        <f t="shared" si="0"/>
        <v>10.198900707225905</v>
      </c>
      <c r="G35" s="184"/>
      <c r="H35" s="216">
        <f t="shared" si="2"/>
        <v>-3.2195603638681111E-2</v>
      </c>
      <c r="I35" s="216">
        <f t="shared" si="7"/>
        <v>0.21129193641125066</v>
      </c>
      <c r="J35" s="216">
        <v>-5.5599999999999997E-2</v>
      </c>
      <c r="K35" s="216">
        <f t="shared" si="8"/>
        <v>0.40678326885510452</v>
      </c>
      <c r="L35" s="216"/>
      <c r="M35" s="216">
        <f t="shared" si="3"/>
        <v>-5.5599999999999997E-2</v>
      </c>
      <c r="N35" s="216"/>
      <c r="O35" s="195">
        <f t="shared" si="4"/>
        <v>20397.801414451813</v>
      </c>
      <c r="P35" s="195">
        <f t="shared" si="5"/>
        <v>19504.462206019904</v>
      </c>
      <c r="Q35" s="216"/>
      <c r="R35" s="216"/>
      <c r="S35" s="216"/>
      <c r="T35" s="194"/>
      <c r="U35" s="194"/>
      <c r="V35" s="194"/>
      <c r="W35" s="194"/>
      <c r="X35" s="5"/>
      <c r="Y35" s="5"/>
      <c r="Z35" s="5"/>
      <c r="AA35" s="5"/>
      <c r="AB35" s="5"/>
    </row>
    <row r="36" spans="1:28" ht="12.75" customHeight="1">
      <c r="A36" s="178">
        <v>35674</v>
      </c>
      <c r="B36" s="192">
        <f t="shared" si="6"/>
        <v>51303.058879999997</v>
      </c>
      <c r="C36" s="196"/>
      <c r="D36" s="192">
        <f>50300.4+(42.38*91.134)</f>
        <v>54162.658920000002</v>
      </c>
      <c r="E36" s="193">
        <f t="shared" si="1"/>
        <v>5030.2537844742292</v>
      </c>
      <c r="F36" s="184">
        <f t="shared" si="0"/>
        <v>10.767380979300068</v>
      </c>
      <c r="G36" s="184"/>
      <c r="H36" s="216">
        <f t="shared" si="2"/>
        <v>5.5739367250766149E-2</v>
      </c>
      <c r="I36" s="216">
        <f t="shared" si="7"/>
        <v>0.22578719055437224</v>
      </c>
      <c r="J36" s="216">
        <v>5.4800000000000001E-2</v>
      </c>
      <c r="K36" s="216">
        <f t="shared" si="8"/>
        <v>0.4049185684419272</v>
      </c>
      <c r="L36" s="216"/>
      <c r="M36" s="216">
        <f t="shared" si="3"/>
        <v>5.4800000000000001E-2</v>
      </c>
      <c r="N36" s="216"/>
      <c r="O36" s="195">
        <f t="shared" si="4"/>
        <v>21534.761958600142</v>
      </c>
      <c r="P36" s="195">
        <f t="shared" si="5"/>
        <v>20573.306734909795</v>
      </c>
      <c r="Q36" s="216"/>
      <c r="R36" s="216"/>
      <c r="S36" s="216"/>
      <c r="T36" s="194"/>
      <c r="U36" s="194"/>
      <c r="V36" s="194"/>
      <c r="W36" s="194"/>
      <c r="X36" s="5"/>
      <c r="Y36" s="5"/>
      <c r="Z36" s="5"/>
      <c r="AA36" s="5"/>
      <c r="AB36" s="5"/>
    </row>
    <row r="37" spans="1:28" ht="12.75" customHeight="1">
      <c r="A37" s="178">
        <v>35704</v>
      </c>
      <c r="B37" s="192">
        <f t="shared" si="6"/>
        <v>54162.658920000002</v>
      </c>
      <c r="C37" s="196"/>
      <c r="D37" s="192">
        <f>48597.3+(40.08*91.134)</f>
        <v>52249.950720000001</v>
      </c>
      <c r="E37" s="193">
        <f t="shared" si="1"/>
        <v>5030.2537844742292</v>
      </c>
      <c r="F37" s="184">
        <f t="shared" si="0"/>
        <v>10.387140084515886</v>
      </c>
      <c r="G37" s="184"/>
      <c r="H37" s="216">
        <f t="shared" si="2"/>
        <v>-3.5314148864536515E-2</v>
      </c>
      <c r="I37" s="216">
        <f t="shared" si="7"/>
        <v>0.24179030768372578</v>
      </c>
      <c r="J37" s="216">
        <v>-3.3399999999999999E-2</v>
      </c>
      <c r="K37" s="216">
        <f t="shared" si="8"/>
        <v>0.32177758249558774</v>
      </c>
      <c r="L37" s="216"/>
      <c r="M37" s="216">
        <f t="shared" si="3"/>
        <v>-3.3399999999999999E-2</v>
      </c>
      <c r="N37" s="216"/>
      <c r="O37" s="195">
        <f t="shared" si="4"/>
        <v>20774.280169031779</v>
      </c>
      <c r="P37" s="195">
        <f t="shared" si="5"/>
        <v>19886.158289963809</v>
      </c>
      <c r="Q37" s="216"/>
      <c r="R37" s="216"/>
      <c r="S37" s="216"/>
      <c r="T37" s="194"/>
      <c r="U37" s="194"/>
      <c r="V37" s="194"/>
      <c r="W37" s="194"/>
      <c r="X37" s="5"/>
      <c r="Y37" s="5"/>
      <c r="Z37" s="5"/>
      <c r="AA37" s="5"/>
      <c r="AB37" s="5"/>
    </row>
    <row r="38" spans="1:28" ht="12.75" customHeight="1">
      <c r="A38" s="178">
        <v>35735</v>
      </c>
      <c r="B38" s="192">
        <f t="shared" si="6"/>
        <v>52249.950720000001</v>
      </c>
      <c r="C38" s="196"/>
      <c r="D38" s="192">
        <f>50983.67+(40*91.134)</f>
        <v>54629.03</v>
      </c>
      <c r="E38" s="193">
        <f t="shared" si="1"/>
        <v>5030.2537844742292</v>
      </c>
      <c r="F38" s="184">
        <f t="shared" si="0"/>
        <v>10.860094210079685</v>
      </c>
      <c r="G38" s="184"/>
      <c r="H38" s="216">
        <f t="shared" si="2"/>
        <v>4.5532660743531503E-2</v>
      </c>
      <c r="I38" s="216">
        <f t="shared" si="7"/>
        <v>0.22882917636280165</v>
      </c>
      <c r="J38" s="216">
        <v>4.6300000000000001E-2</v>
      </c>
      <c r="K38" s="216">
        <f t="shared" si="8"/>
        <v>0.28541303519391525</v>
      </c>
      <c r="L38" s="216"/>
      <c r="M38" s="216">
        <f t="shared" si="3"/>
        <v>4.6300000000000001E-2</v>
      </c>
      <c r="N38" s="216"/>
      <c r="O38" s="195">
        <f t="shared" si="4"/>
        <v>21720.188420159378</v>
      </c>
      <c r="P38" s="195">
        <f t="shared" si="5"/>
        <v>20806.887418789134</v>
      </c>
      <c r="Q38" s="216"/>
      <c r="R38" s="216"/>
      <c r="S38" s="216"/>
      <c r="T38" s="194"/>
      <c r="U38" s="194"/>
      <c r="V38" s="194"/>
      <c r="W38" s="194"/>
      <c r="X38" s="5"/>
      <c r="Y38" s="5"/>
      <c r="Z38" s="5"/>
      <c r="AA38" s="5"/>
      <c r="AB38" s="5"/>
    </row>
    <row r="39" spans="1:28" ht="12.75" customHeight="1">
      <c r="A39" s="1439">
        <v>35765</v>
      </c>
      <c r="B39" s="1440">
        <f t="shared" si="6"/>
        <v>54629.03</v>
      </c>
      <c r="C39" s="1441"/>
      <c r="D39" s="1440">
        <f>52897.05+(37.78*97.91)</f>
        <v>56596.089800000002</v>
      </c>
      <c r="E39" s="1442">
        <f t="shared" si="1"/>
        <v>5030.2537844742292</v>
      </c>
      <c r="F39" s="1443">
        <f t="shared" si="0"/>
        <v>11.251140046787027</v>
      </c>
      <c r="G39" s="1443"/>
      <c r="H39" s="1444">
        <f t="shared" si="2"/>
        <v>3.6007591568072816E-2</v>
      </c>
      <c r="I39" s="1444">
        <f t="shared" si="7"/>
        <v>0.29719454365659281</v>
      </c>
      <c r="J39" s="1444">
        <v>1.72E-2</v>
      </c>
      <c r="K39" s="1444">
        <f t="shared" si="8"/>
        <v>0.33366191289193314</v>
      </c>
      <c r="L39" s="1444"/>
      <c r="M39" s="1446">
        <f t="shared" si="3"/>
        <v>1.72E-2</v>
      </c>
      <c r="N39" s="1444"/>
      <c r="O39" s="1447">
        <f t="shared" si="4"/>
        <v>22502.280093574063</v>
      </c>
      <c r="P39" s="1448">
        <f t="shared" si="5"/>
        <v>21164.765882392308</v>
      </c>
      <c r="Q39" s="1444"/>
      <c r="R39" s="1444"/>
      <c r="S39" s="1444"/>
      <c r="T39" s="1438"/>
      <c r="U39" s="1438"/>
      <c r="V39" s="1438"/>
      <c r="W39" s="1438"/>
      <c r="X39" s="1435"/>
      <c r="Y39" s="1435"/>
      <c r="Z39" s="1435"/>
      <c r="AA39" s="1435"/>
      <c r="AB39" s="1435"/>
    </row>
    <row r="40" spans="1:28" ht="12.75" customHeight="1">
      <c r="A40" s="178">
        <v>35796</v>
      </c>
      <c r="B40" s="192">
        <f t="shared" si="6"/>
        <v>56596.089800000002</v>
      </c>
      <c r="C40" s="196"/>
      <c r="D40" s="192">
        <f>53255.14+(39.19*97.91)</f>
        <v>57092.232900000003</v>
      </c>
      <c r="E40" s="193">
        <f t="shared" si="1"/>
        <v>5030.2537844742292</v>
      </c>
      <c r="F40" s="184">
        <f t="shared" si="0"/>
        <v>11.34977186960506</v>
      </c>
      <c r="G40" s="184"/>
      <c r="H40" s="216">
        <f t="shared" si="2"/>
        <v>8.7663847759320672E-3</v>
      </c>
      <c r="I40" s="216">
        <f t="shared" si="7"/>
        <v>0.26204328773773322</v>
      </c>
      <c r="J40" s="216">
        <v>1.11E-2</v>
      </c>
      <c r="K40" s="216">
        <f t="shared" si="8"/>
        <v>0.26962203194146817</v>
      </c>
      <c r="L40" s="216"/>
      <c r="M40" s="216">
        <f t="shared" si="3"/>
        <v>1.11E-2</v>
      </c>
      <c r="N40" s="216"/>
      <c r="O40" s="195">
        <f t="shared" si="4"/>
        <v>22699.54373921013</v>
      </c>
      <c r="P40" s="195">
        <f t="shared" si="5"/>
        <v>21399.694783686864</v>
      </c>
      <c r="Q40" s="216"/>
      <c r="R40" s="216"/>
      <c r="S40" s="216"/>
      <c r="T40" s="194"/>
      <c r="U40" s="194"/>
      <c r="V40" s="194"/>
      <c r="W40" s="194"/>
      <c r="X40" s="5"/>
      <c r="Y40" s="5"/>
      <c r="Z40" s="5"/>
      <c r="AA40" s="5"/>
      <c r="AB40" s="5"/>
    </row>
    <row r="41" spans="1:28" ht="12.75" customHeight="1">
      <c r="A41" s="178">
        <v>35827</v>
      </c>
      <c r="B41" s="192">
        <f t="shared" si="6"/>
        <v>57092.232900000003</v>
      </c>
      <c r="C41" s="196">
        <v>1028.3399999999999</v>
      </c>
      <c r="D41" s="192">
        <f>56910.1+(42.01*97.91)</f>
        <v>61023.299099999997</v>
      </c>
      <c r="E41" s="193">
        <f t="shared" si="1"/>
        <v>5120.8582487590065</v>
      </c>
      <c r="F41" s="184">
        <f t="shared" si="0"/>
        <v>11.91661556239883</v>
      </c>
      <c r="G41" s="184"/>
      <c r="H41" s="216">
        <f t="shared" si="2"/>
        <v>4.9943179414186231E-2</v>
      </c>
      <c r="I41" s="216">
        <f t="shared" si="7"/>
        <v>0.30509624657718115</v>
      </c>
      <c r="J41" s="216">
        <v>7.2099999999999997E-2</v>
      </c>
      <c r="K41" s="216">
        <f t="shared" si="8"/>
        <v>0.35022495828236089</v>
      </c>
      <c r="L41" s="216"/>
      <c r="M41" s="216">
        <f t="shared" si="3"/>
        <v>7.2099999999999997E-2</v>
      </c>
      <c r="N41" s="216"/>
      <c r="O41" s="195">
        <f t="shared" si="4"/>
        <v>23833.231124797669</v>
      </c>
      <c r="P41" s="195">
        <f t="shared" si="5"/>
        <v>22942.612777590686</v>
      </c>
      <c r="Q41" s="216"/>
      <c r="R41" s="216"/>
      <c r="S41" s="216"/>
      <c r="T41" s="194"/>
      <c r="U41" s="194"/>
      <c r="V41" s="194"/>
      <c r="W41" s="194"/>
      <c r="X41" s="5"/>
      <c r="Y41" s="5"/>
      <c r="Z41" s="5"/>
      <c r="AA41" s="5"/>
      <c r="AB41" s="5"/>
    </row>
    <row r="42" spans="1:28" ht="12.75" customHeight="1">
      <c r="A42" s="178">
        <v>35855</v>
      </c>
      <c r="B42" s="192">
        <f t="shared" si="6"/>
        <v>61023.299099999997</v>
      </c>
      <c r="C42" s="196"/>
      <c r="D42" s="192">
        <f>59759.15+(43.98*97.91)</f>
        <v>64065.231800000001</v>
      </c>
      <c r="E42" s="193">
        <f t="shared" si="1"/>
        <v>5120.8582487590065</v>
      </c>
      <c r="F42" s="184">
        <f t="shared" si="0"/>
        <v>12.510643467923687</v>
      </c>
      <c r="G42" s="184"/>
      <c r="H42" s="216">
        <f t="shared" si="2"/>
        <v>4.9848709343215468E-2</v>
      </c>
      <c r="I42" s="216">
        <f t="shared" si="7"/>
        <v>0.36888479601182622</v>
      </c>
      <c r="J42" s="216">
        <v>5.1200000000000002E-2</v>
      </c>
      <c r="K42" s="216">
        <f t="shared" si="8"/>
        <v>0.48096460365861593</v>
      </c>
      <c r="L42" s="216"/>
      <c r="M42" s="216">
        <f t="shared" si="3"/>
        <v>5.1200000000000002E-2</v>
      </c>
      <c r="N42" s="216"/>
      <c r="O42" s="195">
        <f t="shared" si="4"/>
        <v>25021.286935847384</v>
      </c>
      <c r="P42" s="195">
        <f t="shared" si="5"/>
        <v>24117.274551803326</v>
      </c>
      <c r="Q42" s="216"/>
      <c r="R42" s="216"/>
      <c r="S42" s="216"/>
      <c r="T42" s="194"/>
      <c r="U42" s="194"/>
      <c r="V42" s="194"/>
      <c r="W42" s="194"/>
      <c r="X42" s="5"/>
      <c r="Y42" s="5"/>
      <c r="Z42" s="5"/>
      <c r="AA42" s="5"/>
      <c r="AB42" s="5"/>
    </row>
    <row r="43" spans="1:28" ht="12.75" customHeight="1">
      <c r="A43" s="178">
        <v>35886</v>
      </c>
      <c r="B43" s="192">
        <f t="shared" si="6"/>
        <v>64065.231800000001</v>
      </c>
      <c r="C43" s="196">
        <v>603</v>
      </c>
      <c r="D43" s="192">
        <f>60824.49+(44.96*97.91)</f>
        <v>65226.5236</v>
      </c>
      <c r="E43" s="193">
        <f t="shared" si="1"/>
        <v>5169.0572084325077</v>
      </c>
      <c r="F43" s="184">
        <f t="shared" si="0"/>
        <v>12.618649972299231</v>
      </c>
      <c r="G43" s="184"/>
      <c r="H43" s="216">
        <f t="shared" si="2"/>
        <v>8.633169401115446E-3</v>
      </c>
      <c r="I43" s="216">
        <f t="shared" si="7"/>
        <v>0.40560834703608384</v>
      </c>
      <c r="J43" s="216">
        <v>1.01E-2</v>
      </c>
      <c r="K43" s="216">
        <f t="shared" si="8"/>
        <v>0.41164701911443591</v>
      </c>
      <c r="L43" s="216"/>
      <c r="M43" s="216">
        <f t="shared" si="3"/>
        <v>1.01E-2</v>
      </c>
      <c r="N43" s="216"/>
      <c r="O43" s="195">
        <f t="shared" si="4"/>
        <v>25237.299944598471</v>
      </c>
      <c r="P43" s="195">
        <f t="shared" si="5"/>
        <v>24360.859024776539</v>
      </c>
      <c r="Q43" s="216"/>
      <c r="R43" s="216"/>
      <c r="S43" s="216"/>
      <c r="T43" s="194"/>
      <c r="U43" s="194"/>
      <c r="V43" s="194"/>
      <c r="W43" s="194"/>
      <c r="X43" s="5"/>
      <c r="Y43" s="5"/>
      <c r="Z43" s="5"/>
      <c r="AA43" s="5"/>
      <c r="AB43" s="5"/>
    </row>
    <row r="44" spans="1:28" ht="12.75" customHeight="1">
      <c r="A44" s="178">
        <v>35916</v>
      </c>
      <c r="B44" s="192">
        <f t="shared" si="6"/>
        <v>65226.5236</v>
      </c>
      <c r="C44" s="196">
        <v>-13.25</v>
      </c>
      <c r="D44" s="192">
        <f>63911.75+(46.1*97.91)</f>
        <v>68425.400999999998</v>
      </c>
      <c r="E44" s="193">
        <f t="shared" si="1"/>
        <v>5168.0071753442544</v>
      </c>
      <c r="F44" s="184">
        <f t="shared" si="0"/>
        <v>13.240190788907332</v>
      </c>
      <c r="G44" s="184"/>
      <c r="H44" s="216">
        <f t="shared" si="2"/>
        <v>4.9255730048184489E-2</v>
      </c>
      <c r="I44" s="216">
        <f t="shared" si="7"/>
        <v>0.3517009976549117</v>
      </c>
      <c r="J44" s="216">
        <v>-1.72E-2</v>
      </c>
      <c r="K44" s="216">
        <f t="shared" si="8"/>
        <v>0.30711012849601294</v>
      </c>
      <c r="L44" s="216"/>
      <c r="M44" s="216">
        <f t="shared" si="3"/>
        <v>-1.72E-2</v>
      </c>
      <c r="N44" s="216"/>
      <c r="O44" s="195">
        <f t="shared" si="4"/>
        <v>26480.381577814675</v>
      </c>
      <c r="P44" s="195">
        <f t="shared" si="5"/>
        <v>23941.852249550382</v>
      </c>
      <c r="Q44" s="216"/>
      <c r="R44" s="216"/>
      <c r="S44" s="216"/>
      <c r="T44" s="194"/>
      <c r="U44" s="194"/>
      <c r="V44" s="194"/>
      <c r="W44" s="194"/>
      <c r="X44" s="5"/>
      <c r="Y44" s="5"/>
      <c r="Z44" s="5"/>
      <c r="AA44" s="5"/>
      <c r="AB44" s="5"/>
    </row>
    <row r="45" spans="1:28" ht="12.75" customHeight="1">
      <c r="A45" s="178">
        <v>35947</v>
      </c>
      <c r="B45" s="192">
        <f t="shared" si="6"/>
        <v>68425.400999999998</v>
      </c>
      <c r="C45" s="196"/>
      <c r="D45" s="192">
        <f>65782.1+(47.13*97.91)</f>
        <v>70396.598300000012</v>
      </c>
      <c r="E45" s="193">
        <f t="shared" si="1"/>
        <v>5168.0071753442544</v>
      </c>
      <c r="F45" s="184">
        <f t="shared" si="0"/>
        <v>13.62161388549363</v>
      </c>
      <c r="G45" s="184"/>
      <c r="H45" s="216">
        <f t="shared" si="2"/>
        <v>2.8807975856802247E-2</v>
      </c>
      <c r="I45" s="216">
        <f t="shared" si="7"/>
        <v>0.39713001416328697</v>
      </c>
      <c r="J45" s="216">
        <v>4.0599999999999997E-2</v>
      </c>
      <c r="K45" s="216">
        <f t="shared" si="8"/>
        <v>0.30210492026895563</v>
      </c>
      <c r="L45" s="216"/>
      <c r="M45" s="216">
        <f t="shared" si="3"/>
        <v>4.0599999999999997E-2</v>
      </c>
      <c r="N45" s="216"/>
      <c r="O45" s="195">
        <f t="shared" si="4"/>
        <v>27243.227770987272</v>
      </c>
      <c r="P45" s="195">
        <f t="shared" si="5"/>
        <v>24913.891450882125</v>
      </c>
      <c r="Q45" s="216"/>
      <c r="R45" s="216"/>
      <c r="S45" s="216"/>
      <c r="T45" s="194"/>
      <c r="U45" s="194"/>
      <c r="V45" s="194"/>
      <c r="W45" s="194"/>
      <c r="X45" s="5"/>
      <c r="Y45" s="5"/>
      <c r="Z45" s="5"/>
      <c r="AA45" s="5"/>
      <c r="AB45" s="5"/>
    </row>
    <row r="46" spans="1:28" ht="12.75" customHeight="1">
      <c r="A46" s="178">
        <v>35977</v>
      </c>
      <c r="B46" s="192">
        <f t="shared" si="6"/>
        <v>70396.598300000012</v>
      </c>
      <c r="C46" s="196"/>
      <c r="D46" s="192">
        <f>63805.43+(47.64*97.91)</f>
        <v>68469.862399999998</v>
      </c>
      <c r="E46" s="193">
        <f t="shared" si="1"/>
        <v>5168.0071753442544</v>
      </c>
      <c r="F46" s="184">
        <f t="shared" si="0"/>
        <v>13.248793989036798</v>
      </c>
      <c r="G46" s="184"/>
      <c r="H46" s="216">
        <f t="shared" si="2"/>
        <v>-2.7369730164930568E-2</v>
      </c>
      <c r="I46" s="216">
        <f t="shared" si="7"/>
        <v>0.25721795291042415</v>
      </c>
      <c r="J46" s="216">
        <v>-1.06E-2</v>
      </c>
      <c r="K46" s="216">
        <f t="shared" si="8"/>
        <v>0.19353586076904272</v>
      </c>
      <c r="L46" s="216"/>
      <c r="M46" s="216">
        <f t="shared" si="3"/>
        <v>-1.06E-2</v>
      </c>
      <c r="N46" s="216"/>
      <c r="O46" s="195">
        <f t="shared" si="4"/>
        <v>26497.587978073607</v>
      </c>
      <c r="P46" s="195">
        <f t="shared" si="5"/>
        <v>24649.804201502775</v>
      </c>
      <c r="Q46" s="216"/>
      <c r="R46" s="216"/>
      <c r="S46" s="216"/>
      <c r="T46" s="194"/>
      <c r="U46" s="194"/>
      <c r="V46" s="194"/>
      <c r="W46" s="194"/>
      <c r="X46" s="5"/>
      <c r="Y46" s="5"/>
      <c r="Z46" s="5"/>
      <c r="AA46" s="5"/>
      <c r="AB46" s="5"/>
    </row>
    <row r="47" spans="1:28" ht="12.75" customHeight="1">
      <c r="A47" s="178">
        <v>36008</v>
      </c>
      <c r="B47" s="192">
        <f t="shared" si="6"/>
        <v>68469.862399999998</v>
      </c>
      <c r="C47" s="196"/>
      <c r="D47" s="192">
        <f>55003.11+(40.85*97.91)</f>
        <v>59002.733500000002</v>
      </c>
      <c r="E47" s="193">
        <f t="shared" si="1"/>
        <v>5168.0071753442544</v>
      </c>
      <c r="F47" s="184">
        <f t="shared" si="0"/>
        <v>11.416921745289503</v>
      </c>
      <c r="G47" s="184"/>
      <c r="H47" s="216">
        <f t="shared" si="2"/>
        <v>-0.13826709399083004</v>
      </c>
      <c r="I47" s="216">
        <f t="shared" si="7"/>
        <v>0.11942669833040243</v>
      </c>
      <c r="J47" s="216">
        <v>-0.14460000000000001</v>
      </c>
      <c r="K47" s="216">
        <f t="shared" si="8"/>
        <v>8.1057364783819308E-2</v>
      </c>
      <c r="L47" s="216"/>
      <c r="M47" s="216">
        <f t="shared" si="3"/>
        <v>-0.14460000000000001</v>
      </c>
      <c r="N47" s="216"/>
      <c r="O47" s="195">
        <f t="shared" si="4"/>
        <v>22833.843490579016</v>
      </c>
      <c r="P47" s="195">
        <f t="shared" si="5"/>
        <v>21085.44251396547</v>
      </c>
      <c r="Q47" s="216"/>
      <c r="R47" s="216"/>
      <c r="S47" s="216"/>
      <c r="T47" s="194"/>
      <c r="U47" s="194"/>
      <c r="V47" s="194"/>
      <c r="W47" s="194"/>
      <c r="X47" s="5"/>
      <c r="Y47" s="5"/>
      <c r="Z47" s="5"/>
      <c r="AA47" s="5"/>
      <c r="AB47" s="5"/>
    </row>
    <row r="48" spans="1:28" ht="12.75" customHeight="1">
      <c r="A48" s="178">
        <v>36039</v>
      </c>
      <c r="B48" s="192">
        <f t="shared" si="6"/>
        <v>59002.733500000002</v>
      </c>
      <c r="C48" s="196"/>
      <c r="D48" s="192">
        <f>59092.87+(39.54*97.91)</f>
        <v>62964.231400000004</v>
      </c>
      <c r="E48" s="193">
        <f t="shared" si="1"/>
        <v>5168.0071753442544</v>
      </c>
      <c r="F48" s="184">
        <f t="shared" si="0"/>
        <v>12.183464392308201</v>
      </c>
      <c r="G48" s="184"/>
      <c r="H48" s="216">
        <f t="shared" si="2"/>
        <v>6.7140921530356001E-2</v>
      </c>
      <c r="I48" s="216">
        <f t="shared" si="7"/>
        <v>0.13151604979247122</v>
      </c>
      <c r="J48" s="216">
        <v>6.4100000000000004E-2</v>
      </c>
      <c r="K48" s="216">
        <f t="shared" si="8"/>
        <v>9.0588871697442341E-2</v>
      </c>
      <c r="L48" s="216"/>
      <c r="M48" s="216">
        <f t="shared" si="3"/>
        <v>6.4100000000000004E-2</v>
      </c>
      <c r="N48" s="216"/>
      <c r="O48" s="195">
        <f t="shared" si="4"/>
        <v>24366.928784616412</v>
      </c>
      <c r="P48" s="195">
        <f t="shared" si="5"/>
        <v>22437.019379110658</v>
      </c>
      <c r="Q48" s="216"/>
      <c r="R48" s="216"/>
      <c r="S48" s="216"/>
      <c r="T48" s="194"/>
      <c r="U48" s="194"/>
      <c r="V48" s="194"/>
      <c r="W48" s="194"/>
      <c r="X48" s="5"/>
      <c r="Y48" s="5"/>
      <c r="Z48" s="5"/>
      <c r="AA48" s="5"/>
      <c r="AB48" s="5"/>
    </row>
    <row r="49" spans="1:28" ht="12.75" customHeight="1">
      <c r="A49" s="178">
        <v>36069</v>
      </c>
      <c r="B49" s="192">
        <f t="shared" si="6"/>
        <v>62964.231400000004</v>
      </c>
      <c r="C49" s="196"/>
      <c r="D49" s="192">
        <f>63382.08+(41.52*97.91)</f>
        <v>67447.303199999995</v>
      </c>
      <c r="E49" s="193">
        <f t="shared" si="1"/>
        <v>5168.0071753442544</v>
      </c>
      <c r="F49" s="184">
        <f t="shared" si="0"/>
        <v>13.050930641462809</v>
      </c>
      <c r="G49" s="184"/>
      <c r="H49" s="216">
        <f t="shared" si="2"/>
        <v>7.1200294203860995E-2</v>
      </c>
      <c r="I49" s="216">
        <f t="shared" si="7"/>
        <v>0.25645081661292313</v>
      </c>
      <c r="J49" s="216">
        <v>8.1299999999999997E-2</v>
      </c>
      <c r="K49" s="216">
        <f t="shared" si="8"/>
        <v>0.22000180733130992</v>
      </c>
      <c r="L49" s="216"/>
      <c r="M49" s="216">
        <f t="shared" si="3"/>
        <v>8.1299999999999997E-2</v>
      </c>
      <c r="N49" s="216"/>
      <c r="O49" s="195">
        <f t="shared" si="4"/>
        <v>26101.861282925627</v>
      </c>
      <c r="P49" s="195">
        <f t="shared" si="5"/>
        <v>24261.149054632351</v>
      </c>
      <c r="Q49" s="216"/>
      <c r="R49" s="216"/>
      <c r="S49" s="216"/>
      <c r="T49" s="194"/>
      <c r="U49" s="194"/>
      <c r="V49" s="194"/>
      <c r="W49" s="194"/>
      <c r="X49" s="5"/>
      <c r="Y49" s="5"/>
      <c r="Z49" s="5"/>
      <c r="AA49" s="5"/>
      <c r="AB49" s="5"/>
    </row>
    <row r="50" spans="1:28" ht="12.75" customHeight="1">
      <c r="A50" s="178">
        <v>36100</v>
      </c>
      <c r="B50" s="192">
        <f t="shared" si="6"/>
        <v>67447.303199999995</v>
      </c>
      <c r="C50" s="196"/>
      <c r="D50" s="192">
        <f>65289.53+(44.15*97.91)</f>
        <v>69612.256500000003</v>
      </c>
      <c r="E50" s="193">
        <f t="shared" si="1"/>
        <v>5168.0071753442544</v>
      </c>
      <c r="F50" s="184">
        <f t="shared" si="0"/>
        <v>13.469845172063437</v>
      </c>
      <c r="G50" s="184"/>
      <c r="H50" s="216">
        <f t="shared" si="2"/>
        <v>3.2098441261325522E-2</v>
      </c>
      <c r="I50" s="216">
        <f t="shared" si="7"/>
        <v>0.24030647538596228</v>
      </c>
      <c r="J50" s="216">
        <v>6.0600000000000001E-2</v>
      </c>
      <c r="K50" s="216">
        <f t="shared" si="8"/>
        <v>0.2366758261068409</v>
      </c>
      <c r="L50" s="216"/>
      <c r="M50" s="216">
        <f t="shared" si="3"/>
        <v>6.0600000000000001E-2</v>
      </c>
      <c r="N50" s="216"/>
      <c r="O50" s="195">
        <f t="shared" si="4"/>
        <v>26939.690344126881</v>
      </c>
      <c r="P50" s="195">
        <f t="shared" si="5"/>
        <v>25731.374687343072</v>
      </c>
      <c r="Q50" s="216"/>
      <c r="R50" s="216"/>
      <c r="S50" s="216"/>
      <c r="T50" s="194"/>
      <c r="U50" s="194"/>
      <c r="V50" s="194"/>
      <c r="W50" s="194"/>
      <c r="X50" s="5"/>
      <c r="Y50" s="5"/>
      <c r="Z50" s="5"/>
      <c r="AA50" s="5"/>
      <c r="AB50" s="5"/>
    </row>
    <row r="51" spans="1:28" ht="12.75" customHeight="1">
      <c r="A51" s="1439">
        <v>36130</v>
      </c>
      <c r="B51" s="1440">
        <f t="shared" si="6"/>
        <v>69612.256500000003</v>
      </c>
      <c r="C51" s="1441"/>
      <c r="D51" s="1440">
        <f>71279.83+(47.36*98.308)</f>
        <v>75935.696880000003</v>
      </c>
      <c r="E51" s="1442">
        <f t="shared" si="1"/>
        <v>5168.0071753442544</v>
      </c>
      <c r="F51" s="1443">
        <f t="shared" si="0"/>
        <v>14.69341939815355</v>
      </c>
      <c r="G51" s="1443"/>
      <c r="H51" s="1444">
        <f t="shared" si="2"/>
        <v>9.083803194915821E-2</v>
      </c>
      <c r="I51" s="1444">
        <f t="shared" si="7"/>
        <v>0.30594938264496352</v>
      </c>
      <c r="J51" s="1444">
        <v>5.7599999999999998E-2</v>
      </c>
      <c r="K51" s="1444">
        <f t="shared" si="8"/>
        <v>0.28579271892508329</v>
      </c>
      <c r="L51" s="1444"/>
      <c r="M51" s="1446">
        <f t="shared" si="3"/>
        <v>5.7599999999999998E-2</v>
      </c>
      <c r="N51" s="1444"/>
      <c r="O51" s="1447">
        <f t="shared" si="4"/>
        <v>29386.838796307107</v>
      </c>
      <c r="P51" s="1448">
        <f t="shared" si="5"/>
        <v>27213.501869334035</v>
      </c>
      <c r="Q51" s="1444"/>
      <c r="R51" s="1444"/>
      <c r="S51" s="1444"/>
      <c r="T51" s="1438"/>
      <c r="U51" s="1438"/>
      <c r="V51" s="1438"/>
      <c r="W51" s="1438"/>
      <c r="X51" s="1435"/>
      <c r="Y51" s="1435"/>
      <c r="Z51" s="1435"/>
      <c r="AA51" s="1435"/>
      <c r="AB51" s="1435"/>
    </row>
    <row r="52" spans="1:28" ht="12.75" customHeight="1">
      <c r="A52" s="178">
        <v>36161</v>
      </c>
      <c r="B52" s="192">
        <f t="shared" si="6"/>
        <v>75935.696880000003</v>
      </c>
      <c r="C52" s="196"/>
      <c r="D52" s="192">
        <f>73114.29+(50.25*98.308)</f>
        <v>78054.266999999993</v>
      </c>
      <c r="E52" s="193">
        <f t="shared" si="1"/>
        <v>5168.0071753442544</v>
      </c>
      <c r="F52" s="184">
        <f t="shared" si="0"/>
        <v>15.103358867685898</v>
      </c>
      <c r="G52" s="184"/>
      <c r="H52" s="216">
        <f t="shared" si="2"/>
        <v>2.7899528246220461E-2</v>
      </c>
      <c r="I52" s="216">
        <f t="shared" si="7"/>
        <v>0.33071915816502195</v>
      </c>
      <c r="J52" s="216">
        <v>4.1799999999999997E-2</v>
      </c>
      <c r="K52" s="216">
        <f t="shared" si="8"/>
        <v>0.32483320598966614</v>
      </c>
      <c r="L52" s="216"/>
      <c r="M52" s="216">
        <f t="shared" si="3"/>
        <v>4.1799999999999997E-2</v>
      </c>
      <c r="N52" s="216"/>
      <c r="O52" s="195">
        <f t="shared" si="4"/>
        <v>30206.717735371803</v>
      </c>
      <c r="P52" s="195">
        <f t="shared" si="5"/>
        <v>28351.0262474722</v>
      </c>
      <c r="Q52" s="216"/>
      <c r="R52" s="216"/>
      <c r="S52" s="216"/>
      <c r="T52" s="194"/>
      <c r="U52" s="194"/>
      <c r="V52" s="194"/>
      <c r="W52" s="194"/>
      <c r="X52" s="5"/>
      <c r="Y52" s="5"/>
      <c r="Z52" s="5"/>
      <c r="AA52" s="5"/>
      <c r="AB52" s="5"/>
    </row>
    <row r="53" spans="1:28" ht="12.75" customHeight="1">
      <c r="A53" s="178">
        <v>36192</v>
      </c>
      <c r="B53" s="192">
        <f t="shared" si="6"/>
        <v>78054.266999999993</v>
      </c>
      <c r="C53" s="196"/>
      <c r="D53" s="192">
        <f>69252.15+(48.7*98.308)</f>
        <v>74039.749599999996</v>
      </c>
      <c r="E53" s="193">
        <f t="shared" si="1"/>
        <v>5168.0071753442544</v>
      </c>
      <c r="F53" s="184">
        <f t="shared" si="0"/>
        <v>14.326557043734757</v>
      </c>
      <c r="G53" s="184"/>
      <c r="H53" s="216">
        <f t="shared" si="2"/>
        <v>-5.1432388699518515E-2</v>
      </c>
      <c r="I53" s="216">
        <f t="shared" si="7"/>
        <v>0.20223371885387875</v>
      </c>
      <c r="J53" s="216">
        <v>-3.1099999999999999E-2</v>
      </c>
      <c r="K53" s="216">
        <f t="shared" si="8"/>
        <v>0.19730518914596384</v>
      </c>
      <c r="L53" s="216"/>
      <c r="M53" s="216">
        <f t="shared" si="3"/>
        <v>-3.1099999999999999E-2</v>
      </c>
      <c r="N53" s="216"/>
      <c r="O53" s="195">
        <f t="shared" si="4"/>
        <v>28653.114087469523</v>
      </c>
      <c r="P53" s="195">
        <f t="shared" si="5"/>
        <v>27469.309331175813</v>
      </c>
      <c r="Q53" s="216"/>
      <c r="R53" s="216"/>
      <c r="S53" s="216"/>
      <c r="T53" s="194"/>
      <c r="U53" s="194"/>
      <c r="V53" s="194"/>
      <c r="W53" s="194"/>
      <c r="X53" s="5"/>
      <c r="Y53" s="5"/>
      <c r="Z53" s="5"/>
      <c r="AA53" s="5"/>
      <c r="AB53" s="5"/>
    </row>
    <row r="54" spans="1:28" ht="12.75" customHeight="1">
      <c r="A54" s="178">
        <v>36220</v>
      </c>
      <c r="B54" s="192">
        <f t="shared" si="6"/>
        <v>74039.749599999996</v>
      </c>
      <c r="C54" s="196">
        <v>3577.82</v>
      </c>
      <c r="D54" s="192">
        <f>74698.35+(50.56*98.308)</f>
        <v>79668.802480000013</v>
      </c>
      <c r="E54" s="193">
        <f t="shared" si="1"/>
        <v>5417.7405892466995</v>
      </c>
      <c r="F54" s="184">
        <f t="shared" si="0"/>
        <v>14.70517112578796</v>
      </c>
      <c r="G54" s="184"/>
      <c r="H54" s="216">
        <f t="shared" si="2"/>
        <v>2.6427429904994269E-2</v>
      </c>
      <c r="I54" s="216">
        <f t="shared" si="7"/>
        <v>0.17541285254358563</v>
      </c>
      <c r="J54" s="216">
        <v>0.04</v>
      </c>
      <c r="K54" s="216">
        <f t="shared" si="8"/>
        <v>0.18454851285369367</v>
      </c>
      <c r="L54" s="216"/>
      <c r="M54" s="216">
        <f t="shared" si="3"/>
        <v>0.04</v>
      </c>
      <c r="N54" s="216"/>
      <c r="O54" s="195">
        <f t="shared" si="4"/>
        <v>29410.342251575927</v>
      </c>
      <c r="P54" s="195">
        <f t="shared" si="5"/>
        <v>28568.081704422846</v>
      </c>
      <c r="Q54" s="216"/>
      <c r="R54" s="216"/>
      <c r="S54" s="216"/>
      <c r="T54" s="194"/>
      <c r="U54" s="194"/>
      <c r="V54" s="194"/>
      <c r="W54" s="194"/>
      <c r="X54" s="5"/>
      <c r="Y54" s="5"/>
      <c r="Z54" s="5"/>
      <c r="AA54" s="5"/>
      <c r="AB54" s="5"/>
    </row>
    <row r="55" spans="1:28" ht="12.75" customHeight="1">
      <c r="A55" s="178">
        <v>36251</v>
      </c>
      <c r="B55" s="192">
        <f t="shared" si="6"/>
        <v>79668.802480000013</v>
      </c>
      <c r="C55" s="196"/>
      <c r="D55" s="192">
        <f>78325.87+(51.36*98.308)</f>
        <v>83374.96888</v>
      </c>
      <c r="E55" s="193">
        <f t="shared" si="1"/>
        <v>5417.7405892466995</v>
      </c>
      <c r="F55" s="184">
        <f t="shared" si="0"/>
        <v>15.389250833730436</v>
      </c>
      <c r="G55" s="184"/>
      <c r="H55" s="216">
        <f t="shared" si="2"/>
        <v>4.651966999165548E-2</v>
      </c>
      <c r="I55" s="216">
        <f t="shared" si="7"/>
        <v>0.21956396821476853</v>
      </c>
      <c r="J55" s="216">
        <v>3.8699999999999998E-2</v>
      </c>
      <c r="K55" s="216">
        <f t="shared" si="8"/>
        <v>0.21808785298597266</v>
      </c>
      <c r="L55" s="216"/>
      <c r="M55" s="216">
        <f t="shared" si="3"/>
        <v>3.8699999999999998E-2</v>
      </c>
      <c r="N55" s="216"/>
      <c r="O55" s="195">
        <f t="shared" si="4"/>
        <v>30778.501667460881</v>
      </c>
      <c r="P55" s="195">
        <f t="shared" si="5"/>
        <v>29673.666466384009</v>
      </c>
      <c r="Q55" s="216"/>
      <c r="R55" s="216"/>
      <c r="S55" s="216"/>
      <c r="T55" s="194"/>
      <c r="U55" s="194"/>
      <c r="V55" s="194"/>
      <c r="W55" s="194"/>
      <c r="X55" s="5"/>
      <c r="Y55" s="5"/>
      <c r="Z55" s="5"/>
      <c r="AA55" s="5"/>
      <c r="AB55" s="5"/>
    </row>
    <row r="56" spans="1:28" ht="12.75" customHeight="1">
      <c r="A56" s="178">
        <v>36281</v>
      </c>
      <c r="B56" s="192">
        <f t="shared" si="6"/>
        <v>83374.96888</v>
      </c>
      <c r="C56" s="196"/>
      <c r="D56" s="192">
        <f>75667.71+(50.13*98.308)</f>
        <v>80595.890040000013</v>
      </c>
      <c r="E56" s="193">
        <f t="shared" si="1"/>
        <v>5417.7405892466995</v>
      </c>
      <c r="F56" s="184">
        <f t="shared" si="0"/>
        <v>14.876291825409517</v>
      </c>
      <c r="G56" s="184"/>
      <c r="H56" s="216">
        <f t="shared" si="2"/>
        <v>-3.3332292381420325E-2</v>
      </c>
      <c r="I56" s="216">
        <f t="shared" si="7"/>
        <v>0.12357080517849561</v>
      </c>
      <c r="J56" s="216">
        <v>-2.3599999999999999E-2</v>
      </c>
      <c r="K56" s="216">
        <f t="shared" si="8"/>
        <v>0.21015565695513172</v>
      </c>
      <c r="L56" s="216"/>
      <c r="M56" s="216">
        <f t="shared" si="3"/>
        <v>-2.3599999999999999E-2</v>
      </c>
      <c r="N56" s="216"/>
      <c r="O56" s="195">
        <f t="shared" si="4"/>
        <v>29752.583650819044</v>
      </c>
      <c r="P56" s="195">
        <f t="shared" si="5"/>
        <v>28973.367937777348</v>
      </c>
      <c r="Q56" s="216"/>
      <c r="R56" s="216"/>
      <c r="S56" s="216"/>
      <c r="T56" s="194"/>
      <c r="U56" s="194"/>
      <c r="V56" s="194"/>
      <c r="W56" s="194"/>
      <c r="X56" s="5"/>
      <c r="Y56" s="5"/>
      <c r="Z56" s="5"/>
      <c r="AA56" s="5"/>
      <c r="AB56" s="5"/>
    </row>
    <row r="57" spans="1:28" ht="12.75" customHeight="1">
      <c r="A57" s="178">
        <v>36312</v>
      </c>
      <c r="B57" s="192">
        <f t="shared" si="6"/>
        <v>80595.890040000013</v>
      </c>
      <c r="C57" s="196"/>
      <c r="D57" s="192">
        <f>79772.94+(53.26*98.308)</f>
        <v>85008.824080000006</v>
      </c>
      <c r="E57" s="193">
        <f t="shared" si="1"/>
        <v>5417.7405892466995</v>
      </c>
      <c r="F57" s="184">
        <f t="shared" si="0"/>
        <v>15.690825848828601</v>
      </c>
      <c r="G57" s="184"/>
      <c r="H57" s="216">
        <f t="shared" si="2"/>
        <v>5.475383469069995E-2</v>
      </c>
      <c r="I57" s="216">
        <f t="shared" si="7"/>
        <v>0.15190652008853234</v>
      </c>
      <c r="J57" s="216">
        <v>5.5500000000000001E-2</v>
      </c>
      <c r="K57" s="216">
        <f t="shared" si="8"/>
        <v>0.22748346714985801</v>
      </c>
      <c r="L57" s="216"/>
      <c r="M57" s="216">
        <f t="shared" si="3"/>
        <v>5.5500000000000001E-2</v>
      </c>
      <c r="N57" s="216"/>
      <c r="O57" s="195">
        <f t="shared" si="4"/>
        <v>31381.651697657213</v>
      </c>
      <c r="P57" s="195">
        <f t="shared" si="5"/>
        <v>30581.389858323993</v>
      </c>
      <c r="Q57" s="216"/>
      <c r="R57" s="216"/>
      <c r="S57" s="216"/>
      <c r="T57" s="194"/>
      <c r="U57" s="194"/>
      <c r="V57" s="194"/>
      <c r="W57" s="194"/>
      <c r="X57" s="5"/>
      <c r="Y57" s="5"/>
      <c r="Z57" s="5"/>
      <c r="AA57" s="5"/>
      <c r="AB57" s="5"/>
    </row>
    <row r="58" spans="1:28" ht="12.75" customHeight="1">
      <c r="A58" s="178">
        <v>36342</v>
      </c>
      <c r="B58" s="192">
        <f t="shared" si="6"/>
        <v>85008.824080000006</v>
      </c>
      <c r="C58" s="196"/>
      <c r="D58" s="192">
        <f>77138.82+(53.26*98.308)</f>
        <v>82374.70408000001</v>
      </c>
      <c r="E58" s="193">
        <f t="shared" si="1"/>
        <v>5417.7405892466995</v>
      </c>
      <c r="F58" s="184">
        <f t="shared" si="0"/>
        <v>15.20462316772787</v>
      </c>
      <c r="G58" s="184"/>
      <c r="H58" s="216">
        <f t="shared" si="2"/>
        <v>-3.0986430273651118E-2</v>
      </c>
      <c r="I58" s="216">
        <f t="shared" si="7"/>
        <v>0.14762318595258495</v>
      </c>
      <c r="J58" s="216">
        <v>-3.1199999999999999E-2</v>
      </c>
      <c r="K58" s="216">
        <f t="shared" si="8"/>
        <v>0.20192640284493835</v>
      </c>
      <c r="L58" s="216"/>
      <c r="M58" s="216">
        <f t="shared" si="3"/>
        <v>-3.1199999999999999E-2</v>
      </c>
      <c r="N58" s="216"/>
      <c r="O58" s="195">
        <f t="shared" si="4"/>
        <v>30409.246335455751</v>
      </c>
      <c r="P58" s="195">
        <f t="shared" si="5"/>
        <v>29627.250494744283</v>
      </c>
      <c r="Q58" s="216"/>
      <c r="R58" s="216"/>
      <c r="S58" s="216"/>
      <c r="T58" s="194"/>
      <c r="U58" s="194"/>
      <c r="V58" s="194"/>
      <c r="W58" s="194"/>
      <c r="X58" s="5"/>
      <c r="Y58" s="5"/>
      <c r="Z58" s="5"/>
      <c r="AA58" s="5"/>
      <c r="AB58" s="5"/>
    </row>
    <row r="59" spans="1:28" ht="12.75" customHeight="1">
      <c r="A59" s="178">
        <v>36373</v>
      </c>
      <c r="B59" s="192">
        <f t="shared" si="6"/>
        <v>82374.70408000001</v>
      </c>
      <c r="C59" s="196"/>
      <c r="D59" s="192">
        <f>76957.58+(53.45*98.308)</f>
        <v>82212.142600000006</v>
      </c>
      <c r="E59" s="193">
        <f t="shared" si="1"/>
        <v>5417.7405892466995</v>
      </c>
      <c r="F59" s="184">
        <f t="shared" si="0"/>
        <v>15.174617766523784</v>
      </c>
      <c r="G59" s="184"/>
      <c r="H59" s="216">
        <f t="shared" si="2"/>
        <v>-1.9734393199413915E-3</v>
      </c>
      <c r="I59" s="216">
        <f t="shared" si="7"/>
        <v>0.32913390360975958</v>
      </c>
      <c r="J59" s="216">
        <v>-5.0000000000000001E-3</v>
      </c>
      <c r="K59" s="216">
        <f t="shared" si="8"/>
        <v>0.39807899325545315</v>
      </c>
      <c r="L59" s="216"/>
      <c r="M59" s="216">
        <f t="shared" si="3"/>
        <v>-5.0000000000000001E-3</v>
      </c>
      <c r="N59" s="216"/>
      <c r="O59" s="195">
        <f t="shared" si="4"/>
        <v>30349.235533047577</v>
      </c>
      <c r="P59" s="195">
        <f t="shared" si="5"/>
        <v>29479.11424227056</v>
      </c>
      <c r="Q59" s="216"/>
      <c r="R59" s="216"/>
      <c r="S59" s="216"/>
      <c r="T59" s="194"/>
      <c r="U59" s="194"/>
      <c r="V59" s="194"/>
      <c r="W59" s="194"/>
      <c r="X59" s="5"/>
      <c r="Y59" s="5"/>
      <c r="Z59" s="5"/>
      <c r="AA59" s="5"/>
      <c r="AB59" s="5"/>
    </row>
    <row r="60" spans="1:28" ht="12.75" customHeight="1">
      <c r="A60" s="178">
        <v>36404</v>
      </c>
      <c r="B60" s="192">
        <f t="shared" si="6"/>
        <v>82212.142600000006</v>
      </c>
      <c r="C60" s="196">
        <f>(-6161.77+23.43)</f>
        <v>-6138.34</v>
      </c>
      <c r="D60" s="192">
        <f>71171.15+(54.78*98.308)</f>
        <v>76556.462239999993</v>
      </c>
      <c r="E60" s="193">
        <f t="shared" si="1"/>
        <v>5013.226940570712</v>
      </c>
      <c r="F60" s="184">
        <f t="shared" si="0"/>
        <v>15.270895003864458</v>
      </c>
      <c r="G60" s="184"/>
      <c r="H60" s="216">
        <f t="shared" si="2"/>
        <v>6.3446235563882165E-3</v>
      </c>
      <c r="I60" s="216">
        <f t="shared" si="7"/>
        <v>0.25341155127481185</v>
      </c>
      <c r="J60" s="216">
        <v>-2.7400000000000001E-2</v>
      </c>
      <c r="K60" s="216">
        <f t="shared" si="8"/>
        <v>0.27786075447820013</v>
      </c>
      <c r="L60" s="216"/>
      <c r="M60" s="216">
        <f t="shared" si="3"/>
        <v>-2.7400000000000001E-2</v>
      </c>
      <c r="N60" s="216"/>
      <c r="O60" s="195">
        <f t="shared" si="4"/>
        <v>30541.790007728923</v>
      </c>
      <c r="P60" s="195">
        <f t="shared" si="5"/>
        <v>28671.386512032346</v>
      </c>
      <c r="Q60" s="216"/>
      <c r="R60" s="216"/>
      <c r="S60" s="216"/>
      <c r="T60" s="194"/>
      <c r="U60" s="194"/>
      <c r="V60" s="194"/>
      <c r="W60" s="194"/>
      <c r="X60" s="5"/>
      <c r="Y60" s="5"/>
      <c r="Z60" s="5"/>
      <c r="AA60" s="5"/>
      <c r="AB60" s="5"/>
    </row>
    <row r="61" spans="1:28" ht="12.75" customHeight="1">
      <c r="A61" s="178">
        <v>36434</v>
      </c>
      <c r="B61" s="192">
        <f t="shared" si="6"/>
        <v>76556.462239999993</v>
      </c>
      <c r="C61" s="196">
        <v>16.46</v>
      </c>
      <c r="D61" s="192">
        <f>70953.89+(58.87*98.308)</f>
        <v>76741.281959999993</v>
      </c>
      <c r="E61" s="193">
        <f t="shared" si="1"/>
        <v>5014.3048079776872</v>
      </c>
      <c r="F61" s="184">
        <f t="shared" si="0"/>
        <v>15.304470888547842</v>
      </c>
      <c r="G61" s="184"/>
      <c r="H61" s="216">
        <f t="shared" si="2"/>
        <v>2.1986847971180879E-3</v>
      </c>
      <c r="I61" s="216">
        <f t="shared" si="7"/>
        <v>0.17267276250212604</v>
      </c>
      <c r="J61" s="216">
        <v>6.3299999999999995E-2</v>
      </c>
      <c r="K61" s="216">
        <f t="shared" si="8"/>
        <v>0.25658868051111661</v>
      </c>
      <c r="L61" s="216"/>
      <c r="M61" s="216">
        <f t="shared" si="3"/>
        <v>6.3299999999999995E-2</v>
      </c>
      <c r="N61" s="216"/>
      <c r="O61" s="195">
        <f t="shared" si="4"/>
        <v>30608.94177709569</v>
      </c>
      <c r="P61" s="195">
        <f t="shared" si="5"/>
        <v>30486.285278243991</v>
      </c>
      <c r="Q61" s="216"/>
      <c r="R61" s="216"/>
      <c r="S61" s="216"/>
      <c r="T61" s="194"/>
      <c r="U61" s="194"/>
      <c r="V61" s="194"/>
      <c r="W61" s="194"/>
      <c r="X61" s="5"/>
      <c r="Y61" s="5"/>
      <c r="Z61" s="5"/>
      <c r="AA61" s="5"/>
      <c r="AB61" s="5"/>
    </row>
    <row r="62" spans="1:28" ht="12.75" customHeight="1">
      <c r="A62" s="178">
        <v>36465</v>
      </c>
      <c r="B62" s="192">
        <f t="shared" si="6"/>
        <v>76741.281959999993</v>
      </c>
      <c r="C62" s="196">
        <f>0.86+2406.25+3707</f>
        <v>6114.1100000000006</v>
      </c>
      <c r="D62" s="192">
        <f>80924.59+(67.44*98.308)</f>
        <v>87554.481520000001</v>
      </c>
      <c r="E62" s="193">
        <f t="shared" si="1"/>
        <v>5413.8031012885076</v>
      </c>
      <c r="F62" s="184">
        <f t="shared" si="0"/>
        <v>16.172453981409422</v>
      </c>
      <c r="G62" s="184"/>
      <c r="H62" s="216">
        <f t="shared" si="2"/>
        <v>5.6714348322298554E-2</v>
      </c>
      <c r="I62" s="216">
        <f t="shared" si="7"/>
        <v>0.20064141605363162</v>
      </c>
      <c r="J62" s="216">
        <v>2.0299999999999999E-2</v>
      </c>
      <c r="K62" s="216">
        <f t="shared" si="8"/>
        <v>0.20884162806476736</v>
      </c>
      <c r="L62" s="216"/>
      <c r="M62" s="216">
        <f t="shared" si="3"/>
        <v>2.0299999999999999E-2</v>
      </c>
      <c r="N62" s="216"/>
      <c r="O62" s="195">
        <f t="shared" si="4"/>
        <v>32344.907962818848</v>
      </c>
      <c r="P62" s="195">
        <f t="shared" si="5"/>
        <v>31105.156869392344</v>
      </c>
      <c r="Q62" s="216"/>
      <c r="R62" s="216"/>
      <c r="S62" s="216"/>
      <c r="T62" s="194"/>
      <c r="U62" s="194"/>
      <c r="V62" s="194"/>
      <c r="W62" s="194"/>
      <c r="X62" s="5"/>
      <c r="Y62" s="5"/>
      <c r="Z62" s="5"/>
      <c r="AA62" s="5"/>
      <c r="AB62" s="5"/>
    </row>
    <row r="63" spans="1:28" ht="12.75" customHeight="1">
      <c r="A63" s="1439">
        <v>36495</v>
      </c>
      <c r="B63" s="1440">
        <f t="shared" si="6"/>
        <v>87554.481520000001</v>
      </c>
      <c r="C63" s="1441"/>
      <c r="D63" s="1440">
        <f>90144.67+(76.43*100.128)</f>
        <v>97797.453039999993</v>
      </c>
      <c r="E63" s="1442">
        <f t="shared" si="1"/>
        <v>5413.8031012885076</v>
      </c>
      <c r="F63" s="1443">
        <f t="shared" si="0"/>
        <v>18.064464335011333</v>
      </c>
      <c r="G63" s="1443"/>
      <c r="H63" s="1444">
        <f t="shared" si="2"/>
        <v>0.11698968850224073</v>
      </c>
      <c r="I63" s="1444">
        <f t="shared" si="7"/>
        <v>0.22942548943246011</v>
      </c>
      <c r="J63" s="1444">
        <v>5.8900000000000001E-2</v>
      </c>
      <c r="K63" s="1444">
        <f t="shared" si="8"/>
        <v>0.21032753399941595</v>
      </c>
      <c r="L63" s="1444"/>
      <c r="M63" s="1446">
        <f t="shared" si="3"/>
        <v>5.8900000000000001E-2</v>
      </c>
      <c r="N63" s="1444"/>
      <c r="O63" s="1447">
        <f t="shared" si="4"/>
        <v>36128.928670022673</v>
      </c>
      <c r="P63" s="1448">
        <f t="shared" si="5"/>
        <v>32937.250608999551</v>
      </c>
      <c r="Q63" s="1444"/>
      <c r="R63" s="1444"/>
      <c r="S63" s="1444"/>
      <c r="T63" s="1438"/>
      <c r="U63" s="1438"/>
      <c r="V63" s="1438"/>
      <c r="W63" s="1438"/>
      <c r="X63" s="1435"/>
      <c r="Y63" s="1435"/>
      <c r="Z63" s="1435"/>
      <c r="AA63" s="1435"/>
      <c r="AB63" s="1435"/>
    </row>
    <row r="64" spans="1:28" ht="12.75" customHeight="1">
      <c r="A64" s="178">
        <v>36526</v>
      </c>
      <c r="B64" s="192">
        <f t="shared" si="6"/>
        <v>97797.453039999993</v>
      </c>
      <c r="C64" s="196"/>
      <c r="D64" s="192">
        <f>86174.94+(75.45*100.128)</f>
        <v>93729.597600000008</v>
      </c>
      <c r="E64" s="193">
        <f t="shared" si="1"/>
        <v>5413.8031012885076</v>
      </c>
      <c r="F64" s="184">
        <f t="shared" si="0"/>
        <v>17.313078412048636</v>
      </c>
      <c r="G64" s="184"/>
      <c r="H64" s="216">
        <f t="shared" si="2"/>
        <v>-4.1594697137319017E-2</v>
      </c>
      <c r="I64" s="216">
        <f t="shared" si="7"/>
        <v>0.14630649802611106</v>
      </c>
      <c r="J64" s="216">
        <v>-5.0200000000000002E-2</v>
      </c>
      <c r="K64" s="216">
        <f t="shared" si="8"/>
        <v>0.10344508714978407</v>
      </c>
      <c r="L64" s="216"/>
      <c r="M64" s="216">
        <f t="shared" si="3"/>
        <v>-5.0200000000000002E-2</v>
      </c>
      <c r="N64" s="216"/>
      <c r="O64" s="195">
        <f t="shared" si="4"/>
        <v>34626.156824097277</v>
      </c>
      <c r="P64" s="195">
        <f t="shared" si="5"/>
        <v>31283.800628427773</v>
      </c>
      <c r="Q64" s="216"/>
      <c r="R64" s="216"/>
      <c r="S64" s="216"/>
      <c r="T64" s="194"/>
      <c r="U64" s="194"/>
      <c r="V64" s="194"/>
      <c r="W64" s="194"/>
      <c r="X64" s="5"/>
      <c r="Y64" s="5"/>
      <c r="Z64" s="5"/>
      <c r="AA64" s="5"/>
      <c r="AB64" s="5"/>
    </row>
    <row r="65" spans="1:28" ht="12.75" customHeight="1">
      <c r="A65" s="178">
        <v>36557</v>
      </c>
      <c r="B65" s="192">
        <f t="shared" si="6"/>
        <v>93729.597600000008</v>
      </c>
      <c r="C65" s="196"/>
      <c r="D65" s="192">
        <f>88538.35+(85.59*100.128)</f>
        <v>97108.305520000009</v>
      </c>
      <c r="E65" s="193">
        <f t="shared" si="1"/>
        <v>5413.8031012885076</v>
      </c>
      <c r="F65" s="184">
        <f t="shared" si="0"/>
        <v>17.937169805249813</v>
      </c>
      <c r="G65" s="184"/>
      <c r="H65" s="216">
        <f t="shared" si="2"/>
        <v>3.6047395982845808E-2</v>
      </c>
      <c r="I65" s="216">
        <f t="shared" si="7"/>
        <v>0.25202236311857185</v>
      </c>
      <c r="J65" s="216">
        <v>-1.89E-2</v>
      </c>
      <c r="K65" s="216">
        <f t="shared" si="8"/>
        <v>0.1173392248969487</v>
      </c>
      <c r="L65" s="216"/>
      <c r="M65" s="216">
        <f t="shared" si="3"/>
        <v>-1.89E-2</v>
      </c>
      <c r="N65" s="216"/>
      <c r="O65" s="195">
        <f t="shared" si="4"/>
        <v>35874.339610499628</v>
      </c>
      <c r="P65" s="195">
        <f t="shared" si="5"/>
        <v>30692.536796550488</v>
      </c>
      <c r="Q65" s="216"/>
      <c r="R65" s="216"/>
      <c r="S65" s="216"/>
      <c r="T65" s="194"/>
      <c r="U65" s="194"/>
      <c r="V65" s="194"/>
      <c r="W65" s="194"/>
      <c r="X65" s="5"/>
      <c r="Y65" s="5"/>
      <c r="Z65" s="5"/>
      <c r="AA65" s="5"/>
      <c r="AB65" s="5"/>
    </row>
    <row r="66" spans="1:28" ht="12.75" customHeight="1">
      <c r="A66" s="178">
        <v>36586</v>
      </c>
      <c r="B66" s="192">
        <f t="shared" si="6"/>
        <v>97108.305520000009</v>
      </c>
      <c r="C66" s="196"/>
      <c r="D66" s="192">
        <f>96744.01+(85.46*100.128)</f>
        <v>105300.94888</v>
      </c>
      <c r="E66" s="193">
        <f t="shared" si="1"/>
        <v>5413.8031012885076</v>
      </c>
      <c r="F66" s="184">
        <f t="shared" si="0"/>
        <v>19.450457822327881</v>
      </c>
      <c r="G66" s="184"/>
      <c r="H66" s="216">
        <f t="shared" si="2"/>
        <v>8.4366041772942477E-2</v>
      </c>
      <c r="I66" s="216">
        <f t="shared" si="7"/>
        <v>0.32269510201198992</v>
      </c>
      <c r="J66" s="216">
        <v>9.7799999999999998E-2</v>
      </c>
      <c r="K66" s="216">
        <f t="shared" si="8"/>
        <v>0.17943750104987499</v>
      </c>
      <c r="L66" s="216"/>
      <c r="M66" s="216">
        <f t="shared" si="3"/>
        <v>9.7799999999999998E-2</v>
      </c>
      <c r="N66" s="216"/>
      <c r="O66" s="195">
        <f t="shared" si="4"/>
        <v>38900.915644655761</v>
      </c>
      <c r="P66" s="195">
        <f t="shared" si="5"/>
        <v>33694.266895253124</v>
      </c>
      <c r="Q66" s="216"/>
      <c r="R66" s="216"/>
      <c r="S66" s="216"/>
      <c r="T66" s="194"/>
      <c r="U66" s="194"/>
      <c r="V66" s="194"/>
      <c r="W66" s="194"/>
      <c r="X66" s="5"/>
      <c r="Y66" s="5"/>
      <c r="Z66" s="5"/>
      <c r="AA66" s="5"/>
      <c r="AB66" s="5"/>
    </row>
    <row r="67" spans="1:28" ht="12.75" customHeight="1">
      <c r="A67" s="178">
        <v>36617</v>
      </c>
      <c r="B67" s="192">
        <f t="shared" si="6"/>
        <v>105300.94888</v>
      </c>
      <c r="C67" s="196">
        <v>2039.375</v>
      </c>
      <c r="D67" s="192">
        <f>93453.96+(79.23*100.128)</f>
        <v>101387.10144000001</v>
      </c>
      <c r="E67" s="193">
        <f t="shared" si="1"/>
        <v>5518.6528183814862</v>
      </c>
      <c r="F67" s="184">
        <f t="shared" si="0"/>
        <v>18.371712223371009</v>
      </c>
      <c r="G67" s="184"/>
      <c r="H67" s="216">
        <f t="shared" si="2"/>
        <v>-5.5461193191994711E-2</v>
      </c>
      <c r="I67" s="216">
        <f t="shared" si="7"/>
        <v>0.19380159709292433</v>
      </c>
      <c r="J67" s="216">
        <v>-3.0099999999999998E-2</v>
      </c>
      <c r="K67" s="216">
        <f t="shared" si="8"/>
        <v>0.10131552158301105</v>
      </c>
      <c r="L67" s="216"/>
      <c r="M67" s="216">
        <f t="shared" si="3"/>
        <v>-3.0099999999999998E-2</v>
      </c>
      <c r="N67" s="216"/>
      <c r="O67" s="195">
        <f t="shared" si="4"/>
        <v>36743.424446742021</v>
      </c>
      <c r="P67" s="195">
        <f t="shared" si="5"/>
        <v>32680.069461706003</v>
      </c>
      <c r="Q67" s="216"/>
      <c r="R67" s="216"/>
      <c r="S67" s="216"/>
      <c r="T67" s="194"/>
      <c r="U67" s="194"/>
      <c r="V67" s="194"/>
      <c r="W67" s="194"/>
      <c r="X67" s="5"/>
      <c r="Y67" s="5"/>
      <c r="Z67" s="5"/>
      <c r="AA67" s="5"/>
      <c r="AB67" s="5"/>
    </row>
    <row r="68" spans="1:28" ht="12.75" customHeight="1">
      <c r="A68" s="178">
        <v>36647</v>
      </c>
      <c r="B68" s="192">
        <f t="shared" si="6"/>
        <v>101387.10144000001</v>
      </c>
      <c r="C68" s="196"/>
      <c r="D68" s="192">
        <f>88674.92+(73.99*100.128)</f>
        <v>96083.390719999996</v>
      </c>
      <c r="E68" s="193">
        <f t="shared" si="1"/>
        <v>5518.6528183814862</v>
      </c>
      <c r="F68" s="184">
        <f t="shared" ref="F68:F131" si="9">D68/E68</f>
        <v>17.410660514820968</v>
      </c>
      <c r="G68" s="184"/>
      <c r="H68" s="216">
        <f t="shared" si="2"/>
        <v>-5.2311493717361233E-2</v>
      </c>
      <c r="I68" s="216">
        <f t="shared" si="7"/>
        <v>0.17036293178133288</v>
      </c>
      <c r="J68" s="216">
        <v>-2.0500000000000001E-2</v>
      </c>
      <c r="K68" s="216">
        <f t="shared" si="8"/>
        <v>0.10481211940860224</v>
      </c>
      <c r="L68" s="216"/>
      <c r="M68" s="216">
        <f t="shared" si="3"/>
        <v>-2.0500000000000001E-2</v>
      </c>
      <c r="N68" s="216"/>
      <c r="O68" s="195">
        <f t="shared" si="4"/>
        <v>34821.321029641942</v>
      </c>
      <c r="P68" s="195">
        <f t="shared" si="5"/>
        <v>32010.128037741033</v>
      </c>
      <c r="Q68" s="216"/>
      <c r="R68" s="216"/>
      <c r="S68" s="216"/>
      <c r="T68" s="194"/>
      <c r="U68" s="194"/>
      <c r="V68" s="194"/>
      <c r="W68" s="194"/>
      <c r="X68" s="5"/>
      <c r="Y68" s="5"/>
      <c r="Z68" s="5"/>
      <c r="AA68" s="5"/>
      <c r="AB68" s="5"/>
    </row>
    <row r="69" spans="1:28" ht="12.75" customHeight="1">
      <c r="A69" s="178">
        <v>36678</v>
      </c>
      <c r="B69" s="192">
        <f t="shared" si="6"/>
        <v>96083.390719999996</v>
      </c>
      <c r="C69" s="196"/>
      <c r="D69" s="192">
        <f>93871.5+(78.24*100.128)</f>
        <v>101705.51472000001</v>
      </c>
      <c r="E69" s="193">
        <f t="shared" ref="E69:E132" si="10">E68+C69/F68</f>
        <v>5518.6528183814862</v>
      </c>
      <c r="F69" s="184">
        <f t="shared" si="9"/>
        <v>18.429409869966825</v>
      </c>
      <c r="G69" s="184"/>
      <c r="H69" s="216">
        <f t="shared" si="2"/>
        <v>5.8512964185283983E-2</v>
      </c>
      <c r="I69" s="216">
        <f t="shared" si="7"/>
        <v>0.17453409065416858</v>
      </c>
      <c r="J69" s="216">
        <v>2.46E-2</v>
      </c>
      <c r="K69" s="216">
        <f t="shared" si="8"/>
        <v>7.2468496017104256E-2</v>
      </c>
      <c r="L69" s="216"/>
      <c r="M69" s="216">
        <f t="shared" si="3"/>
        <v>2.46E-2</v>
      </c>
      <c r="N69" s="216"/>
      <c r="O69" s="195">
        <f t="shared" si="4"/>
        <v>36858.819739933657</v>
      </c>
      <c r="P69" s="195">
        <f t="shared" si="5"/>
        <v>32797.577187469462</v>
      </c>
      <c r="Q69" s="216"/>
      <c r="R69" s="216"/>
      <c r="S69" s="216"/>
      <c r="T69" s="194"/>
      <c r="U69" s="194"/>
      <c r="V69" s="194"/>
      <c r="W69" s="194"/>
      <c r="X69" s="5"/>
      <c r="Y69" s="5"/>
      <c r="Z69" s="5"/>
      <c r="AA69" s="5"/>
      <c r="AB69" s="5"/>
    </row>
    <row r="70" spans="1:28" ht="12.75" customHeight="1">
      <c r="A70" s="178">
        <v>36708</v>
      </c>
      <c r="B70" s="192">
        <f t="shared" si="6"/>
        <v>101705.51472000001</v>
      </c>
      <c r="C70" s="196"/>
      <c r="D70" s="192">
        <f>91019.31+(76.2*100.128)</f>
        <v>98649.063599999994</v>
      </c>
      <c r="E70" s="193">
        <f t="shared" si="10"/>
        <v>5518.6528183814862</v>
      </c>
      <c r="F70" s="184">
        <f t="shared" si="9"/>
        <v>17.875569789681361</v>
      </c>
      <c r="G70" s="184"/>
      <c r="H70" s="216">
        <f t="shared" si="2"/>
        <v>-3.0051970420822898E-2</v>
      </c>
      <c r="I70" s="216">
        <f t="shared" si="7"/>
        <v>0.1756667424433529</v>
      </c>
      <c r="J70" s="216">
        <v>-1.5599999999999999E-2</v>
      </c>
      <c r="K70" s="216">
        <f t="shared" si="8"/>
        <v>8.9737807059493857E-2</v>
      </c>
      <c r="L70" s="216"/>
      <c r="M70" s="216">
        <f t="shared" si="3"/>
        <v>-1.5599999999999999E-2</v>
      </c>
      <c r="N70" s="216"/>
      <c r="O70" s="195">
        <f t="shared" ref="O70:O133" si="11">O69*(1+H70)</f>
        <v>35751.139579362731</v>
      </c>
      <c r="P70" s="195">
        <f t="shared" ref="P70:P133" si="12">P69*(1+M70)</f>
        <v>32285.934983344941</v>
      </c>
      <c r="Q70" s="216"/>
      <c r="R70" s="216"/>
      <c r="S70" s="216"/>
      <c r="T70" s="194"/>
      <c r="U70" s="194"/>
      <c r="V70" s="194"/>
      <c r="W70" s="194"/>
      <c r="X70" s="5"/>
      <c r="Y70" s="5"/>
      <c r="Z70" s="5"/>
      <c r="AA70" s="5"/>
      <c r="AB70" s="5"/>
    </row>
    <row r="71" spans="1:28" ht="12.75" customHeight="1">
      <c r="A71" s="178">
        <v>36739</v>
      </c>
      <c r="B71" s="192">
        <f t="shared" si="6"/>
        <v>98649.063599999994</v>
      </c>
      <c r="C71" s="196"/>
      <c r="D71" s="192">
        <f>96398.07+(80.08*100.128)</f>
        <v>104416.32024</v>
      </c>
      <c r="E71" s="193">
        <f t="shared" si="10"/>
        <v>5518.6528183814862</v>
      </c>
      <c r="F71" s="184">
        <f t="shared" si="9"/>
        <v>18.92061770804116</v>
      </c>
      <c r="G71" s="184"/>
      <c r="H71" s="216">
        <f t="shared" si="2"/>
        <v>5.8462355642674456E-2</v>
      </c>
      <c r="I71" s="216">
        <f t="shared" si="7"/>
        <v>0.24685959140145819</v>
      </c>
      <c r="J71" s="216">
        <v>6.2100000000000002E-2</v>
      </c>
      <c r="K71" s="216">
        <f t="shared" si="8"/>
        <v>0.16322665816873205</v>
      </c>
      <c r="L71" s="216"/>
      <c r="M71" s="216">
        <f t="shared" si="3"/>
        <v>6.2100000000000002E-2</v>
      </c>
      <c r="N71" s="216"/>
      <c r="O71" s="195">
        <f t="shared" si="11"/>
        <v>37841.235416082331</v>
      </c>
      <c r="P71" s="195">
        <f t="shared" si="12"/>
        <v>34290.891545810664</v>
      </c>
      <c r="Q71" s="216"/>
      <c r="R71" s="216"/>
      <c r="S71" s="216"/>
      <c r="T71" s="194"/>
      <c r="U71" s="194"/>
      <c r="V71" s="194"/>
      <c r="W71" s="194"/>
      <c r="X71" s="5"/>
      <c r="Y71" s="5"/>
      <c r="Z71" s="5"/>
      <c r="AA71" s="5"/>
      <c r="AB71" s="5"/>
    </row>
    <row r="72" spans="1:28" ht="12.75" customHeight="1">
      <c r="A72" s="178">
        <v>36770</v>
      </c>
      <c r="B72" s="192">
        <f t="shared" si="6"/>
        <v>104416.32024</v>
      </c>
      <c r="C72" s="196"/>
      <c r="D72" s="192">
        <f>92655.6+(73.76*100.128)</f>
        <v>100041.04128</v>
      </c>
      <c r="E72" s="193">
        <f t="shared" si="10"/>
        <v>5518.6528183814862</v>
      </c>
      <c r="F72" s="184">
        <f t="shared" si="9"/>
        <v>18.127801217497154</v>
      </c>
      <c r="G72" s="184"/>
      <c r="H72" s="216">
        <f t="shared" si="2"/>
        <v>-4.1902251965434664E-2</v>
      </c>
      <c r="I72" s="216">
        <f t="shared" si="7"/>
        <v>0.18708177961473327</v>
      </c>
      <c r="J72" s="216">
        <v>-5.28E-2</v>
      </c>
      <c r="K72" s="216">
        <f t="shared" si="8"/>
        <v>0.13284833499632231</v>
      </c>
      <c r="L72" s="216"/>
      <c r="M72" s="216">
        <f t="shared" si="3"/>
        <v>-5.28E-2</v>
      </c>
      <c r="N72" s="216"/>
      <c r="O72" s="195">
        <f t="shared" si="11"/>
        <v>36255.602434994318</v>
      </c>
      <c r="P72" s="195">
        <f t="shared" si="12"/>
        <v>32480.332472191862</v>
      </c>
      <c r="Q72" s="216"/>
      <c r="R72" s="216"/>
      <c r="S72" s="216"/>
      <c r="T72" s="194"/>
      <c r="U72" s="194"/>
      <c r="V72" s="194"/>
      <c r="W72" s="194"/>
      <c r="X72" s="5"/>
      <c r="Y72" s="5"/>
      <c r="Z72" s="5"/>
      <c r="AA72" s="5"/>
      <c r="AB72" s="5"/>
    </row>
    <row r="73" spans="1:28" ht="12.75" customHeight="1">
      <c r="A73" s="178">
        <v>36800</v>
      </c>
      <c r="B73" s="192">
        <f t="shared" si="6"/>
        <v>100041.04128</v>
      </c>
      <c r="C73" s="196">
        <v>3356.69</v>
      </c>
      <c r="D73" s="192">
        <f>93138.6+(70.75*100.128)</f>
        <v>100222.656</v>
      </c>
      <c r="E73" s="193">
        <f t="shared" si="10"/>
        <v>5703.8208903239392</v>
      </c>
      <c r="F73" s="184">
        <f t="shared" si="9"/>
        <v>17.571143611823342</v>
      </c>
      <c r="G73" s="184"/>
      <c r="H73" s="216">
        <f t="shared" si="2"/>
        <v>-3.0707397935085517E-2</v>
      </c>
      <c r="I73" s="216">
        <f t="shared" si="7"/>
        <v>0.14810526543401248</v>
      </c>
      <c r="J73" s="216">
        <v>-4.1999999999999997E-3</v>
      </c>
      <c r="K73" s="216">
        <f t="shared" si="8"/>
        <v>6.0933294450614017E-2</v>
      </c>
      <c r="L73" s="216"/>
      <c r="M73" s="216">
        <f t="shared" si="3"/>
        <v>-4.1999999999999997E-3</v>
      </c>
      <c r="N73" s="216"/>
      <c r="O73" s="195">
        <f t="shared" si="11"/>
        <v>35142.287223646694</v>
      </c>
      <c r="P73" s="195">
        <f t="shared" si="12"/>
        <v>32343.915075808658</v>
      </c>
      <c r="Q73" s="216"/>
      <c r="R73" s="216"/>
      <c r="S73" s="216"/>
      <c r="T73" s="194"/>
      <c r="U73" s="194"/>
      <c r="V73" s="194"/>
      <c r="W73" s="194"/>
      <c r="X73" s="5"/>
      <c r="Y73" s="5"/>
      <c r="Z73" s="5"/>
      <c r="AA73" s="5"/>
      <c r="AB73" s="5"/>
    </row>
    <row r="74" spans="1:28" ht="12.75" customHeight="1">
      <c r="A74" s="178">
        <v>36831</v>
      </c>
      <c r="B74" s="192">
        <f t="shared" si="6"/>
        <v>100222.656</v>
      </c>
      <c r="C74" s="196"/>
      <c r="D74" s="192">
        <f>85462.99+(64*100.128)</f>
        <v>91871.182000000001</v>
      </c>
      <c r="E74" s="193">
        <f t="shared" si="10"/>
        <v>5703.8208903239392</v>
      </c>
      <c r="F74" s="184">
        <f t="shared" si="9"/>
        <v>16.106954227095713</v>
      </c>
      <c r="G74" s="184"/>
      <c r="H74" s="216">
        <f t="shared" si="2"/>
        <v>-8.3329202530813024E-2</v>
      </c>
      <c r="I74" s="216">
        <f t="shared" si="7"/>
        <v>-4.0500813537018843E-3</v>
      </c>
      <c r="J74" s="216">
        <v>-7.8799999999999995E-2</v>
      </c>
      <c r="K74" s="216">
        <f t="shared" si="8"/>
        <v>-4.2113348183959953E-2</v>
      </c>
      <c r="L74" s="216"/>
      <c r="M74" s="216">
        <f t="shared" si="3"/>
        <v>-7.8799999999999995E-2</v>
      </c>
      <c r="N74" s="216"/>
      <c r="O74" s="195">
        <f t="shared" si="11"/>
        <v>32213.908454191438</v>
      </c>
      <c r="P74" s="195">
        <f t="shared" si="12"/>
        <v>29795.214567834937</v>
      </c>
      <c r="Q74" s="216"/>
      <c r="R74" s="216"/>
      <c r="S74" s="216"/>
      <c r="T74" s="194"/>
      <c r="U74" s="194"/>
      <c r="V74" s="194"/>
      <c r="W74" s="194"/>
      <c r="X74" s="5"/>
      <c r="Y74" s="5"/>
      <c r="Z74" s="5"/>
      <c r="AA74" s="5"/>
      <c r="AB74" s="5"/>
    </row>
    <row r="75" spans="1:28" ht="12.75" customHeight="1">
      <c r="A75" s="1439">
        <v>36861</v>
      </c>
      <c r="B75" s="1440">
        <f t="shared" si="6"/>
        <v>91871.182000000001</v>
      </c>
      <c r="C75" s="1441"/>
      <c r="D75" s="1440">
        <f>86564.38+(56.86*111.883)</f>
        <v>92926.047380000004</v>
      </c>
      <c r="E75" s="1442">
        <f t="shared" si="10"/>
        <v>5703.8208903239392</v>
      </c>
      <c r="F75" s="1443">
        <f t="shared" si="9"/>
        <v>16.291894357629875</v>
      </c>
      <c r="G75" s="1443"/>
      <c r="H75" s="1444">
        <f t="shared" si="2"/>
        <v>1.1482005097093349E-2</v>
      </c>
      <c r="I75" s="1444">
        <f t="shared" si="7"/>
        <v>-9.8124690802261161E-2</v>
      </c>
      <c r="J75" s="1444">
        <v>4.8999999999999998E-3</v>
      </c>
      <c r="K75" s="1444">
        <f t="shared" si="8"/>
        <v>-9.0962039465540934E-2</v>
      </c>
      <c r="L75" s="1444"/>
      <c r="M75" s="1446">
        <f t="shared" si="3"/>
        <v>4.8999999999999998E-3</v>
      </c>
      <c r="N75" s="1444"/>
      <c r="O75" s="1447">
        <f t="shared" si="11"/>
        <v>32583.788715259765</v>
      </c>
      <c r="P75" s="1448">
        <f t="shared" si="12"/>
        <v>29941.211119217325</v>
      </c>
      <c r="Q75" s="1444"/>
      <c r="R75" s="1444"/>
      <c r="S75" s="1444"/>
      <c r="T75" s="1438"/>
      <c r="U75" s="1438"/>
      <c r="V75" s="1438"/>
      <c r="W75" s="1438"/>
      <c r="X75" s="1435"/>
      <c r="Y75" s="1435"/>
      <c r="Z75" s="1435"/>
      <c r="AA75" s="1435"/>
      <c r="AB75" s="1435"/>
    </row>
    <row r="76" spans="1:28" ht="12.75" customHeight="1">
      <c r="A76" s="178">
        <v>36892</v>
      </c>
      <c r="B76" s="192">
        <f t="shared" si="6"/>
        <v>92926.047380000004</v>
      </c>
      <c r="C76" s="194"/>
      <c r="D76" s="192">
        <f>87248.67+(59.24*111.883)</f>
        <v>93876.618919999994</v>
      </c>
      <c r="E76" s="193">
        <f t="shared" si="10"/>
        <v>5703.8208903239392</v>
      </c>
      <c r="F76" s="184">
        <f t="shared" si="9"/>
        <v>16.458549580204021</v>
      </c>
      <c r="G76" s="184"/>
      <c r="H76" s="216">
        <f t="shared" si="2"/>
        <v>1.0229333613134908E-2</v>
      </c>
      <c r="I76" s="216">
        <f t="shared" si="7"/>
        <v>-4.9357417063964903E-2</v>
      </c>
      <c r="J76" s="216">
        <v>3.5499999999999997E-2</v>
      </c>
      <c r="K76" s="216">
        <f t="shared" si="8"/>
        <v>-8.9399788024510096E-3</v>
      </c>
      <c r="L76" s="216"/>
      <c r="M76" s="216">
        <f t="shared" si="3"/>
        <v>3.5499999999999997E-2</v>
      </c>
      <c r="N76" s="216"/>
      <c r="O76" s="195">
        <f t="shared" si="11"/>
        <v>32917.099160408055</v>
      </c>
      <c r="P76" s="195">
        <f t="shared" si="12"/>
        <v>31004.124113949543</v>
      </c>
      <c r="Q76" s="216"/>
      <c r="R76" s="216"/>
      <c r="S76" s="216"/>
      <c r="T76" s="194"/>
      <c r="U76" s="194"/>
      <c r="V76" s="194"/>
      <c r="W76" s="194"/>
      <c r="X76" s="5"/>
      <c r="Y76" s="5"/>
      <c r="Z76" s="5"/>
      <c r="AA76" s="5"/>
      <c r="AB76" s="5"/>
    </row>
    <row r="77" spans="1:28" ht="12.75" customHeight="1">
      <c r="A77" s="178">
        <v>36923</v>
      </c>
      <c r="B77" s="192">
        <f t="shared" si="6"/>
        <v>93876.618919999994</v>
      </c>
      <c r="C77" s="194"/>
      <c r="D77" s="192">
        <f>74626.58+(51.49*111.883)</f>
        <v>80387.435670000006</v>
      </c>
      <c r="E77" s="193">
        <f t="shared" si="10"/>
        <v>5703.8208903239392</v>
      </c>
      <c r="F77" s="184">
        <f t="shared" si="9"/>
        <v>14.093611495825657</v>
      </c>
      <c r="G77" s="184"/>
      <c r="H77" s="216">
        <f t="shared" si="2"/>
        <v>-0.14369055261241606</v>
      </c>
      <c r="I77" s="216">
        <f t="shared" si="7"/>
        <v>-0.21427897216534275</v>
      </c>
      <c r="J77" s="216">
        <v>-9.1200000000000003E-2</v>
      </c>
      <c r="K77" s="216">
        <f t="shared" si="8"/>
        <v>-8.197396059083395E-2</v>
      </c>
      <c r="L77" s="216"/>
      <c r="M77" s="216">
        <f t="shared" si="3"/>
        <v>-9.1200000000000003E-2</v>
      </c>
      <c r="N77" s="216"/>
      <c r="O77" s="195">
        <f t="shared" si="11"/>
        <v>28187.222991651328</v>
      </c>
      <c r="P77" s="195">
        <f t="shared" si="12"/>
        <v>28176.547994757348</v>
      </c>
      <c r="Q77" s="216"/>
      <c r="R77" s="216"/>
      <c r="S77" s="216"/>
      <c r="T77" s="194"/>
      <c r="U77" s="194"/>
      <c r="V77" s="194"/>
      <c r="W77" s="194"/>
      <c r="X77" s="5"/>
      <c r="Y77" s="5"/>
      <c r="Z77" s="5"/>
      <c r="AA77" s="5"/>
      <c r="AB77" s="5"/>
    </row>
    <row r="78" spans="1:28" ht="12.75" customHeight="1">
      <c r="A78" s="178">
        <v>36951</v>
      </c>
      <c r="B78" s="192">
        <f t="shared" si="6"/>
        <v>80387.435670000006</v>
      </c>
      <c r="C78" s="194"/>
      <c r="D78" s="192">
        <f>70122+(47.1*111.883)</f>
        <v>75391.689299999998</v>
      </c>
      <c r="E78" s="193">
        <f t="shared" si="10"/>
        <v>5703.8208903239392</v>
      </c>
      <c r="F78" s="184">
        <f t="shared" si="9"/>
        <v>13.217751880655259</v>
      </c>
      <c r="G78" s="184"/>
      <c r="H78" s="216">
        <f t="shared" si="2"/>
        <v>-6.2145860585827592E-2</v>
      </c>
      <c r="I78" s="216">
        <f t="shared" si="7"/>
        <v>-0.32044006360188981</v>
      </c>
      <c r="J78" s="216">
        <v>-6.3399999999999998E-2</v>
      </c>
      <c r="K78" s="216">
        <f t="shared" si="8"/>
        <v>-0.21677610811566295</v>
      </c>
      <c r="L78" s="216"/>
      <c r="M78" s="216">
        <f t="shared" si="3"/>
        <v>-6.3399999999999998E-2</v>
      </c>
      <c r="N78" s="216"/>
      <c r="O78" s="195">
        <f t="shared" si="11"/>
        <v>26435.503761310531</v>
      </c>
      <c r="P78" s="195">
        <f t="shared" si="12"/>
        <v>26390.154851889733</v>
      </c>
      <c r="Q78" s="216"/>
      <c r="R78" s="216"/>
      <c r="S78" s="216"/>
      <c r="T78" s="194"/>
      <c r="U78" s="194"/>
      <c r="V78" s="194"/>
      <c r="W78" s="194"/>
      <c r="X78" s="5"/>
      <c r="Y78" s="5"/>
      <c r="Z78" s="5"/>
      <c r="AA78" s="5"/>
      <c r="AB78" s="5"/>
    </row>
    <row r="79" spans="1:28" ht="12.75" customHeight="1">
      <c r="A79" s="178">
        <v>36982</v>
      </c>
      <c r="B79" s="192">
        <f t="shared" si="6"/>
        <v>75391.689299999998</v>
      </c>
      <c r="C79" s="194"/>
      <c r="D79" s="192">
        <f>75923+(51.56*111.883)</f>
        <v>81691.687479999993</v>
      </c>
      <c r="E79" s="193">
        <f t="shared" si="10"/>
        <v>5703.8208903239392</v>
      </c>
      <c r="F79" s="184">
        <f t="shared" si="9"/>
        <v>14.322274322916273</v>
      </c>
      <c r="G79" s="184"/>
      <c r="H79" s="216">
        <f t="shared" si="2"/>
        <v>8.3563563019936102E-2</v>
      </c>
      <c r="I79" s="216">
        <f t="shared" ref="I79:I142" si="13">((1+H68)*(1+H69)*(1+H70)*(1+H71)*(1+H72)*(1+H73)*(1+H74)*(1+H75)*(1+H76)*(1+H77)*(1+H78)*(1+H79))-1</f>
        <v>-0.22041701128452063</v>
      </c>
      <c r="J79" s="216">
        <v>7.7700000000000005E-2</v>
      </c>
      <c r="K79" s="216">
        <f t="shared" ref="K79:K142" si="14">((1+J68)*(1+J69)*(1+J70)*(1+J71)*(1+J72)*(1+J73)*(1+J74)*(1+J75)*(1+J76)*(1+J77)*(1+J78)*(1+J79))-1</f>
        <v>-0.12972431355423253</v>
      </c>
      <c r="L79" s="216"/>
      <c r="M79" s="216">
        <f t="shared" si="3"/>
        <v>7.7700000000000005E-2</v>
      </c>
      <c r="N79" s="216"/>
      <c r="O79" s="195">
        <f t="shared" si="11"/>
        <v>28644.548645832561</v>
      </c>
      <c r="P79" s="195">
        <f t="shared" si="12"/>
        <v>28440.669883881568</v>
      </c>
      <c r="Q79" s="216"/>
      <c r="R79" s="216"/>
      <c r="S79" s="216"/>
      <c r="T79" s="194"/>
      <c r="U79" s="194"/>
      <c r="V79" s="194"/>
      <c r="W79" s="194"/>
      <c r="X79" s="5"/>
      <c r="Y79" s="5"/>
      <c r="Z79" s="5"/>
      <c r="AA79" s="5"/>
      <c r="AB79" s="5"/>
    </row>
    <row r="80" spans="1:28" ht="12.75" customHeight="1">
      <c r="A80" s="178">
        <v>37012</v>
      </c>
      <c r="B80" s="192">
        <f t="shared" si="6"/>
        <v>81691.687479999993</v>
      </c>
      <c r="C80" s="194"/>
      <c r="D80" s="192">
        <f>77137+(51.07*111.883)</f>
        <v>82850.864809999999</v>
      </c>
      <c r="E80" s="193">
        <f t="shared" si="10"/>
        <v>5703.8208903239392</v>
      </c>
      <c r="F80" s="184">
        <f t="shared" si="9"/>
        <v>14.525502536475093</v>
      </c>
      <c r="G80" s="184"/>
      <c r="H80" s="216">
        <f t="shared" si="2"/>
        <v>1.4189660732419122E-2</v>
      </c>
      <c r="I80" s="216">
        <f t="shared" si="13"/>
        <v>-0.16571214951264235</v>
      </c>
      <c r="J80" s="216">
        <v>6.7000000000000002E-3</v>
      </c>
      <c r="K80" s="216">
        <f t="shared" si="14"/>
        <v>-0.10555739301178735</v>
      </c>
      <c r="L80" s="216"/>
      <c r="M80" s="216">
        <f t="shared" si="3"/>
        <v>6.7000000000000002E-3</v>
      </c>
      <c r="N80" s="216"/>
      <c r="O80" s="195">
        <f t="shared" si="11"/>
        <v>29051.005072950204</v>
      </c>
      <c r="P80" s="195">
        <f t="shared" si="12"/>
        <v>28631.222372103573</v>
      </c>
      <c r="Q80" s="216"/>
      <c r="R80" s="216"/>
      <c r="S80" s="216"/>
      <c r="T80" s="194"/>
      <c r="U80" s="194"/>
      <c r="V80" s="194"/>
      <c r="W80" s="194"/>
      <c r="X80" s="5"/>
      <c r="Y80" s="5"/>
      <c r="Z80" s="5"/>
      <c r="AA80" s="5"/>
      <c r="AB80" s="5"/>
    </row>
    <row r="81" spans="1:28" ht="12.75" customHeight="1">
      <c r="A81" s="178">
        <v>37043</v>
      </c>
      <c r="B81" s="192">
        <f t="shared" si="6"/>
        <v>82850.864809999999</v>
      </c>
      <c r="C81" s="194"/>
      <c r="D81" s="192">
        <f>72582+(49.04*111.883)</f>
        <v>78068.742320000005</v>
      </c>
      <c r="E81" s="193">
        <f t="shared" si="10"/>
        <v>5703.8208903239392</v>
      </c>
      <c r="F81" s="184">
        <f t="shared" si="9"/>
        <v>13.687095689213729</v>
      </c>
      <c r="G81" s="184"/>
      <c r="H81" s="216">
        <f t="shared" si="2"/>
        <v>-5.7719644821653142E-2</v>
      </c>
      <c r="I81" s="216">
        <f t="shared" si="13"/>
        <v>-0.25732317063940946</v>
      </c>
      <c r="J81" s="216">
        <v>-2.4299999999999999E-2</v>
      </c>
      <c r="K81" s="216">
        <f t="shared" si="14"/>
        <v>-0.14824550884403775</v>
      </c>
      <c r="L81" s="216"/>
      <c r="M81" s="216">
        <f t="shared" si="3"/>
        <v>-2.4299999999999999E-2</v>
      </c>
      <c r="N81" s="216"/>
      <c r="O81" s="195">
        <f t="shared" si="11"/>
        <v>27374.191378427473</v>
      </c>
      <c r="P81" s="195">
        <f t="shared" si="12"/>
        <v>27935.483668461457</v>
      </c>
      <c r="Q81" s="216"/>
      <c r="R81" s="216"/>
      <c r="S81" s="216"/>
      <c r="T81" s="194"/>
      <c r="U81" s="194"/>
      <c r="V81" s="194"/>
      <c r="W81" s="194"/>
      <c r="X81" s="5"/>
      <c r="Y81" s="5"/>
      <c r="Z81" s="5"/>
      <c r="AA81" s="5"/>
      <c r="AB81" s="5"/>
    </row>
    <row r="82" spans="1:28" ht="12.75" customHeight="1">
      <c r="A82" s="178">
        <v>37073</v>
      </c>
      <c r="B82" s="192">
        <f t="shared" si="6"/>
        <v>78068.742320000005</v>
      </c>
      <c r="C82" s="194"/>
      <c r="D82" s="192">
        <f>72010+(46.67*111.883)</f>
        <v>77231.579610000001</v>
      </c>
      <c r="E82" s="193">
        <f t="shared" si="10"/>
        <v>5703.8208903239392</v>
      </c>
      <c r="F82" s="184">
        <f t="shared" si="9"/>
        <v>13.540323424428875</v>
      </c>
      <c r="G82" s="184"/>
      <c r="H82" s="216">
        <f t="shared" si="2"/>
        <v>-1.0723404593460941E-2</v>
      </c>
      <c r="I82" s="216">
        <f t="shared" si="13"/>
        <v>-0.24252353442489982</v>
      </c>
      <c r="J82" s="216">
        <v>-9.7999999999999997E-3</v>
      </c>
      <c r="K82" s="216">
        <f t="shared" si="14"/>
        <v>-0.1432270447555527</v>
      </c>
      <c r="L82" s="216"/>
      <c r="M82" s="216">
        <f t="shared" si="3"/>
        <v>-9.7999999999999997E-3</v>
      </c>
      <c r="N82" s="216"/>
      <c r="O82" s="195">
        <f t="shared" si="11"/>
        <v>27080.646848857763</v>
      </c>
      <c r="P82" s="195">
        <f t="shared" si="12"/>
        <v>27661.715928510534</v>
      </c>
      <c r="Q82" s="216"/>
      <c r="R82" s="216"/>
      <c r="S82" s="216"/>
      <c r="T82" s="194"/>
      <c r="U82" s="194"/>
      <c r="V82" s="194"/>
      <c r="W82" s="194"/>
      <c r="X82" s="5"/>
      <c r="Y82" s="5"/>
      <c r="Z82" s="5"/>
      <c r="AA82" s="5"/>
      <c r="AB82" s="5"/>
    </row>
    <row r="83" spans="1:28" ht="12.75" customHeight="1">
      <c r="A83" s="178">
        <v>37104</v>
      </c>
      <c r="B83" s="192">
        <f t="shared" si="6"/>
        <v>77231.579610000001</v>
      </c>
      <c r="C83" s="194"/>
      <c r="D83" s="192">
        <f>65580+(43.29*111.883)</f>
        <v>70423.415070000003</v>
      </c>
      <c r="E83" s="193">
        <f t="shared" si="10"/>
        <v>5703.8208903239392</v>
      </c>
      <c r="F83" s="184">
        <f t="shared" si="9"/>
        <v>12.346708710553571</v>
      </c>
      <c r="G83" s="184"/>
      <c r="H83" s="216">
        <f t="shared" si="2"/>
        <v>-8.8152599938775097E-2</v>
      </c>
      <c r="I83" s="216">
        <f t="shared" si="13"/>
        <v>-0.34744684866676989</v>
      </c>
      <c r="J83" s="216">
        <v>-6.2600000000000003E-2</v>
      </c>
      <c r="K83" s="216">
        <f t="shared" si="14"/>
        <v>-0.24381982087737064</v>
      </c>
      <c r="L83" s="216"/>
      <c r="M83" s="216">
        <f t="shared" si="3"/>
        <v>-6.2600000000000003E-2</v>
      </c>
      <c r="N83" s="216"/>
      <c r="O83" s="195">
        <f t="shared" si="11"/>
        <v>24693.417421107155</v>
      </c>
      <c r="P83" s="195">
        <f t="shared" si="12"/>
        <v>25930.092511385774</v>
      </c>
      <c r="Q83" s="216"/>
      <c r="R83" s="216"/>
      <c r="S83" s="216"/>
      <c r="T83" s="194"/>
      <c r="U83" s="194"/>
      <c r="V83" s="194"/>
      <c r="W83" s="194"/>
      <c r="X83" s="5"/>
      <c r="Y83" s="5"/>
      <c r="Z83" s="5"/>
      <c r="AA83" s="5"/>
      <c r="AB83" s="5"/>
    </row>
    <row r="84" spans="1:28" ht="12.75" customHeight="1">
      <c r="A84" s="178">
        <v>37135</v>
      </c>
      <c r="B84" s="192">
        <f t="shared" si="6"/>
        <v>70423.415070000003</v>
      </c>
      <c r="C84" s="194"/>
      <c r="D84" s="192">
        <f>59758+(38.84*111.883)</f>
        <v>64103.53572</v>
      </c>
      <c r="E84" s="193">
        <f t="shared" si="10"/>
        <v>5703.8208903239392</v>
      </c>
      <c r="F84" s="184">
        <f t="shared" si="9"/>
        <v>11.238700680231098</v>
      </c>
      <c r="G84" s="184"/>
      <c r="H84" s="216">
        <f t="shared" si="2"/>
        <v>-8.974116554441619E-2</v>
      </c>
      <c r="I84" s="216">
        <f t="shared" si="13"/>
        <v>-0.38002957196025622</v>
      </c>
      <c r="J84" s="216">
        <v>-8.0799999999999997E-2</v>
      </c>
      <c r="K84" s="216">
        <f t="shared" si="14"/>
        <v>-0.26617312009129956</v>
      </c>
      <c r="L84" s="216"/>
      <c r="M84" s="216">
        <f t="shared" si="3"/>
        <v>-8.0799999999999997E-2</v>
      </c>
      <c r="N84" s="216"/>
      <c r="O84" s="195">
        <f t="shared" si="11"/>
        <v>22477.401360462205</v>
      </c>
      <c r="P84" s="195">
        <f t="shared" si="12"/>
        <v>23834.941036465803</v>
      </c>
      <c r="Q84" s="216"/>
      <c r="R84" s="216"/>
      <c r="S84" s="216"/>
      <c r="T84" s="194"/>
      <c r="U84" s="194"/>
      <c r="V84" s="194"/>
      <c r="W84" s="194"/>
      <c r="X84" s="5"/>
      <c r="Y84" s="5"/>
      <c r="Z84" s="5"/>
      <c r="AA84" s="5"/>
      <c r="AB84" s="5"/>
    </row>
    <row r="85" spans="1:28" ht="12.75" customHeight="1">
      <c r="A85" s="178">
        <v>37165</v>
      </c>
      <c r="B85" s="192">
        <f t="shared" si="6"/>
        <v>64103.53572</v>
      </c>
      <c r="C85" s="194"/>
      <c r="D85" s="192">
        <f>65215+(40.17*111.883)</f>
        <v>69709.340110000005</v>
      </c>
      <c r="E85" s="193">
        <f t="shared" si="10"/>
        <v>5703.8208903239392</v>
      </c>
      <c r="F85" s="184">
        <f t="shared" si="9"/>
        <v>12.221516322200113</v>
      </c>
      <c r="G85" s="184"/>
      <c r="H85" s="216">
        <f t="shared" si="2"/>
        <v>8.7449222995838877E-2</v>
      </c>
      <c r="I85" s="216">
        <f t="shared" si="13"/>
        <v>-0.30445527097186498</v>
      </c>
      <c r="J85" s="216">
        <v>1.9099999999999999E-2</v>
      </c>
      <c r="K85" s="216">
        <f t="shared" si="14"/>
        <v>-0.24900283860719374</v>
      </c>
      <c r="L85" s="216"/>
      <c r="M85" s="216">
        <f t="shared" si="3"/>
        <v>1.9099999999999999E-2</v>
      </c>
      <c r="N85" s="216"/>
      <c r="O85" s="195">
        <f t="shared" si="11"/>
        <v>24443.032644400235</v>
      </c>
      <c r="P85" s="195">
        <f t="shared" si="12"/>
        <v>24290.188410262297</v>
      </c>
      <c r="Q85" s="216"/>
      <c r="R85" s="216"/>
      <c r="S85" s="216"/>
      <c r="T85" s="194"/>
      <c r="U85" s="194"/>
      <c r="V85" s="194"/>
      <c r="W85" s="194"/>
      <c r="X85" s="5"/>
      <c r="Y85" s="5"/>
      <c r="Z85" s="5"/>
      <c r="AA85" s="5"/>
      <c r="AB85" s="5"/>
    </row>
    <row r="86" spans="1:28" ht="12.75" customHeight="1">
      <c r="A86" s="178">
        <v>37196</v>
      </c>
      <c r="B86" s="192">
        <f t="shared" si="6"/>
        <v>69709.340110000005</v>
      </c>
      <c r="C86" s="194"/>
      <c r="D86" s="192">
        <f>67509+(42.76*111.883)</f>
        <v>72293.117079999996</v>
      </c>
      <c r="E86" s="193">
        <f t="shared" si="10"/>
        <v>5703.8208903239392</v>
      </c>
      <c r="F86" s="184">
        <f t="shared" si="9"/>
        <v>12.67450687356598</v>
      </c>
      <c r="G86" s="184"/>
      <c r="H86" s="216">
        <f t="shared" si="2"/>
        <v>3.7065003999791679E-2</v>
      </c>
      <c r="I86" s="216">
        <f t="shared" si="13"/>
        <v>-0.21310343998839609</v>
      </c>
      <c r="J86" s="216">
        <v>7.6700000000000004E-2</v>
      </c>
      <c r="K86" s="216">
        <f t="shared" si="14"/>
        <v>-0.12223334382149964</v>
      </c>
      <c r="L86" s="216"/>
      <c r="M86" s="216">
        <f t="shared" si="3"/>
        <v>7.6700000000000004E-2</v>
      </c>
      <c r="N86" s="216"/>
      <c r="O86" s="195">
        <f t="shared" si="11"/>
        <v>25349.013747131969</v>
      </c>
      <c r="P86" s="195">
        <f t="shared" si="12"/>
        <v>26153.245861329415</v>
      </c>
      <c r="Q86" s="216"/>
      <c r="R86" s="216"/>
      <c r="S86" s="216"/>
      <c r="T86" s="194"/>
      <c r="U86" s="194"/>
      <c r="V86" s="194"/>
      <c r="W86" s="194"/>
      <c r="X86" s="5"/>
      <c r="Y86" s="5"/>
      <c r="Z86" s="5"/>
      <c r="AA86" s="5"/>
      <c r="AB86" s="5"/>
    </row>
    <row r="87" spans="1:28" ht="12.75" customHeight="1">
      <c r="A87" s="1439">
        <v>37226</v>
      </c>
      <c r="B87" s="1440">
        <f t="shared" si="6"/>
        <v>72293.117079999996</v>
      </c>
      <c r="C87" s="1438"/>
      <c r="D87" s="1440">
        <f>69266+(43.84*111.915)</f>
        <v>74172.353600000002</v>
      </c>
      <c r="E87" s="1442">
        <f t="shared" si="10"/>
        <v>5703.8208903239392</v>
      </c>
      <c r="F87" s="1443">
        <f t="shared" si="9"/>
        <v>13.003976637104309</v>
      </c>
      <c r="G87" s="1443"/>
      <c r="H87" s="1444">
        <f t="shared" si="2"/>
        <v>2.599468104163271E-2</v>
      </c>
      <c r="I87" s="1444">
        <f t="shared" si="13"/>
        <v>-0.20181310094155869</v>
      </c>
      <c r="J87" s="1444">
        <v>8.8000000000000005E-3</v>
      </c>
      <c r="K87" s="1444">
        <f t="shared" si="14"/>
        <v>-0.11882674619079403</v>
      </c>
      <c r="L87" s="1444"/>
      <c r="M87" s="1446">
        <f t="shared" si="3"/>
        <v>8.8000000000000005E-3</v>
      </c>
      <c r="N87" s="1444"/>
      <c r="O87" s="1447">
        <f t="shared" si="11"/>
        <v>26007.953274208627</v>
      </c>
      <c r="P87" s="1448">
        <f t="shared" si="12"/>
        <v>26383.394424909111</v>
      </c>
      <c r="Q87" s="1444"/>
      <c r="R87" s="1444"/>
      <c r="S87" s="1444"/>
      <c r="T87" s="1438"/>
      <c r="U87" s="1438"/>
      <c r="V87" s="1438"/>
      <c r="W87" s="1438"/>
      <c r="X87" s="1435"/>
      <c r="Y87" s="1435"/>
      <c r="Z87" s="1435"/>
      <c r="AA87" s="1435"/>
      <c r="AB87" s="1435"/>
    </row>
    <row r="88" spans="1:28" ht="12.75" customHeight="1">
      <c r="A88" s="178">
        <v>37257</v>
      </c>
      <c r="B88" s="192">
        <f t="shared" si="6"/>
        <v>74172.353600000002</v>
      </c>
      <c r="C88" s="194"/>
      <c r="D88" s="192">
        <f>69837+(41.77*111.915)</f>
        <v>74511.689549999996</v>
      </c>
      <c r="E88" s="193">
        <f t="shared" si="10"/>
        <v>5703.8208903239392</v>
      </c>
      <c r="F88" s="184">
        <f t="shared" si="9"/>
        <v>13.063469380043633</v>
      </c>
      <c r="G88" s="184"/>
      <c r="H88" s="216">
        <f t="shared" si="2"/>
        <v>4.5749653817105376E-3</v>
      </c>
      <c r="I88" s="216">
        <f t="shared" si="13"/>
        <v>-0.20628064360202902</v>
      </c>
      <c r="J88" s="216">
        <v>-1.46E-2</v>
      </c>
      <c r="K88" s="216">
        <f t="shared" si="14"/>
        <v>-0.16146004412980031</v>
      </c>
      <c r="L88" s="216"/>
      <c r="M88" s="216">
        <f t="shared" si="3"/>
        <v>-1.46E-2</v>
      </c>
      <c r="N88" s="216"/>
      <c r="O88" s="195">
        <f t="shared" si="11"/>
        <v>26126.938760087272</v>
      </c>
      <c r="P88" s="195">
        <f t="shared" si="12"/>
        <v>25998.196866305439</v>
      </c>
      <c r="Q88" s="216"/>
      <c r="R88" s="216"/>
      <c r="S88" s="216"/>
      <c r="T88" s="194"/>
      <c r="U88" s="194"/>
      <c r="V88" s="194"/>
      <c r="W88" s="194"/>
      <c r="X88" s="5"/>
      <c r="Y88" s="5"/>
      <c r="Z88" s="5"/>
      <c r="AA88" s="5"/>
      <c r="AB88" s="5"/>
    </row>
    <row r="89" spans="1:28" ht="12.75" customHeight="1">
      <c r="A89" s="178">
        <v>37288</v>
      </c>
      <c r="B89" s="192">
        <f t="shared" si="6"/>
        <v>74511.689549999996</v>
      </c>
      <c r="C89" s="194"/>
      <c r="D89" s="192">
        <f>66162+(41.77*111.915)</f>
        <v>70836.689549999996</v>
      </c>
      <c r="E89" s="193">
        <f t="shared" si="10"/>
        <v>5703.8208903239392</v>
      </c>
      <c r="F89" s="184">
        <f t="shared" si="9"/>
        <v>12.4191644359255</v>
      </c>
      <c r="G89" s="184"/>
      <c r="H89" s="216">
        <f t="shared" si="2"/>
        <v>-4.9321120245621991E-2</v>
      </c>
      <c r="I89" s="216">
        <f t="shared" si="13"/>
        <v>-0.11880894122816632</v>
      </c>
      <c r="J89" s="216">
        <v>-1.9299999999999998E-2</v>
      </c>
      <c r="K89" s="216">
        <f t="shared" si="14"/>
        <v>-9.5118689786636734E-2</v>
      </c>
      <c r="L89" s="216"/>
      <c r="M89" s="216">
        <f t="shared" si="3"/>
        <v>-1.9299999999999998E-2</v>
      </c>
      <c r="N89" s="216"/>
      <c r="O89" s="195">
        <f t="shared" si="11"/>
        <v>24838.328871851008</v>
      </c>
      <c r="P89" s="195">
        <f t="shared" si="12"/>
        <v>25496.431666785746</v>
      </c>
      <c r="Q89" s="216"/>
      <c r="R89" s="216"/>
      <c r="S89" s="216"/>
      <c r="T89" s="194"/>
      <c r="U89" s="194"/>
      <c r="V89" s="194"/>
      <c r="W89" s="194"/>
      <c r="X89" s="5"/>
      <c r="Y89" s="5"/>
      <c r="Z89" s="5"/>
      <c r="AA89" s="5"/>
      <c r="AB89" s="5"/>
    </row>
    <row r="90" spans="1:28" ht="12.75" customHeight="1">
      <c r="A90" s="178">
        <v>37316</v>
      </c>
      <c r="B90" s="192">
        <f t="shared" si="6"/>
        <v>70836.689549999996</v>
      </c>
      <c r="C90" s="194"/>
      <c r="D90" s="192">
        <f>69763+(41.77*111.915)</f>
        <v>74437.689549999996</v>
      </c>
      <c r="E90" s="193">
        <f t="shared" si="10"/>
        <v>5703.8208903239392</v>
      </c>
      <c r="F90" s="184">
        <f t="shared" si="9"/>
        <v>13.050495620624655</v>
      </c>
      <c r="G90" s="184"/>
      <c r="H90" s="216">
        <f t="shared" si="2"/>
        <v>5.0835238389538795E-2</v>
      </c>
      <c r="I90" s="216">
        <f t="shared" si="13"/>
        <v>-1.2653911311150789E-2</v>
      </c>
      <c r="J90" s="216">
        <v>3.7599999999999995E-2</v>
      </c>
      <c r="K90" s="216">
        <f t="shared" si="14"/>
        <v>2.4608664076297693E-3</v>
      </c>
      <c r="L90" s="216"/>
      <c r="M90" s="216">
        <f t="shared" si="3"/>
        <v>3.7599999999999995E-2</v>
      </c>
      <c r="N90" s="216"/>
      <c r="O90" s="195">
        <f t="shared" si="11"/>
        <v>26100.991241249318</v>
      </c>
      <c r="P90" s="195">
        <f t="shared" si="12"/>
        <v>26455.097497456893</v>
      </c>
      <c r="Q90" s="216"/>
      <c r="R90" s="216"/>
      <c r="S90" s="216"/>
      <c r="T90" s="194"/>
      <c r="U90" s="194"/>
      <c r="V90" s="194"/>
      <c r="W90" s="194"/>
      <c r="X90" s="5"/>
      <c r="Y90" s="5"/>
      <c r="Z90" s="5"/>
      <c r="AA90" s="5"/>
      <c r="AB90" s="5"/>
    </row>
    <row r="91" spans="1:28" ht="12.75" customHeight="1">
      <c r="A91" s="178">
        <v>37347</v>
      </c>
      <c r="B91" s="192">
        <f t="shared" si="6"/>
        <v>74437.689549999996</v>
      </c>
      <c r="C91" s="194"/>
      <c r="D91" s="192">
        <f>66944+(41.03*111.915)</f>
        <v>71535.872449999995</v>
      </c>
      <c r="E91" s="193">
        <f t="shared" si="10"/>
        <v>5703.8208903239392</v>
      </c>
      <c r="F91" s="184">
        <f t="shared" si="9"/>
        <v>12.541745932337163</v>
      </c>
      <c r="G91" s="184"/>
      <c r="H91" s="216">
        <f t="shared" si="2"/>
        <v>-3.8983169917583681E-2</v>
      </c>
      <c r="I91" s="216">
        <f t="shared" si="13"/>
        <v>-0.12431883026637669</v>
      </c>
      <c r="J91" s="216">
        <v>-6.0600000000000001E-2</v>
      </c>
      <c r="K91" s="216">
        <f t="shared" si="14"/>
        <v>-0.12618378221831006</v>
      </c>
      <c r="L91" s="216"/>
      <c r="M91" s="216">
        <f t="shared" si="3"/>
        <v>-6.0600000000000001E-2</v>
      </c>
      <c r="N91" s="216"/>
      <c r="O91" s="195">
        <f t="shared" si="11"/>
        <v>25083.491864674332</v>
      </c>
      <c r="P91" s="195">
        <f t="shared" si="12"/>
        <v>24851.918589111006</v>
      </c>
      <c r="Q91" s="216"/>
      <c r="R91" s="216"/>
      <c r="S91" s="216"/>
      <c r="T91" s="194"/>
      <c r="U91" s="194"/>
      <c r="V91" s="194"/>
      <c r="W91" s="194"/>
      <c r="X91" s="5"/>
      <c r="Y91" s="5"/>
      <c r="Z91" s="5"/>
      <c r="AA91" s="5"/>
      <c r="AB91" s="5"/>
    </row>
    <row r="92" spans="1:28" ht="12.75" customHeight="1">
      <c r="A92" s="178">
        <v>37377</v>
      </c>
      <c r="B92" s="192">
        <f t="shared" si="6"/>
        <v>71535.872449999995</v>
      </c>
      <c r="C92" s="194"/>
      <c r="D92" s="192">
        <f>65998+(40.73*111.915)</f>
        <v>70556.297950000007</v>
      </c>
      <c r="E92" s="193">
        <f t="shared" si="10"/>
        <v>5703.8208903239392</v>
      </c>
      <c r="F92" s="184">
        <f t="shared" si="9"/>
        <v>12.370005879688987</v>
      </c>
      <c r="G92" s="184"/>
      <c r="H92" s="216">
        <f t="shared" si="2"/>
        <v>-1.3693472469839095E-2</v>
      </c>
      <c r="I92" s="216">
        <f t="shared" si="13"/>
        <v>-0.14839394722305999</v>
      </c>
      <c r="J92" s="216">
        <v>-7.4000000000000003E-3</v>
      </c>
      <c r="K92" s="216">
        <f t="shared" si="14"/>
        <v>-0.13842259087105857</v>
      </c>
      <c r="L92" s="216"/>
      <c r="M92" s="216">
        <f t="shared" si="3"/>
        <v>-7.4000000000000003E-3</v>
      </c>
      <c r="N92" s="216"/>
      <c r="O92" s="195">
        <f t="shared" si="11"/>
        <v>24740.01175937798</v>
      </c>
      <c r="P92" s="195">
        <f t="shared" si="12"/>
        <v>24668.014391551587</v>
      </c>
      <c r="Q92" s="216"/>
      <c r="R92" s="216"/>
      <c r="S92" s="216"/>
      <c r="T92" s="194"/>
      <c r="U92" s="194"/>
      <c r="V92" s="194"/>
      <c r="W92" s="194"/>
      <c r="X92" s="5"/>
      <c r="Y92" s="5"/>
      <c r="Z92" s="5"/>
      <c r="AA92" s="5"/>
      <c r="AB92" s="5"/>
    </row>
    <row r="93" spans="1:28" ht="12.75" customHeight="1">
      <c r="A93" s="178">
        <v>37408</v>
      </c>
      <c r="B93" s="192">
        <f t="shared" si="6"/>
        <v>70556.297950000007</v>
      </c>
      <c r="C93" s="194"/>
      <c r="D93" s="192">
        <f>58593+(37.99*111.915)</f>
        <v>62844.650849999998</v>
      </c>
      <c r="E93" s="193">
        <f t="shared" si="10"/>
        <v>5703.8208903239392</v>
      </c>
      <c r="F93" s="184">
        <f t="shared" si="9"/>
        <v>11.017991633750414</v>
      </c>
      <c r="G93" s="184"/>
      <c r="H93" s="216">
        <f t="shared" si="2"/>
        <v>-0.10929778523052457</v>
      </c>
      <c r="I93" s="216">
        <f t="shared" si="13"/>
        <v>-0.19500879631949497</v>
      </c>
      <c r="J93" s="216">
        <v>-7.1199999999999999E-2</v>
      </c>
      <c r="K93" s="216">
        <f t="shared" si="14"/>
        <v>-0.1798369400441111</v>
      </c>
      <c r="L93" s="216"/>
      <c r="M93" s="216">
        <f t="shared" si="3"/>
        <v>-7.1199999999999999E-2</v>
      </c>
      <c r="N93" s="216"/>
      <c r="O93" s="195">
        <f t="shared" si="11"/>
        <v>22035.983267500833</v>
      </c>
      <c r="P93" s="195">
        <f t="shared" si="12"/>
        <v>22911.651766873114</v>
      </c>
      <c r="Q93" s="216"/>
      <c r="R93" s="216"/>
      <c r="S93" s="216"/>
      <c r="T93" s="194"/>
      <c r="U93" s="194"/>
      <c r="V93" s="194"/>
      <c r="W93" s="194"/>
      <c r="X93" s="5"/>
      <c r="Y93" s="5"/>
      <c r="Z93" s="5"/>
      <c r="AA93" s="5"/>
      <c r="AB93" s="5"/>
    </row>
    <row r="94" spans="1:28" ht="12.75" customHeight="1">
      <c r="A94" s="178">
        <v>37438</v>
      </c>
      <c r="B94" s="192">
        <f t="shared" si="6"/>
        <v>62844.650849999998</v>
      </c>
      <c r="C94" s="194"/>
      <c r="D94" s="192">
        <f>54396+(33.94*111.915)</f>
        <v>58194.395100000002</v>
      </c>
      <c r="E94" s="193">
        <f t="shared" si="10"/>
        <v>5703.8208903239392</v>
      </c>
      <c r="F94" s="184">
        <f t="shared" si="9"/>
        <v>10.202703804869115</v>
      </c>
      <c r="G94" s="184"/>
      <c r="H94" s="216">
        <f t="shared" si="2"/>
        <v>-7.3996047191023637E-2</v>
      </c>
      <c r="I94" s="216">
        <f t="shared" si="13"/>
        <v>-0.24649482253416288</v>
      </c>
      <c r="J94" s="216">
        <v>-7.8E-2</v>
      </c>
      <c r="K94" s="216">
        <f t="shared" si="14"/>
        <v>-0.23632565009156781</v>
      </c>
      <c r="L94" s="216"/>
      <c r="M94" s="216">
        <f t="shared" si="3"/>
        <v>-7.8E-2</v>
      </c>
      <c r="N94" s="216"/>
      <c r="O94" s="195">
        <f t="shared" si="11"/>
        <v>20405.407609738235</v>
      </c>
      <c r="P94" s="195">
        <f t="shared" si="12"/>
        <v>21124.542929057014</v>
      </c>
      <c r="Q94" s="216"/>
      <c r="R94" s="216"/>
      <c r="S94" s="216"/>
      <c r="T94" s="194"/>
      <c r="U94" s="194"/>
      <c r="V94" s="194"/>
      <c r="W94" s="194"/>
      <c r="X94" s="5"/>
      <c r="Y94" s="5"/>
      <c r="Z94" s="5"/>
      <c r="AA94" s="5"/>
      <c r="AB94" s="5"/>
    </row>
    <row r="95" spans="1:28" ht="12.75" customHeight="1">
      <c r="A95" s="178">
        <v>37469</v>
      </c>
      <c r="B95" s="192">
        <f t="shared" si="6"/>
        <v>58194.395100000002</v>
      </c>
      <c r="C95" s="194"/>
      <c r="D95" s="192">
        <f>54358+(34.31*111.915)</f>
        <v>58197.803650000002</v>
      </c>
      <c r="E95" s="193">
        <f t="shared" si="10"/>
        <v>5703.8208903239392</v>
      </c>
      <c r="F95" s="184">
        <f t="shared" si="9"/>
        <v>10.203301395513272</v>
      </c>
      <c r="G95" s="184"/>
      <c r="H95" s="216">
        <f t="shared" si="2"/>
        <v>5.8571791907892186E-5</v>
      </c>
      <c r="I95" s="216">
        <f t="shared" si="13"/>
        <v>-0.1736015131877362</v>
      </c>
      <c r="J95" s="216">
        <v>6.6E-3</v>
      </c>
      <c r="K95" s="216">
        <f t="shared" si="14"/>
        <v>-0.17995028737163654</v>
      </c>
      <c r="L95" s="216"/>
      <c r="M95" s="216">
        <f t="shared" si="3"/>
        <v>6.6E-3</v>
      </c>
      <c r="N95" s="216"/>
      <c r="O95" s="195">
        <f t="shared" si="11"/>
        <v>20406.602791026547</v>
      </c>
      <c r="P95" s="195">
        <f t="shared" si="12"/>
        <v>21263.96491238879</v>
      </c>
      <c r="Q95" s="216"/>
      <c r="R95" s="216"/>
      <c r="S95" s="216"/>
      <c r="T95" s="194"/>
      <c r="U95" s="194"/>
      <c r="V95" s="194"/>
      <c r="W95" s="194"/>
      <c r="X95" s="5"/>
      <c r="Y95" s="5"/>
      <c r="Z95" s="5"/>
      <c r="AA95" s="5"/>
      <c r="AB95" s="5"/>
    </row>
    <row r="96" spans="1:28" ht="12.75" customHeight="1">
      <c r="A96" s="178">
        <v>37500</v>
      </c>
      <c r="B96" s="192">
        <f t="shared" si="6"/>
        <v>58197.803650000002</v>
      </c>
      <c r="C96" s="194"/>
      <c r="D96" s="192">
        <f>50792+(30.73*111.915)</f>
        <v>54231.147949999999</v>
      </c>
      <c r="E96" s="193">
        <f t="shared" si="10"/>
        <v>5703.8208903239392</v>
      </c>
      <c r="F96" s="184">
        <f t="shared" si="9"/>
        <v>9.5078630610576607</v>
      </c>
      <c r="G96" s="184"/>
      <c r="H96" s="216">
        <f t="shared" si="2"/>
        <v>-6.8158168371015501E-2</v>
      </c>
      <c r="I96" s="216">
        <f t="shared" si="13"/>
        <v>-0.1540069148934613</v>
      </c>
      <c r="J96" s="216">
        <v>-0.1087</v>
      </c>
      <c r="K96" s="216">
        <f t="shared" si="14"/>
        <v>-0.20484083021577415</v>
      </c>
      <c r="L96" s="216"/>
      <c r="M96" s="216">
        <f t="shared" si="3"/>
        <v>-0.1087</v>
      </c>
      <c r="N96" s="216"/>
      <c r="O96" s="195">
        <f t="shared" si="11"/>
        <v>19015.726122115324</v>
      </c>
      <c r="P96" s="195">
        <f t="shared" si="12"/>
        <v>18952.571926412129</v>
      </c>
      <c r="Q96" s="216"/>
      <c r="R96" s="216"/>
      <c r="S96" s="216"/>
      <c r="T96" s="194"/>
      <c r="U96" s="194"/>
      <c r="V96" s="194"/>
      <c r="W96" s="194"/>
      <c r="X96" s="5"/>
      <c r="Y96" s="5"/>
      <c r="Z96" s="5"/>
      <c r="AA96" s="5"/>
      <c r="AB96" s="5"/>
    </row>
    <row r="97" spans="1:28" ht="12.75" customHeight="1">
      <c r="A97" s="178">
        <v>37530</v>
      </c>
      <c r="B97" s="192">
        <f t="shared" si="6"/>
        <v>54231.147949999999</v>
      </c>
      <c r="C97" s="194"/>
      <c r="D97" s="192">
        <f>54149+(32.25*111.915)</f>
        <v>57758.258750000001</v>
      </c>
      <c r="E97" s="193">
        <f t="shared" si="10"/>
        <v>5703.8208903239392</v>
      </c>
      <c r="F97" s="184">
        <f t="shared" si="9"/>
        <v>10.126239911912752</v>
      </c>
      <c r="G97" s="184"/>
      <c r="H97" s="216">
        <f t="shared" si="2"/>
        <v>6.5038468358662102E-2</v>
      </c>
      <c r="I97" s="216">
        <f t="shared" si="13"/>
        <v>-0.17144160798454611</v>
      </c>
      <c r="J97" s="216">
        <v>8.8000000000000009E-2</v>
      </c>
      <c r="K97" s="216">
        <f t="shared" si="14"/>
        <v>-0.15108117287289002</v>
      </c>
      <c r="L97" s="216"/>
      <c r="M97" s="216">
        <f t="shared" si="3"/>
        <v>8.8000000000000009E-2</v>
      </c>
      <c r="N97" s="216"/>
      <c r="O97" s="195">
        <f t="shared" si="11"/>
        <v>20252.479823825503</v>
      </c>
      <c r="P97" s="195">
        <f t="shared" si="12"/>
        <v>20620.398255936398</v>
      </c>
      <c r="Q97" s="216"/>
      <c r="R97" s="216"/>
      <c r="S97" s="216"/>
      <c r="T97" s="194"/>
      <c r="U97" s="194"/>
      <c r="V97" s="194"/>
      <c r="W97" s="194"/>
      <c r="X97" s="5"/>
      <c r="Y97" s="5"/>
      <c r="Z97" s="5"/>
      <c r="AA97" s="5"/>
      <c r="AB97" s="5"/>
    </row>
    <row r="98" spans="1:28" ht="12.75" customHeight="1">
      <c r="A98" s="178">
        <v>37561</v>
      </c>
      <c r="B98" s="192">
        <f t="shared" si="6"/>
        <v>57758.258750000001</v>
      </c>
      <c r="C98" s="194"/>
      <c r="D98" s="192">
        <f>57705+3733.48</f>
        <v>61438.48</v>
      </c>
      <c r="E98" s="193">
        <f t="shared" si="10"/>
        <v>5703.8208903239392</v>
      </c>
      <c r="F98" s="184">
        <f t="shared" si="9"/>
        <v>10.771460251184484</v>
      </c>
      <c r="G98" s="184"/>
      <c r="H98" s="216">
        <f t="shared" si="2"/>
        <v>6.3717662714338805E-2</v>
      </c>
      <c r="I98" s="216">
        <f t="shared" si="13"/>
        <v>-0.15014758691326269</v>
      </c>
      <c r="J98" s="216">
        <v>5.8899999999999994E-2</v>
      </c>
      <c r="K98" s="216">
        <f t="shared" si="14"/>
        <v>-0.16511549545379689</v>
      </c>
      <c r="L98" s="216"/>
      <c r="M98" s="216">
        <f t="shared" si="3"/>
        <v>5.8899999999999994E-2</v>
      </c>
      <c r="N98" s="216"/>
      <c r="O98" s="195">
        <f t="shared" si="11"/>
        <v>21542.920502368968</v>
      </c>
      <c r="P98" s="195">
        <f t="shared" si="12"/>
        <v>21834.93971321105</v>
      </c>
      <c r="Q98" s="216"/>
      <c r="R98" s="216"/>
      <c r="S98" s="216"/>
      <c r="T98" s="194"/>
      <c r="U98" s="194"/>
      <c r="V98" s="194"/>
      <c r="W98" s="194"/>
      <c r="X98" s="5"/>
      <c r="Y98" s="5"/>
      <c r="Z98" s="5"/>
      <c r="AA98" s="5"/>
      <c r="AB98" s="5"/>
    </row>
    <row r="99" spans="1:28" ht="12.75" customHeight="1">
      <c r="A99" s="1439">
        <v>37591</v>
      </c>
      <c r="B99" s="1440">
        <f t="shared" si="6"/>
        <v>61438.48</v>
      </c>
      <c r="C99" s="1438"/>
      <c r="D99" s="1440">
        <f>54917+3733.48</f>
        <v>58650.48</v>
      </c>
      <c r="E99" s="1442">
        <f t="shared" si="10"/>
        <v>5703.8208903239392</v>
      </c>
      <c r="F99" s="1443">
        <f t="shared" si="9"/>
        <v>10.28266509902085</v>
      </c>
      <c r="G99" s="1443"/>
      <c r="H99" s="1444">
        <f t="shared" si="2"/>
        <v>-4.5378726817460413E-2</v>
      </c>
      <c r="I99" s="1444">
        <f t="shared" si="13"/>
        <v>-0.2092676428161776</v>
      </c>
      <c r="J99" s="1444">
        <v>-5.8799999999999998E-2</v>
      </c>
      <c r="K99" s="1444">
        <f t="shared" si="14"/>
        <v>-0.22106136431514034</v>
      </c>
      <c r="L99" s="1444"/>
      <c r="M99" s="1446">
        <f t="shared" si="3"/>
        <v>-5.8799999999999998E-2</v>
      </c>
      <c r="N99" s="1444"/>
      <c r="O99" s="1447">
        <f t="shared" si="11"/>
        <v>20565.330198041702</v>
      </c>
      <c r="P99" s="1448">
        <f t="shared" si="12"/>
        <v>20551.045258074242</v>
      </c>
      <c r="Q99" s="1444"/>
      <c r="R99" s="1444"/>
      <c r="S99" s="1444"/>
      <c r="T99" s="1438"/>
      <c r="U99" s="1438"/>
      <c r="V99" s="1438"/>
      <c r="W99" s="1438"/>
      <c r="X99" s="1435"/>
      <c r="Y99" s="1435"/>
      <c r="Z99" s="1435"/>
      <c r="AA99" s="1435"/>
      <c r="AB99" s="1435"/>
    </row>
    <row r="100" spans="1:28" ht="12.75" customHeight="1">
      <c r="A100" s="178">
        <v>37622</v>
      </c>
      <c r="B100" s="192">
        <f t="shared" si="6"/>
        <v>58650.48</v>
      </c>
      <c r="C100" s="194"/>
      <c r="D100" s="192">
        <f>54121+3733.48</f>
        <v>57854.48</v>
      </c>
      <c r="E100" s="193">
        <f t="shared" si="10"/>
        <v>5703.8208903239392</v>
      </c>
      <c r="F100" s="184">
        <f t="shared" si="9"/>
        <v>10.14310952473023</v>
      </c>
      <c r="G100" s="184"/>
      <c r="H100" s="216">
        <f t="shared" si="2"/>
        <v>-1.3571926436066559E-2</v>
      </c>
      <c r="I100" s="216">
        <f t="shared" si="13"/>
        <v>-0.22355162861825073</v>
      </c>
      <c r="J100" s="216">
        <v>-2.6200000000000001E-2</v>
      </c>
      <c r="K100" s="216">
        <f t="shared" si="14"/>
        <v>-0.23023092812064527</v>
      </c>
      <c r="L100" s="216"/>
      <c r="M100" s="216">
        <f t="shared" si="3"/>
        <v>-2.6200000000000001E-2</v>
      </c>
      <c r="N100" s="216"/>
      <c r="O100" s="195">
        <f t="shared" si="11"/>
        <v>20286.219049460462</v>
      </c>
      <c r="P100" s="195">
        <f t="shared" si="12"/>
        <v>20012.607872312696</v>
      </c>
      <c r="Q100" s="216"/>
      <c r="R100" s="216"/>
      <c r="S100" s="216"/>
      <c r="T100" s="194"/>
      <c r="U100" s="194"/>
      <c r="V100" s="194"/>
      <c r="W100" s="194"/>
      <c r="X100" s="5"/>
      <c r="Y100" s="5"/>
      <c r="Z100" s="5"/>
      <c r="AA100" s="5"/>
      <c r="AB100" s="5"/>
    </row>
    <row r="101" spans="1:28" ht="12.75" customHeight="1">
      <c r="A101" s="178">
        <v>37653</v>
      </c>
      <c r="B101" s="192">
        <f t="shared" si="6"/>
        <v>57854.48</v>
      </c>
      <c r="C101" s="194"/>
      <c r="D101" s="192">
        <f>54121+3733.48</f>
        <v>57854.48</v>
      </c>
      <c r="E101" s="193">
        <f t="shared" si="10"/>
        <v>5703.8208903239392</v>
      </c>
      <c r="F101" s="184">
        <f t="shared" si="9"/>
        <v>10.14310952473023</v>
      </c>
      <c r="G101" s="184"/>
      <c r="H101" s="216">
        <f t="shared" si="2"/>
        <v>0</v>
      </c>
      <c r="I101" s="216">
        <f t="shared" si="13"/>
        <v>-0.18326956881343948</v>
      </c>
      <c r="J101" s="216">
        <v>-1.4999999999999999E-2</v>
      </c>
      <c r="K101" s="216">
        <f t="shared" si="14"/>
        <v>-0.22685578076765112</v>
      </c>
      <c r="L101" s="216"/>
      <c r="M101" s="216">
        <f t="shared" si="3"/>
        <v>-1.4999999999999999E-2</v>
      </c>
      <c r="N101" s="216"/>
      <c r="O101" s="195">
        <f t="shared" si="11"/>
        <v>20286.219049460462</v>
      </c>
      <c r="P101" s="195">
        <f t="shared" si="12"/>
        <v>19712.418754228005</v>
      </c>
      <c r="Q101" s="216"/>
      <c r="R101" s="216"/>
      <c r="S101" s="216"/>
      <c r="T101" s="194"/>
      <c r="U101" s="194"/>
      <c r="V101" s="194"/>
      <c r="W101" s="194"/>
      <c r="X101" s="5"/>
      <c r="Y101" s="5"/>
      <c r="Z101" s="5"/>
      <c r="AA101" s="5"/>
      <c r="AB101" s="5"/>
    </row>
    <row r="102" spans="1:28" ht="12.75" customHeight="1">
      <c r="A102" s="178">
        <v>37681</v>
      </c>
      <c r="B102" s="192">
        <f t="shared" si="6"/>
        <v>57854.48</v>
      </c>
      <c r="C102" s="194"/>
      <c r="D102" s="192">
        <f>54931+3733.48</f>
        <v>58664.480000000003</v>
      </c>
      <c r="E102" s="193">
        <f t="shared" si="10"/>
        <v>5703.8208903239392</v>
      </c>
      <c r="F102" s="184">
        <f t="shared" si="9"/>
        <v>10.285119594046062</v>
      </c>
      <c r="G102" s="184"/>
      <c r="H102" s="216">
        <f t="shared" si="2"/>
        <v>1.4000644375336085E-2</v>
      </c>
      <c r="I102" s="216">
        <f t="shared" si="13"/>
        <v>-0.21189816133942585</v>
      </c>
      <c r="J102" s="216">
        <v>9.7000000000000003E-3</v>
      </c>
      <c r="K102" s="216">
        <f t="shared" si="14"/>
        <v>-0.24764483600722564</v>
      </c>
      <c r="L102" s="216"/>
      <c r="M102" s="216">
        <f t="shared" si="3"/>
        <v>9.7000000000000003E-3</v>
      </c>
      <c r="N102" s="216"/>
      <c r="O102" s="195">
        <f t="shared" si="11"/>
        <v>20570.239188092124</v>
      </c>
      <c r="P102" s="195">
        <f t="shared" si="12"/>
        <v>19903.629216144018</v>
      </c>
      <c r="Q102" s="216"/>
      <c r="R102" s="216"/>
      <c r="S102" s="216"/>
      <c r="T102" s="194"/>
      <c r="U102" s="194"/>
      <c r="V102" s="194"/>
      <c r="W102" s="194"/>
      <c r="X102" s="5"/>
      <c r="Y102" s="5"/>
      <c r="Z102" s="5"/>
      <c r="AA102" s="5"/>
      <c r="AB102" s="5"/>
    </row>
    <row r="103" spans="1:28" ht="12.75" customHeight="1">
      <c r="A103" s="178">
        <v>37712</v>
      </c>
      <c r="B103" s="192">
        <f t="shared" si="6"/>
        <v>58664.480000000003</v>
      </c>
      <c r="C103" s="194"/>
      <c r="D103" s="192">
        <f>57954+3733.48</f>
        <v>61687.48</v>
      </c>
      <c r="E103" s="193">
        <f t="shared" si="10"/>
        <v>5703.8208903239392</v>
      </c>
      <c r="F103" s="184">
        <f t="shared" si="9"/>
        <v>10.81511519841861</v>
      </c>
      <c r="G103" s="184"/>
      <c r="H103" s="216">
        <f t="shared" si="2"/>
        <v>5.1530329766836781E-2</v>
      </c>
      <c r="I103" s="216">
        <f t="shared" si="13"/>
        <v>-0.13767068343065969</v>
      </c>
      <c r="J103" s="216">
        <v>8.2400000000000001E-2</v>
      </c>
      <c r="K103" s="216">
        <f t="shared" si="14"/>
        <v>-0.13311770331511741</v>
      </c>
      <c r="L103" s="216"/>
      <c r="M103" s="216">
        <f t="shared" si="3"/>
        <v>8.2400000000000001E-2</v>
      </c>
      <c r="N103" s="216"/>
      <c r="O103" s="195">
        <f t="shared" si="11"/>
        <v>21630.230396837222</v>
      </c>
      <c r="P103" s="195">
        <f t="shared" si="12"/>
        <v>21543.688263554286</v>
      </c>
      <c r="Q103" s="216"/>
      <c r="R103" s="216"/>
      <c r="S103" s="216"/>
      <c r="T103" s="194"/>
      <c r="U103" s="194"/>
      <c r="V103" s="194"/>
      <c r="W103" s="194"/>
      <c r="X103" s="5"/>
      <c r="Y103" s="5"/>
      <c r="Z103" s="5"/>
      <c r="AA103" s="5"/>
      <c r="AB103" s="5"/>
    </row>
    <row r="104" spans="1:28" ht="12.75" customHeight="1">
      <c r="A104" s="178">
        <v>37742</v>
      </c>
      <c r="B104" s="192">
        <f t="shared" si="6"/>
        <v>61687.48</v>
      </c>
      <c r="C104" s="194"/>
      <c r="D104" s="192">
        <f>60811+3733.48</f>
        <v>64544.480000000003</v>
      </c>
      <c r="E104" s="193">
        <f t="shared" si="10"/>
        <v>5703.8208903239392</v>
      </c>
      <c r="F104" s="184">
        <f t="shared" si="9"/>
        <v>11.316007504635074</v>
      </c>
      <c r="G104" s="184"/>
      <c r="H104" s="216">
        <f t="shared" si="2"/>
        <v>4.6314098095756276E-2</v>
      </c>
      <c r="I104" s="216">
        <f t="shared" si="13"/>
        <v>-8.5205972034704813E-2</v>
      </c>
      <c r="J104" s="216">
        <v>5.2699999999999997E-2</v>
      </c>
      <c r="K104" s="216">
        <f t="shared" si="14"/>
        <v>-8.0629665806794204E-2</v>
      </c>
      <c r="L104" s="216"/>
      <c r="M104" s="216">
        <f t="shared" si="3"/>
        <v>5.2699999999999997E-2</v>
      </c>
      <c r="N104" s="216"/>
      <c r="O104" s="195">
        <f t="shared" si="11"/>
        <v>22632.015009270151</v>
      </c>
      <c r="P104" s="195">
        <f t="shared" si="12"/>
        <v>22679.040635043595</v>
      </c>
      <c r="Q104" s="216"/>
      <c r="R104" s="216"/>
      <c r="S104" s="216"/>
      <c r="T104" s="194"/>
      <c r="U104" s="194"/>
      <c r="V104" s="194"/>
      <c r="W104" s="194"/>
      <c r="X104" s="5"/>
      <c r="Y104" s="5"/>
      <c r="Z104" s="5"/>
      <c r="AA104" s="5"/>
      <c r="AB104" s="5"/>
    </row>
    <row r="105" spans="1:28" ht="12.75" customHeight="1">
      <c r="A105" s="178">
        <v>37773</v>
      </c>
      <c r="B105" s="192">
        <f t="shared" si="6"/>
        <v>64544.480000000003</v>
      </c>
      <c r="C105" s="194"/>
      <c r="D105" s="192">
        <f>63691+3733.48</f>
        <v>67424.479999999996</v>
      </c>
      <c r="E105" s="193">
        <f t="shared" si="10"/>
        <v>5703.8208903239392</v>
      </c>
      <c r="F105" s="184">
        <f t="shared" si="9"/>
        <v>11.820932195535812</v>
      </c>
      <c r="G105" s="184"/>
      <c r="H105" s="216">
        <f t="shared" si="2"/>
        <v>4.4620392014932786E-2</v>
      </c>
      <c r="I105" s="216">
        <f t="shared" si="13"/>
        <v>7.2875401295987796E-2</v>
      </c>
      <c r="J105" s="216">
        <v>1.2800000000000001E-2</v>
      </c>
      <c r="K105" s="216">
        <f t="shared" si="14"/>
        <v>2.517522040136333E-3</v>
      </c>
      <c r="L105" s="216"/>
      <c r="M105" s="216">
        <f t="shared" si="3"/>
        <v>1.2800000000000001E-2</v>
      </c>
      <c r="N105" s="216"/>
      <c r="O105" s="195">
        <f t="shared" si="11"/>
        <v>23641.864391071631</v>
      </c>
      <c r="P105" s="195">
        <f t="shared" si="12"/>
        <v>22969.332355172151</v>
      </c>
      <c r="Q105" s="216"/>
      <c r="R105" s="216"/>
      <c r="S105" s="216"/>
      <c r="T105" s="194"/>
      <c r="U105" s="194"/>
      <c r="V105" s="194"/>
      <c r="W105" s="194"/>
      <c r="X105" s="5"/>
      <c r="Y105" s="5"/>
      <c r="Z105" s="5"/>
      <c r="AA105" s="5"/>
      <c r="AB105" s="5"/>
    </row>
    <row r="106" spans="1:28" ht="12.75" customHeight="1">
      <c r="A106" s="178">
        <v>37803</v>
      </c>
      <c r="B106" s="192">
        <f t="shared" si="6"/>
        <v>67424.479999999996</v>
      </c>
      <c r="C106" s="194"/>
      <c r="D106" s="192">
        <f>63974+3733.48</f>
        <v>67707.48</v>
      </c>
      <c r="E106" s="193">
        <f t="shared" si="10"/>
        <v>5703.8208903239392</v>
      </c>
      <c r="F106" s="184">
        <f t="shared" si="9"/>
        <v>11.87054805925974</v>
      </c>
      <c r="G106" s="184"/>
      <c r="H106" s="216">
        <f t="shared" si="2"/>
        <v>4.1972885812393643E-3</v>
      </c>
      <c r="I106" s="216">
        <f t="shared" si="13"/>
        <v>0.16347080992341168</v>
      </c>
      <c r="J106" s="216">
        <v>1.7600000000000001E-2</v>
      </c>
      <c r="K106" s="216">
        <f t="shared" si="14"/>
        <v>0.10646619352282327</v>
      </c>
      <c r="L106" s="216"/>
      <c r="M106" s="216">
        <f t="shared" si="3"/>
        <v>1.7600000000000001E-2</v>
      </c>
      <c r="N106" s="216"/>
      <c r="O106" s="195">
        <f t="shared" si="11"/>
        <v>23741.096118519486</v>
      </c>
      <c r="P106" s="195">
        <f t="shared" si="12"/>
        <v>23373.592604623183</v>
      </c>
      <c r="Q106" s="216"/>
      <c r="R106" s="216"/>
      <c r="S106" s="216"/>
      <c r="T106" s="194"/>
      <c r="U106" s="194"/>
      <c r="V106" s="194"/>
      <c r="W106" s="194"/>
      <c r="X106" s="5"/>
      <c r="Y106" s="5"/>
      <c r="Z106" s="5"/>
      <c r="AA106" s="5"/>
      <c r="AB106" s="5"/>
    </row>
    <row r="107" spans="1:28" ht="12.75" customHeight="1">
      <c r="A107" s="178">
        <v>37834</v>
      </c>
      <c r="B107" s="192">
        <f t="shared" si="6"/>
        <v>67707.48</v>
      </c>
      <c r="C107" s="194"/>
      <c r="D107" s="192">
        <f>(D106+D108)/2</f>
        <v>68339.98</v>
      </c>
      <c r="E107" s="193">
        <f t="shared" si="10"/>
        <v>5703.8208903239392</v>
      </c>
      <c r="F107" s="184">
        <f t="shared" si="9"/>
        <v>11.98143863807735</v>
      </c>
      <c r="G107" s="184"/>
      <c r="H107" s="216">
        <f t="shared" si="2"/>
        <v>9.3416561951500561E-3</v>
      </c>
      <c r="I107" s="216">
        <f t="shared" si="13"/>
        <v>0.17427077507932709</v>
      </c>
      <c r="J107" s="216">
        <v>1.95E-2</v>
      </c>
      <c r="K107" s="216">
        <f t="shared" si="14"/>
        <v>0.12064602056081664</v>
      </c>
      <c r="L107" s="216"/>
      <c r="M107" s="216">
        <f t="shared" si="3"/>
        <v>1.95E-2</v>
      </c>
      <c r="N107" s="216"/>
      <c r="O107" s="195">
        <f t="shared" si="11"/>
        <v>23962.877276154708</v>
      </c>
      <c r="P107" s="195">
        <f t="shared" si="12"/>
        <v>23829.377660413338</v>
      </c>
      <c r="Q107" s="216"/>
      <c r="R107" s="216"/>
      <c r="S107" s="216"/>
      <c r="T107" s="194"/>
      <c r="U107" s="194"/>
      <c r="V107" s="194"/>
      <c r="W107" s="194"/>
      <c r="X107" s="5"/>
      <c r="Y107" s="5"/>
      <c r="Z107" s="5"/>
      <c r="AA107" s="5"/>
      <c r="AB107" s="5"/>
    </row>
    <row r="108" spans="1:28" ht="12.75" customHeight="1">
      <c r="A108" s="178">
        <v>37865</v>
      </c>
      <c r="B108" s="192">
        <f t="shared" si="6"/>
        <v>68339.98</v>
      </c>
      <c r="C108" s="194"/>
      <c r="D108" s="192">
        <f>65239+3733.48</f>
        <v>68972.479999999996</v>
      </c>
      <c r="E108" s="193">
        <f t="shared" si="10"/>
        <v>5703.8208903239392</v>
      </c>
      <c r="F108" s="184">
        <f t="shared" si="9"/>
        <v>12.09232921689496</v>
      </c>
      <c r="G108" s="184"/>
      <c r="H108" s="216">
        <f t="shared" si="2"/>
        <v>9.2551973237334651E-3</v>
      </c>
      <c r="I108" s="216">
        <f t="shared" si="13"/>
        <v>0.2718240827870948</v>
      </c>
      <c r="J108" s="216">
        <v>-1.06E-2</v>
      </c>
      <c r="K108" s="216">
        <f t="shared" si="14"/>
        <v>0.24398874985175856</v>
      </c>
      <c r="L108" s="216"/>
      <c r="M108" s="216">
        <f t="shared" si="3"/>
        <v>-1.06E-2</v>
      </c>
      <c r="N108" s="216"/>
      <c r="O108" s="195">
        <f t="shared" si="11"/>
        <v>24184.658433789926</v>
      </c>
      <c r="P108" s="195">
        <f t="shared" si="12"/>
        <v>23576.786257212956</v>
      </c>
      <c r="Q108" s="216"/>
      <c r="R108" s="216"/>
      <c r="S108" s="216"/>
      <c r="T108" s="194"/>
      <c r="U108" s="194"/>
      <c r="V108" s="194"/>
      <c r="W108" s="194"/>
      <c r="X108" s="5"/>
      <c r="Y108" s="5"/>
      <c r="Z108" s="5"/>
      <c r="AA108" s="5"/>
      <c r="AB108" s="5"/>
    </row>
    <row r="109" spans="1:28" ht="12.75" customHeight="1">
      <c r="A109" s="178">
        <v>37895</v>
      </c>
      <c r="B109" s="192">
        <f t="shared" si="6"/>
        <v>68972.479999999996</v>
      </c>
      <c r="C109" s="194"/>
      <c r="D109" s="192">
        <f>66239+3733.48</f>
        <v>69972.479999999996</v>
      </c>
      <c r="E109" s="193">
        <f t="shared" si="10"/>
        <v>5703.8208903239392</v>
      </c>
      <c r="F109" s="184">
        <f t="shared" si="9"/>
        <v>12.267650290124385</v>
      </c>
      <c r="G109" s="184"/>
      <c r="H109" s="216">
        <f t="shared" si="2"/>
        <v>1.4498536227782518E-2</v>
      </c>
      <c r="I109" s="216">
        <f t="shared" si="13"/>
        <v>0.21147142442205324</v>
      </c>
      <c r="J109" s="216">
        <v>5.6600000000000004E-2</v>
      </c>
      <c r="K109" s="216">
        <f t="shared" si="14"/>
        <v>0.20808686865199255</v>
      </c>
      <c r="L109" s="216"/>
      <c r="M109" s="216">
        <f t="shared" si="3"/>
        <v>5.6600000000000004E-2</v>
      </c>
      <c r="N109" s="216"/>
      <c r="O109" s="195">
        <f t="shared" si="11"/>
        <v>24535.300580248775</v>
      </c>
      <c r="P109" s="195">
        <f t="shared" si="12"/>
        <v>24911.23235937121</v>
      </c>
      <c r="Q109" s="216"/>
      <c r="R109" s="216"/>
      <c r="S109" s="216"/>
      <c r="T109" s="194"/>
      <c r="U109" s="194"/>
      <c r="V109" s="194"/>
      <c r="W109" s="194"/>
      <c r="X109" s="5"/>
      <c r="Y109" s="5"/>
      <c r="Z109" s="5"/>
      <c r="AA109" s="5"/>
      <c r="AB109" s="5"/>
    </row>
    <row r="110" spans="1:28" ht="12.75" customHeight="1">
      <c r="A110" s="178">
        <v>37926</v>
      </c>
      <c r="B110" s="192">
        <f t="shared" si="6"/>
        <v>69972.479999999996</v>
      </c>
      <c r="C110" s="194"/>
      <c r="D110" s="192">
        <f>68239+3733.48</f>
        <v>71972.479999999996</v>
      </c>
      <c r="E110" s="193">
        <f t="shared" si="10"/>
        <v>5703.8208903239392</v>
      </c>
      <c r="F110" s="184">
        <f t="shared" si="9"/>
        <v>12.618292436583232</v>
      </c>
      <c r="G110" s="184"/>
      <c r="H110" s="216">
        <f t="shared" si="2"/>
        <v>2.858266564226393E-2</v>
      </c>
      <c r="I110" s="216">
        <f t="shared" si="13"/>
        <v>0.17145606466826657</v>
      </c>
      <c r="J110" s="216">
        <v>8.8000000000000005E-3</v>
      </c>
      <c r="K110" s="216">
        <f t="shared" si="14"/>
        <v>0.1509283530986214</v>
      </c>
      <c r="L110" s="216"/>
      <c r="M110" s="216">
        <f t="shared" si="3"/>
        <v>8.8000000000000005E-3</v>
      </c>
      <c r="N110" s="216"/>
      <c r="O110" s="195">
        <f t="shared" si="11"/>
        <v>25236.58487316647</v>
      </c>
      <c r="P110" s="195">
        <f t="shared" si="12"/>
        <v>25130.451204133675</v>
      </c>
      <c r="Q110" s="216"/>
      <c r="R110" s="216"/>
      <c r="S110" s="216"/>
      <c r="T110" s="194"/>
      <c r="U110" s="194"/>
      <c r="V110" s="194"/>
      <c r="W110" s="194"/>
      <c r="X110" s="5"/>
      <c r="Y110" s="5"/>
      <c r="Z110" s="5"/>
      <c r="AA110" s="5"/>
      <c r="AB110" s="5"/>
    </row>
    <row r="111" spans="1:28" ht="12.75" customHeight="1">
      <c r="A111" s="1439">
        <v>37956</v>
      </c>
      <c r="B111" s="1440">
        <f t="shared" si="6"/>
        <v>71972.479999999996</v>
      </c>
      <c r="C111" s="1438"/>
      <c r="D111" s="1440">
        <f>68737+3733.48</f>
        <v>72470.48</v>
      </c>
      <c r="E111" s="1442">
        <f t="shared" si="10"/>
        <v>5703.8208903239392</v>
      </c>
      <c r="F111" s="1443">
        <f t="shared" si="9"/>
        <v>12.705602331051484</v>
      </c>
      <c r="G111" s="1443"/>
      <c r="H111" s="1444">
        <f t="shared" si="2"/>
        <v>6.9193113812389536E-3</v>
      </c>
      <c r="I111" s="1444">
        <f t="shared" si="13"/>
        <v>0.23563319515884573</v>
      </c>
      <c r="J111" s="1444">
        <v>5.2400000000000002E-2</v>
      </c>
      <c r="K111" s="1444">
        <f t="shared" si="14"/>
        <v>0.28690713854758698</v>
      </c>
      <c r="L111" s="1444"/>
      <c r="M111" s="1446">
        <f t="shared" si="3"/>
        <v>5.2400000000000002E-2</v>
      </c>
      <c r="N111" s="1444"/>
      <c r="O111" s="1447">
        <f t="shared" si="11"/>
        <v>25411.204662102973</v>
      </c>
      <c r="P111" s="1448">
        <f t="shared" si="12"/>
        <v>26447.28684723028</v>
      </c>
      <c r="Q111" s="1444"/>
      <c r="R111" s="1444"/>
      <c r="S111" s="1444"/>
      <c r="T111" s="1438"/>
      <c r="U111" s="1438"/>
      <c r="V111" s="1438"/>
      <c r="W111" s="1438"/>
      <c r="X111" s="1435"/>
      <c r="Y111" s="1435"/>
      <c r="Z111" s="1435"/>
      <c r="AA111" s="1435"/>
      <c r="AB111" s="1435"/>
    </row>
    <row r="112" spans="1:28" ht="12.75" customHeight="1">
      <c r="A112" s="178">
        <v>37987</v>
      </c>
      <c r="B112" s="192">
        <f t="shared" si="6"/>
        <v>72470.48</v>
      </c>
      <c r="C112" s="194"/>
      <c r="D112" s="192">
        <f>68430+3733.48</f>
        <v>72163.48</v>
      </c>
      <c r="E112" s="193">
        <f t="shared" si="10"/>
        <v>5703.8208903239392</v>
      </c>
      <c r="F112" s="184">
        <f t="shared" si="9"/>
        <v>12.651778761570052</v>
      </c>
      <c r="G112" s="184"/>
      <c r="H112" s="216">
        <f t="shared" si="2"/>
        <v>-4.2362076255048255E-3</v>
      </c>
      <c r="I112" s="216">
        <f t="shared" si="13"/>
        <v>0.24732743255146294</v>
      </c>
      <c r="J112" s="216">
        <v>1.84E-2</v>
      </c>
      <c r="K112" s="216">
        <f t="shared" si="14"/>
        <v>0.34584743263181572</v>
      </c>
      <c r="L112" s="216"/>
      <c r="M112" s="216">
        <f t="shared" si="3"/>
        <v>1.84E-2</v>
      </c>
      <c r="N112" s="216"/>
      <c r="O112" s="195">
        <f t="shared" si="11"/>
        <v>25303.557523140109</v>
      </c>
      <c r="P112" s="195">
        <f t="shared" si="12"/>
        <v>26933.916925219317</v>
      </c>
      <c r="Q112" s="216"/>
      <c r="R112" s="216"/>
      <c r="S112" s="216"/>
      <c r="T112" s="194"/>
      <c r="U112" s="194"/>
      <c r="V112" s="194"/>
      <c r="W112" s="194"/>
      <c r="X112" s="5"/>
      <c r="Y112" s="5"/>
      <c r="Z112" s="5"/>
      <c r="AA112" s="5"/>
      <c r="AB112" s="5"/>
    </row>
    <row r="113" spans="1:28" ht="12.75" customHeight="1">
      <c r="A113" s="178">
        <v>38018</v>
      </c>
      <c r="B113" s="192">
        <f t="shared" si="6"/>
        <v>72163.48</v>
      </c>
      <c r="C113" s="194"/>
      <c r="D113" s="192">
        <f>69894+3733.48</f>
        <v>73627.48</v>
      </c>
      <c r="E113" s="193">
        <f t="shared" si="10"/>
        <v>5703.8208903239392</v>
      </c>
      <c r="F113" s="184">
        <f t="shared" si="9"/>
        <v>12.908448812777928</v>
      </c>
      <c r="G113" s="184"/>
      <c r="H113" s="216">
        <f t="shared" si="2"/>
        <v>2.0287269959819051E-2</v>
      </c>
      <c r="I113" s="216">
        <f t="shared" si="13"/>
        <v>0.27263230090392243</v>
      </c>
      <c r="J113" s="216">
        <v>1.3899999999999999E-2</v>
      </c>
      <c r="K113" s="216">
        <f t="shared" si="14"/>
        <v>0.38533473293949094</v>
      </c>
      <c r="L113" s="216"/>
      <c r="M113" s="216">
        <f t="shared" si="3"/>
        <v>1.3899999999999999E-2</v>
      </c>
      <c r="N113" s="216"/>
      <c r="O113" s="195">
        <f t="shared" si="11"/>
        <v>25816.897625555863</v>
      </c>
      <c r="P113" s="195">
        <f t="shared" si="12"/>
        <v>27308.298370479864</v>
      </c>
      <c r="Q113" s="216"/>
      <c r="R113" s="216"/>
      <c r="S113" s="216"/>
      <c r="T113" s="194"/>
      <c r="U113" s="194"/>
      <c r="V113" s="194"/>
      <c r="W113" s="194"/>
      <c r="X113" s="5"/>
      <c r="Y113" s="5"/>
      <c r="Z113" s="5"/>
      <c r="AA113" s="5"/>
      <c r="AB113" s="5"/>
    </row>
    <row r="114" spans="1:28" ht="12.75" customHeight="1">
      <c r="A114" s="178">
        <v>38047</v>
      </c>
      <c r="B114" s="192">
        <f t="shared" si="6"/>
        <v>73627.48</v>
      </c>
      <c r="C114" s="194"/>
      <c r="D114" s="192">
        <f>70353+3733.48</f>
        <v>74086.48</v>
      </c>
      <c r="E114" s="193">
        <f t="shared" si="10"/>
        <v>5703.8208903239392</v>
      </c>
      <c r="F114" s="184">
        <f t="shared" si="9"/>
        <v>12.988921185390232</v>
      </c>
      <c r="G114" s="184"/>
      <c r="H114" s="216">
        <f t="shared" si="2"/>
        <v>6.2340854257132202E-3</v>
      </c>
      <c r="I114" s="216">
        <f t="shared" si="13"/>
        <v>0.26288479843339574</v>
      </c>
      <c r="J114" s="216">
        <v>-1.5100000000000001E-2</v>
      </c>
      <c r="K114" s="216">
        <f t="shared" si="14"/>
        <v>0.35130848615638732</v>
      </c>
      <c r="L114" s="216"/>
      <c r="M114" s="216">
        <f t="shared" si="3"/>
        <v>-1.5100000000000001E-2</v>
      </c>
      <c r="N114" s="216"/>
      <c r="O114" s="195">
        <f t="shared" si="11"/>
        <v>25977.842370780472</v>
      </c>
      <c r="P114" s="195">
        <f t="shared" si="12"/>
        <v>26895.943065085619</v>
      </c>
      <c r="Q114" s="216"/>
      <c r="R114" s="216"/>
      <c r="S114" s="216"/>
      <c r="T114" s="194"/>
      <c r="U114" s="194"/>
      <c r="V114" s="194"/>
      <c r="W114" s="194"/>
      <c r="X114" s="5"/>
      <c r="Y114" s="5"/>
      <c r="Z114" s="5"/>
      <c r="AA114" s="5"/>
      <c r="AB114" s="5"/>
    </row>
    <row r="115" spans="1:28" ht="12.75" customHeight="1">
      <c r="A115" s="178">
        <v>38078</v>
      </c>
      <c r="B115" s="192">
        <f t="shared" si="6"/>
        <v>74086.48</v>
      </c>
      <c r="C115" s="194"/>
      <c r="D115" s="192">
        <f>70353+3733.48</f>
        <v>74086.48</v>
      </c>
      <c r="E115" s="193">
        <f t="shared" si="10"/>
        <v>5703.8208903239392</v>
      </c>
      <c r="F115" s="184">
        <f t="shared" si="9"/>
        <v>12.988921185390232</v>
      </c>
      <c r="G115" s="184"/>
      <c r="H115" s="216">
        <f t="shared" si="2"/>
        <v>0</v>
      </c>
      <c r="I115" s="216">
        <f t="shared" si="13"/>
        <v>0.20099702565253086</v>
      </c>
      <c r="J115" s="216">
        <v>-1.5699999999999999E-2</v>
      </c>
      <c r="K115" s="216">
        <f t="shared" si="14"/>
        <v>0.22883679131904278</v>
      </c>
      <c r="L115" s="216"/>
      <c r="M115" s="216">
        <f t="shared" si="3"/>
        <v>-1.5699999999999999E-2</v>
      </c>
      <c r="N115" s="80"/>
      <c r="O115" s="195">
        <f t="shared" si="11"/>
        <v>25977.842370780472</v>
      </c>
      <c r="P115" s="195">
        <f t="shared" si="12"/>
        <v>26473.676758963775</v>
      </c>
      <c r="Q115" s="216"/>
      <c r="R115" s="216"/>
      <c r="S115" s="216"/>
      <c r="T115" s="194"/>
      <c r="U115" s="194"/>
      <c r="V115" s="194"/>
      <c r="W115" s="194"/>
      <c r="X115" s="5"/>
      <c r="Y115" s="5"/>
      <c r="Z115" s="5"/>
      <c r="AA115" s="5"/>
      <c r="AB115" s="5"/>
    </row>
    <row r="116" spans="1:28" ht="12.75" customHeight="1">
      <c r="A116" s="178">
        <v>38108</v>
      </c>
      <c r="B116" s="192">
        <f t="shared" si="6"/>
        <v>74086.48</v>
      </c>
      <c r="C116" s="194"/>
      <c r="D116" s="192">
        <f>73793</f>
        <v>73793</v>
      </c>
      <c r="E116" s="193">
        <f t="shared" si="10"/>
        <v>5703.8208903239392</v>
      </c>
      <c r="F116" s="184">
        <f t="shared" si="9"/>
        <v>12.937467956818862</v>
      </c>
      <c r="G116" s="184"/>
      <c r="H116" s="216">
        <f t="shared" si="2"/>
        <v>-3.9613165587026704E-3</v>
      </c>
      <c r="I116" s="216">
        <f t="shared" si="13"/>
        <v>0.14328909304095383</v>
      </c>
      <c r="J116" s="216">
        <v>1.37E-2</v>
      </c>
      <c r="K116" s="216">
        <f t="shared" si="14"/>
        <v>0.18331134735453003</v>
      </c>
      <c r="L116" s="216"/>
      <c r="M116" s="216">
        <f t="shared" si="3"/>
        <v>1.37E-2</v>
      </c>
      <c r="N116" s="80"/>
      <c r="O116" s="195">
        <f t="shared" si="11"/>
        <v>25874.935913637732</v>
      </c>
      <c r="P116" s="195">
        <f t="shared" si="12"/>
        <v>26836.366130561579</v>
      </c>
      <c r="Q116" s="216"/>
      <c r="R116" s="216"/>
      <c r="S116" s="216"/>
      <c r="T116" s="194"/>
      <c r="U116" s="194"/>
      <c r="V116" s="194"/>
      <c r="W116" s="194"/>
      <c r="X116" s="5"/>
      <c r="Y116" s="5"/>
      <c r="Z116" s="5"/>
      <c r="AA116" s="5"/>
      <c r="AB116" s="5"/>
    </row>
    <row r="117" spans="1:28" ht="12.75" customHeight="1">
      <c r="A117" s="178">
        <v>38139</v>
      </c>
      <c r="B117" s="192">
        <f t="shared" si="6"/>
        <v>73793</v>
      </c>
      <c r="C117" s="194"/>
      <c r="D117" s="192">
        <f>76638</f>
        <v>76638</v>
      </c>
      <c r="E117" s="193">
        <f t="shared" si="10"/>
        <v>5703.8208903239392</v>
      </c>
      <c r="F117" s="184">
        <f t="shared" si="9"/>
        <v>13.436256410156574</v>
      </c>
      <c r="G117" s="184"/>
      <c r="H117" s="216">
        <f t="shared" si="2"/>
        <v>3.8553792365129576E-2</v>
      </c>
      <c r="I117" s="216">
        <f t="shared" si="13"/>
        <v>0.13664947805307515</v>
      </c>
      <c r="J117" s="216">
        <v>1.9400000000000001E-2</v>
      </c>
      <c r="K117" s="216">
        <f t="shared" si="14"/>
        <v>0.19102249949961325</v>
      </c>
      <c r="L117" s="216"/>
      <c r="M117" s="216">
        <f t="shared" si="3"/>
        <v>1.9400000000000001E-2</v>
      </c>
      <c r="N117" s="80"/>
      <c r="O117" s="195">
        <f t="shared" si="11"/>
        <v>26872.512820313153</v>
      </c>
      <c r="P117" s="195">
        <f t="shared" si="12"/>
        <v>27356.991633494476</v>
      </c>
      <c r="Q117" s="216"/>
      <c r="R117" s="216"/>
      <c r="S117" s="216"/>
      <c r="T117" s="194"/>
      <c r="U117" s="194"/>
      <c r="V117" s="194"/>
      <c r="W117" s="194"/>
      <c r="X117" s="5"/>
      <c r="Y117" s="5"/>
      <c r="Z117" s="5"/>
      <c r="AA117" s="5"/>
      <c r="AB117" s="5"/>
    </row>
    <row r="118" spans="1:28" ht="12.75" customHeight="1">
      <c r="A118" s="178">
        <v>38169</v>
      </c>
      <c r="B118" s="192">
        <f t="shared" si="6"/>
        <v>76638</v>
      </c>
      <c r="C118" s="194"/>
      <c r="D118" s="192">
        <f>74054</f>
        <v>74054</v>
      </c>
      <c r="E118" s="193">
        <f t="shared" si="10"/>
        <v>5703.8208903239392</v>
      </c>
      <c r="F118" s="184">
        <f t="shared" si="9"/>
        <v>12.983226756931742</v>
      </c>
      <c r="G118" s="184"/>
      <c r="H118" s="216">
        <f t="shared" si="2"/>
        <v>-3.3716955035361096E-2</v>
      </c>
      <c r="I118" s="216">
        <f t="shared" si="13"/>
        <v>9.373439980338949E-2</v>
      </c>
      <c r="J118" s="216">
        <v>-3.3099999999999997E-2</v>
      </c>
      <c r="K118" s="216">
        <f t="shared" si="14"/>
        <v>0.13168205067430816</v>
      </c>
      <c r="L118" s="216"/>
      <c r="M118" s="216">
        <f t="shared" si="3"/>
        <v>-3.3099999999999997E-2</v>
      </c>
      <c r="N118" s="80"/>
      <c r="O118" s="195">
        <f t="shared" si="11"/>
        <v>25966.453513863489</v>
      </c>
      <c r="P118" s="195">
        <f t="shared" si="12"/>
        <v>26451.475210425808</v>
      </c>
      <c r="Q118" s="216"/>
      <c r="R118" s="216"/>
      <c r="S118" s="216"/>
      <c r="T118" s="194"/>
      <c r="U118" s="194"/>
      <c r="V118" s="194"/>
      <c r="W118" s="194"/>
      <c r="X118" s="5"/>
      <c r="Y118" s="5"/>
      <c r="Z118" s="5"/>
      <c r="AA118" s="5"/>
      <c r="AB118" s="5"/>
    </row>
    <row r="119" spans="1:28" ht="12.75" customHeight="1">
      <c r="A119" s="178">
        <v>38200</v>
      </c>
      <c r="B119" s="192">
        <f t="shared" si="6"/>
        <v>74054</v>
      </c>
      <c r="C119" s="194"/>
      <c r="D119" s="192">
        <f>72194</f>
        <v>72194</v>
      </c>
      <c r="E119" s="193">
        <f t="shared" si="10"/>
        <v>5703.8208903239392</v>
      </c>
      <c r="F119" s="184">
        <f t="shared" si="9"/>
        <v>12.657129560725014</v>
      </c>
      <c r="G119" s="184"/>
      <c r="H119" s="216">
        <f t="shared" si="2"/>
        <v>-2.5116806654603398E-2</v>
      </c>
      <c r="I119" s="216">
        <f t="shared" si="13"/>
        <v>5.6394807256308743E-2</v>
      </c>
      <c r="J119" s="216">
        <v>4.0000000000000001E-3</v>
      </c>
      <c r="K119" s="216">
        <f t="shared" si="14"/>
        <v>0.11447648737322713</v>
      </c>
      <c r="L119" s="216"/>
      <c r="M119" s="216">
        <f t="shared" si="3"/>
        <v>4.0000000000000001E-3</v>
      </c>
      <c r="N119" s="80"/>
      <c r="O119" s="195">
        <f t="shared" si="11"/>
        <v>25314.259121450035</v>
      </c>
      <c r="P119" s="195">
        <f t="shared" si="12"/>
        <v>26557.281111267512</v>
      </c>
      <c r="Q119" s="216"/>
      <c r="R119" s="216"/>
      <c r="S119" s="216"/>
      <c r="T119" s="194"/>
      <c r="U119" s="194"/>
      <c r="V119" s="194"/>
      <c r="W119" s="194"/>
      <c r="X119" s="5"/>
      <c r="Y119" s="5"/>
      <c r="Z119" s="5"/>
      <c r="AA119" s="5"/>
      <c r="AB119" s="5"/>
    </row>
    <row r="120" spans="1:28" ht="12.75" customHeight="1">
      <c r="A120" s="178">
        <v>38231</v>
      </c>
      <c r="B120" s="192">
        <f t="shared" si="6"/>
        <v>72194</v>
      </c>
      <c r="C120" s="194"/>
      <c r="D120" s="192">
        <f>73811</f>
        <v>73811</v>
      </c>
      <c r="E120" s="193">
        <f t="shared" si="10"/>
        <v>5703.8208903239392</v>
      </c>
      <c r="F120" s="184">
        <f t="shared" si="9"/>
        <v>12.940623736136992</v>
      </c>
      <c r="G120" s="184"/>
      <c r="H120" s="216">
        <f t="shared" si="2"/>
        <v>2.2397983211901219E-2</v>
      </c>
      <c r="I120" s="216">
        <f t="shared" si="13"/>
        <v>7.015145750884999E-2</v>
      </c>
      <c r="J120" s="216">
        <v>1.0800000000000001E-2</v>
      </c>
      <c r="K120" s="216">
        <f t="shared" si="14"/>
        <v>0.13858180052239555</v>
      </c>
      <c r="L120" s="216"/>
      <c r="M120" s="216">
        <f t="shared" si="3"/>
        <v>1.0800000000000001E-2</v>
      </c>
      <c r="N120" s="80"/>
      <c r="O120" s="195">
        <f t="shared" si="11"/>
        <v>25881.24747227399</v>
      </c>
      <c r="P120" s="195">
        <f t="shared" si="12"/>
        <v>26844.0997472692</v>
      </c>
      <c r="Q120" s="216"/>
      <c r="R120" s="216"/>
      <c r="S120" s="216"/>
      <c r="T120" s="194"/>
      <c r="U120" s="194"/>
      <c r="V120" s="194"/>
      <c r="W120" s="194"/>
      <c r="X120" s="5"/>
      <c r="Y120" s="5"/>
      <c r="Z120" s="5"/>
      <c r="AA120" s="5"/>
      <c r="AB120" s="5"/>
    </row>
    <row r="121" spans="1:28" ht="12.75" customHeight="1">
      <c r="A121" s="178">
        <v>38261</v>
      </c>
      <c r="B121" s="192">
        <f t="shared" si="6"/>
        <v>73811</v>
      </c>
      <c r="C121" s="194"/>
      <c r="D121" s="192">
        <f>76833</f>
        <v>76833</v>
      </c>
      <c r="E121" s="193">
        <f t="shared" si="10"/>
        <v>5703.8208903239392</v>
      </c>
      <c r="F121" s="184">
        <f t="shared" si="9"/>
        <v>13.470444019436311</v>
      </c>
      <c r="G121" s="184"/>
      <c r="H121" s="216">
        <f t="shared" si="2"/>
        <v>4.0942406958312499E-2</v>
      </c>
      <c r="I121" s="216">
        <f t="shared" si="13"/>
        <v>9.8045974646032041E-2</v>
      </c>
      <c r="J121" s="216">
        <v>1.5299999999999999E-2</v>
      </c>
      <c r="K121" s="216">
        <f t="shared" si="14"/>
        <v>9.4077325449922977E-2</v>
      </c>
      <c r="L121" s="216"/>
      <c r="M121" s="216">
        <f t="shared" si="3"/>
        <v>1.5299999999999999E-2</v>
      </c>
      <c r="N121" s="80"/>
      <c r="O121" s="195">
        <f t="shared" si="11"/>
        <v>26940.888038872625</v>
      </c>
      <c r="P121" s="195">
        <f t="shared" si="12"/>
        <v>27254.814473402421</v>
      </c>
      <c r="Q121" s="216"/>
      <c r="R121" s="216"/>
      <c r="S121" s="216"/>
      <c r="T121" s="194"/>
      <c r="U121" s="194"/>
      <c r="V121" s="194"/>
      <c r="W121" s="194"/>
      <c r="X121" s="5"/>
      <c r="Y121" s="5"/>
      <c r="Z121" s="5"/>
      <c r="AA121" s="5"/>
      <c r="AB121" s="5"/>
    </row>
    <row r="122" spans="1:28" ht="12.75" customHeight="1">
      <c r="A122" s="178">
        <v>38292</v>
      </c>
      <c r="B122" s="192">
        <f>76833</f>
        <v>76833</v>
      </c>
      <c r="C122" s="191"/>
      <c r="D122" s="192">
        <v>80907</v>
      </c>
      <c r="E122" s="193">
        <f t="shared" si="10"/>
        <v>5703.8208903239392</v>
      </c>
      <c r="F122" s="184">
        <f t="shared" si="9"/>
        <v>14.184702071772982</v>
      </c>
      <c r="G122" s="184"/>
      <c r="H122" s="216">
        <f t="shared" si="2"/>
        <v>5.3024091210807776E-2</v>
      </c>
      <c r="I122" s="216">
        <f t="shared" si="13"/>
        <v>0.12413800385925278</v>
      </c>
      <c r="J122" s="216">
        <v>4.0500000000000001E-2</v>
      </c>
      <c r="K122" s="216">
        <f t="shared" si="14"/>
        <v>0.1284570352207024</v>
      </c>
      <c r="L122" s="216"/>
      <c r="M122" s="216">
        <f t="shared" si="3"/>
        <v>4.0500000000000001E-2</v>
      </c>
      <c r="N122" s="80"/>
      <c r="O122" s="195">
        <f t="shared" si="11"/>
        <v>28369.404143545966</v>
      </c>
      <c r="P122" s="195">
        <f t="shared" si="12"/>
        <v>28358.63445957522</v>
      </c>
      <c r="Q122" s="216"/>
      <c r="R122" s="216"/>
      <c r="S122" s="216"/>
      <c r="T122" s="194"/>
      <c r="U122" s="194"/>
      <c r="V122" s="194"/>
      <c r="W122" s="194"/>
      <c r="X122" s="5"/>
      <c r="Y122" s="5"/>
      <c r="Z122" s="5"/>
      <c r="AA122" s="5"/>
      <c r="AB122" s="5"/>
    </row>
    <row r="123" spans="1:28" ht="12.75" customHeight="1">
      <c r="A123" s="1439">
        <v>38322</v>
      </c>
      <c r="B123" s="1440">
        <f>80907</f>
        <v>80907</v>
      </c>
      <c r="C123" s="1434"/>
      <c r="D123" s="1440">
        <v>82629</v>
      </c>
      <c r="E123" s="1442">
        <f t="shared" si="10"/>
        <v>5703.8208903239392</v>
      </c>
      <c r="F123" s="1443">
        <f t="shared" si="9"/>
        <v>14.48660495987405</v>
      </c>
      <c r="G123" s="1443"/>
      <c r="H123" s="1444">
        <f t="shared" si="2"/>
        <v>2.128369609551713E-2</v>
      </c>
      <c r="I123" s="1444">
        <f t="shared" si="13"/>
        <v>0.14017459246854735</v>
      </c>
      <c r="J123" s="1444">
        <v>3.4000000000000002E-2</v>
      </c>
      <c r="K123" s="1444">
        <f t="shared" si="14"/>
        <v>0.10872726569574942</v>
      </c>
      <c r="L123" s="1444"/>
      <c r="M123" s="1446">
        <f t="shared" si="3"/>
        <v>3.4000000000000002E-2</v>
      </c>
      <c r="N123" s="1444"/>
      <c r="O123" s="1447">
        <f t="shared" si="11"/>
        <v>28973.209919748104</v>
      </c>
      <c r="P123" s="1448">
        <f t="shared" si="12"/>
        <v>29322.828031200777</v>
      </c>
      <c r="Q123" s="1444"/>
      <c r="R123" s="1444"/>
      <c r="S123" s="1444"/>
      <c r="T123" s="1438"/>
      <c r="U123" s="1438"/>
      <c r="V123" s="1438"/>
      <c r="W123" s="1438"/>
      <c r="X123" s="1435"/>
      <c r="Y123" s="1435"/>
      <c r="Z123" s="1435"/>
      <c r="AA123" s="1435"/>
      <c r="AB123" s="1435"/>
    </row>
    <row r="124" spans="1:28" ht="12.75" customHeight="1">
      <c r="A124" s="178">
        <v>38353</v>
      </c>
      <c r="B124" s="192">
        <v>82629</v>
      </c>
      <c r="C124" s="191"/>
      <c r="D124" s="192">
        <v>80208</v>
      </c>
      <c r="E124" s="193">
        <f t="shared" si="10"/>
        <v>5703.8208903239392</v>
      </c>
      <c r="F124" s="184">
        <f t="shared" si="9"/>
        <v>14.062152641585616</v>
      </c>
      <c r="G124" s="184"/>
      <c r="H124" s="216">
        <f t="shared" si="2"/>
        <v>-2.9299640562030251E-2</v>
      </c>
      <c r="I124" s="216">
        <f t="shared" si="13"/>
        <v>0.11147633124123146</v>
      </c>
      <c r="J124" s="216">
        <v>-2.4400000000000002E-2</v>
      </c>
      <c r="K124" s="216">
        <f t="shared" si="14"/>
        <v>6.2131108025110571E-2</v>
      </c>
      <c r="L124" s="216"/>
      <c r="M124" s="216">
        <f t="shared" si="3"/>
        <v>-2.4400000000000002E-2</v>
      </c>
      <c r="N124" s="80"/>
      <c r="O124" s="195">
        <f t="shared" si="11"/>
        <v>28124.305283171234</v>
      </c>
      <c r="P124" s="195">
        <f t="shared" si="12"/>
        <v>28607.351027239478</v>
      </c>
      <c r="Q124" s="216"/>
      <c r="R124" s="216"/>
      <c r="S124" s="216"/>
      <c r="T124" s="194"/>
      <c r="U124" s="194"/>
      <c r="V124" s="194"/>
      <c r="W124" s="194"/>
      <c r="X124" s="5"/>
      <c r="Y124" s="5"/>
      <c r="Z124" s="5"/>
      <c r="AA124" s="5"/>
      <c r="AB124" s="5"/>
    </row>
    <row r="125" spans="1:28" ht="12.75" customHeight="1">
      <c r="A125" s="178">
        <v>38384</v>
      </c>
      <c r="B125" s="192">
        <v>80208</v>
      </c>
      <c r="C125" s="191"/>
      <c r="D125" s="192">
        <v>81867</v>
      </c>
      <c r="E125" s="193">
        <f t="shared" si="10"/>
        <v>5703.8208903239392</v>
      </c>
      <c r="F125" s="184">
        <f t="shared" si="9"/>
        <v>14.35301030207323</v>
      </c>
      <c r="G125" s="184"/>
      <c r="H125" s="216">
        <f t="shared" si="2"/>
        <v>2.0683722321962892E-2</v>
      </c>
      <c r="I125" s="216">
        <f t="shared" si="13"/>
        <v>0.11190821687772035</v>
      </c>
      <c r="J125" s="216">
        <v>2.1000000000000001E-2</v>
      </c>
      <c r="K125" s="216">
        <f t="shared" si="14"/>
        <v>6.9568854219980381E-2</v>
      </c>
      <c r="L125" s="216"/>
      <c r="M125" s="216">
        <f t="shared" si="3"/>
        <v>2.1000000000000001E-2</v>
      </c>
      <c r="N125" s="80"/>
      <c r="O125" s="195">
        <f t="shared" si="11"/>
        <v>28706.020604146463</v>
      </c>
      <c r="P125" s="195">
        <f t="shared" si="12"/>
        <v>29208.105398811505</v>
      </c>
      <c r="Q125" s="216"/>
      <c r="R125" s="216"/>
      <c r="S125" s="216"/>
      <c r="T125" s="194"/>
      <c r="U125" s="194"/>
      <c r="V125" s="194"/>
      <c r="W125" s="194"/>
      <c r="X125" s="5"/>
      <c r="Y125" s="5"/>
      <c r="Z125" s="5"/>
      <c r="AA125" s="5"/>
      <c r="AB125" s="5"/>
    </row>
    <row r="126" spans="1:28" ht="12.75" customHeight="1">
      <c r="A126" s="178">
        <v>38412</v>
      </c>
      <c r="B126" s="192">
        <v>81867</v>
      </c>
      <c r="C126" s="191"/>
      <c r="D126" s="192">
        <v>76382</v>
      </c>
      <c r="E126" s="193">
        <f t="shared" si="10"/>
        <v>5703.8208903239392</v>
      </c>
      <c r="F126" s="184">
        <f t="shared" si="9"/>
        <v>13.39137421540984</v>
      </c>
      <c r="G126" s="197"/>
      <c r="H126" s="216">
        <f t="shared" si="2"/>
        <v>-6.699891287087599E-2</v>
      </c>
      <c r="I126" s="216">
        <f t="shared" si="13"/>
        <v>3.0984330744287192E-2</v>
      </c>
      <c r="J126" s="216">
        <v>-1.77E-2</v>
      </c>
      <c r="K126" s="216">
        <f t="shared" si="14"/>
        <v>6.6745340136345588E-2</v>
      </c>
      <c r="L126" s="216"/>
      <c r="M126" s="216">
        <f t="shared" si="3"/>
        <v>-1.77E-2</v>
      </c>
      <c r="N126" s="80"/>
      <c r="O126" s="195">
        <f t="shared" si="11"/>
        <v>26782.748430819684</v>
      </c>
      <c r="P126" s="195">
        <f t="shared" si="12"/>
        <v>28691.12193325254</v>
      </c>
      <c r="Q126" s="216"/>
      <c r="R126" s="216"/>
      <c r="S126" s="216"/>
      <c r="T126" s="194"/>
      <c r="U126" s="194"/>
      <c r="V126" s="194"/>
      <c r="W126" s="194"/>
      <c r="X126" s="5"/>
      <c r="Y126" s="5"/>
      <c r="Z126" s="5"/>
      <c r="AA126" s="5"/>
      <c r="AB126" s="5"/>
    </row>
    <row r="127" spans="1:28" ht="12.75" customHeight="1">
      <c r="A127" s="178">
        <v>38443</v>
      </c>
      <c r="B127" s="192">
        <v>76382</v>
      </c>
      <c r="C127" s="5"/>
      <c r="D127" s="192">
        <v>72956</v>
      </c>
      <c r="E127" s="193">
        <f t="shared" si="10"/>
        <v>5703.8208903239392</v>
      </c>
      <c r="F127" s="184">
        <f t="shared" si="9"/>
        <v>12.790724218525835</v>
      </c>
      <c r="G127" s="198"/>
      <c r="H127" s="216">
        <f t="shared" si="2"/>
        <v>-4.4853499515592664E-2</v>
      </c>
      <c r="I127" s="216">
        <f t="shared" si="13"/>
        <v>-1.5258924435335386E-2</v>
      </c>
      <c r="J127" s="216">
        <v>-1.9E-2</v>
      </c>
      <c r="K127" s="216">
        <f t="shared" si="14"/>
        <v>6.3168930888707564E-2</v>
      </c>
      <c r="L127" s="216"/>
      <c r="M127" s="216">
        <f t="shared" si="3"/>
        <v>-1.9E-2</v>
      </c>
      <c r="N127" s="4"/>
      <c r="O127" s="195">
        <f t="shared" si="11"/>
        <v>25581.448437051673</v>
      </c>
      <c r="P127" s="195">
        <f t="shared" si="12"/>
        <v>28145.990616520739</v>
      </c>
      <c r="Q127" s="216"/>
      <c r="R127" s="216"/>
      <c r="S127" s="216"/>
      <c r="T127" s="194"/>
      <c r="U127" s="194"/>
      <c r="V127" s="194"/>
      <c r="W127" s="194"/>
      <c r="X127" s="5"/>
      <c r="Y127" s="5"/>
      <c r="Z127" s="5"/>
      <c r="AA127" s="5"/>
      <c r="AB127" s="5"/>
    </row>
    <row r="128" spans="1:28" ht="12.75" customHeight="1">
      <c r="A128" s="178">
        <v>38473</v>
      </c>
      <c r="B128" s="192">
        <v>72956</v>
      </c>
      <c r="C128" s="5"/>
      <c r="D128" s="192">
        <v>75938</v>
      </c>
      <c r="E128" s="193">
        <f t="shared" si="10"/>
        <v>5703.8208903239392</v>
      </c>
      <c r="F128" s="184">
        <f t="shared" si="9"/>
        <v>13.313531658895977</v>
      </c>
      <c r="G128" s="198"/>
      <c r="H128" s="216">
        <f t="shared" si="2"/>
        <v>4.0873951422775445E-2</v>
      </c>
      <c r="I128" s="216">
        <f t="shared" si="13"/>
        <v>2.9067797758595137E-2</v>
      </c>
      <c r="J128" s="216">
        <v>3.1800000000000002E-2</v>
      </c>
      <c r="K128" s="216">
        <f t="shared" si="14"/>
        <v>8.2152217511066716E-2</v>
      </c>
      <c r="L128" s="216"/>
      <c r="M128" s="216">
        <f t="shared" si="3"/>
        <v>3.1800000000000002E-2</v>
      </c>
      <c r="N128" s="80"/>
      <c r="O128" s="195">
        <f t="shared" si="11"/>
        <v>26627.063317791955</v>
      </c>
      <c r="P128" s="195">
        <f t="shared" si="12"/>
        <v>29041.033118126099</v>
      </c>
      <c r="Q128" s="216"/>
      <c r="R128" s="216"/>
      <c r="S128" s="216"/>
      <c r="T128" s="194"/>
      <c r="U128" s="194"/>
      <c r="V128" s="194"/>
      <c r="W128" s="194"/>
      <c r="X128" s="5"/>
      <c r="Y128" s="5"/>
      <c r="Z128" s="5"/>
      <c r="AA128" s="5"/>
      <c r="AB128" s="5"/>
    </row>
    <row r="129" spans="1:28" ht="12.75" customHeight="1">
      <c r="A129" s="178">
        <v>38504</v>
      </c>
      <c r="B129" s="192">
        <v>75938</v>
      </c>
      <c r="C129" s="5"/>
      <c r="D129" s="192">
        <v>76725</v>
      </c>
      <c r="E129" s="193">
        <f t="shared" si="10"/>
        <v>5703.8208903239392</v>
      </c>
      <c r="F129" s="184">
        <f t="shared" si="9"/>
        <v>13.451509343527533</v>
      </c>
      <c r="G129" s="198"/>
      <c r="H129" s="216">
        <f t="shared" si="2"/>
        <v>1.0363717769759516E-2</v>
      </c>
      <c r="I129" s="216">
        <f t="shared" si="13"/>
        <v>1.1352070774288681E-3</v>
      </c>
      <c r="J129" s="216">
        <v>1.4E-3</v>
      </c>
      <c r="K129" s="216">
        <f t="shared" si="14"/>
        <v>6.3044173646833679E-2</v>
      </c>
      <c r="L129" s="216"/>
      <c r="M129" s="216">
        <f t="shared" si="3"/>
        <v>1.4E-3</v>
      </c>
      <c r="N129" s="80"/>
      <c r="O129" s="195">
        <f t="shared" si="11"/>
        <v>26903.018687055068</v>
      </c>
      <c r="P129" s="195">
        <f t="shared" si="12"/>
        <v>29081.690564491477</v>
      </c>
      <c r="Q129" s="216"/>
      <c r="R129" s="216"/>
      <c r="S129" s="216"/>
      <c r="T129" s="194"/>
      <c r="U129" s="194"/>
      <c r="V129" s="194"/>
      <c r="W129" s="194"/>
      <c r="X129" s="5"/>
      <c r="Y129" s="5"/>
      <c r="Z129" s="5"/>
      <c r="AA129" s="5"/>
      <c r="AB129" s="5"/>
    </row>
    <row r="130" spans="1:28" ht="12.75" customHeight="1">
      <c r="A130" s="178">
        <v>38534</v>
      </c>
      <c r="B130" s="192">
        <v>76725</v>
      </c>
      <c r="C130" s="5"/>
      <c r="D130" s="192">
        <v>78894</v>
      </c>
      <c r="E130" s="193">
        <f t="shared" si="10"/>
        <v>5703.8208903239392</v>
      </c>
      <c r="F130" s="184">
        <f t="shared" si="9"/>
        <v>13.831780751362153</v>
      </c>
      <c r="G130" s="198"/>
      <c r="H130" s="216">
        <f t="shared" si="2"/>
        <v>2.8269794721407615E-2</v>
      </c>
      <c r="I130" s="216">
        <f t="shared" si="13"/>
        <v>6.5357711939935781E-2</v>
      </c>
      <c r="J130" s="216">
        <v>3.7199999999999997E-2</v>
      </c>
      <c r="K130" s="216">
        <f t="shared" si="14"/>
        <v>0.14033448847501884</v>
      </c>
      <c r="L130" s="216"/>
      <c r="M130" s="216">
        <f t="shared" si="3"/>
        <v>3.7199999999999997E-2</v>
      </c>
      <c r="N130" s="80"/>
      <c r="O130" s="195">
        <f t="shared" si="11"/>
        <v>27663.561502724308</v>
      </c>
      <c r="P130" s="195">
        <f t="shared" si="12"/>
        <v>30163.529453490555</v>
      </c>
      <c r="Q130" s="216"/>
      <c r="R130" s="216"/>
      <c r="S130" s="216"/>
      <c r="T130" s="194"/>
      <c r="U130" s="194"/>
      <c r="V130" s="194"/>
      <c r="W130" s="194"/>
      <c r="X130" s="5"/>
      <c r="Y130" s="5"/>
      <c r="Z130" s="5"/>
      <c r="AA130" s="5"/>
      <c r="AB130" s="5"/>
    </row>
    <row r="131" spans="1:28" ht="12.75" customHeight="1">
      <c r="A131" s="178">
        <v>38565</v>
      </c>
      <c r="B131" s="192">
        <v>78894</v>
      </c>
      <c r="C131" s="5"/>
      <c r="D131" s="192">
        <v>75917</v>
      </c>
      <c r="E131" s="193">
        <f t="shared" si="10"/>
        <v>5703.8208903239392</v>
      </c>
      <c r="F131" s="184">
        <f t="shared" si="9"/>
        <v>13.309849916358159</v>
      </c>
      <c r="G131" s="198"/>
      <c r="H131" s="216">
        <f t="shared" si="2"/>
        <v>-3.7734174968945662E-2</v>
      </c>
      <c r="I131" s="216">
        <f t="shared" si="13"/>
        <v>5.1569382497160365E-2</v>
      </c>
      <c r="J131" s="216">
        <v>-9.1000000000000004E-3</v>
      </c>
      <c r="K131" s="216">
        <f t="shared" si="14"/>
        <v>0.12545562214133099</v>
      </c>
      <c r="L131" s="216"/>
      <c r="M131" s="216">
        <f t="shared" si="3"/>
        <v>-9.1000000000000004E-3</v>
      </c>
      <c r="N131" s="80"/>
      <c r="O131" s="195">
        <f t="shared" si="11"/>
        <v>26619.699832716316</v>
      </c>
      <c r="P131" s="195">
        <f t="shared" si="12"/>
        <v>29889.041335463789</v>
      </c>
      <c r="Q131" s="216"/>
      <c r="R131" s="216"/>
      <c r="S131" s="216"/>
      <c r="T131" s="194"/>
      <c r="U131" s="194"/>
      <c r="V131" s="194"/>
      <c r="W131" s="194"/>
      <c r="X131" s="5"/>
      <c r="Y131" s="5"/>
      <c r="Z131" s="5"/>
      <c r="AA131" s="5"/>
      <c r="AB131" s="5"/>
    </row>
    <row r="132" spans="1:28" ht="12.75" customHeight="1">
      <c r="A132" s="178">
        <v>38596</v>
      </c>
      <c r="B132" s="192">
        <v>75917</v>
      </c>
      <c r="C132" s="5"/>
      <c r="D132" s="192">
        <v>75325</v>
      </c>
      <c r="E132" s="193">
        <f t="shared" si="10"/>
        <v>5703.8208903239392</v>
      </c>
      <c r="F132" s="184">
        <f t="shared" ref="F132:F195" si="15">D132/E132</f>
        <v>13.20605984100634</v>
      </c>
      <c r="G132" s="198"/>
      <c r="H132" s="216">
        <f t="shared" si="2"/>
        <v>-7.7979899100333429E-3</v>
      </c>
      <c r="I132" s="216">
        <f t="shared" si="13"/>
        <v>2.0511847827559215E-2</v>
      </c>
      <c r="J132" s="216">
        <v>8.0999999999999996E-3</v>
      </c>
      <c r="K132" s="216">
        <f t="shared" si="14"/>
        <v>0.12244935959702796</v>
      </c>
      <c r="L132" s="216"/>
      <c r="M132" s="216">
        <f t="shared" si="3"/>
        <v>8.0999999999999996E-3</v>
      </c>
      <c r="N132" s="216"/>
      <c r="O132" s="195">
        <f t="shared" si="11"/>
        <v>26412.119682012679</v>
      </c>
      <c r="P132" s="195">
        <f t="shared" si="12"/>
        <v>30131.142570281045</v>
      </c>
      <c r="Q132" s="216"/>
      <c r="R132" s="216"/>
      <c r="S132" s="216"/>
      <c r="T132" s="194"/>
      <c r="U132" s="194"/>
      <c r="V132" s="194"/>
      <c r="W132" s="194"/>
      <c r="X132" s="5"/>
      <c r="Y132" s="5"/>
      <c r="Z132" s="5"/>
      <c r="AA132" s="5"/>
      <c r="AB132" s="5"/>
    </row>
    <row r="133" spans="1:28" ht="12.75" customHeight="1">
      <c r="A133" s="178">
        <v>38626</v>
      </c>
      <c r="B133" s="192">
        <f>D132</f>
        <v>75325</v>
      </c>
      <c r="C133" s="5"/>
      <c r="D133" s="192">
        <v>73748</v>
      </c>
      <c r="E133" s="193">
        <f t="shared" ref="E133:E196" si="16">E132+C133/F132</f>
        <v>5703.8208903239392</v>
      </c>
      <c r="F133" s="184">
        <f t="shared" si="15"/>
        <v>12.929578508523539</v>
      </c>
      <c r="G133" s="198"/>
      <c r="H133" s="216">
        <f t="shared" si="2"/>
        <v>-2.0935944241619622E-2</v>
      </c>
      <c r="I133" s="216">
        <f t="shared" si="13"/>
        <v>-4.0152018013093205E-2</v>
      </c>
      <c r="J133" s="216">
        <v>-1.67E-2</v>
      </c>
      <c r="K133" s="216">
        <f t="shared" si="14"/>
        <v>8.707224986876505E-2</v>
      </c>
      <c r="L133" s="216"/>
      <c r="M133" s="216">
        <f t="shared" si="3"/>
        <v>-1.67E-2</v>
      </c>
      <c r="N133" s="216"/>
      <c r="O133" s="195">
        <f t="shared" si="11"/>
        <v>25859.157017047077</v>
      </c>
      <c r="P133" s="195">
        <f t="shared" si="12"/>
        <v>29627.952489357351</v>
      </c>
      <c r="Q133" s="216"/>
      <c r="R133" s="216"/>
      <c r="S133" s="216"/>
      <c r="T133" s="194"/>
      <c r="U133" s="194"/>
      <c r="V133" s="194"/>
      <c r="W133" s="194"/>
      <c r="X133" s="5"/>
      <c r="Y133" s="5"/>
      <c r="Z133" s="5"/>
      <c r="AA133" s="5"/>
      <c r="AB133" s="5"/>
    </row>
    <row r="134" spans="1:28" ht="12.75" customHeight="1">
      <c r="A134" s="178">
        <v>38657</v>
      </c>
      <c r="B134" s="192">
        <v>73748</v>
      </c>
      <c r="C134" s="191"/>
      <c r="D134" s="192">
        <v>77614</v>
      </c>
      <c r="E134" s="193">
        <f t="shared" si="16"/>
        <v>5703.8208903239392</v>
      </c>
      <c r="F134" s="184">
        <f t="shared" si="15"/>
        <v>13.60736977762849</v>
      </c>
      <c r="G134" s="198"/>
      <c r="H134" s="216">
        <f t="shared" si="2"/>
        <v>5.2421760590117605E-2</v>
      </c>
      <c r="I134" s="216">
        <f t="shared" si="13"/>
        <v>-4.0701051824934664E-2</v>
      </c>
      <c r="J134" s="216">
        <v>3.78E-2</v>
      </c>
      <c r="K134" s="216">
        <f t="shared" si="14"/>
        <v>8.4251399244406056E-2</v>
      </c>
      <c r="L134" s="216"/>
      <c r="M134" s="216">
        <f t="shared" si="3"/>
        <v>3.78E-2</v>
      </c>
      <c r="N134" s="216"/>
      <c r="O134" s="195">
        <f t="shared" ref="O134:O197" si="17">O133*(1+H134)</f>
        <v>27214.73955525698</v>
      </c>
      <c r="P134" s="195">
        <f t="shared" ref="P134:P197" si="18">P133*(1+M134)</f>
        <v>30747.889093455062</v>
      </c>
      <c r="Q134" s="216"/>
      <c r="R134" s="216"/>
      <c r="S134" s="216"/>
      <c r="T134" s="194"/>
      <c r="U134" s="194"/>
      <c r="V134" s="194"/>
      <c r="W134" s="194"/>
      <c r="X134" s="5"/>
      <c r="Y134" s="5"/>
      <c r="Z134" s="5"/>
      <c r="AA134" s="5"/>
      <c r="AB134" s="5"/>
    </row>
    <row r="135" spans="1:28" ht="12.75" customHeight="1">
      <c r="A135" s="1439">
        <v>38687</v>
      </c>
      <c r="B135" s="1440">
        <v>77614</v>
      </c>
      <c r="C135" s="1434"/>
      <c r="D135" s="1440">
        <v>77392.490000000005</v>
      </c>
      <c r="E135" s="1442">
        <f t="shared" si="16"/>
        <v>5703.8208903239392</v>
      </c>
      <c r="F135" s="1443">
        <f t="shared" si="15"/>
        <v>13.568534406697442</v>
      </c>
      <c r="G135" s="1443"/>
      <c r="H135" s="1444">
        <f t="shared" si="2"/>
        <v>-2.8539954131985494E-3</v>
      </c>
      <c r="I135" s="1444">
        <f t="shared" si="13"/>
        <v>-6.337375497706621E-2</v>
      </c>
      <c r="J135" s="1444">
        <v>2.9999999999999997E-4</v>
      </c>
      <c r="K135" s="1444">
        <f t="shared" si="14"/>
        <v>4.891361186090859E-2</v>
      </c>
      <c r="L135" s="1444"/>
      <c r="M135" s="1446">
        <f t="shared" si="3"/>
        <v>2.9999999999999997E-4</v>
      </c>
      <c r="N135" s="1444"/>
      <c r="O135" s="1447">
        <f t="shared" si="17"/>
        <v>27137.068813394882</v>
      </c>
      <c r="P135" s="1448">
        <f t="shared" si="18"/>
        <v>30757.113460183096</v>
      </c>
      <c r="Q135" s="1444"/>
      <c r="R135" s="1444"/>
      <c r="S135" s="1444"/>
      <c r="T135" s="1438"/>
      <c r="U135" s="1438"/>
      <c r="V135" s="1438"/>
      <c r="W135" s="1438"/>
      <c r="X135" s="1435"/>
      <c r="Y135" s="1435"/>
      <c r="Z135" s="1435"/>
      <c r="AA135" s="1435"/>
      <c r="AB135" s="1435"/>
    </row>
    <row r="136" spans="1:28" ht="12.75" customHeight="1">
      <c r="A136" s="178">
        <v>38718</v>
      </c>
      <c r="B136" s="192">
        <f t="shared" ref="B136:B171" si="19">D135</f>
        <v>77392.490000000005</v>
      </c>
      <c r="C136" s="5"/>
      <c r="D136" s="192">
        <v>79244.350000000006</v>
      </c>
      <c r="E136" s="193">
        <f t="shared" si="16"/>
        <v>5703.8208903239392</v>
      </c>
      <c r="F136" s="184">
        <f t="shared" si="15"/>
        <v>13.893204489368083</v>
      </c>
      <c r="G136" s="198"/>
      <c r="H136" s="216">
        <f t="shared" si="2"/>
        <v>2.3928161505076317E-2</v>
      </c>
      <c r="I136" s="216">
        <f t="shared" si="13"/>
        <v>-1.2014387592260145E-2</v>
      </c>
      <c r="J136" s="216">
        <v>2.6499999999999999E-2</v>
      </c>
      <c r="K136" s="216">
        <f t="shared" si="14"/>
        <v>0.10363860452564855</v>
      </c>
      <c r="L136" s="216"/>
      <c r="M136" s="216">
        <f t="shared" si="3"/>
        <v>2.6499999999999999E-2</v>
      </c>
      <c r="N136" s="216"/>
      <c r="O136" s="195">
        <f t="shared" si="17"/>
        <v>27786.408978736166</v>
      </c>
      <c r="P136" s="195">
        <f t="shared" si="18"/>
        <v>31572.176966877949</v>
      </c>
      <c r="Q136" s="216"/>
      <c r="R136" s="216"/>
      <c r="S136" s="216"/>
      <c r="T136" s="194"/>
      <c r="U136" s="194"/>
      <c r="V136" s="194"/>
      <c r="W136" s="194"/>
      <c r="X136" s="5"/>
      <c r="Y136" s="5"/>
      <c r="Z136" s="5"/>
      <c r="AA136" s="5"/>
      <c r="AB136" s="5"/>
    </row>
    <row r="137" spans="1:28" ht="12.75" customHeight="1">
      <c r="A137" s="178">
        <v>38749</v>
      </c>
      <c r="B137" s="192">
        <f t="shared" si="19"/>
        <v>79244.350000000006</v>
      </c>
      <c r="C137" s="5"/>
      <c r="D137" s="192">
        <v>80509.460000000006</v>
      </c>
      <c r="E137" s="193">
        <f t="shared" si="16"/>
        <v>5703.8208903239392</v>
      </c>
      <c r="F137" s="184">
        <f t="shared" si="15"/>
        <v>14.115004932321359</v>
      </c>
      <c r="G137" s="198"/>
      <c r="H137" s="216">
        <f t="shared" si="2"/>
        <v>1.5964671298332282E-2</v>
      </c>
      <c r="I137" s="216">
        <f t="shared" si="13"/>
        <v>-1.6582261472876558E-2</v>
      </c>
      <c r="J137" s="216">
        <v>2.7000000000000001E-3</v>
      </c>
      <c r="K137" s="216">
        <f t="shared" si="14"/>
        <v>8.3857422877441579E-2</v>
      </c>
      <c r="L137" s="216"/>
      <c r="M137" s="216">
        <f t="shared" si="3"/>
        <v>2.7000000000000001E-3</v>
      </c>
      <c r="N137" s="216"/>
      <c r="O137" s="195">
        <f t="shared" si="17"/>
        <v>28230.009864642721</v>
      </c>
      <c r="P137" s="195">
        <f t="shared" si="18"/>
        <v>31657.421844688517</v>
      </c>
      <c r="Q137" s="216"/>
      <c r="R137" s="216"/>
      <c r="S137" s="216"/>
      <c r="T137" s="194"/>
      <c r="U137" s="194"/>
      <c r="V137" s="194"/>
      <c r="W137" s="194"/>
      <c r="X137" s="5"/>
      <c r="Y137" s="5"/>
      <c r="Z137" s="5"/>
      <c r="AA137" s="5"/>
      <c r="AB137" s="5"/>
    </row>
    <row r="138" spans="1:28" ht="12.75" customHeight="1">
      <c r="A138" s="178">
        <v>38777</v>
      </c>
      <c r="B138" s="192">
        <f t="shared" si="19"/>
        <v>80509.460000000006</v>
      </c>
      <c r="C138" s="5"/>
      <c r="D138" s="192">
        <v>81286.320000000007</v>
      </c>
      <c r="E138" s="193">
        <f t="shared" si="16"/>
        <v>5703.8208903239392</v>
      </c>
      <c r="F138" s="184">
        <f t="shared" si="15"/>
        <v>14.251204861270368</v>
      </c>
      <c r="G138" s="198"/>
      <c r="H138" s="216">
        <f t="shared" si="2"/>
        <v>9.6493008399261108E-3</v>
      </c>
      <c r="I138" s="216">
        <f t="shared" si="13"/>
        <v>6.4207797648660803E-2</v>
      </c>
      <c r="J138" s="216">
        <v>1.2500000000000001E-2</v>
      </c>
      <c r="K138" s="216">
        <f t="shared" si="14"/>
        <v>0.11717972173817537</v>
      </c>
      <c r="L138" s="216"/>
      <c r="M138" s="216">
        <f t="shared" si="3"/>
        <v>1.2500000000000001E-2</v>
      </c>
      <c r="N138" s="216"/>
      <c r="O138" s="195">
        <f t="shared" si="17"/>
        <v>28502.409722540742</v>
      </c>
      <c r="P138" s="195">
        <f t="shared" si="18"/>
        <v>32053.139617747122</v>
      </c>
      <c r="Q138" s="216"/>
      <c r="R138" s="216"/>
      <c r="S138" s="216"/>
      <c r="T138" s="194"/>
      <c r="U138" s="194"/>
      <c r="V138" s="194"/>
      <c r="W138" s="194"/>
      <c r="X138" s="5"/>
      <c r="Y138" s="5"/>
      <c r="Z138" s="5"/>
      <c r="AA138" s="5"/>
      <c r="AB138" s="5"/>
    </row>
    <row r="139" spans="1:28" ht="12.75" customHeight="1">
      <c r="A139" s="178">
        <v>38808</v>
      </c>
      <c r="B139" s="192">
        <f t="shared" si="19"/>
        <v>81286.320000000007</v>
      </c>
      <c r="C139" s="5"/>
      <c r="D139" s="192">
        <v>81177.61</v>
      </c>
      <c r="E139" s="193">
        <f t="shared" si="16"/>
        <v>5703.8208903239392</v>
      </c>
      <c r="F139" s="184">
        <f t="shared" si="15"/>
        <v>14.232145707399598</v>
      </c>
      <c r="G139" s="198"/>
      <c r="H139" s="216">
        <f t="shared" si="2"/>
        <v>-1.3373714051761777E-3</v>
      </c>
      <c r="I139" s="216">
        <f t="shared" si="13"/>
        <v>0.11269271889906274</v>
      </c>
      <c r="J139" s="216">
        <v>1.34E-2</v>
      </c>
      <c r="K139" s="216">
        <f t="shared" si="14"/>
        <v>0.15407740062127129</v>
      </c>
      <c r="L139" s="216"/>
      <c r="M139" s="216">
        <f t="shared" si="3"/>
        <v>1.34E-2</v>
      </c>
      <c r="N139" s="216"/>
      <c r="O139" s="195">
        <f t="shared" si="17"/>
        <v>28464.291414799201</v>
      </c>
      <c r="P139" s="195">
        <f t="shared" si="18"/>
        <v>32482.651688624934</v>
      </c>
      <c r="Q139" s="216"/>
      <c r="R139" s="216"/>
      <c r="S139" s="216"/>
      <c r="T139" s="194"/>
      <c r="U139" s="194"/>
      <c r="V139" s="194"/>
      <c r="W139" s="194"/>
      <c r="X139" s="5"/>
      <c r="Y139" s="5"/>
      <c r="Z139" s="5"/>
      <c r="AA139" s="5"/>
      <c r="AB139" s="5"/>
    </row>
    <row r="140" spans="1:28" ht="12.75" customHeight="1">
      <c r="A140" s="178">
        <v>38838</v>
      </c>
      <c r="B140" s="192">
        <f t="shared" si="19"/>
        <v>81177.61</v>
      </c>
      <c r="C140" s="5"/>
      <c r="D140" s="192">
        <v>75975.289999999994</v>
      </c>
      <c r="E140" s="193">
        <f t="shared" si="16"/>
        <v>5703.8208903239392</v>
      </c>
      <c r="F140" s="184">
        <f t="shared" si="15"/>
        <v>13.320069381716701</v>
      </c>
      <c r="G140" s="198"/>
      <c r="H140" s="216">
        <f t="shared" si="2"/>
        <v>-6.4085651203577024E-2</v>
      </c>
      <c r="I140" s="216">
        <f t="shared" si="13"/>
        <v>4.9105849508834787E-4</v>
      </c>
      <c r="J140" s="216">
        <v>-2.8799999999999999E-2</v>
      </c>
      <c r="K140" s="216">
        <f t="shared" si="14"/>
        <v>8.6295766120738637E-2</v>
      </c>
      <c r="L140" s="216"/>
      <c r="M140" s="216">
        <f t="shared" si="3"/>
        <v>-2.8799999999999999E-2</v>
      </c>
      <c r="N140" s="216"/>
      <c r="O140" s="195">
        <f t="shared" si="17"/>
        <v>26640.13876343341</v>
      </c>
      <c r="P140" s="195">
        <f t="shared" si="18"/>
        <v>31547.151319992536</v>
      </c>
      <c r="Q140" s="216"/>
      <c r="R140" s="216"/>
      <c r="S140" s="216"/>
      <c r="T140" s="194"/>
      <c r="U140" s="194"/>
      <c r="V140" s="194"/>
      <c r="W140" s="194"/>
      <c r="X140" s="5"/>
      <c r="Y140" s="5"/>
      <c r="Z140" s="5"/>
      <c r="AA140" s="5"/>
      <c r="AB140" s="5"/>
    </row>
    <row r="141" spans="1:28" ht="12.75" customHeight="1">
      <c r="A141" s="178">
        <v>38869</v>
      </c>
      <c r="B141" s="192">
        <f t="shared" si="19"/>
        <v>75975.289999999994</v>
      </c>
      <c r="C141" s="191"/>
      <c r="D141" s="192">
        <f>75249.16</f>
        <v>75249.16</v>
      </c>
      <c r="E141" s="193">
        <f t="shared" si="16"/>
        <v>5703.8208903239392</v>
      </c>
      <c r="F141" s="184">
        <f t="shared" si="15"/>
        <v>13.19276349081262</v>
      </c>
      <c r="G141" s="197"/>
      <c r="H141" s="216">
        <f t="shared" si="2"/>
        <v>-9.5574495339207956E-3</v>
      </c>
      <c r="I141" s="216">
        <f t="shared" si="13"/>
        <v>-1.9235451287063943E-2</v>
      </c>
      <c r="J141" s="216">
        <f>0.0014</f>
        <v>1.4E-3</v>
      </c>
      <c r="K141" s="216">
        <f t="shared" si="14"/>
        <v>8.6295766120738415E-2</v>
      </c>
      <c r="L141" s="216"/>
      <c r="M141" s="216">
        <f t="shared" si="3"/>
        <v>1.4E-3</v>
      </c>
      <c r="N141" s="194"/>
      <c r="O141" s="195">
        <f t="shared" si="17"/>
        <v>26385.526981625248</v>
      </c>
      <c r="P141" s="195">
        <f t="shared" si="18"/>
        <v>31591.317331840528</v>
      </c>
      <c r="Q141" s="216"/>
      <c r="R141" s="216"/>
      <c r="S141" s="216"/>
      <c r="T141" s="191"/>
      <c r="U141" s="191"/>
      <c r="V141" s="191"/>
      <c r="W141" s="191"/>
      <c r="X141" s="5"/>
      <c r="Y141" s="5"/>
      <c r="Z141" s="5"/>
      <c r="AA141" s="5"/>
      <c r="AB141" s="5"/>
    </row>
    <row r="142" spans="1:28" ht="12.75" customHeight="1">
      <c r="A142" s="178">
        <v>38899</v>
      </c>
      <c r="B142" s="192">
        <f t="shared" si="19"/>
        <v>75249.16</v>
      </c>
      <c r="C142" s="191"/>
      <c r="D142" s="192">
        <f>74280.49</f>
        <v>74280.490000000005</v>
      </c>
      <c r="E142" s="193">
        <f t="shared" si="16"/>
        <v>5703.8208903239392</v>
      </c>
      <c r="F142" s="184">
        <f t="shared" si="15"/>
        <v>13.022935226807475</v>
      </c>
      <c r="G142" s="197"/>
      <c r="H142" s="216">
        <f t="shared" si="2"/>
        <v>-1.2872834726660055E-2</v>
      </c>
      <c r="I142" s="216">
        <f t="shared" si="13"/>
        <v>-5.8477324004360343E-2</v>
      </c>
      <c r="J142" s="216">
        <v>6.1999999999999998E-3</v>
      </c>
      <c r="K142" s="216">
        <f t="shared" si="14"/>
        <v>5.3828383986393558E-2</v>
      </c>
      <c r="L142" s="216"/>
      <c r="M142" s="216">
        <f t="shared" si="3"/>
        <v>6.1999999999999998E-3</v>
      </c>
      <c r="N142" s="194"/>
      <c r="O142" s="195">
        <f t="shared" si="17"/>
        <v>26045.870453614956</v>
      </c>
      <c r="P142" s="195">
        <f t="shared" si="18"/>
        <v>31787.183499297938</v>
      </c>
      <c r="Q142" s="216"/>
      <c r="R142" s="216"/>
      <c r="S142" s="216"/>
      <c r="T142" s="191"/>
      <c r="U142" s="191"/>
      <c r="V142" s="191"/>
      <c r="W142" s="191"/>
      <c r="X142" s="5"/>
      <c r="Y142" s="5"/>
      <c r="Z142" s="5"/>
      <c r="AA142" s="5"/>
      <c r="AB142" s="5"/>
    </row>
    <row r="143" spans="1:28" ht="12.75" customHeight="1">
      <c r="A143" s="178">
        <v>38930</v>
      </c>
      <c r="B143" s="192">
        <f t="shared" si="19"/>
        <v>74280.490000000005</v>
      </c>
      <c r="C143" s="191"/>
      <c r="D143" s="192">
        <v>74743.06</v>
      </c>
      <c r="E143" s="193">
        <f t="shared" si="16"/>
        <v>5703.8208903239392</v>
      </c>
      <c r="F143" s="184">
        <f t="shared" si="15"/>
        <v>13.104033495651208</v>
      </c>
      <c r="G143" s="197"/>
      <c r="H143" s="216">
        <f t="shared" si="2"/>
        <v>6.2273417959412504E-3</v>
      </c>
      <c r="I143" s="216">
        <f t="shared" ref="I143:I206" si="20">((1+H132)*(1+H133)*(1+H134)*(1+H135)*(1+H136)*(1+H137)*(1+H138)*(1+H139)*(1+H140)*(1+H141)*(1+H142)*(1+H143))-1</f>
        <v>-1.5463466680716742E-2</v>
      </c>
      <c r="J143" s="216">
        <v>2.3800000000000002E-2</v>
      </c>
      <c r="K143" s="216">
        <f t="shared" ref="K143:K206" si="21">((1+J132)*(1+J133)*(1+J134)*(1+J135)*(1+J136)*(1+J137)*(1+J138)*(1+J139)*(1+J140)*(1+J141)*(1+J142)*(1+J143))-1</f>
        <v>8.881774096807904E-2</v>
      </c>
      <c r="L143" s="216"/>
      <c r="M143" s="216">
        <f t="shared" si="3"/>
        <v>2.3800000000000002E-2</v>
      </c>
      <c r="N143" s="194"/>
      <c r="O143" s="195">
        <f t="shared" si="17"/>
        <v>26208.066991302425</v>
      </c>
      <c r="P143" s="195">
        <f t="shared" si="18"/>
        <v>32543.718466581231</v>
      </c>
      <c r="Q143" s="216"/>
      <c r="R143" s="216"/>
      <c r="S143" s="216"/>
      <c r="T143" s="191"/>
      <c r="U143" s="191"/>
      <c r="V143" s="191"/>
      <c r="W143" s="191"/>
      <c r="X143" s="5"/>
      <c r="Y143" s="5"/>
      <c r="Z143" s="5"/>
      <c r="AA143" s="5"/>
      <c r="AB143" s="5"/>
    </row>
    <row r="144" spans="1:28" ht="12.75" customHeight="1">
      <c r="A144" s="178">
        <v>38961</v>
      </c>
      <c r="B144" s="192">
        <f t="shared" si="19"/>
        <v>74743.06</v>
      </c>
      <c r="C144" s="191"/>
      <c r="D144" s="192">
        <f>75240.11</f>
        <v>75240.11</v>
      </c>
      <c r="E144" s="193">
        <f t="shared" si="16"/>
        <v>5703.8208903239392</v>
      </c>
      <c r="F144" s="184">
        <f t="shared" si="15"/>
        <v>13.191176835099894</v>
      </c>
      <c r="G144" s="197"/>
      <c r="H144" s="216">
        <f t="shared" si="2"/>
        <v>6.6501157431874177E-3</v>
      </c>
      <c r="I144" s="216">
        <f t="shared" si="20"/>
        <v>-1.1269830733482422E-3</v>
      </c>
      <c r="J144" s="216">
        <v>2.58E-2</v>
      </c>
      <c r="K144" s="216">
        <f t="shared" si="21"/>
        <v>0.1079349654647912</v>
      </c>
      <c r="L144" s="216"/>
      <c r="M144" s="216">
        <f t="shared" si="3"/>
        <v>2.58E-2</v>
      </c>
      <c r="N144" s="194"/>
      <c r="O144" s="195">
        <f t="shared" si="17"/>
        <v>26382.353670199798</v>
      </c>
      <c r="P144" s="195">
        <f t="shared" si="18"/>
        <v>33383.34640301903</v>
      </c>
      <c r="Q144" s="216"/>
      <c r="R144" s="216"/>
      <c r="S144" s="216"/>
      <c r="T144" s="191"/>
      <c r="U144" s="191"/>
      <c r="V144" s="191"/>
      <c r="W144" s="191"/>
      <c r="X144" s="5"/>
      <c r="Y144" s="5"/>
      <c r="Z144" s="5"/>
      <c r="AA144" s="5"/>
      <c r="AB144" s="5"/>
    </row>
    <row r="145" spans="1:28" ht="12.75" customHeight="1">
      <c r="A145" s="178">
        <v>38991</v>
      </c>
      <c r="B145" s="192">
        <f t="shared" si="19"/>
        <v>75240.11</v>
      </c>
      <c r="C145" s="191"/>
      <c r="D145" s="192">
        <f>75609.31</f>
        <v>75609.31</v>
      </c>
      <c r="E145" s="193">
        <f t="shared" si="16"/>
        <v>5703.8208903239392</v>
      </c>
      <c r="F145" s="184">
        <f t="shared" si="15"/>
        <v>13.255905375336196</v>
      </c>
      <c r="G145" s="197"/>
      <c r="H145" s="216">
        <f t="shared" si="2"/>
        <v>4.9069572067344898E-3</v>
      </c>
      <c r="I145" s="216">
        <f t="shared" si="20"/>
        <v>2.5238786136573488E-2</v>
      </c>
      <c r="J145" s="216">
        <v>3.2599999999999997E-2</v>
      </c>
      <c r="K145" s="216">
        <f t="shared" si="21"/>
        <v>0.16348382522011962</v>
      </c>
      <c r="L145" s="216"/>
      <c r="M145" s="216">
        <f t="shared" si="3"/>
        <v>3.2599999999999997E-2</v>
      </c>
      <c r="N145" s="194"/>
      <c r="O145" s="195">
        <f t="shared" si="17"/>
        <v>26511.810750672401</v>
      </c>
      <c r="P145" s="195">
        <f t="shared" si="18"/>
        <v>34471.643495757446</v>
      </c>
      <c r="Q145" s="216"/>
      <c r="R145" s="216"/>
      <c r="S145" s="216"/>
      <c r="T145" s="191"/>
      <c r="U145" s="191"/>
      <c r="V145" s="191"/>
      <c r="W145" s="191"/>
      <c r="X145" s="5"/>
      <c r="Y145" s="5"/>
      <c r="Z145" s="5"/>
      <c r="AA145" s="5"/>
      <c r="AB145" s="5"/>
    </row>
    <row r="146" spans="1:28" ht="12.75" customHeight="1">
      <c r="A146" s="178">
        <v>39022</v>
      </c>
      <c r="B146" s="192">
        <f t="shared" si="19"/>
        <v>75609.31</v>
      </c>
      <c r="C146" s="191"/>
      <c r="D146" s="192">
        <f>76087.26</f>
        <v>76087.259999999995</v>
      </c>
      <c r="E146" s="193">
        <f t="shared" si="16"/>
        <v>5703.8208903239392</v>
      </c>
      <c r="F146" s="184">
        <f t="shared" si="15"/>
        <v>13.3397000822862</v>
      </c>
      <c r="G146" s="197"/>
      <c r="H146" s="216">
        <f t="shared" si="2"/>
        <v>6.3213114892862136E-3</v>
      </c>
      <c r="I146" s="216">
        <f t="shared" si="20"/>
        <v>-1.9670935655938027E-2</v>
      </c>
      <c r="J146" s="216">
        <v>1.9E-2</v>
      </c>
      <c r="K146" s="216">
        <f t="shared" si="21"/>
        <v>0.14240703208643457</v>
      </c>
      <c r="L146" s="216"/>
      <c r="M146" s="216">
        <f t="shared" si="3"/>
        <v>1.9E-2</v>
      </c>
      <c r="N146" s="194"/>
      <c r="O146" s="195">
        <f t="shared" si="17"/>
        <v>26679.400164572406</v>
      </c>
      <c r="P146" s="195">
        <f t="shared" si="18"/>
        <v>35126.604722176831</v>
      </c>
      <c r="Q146" s="216"/>
      <c r="R146" s="216"/>
      <c r="S146" s="216"/>
      <c r="T146" s="191"/>
      <c r="U146" s="191"/>
      <c r="V146" s="191"/>
      <c r="W146" s="191"/>
      <c r="X146" s="5"/>
      <c r="Y146" s="5"/>
      <c r="Z146" s="5"/>
      <c r="AA146" s="5"/>
      <c r="AB146" s="5"/>
    </row>
    <row r="147" spans="1:28" ht="12.75" customHeight="1">
      <c r="A147" s="1449">
        <v>39052</v>
      </c>
      <c r="B147" s="1450">
        <f t="shared" si="19"/>
        <v>76087.259999999995</v>
      </c>
      <c r="C147" s="1451"/>
      <c r="D147" s="1450">
        <f>75485.9</f>
        <v>75485.899999999994</v>
      </c>
      <c r="E147" s="1452">
        <f t="shared" si="16"/>
        <v>5703.8208903239392</v>
      </c>
      <c r="F147" s="1453">
        <f t="shared" si="15"/>
        <v>13.234269001688952</v>
      </c>
      <c r="G147" s="1454"/>
      <c r="H147" s="1446">
        <f t="shared" si="2"/>
        <v>-7.9035570475268335E-3</v>
      </c>
      <c r="I147" s="1446">
        <f t="shared" si="20"/>
        <v>-2.4635336064261604E-2</v>
      </c>
      <c r="J147" s="1446">
        <v>1.4E-2</v>
      </c>
      <c r="K147" s="1446">
        <f t="shared" si="21"/>
        <v>0.15805331454128169</v>
      </c>
      <c r="L147" s="1446"/>
      <c r="M147" s="1446">
        <f t="shared" si="3"/>
        <v>1.4E-2</v>
      </c>
      <c r="N147" s="1455"/>
      <c r="O147" s="1448">
        <f t="shared" si="17"/>
        <v>26468.538003377911</v>
      </c>
      <c r="P147" s="1448">
        <f t="shared" si="18"/>
        <v>35618.377188287304</v>
      </c>
      <c r="Q147" s="1446"/>
      <c r="R147" s="1446"/>
      <c r="S147" s="1446"/>
      <c r="T147" s="1451"/>
      <c r="U147" s="1451"/>
      <c r="V147" s="1451"/>
      <c r="W147" s="1451"/>
      <c r="X147" s="1456"/>
      <c r="Y147" s="1456"/>
      <c r="Z147" s="1456"/>
      <c r="AA147" s="1456"/>
      <c r="AB147" s="1456"/>
    </row>
    <row r="148" spans="1:28" ht="12.75" customHeight="1">
      <c r="A148" s="178">
        <v>39083</v>
      </c>
      <c r="B148" s="192">
        <f t="shared" si="19"/>
        <v>75485.899999999994</v>
      </c>
      <c r="C148" s="5"/>
      <c r="D148" s="192">
        <v>76166.53</v>
      </c>
      <c r="E148" s="193">
        <f t="shared" si="16"/>
        <v>5703.8208903239392</v>
      </c>
      <c r="F148" s="184">
        <f t="shared" si="15"/>
        <v>13.353597783761096</v>
      </c>
      <c r="G148" s="198"/>
      <c r="H148" s="216">
        <f t="shared" si="2"/>
        <v>9.0166507917373209E-3</v>
      </c>
      <c r="I148" s="216">
        <f t="shared" si="20"/>
        <v>-3.8839614433079483E-2</v>
      </c>
      <c r="J148" s="216">
        <v>1.512E-2</v>
      </c>
      <c r="K148" s="216">
        <f t="shared" si="21"/>
        <v>0.14521488617354694</v>
      </c>
      <c r="L148" s="216"/>
      <c r="M148" s="216">
        <f t="shared" si="3"/>
        <v>1.512E-2</v>
      </c>
      <c r="N148" s="216"/>
      <c r="O148" s="195">
        <f t="shared" si="17"/>
        <v>26707.195567522198</v>
      </c>
      <c r="P148" s="195">
        <f t="shared" si="18"/>
        <v>36156.927051374209</v>
      </c>
      <c r="Q148" s="216"/>
      <c r="R148" s="216"/>
      <c r="S148" s="216"/>
      <c r="T148" s="194"/>
      <c r="U148" s="194"/>
      <c r="V148" s="194"/>
      <c r="W148" s="194"/>
      <c r="X148" s="5"/>
      <c r="Y148" s="5"/>
      <c r="Z148" s="5"/>
      <c r="AA148" s="5"/>
      <c r="AB148" s="5"/>
    </row>
    <row r="149" spans="1:28" ht="12.75" customHeight="1">
      <c r="A149" s="178">
        <v>39114</v>
      </c>
      <c r="B149" s="192">
        <f t="shared" si="19"/>
        <v>76166.53</v>
      </c>
      <c r="C149" s="5"/>
      <c r="D149" s="192">
        <v>75565.66</v>
      </c>
      <c r="E149" s="193">
        <f t="shared" si="16"/>
        <v>5703.8208903239392</v>
      </c>
      <c r="F149" s="184">
        <f t="shared" si="15"/>
        <v>13.248252610489734</v>
      </c>
      <c r="G149" s="198"/>
      <c r="H149" s="216">
        <f t="shared" si="2"/>
        <v>-7.888898181392625E-3</v>
      </c>
      <c r="I149" s="216">
        <f t="shared" si="20"/>
        <v>-6.1406448385071699E-2</v>
      </c>
      <c r="J149" s="216">
        <v>-1.9560000000000001E-2</v>
      </c>
      <c r="K149" s="216">
        <f t="shared" si="21"/>
        <v>0.11979104717262667</v>
      </c>
      <c r="L149" s="216"/>
      <c r="M149" s="216">
        <f t="shared" si="3"/>
        <v>-1.9560000000000001E-2</v>
      </c>
      <c r="N149" s="216"/>
      <c r="O149" s="195">
        <f t="shared" si="17"/>
        <v>26496.505220979474</v>
      </c>
      <c r="P149" s="195">
        <f t="shared" si="18"/>
        <v>35449.697558249325</v>
      </c>
      <c r="Q149" s="216"/>
      <c r="R149" s="216"/>
      <c r="S149" s="216"/>
      <c r="T149" s="194"/>
      <c r="U149" s="194"/>
      <c r="V149" s="194"/>
      <c r="W149" s="194"/>
      <c r="X149" s="5"/>
      <c r="Y149" s="5"/>
      <c r="Z149" s="5"/>
      <c r="AA149" s="5"/>
      <c r="AB149" s="5"/>
    </row>
    <row r="150" spans="1:28" ht="12.75" customHeight="1">
      <c r="A150" s="178">
        <v>39142</v>
      </c>
      <c r="B150" s="192">
        <f t="shared" si="19"/>
        <v>75565.66</v>
      </c>
      <c r="C150" s="5"/>
      <c r="D150" s="192">
        <v>74479.28</v>
      </c>
      <c r="E150" s="193">
        <f t="shared" si="16"/>
        <v>5703.8208903239392</v>
      </c>
      <c r="F150" s="184">
        <f t="shared" si="15"/>
        <v>13.05778730295475</v>
      </c>
      <c r="G150" s="198"/>
      <c r="H150" s="216">
        <f t="shared" si="2"/>
        <v>-1.4376636159864337E-2</v>
      </c>
      <c r="I150" s="216">
        <f t="shared" si="20"/>
        <v>-8.3741520098339017E-2</v>
      </c>
      <c r="J150" s="216">
        <v>1.1180000000000001E-2</v>
      </c>
      <c r="K150" s="216">
        <f t="shared" si="21"/>
        <v>0.11833117143705296</v>
      </c>
      <c r="L150" s="216"/>
      <c r="M150" s="216">
        <f t="shared" si="3"/>
        <v>1.1180000000000001E-2</v>
      </c>
      <c r="N150" s="216"/>
      <c r="O150" s="195">
        <f t="shared" si="17"/>
        <v>26115.574605909507</v>
      </c>
      <c r="P150" s="195">
        <f t="shared" si="18"/>
        <v>35846.025176950548</v>
      </c>
      <c r="Q150" s="216"/>
      <c r="R150" s="216"/>
      <c r="S150" s="216"/>
      <c r="T150" s="194"/>
      <c r="U150" s="194"/>
      <c r="V150" s="194"/>
      <c r="W150" s="194"/>
      <c r="X150" s="5"/>
      <c r="Y150" s="5"/>
      <c r="Z150" s="5"/>
      <c r="AA150" s="5"/>
      <c r="AB150" s="5"/>
    </row>
    <row r="151" spans="1:28" ht="12.75" customHeight="1">
      <c r="A151" s="178">
        <v>39173</v>
      </c>
      <c r="B151" s="192">
        <f t="shared" si="19"/>
        <v>74479.28</v>
      </c>
      <c r="C151" s="5"/>
      <c r="D151" s="192">
        <v>79358.95</v>
      </c>
      <c r="E151" s="193">
        <f t="shared" si="16"/>
        <v>5703.8208903239392</v>
      </c>
      <c r="F151" s="184">
        <f t="shared" si="15"/>
        <v>13.913296284360174</v>
      </c>
      <c r="G151" s="198"/>
      <c r="H151" s="216">
        <f t="shared" si="2"/>
        <v>6.5517147856424054E-2</v>
      </c>
      <c r="I151" s="216">
        <f t="shared" si="20"/>
        <v>-2.2403468148421868E-2</v>
      </c>
      <c r="J151" s="216">
        <v>4.4299999999999999E-2</v>
      </c>
      <c r="K151" s="216">
        <f t="shared" si="21"/>
        <v>0.15243067133581478</v>
      </c>
      <c r="L151" s="216"/>
      <c r="M151" s="216">
        <f t="shared" si="3"/>
        <v>4.4299999999999999E-2</v>
      </c>
      <c r="N151" s="216"/>
      <c r="O151" s="195">
        <f t="shared" si="17"/>
        <v>27826.592568720353</v>
      </c>
      <c r="P151" s="195">
        <f t="shared" si="18"/>
        <v>37434.004092289455</v>
      </c>
      <c r="Q151" s="216"/>
      <c r="R151" s="216"/>
      <c r="S151" s="216"/>
      <c r="T151" s="194"/>
      <c r="U151" s="194"/>
      <c r="V151" s="194"/>
      <c r="W151" s="194"/>
      <c r="X151" s="5"/>
      <c r="Y151" s="5"/>
      <c r="Z151" s="5"/>
      <c r="AA151" s="5"/>
      <c r="AB151" s="5"/>
    </row>
    <row r="152" spans="1:28" ht="12.75" customHeight="1">
      <c r="A152" s="178">
        <v>39203</v>
      </c>
      <c r="B152" s="192">
        <f t="shared" si="19"/>
        <v>79358.95</v>
      </c>
      <c r="C152" s="5"/>
      <c r="D152" s="192">
        <v>81541.91</v>
      </c>
      <c r="E152" s="193">
        <f t="shared" si="16"/>
        <v>5703.8208903239392</v>
      </c>
      <c r="F152" s="184">
        <f t="shared" si="15"/>
        <v>14.296015174377077</v>
      </c>
      <c r="G152" s="198"/>
      <c r="H152" s="216">
        <f t="shared" si="2"/>
        <v>2.7507420398077392E-2</v>
      </c>
      <c r="I152" s="216">
        <f t="shared" si="20"/>
        <v>7.3268822007787282E-2</v>
      </c>
      <c r="J152" s="216">
        <v>3.49E-2</v>
      </c>
      <c r="K152" s="216">
        <f t="shared" si="21"/>
        <v>0.22801740297099959</v>
      </c>
      <c r="L152" s="216"/>
      <c r="M152" s="216">
        <f t="shared" si="3"/>
        <v>3.49E-2</v>
      </c>
      <c r="N152" s="216"/>
      <c r="O152" s="195">
        <f t="shared" si="17"/>
        <v>28592.030348754161</v>
      </c>
      <c r="P152" s="195">
        <f t="shared" si="18"/>
        <v>38740.450835110358</v>
      </c>
      <c r="Q152" s="216"/>
      <c r="R152" s="216"/>
      <c r="S152" s="216"/>
      <c r="T152" s="194"/>
      <c r="U152" s="194"/>
      <c r="V152" s="194"/>
      <c r="W152" s="194"/>
      <c r="X152" s="5"/>
      <c r="Y152" s="5"/>
      <c r="Z152" s="5"/>
      <c r="AA152" s="5"/>
      <c r="AB152" s="5"/>
    </row>
    <row r="153" spans="1:28" ht="12.75" customHeight="1">
      <c r="A153" s="178">
        <v>39234</v>
      </c>
      <c r="B153" s="192">
        <f t="shared" si="19"/>
        <v>81541.91</v>
      </c>
      <c r="C153" s="191"/>
      <c r="D153" s="192">
        <v>80393.27</v>
      </c>
      <c r="E153" s="193">
        <f t="shared" si="16"/>
        <v>5703.8208903239392</v>
      </c>
      <c r="F153" s="184">
        <f t="shared" si="15"/>
        <v>14.094634376822832</v>
      </c>
      <c r="G153" s="197"/>
      <c r="H153" s="216">
        <f t="shared" si="2"/>
        <v>-1.4086498587045604E-2</v>
      </c>
      <c r="I153" s="216">
        <f t="shared" si="20"/>
        <v>6.8361028880588037E-2</v>
      </c>
      <c r="J153" s="216">
        <v>-1.66E-2</v>
      </c>
      <c r="K153" s="216">
        <f t="shared" si="21"/>
        <v>0.20594399249219197</v>
      </c>
      <c r="L153" s="216"/>
      <c r="M153" s="216">
        <f t="shared" si="3"/>
        <v>-1.66E-2</v>
      </c>
      <c r="N153" s="194"/>
      <c r="O153" s="195">
        <f t="shared" si="17"/>
        <v>28189.268753645672</v>
      </c>
      <c r="P153" s="195">
        <f t="shared" si="18"/>
        <v>38097.359351247527</v>
      </c>
      <c r="Q153" s="216"/>
      <c r="R153" s="216"/>
      <c r="S153" s="216"/>
      <c r="T153" s="191"/>
      <c r="U153" s="191"/>
      <c r="V153" s="191"/>
      <c r="W153" s="191"/>
      <c r="X153" s="5"/>
      <c r="Y153" s="5"/>
      <c r="Z153" s="5"/>
      <c r="AA153" s="5"/>
      <c r="AB153" s="5"/>
    </row>
    <row r="154" spans="1:28" ht="12.75" customHeight="1">
      <c r="A154" s="178">
        <v>39264</v>
      </c>
      <c r="B154" s="192">
        <f t="shared" si="19"/>
        <v>80393.27</v>
      </c>
      <c r="C154" s="191"/>
      <c r="D154" s="192">
        <v>77832.62</v>
      </c>
      <c r="E154" s="193">
        <f t="shared" si="16"/>
        <v>5703.8208903239392</v>
      </c>
      <c r="F154" s="184">
        <f t="shared" si="15"/>
        <v>13.645698470657907</v>
      </c>
      <c r="G154" s="197"/>
      <c r="H154" s="216">
        <f t="shared" si="2"/>
        <v>-3.1851546777485314E-2</v>
      </c>
      <c r="I154" s="216">
        <f t="shared" si="20"/>
        <v>4.7820497683846552E-2</v>
      </c>
      <c r="J154" s="216">
        <v>-3.1E-2</v>
      </c>
      <c r="K154" s="216">
        <f t="shared" si="21"/>
        <v>0.16135930105837204</v>
      </c>
      <c r="L154" s="216"/>
      <c r="M154" s="216">
        <f t="shared" si="3"/>
        <v>-3.1E-2</v>
      </c>
      <c r="N154" s="194"/>
      <c r="O154" s="195">
        <f t="shared" si="17"/>
        <v>27291.396941315819</v>
      </c>
      <c r="P154" s="195">
        <f t="shared" si="18"/>
        <v>36916.341211358849</v>
      </c>
      <c r="Q154" s="216"/>
      <c r="R154" s="216"/>
      <c r="S154" s="216"/>
      <c r="T154" s="191"/>
      <c r="U154" s="191"/>
      <c r="V154" s="191"/>
      <c r="W154" s="191"/>
      <c r="X154" s="5"/>
      <c r="Y154" s="5"/>
      <c r="Z154" s="5"/>
      <c r="AA154" s="5"/>
      <c r="AB154" s="5"/>
    </row>
    <row r="155" spans="1:28" ht="12.75" customHeight="1">
      <c r="A155" s="178">
        <v>39295</v>
      </c>
      <c r="B155" s="192">
        <f t="shared" si="19"/>
        <v>77832.62</v>
      </c>
      <c r="C155" s="191"/>
      <c r="D155" s="192">
        <v>79201.740000000005</v>
      </c>
      <c r="E155" s="193">
        <f t="shared" si="16"/>
        <v>5703.8208903239392</v>
      </c>
      <c r="F155" s="184">
        <f t="shared" si="15"/>
        <v>13.885734058437777</v>
      </c>
      <c r="G155" s="197"/>
      <c r="H155" s="216">
        <f t="shared" si="2"/>
        <v>1.7590568067733136E-2</v>
      </c>
      <c r="I155" s="216">
        <f t="shared" si="20"/>
        <v>5.9653431368745347E-2</v>
      </c>
      <c r="J155" s="216">
        <v>1.499E-2</v>
      </c>
      <c r="K155" s="216">
        <f t="shared" si="21"/>
        <v>0.1513655762661037</v>
      </c>
      <c r="L155" s="216"/>
      <c r="M155" s="216">
        <f t="shared" si="3"/>
        <v>1.499E-2</v>
      </c>
      <c r="N155" s="194"/>
      <c r="O155" s="195">
        <f t="shared" si="17"/>
        <v>27771.468116875556</v>
      </c>
      <c r="P155" s="195">
        <f t="shared" si="18"/>
        <v>37469.717166117123</v>
      </c>
      <c r="Q155" s="216"/>
      <c r="R155" s="216"/>
      <c r="S155" s="216"/>
      <c r="T155" s="191"/>
      <c r="U155" s="191"/>
      <c r="V155" s="191"/>
      <c r="W155" s="191"/>
      <c r="X155" s="5"/>
      <c r="Y155" s="5"/>
      <c r="Z155" s="5"/>
      <c r="AA155" s="5"/>
      <c r="AB155" s="5"/>
    </row>
    <row r="156" spans="1:28" ht="12.75" customHeight="1">
      <c r="A156" s="178">
        <v>39326</v>
      </c>
      <c r="B156" s="192">
        <f t="shared" si="19"/>
        <v>79201.740000000005</v>
      </c>
      <c r="C156" s="191"/>
      <c r="D156" s="192">
        <v>82091.929999999993</v>
      </c>
      <c r="E156" s="193">
        <f t="shared" si="16"/>
        <v>5703.8208903239392</v>
      </c>
      <c r="F156" s="184">
        <f t="shared" si="15"/>
        <v>14.392445271074722</v>
      </c>
      <c r="G156" s="197"/>
      <c r="H156" s="216">
        <f t="shared" si="2"/>
        <v>3.6491496272682715E-2</v>
      </c>
      <c r="I156" s="216">
        <f t="shared" si="20"/>
        <v>9.106605506025911E-2</v>
      </c>
      <c r="J156" s="216">
        <v>3.7400000000000003E-2</v>
      </c>
      <c r="K156" s="216">
        <f t="shared" si="21"/>
        <v>0.1643855028450536</v>
      </c>
      <c r="L156" s="216"/>
      <c r="M156" s="216">
        <f t="shared" si="3"/>
        <v>3.7400000000000003E-2</v>
      </c>
      <c r="N156" s="194"/>
      <c r="O156" s="195">
        <f t="shared" si="17"/>
        <v>28784.890542149449</v>
      </c>
      <c r="P156" s="195">
        <f t="shared" si="18"/>
        <v>38871.08458812991</v>
      </c>
      <c r="Q156" s="216"/>
      <c r="R156" s="216"/>
      <c r="S156" s="216"/>
      <c r="T156" s="191"/>
      <c r="U156" s="191"/>
      <c r="V156" s="191"/>
      <c r="W156" s="191"/>
      <c r="X156" s="5"/>
      <c r="Y156" s="5"/>
      <c r="Z156" s="5"/>
      <c r="AA156" s="5"/>
      <c r="AB156" s="5"/>
    </row>
    <row r="157" spans="1:28" ht="12.75" customHeight="1">
      <c r="A157" s="178">
        <v>39356</v>
      </c>
      <c r="B157" s="192">
        <f t="shared" si="19"/>
        <v>82091.929999999993</v>
      </c>
      <c r="C157" s="191"/>
      <c r="D157" s="192">
        <v>83295.92</v>
      </c>
      <c r="E157" s="193">
        <f t="shared" si="16"/>
        <v>5703.8208903239392</v>
      </c>
      <c r="F157" s="184">
        <f t="shared" si="15"/>
        <v>14.603530090032217</v>
      </c>
      <c r="G157" s="197"/>
      <c r="H157" s="216">
        <f t="shared" si="2"/>
        <v>1.4666362454872336E-2</v>
      </c>
      <c r="I157" s="216">
        <f t="shared" si="20"/>
        <v>0.10166221593610647</v>
      </c>
      <c r="J157" s="216">
        <v>1.5900000000000001E-2</v>
      </c>
      <c r="K157" s="216">
        <f t="shared" si="21"/>
        <v>0.14555416651199882</v>
      </c>
      <c r="L157" s="216"/>
      <c r="M157" s="216">
        <f t="shared" si="3"/>
        <v>1.5900000000000001E-2</v>
      </c>
      <c r="N157" s="194"/>
      <c r="O157" s="195">
        <f t="shared" si="17"/>
        <v>29207.06018006444</v>
      </c>
      <c r="P157" s="195">
        <f t="shared" si="18"/>
        <v>39489.134833081174</v>
      </c>
      <c r="Q157" s="216"/>
      <c r="R157" s="216"/>
      <c r="S157" s="216"/>
      <c r="T157" s="191"/>
      <c r="U157" s="191"/>
      <c r="V157" s="191"/>
      <c r="W157" s="191"/>
      <c r="X157" s="5"/>
      <c r="Y157" s="5"/>
      <c r="Z157" s="5"/>
      <c r="AA157" s="5"/>
      <c r="AB157" s="5"/>
    </row>
    <row r="158" spans="1:28" ht="12.75" customHeight="1">
      <c r="A158" s="178">
        <v>39387</v>
      </c>
      <c r="B158" s="192">
        <f t="shared" si="19"/>
        <v>83295.92</v>
      </c>
      <c r="C158" s="191"/>
      <c r="D158" s="192">
        <v>80082.63</v>
      </c>
      <c r="E158" s="193">
        <f t="shared" si="16"/>
        <v>5703.8208903239392</v>
      </c>
      <c r="F158" s="184">
        <f t="shared" si="15"/>
        <v>14.040172638634843</v>
      </c>
      <c r="G158" s="197"/>
      <c r="H158" s="216">
        <f t="shared" si="2"/>
        <v>-3.8576799439876498E-2</v>
      </c>
      <c r="I158" s="216">
        <f t="shared" si="20"/>
        <v>5.2510367701505301E-2</v>
      </c>
      <c r="J158" s="216">
        <v>-4.1799999999999997E-2</v>
      </c>
      <c r="K158" s="216">
        <f t="shared" si="21"/>
        <v>7.7203142641606659E-2</v>
      </c>
      <c r="L158" s="216"/>
      <c r="M158" s="216">
        <f t="shared" si="3"/>
        <v>-4.1799999999999997E-2</v>
      </c>
      <c r="N158" s="194"/>
      <c r="O158" s="195">
        <f t="shared" si="17"/>
        <v>28080.345277269691</v>
      </c>
      <c r="P158" s="195">
        <f t="shared" si="18"/>
        <v>37838.488997058383</v>
      </c>
      <c r="Q158" s="216"/>
      <c r="R158" s="216"/>
      <c r="S158" s="216"/>
      <c r="T158" s="191"/>
      <c r="U158" s="191"/>
      <c r="V158" s="191"/>
      <c r="W158" s="191"/>
      <c r="X158" s="5"/>
      <c r="Y158" s="5"/>
      <c r="Z158" s="5"/>
      <c r="AA158" s="5"/>
      <c r="AB158" s="5"/>
    </row>
    <row r="159" spans="1:28" ht="12.75" customHeight="1">
      <c r="A159" s="1449">
        <v>39417</v>
      </c>
      <c r="B159" s="1450">
        <f t="shared" si="19"/>
        <v>80082.63</v>
      </c>
      <c r="C159" s="1451"/>
      <c r="D159" s="1450">
        <v>79838.77</v>
      </c>
      <c r="E159" s="1452">
        <f t="shared" si="16"/>
        <v>5703.8208903239392</v>
      </c>
      <c r="F159" s="1453">
        <f t="shared" si="15"/>
        <v>13.997418841717117</v>
      </c>
      <c r="G159" s="1454"/>
      <c r="H159" s="1446">
        <f t="shared" si="2"/>
        <v>-3.045104787392621E-3</v>
      </c>
      <c r="I159" s="1446">
        <f t="shared" si="20"/>
        <v>5.7664676449509678E-2</v>
      </c>
      <c r="J159" s="1446">
        <v>-6.8999999999999999E-3</v>
      </c>
      <c r="K159" s="1446">
        <f t="shared" si="21"/>
        <v>5.5000434869210801E-2</v>
      </c>
      <c r="L159" s="1446"/>
      <c r="M159" s="1446">
        <f t="shared" si="3"/>
        <v>-6.8999999999999999E-3</v>
      </c>
      <c r="N159" s="1455"/>
      <c r="O159" s="1448">
        <f t="shared" si="17"/>
        <v>27994.837683434238</v>
      </c>
      <c r="P159" s="1448">
        <f t="shared" si="18"/>
        <v>37577.403422978678</v>
      </c>
      <c r="Q159" s="1446"/>
      <c r="R159" s="1446"/>
      <c r="S159" s="1446"/>
      <c r="T159" s="1451"/>
      <c r="U159" s="1451"/>
      <c r="V159" s="1451"/>
      <c r="W159" s="1451"/>
      <c r="X159" s="1456"/>
      <c r="Y159" s="1456"/>
      <c r="Z159" s="1456"/>
      <c r="AA159" s="1456"/>
      <c r="AB159" s="1456"/>
    </row>
    <row r="160" spans="1:28" ht="12.75" customHeight="1">
      <c r="A160" s="178">
        <v>39448</v>
      </c>
      <c r="B160" s="192">
        <f t="shared" si="19"/>
        <v>79838.77</v>
      </c>
      <c r="C160" s="5"/>
      <c r="D160" s="192">
        <v>73105.33</v>
      </c>
      <c r="E160" s="193">
        <f t="shared" si="16"/>
        <v>5703.8208903239392</v>
      </c>
      <c r="F160" s="184">
        <f t="shared" si="15"/>
        <v>12.816904914391186</v>
      </c>
      <c r="G160" s="198"/>
      <c r="H160" s="216">
        <f t="shared" si="2"/>
        <v>-8.4337972641612607E-2</v>
      </c>
      <c r="I160" s="216">
        <f t="shared" si="20"/>
        <v>-4.0190881742938611E-2</v>
      </c>
      <c r="J160" s="216">
        <v>-0.06</v>
      </c>
      <c r="K160" s="216">
        <f t="shared" si="21"/>
        <v>-2.3070761311905552E-2</v>
      </c>
      <c r="L160" s="216"/>
      <c r="M160" s="216">
        <f t="shared" si="3"/>
        <v>-0.06</v>
      </c>
      <c r="N160" s="216"/>
      <c r="O160" s="195">
        <f t="shared" si="17"/>
        <v>25633.809828782378</v>
      </c>
      <c r="P160" s="195">
        <f t="shared" si="18"/>
        <v>35322.759217599953</v>
      </c>
      <c r="Q160" s="216"/>
      <c r="R160" s="216"/>
      <c r="S160" s="216"/>
      <c r="T160" s="194"/>
      <c r="U160" s="194"/>
      <c r="V160" s="194"/>
      <c r="W160" s="194"/>
      <c r="X160" s="5"/>
      <c r="Y160" s="5"/>
      <c r="Z160" s="5"/>
      <c r="AA160" s="5"/>
      <c r="AB160" s="5"/>
    </row>
    <row r="161" spans="1:28" ht="12.75" customHeight="1">
      <c r="A161" s="178">
        <v>39479</v>
      </c>
      <c r="B161" s="192">
        <f t="shared" si="19"/>
        <v>73105.33</v>
      </c>
      <c r="C161" s="5"/>
      <c r="D161" s="192">
        <v>70553.070000000007</v>
      </c>
      <c r="E161" s="193">
        <f t="shared" si="16"/>
        <v>5703.8208903239392</v>
      </c>
      <c r="F161" s="184">
        <f t="shared" si="15"/>
        <v>12.369439952030657</v>
      </c>
      <c r="G161" s="198"/>
      <c r="H161" s="216">
        <f t="shared" si="2"/>
        <v>-3.4912091909030447E-2</v>
      </c>
      <c r="I161" s="216">
        <f t="shared" si="20"/>
        <v>-6.6334231713187863E-2</v>
      </c>
      <c r="J161" s="216">
        <v>-3.2500000000000001E-2</v>
      </c>
      <c r="K161" s="216">
        <f t="shared" si="21"/>
        <v>-3.596442573667824E-2</v>
      </c>
      <c r="L161" s="216"/>
      <c r="M161" s="216">
        <f t="shared" si="3"/>
        <v>-3.2500000000000001E-2</v>
      </c>
      <c r="N161" s="216"/>
      <c r="O161" s="195">
        <f t="shared" si="17"/>
        <v>24738.879904061319</v>
      </c>
      <c r="P161" s="195">
        <f t="shared" si="18"/>
        <v>34174.769543027956</v>
      </c>
      <c r="Q161" s="216"/>
      <c r="R161" s="216"/>
      <c r="S161" s="216"/>
      <c r="T161" s="194"/>
      <c r="U161" s="194"/>
      <c r="V161" s="194"/>
      <c r="W161" s="194"/>
      <c r="X161" s="5"/>
      <c r="Y161" s="5"/>
      <c r="Z161" s="5"/>
      <c r="AA161" s="5"/>
      <c r="AB161" s="5"/>
    </row>
    <row r="162" spans="1:28" ht="12.75" customHeight="1">
      <c r="A162" s="178">
        <v>39508</v>
      </c>
      <c r="B162" s="192">
        <f t="shared" si="19"/>
        <v>70553.070000000007</v>
      </c>
      <c r="C162" s="5"/>
      <c r="D162" s="192">
        <v>70722.44</v>
      </c>
      <c r="E162" s="193">
        <f t="shared" si="16"/>
        <v>5703.8208903239392</v>
      </c>
      <c r="F162" s="184">
        <f t="shared" si="15"/>
        <v>12.399134082203524</v>
      </c>
      <c r="G162" s="198"/>
      <c r="H162" s="216">
        <f t="shared" si="2"/>
        <v>2.4006042543577291E-3</v>
      </c>
      <c r="I162" s="216">
        <f t="shared" si="20"/>
        <v>-5.0441411356286103E-2</v>
      </c>
      <c r="J162" s="216">
        <v>-4.3E-3</v>
      </c>
      <c r="K162" s="216">
        <f t="shared" si="21"/>
        <v>-5.0722698931951138E-2</v>
      </c>
      <c r="L162" s="216"/>
      <c r="M162" s="216">
        <f t="shared" si="3"/>
        <v>-4.3E-3</v>
      </c>
      <c r="N162" s="216"/>
      <c r="O162" s="195">
        <f t="shared" si="17"/>
        <v>24798.268164407051</v>
      </c>
      <c r="P162" s="195">
        <f t="shared" si="18"/>
        <v>34027.818033992939</v>
      </c>
      <c r="Q162" s="216"/>
      <c r="R162" s="216"/>
      <c r="S162" s="216"/>
      <c r="T162" s="194"/>
      <c r="U162" s="194"/>
      <c r="V162" s="194"/>
      <c r="W162" s="194"/>
      <c r="X162" s="5"/>
      <c r="Y162" s="5"/>
      <c r="Z162" s="5"/>
      <c r="AA162" s="5"/>
      <c r="AB162" s="5"/>
    </row>
    <row r="163" spans="1:28" ht="12.75" customHeight="1">
      <c r="A163" s="178">
        <v>39539</v>
      </c>
      <c r="B163" s="192">
        <f t="shared" si="19"/>
        <v>70722.44</v>
      </c>
      <c r="C163" s="5"/>
      <c r="D163" s="192">
        <v>74211.12</v>
      </c>
      <c r="E163" s="193">
        <f t="shared" si="16"/>
        <v>5703.8208903239392</v>
      </c>
      <c r="F163" s="184">
        <f t="shared" si="15"/>
        <v>13.010773203957548</v>
      </c>
      <c r="G163" s="198"/>
      <c r="H163" s="216">
        <f t="shared" si="2"/>
        <v>4.9329180384613279E-2</v>
      </c>
      <c r="I163" s="216">
        <f t="shared" si="20"/>
        <v>-6.4867667729979206E-2</v>
      </c>
      <c r="J163" s="216">
        <v>4.87E-2</v>
      </c>
      <c r="K163" s="216">
        <f t="shared" si="21"/>
        <v>-4.6723062692652917E-2</v>
      </c>
      <c r="L163" s="216"/>
      <c r="M163" s="216">
        <f t="shared" si="3"/>
        <v>4.87E-2</v>
      </c>
      <c r="N163" s="216"/>
      <c r="O163" s="195">
        <f t="shared" si="17"/>
        <v>26021.546407915099</v>
      </c>
      <c r="P163" s="195">
        <f t="shared" si="18"/>
        <v>35684.972772248395</v>
      </c>
      <c r="Q163" s="216"/>
      <c r="R163" s="216"/>
      <c r="S163" s="216"/>
      <c r="T163" s="194"/>
      <c r="U163" s="194"/>
      <c r="V163" s="194"/>
      <c r="W163" s="194"/>
      <c r="X163" s="5"/>
      <c r="Y163" s="5"/>
      <c r="Z163" s="5"/>
      <c r="AA163" s="5"/>
      <c r="AB163" s="5"/>
    </row>
    <row r="164" spans="1:28" ht="12.75" customHeight="1">
      <c r="A164" s="178">
        <v>39569</v>
      </c>
      <c r="B164" s="192">
        <f t="shared" si="19"/>
        <v>74211.12</v>
      </c>
      <c r="C164" s="5"/>
      <c r="D164" s="192">
        <v>76406.17</v>
      </c>
      <c r="E164" s="193">
        <f t="shared" si="16"/>
        <v>5703.8208903239392</v>
      </c>
      <c r="F164" s="184">
        <f t="shared" si="15"/>
        <v>13.395611725749795</v>
      </c>
      <c r="G164" s="198"/>
      <c r="H164" s="216">
        <f t="shared" si="2"/>
        <v>2.9578451315651927E-2</v>
      </c>
      <c r="I164" s="216">
        <f t="shared" si="20"/>
        <v>-6.2982826867803654E-2</v>
      </c>
      <c r="J164" s="216">
        <v>1.2999999999999999E-2</v>
      </c>
      <c r="K164" s="216">
        <f t="shared" si="21"/>
        <v>-6.6895799118424137E-2</v>
      </c>
      <c r="L164" s="216"/>
      <c r="M164" s="216">
        <f t="shared" si="3"/>
        <v>1.2999999999999999E-2</v>
      </c>
      <c r="N164" s="216"/>
      <c r="O164" s="195">
        <f t="shared" si="17"/>
        <v>26791.223451499591</v>
      </c>
      <c r="P164" s="195">
        <f t="shared" si="18"/>
        <v>36148.877418287622</v>
      </c>
      <c r="Q164" s="216"/>
      <c r="R164" s="216"/>
      <c r="S164" s="216"/>
      <c r="T164" s="194"/>
      <c r="U164" s="194"/>
      <c r="V164" s="194"/>
      <c r="W164" s="194"/>
      <c r="X164" s="5"/>
      <c r="Y164" s="5"/>
      <c r="Z164" s="5"/>
      <c r="AA164" s="5"/>
      <c r="AB164" s="5"/>
    </row>
    <row r="165" spans="1:28" ht="12.75" customHeight="1">
      <c r="A165" s="178">
        <v>39600</v>
      </c>
      <c r="B165" s="192">
        <f t="shared" si="19"/>
        <v>76406.17</v>
      </c>
      <c r="C165" s="191"/>
      <c r="D165" s="192">
        <v>71571.28</v>
      </c>
      <c r="E165" s="193">
        <f t="shared" si="16"/>
        <v>5703.8208903239392</v>
      </c>
      <c r="F165" s="184">
        <f t="shared" si="15"/>
        <v>12.547953622003588</v>
      </c>
      <c r="G165" s="197"/>
      <c r="H165" s="216">
        <f t="shared" si="2"/>
        <v>-6.327879018147349E-2</v>
      </c>
      <c r="I165" s="216">
        <f t="shared" si="20"/>
        <v>-0.10973542934626268</v>
      </c>
      <c r="J165" s="216">
        <v>-8.43E-2</v>
      </c>
      <c r="K165" s="216">
        <f t="shared" si="21"/>
        <v>-0.13113329596577306</v>
      </c>
      <c r="L165" s="216"/>
      <c r="M165" s="216">
        <f t="shared" si="3"/>
        <v>-8.43E-2</v>
      </c>
      <c r="N165" s="194"/>
      <c r="O165" s="195">
        <f t="shared" si="17"/>
        <v>25095.907244007176</v>
      </c>
      <c r="P165" s="195">
        <f t="shared" si="18"/>
        <v>33101.527051925972</v>
      </c>
      <c r="Q165" s="216"/>
      <c r="R165" s="216"/>
      <c r="S165" s="216"/>
      <c r="T165" s="194"/>
      <c r="U165" s="194"/>
      <c r="V165" s="194"/>
      <c r="W165" s="194"/>
      <c r="X165" s="5"/>
      <c r="Y165" s="5"/>
      <c r="Z165" s="5"/>
      <c r="AA165" s="5"/>
      <c r="AB165" s="5"/>
    </row>
    <row r="166" spans="1:28" ht="12.75" customHeight="1">
      <c r="A166" s="178">
        <v>39630</v>
      </c>
      <c r="B166" s="192">
        <f t="shared" si="19"/>
        <v>71571.28</v>
      </c>
      <c r="C166" s="191"/>
      <c r="D166" s="192">
        <v>69390.36</v>
      </c>
      <c r="E166" s="193">
        <f t="shared" si="16"/>
        <v>5703.8208903239392</v>
      </c>
      <c r="F166" s="184">
        <f t="shared" si="15"/>
        <v>12.165592386976073</v>
      </c>
      <c r="G166" s="197"/>
      <c r="H166" s="216">
        <f t="shared" si="2"/>
        <v>-3.0471999382992766E-2</v>
      </c>
      <c r="I166" s="216">
        <f t="shared" si="20"/>
        <v>-0.10846686132369709</v>
      </c>
      <c r="J166" s="216">
        <v>-8.3999999999999995E-3</v>
      </c>
      <c r="K166" s="216">
        <f t="shared" si="21"/>
        <v>-0.11086870617096045</v>
      </c>
      <c r="L166" s="216"/>
      <c r="M166" s="216">
        <f t="shared" si="3"/>
        <v>-8.3999999999999995E-3</v>
      </c>
      <c r="N166" s="194"/>
      <c r="O166" s="195">
        <f t="shared" si="17"/>
        <v>24331.184773952147</v>
      </c>
      <c r="P166" s="195">
        <f t="shared" si="18"/>
        <v>32823.474224689795</v>
      </c>
      <c r="Q166" s="216"/>
      <c r="R166" s="216"/>
      <c r="S166" s="216"/>
      <c r="T166" s="194"/>
      <c r="U166" s="194"/>
      <c r="V166" s="194"/>
      <c r="W166" s="194"/>
      <c r="X166" s="5"/>
      <c r="Y166" s="5"/>
      <c r="Z166" s="5"/>
      <c r="AA166" s="5"/>
      <c r="AB166" s="5"/>
    </row>
    <row r="167" spans="1:28" ht="12.75" customHeight="1">
      <c r="A167" s="178">
        <v>39661</v>
      </c>
      <c r="B167" s="192">
        <f t="shared" si="19"/>
        <v>69390.36</v>
      </c>
      <c r="C167" s="191"/>
      <c r="D167" s="192">
        <v>69207.41</v>
      </c>
      <c r="E167" s="193">
        <f t="shared" si="16"/>
        <v>5703.8208903239392</v>
      </c>
      <c r="F167" s="184">
        <f t="shared" si="15"/>
        <v>12.133517396628751</v>
      </c>
      <c r="G167" s="197"/>
      <c r="H167" s="216">
        <f t="shared" si="2"/>
        <v>-2.6365333743764178E-3</v>
      </c>
      <c r="I167" s="216">
        <f t="shared" si="20"/>
        <v>-0.12618826303563546</v>
      </c>
      <c r="J167" s="216">
        <v>1.4500000000000001E-2</v>
      </c>
      <c r="K167" s="216">
        <f t="shared" si="21"/>
        <v>-0.11129794619694688</v>
      </c>
      <c r="L167" s="216"/>
      <c r="M167" s="216">
        <f t="shared" si="3"/>
        <v>1.4500000000000001E-2</v>
      </c>
      <c r="N167" s="194"/>
      <c r="O167" s="195">
        <f t="shared" si="17"/>
        <v>24267.034793257502</v>
      </c>
      <c r="P167" s="195">
        <f t="shared" si="18"/>
        <v>33299.414600947799</v>
      </c>
      <c r="Q167" s="216"/>
      <c r="R167" s="216"/>
      <c r="S167" s="216"/>
      <c r="T167" s="194"/>
      <c r="U167" s="194"/>
      <c r="V167" s="194"/>
      <c r="W167" s="194"/>
      <c r="X167" s="5"/>
      <c r="Y167" s="5"/>
      <c r="Z167" s="5"/>
      <c r="AA167" s="5"/>
      <c r="AB167" s="5"/>
    </row>
    <row r="168" spans="1:28" ht="12.75" customHeight="1">
      <c r="A168" s="178">
        <v>39692</v>
      </c>
      <c r="B168" s="192">
        <f t="shared" si="19"/>
        <v>69207.41</v>
      </c>
      <c r="C168" s="191"/>
      <c r="D168" s="192">
        <v>61324.63</v>
      </c>
      <c r="E168" s="193">
        <f t="shared" si="16"/>
        <v>5703.8208903239392</v>
      </c>
      <c r="F168" s="184">
        <f t="shared" si="15"/>
        <v>10.751499946997313</v>
      </c>
      <c r="G168" s="197"/>
      <c r="H168" s="216">
        <f t="shared" si="2"/>
        <v>-0.11390080917635848</v>
      </c>
      <c r="I168" s="216">
        <f t="shared" si="20"/>
        <v>-0.25297614515823907</v>
      </c>
      <c r="J168" s="216">
        <v>-8.9099999999999999E-2</v>
      </c>
      <c r="K168" s="216">
        <f t="shared" si="21"/>
        <v>-0.21966579833313959</v>
      </c>
      <c r="L168" s="216"/>
      <c r="M168" s="216">
        <f t="shared" si="3"/>
        <v>-8.9099999999999999E-2</v>
      </c>
      <c r="N168" s="194"/>
      <c r="O168" s="195">
        <f t="shared" si="17"/>
        <v>21502.999893994627</v>
      </c>
      <c r="P168" s="195">
        <f t="shared" si="18"/>
        <v>30332.436760003351</v>
      </c>
      <c r="Q168" s="216"/>
      <c r="R168" s="216"/>
      <c r="S168" s="216"/>
      <c r="T168" s="194"/>
      <c r="U168" s="194"/>
      <c r="V168" s="194"/>
      <c r="W168" s="194"/>
      <c r="X168" s="5"/>
      <c r="Y168" s="5"/>
      <c r="Z168" s="5"/>
      <c r="AA168" s="5"/>
      <c r="AB168" s="5"/>
    </row>
    <row r="169" spans="1:28" ht="12.75" customHeight="1">
      <c r="A169" s="178">
        <v>39722</v>
      </c>
      <c r="B169" s="192">
        <f t="shared" si="19"/>
        <v>61324.63</v>
      </c>
      <c r="C169" s="191"/>
      <c r="D169" s="192">
        <v>50529.599999999999</v>
      </c>
      <c r="E169" s="193">
        <f t="shared" si="16"/>
        <v>5703.8208903239392</v>
      </c>
      <c r="F169" s="184">
        <f t="shared" si="15"/>
        <v>8.8589037018534871</v>
      </c>
      <c r="G169" s="197"/>
      <c r="H169" s="216">
        <f t="shared" si="2"/>
        <v>-0.17603090308086658</v>
      </c>
      <c r="I169" s="216">
        <f t="shared" si="20"/>
        <v>-0.39337244849447628</v>
      </c>
      <c r="J169" s="216">
        <v>-0.16789999999999999</v>
      </c>
      <c r="K169" s="216">
        <f t="shared" si="21"/>
        <v>-0.36084645220297829</v>
      </c>
      <c r="L169" s="216"/>
      <c r="M169" s="216">
        <f t="shared" si="3"/>
        <v>-0.16789999999999999</v>
      </c>
      <c r="N169" s="194"/>
      <c r="O169" s="195">
        <f t="shared" si="17"/>
        <v>17717.807403706975</v>
      </c>
      <c r="P169" s="195">
        <f t="shared" si="18"/>
        <v>25239.620627998789</v>
      </c>
      <c r="Q169" s="216"/>
      <c r="R169" s="216"/>
      <c r="S169" s="216"/>
      <c r="T169" s="194"/>
      <c r="U169" s="194"/>
      <c r="V169" s="194"/>
      <c r="W169" s="194"/>
      <c r="X169" s="5"/>
      <c r="Y169" s="5"/>
      <c r="Z169" s="5"/>
      <c r="AA169" s="5"/>
      <c r="AB169" s="5"/>
    </row>
    <row r="170" spans="1:28" ht="12.75" customHeight="1">
      <c r="A170" s="178">
        <v>39753</v>
      </c>
      <c r="B170" s="192">
        <f t="shared" si="19"/>
        <v>50529.599999999999</v>
      </c>
      <c r="C170" s="191"/>
      <c r="D170" s="192">
        <v>46178.82</v>
      </c>
      <c r="E170" s="193">
        <f t="shared" si="16"/>
        <v>5703.8208903239392</v>
      </c>
      <c r="F170" s="184">
        <f t="shared" si="15"/>
        <v>8.0961202828683749</v>
      </c>
      <c r="G170" s="197"/>
      <c r="H170" s="216">
        <f t="shared" si="2"/>
        <v>-8.6103590766600194E-2</v>
      </c>
      <c r="I170" s="216">
        <f t="shared" si="20"/>
        <v>-0.42336034668192102</v>
      </c>
      <c r="J170" s="216">
        <v>-7.1800000000000003E-2</v>
      </c>
      <c r="K170" s="216">
        <f t="shared" si="21"/>
        <v>-0.38085752132624129</v>
      </c>
      <c r="L170" s="216"/>
      <c r="M170" s="216">
        <f t="shared" si="3"/>
        <v>-7.1800000000000003E-2</v>
      </c>
      <c r="N170" s="194"/>
      <c r="O170" s="195">
        <f t="shared" si="17"/>
        <v>16192.240565736749</v>
      </c>
      <c r="P170" s="195">
        <f t="shared" si="18"/>
        <v>23427.415866908475</v>
      </c>
      <c r="Q170" s="216"/>
      <c r="R170" s="216"/>
      <c r="S170" s="216"/>
      <c r="T170" s="194"/>
      <c r="U170" s="194"/>
      <c r="V170" s="194"/>
      <c r="W170" s="194"/>
      <c r="X170" s="5"/>
      <c r="Y170" s="5"/>
      <c r="Z170" s="5"/>
      <c r="AA170" s="5"/>
      <c r="AB170" s="5"/>
    </row>
    <row r="171" spans="1:28" ht="12.75" customHeight="1">
      <c r="A171" s="1449">
        <v>39783</v>
      </c>
      <c r="B171" s="1450">
        <f t="shared" si="19"/>
        <v>46178.82</v>
      </c>
      <c r="C171" s="1455"/>
      <c r="D171" s="1450">
        <v>47396.06</v>
      </c>
      <c r="E171" s="1452">
        <f t="shared" si="16"/>
        <v>5703.8208903239392</v>
      </c>
      <c r="F171" s="1453">
        <f t="shared" si="15"/>
        <v>8.3095281060461588</v>
      </c>
      <c r="G171" s="1454"/>
      <c r="H171" s="1446">
        <f t="shared" si="2"/>
        <v>2.6359270332156622E-2</v>
      </c>
      <c r="I171" s="1446">
        <f t="shared" si="20"/>
        <v>-0.40635282833139863</v>
      </c>
      <c r="J171" s="1446">
        <v>1.06E-2</v>
      </c>
      <c r="K171" s="1446">
        <f t="shared" si="21"/>
        <v>-0.36994724705699267</v>
      </c>
      <c r="L171" s="1446"/>
      <c r="M171" s="1446">
        <f t="shared" si="3"/>
        <v>1.06E-2</v>
      </c>
      <c r="N171" s="1455"/>
      <c r="O171" s="1448">
        <f t="shared" si="17"/>
        <v>16619.056212092317</v>
      </c>
      <c r="P171" s="1448">
        <f t="shared" si="18"/>
        <v>23675.746475097705</v>
      </c>
      <c r="Q171" s="1446"/>
      <c r="R171" s="1446"/>
      <c r="S171" s="1446"/>
      <c r="T171" s="1455"/>
      <c r="U171" s="1455"/>
      <c r="V171" s="1455"/>
      <c r="W171" s="1455"/>
      <c r="X171" s="1456"/>
      <c r="Y171" s="1456"/>
      <c r="Z171" s="1456"/>
      <c r="AA171" s="1456"/>
      <c r="AB171" s="1456"/>
    </row>
    <row r="172" spans="1:28" ht="12.75" customHeight="1">
      <c r="A172" s="178">
        <v>39814</v>
      </c>
      <c r="B172" s="192">
        <v>47396.06</v>
      </c>
      <c r="C172" s="192"/>
      <c r="D172" s="192">
        <v>45537.75</v>
      </c>
      <c r="E172" s="193">
        <f t="shared" si="16"/>
        <v>5703.8208903239392</v>
      </c>
      <c r="F172" s="184">
        <f t="shared" si="15"/>
        <v>7.9837272024531885</v>
      </c>
      <c r="G172" s="197"/>
      <c r="H172" s="216">
        <f t="shared" si="2"/>
        <v>-3.9208111391537605E-2</v>
      </c>
      <c r="I172" s="216">
        <f t="shared" si="20"/>
        <v>-0.37709398206669742</v>
      </c>
      <c r="J172" s="216">
        <v>-8.43E-2</v>
      </c>
      <c r="K172" s="216">
        <f t="shared" si="21"/>
        <v>-0.38623478098945541</v>
      </c>
      <c r="L172" s="216"/>
      <c r="M172" s="216">
        <f t="shared" si="3"/>
        <v>-8.43E-2</v>
      </c>
      <c r="N172" s="194"/>
      <c r="O172" s="195">
        <f t="shared" si="17"/>
        <v>15967.454404906377</v>
      </c>
      <c r="P172" s="195">
        <f t="shared" si="18"/>
        <v>21679.881047246967</v>
      </c>
      <c r="Q172" s="216"/>
      <c r="R172" s="216"/>
      <c r="S172" s="216"/>
      <c r="T172" s="194"/>
      <c r="U172" s="194"/>
      <c r="V172" s="194"/>
      <c r="W172" s="194"/>
      <c r="X172" s="5"/>
      <c r="Y172" s="5"/>
      <c r="Z172" s="5"/>
      <c r="AA172" s="5"/>
      <c r="AB172" s="5"/>
    </row>
    <row r="173" spans="1:28" ht="12.75" customHeight="1">
      <c r="A173" s="178">
        <v>39845</v>
      </c>
      <c r="B173" s="192">
        <v>45537.75</v>
      </c>
      <c r="C173" s="192"/>
      <c r="D173" s="192">
        <v>42186.44</v>
      </c>
      <c r="E173" s="193">
        <f t="shared" si="16"/>
        <v>5703.8208903239392</v>
      </c>
      <c r="F173" s="184">
        <f t="shared" si="15"/>
        <v>7.3961719365286891</v>
      </c>
      <c r="G173" s="197"/>
      <c r="H173" s="216">
        <f t="shared" si="2"/>
        <v>-7.3594105988987094E-2</v>
      </c>
      <c r="I173" s="216">
        <f t="shared" si="20"/>
        <v>-0.4020608883497202</v>
      </c>
      <c r="J173" s="216">
        <v>-0.1065</v>
      </c>
      <c r="K173" s="216">
        <f t="shared" si="21"/>
        <v>-0.43317909748225158</v>
      </c>
      <c r="L173" s="216"/>
      <c r="M173" s="216">
        <f t="shared" si="3"/>
        <v>-0.1065</v>
      </c>
      <c r="N173" s="194"/>
      <c r="O173" s="195">
        <f t="shared" si="17"/>
        <v>14792.343873057378</v>
      </c>
      <c r="P173" s="195">
        <f t="shared" si="18"/>
        <v>19370.973715715165</v>
      </c>
      <c r="Q173" s="216"/>
      <c r="R173" s="216"/>
      <c r="S173" s="216"/>
      <c r="T173" s="194"/>
      <c r="U173" s="194"/>
      <c r="V173" s="194"/>
      <c r="W173" s="194"/>
      <c r="X173" s="5"/>
      <c r="Y173" s="5"/>
      <c r="Z173" s="5"/>
      <c r="AA173" s="5"/>
      <c r="AB173" s="5"/>
    </row>
    <row r="174" spans="1:28" ht="12.75" customHeight="1">
      <c r="A174" s="178">
        <v>39873</v>
      </c>
      <c r="B174" s="192">
        <v>42186.44</v>
      </c>
      <c r="C174" s="199"/>
      <c r="D174" s="192">
        <v>44298.05</v>
      </c>
      <c r="E174" s="193">
        <f t="shared" si="16"/>
        <v>5703.8208903239392</v>
      </c>
      <c r="F174" s="184">
        <f t="shared" si="15"/>
        <v>7.7663816679706725</v>
      </c>
      <c r="G174" s="197"/>
      <c r="H174" s="216">
        <f t="shared" si="2"/>
        <v>5.0054235436789649E-2</v>
      </c>
      <c r="I174" s="216">
        <f t="shared" si="20"/>
        <v>-0.37363515738427577</v>
      </c>
      <c r="J174" s="216">
        <v>8.7599999999999997E-2</v>
      </c>
      <c r="K174" s="216">
        <f t="shared" si="21"/>
        <v>-0.38086329860570167</v>
      </c>
      <c r="L174" s="216"/>
      <c r="M174" s="216">
        <f t="shared" si="3"/>
        <v>8.7599999999999997E-2</v>
      </c>
      <c r="N174" s="194"/>
      <c r="O174" s="195">
        <f t="shared" si="17"/>
        <v>15532.763335941345</v>
      </c>
      <c r="P174" s="195">
        <f t="shared" si="18"/>
        <v>21067.87101321181</v>
      </c>
      <c r="Q174" s="216"/>
      <c r="R174" s="216"/>
      <c r="S174" s="216"/>
      <c r="T174" s="194"/>
      <c r="U174" s="194"/>
      <c r="V174" s="194"/>
      <c r="W174" s="194"/>
      <c r="X174" s="5"/>
      <c r="Y174" s="5"/>
      <c r="Z174" s="5"/>
      <c r="AA174" s="5"/>
      <c r="AB174" s="5"/>
    </row>
    <row r="175" spans="1:28" ht="12.75" customHeight="1">
      <c r="A175" s="178">
        <v>39904</v>
      </c>
      <c r="B175" s="192">
        <v>44298.05</v>
      </c>
      <c r="C175" s="199"/>
      <c r="D175" s="192">
        <v>48443.040000000001</v>
      </c>
      <c r="E175" s="193">
        <f t="shared" si="16"/>
        <v>5703.8208903239392</v>
      </c>
      <c r="F175" s="184">
        <f t="shared" si="15"/>
        <v>8.4930857632959018</v>
      </c>
      <c r="G175" s="197"/>
      <c r="H175" s="216">
        <f t="shared" si="2"/>
        <v>9.3570484479565175E-2</v>
      </c>
      <c r="I175" s="216">
        <f t="shared" si="20"/>
        <v>-0.34722666899515875</v>
      </c>
      <c r="J175" s="216">
        <v>9.5699999999999993E-2</v>
      </c>
      <c r="K175" s="216">
        <f t="shared" si="21"/>
        <v>-0.35311520576167366</v>
      </c>
      <c r="L175" s="216"/>
      <c r="M175" s="216">
        <f t="shared" si="3"/>
        <v>9.5699999999999993E-2</v>
      </c>
      <c r="N175" s="194"/>
      <c r="O175" s="195">
        <f t="shared" si="17"/>
        <v>16986.171526591803</v>
      </c>
      <c r="P175" s="195">
        <f t="shared" si="18"/>
        <v>23084.066269176179</v>
      </c>
      <c r="Q175" s="216"/>
      <c r="R175" s="216"/>
      <c r="S175" s="216"/>
      <c r="T175" s="194"/>
      <c r="U175" s="194"/>
      <c r="V175" s="194"/>
      <c r="W175" s="194"/>
      <c r="X175" s="5"/>
      <c r="Y175" s="5"/>
      <c r="Z175" s="5"/>
      <c r="AA175" s="5"/>
      <c r="AB175" s="5"/>
    </row>
    <row r="176" spans="1:28" ht="12.75" customHeight="1">
      <c r="A176" s="178">
        <v>39934</v>
      </c>
      <c r="B176" s="192">
        <v>48443.040000000001</v>
      </c>
      <c r="C176" s="191"/>
      <c r="D176" s="192">
        <v>51461.06</v>
      </c>
      <c r="E176" s="193">
        <f t="shared" si="16"/>
        <v>5703.8208903239392</v>
      </c>
      <c r="F176" s="184">
        <f t="shared" si="15"/>
        <v>9.0222082687237659</v>
      </c>
      <c r="G176" s="197"/>
      <c r="H176" s="216">
        <f t="shared" si="2"/>
        <v>6.2300384121227591E-2</v>
      </c>
      <c r="I176" s="216">
        <f t="shared" si="20"/>
        <v>-0.32648030911639725</v>
      </c>
      <c r="J176" s="216">
        <v>5.5899999999999998E-2</v>
      </c>
      <c r="K176" s="216">
        <f t="shared" si="21"/>
        <v>-0.32571998594644724</v>
      </c>
      <c r="L176" s="216"/>
      <c r="M176" s="216">
        <f t="shared" si="3"/>
        <v>5.5899999999999998E-2</v>
      </c>
      <c r="N176" s="194"/>
      <c r="O176" s="195">
        <f t="shared" si="17"/>
        <v>18044.416537447531</v>
      </c>
      <c r="P176" s="195">
        <f t="shared" si="18"/>
        <v>24374.465573623129</v>
      </c>
      <c r="Q176" s="216"/>
      <c r="R176" s="216"/>
      <c r="S176" s="216"/>
      <c r="T176" s="194"/>
      <c r="U176" s="194"/>
      <c r="V176" s="194"/>
      <c r="W176" s="194"/>
      <c r="X176" s="5"/>
      <c r="Y176" s="5"/>
      <c r="Z176" s="5"/>
      <c r="AA176" s="5"/>
      <c r="AB176" s="5"/>
    </row>
    <row r="177" spans="1:28" ht="12.75" customHeight="1">
      <c r="A177" s="178">
        <v>39965</v>
      </c>
      <c r="B177" s="192">
        <v>51461.06</v>
      </c>
      <c r="C177" s="191"/>
      <c r="D177" s="200">
        <v>52236.800000000003</v>
      </c>
      <c r="E177" s="193">
        <f t="shared" si="16"/>
        <v>5703.8208903239392</v>
      </c>
      <c r="F177" s="184">
        <f t="shared" si="15"/>
        <v>9.1582118380707609</v>
      </c>
      <c r="G177" s="197"/>
      <c r="H177" s="216">
        <f t="shared" si="2"/>
        <v>1.50743105563704E-2</v>
      </c>
      <c r="I177" s="216">
        <f t="shared" si="20"/>
        <v>-0.27014299590562019</v>
      </c>
      <c r="J177" s="216">
        <v>2E-3</v>
      </c>
      <c r="K177" s="216">
        <f t="shared" si="21"/>
        <v>-0.26217257389793625</v>
      </c>
      <c r="L177" s="216"/>
      <c r="M177" s="216">
        <f t="shared" si="3"/>
        <v>2E-3</v>
      </c>
      <c r="N177" s="194"/>
      <c r="O177" s="195">
        <f t="shared" si="17"/>
        <v>18316.42367614152</v>
      </c>
      <c r="P177" s="195">
        <f t="shared" si="18"/>
        <v>24423.214504770374</v>
      </c>
      <c r="Q177" s="216"/>
      <c r="R177" s="216"/>
      <c r="S177" s="216"/>
      <c r="T177" s="194"/>
      <c r="U177" s="194"/>
      <c r="V177" s="194"/>
      <c r="W177" s="194"/>
      <c r="X177" s="5"/>
      <c r="Y177" s="5"/>
      <c r="Z177" s="5"/>
      <c r="AA177" s="5"/>
      <c r="AB177" s="5"/>
    </row>
    <row r="178" spans="1:28" ht="12.75" customHeight="1">
      <c r="A178" s="178">
        <v>39995</v>
      </c>
      <c r="B178" s="192">
        <v>52236.800000000003</v>
      </c>
      <c r="C178" s="191"/>
      <c r="D178" s="200">
        <v>54135.53</v>
      </c>
      <c r="E178" s="193">
        <f t="shared" si="16"/>
        <v>5703.8208903239392</v>
      </c>
      <c r="F178" s="184">
        <f t="shared" si="15"/>
        <v>9.4910992194436634</v>
      </c>
      <c r="G178" s="197"/>
      <c r="H178" s="216">
        <f t="shared" si="2"/>
        <v>3.6348512925753362E-2</v>
      </c>
      <c r="I178" s="216">
        <f t="shared" si="20"/>
        <v>-0.21984076750718695</v>
      </c>
      <c r="J178" s="216">
        <v>7.5600000000000001E-2</v>
      </c>
      <c r="K178" s="216">
        <f t="shared" si="21"/>
        <v>-0.19967004889534123</v>
      </c>
      <c r="L178" s="216"/>
      <c r="M178" s="216">
        <f t="shared" si="3"/>
        <v>7.5600000000000001E-2</v>
      </c>
      <c r="N178" s="194"/>
      <c r="O178" s="195">
        <f t="shared" si="17"/>
        <v>18982.198438887321</v>
      </c>
      <c r="P178" s="195">
        <f t="shared" si="18"/>
        <v>26269.609521331018</v>
      </c>
      <c r="Q178" s="216"/>
      <c r="R178" s="216"/>
      <c r="S178" s="216"/>
      <c r="T178" s="194"/>
      <c r="U178" s="194"/>
      <c r="V178" s="194"/>
      <c r="W178" s="194"/>
      <c r="X178" s="5"/>
      <c r="Y178" s="5"/>
      <c r="Z178" s="5"/>
      <c r="AA178" s="5"/>
      <c r="AB178" s="5"/>
    </row>
    <row r="179" spans="1:28" ht="12.75" customHeight="1">
      <c r="A179" s="178">
        <v>40026</v>
      </c>
      <c r="B179" s="192">
        <v>54135.53</v>
      </c>
      <c r="C179" s="191"/>
      <c r="D179" s="200">
        <v>53920.9</v>
      </c>
      <c r="E179" s="193">
        <f t="shared" si="16"/>
        <v>5703.8208903239392</v>
      </c>
      <c r="F179" s="184">
        <f t="shared" si="15"/>
        <v>9.4534700574964319</v>
      </c>
      <c r="G179" s="197"/>
      <c r="H179" s="216">
        <f t="shared" si="2"/>
        <v>-3.9646790194905615E-3</v>
      </c>
      <c r="I179" s="216">
        <f t="shared" si="20"/>
        <v>-0.22087967169989475</v>
      </c>
      <c r="J179" s="216">
        <v>3.61E-2</v>
      </c>
      <c r="K179" s="216">
        <f t="shared" si="21"/>
        <v>-0.18263000262243756</v>
      </c>
      <c r="L179" s="216"/>
      <c r="M179" s="216">
        <f t="shared" si="3"/>
        <v>3.61E-2</v>
      </c>
      <c r="N179" s="194"/>
      <c r="O179" s="195">
        <f t="shared" si="17"/>
        <v>18906.940114992856</v>
      </c>
      <c r="P179" s="195">
        <f t="shared" si="18"/>
        <v>27217.942425051067</v>
      </c>
      <c r="Q179" s="216"/>
      <c r="R179" s="216"/>
      <c r="S179" s="216"/>
      <c r="T179" s="194"/>
      <c r="U179" s="194"/>
      <c r="V179" s="194"/>
      <c r="W179" s="194"/>
      <c r="X179" s="5"/>
      <c r="Y179" s="5"/>
      <c r="Z179" s="5"/>
      <c r="AA179" s="5"/>
      <c r="AB179" s="5"/>
    </row>
    <row r="180" spans="1:28" ht="12.75" customHeight="1">
      <c r="A180" s="178">
        <v>40057</v>
      </c>
      <c r="B180" s="192">
        <v>53920.9</v>
      </c>
      <c r="C180" s="191"/>
      <c r="D180" s="200">
        <v>55987.17</v>
      </c>
      <c r="E180" s="193">
        <f t="shared" si="16"/>
        <v>5703.8208903239392</v>
      </c>
      <c r="F180" s="184">
        <f t="shared" si="15"/>
        <v>9.8157307314781939</v>
      </c>
      <c r="G180" s="197"/>
      <c r="H180" s="216">
        <f t="shared" si="2"/>
        <v>3.8320391536491492E-2</v>
      </c>
      <c r="I180" s="216">
        <f t="shared" si="20"/>
        <v>-8.7036154967424895E-2</v>
      </c>
      <c r="J180" s="216">
        <v>3.73E-2</v>
      </c>
      <c r="K180" s="216">
        <f t="shared" si="21"/>
        <v>-6.9208586804538674E-2</v>
      </c>
      <c r="L180" s="216"/>
      <c r="M180" s="216">
        <f t="shared" si="3"/>
        <v>3.73E-2</v>
      </c>
      <c r="N180" s="194"/>
      <c r="O180" s="195">
        <f t="shared" si="17"/>
        <v>19631.46146295638</v>
      </c>
      <c r="P180" s="195">
        <f t="shared" si="18"/>
        <v>28233.171677505474</v>
      </c>
      <c r="Q180" s="216"/>
      <c r="R180" s="216"/>
      <c r="S180" s="216"/>
      <c r="T180" s="194"/>
      <c r="U180" s="194"/>
      <c r="V180" s="194"/>
      <c r="W180" s="194"/>
      <c r="X180" s="5"/>
      <c r="Y180" s="5"/>
      <c r="Z180" s="5"/>
      <c r="AA180" s="5"/>
      <c r="AB180" s="5"/>
    </row>
    <row r="181" spans="1:28" ht="12.75" customHeight="1">
      <c r="A181" s="178">
        <v>40087</v>
      </c>
      <c r="B181" s="200">
        <v>55987.17</v>
      </c>
      <c r="C181" s="191"/>
      <c r="D181" s="200">
        <v>55314</v>
      </c>
      <c r="E181" s="193">
        <f t="shared" si="16"/>
        <v>5703.8208903239392</v>
      </c>
      <c r="F181" s="184">
        <f t="shared" si="15"/>
        <v>9.6977098446123424</v>
      </c>
      <c r="G181" s="197"/>
      <c r="H181" s="216">
        <f t="shared" si="2"/>
        <v>-1.2023647560682235E-2</v>
      </c>
      <c r="I181" s="216">
        <f t="shared" si="20"/>
        <v>9.4685095468794556E-2</v>
      </c>
      <c r="J181" s="216">
        <v>-1.8599999999999998E-2</v>
      </c>
      <c r="K181" s="216">
        <f t="shared" si="21"/>
        <v>9.779917426995044E-2</v>
      </c>
      <c r="L181" s="216"/>
      <c r="M181" s="216">
        <f t="shared" si="3"/>
        <v>-1.8599999999999998E-2</v>
      </c>
      <c r="N181" s="194"/>
      <c r="O181" s="195">
        <f t="shared" si="17"/>
        <v>19395.41968922468</v>
      </c>
      <c r="P181" s="195">
        <f t="shared" si="18"/>
        <v>27708.034684303875</v>
      </c>
      <c r="Q181" s="216"/>
      <c r="R181" s="216"/>
      <c r="S181" s="216"/>
      <c r="T181" s="194"/>
      <c r="U181" s="194"/>
      <c r="V181" s="194"/>
      <c r="W181" s="194"/>
      <c r="X181" s="5"/>
      <c r="Y181" s="5"/>
      <c r="Z181" s="5"/>
      <c r="AA181" s="5"/>
      <c r="AB181" s="5"/>
    </row>
    <row r="182" spans="1:28" ht="12.75" customHeight="1">
      <c r="A182" s="178">
        <v>40118</v>
      </c>
      <c r="B182" s="192">
        <v>55314</v>
      </c>
      <c r="C182" s="192">
        <v>231.35</v>
      </c>
      <c r="D182" s="200">
        <v>57872.78</v>
      </c>
      <c r="E182" s="193">
        <f t="shared" si="16"/>
        <v>5727.6770381884298</v>
      </c>
      <c r="F182" s="184">
        <f t="shared" si="15"/>
        <v>10.104057825562073</v>
      </c>
      <c r="G182" s="197"/>
      <c r="H182" s="216">
        <f t="shared" si="2"/>
        <v>4.1901437294030938E-2</v>
      </c>
      <c r="I182" s="216">
        <f t="shared" si="20"/>
        <v>0.24801231608954155</v>
      </c>
      <c r="J182" s="216">
        <v>0.06</v>
      </c>
      <c r="K182" s="216">
        <f t="shared" si="21"/>
        <v>0.25368145305553491</v>
      </c>
      <c r="L182" s="216"/>
      <c r="M182" s="216">
        <f t="shared" si="3"/>
        <v>0.06</v>
      </c>
      <c r="N182" s="194"/>
      <c r="O182" s="195">
        <f t="shared" si="17"/>
        <v>20208.115651124142</v>
      </c>
      <c r="P182" s="195">
        <f t="shared" si="18"/>
        <v>29370.51676536211</v>
      </c>
      <c r="Q182" s="216"/>
      <c r="R182" s="216"/>
      <c r="S182" s="216"/>
      <c r="T182" s="194"/>
      <c r="U182" s="194"/>
      <c r="V182" s="194"/>
      <c r="W182" s="194"/>
      <c r="X182" s="5"/>
      <c r="Y182" s="5"/>
      <c r="Z182" s="5"/>
      <c r="AA182" s="5"/>
      <c r="AB182" s="5"/>
    </row>
    <row r="183" spans="1:28" ht="12.75" customHeight="1">
      <c r="A183" s="1449">
        <v>40148</v>
      </c>
      <c r="B183" s="1450">
        <v>57872.78</v>
      </c>
      <c r="C183" s="1457">
        <v>870</v>
      </c>
      <c r="D183" s="1457">
        <v>60742.239999999998</v>
      </c>
      <c r="E183" s="1452">
        <f t="shared" si="16"/>
        <v>5813.781058476101</v>
      </c>
      <c r="F183" s="1453">
        <f t="shared" si="15"/>
        <v>10.447975145442037</v>
      </c>
      <c r="G183" s="1454"/>
      <c r="H183" s="1446">
        <f t="shared" si="2"/>
        <v>3.4037544699110238E-2</v>
      </c>
      <c r="I183" s="1446">
        <f t="shared" si="20"/>
        <v>0.25734879431238777</v>
      </c>
      <c r="J183" s="1446">
        <v>1.9300000000000001E-2</v>
      </c>
      <c r="K183" s="1446">
        <f t="shared" si="21"/>
        <v>0.26447407985306426</v>
      </c>
      <c r="L183" s="1446"/>
      <c r="M183" s="1446">
        <f t="shared" si="3"/>
        <v>1.9300000000000001E-2</v>
      </c>
      <c r="N183" s="1455"/>
      <c r="O183" s="1448">
        <f t="shared" si="17"/>
        <v>20895.950290884066</v>
      </c>
      <c r="P183" s="1448">
        <f t="shared" si="18"/>
        <v>29937.367738933601</v>
      </c>
      <c r="Q183" s="1446"/>
      <c r="R183" s="1446"/>
      <c r="S183" s="1446"/>
      <c r="T183" s="1455"/>
      <c r="U183" s="1455"/>
      <c r="V183" s="1455"/>
      <c r="W183" s="1455"/>
      <c r="X183" s="1456"/>
      <c r="Y183" s="1456"/>
      <c r="Z183" s="1456"/>
      <c r="AA183" s="1456"/>
      <c r="AB183" s="1456"/>
    </row>
    <row r="184" spans="1:28" ht="12.75" customHeight="1">
      <c r="A184" s="178">
        <v>40179</v>
      </c>
      <c r="B184" s="192">
        <f>D183</f>
        <v>60742.239999999998</v>
      </c>
      <c r="C184" s="200"/>
      <c r="D184" s="200">
        <v>58620.14</v>
      </c>
      <c r="E184" s="193">
        <f t="shared" si="16"/>
        <v>5813.781058476101</v>
      </c>
      <c r="F184" s="184">
        <f t="shared" si="15"/>
        <v>10.082963119936515</v>
      </c>
      <c r="G184" s="197"/>
      <c r="H184" s="216">
        <f t="shared" si="2"/>
        <v>-3.4936149868690973E-2</v>
      </c>
      <c r="I184" s="216">
        <f t="shared" si="20"/>
        <v>0.26293933450510276</v>
      </c>
      <c r="J184" s="216">
        <v>-3.5999999999999997E-2</v>
      </c>
      <c r="K184" s="216">
        <f t="shared" si="21"/>
        <v>0.33117070326346387</v>
      </c>
      <c r="L184" s="216"/>
      <c r="M184" s="216">
        <f t="shared" si="3"/>
        <v>-3.5999999999999997E-2</v>
      </c>
      <c r="N184" s="194"/>
      <c r="O184" s="195">
        <f t="shared" si="17"/>
        <v>20165.926239873024</v>
      </c>
      <c r="P184" s="195">
        <f t="shared" si="18"/>
        <v>28859.622500331989</v>
      </c>
      <c r="Q184" s="216"/>
      <c r="R184" s="216"/>
      <c r="S184" s="216"/>
      <c r="T184" s="194"/>
      <c r="U184" s="194"/>
      <c r="V184" s="194"/>
      <c r="W184" s="194"/>
      <c r="X184" s="5"/>
      <c r="Y184" s="5"/>
      <c r="Z184" s="5"/>
      <c r="AA184" s="5"/>
      <c r="AB184" s="5"/>
    </row>
    <row r="185" spans="1:28" ht="12.75" customHeight="1">
      <c r="A185" s="178">
        <v>40210</v>
      </c>
      <c r="B185" s="192">
        <f>D184</f>
        <v>58620.14</v>
      </c>
      <c r="C185" s="200"/>
      <c r="D185" s="200">
        <v>60616.45</v>
      </c>
      <c r="E185" s="193">
        <f t="shared" si="16"/>
        <v>5813.781058476101</v>
      </c>
      <c r="F185" s="184">
        <f t="shared" si="15"/>
        <v>10.426338623747329</v>
      </c>
      <c r="G185" s="197"/>
      <c r="H185" s="216">
        <f t="shared" si="2"/>
        <v>3.405501931588692E-2</v>
      </c>
      <c r="I185" s="216">
        <f t="shared" si="20"/>
        <v>0.4096939218317861</v>
      </c>
      <c r="J185" s="216">
        <v>3.1E-2</v>
      </c>
      <c r="K185" s="216">
        <f t="shared" si="21"/>
        <v>0.53602349755414846</v>
      </c>
      <c r="L185" s="216"/>
      <c r="M185" s="216">
        <f t="shared" si="3"/>
        <v>3.1E-2</v>
      </c>
      <c r="N185" s="194"/>
      <c r="O185" s="195">
        <f t="shared" si="17"/>
        <v>20852.677247494648</v>
      </c>
      <c r="P185" s="195">
        <f t="shared" si="18"/>
        <v>29754.270797842277</v>
      </c>
      <c r="Q185" s="216"/>
      <c r="R185" s="216"/>
      <c r="S185" s="216"/>
      <c r="T185" s="194"/>
      <c r="U185" s="194"/>
      <c r="V185" s="194"/>
      <c r="W185" s="194"/>
      <c r="X185" s="5"/>
      <c r="Y185" s="5"/>
      <c r="Z185" s="5"/>
      <c r="AA185" s="5"/>
      <c r="AB185" s="5"/>
    </row>
    <row r="186" spans="1:28" ht="12.75" customHeight="1">
      <c r="A186" s="178">
        <v>40238</v>
      </c>
      <c r="B186" s="192">
        <f>D185</f>
        <v>60616.45</v>
      </c>
      <c r="C186" s="200"/>
      <c r="D186" s="192">
        <v>64012.23</v>
      </c>
      <c r="E186" s="193">
        <f t="shared" si="16"/>
        <v>5813.781058476101</v>
      </c>
      <c r="F186" s="184">
        <f t="shared" si="15"/>
        <v>11.010430106698719</v>
      </c>
      <c r="G186" s="197"/>
      <c r="H186" s="216">
        <f t="shared" si="2"/>
        <v>5.6020766640078844E-2</v>
      </c>
      <c r="I186" s="216">
        <f t="shared" si="20"/>
        <v>0.41770396787307251</v>
      </c>
      <c r="J186" s="216">
        <v>6.0299999999999999E-2</v>
      </c>
      <c r="K186" s="216">
        <f t="shared" si="21"/>
        <v>0.4974675565066784</v>
      </c>
      <c r="L186" s="216"/>
      <c r="M186" s="216">
        <f t="shared" si="3"/>
        <v>6.0299999999999999E-2</v>
      </c>
      <c r="N186" s="194"/>
      <c r="O186" s="195">
        <f t="shared" si="17"/>
        <v>22020.860213397431</v>
      </c>
      <c r="P186" s="195">
        <f t="shared" si="18"/>
        <v>31548.453326952167</v>
      </c>
      <c r="Q186" s="216"/>
      <c r="R186" s="216"/>
      <c r="S186" s="216"/>
      <c r="T186" s="194"/>
      <c r="U186" s="194"/>
      <c r="V186" s="194"/>
      <c r="W186" s="194"/>
      <c r="X186" s="5"/>
      <c r="Y186" s="5"/>
      <c r="Z186" s="5"/>
      <c r="AA186" s="5"/>
      <c r="AB186" s="5"/>
    </row>
    <row r="187" spans="1:28" ht="12.75" customHeight="1">
      <c r="A187" s="178">
        <v>40269</v>
      </c>
      <c r="B187" s="192">
        <f>D186</f>
        <v>64012.23</v>
      </c>
      <c r="C187" s="200"/>
      <c r="D187" s="192">
        <v>66579.429999999993</v>
      </c>
      <c r="E187" s="193">
        <f t="shared" si="16"/>
        <v>5813.781058476101</v>
      </c>
      <c r="F187" s="184">
        <f t="shared" si="15"/>
        <v>11.452001602800586</v>
      </c>
      <c r="G187" s="197"/>
      <c r="H187" s="216">
        <f t="shared" si="2"/>
        <v>4.0104836216454054E-2</v>
      </c>
      <c r="I187" s="216">
        <f t="shared" si="20"/>
        <v>0.34839114097870816</v>
      </c>
      <c r="J187" s="216">
        <v>1.5800000000000002E-2</v>
      </c>
      <c r="K187" s="216">
        <f t="shared" si="21"/>
        <v>0.38827009573741367</v>
      </c>
      <c r="L187" s="216"/>
      <c r="M187" s="216">
        <f t="shared" si="3"/>
        <v>1.5800000000000002E-2</v>
      </c>
      <c r="N187" s="194"/>
      <c r="O187" s="195">
        <f t="shared" si="17"/>
        <v>22904.003205601162</v>
      </c>
      <c r="P187" s="195">
        <f t="shared" si="18"/>
        <v>32046.918889518012</v>
      </c>
      <c r="Q187" s="216"/>
      <c r="R187" s="216"/>
      <c r="S187" s="216"/>
      <c r="T187" s="194"/>
      <c r="U187" s="194"/>
      <c r="V187" s="194"/>
      <c r="W187" s="194"/>
      <c r="X187" s="5"/>
      <c r="Y187" s="5"/>
      <c r="Z187" s="5"/>
      <c r="AA187" s="5"/>
      <c r="AB187" s="5"/>
    </row>
    <row r="188" spans="1:28" ht="12.75" customHeight="1">
      <c r="A188" s="178">
        <v>40299</v>
      </c>
      <c r="B188" s="192">
        <v>66579.429999999993</v>
      </c>
      <c r="C188" s="200"/>
      <c r="D188" s="192">
        <v>61199.21</v>
      </c>
      <c r="E188" s="193">
        <f t="shared" si="16"/>
        <v>5813.781058476101</v>
      </c>
      <c r="F188" s="184">
        <f t="shared" si="15"/>
        <v>10.52657631659102</v>
      </c>
      <c r="G188" s="197"/>
      <c r="H188" s="216">
        <f t="shared" si="2"/>
        <v>-8.0809042672789391E-2</v>
      </c>
      <c r="I188" s="216">
        <f t="shared" si="20"/>
        <v>0.16674055874793647</v>
      </c>
      <c r="J188" s="216">
        <v>-7.9899999999999999E-2</v>
      </c>
      <c r="K188" s="216">
        <f t="shared" si="21"/>
        <v>0.20972375706789848</v>
      </c>
      <c r="L188" s="216"/>
      <c r="M188" s="216">
        <f t="shared" si="3"/>
        <v>-7.9899999999999999E-2</v>
      </c>
      <c r="N188" s="194"/>
      <c r="O188" s="195">
        <f t="shared" si="17"/>
        <v>21053.152633182031</v>
      </c>
      <c r="P188" s="195">
        <f t="shared" si="18"/>
        <v>29486.370070245524</v>
      </c>
      <c r="Q188" s="216"/>
      <c r="R188" s="216"/>
      <c r="S188" s="216"/>
      <c r="T188" s="194"/>
      <c r="U188" s="194"/>
      <c r="V188" s="194"/>
      <c r="W188" s="194"/>
      <c r="X188" s="5"/>
      <c r="Y188" s="5"/>
      <c r="Z188" s="5"/>
      <c r="AA188" s="5"/>
      <c r="AB188" s="5"/>
    </row>
    <row r="189" spans="1:28" ht="12.75" customHeight="1">
      <c r="A189" s="178">
        <v>40330</v>
      </c>
      <c r="B189" s="192">
        <v>61199.21</v>
      </c>
      <c r="C189" s="191"/>
      <c r="D189" s="192">
        <v>58236.65</v>
      </c>
      <c r="E189" s="193">
        <f t="shared" si="16"/>
        <v>5813.781058476101</v>
      </c>
      <c r="F189" s="184">
        <f t="shared" si="15"/>
        <v>10.017000883632329</v>
      </c>
      <c r="G189" s="197"/>
      <c r="H189" s="216">
        <f t="shared" si="2"/>
        <v>-4.8408468017806051E-2</v>
      </c>
      <c r="I189" s="216">
        <f t="shared" si="20"/>
        <v>9.3772568351342622E-2</v>
      </c>
      <c r="J189" s="216">
        <v>-5.2299999999999999E-2</v>
      </c>
      <c r="K189" s="216">
        <f t="shared" si="21"/>
        <v>0.14416687083158441</v>
      </c>
      <c r="L189" s="216"/>
      <c r="M189" s="216">
        <f t="shared" si="3"/>
        <v>-5.2299999999999999E-2</v>
      </c>
      <c r="N189" s="306"/>
      <c r="O189" s="195">
        <f t="shared" si="17"/>
        <v>20034.00176726465</v>
      </c>
      <c r="P189" s="195">
        <f t="shared" si="18"/>
        <v>27944.232915571683</v>
      </c>
      <c r="Q189" s="216"/>
      <c r="R189" s="216"/>
      <c r="S189" s="191"/>
      <c r="T189" s="191"/>
      <c r="U189" s="191"/>
      <c r="V189" s="191"/>
      <c r="W189" s="191"/>
      <c r="X189" s="5"/>
      <c r="Y189" s="5"/>
      <c r="Z189" s="5"/>
      <c r="AA189" s="5"/>
      <c r="AB189" s="5"/>
    </row>
    <row r="190" spans="1:28" ht="12.75" customHeight="1">
      <c r="A190" s="178">
        <v>40360</v>
      </c>
      <c r="B190" s="192">
        <v>58236.65</v>
      </c>
      <c r="C190" s="191"/>
      <c r="D190" s="192">
        <v>61911.31</v>
      </c>
      <c r="E190" s="193">
        <f t="shared" si="16"/>
        <v>5813.781058476101</v>
      </c>
      <c r="F190" s="184">
        <f t="shared" si="15"/>
        <v>10.649061149239097</v>
      </c>
      <c r="G190" s="197"/>
      <c r="H190" s="216">
        <f t="shared" si="2"/>
        <v>6.309875310478881E-2</v>
      </c>
      <c r="I190" s="216">
        <f t="shared" si="20"/>
        <v>0.12200503893407921</v>
      </c>
      <c r="J190" s="216">
        <v>7.0099999999999996E-2</v>
      </c>
      <c r="K190" s="216">
        <f t="shared" si="21"/>
        <v>0.13831625927564017</v>
      </c>
      <c r="L190" s="216"/>
      <c r="M190" s="216">
        <f t="shared" si="3"/>
        <v>7.0099999999999996E-2</v>
      </c>
      <c r="N190" s="306"/>
      <c r="O190" s="195">
        <f t="shared" si="17"/>
        <v>21298.122298478185</v>
      </c>
      <c r="P190" s="195">
        <f t="shared" si="18"/>
        <v>29903.123642953258</v>
      </c>
      <c r="Q190" s="216"/>
      <c r="R190" s="216"/>
      <c r="S190" s="191"/>
      <c r="T190" s="191"/>
      <c r="U190" s="191"/>
      <c r="V190" s="191"/>
      <c r="W190" s="191"/>
      <c r="X190" s="5"/>
      <c r="Y190" s="5"/>
      <c r="Z190" s="5"/>
      <c r="AA190" s="5"/>
      <c r="AB190" s="5"/>
    </row>
    <row r="191" spans="1:28" ht="12.75" customHeight="1">
      <c r="A191" s="178">
        <v>40391</v>
      </c>
      <c r="B191" s="192">
        <v>61911.31</v>
      </c>
      <c r="C191" s="191"/>
      <c r="D191" s="192">
        <v>59781.22</v>
      </c>
      <c r="E191" s="193">
        <f t="shared" si="16"/>
        <v>5813.781058476101</v>
      </c>
      <c r="F191" s="184">
        <f t="shared" si="15"/>
        <v>10.28267480297405</v>
      </c>
      <c r="G191" s="197"/>
      <c r="H191" s="216">
        <f t="shared" si="2"/>
        <v>-3.4405506845195118E-2</v>
      </c>
      <c r="I191" s="216">
        <f t="shared" si="20"/>
        <v>8.7714325050415987E-2</v>
      </c>
      <c r="J191" s="216">
        <v>-4.5100000000000001E-2</v>
      </c>
      <c r="K191" s="216">
        <f t="shared" si="21"/>
        <v>4.9105487870195086E-2</v>
      </c>
      <c r="L191" s="216"/>
      <c r="M191" s="216">
        <f t="shared" si="3"/>
        <v>-4.5100000000000001E-2</v>
      </c>
      <c r="N191" s="306"/>
      <c r="O191" s="195">
        <f t="shared" si="17"/>
        <v>20565.349605948089</v>
      </c>
      <c r="P191" s="195">
        <f t="shared" si="18"/>
        <v>28554.492766656065</v>
      </c>
      <c r="Q191" s="216"/>
      <c r="R191" s="216"/>
      <c r="S191" s="191"/>
      <c r="T191" s="191"/>
      <c r="U191" s="191"/>
      <c r="V191" s="191"/>
      <c r="W191" s="191"/>
      <c r="X191" s="5"/>
      <c r="Y191" s="5"/>
      <c r="Z191" s="5"/>
      <c r="AA191" s="5"/>
      <c r="AB191" s="5"/>
    </row>
    <row r="192" spans="1:28" ht="12.75" customHeight="1">
      <c r="A192" s="178">
        <v>40422</v>
      </c>
      <c r="B192" s="192">
        <v>59781.22</v>
      </c>
      <c r="C192" s="191"/>
      <c r="D192" s="192">
        <v>65649.899999999994</v>
      </c>
      <c r="E192" s="193">
        <f t="shared" si="16"/>
        <v>5813.781058476101</v>
      </c>
      <c r="F192" s="184">
        <f t="shared" si="15"/>
        <v>11.292117700973082</v>
      </c>
      <c r="G192" s="197"/>
      <c r="H192" s="216">
        <f t="shared" si="2"/>
        <v>9.8169291292482683E-2</v>
      </c>
      <c r="I192" s="216">
        <f t="shared" si="20"/>
        <v>0.15041029648055093</v>
      </c>
      <c r="J192" s="216">
        <v>8.9200000000000002E-2</v>
      </c>
      <c r="K192" s="216">
        <f t="shared" si="21"/>
        <v>0.10159616059791388</v>
      </c>
      <c r="L192" s="216"/>
      <c r="M192" s="216">
        <f t="shared" si="3"/>
        <v>8.9200000000000002E-2</v>
      </c>
      <c r="N192" s="306"/>
      <c r="O192" s="195">
        <f t="shared" si="17"/>
        <v>22584.235401946153</v>
      </c>
      <c r="P192" s="195">
        <f t="shared" si="18"/>
        <v>31101.553521441783</v>
      </c>
      <c r="Q192" s="216"/>
      <c r="R192" s="216"/>
      <c r="S192" s="191"/>
      <c r="T192" s="191"/>
      <c r="U192" s="191"/>
      <c r="V192" s="191"/>
      <c r="W192" s="191"/>
      <c r="X192" s="5"/>
      <c r="Y192" s="5"/>
      <c r="Z192" s="5"/>
      <c r="AA192" s="5"/>
      <c r="AB192" s="5"/>
    </row>
    <row r="193" spans="1:28" ht="12.75" customHeight="1">
      <c r="A193" s="178">
        <v>40452</v>
      </c>
      <c r="B193" s="192">
        <v>65649.899999999994</v>
      </c>
      <c r="C193" s="191"/>
      <c r="D193" s="200">
        <v>67878.820000000007</v>
      </c>
      <c r="E193" s="193">
        <f t="shared" si="16"/>
        <v>5813.781058476101</v>
      </c>
      <c r="F193" s="184">
        <f t="shared" si="15"/>
        <v>11.675503311401323</v>
      </c>
      <c r="G193" s="197"/>
      <c r="H193" s="216">
        <f t="shared" si="2"/>
        <v>3.3951613026067209E-2</v>
      </c>
      <c r="I193" s="216">
        <f t="shared" si="20"/>
        <v>0.20394438465157472</v>
      </c>
      <c r="J193" s="216">
        <v>3.7999999999999999E-2</v>
      </c>
      <c r="K193" s="216">
        <f t="shared" si="21"/>
        <v>0.16512819920586352</v>
      </c>
      <c r="L193" s="216"/>
      <c r="M193" s="216">
        <f t="shared" si="3"/>
        <v>3.7999999999999999E-2</v>
      </c>
      <c r="N193" s="306"/>
      <c r="O193" s="195">
        <f t="shared" si="17"/>
        <v>23351.006622802637</v>
      </c>
      <c r="P193" s="195">
        <f t="shared" si="18"/>
        <v>32283.412555256571</v>
      </c>
      <c r="Q193" s="216"/>
      <c r="R193" s="216"/>
      <c r="S193" s="191"/>
      <c r="T193" s="191"/>
      <c r="U193" s="191"/>
      <c r="V193" s="191"/>
      <c r="W193" s="191"/>
      <c r="X193" s="5"/>
      <c r="Y193" s="5"/>
      <c r="Z193" s="5"/>
      <c r="AA193" s="5"/>
      <c r="AB193" s="5"/>
    </row>
    <row r="194" spans="1:28" ht="12.75" customHeight="1">
      <c r="A194" s="178">
        <v>40483</v>
      </c>
      <c r="B194" s="200">
        <v>67878.820000000007</v>
      </c>
      <c r="C194" s="191"/>
      <c r="D194" s="192">
        <v>68190.94</v>
      </c>
      <c r="E194" s="193">
        <f t="shared" si="16"/>
        <v>5813.781058476101</v>
      </c>
      <c r="F194" s="184">
        <f t="shared" si="15"/>
        <v>11.729189543624489</v>
      </c>
      <c r="G194" s="197"/>
      <c r="H194" s="216">
        <f t="shared" si="2"/>
        <v>4.5981942526400919E-3</v>
      </c>
      <c r="I194" s="216">
        <f t="shared" si="20"/>
        <v>0.16083951083009662</v>
      </c>
      <c r="J194" s="216">
        <v>1E-4</v>
      </c>
      <c r="K194" s="216">
        <f t="shared" si="21"/>
        <v>9.9287464175267681E-2</v>
      </c>
      <c r="L194" s="216"/>
      <c r="M194" s="216">
        <f t="shared" si="3"/>
        <v>1E-4</v>
      </c>
      <c r="N194" s="306"/>
      <c r="O194" s="195">
        <f t="shared" si="17"/>
        <v>23458.37908724897</v>
      </c>
      <c r="P194" s="195">
        <f t="shared" si="18"/>
        <v>32286.640896512097</v>
      </c>
      <c r="Q194" s="216"/>
      <c r="R194" s="216"/>
      <c r="S194" s="191"/>
      <c r="T194" s="191"/>
      <c r="U194" s="191"/>
      <c r="V194" s="191"/>
      <c r="W194" s="191"/>
      <c r="X194" s="5"/>
      <c r="Y194" s="5"/>
      <c r="Z194" s="5"/>
      <c r="AA194" s="5"/>
      <c r="AB194" s="5"/>
    </row>
    <row r="195" spans="1:28" ht="12.75" customHeight="1">
      <c r="A195" s="1449">
        <v>40513</v>
      </c>
      <c r="B195" s="1450">
        <v>68190.94</v>
      </c>
      <c r="C195" s="1450">
        <v>715.5</v>
      </c>
      <c r="D195" s="1450">
        <v>72769.09</v>
      </c>
      <c r="E195" s="1452">
        <f t="shared" si="16"/>
        <v>5874.782715695369</v>
      </c>
      <c r="F195" s="1453">
        <f t="shared" si="15"/>
        <v>12.386686201276243</v>
      </c>
      <c r="G195" s="1454"/>
      <c r="H195" s="1446">
        <f t="shared" si="2"/>
        <v>5.6056444071120162E-2</v>
      </c>
      <c r="I195" s="1446">
        <f t="shared" si="20"/>
        <v>0.18555854400935989</v>
      </c>
      <c r="J195" s="1446">
        <v>6.6799999999999998E-2</v>
      </c>
      <c r="K195" s="1446">
        <f t="shared" si="21"/>
        <v>0.15051492865905569</v>
      </c>
      <c r="L195" s="1446"/>
      <c r="M195" s="1446">
        <f t="shared" si="3"/>
        <v>6.6799999999999998E-2</v>
      </c>
      <c r="N195" s="1458"/>
      <c r="O195" s="1448">
        <f t="shared" si="17"/>
        <v>24773.372402552479</v>
      </c>
      <c r="P195" s="1448">
        <f t="shared" si="18"/>
        <v>34443.388508399104</v>
      </c>
      <c r="Q195" s="1446"/>
      <c r="R195" s="1446"/>
      <c r="S195" s="1451"/>
      <c r="T195" s="1451"/>
      <c r="U195" s="1451"/>
      <c r="V195" s="1451"/>
      <c r="W195" s="1451"/>
      <c r="X195" s="1456"/>
      <c r="Y195" s="1456"/>
      <c r="Z195" s="1456"/>
      <c r="AA195" s="1456"/>
      <c r="AB195" s="1456"/>
    </row>
    <row r="196" spans="1:28" ht="12.75" customHeight="1">
      <c r="A196" s="178">
        <v>40544</v>
      </c>
      <c r="B196" s="192">
        <v>72769.09</v>
      </c>
      <c r="C196" s="192"/>
      <c r="D196" s="192">
        <v>73324.36</v>
      </c>
      <c r="E196" s="193">
        <f t="shared" si="16"/>
        <v>5874.782715695369</v>
      </c>
      <c r="F196" s="184">
        <f t="shared" ref="F196:F259" si="22">D196/E196</f>
        <v>12.481203739519234</v>
      </c>
      <c r="G196" s="197"/>
      <c r="H196" s="216">
        <f t="shared" si="2"/>
        <v>7.630575014748721E-3</v>
      </c>
      <c r="I196" s="216">
        <f t="shared" si="20"/>
        <v>0.23785077769855212</v>
      </c>
      <c r="J196" s="216">
        <v>2.3699999999999999E-2</v>
      </c>
      <c r="K196" s="216">
        <f t="shared" si="21"/>
        <v>0.2217656975811988</v>
      </c>
      <c r="L196" s="216"/>
      <c r="M196" s="1459">
        <f t="shared" si="3"/>
        <v>2.3699999999999999E-2</v>
      </c>
      <c r="N196" s="306"/>
      <c r="O196" s="195">
        <f t="shared" si="17"/>
        <v>24962.407479038462</v>
      </c>
      <c r="P196" s="195">
        <f t="shared" si="18"/>
        <v>35259.696816048163</v>
      </c>
      <c r="Q196" s="1459"/>
      <c r="R196" s="1459"/>
      <c r="S196" s="191"/>
      <c r="T196" s="191"/>
      <c r="U196" s="191"/>
      <c r="V196" s="191"/>
      <c r="W196" s="191"/>
      <c r="X196" s="5"/>
      <c r="Y196" s="5"/>
      <c r="Z196" s="5"/>
      <c r="AA196" s="5"/>
      <c r="AB196" s="5"/>
    </row>
    <row r="197" spans="1:28" ht="12.75" customHeight="1">
      <c r="A197" s="178">
        <v>40575</v>
      </c>
      <c r="B197" s="192">
        <v>73324.36</v>
      </c>
      <c r="C197" s="192"/>
      <c r="D197" s="192">
        <v>74117.87</v>
      </c>
      <c r="E197" s="189">
        <f t="shared" ref="E197:E260" si="23">E196+C197/F196</f>
        <v>5874.782715695369</v>
      </c>
      <c r="F197" s="183">
        <f t="shared" si="22"/>
        <v>12.61627426695849</v>
      </c>
      <c r="G197" s="197"/>
      <c r="H197" s="216">
        <f t="shared" si="2"/>
        <v>1.0821915117977109E-2</v>
      </c>
      <c r="I197" s="216">
        <f t="shared" si="20"/>
        <v>0.21003879906828526</v>
      </c>
      <c r="J197" s="216">
        <v>3.4299999999999997E-2</v>
      </c>
      <c r="K197" s="216">
        <f t="shared" si="21"/>
        <v>0.22567629583727844</v>
      </c>
      <c r="L197" s="216"/>
      <c r="M197" s="1459">
        <f t="shared" si="3"/>
        <v>3.4299999999999997E-2</v>
      </c>
      <c r="N197" s="306"/>
      <c r="O197" s="195">
        <f t="shared" si="17"/>
        <v>25232.548533916975</v>
      </c>
      <c r="P197" s="195">
        <f t="shared" si="18"/>
        <v>36469.104416838614</v>
      </c>
      <c r="Q197" s="1459"/>
      <c r="R197" s="1459"/>
      <c r="S197" s="191"/>
      <c r="T197" s="191"/>
      <c r="U197" s="191"/>
      <c r="V197" s="191"/>
      <c r="W197" s="191"/>
      <c r="X197" s="5"/>
      <c r="Y197" s="5"/>
      <c r="Z197" s="5"/>
      <c r="AA197" s="5"/>
      <c r="AB197" s="5"/>
    </row>
    <row r="198" spans="1:28" ht="12.75" customHeight="1">
      <c r="A198" s="178">
        <v>40603</v>
      </c>
      <c r="B198" s="192">
        <v>74117.87</v>
      </c>
      <c r="C198" s="192"/>
      <c r="D198" s="192">
        <v>72915.679999999993</v>
      </c>
      <c r="E198" s="189">
        <f t="shared" si="23"/>
        <v>5874.782715695369</v>
      </c>
      <c r="F198" s="183">
        <f t="shared" si="22"/>
        <v>12.411638613491993</v>
      </c>
      <c r="G198" s="197"/>
      <c r="H198" s="216">
        <f t="shared" si="2"/>
        <v>-1.6219975020868804E-2</v>
      </c>
      <c r="I198" s="216">
        <f t="shared" si="20"/>
        <v>0.12726192285084159</v>
      </c>
      <c r="J198" s="216">
        <v>4.0000000000000002E-4</v>
      </c>
      <c r="K198" s="216">
        <f t="shared" si="21"/>
        <v>0.15643361912252507</v>
      </c>
      <c r="L198" s="216"/>
      <c r="M198" s="1459">
        <f t="shared" si="3"/>
        <v>4.0000000000000002E-4</v>
      </c>
      <c r="N198" s="306"/>
      <c r="O198" s="195">
        <f t="shared" ref="O198:O261" si="24">O197*(1+H198)</f>
        <v>24823.277226983981</v>
      </c>
      <c r="P198" s="195">
        <f t="shared" ref="P198:P261" si="25">P197*(1+M198)</f>
        <v>36483.692058605346</v>
      </c>
      <c r="Q198" s="1459"/>
      <c r="R198" s="1459"/>
      <c r="S198" s="191"/>
      <c r="T198" s="191"/>
      <c r="U198" s="191"/>
      <c r="V198" s="191"/>
      <c r="W198" s="191"/>
      <c r="X198" s="5"/>
      <c r="Y198" s="5"/>
      <c r="Z198" s="5"/>
      <c r="AA198" s="5"/>
      <c r="AB198" s="5"/>
    </row>
    <row r="199" spans="1:28" ht="12.75" customHeight="1">
      <c r="A199" s="178">
        <v>40634</v>
      </c>
      <c r="B199" s="192">
        <v>72915.679999999993</v>
      </c>
      <c r="C199" s="192"/>
      <c r="D199" s="192">
        <v>74963.740000000005</v>
      </c>
      <c r="E199" s="189">
        <f t="shared" si="23"/>
        <v>5874.782715695369</v>
      </c>
      <c r="F199" s="183">
        <f t="shared" si="22"/>
        <v>12.760257464454481</v>
      </c>
      <c r="G199" s="197"/>
      <c r="H199" s="216">
        <f t="shared" si="2"/>
        <v>2.808806007157864E-2</v>
      </c>
      <c r="I199" s="216">
        <f t="shared" si="20"/>
        <v>0.11423818359700211</v>
      </c>
      <c r="J199" s="216">
        <v>2.9600000000000001E-2</v>
      </c>
      <c r="K199" s="216">
        <f t="shared" si="21"/>
        <v>0.17214417626358691</v>
      </c>
      <c r="L199" s="216"/>
      <c r="M199" s="1459">
        <f t="shared" si="3"/>
        <v>2.9600000000000001E-2</v>
      </c>
      <c r="N199" s="306"/>
      <c r="O199" s="195">
        <f t="shared" si="24"/>
        <v>25520.514928908957</v>
      </c>
      <c r="P199" s="195">
        <f t="shared" si="25"/>
        <v>37563.609343540069</v>
      </c>
      <c r="Q199" s="1459"/>
      <c r="R199" s="1459"/>
      <c r="S199" s="191"/>
      <c r="T199" s="191"/>
      <c r="U199" s="191"/>
      <c r="V199" s="191"/>
      <c r="W199" s="191"/>
      <c r="X199" s="5"/>
      <c r="Y199" s="5"/>
      <c r="Z199" s="5"/>
      <c r="AA199" s="5"/>
      <c r="AB199" s="5"/>
    </row>
    <row r="200" spans="1:28" ht="12.75" customHeight="1">
      <c r="A200" s="178">
        <v>40664</v>
      </c>
      <c r="B200" s="192">
        <v>74963.740000000005</v>
      </c>
      <c r="C200" s="192">
        <v>245.4</v>
      </c>
      <c r="D200" s="192">
        <v>73700.479999999996</v>
      </c>
      <c r="E200" s="189">
        <f t="shared" si="23"/>
        <v>5894.0143025723264</v>
      </c>
      <c r="F200" s="183">
        <f t="shared" si="22"/>
        <v>12.504292697056211</v>
      </c>
      <c r="G200" s="197"/>
      <c r="H200" s="216">
        <f t="shared" si="2"/>
        <v>-2.0059529998614548E-2</v>
      </c>
      <c r="I200" s="216">
        <f t="shared" si="20"/>
        <v>0.18787840613933526</v>
      </c>
      <c r="J200" s="216">
        <v>-1.1299999999999999E-2</v>
      </c>
      <c r="K200" s="216">
        <f t="shared" si="21"/>
        <v>0.25953586248430383</v>
      </c>
      <c r="L200" s="216"/>
      <c r="M200" s="1459">
        <f t="shared" si="3"/>
        <v>-1.1299999999999999E-2</v>
      </c>
      <c r="N200" s="306"/>
      <c r="O200" s="195">
        <f t="shared" si="24"/>
        <v>25008.585394112415</v>
      </c>
      <c r="P200" s="195">
        <f t="shared" si="25"/>
        <v>37139.140557958068</v>
      </c>
      <c r="Q200" s="1459"/>
      <c r="R200" s="1459"/>
      <c r="S200" s="191"/>
      <c r="T200" s="191"/>
      <c r="U200" s="191"/>
      <c r="V200" s="191"/>
      <c r="W200" s="191"/>
      <c r="X200" s="5"/>
      <c r="Y200" s="5"/>
      <c r="Z200" s="5"/>
      <c r="AA200" s="5"/>
      <c r="AB200" s="5"/>
    </row>
    <row r="201" spans="1:28" ht="12.75" customHeight="1">
      <c r="A201" s="178">
        <v>40695</v>
      </c>
      <c r="B201" s="192">
        <v>73700.479999999996</v>
      </c>
      <c r="C201" s="192"/>
      <c r="D201" s="192">
        <v>71664.460000000006</v>
      </c>
      <c r="E201" s="193">
        <f t="shared" si="23"/>
        <v>5894.0143025723264</v>
      </c>
      <c r="F201" s="184">
        <f t="shared" si="22"/>
        <v>12.158854105380007</v>
      </c>
      <c r="G201" s="197"/>
      <c r="H201" s="216">
        <f t="shared" si="2"/>
        <v>-2.7625600267460831E-2</v>
      </c>
      <c r="I201" s="216">
        <f t="shared" si="20"/>
        <v>0.21382180621022462</v>
      </c>
      <c r="J201" s="216">
        <v>-1.67E-2</v>
      </c>
      <c r="K201" s="216">
        <f t="shared" si="21"/>
        <v>0.30684986132828573</v>
      </c>
      <c r="L201" s="216"/>
      <c r="M201" s="1459">
        <f t="shared" si="3"/>
        <v>-1.67E-2</v>
      </c>
      <c r="N201" s="306"/>
      <c r="O201" s="195">
        <f t="shared" si="24"/>
        <v>24317.708210760007</v>
      </c>
      <c r="P201" s="195">
        <f t="shared" si="25"/>
        <v>36518.916910640168</v>
      </c>
      <c r="Q201" s="1459"/>
      <c r="R201" s="1459"/>
      <c r="S201" s="191"/>
      <c r="T201" s="191"/>
      <c r="U201" s="191"/>
      <c r="V201" s="191"/>
      <c r="W201" s="191"/>
      <c r="X201" s="5"/>
      <c r="Y201" s="5"/>
      <c r="Z201" s="5"/>
      <c r="AA201" s="5"/>
      <c r="AB201" s="5"/>
    </row>
    <row r="202" spans="1:28" ht="12.75" customHeight="1">
      <c r="A202" s="178">
        <v>40725</v>
      </c>
      <c r="B202" s="192">
        <f>D201</f>
        <v>71664.460000000006</v>
      </c>
      <c r="C202" s="192"/>
      <c r="D202" s="192">
        <v>71233.39</v>
      </c>
      <c r="E202" s="193">
        <f t="shared" si="23"/>
        <v>5894.0143025723264</v>
      </c>
      <c r="F202" s="184">
        <f t="shared" si="22"/>
        <v>12.085717194291773</v>
      </c>
      <c r="G202" s="197"/>
      <c r="H202" s="216">
        <f t="shared" si="2"/>
        <v>-6.0151154421593644E-3</v>
      </c>
      <c r="I202" s="216">
        <f t="shared" si="20"/>
        <v>0.13490917414398829</v>
      </c>
      <c r="J202" s="216">
        <v>-2.0299999999999999E-2</v>
      </c>
      <c r="K202" s="216">
        <f t="shared" si="21"/>
        <v>0.19644968614458613</v>
      </c>
      <c r="L202" s="216"/>
      <c r="M202" s="1459">
        <f t="shared" si="3"/>
        <v>-2.0299999999999999E-2</v>
      </c>
      <c r="N202" s="306"/>
      <c r="O202" s="195">
        <f t="shared" si="24"/>
        <v>24171.434388583537</v>
      </c>
      <c r="P202" s="195">
        <f t="shared" si="25"/>
        <v>35777.582897354172</v>
      </c>
      <c r="Q202" s="1459"/>
      <c r="R202" s="1459"/>
      <c r="S202" s="191"/>
      <c r="T202" s="191"/>
      <c r="U202" s="191"/>
      <c r="V202" s="191"/>
      <c r="W202" s="191"/>
      <c r="X202" s="5"/>
      <c r="Y202" s="5"/>
      <c r="Z202" s="5"/>
      <c r="AA202" s="5"/>
      <c r="AB202" s="5"/>
    </row>
    <row r="203" spans="1:28" ht="12.75" customHeight="1">
      <c r="A203" s="178">
        <v>40756</v>
      </c>
      <c r="B203" s="192">
        <f>D202</f>
        <v>71233.39</v>
      </c>
      <c r="C203" s="192">
        <v>9500</v>
      </c>
      <c r="D203" s="192">
        <v>77909.440000000002</v>
      </c>
      <c r="E203" s="193">
        <f t="shared" si="23"/>
        <v>6680.0661228554418</v>
      </c>
      <c r="F203" s="184">
        <f t="shared" si="22"/>
        <v>11.662974372878971</v>
      </c>
      <c r="G203" s="197"/>
      <c r="H203" s="216">
        <f t="shared" si="2"/>
        <v>-3.4978712029805611E-2</v>
      </c>
      <c r="I203" s="216">
        <f t="shared" si="20"/>
        <v>0.1342354588035497</v>
      </c>
      <c r="J203" s="216">
        <v>-5.4300000000000001E-2</v>
      </c>
      <c r="K203" s="216">
        <f t="shared" si="21"/>
        <v>0.18492247165874409</v>
      </c>
      <c r="L203" s="216"/>
      <c r="M203" s="1459">
        <f t="shared" si="3"/>
        <v>-5.4300000000000001E-2</v>
      </c>
      <c r="N203" s="306"/>
      <c r="O203" s="195">
        <f t="shared" si="24"/>
        <v>23325.948745757934</v>
      </c>
      <c r="P203" s="195">
        <f t="shared" si="25"/>
        <v>33834.860146027837</v>
      </c>
      <c r="Q203" s="1459"/>
      <c r="R203" s="1459"/>
      <c r="S203" s="191"/>
      <c r="T203" s="191"/>
      <c r="U203" s="191"/>
      <c r="V203" s="191"/>
      <c r="W203" s="191"/>
      <c r="X203" s="5"/>
      <c r="Y203" s="5"/>
      <c r="Z203" s="5"/>
      <c r="AA203" s="5"/>
      <c r="AB203" s="5"/>
    </row>
    <row r="204" spans="1:28" ht="12.75" customHeight="1">
      <c r="A204" s="178">
        <v>40787</v>
      </c>
      <c r="B204" s="192">
        <v>77909.440000000002</v>
      </c>
      <c r="C204" s="192"/>
      <c r="D204" s="192">
        <v>73739.45</v>
      </c>
      <c r="E204" s="193">
        <f t="shared" si="23"/>
        <v>6680.0661228554418</v>
      </c>
      <c r="F204" s="184">
        <f t="shared" si="22"/>
        <v>11.03873055203824</v>
      </c>
      <c r="G204" s="197"/>
      <c r="H204" s="216">
        <f t="shared" si="2"/>
        <v>-5.3523552473230519E-2</v>
      </c>
      <c r="I204" s="216">
        <f t="shared" si="20"/>
        <v>-2.2439293996466381E-2</v>
      </c>
      <c r="J204" s="216">
        <v>-7.0300000000000001E-2</v>
      </c>
      <c r="K204" s="216">
        <f t="shared" si="21"/>
        <v>1.1405088047314438E-2</v>
      </c>
      <c r="L204" s="216"/>
      <c r="M204" s="1459">
        <f t="shared" si="3"/>
        <v>-7.0300000000000001E-2</v>
      </c>
      <c r="N204" s="306"/>
      <c r="O204" s="195">
        <f t="shared" si="24"/>
        <v>22077.461104076476</v>
      </c>
      <c r="P204" s="195">
        <f t="shared" si="25"/>
        <v>31456.269477762078</v>
      </c>
      <c r="Q204" s="1459"/>
      <c r="R204" s="1459"/>
      <c r="S204" s="191"/>
      <c r="T204" s="191"/>
      <c r="U204" s="191"/>
      <c r="V204" s="191"/>
      <c r="W204" s="191"/>
      <c r="X204" s="5"/>
      <c r="Y204" s="5"/>
      <c r="Z204" s="5"/>
      <c r="AA204" s="5"/>
      <c r="AB204" s="5"/>
    </row>
    <row r="205" spans="1:28" ht="12.75" customHeight="1">
      <c r="A205" s="178">
        <v>40817</v>
      </c>
      <c r="B205" s="192">
        <v>73739.45</v>
      </c>
      <c r="C205" s="192"/>
      <c r="D205" s="192">
        <v>79459.56</v>
      </c>
      <c r="E205" s="193">
        <f t="shared" si="23"/>
        <v>6680.0661228554418</v>
      </c>
      <c r="F205" s="184">
        <f t="shared" si="22"/>
        <v>11.895025968101413</v>
      </c>
      <c r="G205" s="197"/>
      <c r="H205" s="216">
        <f t="shared" si="2"/>
        <v>7.7571910286827542E-2</v>
      </c>
      <c r="I205" s="216">
        <f t="shared" si="20"/>
        <v>1.8801986590653019E-2</v>
      </c>
      <c r="J205" s="216">
        <v>0.10929999999999999</v>
      </c>
      <c r="K205" s="216">
        <f t="shared" si="21"/>
        <v>8.0878289181970597E-2</v>
      </c>
      <c r="L205" s="216"/>
      <c r="M205" s="1459">
        <f t="shared" si="3"/>
        <v>0.10929999999999999</v>
      </c>
      <c r="N205" s="306"/>
      <c r="O205" s="195">
        <f t="shared" si="24"/>
        <v>23790.051936202821</v>
      </c>
      <c r="P205" s="195">
        <f t="shared" si="25"/>
        <v>34894.439731681472</v>
      </c>
      <c r="Q205" s="1459"/>
      <c r="R205" s="1459"/>
      <c r="S205" s="191"/>
      <c r="T205" s="191"/>
      <c r="U205" s="191"/>
      <c r="V205" s="191"/>
      <c r="W205" s="191"/>
      <c r="X205" s="5"/>
      <c r="Y205" s="5"/>
      <c r="Z205" s="5"/>
      <c r="AA205" s="5"/>
      <c r="AB205" s="5"/>
    </row>
    <row r="206" spans="1:28" ht="12.75" customHeight="1">
      <c r="A206" s="178">
        <v>40848</v>
      </c>
      <c r="B206" s="192">
        <v>79459.56</v>
      </c>
      <c r="C206" s="181"/>
      <c r="D206" s="192">
        <v>77684.740000000005</v>
      </c>
      <c r="E206" s="193">
        <f t="shared" si="23"/>
        <v>6680.0661228554418</v>
      </c>
      <c r="F206" s="184">
        <f t="shared" si="22"/>
        <v>11.629336981292202</v>
      </c>
      <c r="G206" s="197"/>
      <c r="H206" s="216">
        <f t="shared" si="2"/>
        <v>-2.2336141805970204E-2</v>
      </c>
      <c r="I206" s="216">
        <f t="shared" si="20"/>
        <v>-8.5131681060235387E-3</v>
      </c>
      <c r="J206" s="216">
        <v>-2.2000000000000001E-3</v>
      </c>
      <c r="K206" s="216">
        <f t="shared" si="21"/>
        <v>7.8392517694001018E-2</v>
      </c>
      <c r="L206" s="216"/>
      <c r="M206" s="1459">
        <f t="shared" si="3"/>
        <v>-2.2000000000000001E-3</v>
      </c>
      <c r="N206" s="306"/>
      <c r="O206" s="195">
        <f t="shared" si="24"/>
        <v>23258.673962584398</v>
      </c>
      <c r="P206" s="195">
        <f t="shared" si="25"/>
        <v>34817.671964271773</v>
      </c>
      <c r="Q206" s="1459"/>
      <c r="R206" s="1459"/>
      <c r="S206" s="191"/>
      <c r="T206" s="191"/>
      <c r="U206" s="191"/>
      <c r="V206" s="191"/>
      <c r="W206" s="191"/>
      <c r="X206" s="5"/>
      <c r="Y206" s="5"/>
      <c r="Z206" s="5"/>
      <c r="AA206" s="5"/>
      <c r="AB206" s="5"/>
    </row>
    <row r="207" spans="1:28" ht="12.75" customHeight="1">
      <c r="A207" s="1449">
        <v>40878</v>
      </c>
      <c r="B207" s="1450">
        <v>77684.740000000005</v>
      </c>
      <c r="C207" s="1460"/>
      <c r="D207" s="201">
        <v>78764.09</v>
      </c>
      <c r="E207" s="202">
        <f t="shared" si="23"/>
        <v>6680.0661228554418</v>
      </c>
      <c r="F207" s="1453">
        <f t="shared" si="22"/>
        <v>11.790914723211111</v>
      </c>
      <c r="G207" s="1454"/>
      <c r="H207" s="1446">
        <f t="shared" si="2"/>
        <v>1.3893977118285888E-2</v>
      </c>
      <c r="I207" s="1446">
        <f t="shared" ref="I207:I270" si="26">((1+H196)*(1+H197)*(1+H198)*(1+H199)*(1+H200)*(1+H201)*(1+H202)*(1+H203)*(1+H204)*(1+H205)*(1+H206)*(1+H207))-1</f>
        <v>-4.809772915727395E-2</v>
      </c>
      <c r="J207" s="1446">
        <v>1.0200000000000001E-2</v>
      </c>
      <c r="K207" s="1446">
        <f t="shared" ref="K207:K270" si="27">((1+J196)*(1+J197)*(1+J198)*(1+J199)*(1+J200)*(1+J201)*(1+J202)*(1+J203)*(1+J204)*(1+J205)*(1+J206)*(1+J207))-1</f>
        <v>2.1177466605249329E-2</v>
      </c>
      <c r="L207" s="1446"/>
      <c r="M207" s="1446">
        <f t="shared" si="3"/>
        <v>1.0200000000000001E-2</v>
      </c>
      <c r="N207" s="1458"/>
      <c r="O207" s="1448">
        <f t="shared" si="24"/>
        <v>23581.82944642222</v>
      </c>
      <c r="P207" s="1448">
        <f t="shared" si="25"/>
        <v>35172.812218307343</v>
      </c>
      <c r="Q207" s="1446"/>
      <c r="R207" s="1446"/>
      <c r="S207" s="1451"/>
      <c r="T207" s="1451"/>
      <c r="U207" s="1451"/>
      <c r="V207" s="1451"/>
      <c r="W207" s="1451"/>
      <c r="X207" s="1456"/>
      <c r="Y207" s="1456"/>
      <c r="Z207" s="1456"/>
      <c r="AA207" s="1456"/>
      <c r="AB207" s="1456"/>
    </row>
    <row r="208" spans="1:28" ht="12.75" customHeight="1">
      <c r="A208" s="178">
        <v>40909</v>
      </c>
      <c r="B208" s="192">
        <v>78764.09</v>
      </c>
      <c r="C208" s="179"/>
      <c r="D208" s="203">
        <v>83725.22</v>
      </c>
      <c r="E208" s="189">
        <f t="shared" si="23"/>
        <v>6680.0661228554418</v>
      </c>
      <c r="F208" s="184">
        <f t="shared" si="22"/>
        <v>12.5335915034642</v>
      </c>
      <c r="G208" s="197"/>
      <c r="H208" s="216">
        <f t="shared" si="2"/>
        <v>6.2987206479501137E-2</v>
      </c>
      <c r="I208" s="216">
        <f t="shared" si="26"/>
        <v>4.1973326482196427E-3</v>
      </c>
      <c r="J208" s="216">
        <v>4.48E-2</v>
      </c>
      <c r="K208" s="216">
        <f t="shared" si="27"/>
        <v>4.2225473389825297E-2</v>
      </c>
      <c r="L208" s="216">
        <v>8.7999999999999998E-5</v>
      </c>
      <c r="M208" s="216">
        <f t="shared" ref="M208:M282" si="28">(J208*0.8)+(L208*0.2)</f>
        <v>3.5857600000000003E-2</v>
      </c>
      <c r="N208" s="306"/>
      <c r="O208" s="793">
        <f t="shared" si="24"/>
        <v>25067.183006928397</v>
      </c>
      <c r="P208" s="195">
        <f t="shared" si="25"/>
        <v>36434.024849706519</v>
      </c>
      <c r="Q208" s="1459"/>
      <c r="R208" s="1459"/>
      <c r="S208" s="191"/>
      <c r="T208" s="191"/>
      <c r="U208" s="191"/>
      <c r="V208" s="191"/>
      <c r="W208" s="191"/>
      <c r="X208" s="5"/>
      <c r="Y208" s="5"/>
      <c r="Z208" s="5"/>
      <c r="AA208" s="5"/>
      <c r="AB208" s="5"/>
    </row>
    <row r="209" spans="1:28" ht="12.75" customHeight="1">
      <c r="A209" s="178">
        <v>40940</v>
      </c>
      <c r="B209" s="1461">
        <v>83725.22</v>
      </c>
      <c r="C209" s="179"/>
      <c r="D209" s="203">
        <v>86599.3</v>
      </c>
      <c r="E209" s="189">
        <f t="shared" si="23"/>
        <v>6680.0661228554418</v>
      </c>
      <c r="F209" s="184">
        <f t="shared" si="22"/>
        <v>12.963838741611514</v>
      </c>
      <c r="G209" s="197"/>
      <c r="H209" s="216">
        <f t="shared" si="2"/>
        <v>3.4327529984394131E-2</v>
      </c>
      <c r="I209" s="216">
        <f t="shared" si="26"/>
        <v>2.7548899722581677E-2</v>
      </c>
      <c r="J209" s="216">
        <v>4.3200000000000002E-2</v>
      </c>
      <c r="K209" s="216">
        <f t="shared" si="27"/>
        <v>5.1193670927454082E-2</v>
      </c>
      <c r="L209" s="216">
        <v>-2.0000000000000001E-4</v>
      </c>
      <c r="M209" s="216">
        <f t="shared" si="28"/>
        <v>3.4520000000000002E-2</v>
      </c>
      <c r="N209" s="306"/>
      <c r="O209" s="793">
        <f t="shared" si="24"/>
        <v>25927.677483223026</v>
      </c>
      <c r="P209" s="195">
        <f t="shared" si="25"/>
        <v>37691.727387518389</v>
      </c>
      <c r="Q209" s="1459"/>
      <c r="R209" s="1459"/>
      <c r="S209" s="191"/>
      <c r="T209" s="191"/>
      <c r="U209" s="191"/>
      <c r="V209" s="191"/>
      <c r="W209" s="191"/>
      <c r="X209" s="5"/>
      <c r="Y209" s="5"/>
      <c r="Z209" s="5"/>
      <c r="AA209" s="5"/>
      <c r="AB209" s="5"/>
    </row>
    <row r="210" spans="1:28" ht="12.75" customHeight="1">
      <c r="A210" s="178">
        <v>40969</v>
      </c>
      <c r="B210" s="1461">
        <v>86599.3</v>
      </c>
      <c r="C210" s="179"/>
      <c r="D210" s="203">
        <v>89267.72</v>
      </c>
      <c r="E210" s="189">
        <f t="shared" si="23"/>
        <v>6680.0661228554418</v>
      </c>
      <c r="F210" s="184">
        <f t="shared" si="22"/>
        <v>13.363298859359476</v>
      </c>
      <c r="G210" s="197"/>
      <c r="H210" s="216">
        <f t="shared" si="2"/>
        <v>3.0813413041444984E-2</v>
      </c>
      <c r="I210" s="216">
        <f t="shared" si="26"/>
        <v>7.6674827192679595E-2</v>
      </c>
      <c r="J210" s="216">
        <v>3.2899999999999999E-2</v>
      </c>
      <c r="K210" s="216">
        <f t="shared" si="27"/>
        <v>8.5343805178895948E-2</v>
      </c>
      <c r="L210" s="216">
        <v>-5.4999999999999997E-3</v>
      </c>
      <c r="M210" s="216">
        <f t="shared" si="28"/>
        <v>2.5219999999999999E-2</v>
      </c>
      <c r="N210" s="306"/>
      <c r="O210" s="793">
        <f t="shared" si="24"/>
        <v>26726.597718718949</v>
      </c>
      <c r="P210" s="195">
        <f t="shared" si="25"/>
        <v>38642.312752231606</v>
      </c>
      <c r="Q210" s="1459"/>
      <c r="R210" s="1459"/>
      <c r="S210" s="191"/>
      <c r="T210" s="191"/>
      <c r="U210" s="191"/>
      <c r="V210" s="191"/>
      <c r="W210" s="191"/>
      <c r="X210" s="5"/>
      <c r="Y210" s="5"/>
      <c r="Z210" s="5"/>
      <c r="AA210" s="5"/>
      <c r="AB210" s="5"/>
    </row>
    <row r="211" spans="1:28" ht="12.75" customHeight="1">
      <c r="A211" s="178">
        <v>41000</v>
      </c>
      <c r="B211" s="1461">
        <v>89267.72</v>
      </c>
      <c r="C211" s="179"/>
      <c r="D211" s="203">
        <v>88791.21</v>
      </c>
      <c r="E211" s="189">
        <f t="shared" si="23"/>
        <v>6680.0661228554418</v>
      </c>
      <c r="F211" s="184">
        <f t="shared" si="22"/>
        <v>13.291965733124446</v>
      </c>
      <c r="G211" s="197"/>
      <c r="H211" s="216">
        <f t="shared" si="2"/>
        <v>-5.3379877967085765E-3</v>
      </c>
      <c r="I211" s="216">
        <f t="shared" si="26"/>
        <v>4.1669086235220032E-2</v>
      </c>
      <c r="J211" s="216">
        <v>-6.3E-3</v>
      </c>
      <c r="K211" s="216">
        <f t="shared" si="27"/>
        <v>4.750013520422347E-2</v>
      </c>
      <c r="L211" s="216">
        <v>1.11E-2</v>
      </c>
      <c r="M211" s="216">
        <f t="shared" si="28"/>
        <v>-2.82E-3</v>
      </c>
      <c r="N211" s="306"/>
      <c r="O211" s="793">
        <f t="shared" si="24"/>
        <v>26583.931466248887</v>
      </c>
      <c r="P211" s="195">
        <f t="shared" si="25"/>
        <v>38533.34143027031</v>
      </c>
      <c r="Q211" s="1459"/>
      <c r="R211" s="1459"/>
      <c r="S211" s="191"/>
      <c r="T211" s="191"/>
      <c r="U211" s="191"/>
      <c r="V211" s="191"/>
      <c r="W211" s="191"/>
      <c r="X211" s="5"/>
      <c r="Y211" s="5"/>
      <c r="Z211" s="5"/>
      <c r="AA211" s="5"/>
      <c r="AB211" s="5"/>
    </row>
    <row r="212" spans="1:28" ht="12.75" customHeight="1">
      <c r="A212" s="178">
        <v>41030</v>
      </c>
      <c r="B212" s="1461">
        <v>88791.21</v>
      </c>
      <c r="C212" s="179"/>
      <c r="D212" s="203">
        <v>83263.31</v>
      </c>
      <c r="E212" s="189">
        <f t="shared" si="23"/>
        <v>6680.0661228554418</v>
      </c>
      <c r="F212" s="184">
        <f t="shared" si="22"/>
        <v>12.464443984337164</v>
      </c>
      <c r="G212" s="197"/>
      <c r="H212" s="216">
        <f t="shared" si="2"/>
        <v>-6.2257288756398438E-2</v>
      </c>
      <c r="I212" s="216">
        <f t="shared" si="26"/>
        <v>-3.1868026192657384E-3</v>
      </c>
      <c r="J212" s="216">
        <v>-6.0100000000000001E-2</v>
      </c>
      <c r="K212" s="216">
        <f t="shared" si="27"/>
        <v>-4.2021067275717083E-3</v>
      </c>
      <c r="L212" s="216">
        <v>8.9999999999999993E-3</v>
      </c>
      <c r="M212" s="216">
        <f t="shared" si="28"/>
        <v>-4.6280000000000002E-2</v>
      </c>
      <c r="N212" s="306"/>
      <c r="O212" s="793">
        <f t="shared" si="24"/>
        <v>24928.887968674324</v>
      </c>
      <c r="P212" s="195">
        <f t="shared" si="25"/>
        <v>36750.018388877397</v>
      </c>
      <c r="Q212" s="1459"/>
      <c r="R212" s="1459"/>
      <c r="S212" s="191"/>
      <c r="T212" s="191"/>
      <c r="U212" s="191"/>
      <c r="V212" s="191"/>
      <c r="W212" s="191"/>
      <c r="X212" s="5"/>
      <c r="Y212" s="5"/>
      <c r="Z212" s="5"/>
      <c r="AA212" s="5"/>
      <c r="AB212" s="5"/>
    </row>
    <row r="213" spans="1:28" ht="12.75" customHeight="1">
      <c r="A213" s="178">
        <v>41061</v>
      </c>
      <c r="B213" s="1461">
        <v>83263.31</v>
      </c>
      <c r="C213" s="179"/>
      <c r="D213" s="203">
        <v>85742.37</v>
      </c>
      <c r="E213" s="189">
        <f t="shared" si="23"/>
        <v>6680.0661228554418</v>
      </c>
      <c r="F213" s="184">
        <f t="shared" si="22"/>
        <v>12.835557077292643</v>
      </c>
      <c r="G213" s="197"/>
      <c r="H213" s="216">
        <f t="shared" si="2"/>
        <v>2.9773738276799213E-2</v>
      </c>
      <c r="I213" s="216">
        <f t="shared" si="26"/>
        <v>5.5655160103715184E-2</v>
      </c>
      <c r="J213" s="216">
        <v>4.1200000000000001E-2</v>
      </c>
      <c r="K213" s="216">
        <f t="shared" si="27"/>
        <v>5.4433811120972342E-2</v>
      </c>
      <c r="L213" s="216">
        <v>4.0000000000000002E-4</v>
      </c>
      <c r="M213" s="216">
        <f t="shared" si="28"/>
        <v>3.304E-2</v>
      </c>
      <c r="N213" s="306"/>
      <c r="O213" s="793">
        <f t="shared" si="24"/>
        <v>25671.114154585284</v>
      </c>
      <c r="P213" s="195">
        <f t="shared" si="25"/>
        <v>37964.238996445907</v>
      </c>
      <c r="Q213" s="1459"/>
      <c r="R213" s="1459"/>
      <c r="S213" s="191"/>
      <c r="T213" s="191"/>
      <c r="U213" s="191"/>
      <c r="V213" s="191"/>
      <c r="W213" s="191"/>
      <c r="X213" s="5"/>
      <c r="Y213" s="5"/>
      <c r="Z213" s="5"/>
      <c r="AA213" s="5"/>
      <c r="AB213" s="5"/>
    </row>
    <row r="214" spans="1:28" ht="12.75" customHeight="1">
      <c r="A214" s="178">
        <v>41091</v>
      </c>
      <c r="B214" s="1461">
        <v>85742.37</v>
      </c>
      <c r="C214" s="204"/>
      <c r="D214" s="203">
        <v>86080.22</v>
      </c>
      <c r="E214" s="189">
        <f t="shared" si="23"/>
        <v>6680.0661228554418</v>
      </c>
      <c r="F214" s="184">
        <f t="shared" si="22"/>
        <v>12.886132923966388</v>
      </c>
      <c r="G214" s="197"/>
      <c r="H214" s="216">
        <f t="shared" si="2"/>
        <v>3.9402922965625174E-3</v>
      </c>
      <c r="I214" s="216">
        <f t="shared" si="26"/>
        <v>6.6228235925680945E-2</v>
      </c>
      <c r="J214" s="216">
        <v>1.3899999999999999E-2</v>
      </c>
      <c r="K214" s="216">
        <f t="shared" si="27"/>
        <v>9.124266724053709E-2</v>
      </c>
      <c r="L214" s="216">
        <v>1.38E-2</v>
      </c>
      <c r="M214" s="216">
        <f t="shared" si="28"/>
        <v>1.388E-2</v>
      </c>
      <c r="N214" s="306"/>
      <c r="O214" s="793">
        <f t="shared" si="24"/>
        <v>25772.265847932777</v>
      </c>
      <c r="P214" s="195">
        <f t="shared" si="25"/>
        <v>38491.182633716569</v>
      </c>
      <c r="Q214" s="1459"/>
      <c r="R214" s="1459"/>
      <c r="S214" s="191"/>
      <c r="T214" s="191"/>
      <c r="U214" s="191"/>
      <c r="V214" s="191"/>
      <c r="W214" s="191"/>
      <c r="X214" s="5"/>
      <c r="Y214" s="5"/>
      <c r="Z214" s="5"/>
      <c r="AA214" s="5"/>
      <c r="AB214" s="5"/>
    </row>
    <row r="215" spans="1:28" ht="12.75" customHeight="1">
      <c r="A215" s="178">
        <v>41122</v>
      </c>
      <c r="B215" s="1461">
        <v>86080.22</v>
      </c>
      <c r="C215" s="204"/>
      <c r="D215" s="203">
        <v>88427.44</v>
      </c>
      <c r="E215" s="189">
        <f t="shared" si="23"/>
        <v>6680.0661228554418</v>
      </c>
      <c r="F215" s="184">
        <f t="shared" si="22"/>
        <v>13.237509685338424</v>
      </c>
      <c r="G215" s="197"/>
      <c r="H215" s="216">
        <f t="shared" si="2"/>
        <v>2.7267820644510395E-2</v>
      </c>
      <c r="I215" s="216">
        <f t="shared" si="26"/>
        <v>0.13500289566963941</v>
      </c>
      <c r="J215" s="216">
        <v>2.2499999999999999E-2</v>
      </c>
      <c r="K215" s="216">
        <f t="shared" si="27"/>
        <v>0.17986214153901736</v>
      </c>
      <c r="L215" s="216">
        <v>6.9999999999999999E-4</v>
      </c>
      <c r="M215" s="216">
        <f t="shared" si="28"/>
        <v>1.814E-2</v>
      </c>
      <c r="N215" s="306"/>
      <c r="O215" s="793">
        <f t="shared" si="24"/>
        <v>26475.019370676851</v>
      </c>
      <c r="P215" s="195">
        <f t="shared" si="25"/>
        <v>39189.412686692187</v>
      </c>
      <c r="Q215" s="1459"/>
      <c r="R215" s="1459"/>
      <c r="S215" s="191"/>
      <c r="T215" s="191"/>
      <c r="U215" s="191"/>
      <c r="V215" s="191"/>
      <c r="W215" s="191"/>
      <c r="X215" s="5"/>
      <c r="Y215" s="5"/>
      <c r="Z215" s="5"/>
      <c r="AA215" s="5"/>
      <c r="AB215" s="5"/>
    </row>
    <row r="216" spans="1:28" ht="12.75" customHeight="1">
      <c r="A216" s="178">
        <v>41153</v>
      </c>
      <c r="B216" s="1461">
        <v>88427.44</v>
      </c>
      <c r="C216" s="204"/>
      <c r="D216" s="203">
        <v>89866</v>
      </c>
      <c r="E216" s="189">
        <f t="shared" si="23"/>
        <v>6680.0661228554418</v>
      </c>
      <c r="F216" s="184">
        <f t="shared" si="22"/>
        <v>13.4528608470699</v>
      </c>
      <c r="G216" s="197"/>
      <c r="H216" s="216">
        <f t="shared" si="2"/>
        <v>1.6268253383791252E-2</v>
      </c>
      <c r="I216" s="216">
        <f t="shared" si="26"/>
        <v>0.21869636944674853</v>
      </c>
      <c r="J216" s="216">
        <v>2.58E-2</v>
      </c>
      <c r="K216" s="216">
        <f t="shared" si="27"/>
        <v>0.30182057092688419</v>
      </c>
      <c r="L216" s="216">
        <v>1.4E-3</v>
      </c>
      <c r="M216" s="216">
        <f t="shared" si="28"/>
        <v>2.0920000000000001E-2</v>
      </c>
      <c r="N216" s="306"/>
      <c r="O216" s="793">
        <f t="shared" si="24"/>
        <v>26905.721694139804</v>
      </c>
      <c r="P216" s="195">
        <f t="shared" si="25"/>
        <v>40009.255200097788</v>
      </c>
      <c r="Q216" s="1459"/>
      <c r="R216" s="1459"/>
      <c r="S216" s="191"/>
      <c r="T216" s="191"/>
      <c r="U216" s="191"/>
      <c r="V216" s="191"/>
      <c r="W216" s="191"/>
      <c r="X216" s="5"/>
      <c r="Y216" s="5"/>
      <c r="Z216" s="5"/>
      <c r="AA216" s="5"/>
      <c r="AB216" s="5"/>
    </row>
    <row r="217" spans="1:28" ht="12.75" customHeight="1">
      <c r="A217" s="178">
        <v>41183</v>
      </c>
      <c r="B217" s="1461">
        <v>89866</v>
      </c>
      <c r="C217" s="204"/>
      <c r="D217" s="203">
        <v>89045.32</v>
      </c>
      <c r="E217" s="189">
        <f t="shared" si="23"/>
        <v>6680.0661228554418</v>
      </c>
      <c r="F217" s="184">
        <f t="shared" si="22"/>
        <v>13.330005775741775</v>
      </c>
      <c r="G217" s="197"/>
      <c r="H217" s="216">
        <f t="shared" si="2"/>
        <v>-9.1322635924598571E-3</v>
      </c>
      <c r="I217" s="216">
        <f t="shared" si="26"/>
        <v>0.12063696300357063</v>
      </c>
      <c r="J217" s="216">
        <v>-1.8499999999999999E-2</v>
      </c>
      <c r="K217" s="216">
        <f t="shared" si="27"/>
        <v>0.15184070167198871</v>
      </c>
      <c r="L217" s="216">
        <v>2E-3</v>
      </c>
      <c r="M217" s="216">
        <f t="shared" si="28"/>
        <v>-1.4400000000000001E-2</v>
      </c>
      <c r="N217" s="306"/>
      <c r="O217" s="793">
        <f t="shared" si="24"/>
        <v>26660.011551483552</v>
      </c>
      <c r="P217" s="195">
        <f t="shared" si="25"/>
        <v>39433.121925216379</v>
      </c>
      <c r="Q217" s="1459"/>
      <c r="R217" s="1459"/>
      <c r="S217" s="191"/>
      <c r="T217" s="191"/>
      <c r="U217" s="191"/>
      <c r="V217" s="191"/>
      <c r="W217" s="191"/>
      <c r="X217" s="5"/>
      <c r="Y217" s="5"/>
      <c r="Z217" s="5"/>
      <c r="AA217" s="5"/>
      <c r="AB217" s="5"/>
    </row>
    <row r="218" spans="1:28" ht="12.75" customHeight="1">
      <c r="A218" s="178">
        <v>41214</v>
      </c>
      <c r="B218" s="1461">
        <v>89045.32</v>
      </c>
      <c r="C218" s="204"/>
      <c r="D218" s="203">
        <v>89311.18</v>
      </c>
      <c r="E218" s="189">
        <f t="shared" si="23"/>
        <v>6680.0661228554418</v>
      </c>
      <c r="F218" s="184">
        <f t="shared" si="22"/>
        <v>13.369804782983689</v>
      </c>
      <c r="G218" s="197"/>
      <c r="H218" s="216">
        <f t="shared" si="2"/>
        <v>2.9856706674757164E-3</v>
      </c>
      <c r="I218" s="216">
        <f t="shared" si="26"/>
        <v>0.14966182547563389</v>
      </c>
      <c r="J218" s="216">
        <v>5.7999999999999996E-3</v>
      </c>
      <c r="K218" s="216">
        <f t="shared" si="27"/>
        <v>0.16107574437932048</v>
      </c>
      <c r="L218" s="216">
        <v>1.6000000000000001E-3</v>
      </c>
      <c r="M218" s="216">
        <f t="shared" si="28"/>
        <v>4.96E-3</v>
      </c>
      <c r="N218" s="306"/>
      <c r="O218" s="793">
        <f t="shared" si="24"/>
        <v>26739.609565967381</v>
      </c>
      <c r="P218" s="195">
        <f t="shared" si="25"/>
        <v>39628.710209965458</v>
      </c>
      <c r="Q218" s="1459"/>
      <c r="R218" s="1459"/>
      <c r="S218" s="191"/>
      <c r="T218" s="191"/>
      <c r="U218" s="191"/>
      <c r="V218" s="191"/>
      <c r="W218" s="191"/>
      <c r="X218" s="5"/>
      <c r="Y218" s="5"/>
      <c r="Z218" s="5"/>
      <c r="AA218" s="5"/>
      <c r="AB218" s="5"/>
    </row>
    <row r="219" spans="1:28" ht="12.75" customHeight="1">
      <c r="A219" s="1449">
        <v>41244</v>
      </c>
      <c r="B219" s="1450">
        <v>89311.18</v>
      </c>
      <c r="C219" s="1462"/>
      <c r="D219" s="201">
        <v>89603.02</v>
      </c>
      <c r="E219" s="202">
        <f t="shared" si="23"/>
        <v>6680.0661228554418</v>
      </c>
      <c r="F219" s="1453">
        <f t="shared" si="22"/>
        <v>13.413492973284905</v>
      </c>
      <c r="G219" s="1454"/>
      <c r="H219" s="1446">
        <f t="shared" si="2"/>
        <v>3.267676006520294E-3</v>
      </c>
      <c r="I219" s="1446">
        <f t="shared" si="26"/>
        <v>0.13761258461819392</v>
      </c>
      <c r="J219" s="1446">
        <v>9.1000000000000004E-3</v>
      </c>
      <c r="K219" s="1446">
        <f t="shared" si="27"/>
        <v>0.15981145679387554</v>
      </c>
      <c r="L219" s="1446">
        <v>-1.4E-3</v>
      </c>
      <c r="M219" s="1446">
        <f t="shared" si="28"/>
        <v>7.000000000000001E-3</v>
      </c>
      <c r="N219" s="1446">
        <f t="shared" ref="N219:N231" si="29">((1+M208)*(1+M209)*(1+M210)*(1+M211)*(1+M212)*(1+M213)*(1+M214)*(1+M215)*(1+M216)*(1+M217)*(1+M218)*(1+M219))-1</f>
        <v>0.13457266179768834</v>
      </c>
      <c r="O219" s="1448">
        <f t="shared" si="24"/>
        <v>26826.98594656981</v>
      </c>
      <c r="P219" s="1448">
        <f t="shared" si="25"/>
        <v>39906.111181435212</v>
      </c>
      <c r="Q219" s="1446"/>
      <c r="R219" s="1446"/>
      <c r="S219" s="1451"/>
      <c r="T219" s="1451"/>
      <c r="U219" s="1451"/>
      <c r="V219" s="1451"/>
      <c r="W219" s="1451"/>
      <c r="X219" s="1456"/>
      <c r="Y219" s="1456"/>
      <c r="Z219" s="1456"/>
      <c r="AA219" s="1456"/>
      <c r="AB219" s="1456"/>
    </row>
    <row r="220" spans="1:28" ht="12.75" customHeight="1">
      <c r="A220" s="178">
        <v>41275</v>
      </c>
      <c r="B220" s="1461">
        <v>89603.02</v>
      </c>
      <c r="C220" s="204"/>
      <c r="D220" s="205">
        <v>92714.7</v>
      </c>
      <c r="E220" s="206">
        <f t="shared" si="23"/>
        <v>6680.0661228554418</v>
      </c>
      <c r="F220" s="207">
        <f t="shared" si="22"/>
        <v>13.879308721628108</v>
      </c>
      <c r="G220" s="1463"/>
      <c r="H220" s="208">
        <f t="shared" si="2"/>
        <v>3.4727400929120349E-2</v>
      </c>
      <c r="I220" s="208">
        <f t="shared" si="26"/>
        <v>0.107368842984229</v>
      </c>
      <c r="J220" s="216">
        <v>5.1799999999999999E-2</v>
      </c>
      <c r="K220" s="216">
        <f t="shared" si="27"/>
        <v>0.1675820159416137</v>
      </c>
      <c r="L220" s="216">
        <v>-7.0000000000000001E-3</v>
      </c>
      <c r="M220" s="216">
        <f t="shared" si="28"/>
        <v>4.0040000000000006E-2</v>
      </c>
      <c r="N220" s="216">
        <f t="shared" si="29"/>
        <v>0.13915363576621775</v>
      </c>
      <c r="O220" s="793">
        <f t="shared" si="24"/>
        <v>27758.617443256215</v>
      </c>
      <c r="P220" s="195">
        <f t="shared" si="25"/>
        <v>41503.951873139878</v>
      </c>
      <c r="Q220" s="191"/>
      <c r="R220" s="191"/>
      <c r="S220" s="191"/>
      <c r="T220" s="191"/>
      <c r="U220" s="191"/>
      <c r="V220" s="191"/>
      <c r="W220" s="191"/>
      <c r="X220" s="5"/>
      <c r="Y220" s="5"/>
      <c r="Z220" s="5"/>
      <c r="AA220" s="5"/>
      <c r="AB220" s="5"/>
    </row>
    <row r="221" spans="1:28" ht="12.75" customHeight="1">
      <c r="A221" s="178">
        <v>41306</v>
      </c>
      <c r="B221" s="200">
        <v>92714.7</v>
      </c>
      <c r="C221" s="204"/>
      <c r="D221" s="205">
        <v>92914.64</v>
      </c>
      <c r="E221" s="206">
        <f t="shared" si="23"/>
        <v>6680.0661228554418</v>
      </c>
      <c r="F221" s="207">
        <f t="shared" si="22"/>
        <v>13.909239563078303</v>
      </c>
      <c r="G221" s="197"/>
      <c r="H221" s="208">
        <f t="shared" si="2"/>
        <v>2.1565080833999967E-3</v>
      </c>
      <c r="I221" s="208">
        <f t="shared" si="26"/>
        <v>7.2925993628124353E-2</v>
      </c>
      <c r="J221" s="216">
        <v>1.3599999999999999E-2</v>
      </c>
      <c r="K221" s="216">
        <f t="shared" si="27"/>
        <v>0.13445277162425207</v>
      </c>
      <c r="L221" s="216">
        <v>5.0000000000000001E-3</v>
      </c>
      <c r="M221" s="216">
        <f t="shared" si="28"/>
        <v>1.1880000000000002E-2</v>
      </c>
      <c r="N221" s="216">
        <f t="shared" si="29"/>
        <v>0.11422377620453905</v>
      </c>
      <c r="O221" s="793">
        <f t="shared" si="24"/>
        <v>27818.479126156606</v>
      </c>
      <c r="P221" s="195">
        <f t="shared" si="25"/>
        <v>41997.018821392783</v>
      </c>
      <c r="Q221" s="191"/>
      <c r="R221" s="191"/>
      <c r="S221" s="191"/>
      <c r="T221" s="191"/>
      <c r="U221" s="191"/>
      <c r="V221" s="191"/>
      <c r="W221" s="191"/>
      <c r="X221" s="5"/>
      <c r="Y221" s="5"/>
      <c r="Z221" s="5"/>
      <c r="AA221" s="5"/>
      <c r="AB221" s="5"/>
    </row>
    <row r="222" spans="1:28" ht="12.75" customHeight="1">
      <c r="A222" s="178">
        <v>41334</v>
      </c>
      <c r="B222" s="200">
        <v>92914.64</v>
      </c>
      <c r="C222" s="204"/>
      <c r="D222" s="205">
        <v>95073.5</v>
      </c>
      <c r="E222" s="206">
        <f t="shared" si="23"/>
        <v>6680.0661228554418</v>
      </c>
      <c r="F222" s="207">
        <f t="shared" si="22"/>
        <v>14.232418998774843</v>
      </c>
      <c r="G222" s="197"/>
      <c r="H222" s="208">
        <f t="shared" si="2"/>
        <v>2.3234874504168498E-2</v>
      </c>
      <c r="I222" s="208">
        <f t="shared" si="26"/>
        <v>6.5037843466820844E-2</v>
      </c>
      <c r="J222" s="216">
        <v>3.7499999999999999E-2</v>
      </c>
      <c r="K222" s="216">
        <f t="shared" si="27"/>
        <v>0.1395050349115714</v>
      </c>
      <c r="L222" s="216">
        <v>8.0000000000000004E-4</v>
      </c>
      <c r="M222" s="216">
        <f t="shared" si="28"/>
        <v>3.0159999999999999E-2</v>
      </c>
      <c r="N222" s="216">
        <f t="shared" si="29"/>
        <v>0.11959263894078176</v>
      </c>
      <c r="O222" s="793">
        <f t="shared" si="24"/>
        <v>28464.837997549683</v>
      </c>
      <c r="P222" s="195">
        <f t="shared" si="25"/>
        <v>43263.648909045987</v>
      </c>
      <c r="Q222" s="191"/>
      <c r="R222" s="191"/>
      <c r="S222" s="191"/>
      <c r="T222" s="191"/>
      <c r="U222" s="191"/>
      <c r="V222" s="191"/>
      <c r="W222" s="191"/>
      <c r="X222" s="5"/>
      <c r="Y222" s="5"/>
      <c r="Z222" s="5"/>
      <c r="AA222" s="5"/>
      <c r="AB222" s="5"/>
    </row>
    <row r="223" spans="1:28" ht="12.75" customHeight="1">
      <c r="A223" s="178">
        <v>41365</v>
      </c>
      <c r="B223" s="200">
        <v>95073.5</v>
      </c>
      <c r="C223" s="191"/>
      <c r="D223" s="205">
        <v>95745.97</v>
      </c>
      <c r="E223" s="206">
        <f t="shared" si="23"/>
        <v>6680.0661228554418</v>
      </c>
      <c r="F223" s="207">
        <f t="shared" si="22"/>
        <v>14.333087163974465</v>
      </c>
      <c r="G223" s="197"/>
      <c r="H223" s="208">
        <f t="shared" si="2"/>
        <v>7.0731591873656524E-3</v>
      </c>
      <c r="I223" s="208">
        <f t="shared" si="26"/>
        <v>7.8327122696041807E-2</v>
      </c>
      <c r="J223" s="216">
        <v>1.9300000000000001E-2</v>
      </c>
      <c r="K223" s="216">
        <f t="shared" si="27"/>
        <v>0.16886130832782986</v>
      </c>
      <c r="L223" s="216">
        <v>1.01E-2</v>
      </c>
      <c r="M223" s="216">
        <f t="shared" si="28"/>
        <v>1.7460000000000003E-2</v>
      </c>
      <c r="N223" s="216">
        <f t="shared" si="29"/>
        <v>0.1423621877862451</v>
      </c>
      <c r="O223" s="793">
        <f t="shared" si="24"/>
        <v>28666.174327948924</v>
      </c>
      <c r="P223" s="195">
        <f t="shared" si="25"/>
        <v>44019.032218997934</v>
      </c>
      <c r="Q223" s="191"/>
      <c r="R223" s="191"/>
      <c r="S223" s="191"/>
      <c r="T223" s="191"/>
      <c r="U223" s="191"/>
      <c r="V223" s="191"/>
      <c r="W223" s="191"/>
      <c r="X223" s="5"/>
      <c r="Y223" s="5"/>
      <c r="Z223" s="5"/>
      <c r="AA223" s="5"/>
      <c r="AB223" s="5"/>
    </row>
    <row r="224" spans="1:28" ht="12.75" customHeight="1">
      <c r="A224" s="178">
        <v>41395</v>
      </c>
      <c r="B224" s="200">
        <v>95745.97</v>
      </c>
      <c r="C224" s="191"/>
      <c r="D224" s="205">
        <v>96184.69</v>
      </c>
      <c r="E224" s="206">
        <f t="shared" si="23"/>
        <v>6680.0661228554418</v>
      </c>
      <c r="F224" s="207">
        <f t="shared" si="22"/>
        <v>14.398763160578593</v>
      </c>
      <c r="G224" s="197"/>
      <c r="H224" s="208">
        <f t="shared" si="2"/>
        <v>4.5821249708995924E-3</v>
      </c>
      <c r="I224" s="208">
        <f t="shared" si="26"/>
        <v>0.15518696049916869</v>
      </c>
      <c r="J224" s="216">
        <v>2.3400000000000001E-2</v>
      </c>
      <c r="K224" s="216">
        <f t="shared" si="27"/>
        <v>0.27270205654080359</v>
      </c>
      <c r="L224" s="216">
        <v>-1.78E-2</v>
      </c>
      <c r="M224" s="216">
        <f t="shared" si="28"/>
        <v>1.516E-2</v>
      </c>
      <c r="N224" s="216">
        <f t="shared" si="29"/>
        <v>0.21595478605155027</v>
      </c>
      <c r="O224" s="793">
        <f t="shared" si="24"/>
        <v>28797.526321157176</v>
      </c>
      <c r="P224" s="195">
        <f t="shared" si="25"/>
        <v>44686.360747437946</v>
      </c>
      <c r="Q224" s="191"/>
      <c r="R224" s="191"/>
      <c r="S224" s="191"/>
      <c r="T224" s="191"/>
      <c r="U224" s="191"/>
      <c r="V224" s="191"/>
      <c r="W224" s="191"/>
      <c r="X224" s="5"/>
      <c r="Y224" s="5"/>
      <c r="Z224" s="5"/>
      <c r="AA224" s="5"/>
      <c r="AB224" s="5"/>
    </row>
    <row r="225" spans="1:28" ht="12.75" customHeight="1">
      <c r="A225" s="178">
        <v>41426</v>
      </c>
      <c r="B225" s="200">
        <v>96184.69</v>
      </c>
      <c r="C225" s="191"/>
      <c r="D225" s="205">
        <v>95212.55</v>
      </c>
      <c r="E225" s="206">
        <f t="shared" si="23"/>
        <v>6680.0661228554418</v>
      </c>
      <c r="F225" s="207">
        <f t="shared" si="22"/>
        <v>14.253234660991756</v>
      </c>
      <c r="G225" s="197"/>
      <c r="H225" s="208">
        <f t="shared" si="2"/>
        <v>-1.0107013912505288E-2</v>
      </c>
      <c r="I225" s="208">
        <f t="shared" si="26"/>
        <v>0.11044924463832761</v>
      </c>
      <c r="J225" s="216">
        <v>-1.34E-2</v>
      </c>
      <c r="K225" s="216">
        <f t="shared" si="27"/>
        <v>0.20596220609215976</v>
      </c>
      <c r="L225" s="216">
        <v>-1.55E-2</v>
      </c>
      <c r="M225" s="216">
        <f t="shared" si="28"/>
        <v>-1.3820000000000001E-2</v>
      </c>
      <c r="N225" s="216">
        <f t="shared" si="29"/>
        <v>0.16079754018074599</v>
      </c>
      <c r="O225" s="793">
        <f t="shared" si="24"/>
        <v>28506.469321983506</v>
      </c>
      <c r="P225" s="195">
        <f t="shared" si="25"/>
        <v>44068.795241908352</v>
      </c>
      <c r="Q225" s="191"/>
      <c r="R225" s="191"/>
      <c r="S225" s="191"/>
      <c r="T225" s="191"/>
      <c r="U225" s="191"/>
      <c r="V225" s="191"/>
      <c r="W225" s="191"/>
      <c r="X225" s="5"/>
      <c r="Y225" s="5"/>
      <c r="Z225" s="5"/>
      <c r="AA225" s="5"/>
      <c r="AB225" s="5"/>
    </row>
    <row r="226" spans="1:28" ht="12.75" customHeight="1">
      <c r="A226" s="178">
        <v>41456</v>
      </c>
      <c r="B226" s="200">
        <v>95212.55</v>
      </c>
      <c r="C226" s="191"/>
      <c r="D226" s="205">
        <v>98341.5</v>
      </c>
      <c r="E226" s="206">
        <f t="shared" si="23"/>
        <v>6680.0661228554418</v>
      </c>
      <c r="F226" s="207">
        <f t="shared" si="22"/>
        <v>14.721635713085311</v>
      </c>
      <c r="G226" s="197"/>
      <c r="H226" s="208">
        <f t="shared" si="2"/>
        <v>3.286278962174629E-2</v>
      </c>
      <c r="I226" s="208">
        <f t="shared" si="26"/>
        <v>0.14244015640294583</v>
      </c>
      <c r="J226" s="216">
        <v>5.0900000000000001E-2</v>
      </c>
      <c r="K226" s="216">
        <f t="shared" si="27"/>
        <v>0.24997108431033732</v>
      </c>
      <c r="L226" s="216">
        <v>1.4E-3</v>
      </c>
      <c r="M226" s="216">
        <f t="shared" si="28"/>
        <v>4.1000000000000009E-2</v>
      </c>
      <c r="N226" s="216">
        <f t="shared" si="29"/>
        <v>0.19184739745152934</v>
      </c>
      <c r="O226" s="793">
        <f t="shared" si="24"/>
        <v>29443.271426170617</v>
      </c>
      <c r="P226" s="195">
        <f t="shared" si="25"/>
        <v>45875.615846826593</v>
      </c>
      <c r="Q226" s="191"/>
      <c r="R226" s="191"/>
      <c r="S226" s="191"/>
      <c r="T226" s="191"/>
      <c r="U226" s="191"/>
      <c r="V226" s="191"/>
      <c r="W226" s="191"/>
      <c r="X226" s="5"/>
      <c r="Y226" s="5"/>
      <c r="Z226" s="5"/>
      <c r="AA226" s="5"/>
      <c r="AB226" s="5"/>
    </row>
    <row r="227" spans="1:28" ht="12.75" customHeight="1">
      <c r="A227" s="178">
        <v>41487</v>
      </c>
      <c r="B227" s="200">
        <v>98341.5</v>
      </c>
      <c r="C227" s="191"/>
      <c r="D227" s="205">
        <v>97445.6</v>
      </c>
      <c r="E227" s="206">
        <f t="shared" si="23"/>
        <v>6680.0661228554418</v>
      </c>
      <c r="F227" s="207">
        <f t="shared" si="22"/>
        <v>14.587520274177495</v>
      </c>
      <c r="G227" s="197"/>
      <c r="H227" s="208">
        <f t="shared" si="2"/>
        <v>-9.1100908568609619E-3</v>
      </c>
      <c r="I227" s="208">
        <f t="shared" si="26"/>
        <v>0.10198372812782996</v>
      </c>
      <c r="J227" s="216">
        <v>-2.9000000000000001E-2</v>
      </c>
      <c r="K227" s="216">
        <f t="shared" si="27"/>
        <v>0.18701410549177222</v>
      </c>
      <c r="L227" s="216">
        <v>-5.1000000000000004E-3</v>
      </c>
      <c r="M227" s="216">
        <f t="shared" si="28"/>
        <v>-2.4220000000000002E-2</v>
      </c>
      <c r="N227" s="216">
        <f t="shared" si="29"/>
        <v>0.14226025250481578</v>
      </c>
      <c r="O227" s="793">
        <f t="shared" si="24"/>
        <v>29175.040548354984</v>
      </c>
      <c r="P227" s="195">
        <f t="shared" si="25"/>
        <v>44764.508431016453</v>
      </c>
      <c r="Q227" s="191"/>
      <c r="R227" s="191"/>
      <c r="S227" s="191"/>
      <c r="T227" s="191"/>
      <c r="U227" s="191"/>
      <c r="V227" s="191"/>
      <c r="W227" s="191"/>
      <c r="X227" s="5"/>
      <c r="Y227" s="5"/>
      <c r="Z227" s="5"/>
      <c r="AA227" s="5"/>
      <c r="AB227" s="5"/>
    </row>
    <row r="228" spans="1:28" ht="12.75" customHeight="1">
      <c r="A228" s="178">
        <v>41518</v>
      </c>
      <c r="B228" s="200">
        <v>97445.6</v>
      </c>
      <c r="C228" s="191"/>
      <c r="D228" s="205">
        <v>98816.84</v>
      </c>
      <c r="E228" s="206">
        <f t="shared" si="23"/>
        <v>6680.0661228554418</v>
      </c>
      <c r="F228" s="207">
        <f t="shared" si="22"/>
        <v>14.792793691353468</v>
      </c>
      <c r="G228" s="197"/>
      <c r="H228" s="208">
        <f t="shared" si="2"/>
        <v>1.4071851371431804E-2</v>
      </c>
      <c r="I228" s="208">
        <f t="shared" si="26"/>
        <v>9.9602074199363289E-2</v>
      </c>
      <c r="J228" s="216">
        <v>3.1399999999999997E-2</v>
      </c>
      <c r="K228" s="216">
        <f t="shared" si="27"/>
        <v>0.19349419809340396</v>
      </c>
      <c r="L228" s="216">
        <v>9.4999999999999998E-3</v>
      </c>
      <c r="M228" s="216">
        <f t="shared" si="28"/>
        <v>2.7019999999999999E-2</v>
      </c>
      <c r="N228" s="216">
        <f t="shared" si="29"/>
        <v>0.14908526087009366</v>
      </c>
      <c r="O228" s="793">
        <f t="shared" si="24"/>
        <v>29585.58738270693</v>
      </c>
      <c r="P228" s="195">
        <f t="shared" si="25"/>
        <v>45974.045448822522</v>
      </c>
      <c r="Q228" s="191"/>
      <c r="R228" s="191"/>
      <c r="S228" s="191"/>
      <c r="T228" s="191"/>
      <c r="U228" s="191"/>
      <c r="V228" s="191"/>
      <c r="W228" s="191"/>
      <c r="X228" s="5"/>
      <c r="Y228" s="5"/>
      <c r="Z228" s="5"/>
      <c r="AA228" s="5"/>
      <c r="AB228" s="5"/>
    </row>
    <row r="229" spans="1:28" ht="12.75" customHeight="1">
      <c r="A229" s="178">
        <v>41548</v>
      </c>
      <c r="B229" s="200">
        <v>98816.84</v>
      </c>
      <c r="C229" s="191"/>
      <c r="D229" s="205">
        <v>100828.8</v>
      </c>
      <c r="E229" s="206">
        <f t="shared" si="23"/>
        <v>6680.0661228554418</v>
      </c>
      <c r="F229" s="207">
        <f t="shared" si="22"/>
        <v>15.093982326764756</v>
      </c>
      <c r="G229" s="197"/>
      <c r="H229" s="208">
        <f t="shared" si="2"/>
        <v>2.0360497259374034E-2</v>
      </c>
      <c r="I229" s="208">
        <f t="shared" si="26"/>
        <v>0.13233126682008645</v>
      </c>
      <c r="J229" s="216">
        <v>4.5999999999999999E-2</v>
      </c>
      <c r="K229" s="216">
        <f t="shared" si="27"/>
        <v>0.27192555395384743</v>
      </c>
      <c r="L229" s="216">
        <v>8.0999999999999996E-3</v>
      </c>
      <c r="M229" s="216">
        <f t="shared" si="28"/>
        <v>3.8419999999999996E-2</v>
      </c>
      <c r="N229" s="216">
        <f t="shared" si="29"/>
        <v>0.21066671732216169</v>
      </c>
      <c r="O229" s="793">
        <f t="shared" si="24"/>
        <v>30187.964653529507</v>
      </c>
      <c r="P229" s="195">
        <f t="shared" si="25"/>
        <v>47740.368274966277</v>
      </c>
      <c r="Q229" s="191"/>
      <c r="R229" s="191"/>
      <c r="S229" s="191"/>
      <c r="T229" s="191"/>
      <c r="U229" s="191"/>
      <c r="V229" s="191"/>
      <c r="W229" s="191"/>
      <c r="X229" s="5"/>
      <c r="Y229" s="5"/>
      <c r="Z229" s="5"/>
      <c r="AA229" s="5"/>
      <c r="AB229" s="5"/>
    </row>
    <row r="230" spans="1:28" ht="12.75" customHeight="1">
      <c r="A230" s="178">
        <v>41579</v>
      </c>
      <c r="B230" s="200">
        <v>100828.8</v>
      </c>
      <c r="C230" s="209"/>
      <c r="D230" s="205">
        <v>102942.21</v>
      </c>
      <c r="E230" s="206">
        <f t="shared" si="23"/>
        <v>6680.0661228554418</v>
      </c>
      <c r="F230" s="207">
        <f t="shared" si="22"/>
        <v>15.410357937594281</v>
      </c>
      <c r="G230" s="197"/>
      <c r="H230" s="208">
        <f t="shared" si="2"/>
        <v>2.0960380367514086E-2</v>
      </c>
      <c r="I230" s="208">
        <f t="shared" si="26"/>
        <v>0.15262400519173513</v>
      </c>
      <c r="J230" s="216">
        <v>3.0499999999999999E-2</v>
      </c>
      <c r="K230" s="216">
        <f t="shared" si="27"/>
        <v>0.3031609498403649</v>
      </c>
      <c r="L230" s="216">
        <v>-3.7000000000000002E-3</v>
      </c>
      <c r="M230" s="216">
        <f t="shared" si="28"/>
        <v>2.366E-2</v>
      </c>
      <c r="N230" s="216">
        <f t="shared" si="29"/>
        <v>0.23319444739492501</v>
      </c>
      <c r="O230" s="793">
        <f t="shared" si="24"/>
        <v>30820.715875188554</v>
      </c>
      <c r="P230" s="195">
        <f t="shared" si="25"/>
        <v>48869.905388351981</v>
      </c>
      <c r="Q230" s="191"/>
      <c r="R230" s="191"/>
      <c r="S230" s="191"/>
      <c r="T230" s="191"/>
      <c r="U230" s="191"/>
      <c r="V230" s="191"/>
      <c r="W230" s="191"/>
      <c r="X230" s="5"/>
      <c r="Y230" s="5"/>
      <c r="Z230" s="5"/>
      <c r="AA230" s="5"/>
      <c r="AB230" s="5"/>
    </row>
    <row r="231" spans="1:28" ht="12.75" customHeight="1">
      <c r="A231" s="1449">
        <v>41609</v>
      </c>
      <c r="B231" s="1457">
        <v>102942.21</v>
      </c>
      <c r="C231" s="1464">
        <v>17262.09</v>
      </c>
      <c r="D231" s="210">
        <v>122404.14</v>
      </c>
      <c r="E231" s="202">
        <f t="shared" si="23"/>
        <v>7800.2276447295271</v>
      </c>
      <c r="F231" s="211">
        <f t="shared" si="22"/>
        <v>15.692380475934733</v>
      </c>
      <c r="G231" s="1454"/>
      <c r="H231" s="212">
        <f t="shared" si="2"/>
        <v>1.8300842815107209E-2</v>
      </c>
      <c r="I231" s="212">
        <f t="shared" si="26"/>
        <v>0.16989515759903773</v>
      </c>
      <c r="J231" s="1446">
        <v>2.53E-2</v>
      </c>
      <c r="K231" s="1446">
        <f t="shared" si="27"/>
        <v>0.3240817776943079</v>
      </c>
      <c r="L231" s="1446">
        <v>-5.7000000000000002E-3</v>
      </c>
      <c r="M231" s="1446">
        <f t="shared" si="28"/>
        <v>1.9100000000000002E-2</v>
      </c>
      <c r="N231" s="1446">
        <f t="shared" si="29"/>
        <v>0.2480123747171481</v>
      </c>
      <c r="O231" s="1448">
        <f t="shared" si="24"/>
        <v>31384.760951869459</v>
      </c>
      <c r="P231" s="1448">
        <f t="shared" si="25"/>
        <v>49803.320581269501</v>
      </c>
      <c r="Q231" s="1451"/>
      <c r="R231" s="1451"/>
      <c r="S231" s="1451"/>
      <c r="T231" s="1451"/>
      <c r="U231" s="1451"/>
      <c r="V231" s="1451"/>
      <c r="W231" s="1451"/>
      <c r="X231" s="1456"/>
      <c r="Y231" s="1456"/>
      <c r="Z231" s="1456"/>
      <c r="AA231" s="1456"/>
      <c r="AB231" s="1456"/>
    </row>
    <row r="232" spans="1:28" ht="12.75" customHeight="1">
      <c r="A232" s="178">
        <v>41640</v>
      </c>
      <c r="B232" s="200">
        <v>122404.14</v>
      </c>
      <c r="C232" s="191"/>
      <c r="D232" s="205">
        <v>118740.48</v>
      </c>
      <c r="E232" s="206">
        <f t="shared" si="23"/>
        <v>7800.2276447295271</v>
      </c>
      <c r="F232" s="207">
        <f t="shared" si="22"/>
        <v>15.222694183833314</v>
      </c>
      <c r="G232" s="197"/>
      <c r="H232" s="208">
        <f t="shared" si="2"/>
        <v>-2.9930850378099973E-2</v>
      </c>
      <c r="I232" s="208">
        <f t="shared" si="26"/>
        <v>9.6790516671180216E-2</v>
      </c>
      <c r="J232" s="216">
        <v>-3.4599999999999999E-2</v>
      </c>
      <c r="K232" s="216">
        <f>((1+J221)*(1+J222)*(1+J223)*(1+J224)*(1+J225)*(1+J226)*(1+J227)*(1+J228)*(1+J229)*(1+J230)*(1+J231)*(1+J232))-1</f>
        <v>0.2153152198004229</v>
      </c>
      <c r="L232" s="216">
        <v>1.4800000000000001E-2</v>
      </c>
      <c r="M232" s="216">
        <f t="shared" si="28"/>
        <v>-2.4719999999999999E-2</v>
      </c>
      <c r="N232" s="216">
        <f>((1+M221)*(1+M222)*(1+M223)*(1+M224)*(1+M225)*(1+M226)*(1+M227)*(1+M228)*(1+M229)*(1+M230)*(1+M231)*(1+M232))-1</f>
        <v>0.17030259299078909</v>
      </c>
      <c r="O232" s="793">
        <f t="shared" si="24"/>
        <v>30445.388367666619</v>
      </c>
      <c r="P232" s="793">
        <f t="shared" si="25"/>
        <v>48572.182496500522</v>
      </c>
      <c r="Q232" s="191"/>
      <c r="R232" s="191"/>
      <c r="S232" s="191"/>
      <c r="T232" s="191"/>
      <c r="U232" s="191"/>
      <c r="V232" s="191"/>
      <c r="W232" s="191"/>
      <c r="X232" s="5"/>
      <c r="Y232" s="5"/>
      <c r="Z232" s="5"/>
      <c r="AA232" s="5"/>
      <c r="AB232" s="5"/>
    </row>
    <row r="233" spans="1:28" ht="12.75" customHeight="1">
      <c r="A233" s="178">
        <v>41671</v>
      </c>
      <c r="B233" s="200">
        <v>118740.48</v>
      </c>
      <c r="C233" s="191"/>
      <c r="D233" s="205">
        <v>122374.27</v>
      </c>
      <c r="E233" s="206">
        <f t="shared" si="23"/>
        <v>7800.2276447295271</v>
      </c>
      <c r="F233" s="207">
        <f t="shared" si="22"/>
        <v>15.688551100516417</v>
      </c>
      <c r="G233" s="197"/>
      <c r="H233" s="208">
        <f t="shared" si="2"/>
        <v>3.0602790219476979E-2</v>
      </c>
      <c r="I233" s="208">
        <f t="shared" si="26"/>
        <v>0.12792299171848676</v>
      </c>
      <c r="J233" s="216">
        <v>4.5699999999999998E-2</v>
      </c>
      <c r="K233" s="216">
        <f t="shared" si="27"/>
        <v>0.2538033991173072</v>
      </c>
      <c r="L233" s="216">
        <v>5.3E-3</v>
      </c>
      <c r="M233" s="216">
        <f t="shared" si="28"/>
        <v>3.7620000000000001E-2</v>
      </c>
      <c r="N233" s="216">
        <f t="shared" ref="N233:N296" si="30">((1+M222)*(1+M223)*(1+M224)*(1+M225)*(1+M226)*(1+M227)*(1+M228)*(1+M229)*(1+M230)*(1+M231)*(1+M232)*(1+M233))-1</f>
        <v>0.20007251506018719</v>
      </c>
      <c r="O233" s="793">
        <f t="shared" si="24"/>
        <v>31377.102201032827</v>
      </c>
      <c r="P233" s="793">
        <f t="shared" si="25"/>
        <v>50399.468002018868</v>
      </c>
      <c r="Q233" s="191"/>
      <c r="R233" s="191"/>
      <c r="S233" s="191"/>
      <c r="T233" s="191"/>
      <c r="U233" s="191"/>
      <c r="V233" s="191"/>
      <c r="W233" s="191"/>
      <c r="X233" s="5"/>
      <c r="Y233" s="5"/>
      <c r="Z233" s="5"/>
      <c r="AA233" s="5"/>
      <c r="AB233" s="5"/>
    </row>
    <row r="234" spans="1:28" ht="12.75" customHeight="1">
      <c r="A234" s="178">
        <v>41699</v>
      </c>
      <c r="B234" s="200">
        <v>122374.27</v>
      </c>
      <c r="C234" s="191"/>
      <c r="D234" s="205">
        <v>123754.81</v>
      </c>
      <c r="E234" s="206">
        <f t="shared" si="23"/>
        <v>7800.2276447295271</v>
      </c>
      <c r="F234" s="207">
        <f t="shared" si="22"/>
        <v>15.865538242799733</v>
      </c>
      <c r="G234" s="197"/>
      <c r="H234" s="208">
        <f t="shared" si="2"/>
        <v>1.1281293036518229E-2</v>
      </c>
      <c r="I234" s="208">
        <f t="shared" si="26"/>
        <v>0.11474642814868452</v>
      </c>
      <c r="J234" s="216">
        <v>8.3999999999999995E-3</v>
      </c>
      <c r="K234" s="216">
        <f t="shared" si="27"/>
        <v>0.21863647968182387</v>
      </c>
      <c r="L234" s="216">
        <v>-1.6999999999999999E-3</v>
      </c>
      <c r="M234" s="216">
        <f t="shared" si="28"/>
        <v>6.3800000000000003E-3</v>
      </c>
      <c r="N234" s="216">
        <f t="shared" si="30"/>
        <v>0.1723702897669015</v>
      </c>
      <c r="O234" s="793">
        <f t="shared" si="24"/>
        <v>31731.07648559946</v>
      </c>
      <c r="P234" s="793">
        <f t="shared" si="25"/>
        <v>50721.016607871752</v>
      </c>
      <c r="Q234" s="191"/>
      <c r="R234" s="191"/>
      <c r="S234" s="191"/>
      <c r="T234" s="191"/>
      <c r="U234" s="191"/>
      <c r="V234" s="191"/>
      <c r="W234" s="191"/>
      <c r="X234" s="5"/>
      <c r="Y234" s="5"/>
      <c r="Z234" s="5"/>
      <c r="AA234" s="5"/>
      <c r="AB234" s="5"/>
    </row>
    <row r="235" spans="1:28" ht="12.75" customHeight="1">
      <c r="A235" s="178">
        <v>41730</v>
      </c>
      <c r="B235" s="200">
        <v>123754.81</v>
      </c>
      <c r="C235" s="191"/>
      <c r="D235" s="205">
        <v>124632.65</v>
      </c>
      <c r="E235" s="206">
        <f t="shared" si="23"/>
        <v>7800.2276447295271</v>
      </c>
      <c r="F235" s="207">
        <f t="shared" si="22"/>
        <v>15.97807854802956</v>
      </c>
      <c r="G235" s="197"/>
      <c r="H235" s="208">
        <f t="shared" si="2"/>
        <v>7.0933808552571878E-3</v>
      </c>
      <c r="I235" s="208">
        <f t="shared" si="26"/>
        <v>0.11476881185720411</v>
      </c>
      <c r="J235" s="216">
        <v>7.4000000000000003E-3</v>
      </c>
      <c r="K235" s="216">
        <f t="shared" si="27"/>
        <v>0.20440929032813648</v>
      </c>
      <c r="L235" s="216">
        <v>8.3999999999999995E-3</v>
      </c>
      <c r="M235" s="216">
        <f t="shared" si="28"/>
        <v>7.6000000000000009E-3</v>
      </c>
      <c r="N235" s="216">
        <f t="shared" si="30"/>
        <v>0.16100908533910929</v>
      </c>
      <c r="O235" s="793">
        <f t="shared" si="24"/>
        <v>31956.157096059113</v>
      </c>
      <c r="P235" s="793">
        <f t="shared" si="25"/>
        <v>51106.496334091578</v>
      </c>
      <c r="Q235" s="191"/>
      <c r="R235" s="191"/>
      <c r="S235" s="191"/>
      <c r="T235" s="191"/>
      <c r="U235" s="191"/>
      <c r="V235" s="191"/>
      <c r="W235" s="191"/>
      <c r="X235" s="5"/>
      <c r="Y235" s="5"/>
      <c r="Z235" s="5"/>
      <c r="AA235" s="5"/>
      <c r="AB235" s="5"/>
    </row>
    <row r="236" spans="1:28" ht="12.75" customHeight="1">
      <c r="A236" s="178">
        <v>41760</v>
      </c>
      <c r="B236" s="200">
        <v>124632.65</v>
      </c>
      <c r="C236" s="191"/>
      <c r="D236" s="205">
        <v>127232.59</v>
      </c>
      <c r="E236" s="206">
        <f t="shared" si="23"/>
        <v>7800.2276447295271</v>
      </c>
      <c r="F236" s="207">
        <f t="shared" si="22"/>
        <v>16.311394461156368</v>
      </c>
      <c r="G236" s="197"/>
      <c r="H236" s="208">
        <f t="shared" si="2"/>
        <v>2.086082579484588E-2</v>
      </c>
      <c r="I236" s="208">
        <f t="shared" si="26"/>
        <v>0.13283302734044833</v>
      </c>
      <c r="J236" s="216">
        <v>2.35E-2</v>
      </c>
      <c r="K236" s="216">
        <f t="shared" si="27"/>
        <v>0.20452697738015191</v>
      </c>
      <c r="L236" s="216">
        <v>1.14E-2</v>
      </c>
      <c r="M236" s="216">
        <f t="shared" si="28"/>
        <v>2.1080000000000002E-2</v>
      </c>
      <c r="N236" s="216">
        <f t="shared" si="30"/>
        <v>0.16777961785142992</v>
      </c>
      <c r="O236" s="793">
        <f t="shared" si="24"/>
        <v>32622.788922312731</v>
      </c>
      <c r="P236" s="793">
        <f t="shared" si="25"/>
        <v>52183.821276814226</v>
      </c>
      <c r="Q236" s="191"/>
      <c r="R236" s="191"/>
      <c r="S236" s="191"/>
      <c r="T236" s="191"/>
      <c r="U236" s="191"/>
      <c r="V236" s="191"/>
      <c r="W236" s="191"/>
      <c r="X236" s="5"/>
      <c r="Y236" s="5"/>
      <c r="Z236" s="5"/>
      <c r="AA236" s="5"/>
      <c r="AB236" s="5"/>
    </row>
    <row r="237" spans="1:28" ht="12.75" customHeight="1">
      <c r="A237" s="178">
        <v>41791</v>
      </c>
      <c r="B237" s="200">
        <v>127232.59</v>
      </c>
      <c r="C237" s="191"/>
      <c r="D237" s="205">
        <v>129832.54</v>
      </c>
      <c r="E237" s="206">
        <f t="shared" si="23"/>
        <v>7800.2276447295271</v>
      </c>
      <c r="F237" s="207">
        <f t="shared" si="22"/>
        <v>16.644711656297044</v>
      </c>
      <c r="G237" s="197"/>
      <c r="H237" s="208">
        <f t="shared" si="2"/>
        <v>2.0434622921690179E-2</v>
      </c>
      <c r="I237" s="208">
        <f t="shared" si="26"/>
        <v>0.1677848609235546</v>
      </c>
      <c r="J237" s="216">
        <v>2.07E-2</v>
      </c>
      <c r="K237" s="216">
        <f t="shared" si="27"/>
        <v>0.24615921935122764</v>
      </c>
      <c r="L237" s="216">
        <v>5.0000000000000001E-4</v>
      </c>
      <c r="M237" s="216">
        <f t="shared" si="28"/>
        <v>1.6660000000000001E-2</v>
      </c>
      <c r="N237" s="216">
        <f t="shared" si="30"/>
        <v>0.20387234205199301</v>
      </c>
      <c r="O237" s="793">
        <f t="shared" si="24"/>
        <v>33289.423312594081</v>
      </c>
      <c r="P237" s="793">
        <f t="shared" si="25"/>
        <v>53053.203739285942</v>
      </c>
      <c r="Q237" s="191"/>
      <c r="R237" s="191"/>
      <c r="S237" s="191"/>
      <c r="T237" s="191"/>
      <c r="U237" s="191"/>
      <c r="V237" s="191"/>
      <c r="W237" s="191"/>
      <c r="X237" s="5"/>
      <c r="Y237" s="5"/>
      <c r="Z237" s="5"/>
      <c r="AA237" s="5"/>
      <c r="AB237" s="5"/>
    </row>
    <row r="238" spans="1:28" ht="12.75" customHeight="1">
      <c r="A238" s="178">
        <v>41821</v>
      </c>
      <c r="B238" s="200">
        <v>129832.54</v>
      </c>
      <c r="C238" s="191"/>
      <c r="D238" s="205">
        <v>128667.7</v>
      </c>
      <c r="E238" s="206">
        <f t="shared" si="23"/>
        <v>7800.2276447295271</v>
      </c>
      <c r="F238" s="207">
        <f t="shared" si="22"/>
        <v>16.495377553107495</v>
      </c>
      <c r="G238" s="197"/>
      <c r="H238" s="208">
        <f t="shared" si="2"/>
        <v>-8.9718648345015195E-3</v>
      </c>
      <c r="I238" s="208">
        <f t="shared" si="26"/>
        <v>0.12048537775225587</v>
      </c>
      <c r="J238" s="216">
        <v>-1.38E-2</v>
      </c>
      <c r="K238" s="216">
        <f t="shared" si="27"/>
        <v>0.16943783625861708</v>
      </c>
      <c r="L238" s="216">
        <v>-2.5000000000000001E-3</v>
      </c>
      <c r="M238" s="216">
        <f t="shared" si="28"/>
        <v>-1.1540000000000002E-2</v>
      </c>
      <c r="N238" s="216">
        <f t="shared" si="30"/>
        <v>0.14311206073459459</v>
      </c>
      <c r="O238" s="793">
        <f t="shared" si="24"/>
        <v>32990.75510621498</v>
      </c>
      <c r="P238" s="793">
        <f t="shared" si="25"/>
        <v>52440.969768134586</v>
      </c>
      <c r="Q238" s="191"/>
      <c r="R238" s="191"/>
      <c r="S238" s="191"/>
      <c r="T238" s="191"/>
      <c r="U238" s="191"/>
      <c r="V238" s="191"/>
      <c r="W238" s="191"/>
      <c r="X238" s="5"/>
      <c r="Y238" s="5"/>
      <c r="Z238" s="5"/>
      <c r="AA238" s="5"/>
      <c r="AB238" s="5"/>
    </row>
    <row r="239" spans="1:28" ht="12.75" customHeight="1">
      <c r="A239" s="178">
        <v>41852</v>
      </c>
      <c r="B239" s="200">
        <v>128667.7</v>
      </c>
      <c r="C239" s="466"/>
      <c r="D239" s="205">
        <v>133420.57999999999</v>
      </c>
      <c r="E239" s="206">
        <f t="shared" si="23"/>
        <v>7800.2276447295271</v>
      </c>
      <c r="F239" s="207">
        <f t="shared" si="22"/>
        <v>17.104703359542317</v>
      </c>
      <c r="G239" s="197"/>
      <c r="H239" s="208">
        <f t="shared" si="2"/>
        <v>3.6939185203434942E-2</v>
      </c>
      <c r="I239" s="208">
        <f t="shared" si="26"/>
        <v>0.17255729815989929</v>
      </c>
      <c r="J239" s="216">
        <v>0.04</v>
      </c>
      <c r="K239" s="216">
        <f t="shared" si="27"/>
        <v>0.25253898013281373</v>
      </c>
      <c r="L239" s="216">
        <v>1.0999999999999999E-2</v>
      </c>
      <c r="M239" s="216">
        <f t="shared" si="28"/>
        <v>3.4200000000000001E-2</v>
      </c>
      <c r="N239" s="216">
        <f t="shared" si="30"/>
        <v>0.21155024002512701</v>
      </c>
      <c r="O239" s="793">
        <f t="shared" si="24"/>
        <v>34209.406719084618</v>
      </c>
      <c r="P239" s="793">
        <f t="shared" si="25"/>
        <v>54234.45093420479</v>
      </c>
      <c r="Q239" s="191"/>
      <c r="R239" s="191"/>
      <c r="S239" s="191"/>
      <c r="T239" s="191"/>
      <c r="U239" s="191"/>
      <c r="V239" s="191"/>
      <c r="W239" s="191"/>
      <c r="X239" s="5"/>
      <c r="Y239" s="5"/>
      <c r="Z239" s="5"/>
      <c r="AA239" s="5"/>
      <c r="AB239" s="5"/>
    </row>
    <row r="240" spans="1:28" ht="12.75" customHeight="1">
      <c r="A240" s="178">
        <v>41883</v>
      </c>
      <c r="B240" s="200">
        <v>133420.57999999999</v>
      </c>
      <c r="C240" s="191"/>
      <c r="D240" s="205">
        <v>132860.29</v>
      </c>
      <c r="E240" s="206">
        <f t="shared" si="23"/>
        <v>7800.2276447295271</v>
      </c>
      <c r="F240" s="207">
        <f t="shared" si="22"/>
        <v>17.032873404633428</v>
      </c>
      <c r="G240" s="197"/>
      <c r="H240" s="208">
        <f t="shared" si="2"/>
        <v>-4.1994271048738608E-3</v>
      </c>
      <c r="I240" s="208">
        <f t="shared" si="26"/>
        <v>0.15143047081020988</v>
      </c>
      <c r="J240" s="216">
        <v>-1.4E-2</v>
      </c>
      <c r="K240" s="216">
        <f t="shared" si="27"/>
        <v>0.19740491992529963</v>
      </c>
      <c r="L240" s="216">
        <v>-6.7999999999999996E-3</v>
      </c>
      <c r="M240" s="216">
        <f t="shared" si="28"/>
        <v>-1.2560000000000002E-2</v>
      </c>
      <c r="N240" s="216">
        <f t="shared" si="30"/>
        <v>0.16485868728010256</v>
      </c>
      <c r="O240" s="793">
        <f t="shared" si="24"/>
        <v>34065.746809266842</v>
      </c>
      <c r="P240" s="793">
        <f t="shared" si="25"/>
        <v>53553.266230471178</v>
      </c>
      <c r="Q240" s="191"/>
      <c r="R240" s="191"/>
      <c r="S240" s="191"/>
      <c r="T240" s="191"/>
      <c r="U240" s="191"/>
      <c r="V240" s="191"/>
      <c r="W240" s="191"/>
      <c r="X240" s="5"/>
      <c r="Y240" s="5"/>
      <c r="Z240" s="5"/>
      <c r="AA240" s="5"/>
      <c r="AB240" s="5"/>
    </row>
    <row r="241" spans="1:28" ht="12.75" customHeight="1">
      <c r="A241" s="178">
        <v>41913</v>
      </c>
      <c r="B241" s="200">
        <v>132860.29</v>
      </c>
      <c r="C241" s="213">
        <v>3950</v>
      </c>
      <c r="D241" s="205">
        <v>140077.74</v>
      </c>
      <c r="E241" s="206">
        <f t="shared" si="23"/>
        <v>8032.132145289338</v>
      </c>
      <c r="F241" s="207">
        <f t="shared" si="22"/>
        <v>17.439670745725017</v>
      </c>
      <c r="G241" s="197"/>
      <c r="H241" s="208">
        <f t="shared" si="2"/>
        <v>2.3883071953140288E-2</v>
      </c>
      <c r="I241" s="208">
        <f t="shared" si="26"/>
        <v>0.15540553633754239</v>
      </c>
      <c r="J241" s="216">
        <v>2.4400000000000002E-2</v>
      </c>
      <c r="K241" s="216">
        <f t="shared" si="27"/>
        <v>0.17267839385418404</v>
      </c>
      <c r="L241" s="216">
        <v>9.7999999999999997E-3</v>
      </c>
      <c r="M241" s="216">
        <f t="shared" si="28"/>
        <v>2.1480000000000003E-2</v>
      </c>
      <c r="N241" s="216">
        <f t="shared" si="30"/>
        <v>0.1458560619815481</v>
      </c>
      <c r="O241" s="793">
        <f t="shared" si="24"/>
        <v>34879.341491450017</v>
      </c>
      <c r="P241" s="793">
        <f t="shared" si="25"/>
        <v>54703.590389101693</v>
      </c>
      <c r="Q241" s="191"/>
      <c r="R241" s="191"/>
      <c r="S241" s="191"/>
      <c r="T241" s="191"/>
      <c r="U241" s="191"/>
      <c r="V241" s="191"/>
      <c r="W241" s="191"/>
      <c r="X241" s="5"/>
      <c r="Y241" s="5"/>
      <c r="Z241" s="5"/>
      <c r="AA241" s="5"/>
      <c r="AB241" s="5"/>
    </row>
    <row r="242" spans="1:28" ht="12.75" customHeight="1">
      <c r="A242" s="178">
        <v>41944</v>
      </c>
      <c r="B242" s="200">
        <v>140077.74</v>
      </c>
      <c r="C242" s="191"/>
      <c r="D242" s="205">
        <v>144670.32999999999</v>
      </c>
      <c r="E242" s="206">
        <f t="shared" si="23"/>
        <v>8032.132145289338</v>
      </c>
      <c r="F242" s="207">
        <f t="shared" si="22"/>
        <v>18.011447942231108</v>
      </c>
      <c r="G242" s="197"/>
      <c r="H242" s="208">
        <f t="shared" si="2"/>
        <v>3.2786008683463826E-2</v>
      </c>
      <c r="I242" s="208">
        <f t="shared" si="26"/>
        <v>0.16878842238254199</v>
      </c>
      <c r="J242" s="216">
        <v>2.69E-2</v>
      </c>
      <c r="K242" s="216">
        <f t="shared" si="27"/>
        <v>0.1685817007752175</v>
      </c>
      <c r="L242" s="216">
        <v>7.1000000000000004E-3</v>
      </c>
      <c r="M242" s="216">
        <f t="shared" si="28"/>
        <v>2.2940000000000002E-2</v>
      </c>
      <c r="N242" s="216">
        <f t="shared" si="30"/>
        <v>0.14505011433816395</v>
      </c>
      <c r="O242" s="793">
        <f t="shared" si="24"/>
        <v>36022.895884462203</v>
      </c>
      <c r="P242" s="793">
        <f t="shared" si="25"/>
        <v>55958.490752627687</v>
      </c>
      <c r="Q242" s="191"/>
      <c r="R242" s="191"/>
      <c r="S242" s="191"/>
      <c r="T242" s="191"/>
      <c r="U242" s="191"/>
      <c r="V242" s="191"/>
      <c r="W242" s="191"/>
      <c r="X242" s="5"/>
      <c r="Y242" s="5"/>
      <c r="Z242" s="5"/>
      <c r="AA242" s="5"/>
      <c r="AB242" s="5"/>
    </row>
    <row r="243" spans="1:28" s="371" customFormat="1" ht="12.75" customHeight="1">
      <c r="A243" s="1465">
        <v>41974</v>
      </c>
      <c r="B243" s="1466">
        <v>144670.32999999999</v>
      </c>
      <c r="C243" s="1467"/>
      <c r="D243" s="592">
        <v>144176.32000000001</v>
      </c>
      <c r="E243" s="593">
        <f t="shared" si="23"/>
        <v>8032.132145289338</v>
      </c>
      <c r="F243" s="594">
        <f t="shared" si="22"/>
        <v>17.949943725036462</v>
      </c>
      <c r="G243" s="1468"/>
      <c r="H243" s="595">
        <f t="shared" si="2"/>
        <v>-3.4147291984470505E-3</v>
      </c>
      <c r="I243" s="595">
        <f t="shared" si="26"/>
        <v>0.1438636574332266</v>
      </c>
      <c r="J243" s="1469">
        <v>-2.5000000000000001E-3</v>
      </c>
      <c r="K243" s="1469">
        <f t="shared" si="27"/>
        <v>0.1368967585324099</v>
      </c>
      <c r="L243" s="1469">
        <v>8.9999999999999998E-4</v>
      </c>
      <c r="M243" s="1469">
        <f t="shared" si="28"/>
        <v>-1.82E-3</v>
      </c>
      <c r="N243" s="1469">
        <f t="shared" si="30"/>
        <v>0.12154462087142393</v>
      </c>
      <c r="O243" s="1470">
        <f t="shared" si="24"/>
        <v>35899.887450072907</v>
      </c>
      <c r="P243" s="1470">
        <f t="shared" si="25"/>
        <v>55856.646299457905</v>
      </c>
      <c r="Q243" s="370"/>
      <c r="R243" s="370"/>
      <c r="S243" s="370"/>
      <c r="T243" s="370"/>
      <c r="U243" s="370"/>
      <c r="V243" s="370"/>
      <c r="W243" s="370"/>
      <c r="X243" s="369"/>
      <c r="Y243" s="369"/>
      <c r="Z243" s="369"/>
      <c r="AA243" s="369"/>
      <c r="AB243" s="369"/>
    </row>
    <row r="244" spans="1:28" ht="12.75" customHeight="1">
      <c r="A244" s="178">
        <v>42005</v>
      </c>
      <c r="B244" s="200">
        <v>144176.32000000001</v>
      </c>
      <c r="C244" s="196">
        <v>-5000</v>
      </c>
      <c r="D244" s="200">
        <v>137630.70000000001</v>
      </c>
      <c r="E244" s="206">
        <f t="shared" si="23"/>
        <v>7753.5797399675303</v>
      </c>
      <c r="F244" s="207">
        <f t="shared" si="22"/>
        <v>17.750600963133497</v>
      </c>
      <c r="G244" s="197"/>
      <c r="H244" s="208">
        <v>-1.1205100000000001E-2</v>
      </c>
      <c r="I244" s="208">
        <f t="shared" si="26"/>
        <v>0.16594425377424393</v>
      </c>
      <c r="J244" s="216">
        <v>-3.0019231684279446E-2</v>
      </c>
      <c r="K244" s="216">
        <f t="shared" si="27"/>
        <v>0.14229126925307511</v>
      </c>
      <c r="L244" s="216">
        <v>2.1000000000000001E-2</v>
      </c>
      <c r="M244" s="216">
        <f t="shared" si="28"/>
        <v>-1.981538534742356E-2</v>
      </c>
      <c r="N244" s="216">
        <f t="shared" si="30"/>
        <v>0.12718479003417182</v>
      </c>
      <c r="O244" s="793">
        <f t="shared" si="24"/>
        <v>35497.625621206098</v>
      </c>
      <c r="P244" s="793">
        <f t="shared" si="25"/>
        <v>54749.82532881941</v>
      </c>
      <c r="Q244" s="191"/>
      <c r="R244" s="191"/>
      <c r="S244" s="191"/>
      <c r="T244" s="191"/>
      <c r="U244" s="191"/>
      <c r="V244" s="191"/>
      <c r="W244" s="191"/>
      <c r="X244" s="5"/>
      <c r="Y244" s="5"/>
      <c r="Z244" s="5"/>
      <c r="AA244" s="5"/>
      <c r="AB244" s="5"/>
    </row>
    <row r="245" spans="1:28" ht="12.75" customHeight="1">
      <c r="A245" s="178">
        <v>42036</v>
      </c>
      <c r="B245" s="200">
        <v>137630.70000000001</v>
      </c>
      <c r="C245" s="191"/>
      <c r="D245" s="200">
        <v>143278.09</v>
      </c>
      <c r="E245" s="206">
        <f t="shared" si="23"/>
        <v>7753.5797399675303</v>
      </c>
      <c r="F245" s="207">
        <f t="shared" si="22"/>
        <v>18.478960016551014</v>
      </c>
      <c r="G245" s="197"/>
      <c r="H245" s="208">
        <f>(F245-F244)/F244</f>
        <v>4.1032923613699458E-2</v>
      </c>
      <c r="I245" s="208">
        <f t="shared" si="26"/>
        <v>0.1777440996629811</v>
      </c>
      <c r="J245" s="216">
        <v>5.7471508598496479E-2</v>
      </c>
      <c r="K245" s="216">
        <f t="shared" si="27"/>
        <v>0.15515011165338088</v>
      </c>
      <c r="L245" s="216">
        <v>-9.4000000000000004E-3</v>
      </c>
      <c r="M245" s="216">
        <f t="shared" si="28"/>
        <v>4.4097206878797188E-2</v>
      </c>
      <c r="N245" s="216">
        <f t="shared" si="30"/>
        <v>0.13422109337805965</v>
      </c>
      <c r="O245" s="793">
        <f t="shared" si="24"/>
        <v>36954.196981788751</v>
      </c>
      <c r="P245" s="793">
        <f t="shared" si="25"/>
        <v>57164.139702922374</v>
      </c>
      <c r="Q245" s="191"/>
      <c r="R245" s="191"/>
      <c r="S245" s="191"/>
      <c r="T245" s="191"/>
      <c r="U245" s="191"/>
      <c r="V245" s="191"/>
      <c r="W245" s="191"/>
      <c r="X245" s="5"/>
      <c r="Y245" s="5"/>
      <c r="Z245" s="5"/>
      <c r="AA245" s="5"/>
      <c r="AB245" s="5"/>
    </row>
    <row r="246" spans="1:28" ht="12.75" customHeight="1">
      <c r="A246" s="178">
        <v>42064</v>
      </c>
      <c r="B246" s="200">
        <v>143278.09</v>
      </c>
      <c r="C246" s="213">
        <v>14250</v>
      </c>
      <c r="D246" s="200">
        <v>156179.75</v>
      </c>
      <c r="E246" s="206">
        <f t="shared" si="23"/>
        <v>8524.7270332803964</v>
      </c>
      <c r="F246" s="207">
        <f t="shared" si="22"/>
        <v>18.320791902224762</v>
      </c>
      <c r="G246" s="197"/>
      <c r="H246" s="208">
        <v>-1.0756699999999999E-2</v>
      </c>
      <c r="I246" s="208">
        <f t="shared" si="26"/>
        <v>0.15207852427273605</v>
      </c>
      <c r="J246" s="216">
        <v>-1.5814480796489172E-2</v>
      </c>
      <c r="K246" s="216">
        <f t="shared" si="27"/>
        <v>0.12741175366479229</v>
      </c>
      <c r="L246" s="216">
        <v>4.5999999999999999E-3</v>
      </c>
      <c r="M246" s="216">
        <f t="shared" si="28"/>
        <v>-1.1731584637191338E-2</v>
      </c>
      <c r="N246" s="216">
        <f t="shared" si="30"/>
        <v>0.11380878259087734</v>
      </c>
      <c r="O246" s="793">
        <f t="shared" si="24"/>
        <v>36556.691771114747</v>
      </c>
      <c r="P246" s="793">
        <f t="shared" si="25"/>
        <v>56493.51375978531</v>
      </c>
      <c r="Q246" s="191"/>
      <c r="R246" s="191"/>
      <c r="S246" s="191"/>
      <c r="T246" s="191"/>
      <c r="U246" s="191"/>
      <c r="V246" s="191"/>
      <c r="W246" s="191"/>
      <c r="X246" s="5"/>
      <c r="Y246" s="5"/>
      <c r="Z246" s="5"/>
      <c r="AA246" s="5"/>
      <c r="AB246" s="5"/>
    </row>
    <row r="247" spans="1:28" ht="12.75" customHeight="1">
      <c r="A247" s="178">
        <v>42095</v>
      </c>
      <c r="B247" s="200">
        <v>156179.75</v>
      </c>
      <c r="C247" s="191"/>
      <c r="D247" s="200">
        <v>156040.24</v>
      </c>
      <c r="E247" s="206">
        <f t="shared" si="23"/>
        <v>8524.7270332803964</v>
      </c>
      <c r="F247" s="207">
        <f t="shared" si="22"/>
        <v>18.304426568829879</v>
      </c>
      <c r="G247" s="197"/>
      <c r="H247" s="208">
        <f t="shared" ref="H247:H282" si="31">(F247-F246)/F246</f>
        <v>-8.9326561221932555E-4</v>
      </c>
      <c r="I247" s="208">
        <f t="shared" si="26"/>
        <v>0.14294208861438196</v>
      </c>
      <c r="J247" s="216">
        <v>9.5932108070062583E-3</v>
      </c>
      <c r="K247" s="216">
        <f t="shared" si="27"/>
        <v>0.12986624209251052</v>
      </c>
      <c r="L247" s="216">
        <v>-3.5999999999999999E-3</v>
      </c>
      <c r="M247" s="216">
        <f t="shared" si="28"/>
        <v>6.9545686456050065E-3</v>
      </c>
      <c r="N247" s="216">
        <f t="shared" si="30"/>
        <v>0.1130953178121108</v>
      </c>
      <c r="O247" s="793">
        <f t="shared" si="24"/>
        <v>36524.036935459109</v>
      </c>
      <c r="P247" s="793">
        <f t="shared" si="25"/>
        <v>56886.401779259162</v>
      </c>
      <c r="Q247" s="191"/>
      <c r="R247" s="191"/>
      <c r="S247" s="191"/>
      <c r="T247" s="191"/>
      <c r="U247" s="191"/>
      <c r="V247" s="191"/>
      <c r="W247" s="191"/>
      <c r="X247" s="5"/>
      <c r="Y247" s="5"/>
      <c r="Z247" s="5"/>
      <c r="AA247" s="5"/>
      <c r="AB247" s="5"/>
    </row>
    <row r="248" spans="1:28" ht="12.75" customHeight="1">
      <c r="A248" s="178">
        <v>42125</v>
      </c>
      <c r="B248" s="200">
        <v>156040.24</v>
      </c>
      <c r="C248" s="191"/>
      <c r="D248" s="200">
        <v>159309.31</v>
      </c>
      <c r="E248" s="206">
        <f t="shared" si="23"/>
        <v>8524.7270332803964</v>
      </c>
      <c r="F248" s="207">
        <f t="shared" si="22"/>
        <v>18.687907469419141</v>
      </c>
      <c r="G248" s="197"/>
      <c r="H248" s="208">
        <f t="shared" si="31"/>
        <v>2.0950172852848708E-2</v>
      </c>
      <c r="I248" s="208">
        <f t="shared" si="26"/>
        <v>0.14304212038218522</v>
      </c>
      <c r="J248" s="216">
        <v>1.2859260359145752E-2</v>
      </c>
      <c r="K248" s="216">
        <f t="shared" si="27"/>
        <v>0.11811967393315803</v>
      </c>
      <c r="L248" s="216">
        <v>-2.3999999999999998E-3</v>
      </c>
      <c r="M248" s="216">
        <f t="shared" si="28"/>
        <v>9.8074082873166029E-3</v>
      </c>
      <c r="N248" s="216">
        <f t="shared" si="30"/>
        <v>0.10080688883985101</v>
      </c>
      <c r="O248" s="793">
        <f t="shared" si="24"/>
        <v>37289.221822540807</v>
      </c>
      <c r="P248" s="793">
        <f t="shared" si="25"/>
        <v>57444.309947504684</v>
      </c>
      <c r="Q248" s="191"/>
      <c r="R248" s="191"/>
      <c r="S248" s="191"/>
      <c r="T248" s="191"/>
      <c r="U248" s="191"/>
      <c r="V248" s="191"/>
      <c r="W248" s="191"/>
      <c r="X248" s="5"/>
      <c r="Y248" s="5"/>
      <c r="Z248" s="5"/>
      <c r="AA248" s="5"/>
      <c r="AB248" s="5"/>
    </row>
    <row r="249" spans="1:28" ht="12.75" customHeight="1">
      <c r="A249" s="178">
        <v>42156</v>
      </c>
      <c r="B249" s="200">
        <v>159309.31</v>
      </c>
      <c r="C249" s="191"/>
      <c r="D249" s="200">
        <v>155332.68</v>
      </c>
      <c r="E249" s="206">
        <f t="shared" si="23"/>
        <v>8524.7270332803964</v>
      </c>
      <c r="F249" s="207">
        <f t="shared" si="22"/>
        <v>18.221425670708719</v>
      </c>
      <c r="G249" s="197"/>
      <c r="H249" s="208">
        <f t="shared" si="31"/>
        <v>-2.496169244597193E-2</v>
      </c>
      <c r="I249" s="208">
        <f t="shared" si="26"/>
        <v>9.2191336402687618E-2</v>
      </c>
      <c r="J249" s="216">
        <v>-1.9358051941247956E-2</v>
      </c>
      <c r="K249" s="216">
        <f t="shared" si="27"/>
        <v>7.4238321944380514E-2</v>
      </c>
      <c r="L249" s="216">
        <v>-1.09E-2</v>
      </c>
      <c r="M249" s="216">
        <f t="shared" si="28"/>
        <v>-1.7666441552998367E-2</v>
      </c>
      <c r="N249" s="216">
        <f t="shared" si="30"/>
        <v>6.3639317251612093E-2</v>
      </c>
      <c r="O249" s="793">
        <f t="shared" si="24"/>
        <v>36358.419735856922</v>
      </c>
      <c r="P249" s="793">
        <f t="shared" si="25"/>
        <v>56429.473403264768</v>
      </c>
      <c r="Q249" s="191"/>
      <c r="R249" s="191"/>
      <c r="S249" s="191"/>
      <c r="T249" s="191"/>
      <c r="U249" s="191"/>
      <c r="V249" s="191"/>
      <c r="W249" s="191"/>
      <c r="X249" s="5"/>
      <c r="Y249" s="5"/>
      <c r="Z249" s="5"/>
      <c r="AA249" s="5"/>
      <c r="AB249" s="5"/>
    </row>
    <row r="250" spans="1:28" ht="12.75" customHeight="1">
      <c r="A250" s="178">
        <v>42186</v>
      </c>
      <c r="B250" s="200">
        <v>155332.68</v>
      </c>
      <c r="C250" s="191"/>
      <c r="D250" s="200">
        <v>158122.35</v>
      </c>
      <c r="E250" s="206">
        <f t="shared" si="23"/>
        <v>8524.7270332803964</v>
      </c>
      <c r="F250" s="207">
        <f t="shared" si="22"/>
        <v>18.548670166527668</v>
      </c>
      <c r="G250" s="197"/>
      <c r="H250" s="208">
        <f t="shared" si="31"/>
        <v>1.7959324464111526E-2</v>
      </c>
      <c r="I250" s="208">
        <f t="shared" si="26"/>
        <v>0.12187163566689985</v>
      </c>
      <c r="J250" s="216">
        <v>2.0951226310712112E-2</v>
      </c>
      <c r="K250" s="216">
        <f t="shared" si="27"/>
        <v>0.11209179896479116</v>
      </c>
      <c r="L250" s="216">
        <v>7.0000000000000001E-3</v>
      </c>
      <c r="M250" s="216">
        <f t="shared" si="28"/>
        <v>1.816098104856969E-2</v>
      </c>
      <c r="N250" s="216">
        <f t="shared" si="30"/>
        <v>9.5599266267458294E-2</v>
      </c>
      <c r="O250" s="793">
        <f t="shared" si="24"/>
        <v>37011.392392895526</v>
      </c>
      <c r="P250" s="793">
        <f t="shared" si="25"/>
        <v>57454.288000322224</v>
      </c>
      <c r="Q250" s="191"/>
      <c r="R250" s="191"/>
      <c r="S250" s="191"/>
      <c r="T250" s="191"/>
      <c r="U250" s="191"/>
      <c r="V250" s="191"/>
      <c r="W250" s="191"/>
      <c r="X250" s="5"/>
      <c r="Y250" s="5"/>
      <c r="Z250" s="5"/>
      <c r="AA250" s="5"/>
      <c r="AB250" s="5"/>
    </row>
    <row r="251" spans="1:28" ht="12.75" customHeight="1">
      <c r="A251" s="178">
        <v>42217</v>
      </c>
      <c r="B251" s="200">
        <v>158122.35</v>
      </c>
      <c r="C251" s="191"/>
      <c r="D251" s="200">
        <v>149529.31</v>
      </c>
      <c r="E251" s="206">
        <f t="shared" si="23"/>
        <v>8524.7270332803964</v>
      </c>
      <c r="F251" s="207">
        <f t="shared" si="22"/>
        <v>17.540656658710596</v>
      </c>
      <c r="G251" s="197"/>
      <c r="H251" s="208">
        <f t="shared" si="31"/>
        <v>-5.4344246717810567E-2</v>
      </c>
      <c r="I251" s="208">
        <f t="shared" si="26"/>
        <v>2.3111462900659241E-2</v>
      </c>
      <c r="J251" s="216">
        <v>-6.0333835260001911E-2</v>
      </c>
      <c r="K251" s="216">
        <f t="shared" si="27"/>
        <v>4.8029188192788563E-3</v>
      </c>
      <c r="L251" s="216">
        <v>-1.4E-3</v>
      </c>
      <c r="M251" s="216">
        <f t="shared" si="28"/>
        <v>-4.8547068208001531E-2</v>
      </c>
      <c r="N251" s="216">
        <f t="shared" si="30"/>
        <v>7.9395996512625633E-3</v>
      </c>
      <c r="O251" s="793">
        <f t="shared" si="24"/>
        <v>35000.036153326313</v>
      </c>
      <c r="P251" s="793">
        <f t="shared" si="25"/>
        <v>54665.050761928411</v>
      </c>
      <c r="Q251" s="191"/>
      <c r="R251" s="191"/>
      <c r="S251" s="191"/>
      <c r="T251" s="191"/>
      <c r="U251" s="191"/>
      <c r="V251" s="191"/>
      <c r="W251" s="191"/>
      <c r="X251" s="5"/>
      <c r="Y251" s="5"/>
      <c r="Z251" s="5"/>
      <c r="AA251" s="5"/>
      <c r="AB251" s="5"/>
    </row>
    <row r="252" spans="1:28" ht="12.75" customHeight="1">
      <c r="A252" s="178">
        <v>42248</v>
      </c>
      <c r="B252" s="200">
        <v>149529.31</v>
      </c>
      <c r="C252" s="191"/>
      <c r="D252" s="200">
        <v>147476.48000000001</v>
      </c>
      <c r="E252" s="206">
        <f t="shared" si="23"/>
        <v>8524.7270332803964</v>
      </c>
      <c r="F252" s="207">
        <f t="shared" si="22"/>
        <v>17.299847775096403</v>
      </c>
      <c r="G252" s="197"/>
      <c r="H252" s="208">
        <f t="shared" si="31"/>
        <v>-1.3728612805074685E-2</v>
      </c>
      <c r="I252" s="208">
        <f t="shared" si="26"/>
        <v>1.3320929145853588E-2</v>
      </c>
      <c r="J252" s="216">
        <v>-2.4743489615968173E-2</v>
      </c>
      <c r="K252" s="216">
        <f t="shared" si="27"/>
        <v>-6.1454480411969881E-3</v>
      </c>
      <c r="L252" s="216">
        <v>6.7999999999999996E-3</v>
      </c>
      <c r="M252" s="216">
        <f t="shared" si="28"/>
        <v>-1.8434791692774538E-2</v>
      </c>
      <c r="N252" s="216">
        <f t="shared" si="30"/>
        <v>1.9428452288672293E-3</v>
      </c>
      <c r="O252" s="793">
        <f t="shared" si="24"/>
        <v>34519.534208813682</v>
      </c>
      <c r="P252" s="793">
        <f t="shared" si="25"/>
        <v>53657.311938257313</v>
      </c>
      <c r="Q252" s="191"/>
      <c r="R252" s="191"/>
      <c r="S252" s="191"/>
      <c r="T252" s="191"/>
      <c r="U252" s="191"/>
      <c r="V252" s="191"/>
      <c r="W252" s="191"/>
      <c r="X252" s="5"/>
      <c r="Y252" s="5"/>
      <c r="Z252" s="5"/>
      <c r="AA252" s="5"/>
      <c r="AB252" s="5"/>
    </row>
    <row r="253" spans="1:28" ht="12.75" customHeight="1">
      <c r="A253" s="178">
        <v>42278</v>
      </c>
      <c r="B253" s="200">
        <v>147476.48000000001</v>
      </c>
      <c r="C253" s="191"/>
      <c r="D253" s="200">
        <v>155685.09</v>
      </c>
      <c r="E253" s="206">
        <f t="shared" si="23"/>
        <v>8524.7270332803964</v>
      </c>
      <c r="F253" s="207">
        <f t="shared" si="22"/>
        <v>18.262765410811152</v>
      </c>
      <c r="G253" s="197"/>
      <c r="H253" s="208">
        <f t="shared" si="31"/>
        <v>5.5660468706603024E-2</v>
      </c>
      <c r="I253" s="208">
        <f t="shared" si="26"/>
        <v>4.4770517566755874E-2</v>
      </c>
      <c r="J253" s="216">
        <v>8.4354071099342454E-2</v>
      </c>
      <c r="K253" s="216">
        <f t="shared" si="27"/>
        <v>5.2020919071789073E-2</v>
      </c>
      <c r="L253" s="216">
        <v>2.0000000000000001E-4</v>
      </c>
      <c r="M253" s="216">
        <f t="shared" si="28"/>
        <v>6.752325687947397E-2</v>
      </c>
      <c r="N253" s="216">
        <f t="shared" si="30"/>
        <v>4.7105463979527196E-2</v>
      </c>
      <c r="O253" s="793">
        <f t="shared" si="24"/>
        <v>36440.907662409874</v>
      </c>
      <c r="P253" s="793">
        <f t="shared" si="25"/>
        <v>57280.428395726325</v>
      </c>
      <c r="Q253" s="191"/>
      <c r="R253" s="191"/>
      <c r="S253" s="191"/>
      <c r="T253" s="191"/>
      <c r="U253" s="191"/>
      <c r="V253" s="191"/>
      <c r="W253" s="191"/>
      <c r="X253" s="5"/>
      <c r="Y253" s="5"/>
      <c r="Z253" s="5"/>
      <c r="AA253" s="5"/>
      <c r="AB253" s="5"/>
    </row>
    <row r="254" spans="1:28" ht="12.75" customHeight="1">
      <c r="A254" s="178">
        <v>42309</v>
      </c>
      <c r="B254" s="200">
        <v>155685.09</v>
      </c>
      <c r="C254" s="191"/>
      <c r="D254" s="200">
        <v>154904.59</v>
      </c>
      <c r="E254" s="206">
        <f t="shared" si="23"/>
        <v>8524.7270332803964</v>
      </c>
      <c r="F254" s="207">
        <f t="shared" si="22"/>
        <v>18.171208226991315</v>
      </c>
      <c r="G254" s="197"/>
      <c r="H254" s="208">
        <f t="shared" si="31"/>
        <v>-5.0133252965970663E-3</v>
      </c>
      <c r="I254" s="208">
        <f t="shared" si="26"/>
        <v>6.5325579178177051E-3</v>
      </c>
      <c r="J254" s="216">
        <v>2.9738497930087426E-3</v>
      </c>
      <c r="K254" s="216">
        <f t="shared" si="27"/>
        <v>2.7509466612340105E-2</v>
      </c>
      <c r="L254" s="216">
        <v>-2.5999999999999999E-3</v>
      </c>
      <c r="M254" s="216">
        <f t="shared" si="28"/>
        <v>1.859079834406994E-3</v>
      </c>
      <c r="N254" s="216">
        <f t="shared" si="30"/>
        <v>2.5526537853743703E-2</v>
      </c>
      <c r="O254" s="793">
        <f t="shared" si="24"/>
        <v>36258.217538194956</v>
      </c>
      <c r="P254" s="793">
        <f t="shared" si="25"/>
        <v>57386.917285063013</v>
      </c>
      <c r="Q254" s="191"/>
      <c r="R254" s="191"/>
      <c r="S254" s="191"/>
      <c r="T254" s="191"/>
      <c r="U254" s="191"/>
      <c r="V254" s="191"/>
      <c r="W254" s="191"/>
      <c r="X254" s="5"/>
      <c r="Y254" s="5"/>
      <c r="Z254" s="5"/>
      <c r="AA254" s="5"/>
      <c r="AB254" s="5"/>
    </row>
    <row r="255" spans="1:28" s="371" customFormat="1" ht="12.75" customHeight="1">
      <c r="A255" s="1465">
        <v>42339</v>
      </c>
      <c r="B255" s="1466">
        <v>154904.59</v>
      </c>
      <c r="C255" s="1467"/>
      <c r="D255" s="1466">
        <v>152148.18</v>
      </c>
      <c r="E255" s="593">
        <f t="shared" si="23"/>
        <v>8524.7270332803964</v>
      </c>
      <c r="F255" s="594">
        <f t="shared" si="22"/>
        <v>17.847865322375245</v>
      </c>
      <c r="G255" s="1468"/>
      <c r="H255" s="595">
        <f t="shared" si="31"/>
        <v>-1.7794243540491677E-2</v>
      </c>
      <c r="I255" s="595">
        <f t="shared" si="26"/>
        <v>-7.9904836887211284E-3</v>
      </c>
      <c r="J255" s="1469">
        <v>-1.5771857660784816E-2</v>
      </c>
      <c r="K255" s="1469">
        <f t="shared" si="27"/>
        <v>1.3838329383279335E-2</v>
      </c>
      <c r="L255" s="1469">
        <v>-3.2000000000000002E-3</v>
      </c>
      <c r="M255" s="1469">
        <f t="shared" si="28"/>
        <v>-1.3257486128627854E-2</v>
      </c>
      <c r="N255" s="1469">
        <f t="shared" si="30"/>
        <v>1.3775705788142467E-2</v>
      </c>
      <c r="O255" s="1470">
        <f t="shared" si="24"/>
        <v>35613.029984976187</v>
      </c>
      <c r="P255" s="1470">
        <f t="shared" si="25"/>
        <v>56626.111025191574</v>
      </c>
      <c r="Q255" s="370"/>
      <c r="R255" s="370"/>
      <c r="S255" s="370"/>
      <c r="T255" s="370"/>
      <c r="U255" s="370"/>
      <c r="V255" s="370"/>
      <c r="W255" s="370"/>
      <c r="X255" s="369"/>
      <c r="Y255" s="369"/>
      <c r="Z255" s="369"/>
      <c r="AA255" s="369"/>
      <c r="AB255" s="369"/>
    </row>
    <row r="256" spans="1:28" ht="12.75" customHeight="1">
      <c r="A256" s="178">
        <v>42370</v>
      </c>
      <c r="B256" s="200">
        <v>152148.18</v>
      </c>
      <c r="C256" s="191"/>
      <c r="D256" s="200">
        <v>145093.57</v>
      </c>
      <c r="E256" s="206">
        <f t="shared" si="23"/>
        <v>8524.7270332803964</v>
      </c>
      <c r="F256" s="207">
        <f t="shared" si="22"/>
        <v>17.020318590091748</v>
      </c>
      <c r="G256" s="197"/>
      <c r="H256" s="208">
        <f t="shared" si="31"/>
        <v>-4.6366706456823795E-2</v>
      </c>
      <c r="I256" s="208">
        <f t="shared" si="26"/>
        <v>-4.3266402096028056E-2</v>
      </c>
      <c r="J256" s="216">
        <v>-4.9624236454603454E-2</v>
      </c>
      <c r="K256" s="216">
        <f t="shared" si="27"/>
        <v>-6.6531132650223812E-3</v>
      </c>
      <c r="L256" s="216">
        <v>1.38E-2</v>
      </c>
      <c r="M256" s="216">
        <f t="shared" si="28"/>
        <v>-3.6939389163682765E-2</v>
      </c>
      <c r="N256" s="216">
        <f t="shared" si="30"/>
        <v>-3.9351405108482007E-3</v>
      </c>
      <c r="O256" s="793">
        <f t="shared" si="24"/>
        <v>33961.771077624733</v>
      </c>
      <c r="P256" s="793">
        <f t="shared" si="25"/>
        <v>54534.377073206117</v>
      </c>
      <c r="Q256" s="191"/>
      <c r="R256" s="191"/>
      <c r="S256" s="191"/>
      <c r="T256" s="191"/>
      <c r="U256" s="191"/>
      <c r="V256" s="191"/>
      <c r="W256" s="191"/>
      <c r="X256" s="5"/>
      <c r="Y256" s="5"/>
      <c r="Z256" s="5"/>
      <c r="AA256" s="5"/>
      <c r="AB256" s="5"/>
    </row>
    <row r="257" spans="1:28" ht="12.75" customHeight="1">
      <c r="A257" s="178">
        <v>42401</v>
      </c>
      <c r="B257" s="200">
        <v>145093.57</v>
      </c>
      <c r="C257" s="196">
        <v>-5000</v>
      </c>
      <c r="D257" s="200">
        <v>139542.14000000001</v>
      </c>
      <c r="E257" s="214">
        <f t="shared" si="23"/>
        <v>8230.9604992678833</v>
      </c>
      <c r="F257" s="207">
        <f t="shared" si="22"/>
        <v>16.953323978703558</v>
      </c>
      <c r="G257" s="197"/>
      <c r="H257" s="208">
        <f t="shared" si="31"/>
        <v>-3.9361549570047184E-3</v>
      </c>
      <c r="I257" s="208">
        <f t="shared" si="26"/>
        <v>-8.4594036755295421E-2</v>
      </c>
      <c r="J257" s="216">
        <v>-1.2999999999999999E-3</v>
      </c>
      <c r="K257" s="216">
        <f t="shared" si="27"/>
        <v>-6.1860742615157505E-2</v>
      </c>
      <c r="L257" s="216">
        <v>7.1000000000000004E-3</v>
      </c>
      <c r="M257" s="216">
        <f t="shared" si="28"/>
        <v>3.8000000000000035E-4</v>
      </c>
      <c r="N257" s="216">
        <f t="shared" si="30"/>
        <v>-4.5641193587227957E-2</v>
      </c>
      <c r="O257" s="793">
        <f t="shared" si="24"/>
        <v>33828.092284048878</v>
      </c>
      <c r="P257" s="793">
        <f t="shared" si="25"/>
        <v>54555.100136493937</v>
      </c>
      <c r="Q257" s="191"/>
      <c r="R257" s="191"/>
      <c r="S257" s="191"/>
      <c r="T257" s="191"/>
      <c r="U257" s="191"/>
      <c r="V257" s="191"/>
      <c r="W257" s="191"/>
      <c r="X257" s="5"/>
      <c r="Y257" s="5"/>
      <c r="Z257" s="5"/>
      <c r="AA257" s="5"/>
      <c r="AB257" s="5"/>
    </row>
    <row r="258" spans="1:28" ht="12.75" customHeight="1">
      <c r="A258" s="178">
        <v>42430</v>
      </c>
      <c r="B258" s="200">
        <v>139542.14000000001</v>
      </c>
      <c r="C258" s="191"/>
      <c r="D258" s="200">
        <v>147069.18</v>
      </c>
      <c r="E258" s="206">
        <f t="shared" si="23"/>
        <v>8230.9604992678833</v>
      </c>
      <c r="F258" s="207">
        <f t="shared" si="22"/>
        <v>17.867802914748687</v>
      </c>
      <c r="G258" s="197"/>
      <c r="H258" s="208">
        <f t="shared" si="31"/>
        <v>5.394098155582229E-2</v>
      </c>
      <c r="I258" s="208">
        <f t="shared" si="26"/>
        <v>-2.4725404332608059E-2</v>
      </c>
      <c r="J258" s="216">
        <v>6.7799999999999999E-2</v>
      </c>
      <c r="K258" s="216">
        <f t="shared" si="27"/>
        <v>1.7841737649457734E-2</v>
      </c>
      <c r="L258" s="216">
        <v>9.1999999999999998E-3</v>
      </c>
      <c r="M258" s="216">
        <f t="shared" si="28"/>
        <v>5.6080000000000005E-2</v>
      </c>
      <c r="N258" s="216">
        <f t="shared" si="30"/>
        <v>1.9843630140089052E-2</v>
      </c>
      <c r="O258" s="793">
        <f t="shared" si="24"/>
        <v>35652.812786011411</v>
      </c>
      <c r="P258" s="793">
        <f t="shared" si="25"/>
        <v>57614.550152148513</v>
      </c>
      <c r="Q258" s="191"/>
      <c r="R258" s="191"/>
      <c r="S258" s="191"/>
      <c r="T258" s="191"/>
      <c r="U258" s="191"/>
      <c r="V258" s="191"/>
      <c r="W258" s="191"/>
      <c r="X258" s="5"/>
      <c r="Y258" s="5"/>
      <c r="Z258" s="5"/>
      <c r="AA258" s="5"/>
      <c r="AB258" s="5"/>
    </row>
    <row r="259" spans="1:28" ht="12.75" customHeight="1">
      <c r="A259" s="178">
        <v>42461</v>
      </c>
      <c r="B259" s="200">
        <v>147069.18</v>
      </c>
      <c r="C259" s="191"/>
      <c r="D259" s="200">
        <v>146624.94</v>
      </c>
      <c r="E259" s="206">
        <f t="shared" si="23"/>
        <v>8230.9604992678833</v>
      </c>
      <c r="F259" s="207">
        <f t="shared" si="22"/>
        <v>17.813831084846271</v>
      </c>
      <c r="G259" s="197"/>
      <c r="H259" s="208">
        <f t="shared" si="31"/>
        <v>-3.0206192759080481E-3</v>
      </c>
      <c r="I259" s="208">
        <f t="shared" si="26"/>
        <v>-2.6802013280166292E-2</v>
      </c>
      <c r="J259" s="216">
        <v>3.8999999999999998E-3</v>
      </c>
      <c r="K259" s="216">
        <f t="shared" si="27"/>
        <v>1.2102012462541945E-2</v>
      </c>
      <c r="L259" s="216">
        <v>3.8E-3</v>
      </c>
      <c r="M259" s="216">
        <f t="shared" si="28"/>
        <v>3.8799999999999998E-3</v>
      </c>
      <c r="N259" s="216">
        <f t="shared" si="30"/>
        <v>1.6729706884478723E-2</v>
      </c>
      <c r="O259" s="793">
        <f t="shared" si="24"/>
        <v>35545.119212469646</v>
      </c>
      <c r="P259" s="793">
        <f t="shared" si="25"/>
        <v>57838.094606738858</v>
      </c>
      <c r="Q259" s="191"/>
      <c r="R259" s="191"/>
      <c r="S259" s="191"/>
      <c r="T259" s="191"/>
      <c r="U259" s="191"/>
      <c r="V259" s="191"/>
      <c r="W259" s="191"/>
      <c r="X259" s="5"/>
      <c r="Y259" s="5"/>
      <c r="Z259" s="5"/>
      <c r="AA259" s="5"/>
      <c r="AB259" s="5"/>
    </row>
    <row r="260" spans="1:28" ht="12.75" customHeight="1">
      <c r="A260" s="178">
        <v>42491</v>
      </c>
      <c r="B260" s="307">
        <v>146624.94</v>
      </c>
      <c r="C260" s="191"/>
      <c r="D260" s="200">
        <v>149641.71</v>
      </c>
      <c r="E260" s="206">
        <f t="shared" si="23"/>
        <v>8230.9604992678833</v>
      </c>
      <c r="F260" s="207">
        <f t="shared" ref="F260:F282" si="32">D260/E260</f>
        <v>18.18034602563214</v>
      </c>
      <c r="G260" s="197"/>
      <c r="H260" s="208">
        <f t="shared" si="31"/>
        <v>2.0574739877131386E-2</v>
      </c>
      <c r="I260" s="208">
        <f t="shared" si="26"/>
        <v>-2.7159886392715271E-2</v>
      </c>
      <c r="J260" s="216">
        <v>1.7999999999999999E-2</v>
      </c>
      <c r="K260" s="216">
        <f t="shared" si="27"/>
        <v>1.7238908712283285E-2</v>
      </c>
      <c r="L260" s="216">
        <v>2.9999999999999997E-4</v>
      </c>
      <c r="M260" s="216">
        <f t="shared" si="28"/>
        <v>1.4459999999999999E-2</v>
      </c>
      <c r="N260" s="216">
        <f t="shared" si="30"/>
        <v>2.1414192430403656E-2</v>
      </c>
      <c r="O260" s="793">
        <f t="shared" si="24"/>
        <v>36276.450794167838</v>
      </c>
      <c r="P260" s="793">
        <f t="shared" si="25"/>
        <v>58674.433454752296</v>
      </c>
      <c r="Q260" s="191"/>
      <c r="R260" s="191"/>
      <c r="S260" s="191"/>
      <c r="T260" s="191"/>
      <c r="U260" s="191"/>
      <c r="V260" s="191"/>
      <c r="W260" s="191"/>
      <c r="X260" s="5"/>
      <c r="Y260" s="5"/>
      <c r="Z260" s="5"/>
      <c r="AA260" s="5"/>
      <c r="AB260" s="5"/>
    </row>
    <row r="261" spans="1:28" ht="12.75" customHeight="1">
      <c r="A261" s="178">
        <v>42522</v>
      </c>
      <c r="B261" s="200">
        <v>149641.71</v>
      </c>
      <c r="C261" s="191"/>
      <c r="D261" s="200">
        <v>150486.17000000001</v>
      </c>
      <c r="E261" s="206">
        <f t="shared" ref="E261:E282" si="33">E260+C261/F260</f>
        <v>8230.9604992678833</v>
      </c>
      <c r="F261" s="207">
        <f t="shared" si="32"/>
        <v>18.282941585418282</v>
      </c>
      <c r="G261" s="197"/>
      <c r="H261" s="208">
        <f t="shared" si="31"/>
        <v>5.6432127112154111E-3</v>
      </c>
      <c r="I261" s="208">
        <f t="shared" si="26"/>
        <v>3.3760209448623346E-3</v>
      </c>
      <c r="J261" s="216">
        <v>2.5999999999999999E-3</v>
      </c>
      <c r="K261" s="216">
        <f t="shared" si="27"/>
        <v>4.0016421787651524E-2</v>
      </c>
      <c r="L261" s="216">
        <v>1.7999999999999999E-2</v>
      </c>
      <c r="M261" s="216">
        <f t="shared" si="28"/>
        <v>5.6799999999999993E-3</v>
      </c>
      <c r="N261" s="216">
        <f t="shared" si="30"/>
        <v>4.5689436353332002E-2</v>
      </c>
      <c r="O261" s="793">
        <f t="shared" si="24"/>
        <v>36481.166522407264</v>
      </c>
      <c r="P261" s="793">
        <f t="shared" si="25"/>
        <v>59007.70423677528</v>
      </c>
      <c r="Q261" s="191"/>
      <c r="R261" s="191"/>
      <c r="S261" s="191"/>
      <c r="T261" s="191"/>
      <c r="U261" s="191"/>
      <c r="V261" s="191"/>
      <c r="W261" s="191"/>
      <c r="X261" s="5"/>
      <c r="Y261" s="5"/>
      <c r="Z261" s="5"/>
      <c r="AA261" s="5"/>
      <c r="AB261" s="5"/>
    </row>
    <row r="262" spans="1:28" ht="12.75" customHeight="1">
      <c r="A262" s="178">
        <v>42552</v>
      </c>
      <c r="B262" s="200">
        <v>150486.17000000001</v>
      </c>
      <c r="C262" s="191"/>
      <c r="D262" s="200">
        <v>155083.13</v>
      </c>
      <c r="E262" s="206">
        <f t="shared" si="33"/>
        <v>8230.9604992678833</v>
      </c>
      <c r="F262" s="207">
        <f t="shared" si="32"/>
        <v>18.841437765834758</v>
      </c>
      <c r="G262" s="197"/>
      <c r="H262" s="208">
        <f t="shared" si="31"/>
        <v>3.0547391830093126E-2</v>
      </c>
      <c r="I262" s="208">
        <f t="shared" si="26"/>
        <v>1.5783751432240756E-2</v>
      </c>
      <c r="J262" s="216">
        <v>3.6900000000000002E-2</v>
      </c>
      <c r="K262" s="216">
        <f t="shared" si="27"/>
        <v>5.6263022131306073E-2</v>
      </c>
      <c r="L262" s="216">
        <v>6.3E-3</v>
      </c>
      <c r="M262" s="216">
        <f t="shared" si="28"/>
        <v>3.0780000000000005E-2</v>
      </c>
      <c r="N262" s="216">
        <f t="shared" si="30"/>
        <v>5.8649641134567609E-2</v>
      </c>
      <c r="O262" s="793">
        <f t="shared" ref="O262:O275" si="34">O261*(1+H262)</f>
        <v>37595.571010586114</v>
      </c>
      <c r="P262" s="793">
        <f t="shared" ref="P262:P275" si="35">P261*(1+M262)</f>
        <v>60823.961373183221</v>
      </c>
      <c r="Q262" s="191"/>
      <c r="R262" s="191"/>
      <c r="S262" s="191"/>
      <c r="T262" s="191"/>
      <c r="U262" s="191"/>
      <c r="V262" s="191"/>
      <c r="W262" s="191"/>
      <c r="X262" s="5"/>
      <c r="Y262" s="5"/>
      <c r="Z262" s="5"/>
      <c r="AA262" s="5"/>
      <c r="AB262" s="5"/>
    </row>
    <row r="263" spans="1:28" ht="12.75" customHeight="1">
      <c r="A263" s="178">
        <v>42583</v>
      </c>
      <c r="B263" s="200">
        <v>155083.13</v>
      </c>
      <c r="C263" s="191"/>
      <c r="D263" s="200">
        <v>155101.42777000001</v>
      </c>
      <c r="E263" s="206">
        <f t="shared" si="33"/>
        <v>8230.9604992678833</v>
      </c>
      <c r="F263" s="207">
        <f t="shared" si="32"/>
        <v>18.843660807726604</v>
      </c>
      <c r="G263" s="197"/>
      <c r="H263" s="208">
        <f t="shared" si="31"/>
        <v>1.1798685002035573E-4</v>
      </c>
      <c r="I263" s="208">
        <f t="shared" si="26"/>
        <v>7.4284798703299737E-2</v>
      </c>
      <c r="J263" s="216">
        <v>1.4E-3</v>
      </c>
      <c r="K263" s="216">
        <f t="shared" si="27"/>
        <v>0.12565699399739794</v>
      </c>
      <c r="L263" s="216">
        <v>-1.1000000000000001E-3</v>
      </c>
      <c r="M263" s="216">
        <f t="shared" si="28"/>
        <v>9.0000000000000008E-4</v>
      </c>
      <c r="N263" s="216">
        <f t="shared" si="30"/>
        <v>0.11366772901303501</v>
      </c>
      <c r="O263" s="793">
        <f t="shared" si="34"/>
        <v>37600.006793584369</v>
      </c>
      <c r="P263" s="793">
        <f t="shared" si="35"/>
        <v>60878.702938419083</v>
      </c>
      <c r="Q263" s="191"/>
      <c r="R263" s="191"/>
      <c r="S263" s="191"/>
      <c r="T263" s="191"/>
      <c r="U263" s="191"/>
      <c r="V263" s="191"/>
      <c r="W263" s="191"/>
      <c r="X263" s="5"/>
      <c r="Y263" s="5"/>
      <c r="Z263" s="5"/>
      <c r="AA263" s="5"/>
      <c r="AB263" s="5"/>
    </row>
    <row r="264" spans="1:28" ht="12.75" customHeight="1">
      <c r="A264" s="178">
        <v>42614</v>
      </c>
      <c r="B264" s="200">
        <v>155101.43</v>
      </c>
      <c r="C264" s="191"/>
      <c r="D264" s="200">
        <v>155199.76999999999</v>
      </c>
      <c r="E264" s="206">
        <f t="shared" si="33"/>
        <v>8230.9604992678833</v>
      </c>
      <c r="F264" s="207">
        <f t="shared" si="32"/>
        <v>18.855608651481742</v>
      </c>
      <c r="G264" s="197"/>
      <c r="H264" s="208">
        <f t="shared" si="31"/>
        <v>6.34051094267142E-4</v>
      </c>
      <c r="I264" s="208">
        <f t="shared" si="26"/>
        <v>8.9929165655717291E-2</v>
      </c>
      <c r="J264" s="216">
        <v>2.0000000000000001E-4</v>
      </c>
      <c r="K264" s="216">
        <f t="shared" si="27"/>
        <v>0.15444717713584133</v>
      </c>
      <c r="L264" s="216">
        <v>-5.9999999999999995E-4</v>
      </c>
      <c r="M264" s="216">
        <f t="shared" si="28"/>
        <v>4.0000000000000024E-5</v>
      </c>
      <c r="N264" s="216">
        <f t="shared" si="30"/>
        <v>0.13462892357693312</v>
      </c>
      <c r="O264" s="793">
        <f t="shared" si="34"/>
        <v>37623.847119036291</v>
      </c>
      <c r="P264" s="793">
        <f t="shared" si="35"/>
        <v>60881.138086536623</v>
      </c>
      <c r="Q264" s="191"/>
      <c r="R264" s="191"/>
      <c r="S264" s="191"/>
      <c r="T264" s="191"/>
      <c r="U264" s="191"/>
      <c r="V264" s="191"/>
      <c r="W264" s="191"/>
      <c r="X264" s="5"/>
      <c r="Y264" s="5"/>
      <c r="Z264" s="5"/>
      <c r="AA264" s="5"/>
      <c r="AB264" s="5"/>
    </row>
    <row r="265" spans="1:28" ht="12.75" customHeight="1">
      <c r="A265" s="178">
        <v>42644</v>
      </c>
      <c r="B265" s="200">
        <v>155199.76999999999</v>
      </c>
      <c r="C265" s="191"/>
      <c r="D265" s="200">
        <v>150462.03</v>
      </c>
      <c r="E265" s="206">
        <f t="shared" si="33"/>
        <v>8230.9604992678833</v>
      </c>
      <c r="F265" s="207">
        <f t="shared" si="32"/>
        <v>18.280008756375771</v>
      </c>
      <c r="G265" s="197"/>
      <c r="H265" s="208">
        <f t="shared" si="31"/>
        <v>-3.0526720497072762E-2</v>
      </c>
      <c r="I265" s="208">
        <f t="shared" si="26"/>
        <v>9.4418042266530833E-4</v>
      </c>
      <c r="J265" s="216">
        <v>-1.8200000000000001E-2</v>
      </c>
      <c r="K265" s="216">
        <f t="shared" si="27"/>
        <v>4.5263967481458112E-2</v>
      </c>
      <c r="L265" s="216">
        <v>-7.6E-3</v>
      </c>
      <c r="M265" s="216">
        <f t="shared" si="28"/>
        <v>-1.6080000000000001E-2</v>
      </c>
      <c r="N265" s="216">
        <f t="shared" si="30"/>
        <v>4.5770275534014804E-2</v>
      </c>
      <c r="O265" s="793">
        <f t="shared" si="34"/>
        <v>36475.314454008876</v>
      </c>
      <c r="P265" s="793">
        <f t="shared" si="35"/>
        <v>59902.169386105117</v>
      </c>
      <c r="Q265" s="191"/>
      <c r="R265" s="191"/>
      <c r="S265" s="191"/>
      <c r="T265" s="191"/>
      <c r="U265" s="191"/>
      <c r="V265" s="191"/>
      <c r="W265" s="191"/>
      <c r="X265" s="5"/>
      <c r="Y265" s="5"/>
      <c r="Z265" s="5"/>
      <c r="AA265" s="5"/>
      <c r="AB265" s="5"/>
    </row>
    <row r="266" spans="1:28" ht="12.75" customHeight="1">
      <c r="A266" s="178">
        <v>42675</v>
      </c>
      <c r="B266" s="200">
        <v>150462.03</v>
      </c>
      <c r="C266" s="191"/>
      <c r="D266" s="200">
        <v>152357.16</v>
      </c>
      <c r="E266" s="206">
        <f t="shared" si="33"/>
        <v>8230.9604992678833</v>
      </c>
      <c r="F266" s="207">
        <f t="shared" si="32"/>
        <v>18.51025284516329</v>
      </c>
      <c r="G266" s="197"/>
      <c r="H266" s="208">
        <f t="shared" si="31"/>
        <v>1.2595403637715061E-2</v>
      </c>
      <c r="I266" s="208">
        <f t="shared" si="26"/>
        <v>1.8658342028592401E-2</v>
      </c>
      <c r="J266" s="216">
        <v>3.6999999999999998E-2</v>
      </c>
      <c r="K266" s="216">
        <f t="shared" si="27"/>
        <v>8.0724820993061996E-2</v>
      </c>
      <c r="L266" s="216">
        <v>-2.3699999999999999E-2</v>
      </c>
      <c r="M266" s="216">
        <f t="shared" si="28"/>
        <v>2.486E-2</v>
      </c>
      <c r="N266" s="216">
        <f t="shared" si="30"/>
        <v>6.9779319423784125E-2</v>
      </c>
      <c r="O266" s="793">
        <f t="shared" si="34"/>
        <v>36934.735762369703</v>
      </c>
      <c r="P266" s="793">
        <f t="shared" si="35"/>
        <v>61391.337317043697</v>
      </c>
      <c r="Q266" s="191"/>
      <c r="R266" s="191"/>
      <c r="S266" s="191"/>
      <c r="T266" s="191"/>
      <c r="U266" s="191"/>
      <c r="V266" s="191"/>
      <c r="W266" s="191"/>
      <c r="X266" s="5"/>
      <c r="Y266" s="5"/>
      <c r="Z266" s="5"/>
      <c r="AA266" s="5"/>
      <c r="AB266" s="5"/>
    </row>
    <row r="267" spans="1:28" s="371" customFormat="1" ht="12.75" customHeight="1">
      <c r="A267" s="1465">
        <v>42705</v>
      </c>
      <c r="B267" s="1466">
        <v>152357.16</v>
      </c>
      <c r="C267" s="1467"/>
      <c r="D267" s="1466">
        <v>154813.76999999999</v>
      </c>
      <c r="E267" s="593">
        <f t="shared" si="33"/>
        <v>8230.9604992678833</v>
      </c>
      <c r="F267" s="594">
        <f t="shared" si="32"/>
        <v>18.808712545002514</v>
      </c>
      <c r="G267" s="1468"/>
      <c r="H267" s="595">
        <f t="shared" si="31"/>
        <v>1.6124020689280393E-2</v>
      </c>
      <c r="I267" s="595">
        <f t="shared" si="26"/>
        <v>5.3835414223049716E-2</v>
      </c>
      <c r="J267" s="1469">
        <v>1.97661086616681E-2</v>
      </c>
      <c r="K267" s="1469">
        <f t="shared" si="27"/>
        <v>0.1197470361077495</v>
      </c>
      <c r="L267" s="1469">
        <v>1.4E-3</v>
      </c>
      <c r="M267" s="1469">
        <f t="shared" si="28"/>
        <v>1.6092886929334478E-2</v>
      </c>
      <c r="N267" s="1469">
        <f t="shared" si="30"/>
        <v>0.10159959844631561</v>
      </c>
      <c r="O267" s="1470">
        <f t="shared" si="34"/>
        <v>37530.272205955254</v>
      </c>
      <c r="P267" s="1470">
        <f t="shared" si="35"/>
        <v>62379.301166927507</v>
      </c>
      <c r="Q267" s="370"/>
      <c r="R267" s="370"/>
      <c r="S267" s="370"/>
      <c r="T267" s="370"/>
      <c r="U267" s="370"/>
      <c r="V267" s="370"/>
      <c r="W267" s="370"/>
      <c r="X267" s="369"/>
      <c r="Y267" s="369"/>
      <c r="Z267" s="369"/>
      <c r="AA267" s="369"/>
      <c r="AB267" s="369"/>
    </row>
    <row r="268" spans="1:28" ht="12.75" customHeight="1">
      <c r="A268" s="178">
        <v>42736</v>
      </c>
      <c r="B268" s="200">
        <v>154813.76999999999</v>
      </c>
      <c r="C268" s="191"/>
      <c r="D268" s="200">
        <v>156981.60999999999</v>
      </c>
      <c r="E268" s="206">
        <f t="shared" si="33"/>
        <v>8230.9604992678833</v>
      </c>
      <c r="F268" s="207">
        <f t="shared" si="32"/>
        <v>19.072088854510113</v>
      </c>
      <c r="G268" s="197"/>
      <c r="H268" s="208">
        <f t="shared" si="31"/>
        <v>1.4002888761122483E-2</v>
      </c>
      <c r="I268" s="208">
        <f t="shared" si="26"/>
        <v>0.12054828783362459</v>
      </c>
      <c r="J268" s="216">
        <v>1.8966441686820899E-2</v>
      </c>
      <c r="K268" s="216">
        <f t="shared" si="27"/>
        <v>0.2005616059858375</v>
      </c>
      <c r="L268" s="216">
        <v>2E-3</v>
      </c>
      <c r="M268" s="216">
        <f t="shared" si="28"/>
        <v>1.557315334945672E-2</v>
      </c>
      <c r="N268" s="216">
        <f t="shared" si="30"/>
        <v>0.16166621844402762</v>
      </c>
      <c r="O268" s="793">
        <f t="shared" si="34"/>
        <v>38055.804432829893</v>
      </c>
      <c r="P268" s="793">
        <f t="shared" si="35"/>
        <v>63350.743589832018</v>
      </c>
      <c r="Q268" s="191"/>
      <c r="R268" s="191"/>
      <c r="S268" s="191"/>
      <c r="T268" s="191"/>
      <c r="U268" s="191"/>
      <c r="V268" s="191"/>
      <c r="W268" s="191"/>
      <c r="X268" s="5"/>
      <c r="Y268" s="5"/>
      <c r="Z268" s="5"/>
      <c r="AA268" s="5"/>
      <c r="AB268" s="5"/>
    </row>
    <row r="269" spans="1:28" ht="12.75" customHeight="1">
      <c r="A269" s="178">
        <v>42767</v>
      </c>
      <c r="B269" s="200">
        <v>156981.60999999999</v>
      </c>
      <c r="C269" s="191"/>
      <c r="D269" s="200">
        <v>161851.42000000001</v>
      </c>
      <c r="E269" s="206">
        <f t="shared" si="33"/>
        <v>8230.9604992678833</v>
      </c>
      <c r="F269" s="207">
        <f t="shared" si="32"/>
        <v>19.663734264597206</v>
      </c>
      <c r="G269" s="197"/>
      <c r="H269" s="208">
        <f t="shared" si="31"/>
        <v>3.1021531757764557E-2</v>
      </c>
      <c r="I269" s="208">
        <f t="shared" si="26"/>
        <v>0.15987485930773304</v>
      </c>
      <c r="J269" s="216">
        <v>3.9705922102918102E-2</v>
      </c>
      <c r="K269" s="216">
        <f t="shared" si="27"/>
        <v>0.24985582416427898</v>
      </c>
      <c r="L269" s="216">
        <v>6.7000000000000002E-3</v>
      </c>
      <c r="M269" s="216">
        <f t="shared" si="28"/>
        <v>3.3104737682334483E-2</v>
      </c>
      <c r="N269" s="216">
        <f t="shared" si="30"/>
        <v>0.19966700041988661</v>
      </c>
      <c r="O269" s="793">
        <f t="shared" si="34"/>
        <v>39236.353778610195</v>
      </c>
      <c r="P269" s="793">
        <f t="shared" si="35"/>
        <v>65447.953338354244</v>
      </c>
      <c r="Q269" s="191"/>
      <c r="R269" s="191"/>
      <c r="S269" s="191"/>
      <c r="T269" s="191"/>
      <c r="U269" s="191"/>
      <c r="V269" s="191"/>
      <c r="W269" s="191"/>
      <c r="X269" s="5"/>
      <c r="Y269" s="5"/>
      <c r="Z269" s="5"/>
      <c r="AA269" s="5"/>
      <c r="AB269" s="5"/>
    </row>
    <row r="270" spans="1:28" ht="12.75" customHeight="1">
      <c r="A270" s="178">
        <v>42795</v>
      </c>
      <c r="B270" s="200">
        <v>161851.42000000001</v>
      </c>
      <c r="C270" s="191"/>
      <c r="D270" s="200">
        <v>162310.07999999999</v>
      </c>
      <c r="E270" s="206">
        <f t="shared" si="33"/>
        <v>8230.9604992678833</v>
      </c>
      <c r="F270" s="207">
        <f t="shared" si="32"/>
        <v>19.719458016404882</v>
      </c>
      <c r="G270" s="197"/>
      <c r="H270" s="208">
        <f t="shared" si="31"/>
        <v>2.8338336481693463E-3</v>
      </c>
      <c r="I270" s="208">
        <f t="shared" si="26"/>
        <v>0.10363082190299799</v>
      </c>
      <c r="J270" s="216">
        <v>1.1664756978775001E-3</v>
      </c>
      <c r="K270" s="216">
        <f t="shared" si="27"/>
        <v>0.17186153831149764</v>
      </c>
      <c r="L270" s="216">
        <v>-5.0000000000000001E-4</v>
      </c>
      <c r="M270" s="216">
        <f t="shared" si="28"/>
        <v>8.3318055830200011E-4</v>
      </c>
      <c r="N270" s="216">
        <f t="shared" si="30"/>
        <v>0.13690869975861042</v>
      </c>
      <c r="O270" s="793">
        <f t="shared" si="34"/>
        <v>39347.543078179493</v>
      </c>
      <c r="P270" s="793">
        <f t="shared" si="35"/>
        <v>65502.483300656415</v>
      </c>
      <c r="Q270" s="191"/>
      <c r="R270" s="191"/>
      <c r="S270" s="191"/>
      <c r="T270" s="191"/>
      <c r="U270" s="191"/>
      <c r="V270" s="191"/>
      <c r="W270" s="191"/>
      <c r="X270" s="5"/>
      <c r="Y270" s="5"/>
      <c r="Z270" s="5"/>
      <c r="AA270" s="5"/>
      <c r="AB270" s="5"/>
    </row>
    <row r="271" spans="1:28" ht="12.75" customHeight="1">
      <c r="A271" s="178">
        <v>42826</v>
      </c>
      <c r="B271" s="200">
        <v>162310.07999999999</v>
      </c>
      <c r="C271" s="191"/>
      <c r="D271" s="200">
        <v>163430.93</v>
      </c>
      <c r="E271" s="206">
        <f t="shared" si="33"/>
        <v>8230.9604992678833</v>
      </c>
      <c r="F271" s="207">
        <f t="shared" si="32"/>
        <v>19.855632889325204</v>
      </c>
      <c r="G271" s="197"/>
      <c r="H271" s="208">
        <f t="shared" si="31"/>
        <v>6.9056093127425541E-3</v>
      </c>
      <c r="I271" s="208">
        <f t="shared" ref="I271:I282" si="36">((1+H260)*(1+H261)*(1+H262)*(1+H263)*(1+H264)*(1+H265)*(1+H266)*(1+H267)*(1+H268)*(1+H269)*(1+H270)*(1+H271))-1</f>
        <v>0.11461890453288448</v>
      </c>
      <c r="J271" s="216">
        <v>1.0269915837098201E-2</v>
      </c>
      <c r="K271" s="216">
        <f>((1+J260)*(1+J261)*(1+J262)*(1+J263)*(1+J264)*(1+J265)*(1+J266)*(1+J267)*(1+J268)*(1+J269)*(1+J270)*(1+J271))-1</f>
        <v>0.17929719860811777</v>
      </c>
      <c r="L271" s="216">
        <v>7.7000000000000002E-3</v>
      </c>
      <c r="M271" s="216">
        <f t="shared" si="28"/>
        <v>9.755932669678561E-3</v>
      </c>
      <c r="N271" s="216">
        <f t="shared" si="30"/>
        <v>0.14356327896265197</v>
      </c>
      <c r="O271" s="793">
        <f t="shared" si="34"/>
        <v>39619.261838093713</v>
      </c>
      <c r="P271" s="793">
        <f t="shared" si="35"/>
        <v>66141.521117434357</v>
      </c>
      <c r="Q271" s="191"/>
      <c r="R271" s="191"/>
      <c r="S271" s="191"/>
      <c r="T271" s="191"/>
      <c r="U271" s="191"/>
      <c r="V271" s="191"/>
      <c r="W271" s="191"/>
      <c r="X271" s="5"/>
      <c r="Y271" s="5"/>
      <c r="Z271" s="5"/>
      <c r="AA271" s="5"/>
      <c r="AB271" s="5"/>
    </row>
    <row r="272" spans="1:28" ht="12.75" customHeight="1">
      <c r="A272" s="178">
        <v>42856</v>
      </c>
      <c r="B272" s="200">
        <v>163430.93</v>
      </c>
      <c r="C272" s="191"/>
      <c r="D272" s="200">
        <v>164444.31</v>
      </c>
      <c r="E272" s="206">
        <f t="shared" si="33"/>
        <v>8230.9604992678833</v>
      </c>
      <c r="F272" s="207">
        <f t="shared" si="32"/>
        <v>19.978750962858683</v>
      </c>
      <c r="G272" s="197"/>
      <c r="H272" s="208">
        <f t="shared" si="31"/>
        <v>6.2006622614215632E-3</v>
      </c>
      <c r="I272" s="208">
        <f t="shared" si="36"/>
        <v>9.8920280983155973E-2</v>
      </c>
      <c r="J272" s="216">
        <v>1.4072800425422E-2</v>
      </c>
      <c r="K272" s="216">
        <f>((1+J261)*(1+J262)*(1+J263)*(1+J264)*(1+J265)*(1+J266)*(1+J267)*(1+J268)*(1+J269)*(1+J270)*(1+J271)*(1+J272))-1</f>
        <v>0.1747477531693411</v>
      </c>
      <c r="L272" s="216">
        <v>7.7000000000000002E-3</v>
      </c>
      <c r="M272" s="216">
        <f t="shared" si="28"/>
        <v>1.2798240340337601E-2</v>
      </c>
      <c r="N272" s="216">
        <f t="shared" si="30"/>
        <v>0.14169003869171837</v>
      </c>
      <c r="O272" s="793">
        <f t="shared" si="34"/>
        <v>39864.927499798556</v>
      </c>
      <c r="P272" s="793">
        <f t="shared" si="35"/>
        <v>66988.016201170787</v>
      </c>
      <c r="Q272" s="191"/>
      <c r="R272" s="191"/>
      <c r="S272" s="191"/>
      <c r="T272" s="191"/>
      <c r="U272" s="191"/>
      <c r="V272" s="191"/>
      <c r="W272" s="191"/>
      <c r="X272" s="5"/>
      <c r="Y272" s="5"/>
      <c r="Z272" s="5"/>
      <c r="AA272" s="5"/>
      <c r="AB272" s="5"/>
    </row>
    <row r="273" spans="1:28" ht="12.75" customHeight="1">
      <c r="A273" s="178">
        <v>42887</v>
      </c>
      <c r="B273" s="200">
        <v>164444.31</v>
      </c>
      <c r="C273" s="191"/>
      <c r="D273" s="200">
        <v>165465</v>
      </c>
      <c r="E273" s="206">
        <f t="shared" si="33"/>
        <v>8230.9604992678833</v>
      </c>
      <c r="F273" s="207">
        <f t="shared" si="32"/>
        <v>20.10275714659517</v>
      </c>
      <c r="G273" s="197"/>
      <c r="H273" s="208">
        <f t="shared" si="31"/>
        <v>6.2069037232117038E-3</v>
      </c>
      <c r="I273" s="208">
        <f t="shared" si="36"/>
        <v>9.9536256388211619E-2</v>
      </c>
      <c r="J273" s="216">
        <v>6.2415332313649997E-3</v>
      </c>
      <c r="K273" s="216">
        <f>((1+J262)*(1+J263)*(1+J264)*(1+J265)*(1+J266)*(1+J267)*(1+J268)*(1+J269)*(1+J270)*(1+J271)*(1+J272)*(1+J273))-1</f>
        <v>0.17901454249872217</v>
      </c>
      <c r="L273" s="216">
        <v>-1E-3</v>
      </c>
      <c r="M273" s="216">
        <f t="shared" si="28"/>
        <v>4.7932265850920003E-3</v>
      </c>
      <c r="N273" s="216">
        <f t="shared" si="30"/>
        <v>0.14068333638643504</v>
      </c>
      <c r="O273" s="793">
        <f t="shared" si="34"/>
        <v>40112.36526672262</v>
      </c>
      <c r="P273" s="793">
        <f t="shared" si="35"/>
        <v>67309.104941308819</v>
      </c>
      <c r="Q273" s="191"/>
      <c r="R273" s="191"/>
      <c r="S273" s="191"/>
      <c r="T273" s="191"/>
      <c r="U273" s="191"/>
      <c r="V273" s="191"/>
      <c r="W273" s="191"/>
      <c r="X273" s="5"/>
      <c r="Y273" s="5"/>
      <c r="Z273" s="5"/>
      <c r="AA273" s="5"/>
      <c r="AB273" s="5"/>
    </row>
    <row r="274" spans="1:28" ht="12.75" customHeight="1">
      <c r="A274" s="178">
        <v>42917</v>
      </c>
      <c r="B274" s="200">
        <v>165465</v>
      </c>
      <c r="C274" s="191"/>
      <c r="D274" s="200">
        <v>168853.85</v>
      </c>
      <c r="E274" s="206">
        <f t="shared" si="33"/>
        <v>8230.9604992678833</v>
      </c>
      <c r="F274" s="207">
        <f t="shared" si="32"/>
        <v>20.514477018206929</v>
      </c>
      <c r="G274" s="197"/>
      <c r="H274" s="208">
        <f t="shared" si="31"/>
        <v>2.0480766325204899E-2</v>
      </c>
      <c r="I274" s="208">
        <f t="shared" si="36"/>
        <v>8.879573168274324E-2</v>
      </c>
      <c r="J274" s="216">
        <v>2.0562681374167099E-2</v>
      </c>
      <c r="K274" s="216">
        <f>((1+J263)*(1+J264)*(1+J265)*(1+J266)*(1+J267)*(1+J268)*(1+J269)*(1+J270)*(1+J271)*(1+J272)*(1+J273)*(1+J274))-1</f>
        <v>0.16043807780078367</v>
      </c>
      <c r="L274" s="216">
        <v>4.3E-3</v>
      </c>
      <c r="M274" s="216">
        <f t="shared" si="28"/>
        <v>1.7310145099333679E-2</v>
      </c>
      <c r="N274" s="216">
        <f t="shared" si="30"/>
        <v>0.12577730500366413</v>
      </c>
      <c r="O274" s="793">
        <f t="shared" si="34"/>
        <v>40933.897246501634</v>
      </c>
      <c r="P274" s="793">
        <f t="shared" si="35"/>
        <v>68474.235314349149</v>
      </c>
      <c r="Q274" s="191"/>
      <c r="R274" s="191"/>
      <c r="S274" s="191"/>
      <c r="T274" s="191"/>
      <c r="U274" s="191"/>
      <c r="V274" s="191"/>
      <c r="W274" s="191"/>
      <c r="X274" s="5"/>
      <c r="Y274" s="5"/>
      <c r="Z274" s="5"/>
      <c r="AA274" s="5"/>
      <c r="AB274" s="5"/>
    </row>
    <row r="275" spans="1:28" ht="12.75" customHeight="1">
      <c r="A275" s="178">
        <v>42948</v>
      </c>
      <c r="B275" s="200">
        <v>168853.85</v>
      </c>
      <c r="C275" s="191"/>
      <c r="D275" s="200">
        <v>171155.11</v>
      </c>
      <c r="E275" s="206">
        <f t="shared" si="33"/>
        <v>8230.9604992678833</v>
      </c>
      <c r="F275" s="207">
        <f t="shared" si="32"/>
        <v>20.794062857575817</v>
      </c>
      <c r="G275" s="197"/>
      <c r="H275" s="208">
        <f t="shared" si="31"/>
        <v>1.3628709087770126E-2</v>
      </c>
      <c r="I275" s="208">
        <f t="shared" si="36"/>
        <v>0.10350441295618507</v>
      </c>
      <c r="J275" s="216">
        <v>3.0612134156120501E-3</v>
      </c>
      <c r="K275" s="216">
        <f>((1+J264)*(1+J265)*(1+J266)*(1+J267)*(1+J268)*(1+J269)*(1+J270)*(1+J271)*(1+J272)*(1+J273)*(1+J274)*(1+J275))-1</f>
        <v>0.16236311804726844</v>
      </c>
      <c r="L275" s="216">
        <v>8.9999999999999993E-3</v>
      </c>
      <c r="M275" s="216">
        <f t="shared" si="28"/>
        <v>4.2489707324896396E-3</v>
      </c>
      <c r="N275" s="216">
        <f t="shared" si="30"/>
        <v>0.12954411012481271</v>
      </c>
      <c r="O275" s="793">
        <f t="shared" si="34"/>
        <v>41491.773423902872</v>
      </c>
      <c r="P275" s="793">
        <f t="shared" si="35"/>
        <v>68765.180336129415</v>
      </c>
      <c r="Q275" s="191"/>
      <c r="R275" s="191"/>
      <c r="S275" s="191"/>
      <c r="T275" s="191"/>
      <c r="U275" s="191"/>
      <c r="V275" s="191"/>
      <c r="W275" s="191"/>
      <c r="X275" s="5"/>
      <c r="Y275" s="5"/>
      <c r="Z275" s="5"/>
      <c r="AA275" s="5"/>
      <c r="AB275" s="5"/>
    </row>
    <row r="276" spans="1:28" ht="12.75" customHeight="1">
      <c r="A276" s="178">
        <v>42979</v>
      </c>
      <c r="B276" s="200">
        <v>171155.11</v>
      </c>
      <c r="C276" s="5"/>
      <c r="D276" s="200">
        <v>172389.1</v>
      </c>
      <c r="E276" s="206">
        <f t="shared" si="33"/>
        <v>8230.9604992678833</v>
      </c>
      <c r="F276" s="207">
        <f t="shared" si="32"/>
        <v>20.943983392379717</v>
      </c>
      <c r="G276" s="198"/>
      <c r="H276" s="208">
        <f t="shared" si="31"/>
        <v>7.2097759745532661E-3</v>
      </c>
      <c r="I276" s="208">
        <f t="shared" si="36"/>
        <v>0.11075615640409819</v>
      </c>
      <c r="J276" s="216">
        <v>2.0628150388177113E-2</v>
      </c>
      <c r="K276" s="216">
        <v>0.18609345074819772</v>
      </c>
      <c r="L276" s="216">
        <v>-4.7999999999999996E-3</v>
      </c>
      <c r="M276" s="216">
        <f t="shared" si="28"/>
        <v>1.5542520310541694E-2</v>
      </c>
      <c r="N276" s="216">
        <f t="shared" si="30"/>
        <v>0.14705419023047139</v>
      </c>
      <c r="O276" s="793">
        <f t="shared" ref="O276:O317" si="37">O275*(1+H276)</f>
        <v>41790.919815076137</v>
      </c>
      <c r="P276" s="793">
        <f t="shared" ref="P276:P317" si="38">P275*(1+M276)</f>
        <v>69833.964548161763</v>
      </c>
      <c r="Q276" s="5"/>
      <c r="R276" s="5"/>
      <c r="S276" s="5"/>
      <c r="T276" s="5"/>
      <c r="U276" s="5"/>
      <c r="V276" s="5"/>
      <c r="W276" s="191"/>
      <c r="X276" s="5"/>
      <c r="Y276" s="5"/>
      <c r="Z276" s="5"/>
      <c r="AA276" s="5"/>
      <c r="AB276" s="5"/>
    </row>
    <row r="277" spans="1:28" ht="12.75" customHeight="1">
      <c r="A277" s="178">
        <v>43009</v>
      </c>
      <c r="B277" s="200">
        <v>172389.1</v>
      </c>
      <c r="C277" s="5"/>
      <c r="D277" s="200">
        <v>176591.86</v>
      </c>
      <c r="E277" s="206">
        <f t="shared" si="33"/>
        <v>8230.9604992678833</v>
      </c>
      <c r="F277" s="207">
        <f t="shared" si="32"/>
        <v>21.454587227785535</v>
      </c>
      <c r="G277" s="198"/>
      <c r="H277" s="208">
        <f t="shared" si="31"/>
        <v>2.4379499631937054E-2</v>
      </c>
      <c r="I277" s="208">
        <f t="shared" si="36"/>
        <v>0.17366394697718746</v>
      </c>
      <c r="J277" s="216">
        <v>2.3335400570743299E-2</v>
      </c>
      <c r="K277" s="216">
        <v>0.169063639723006</v>
      </c>
      <c r="L277" s="216">
        <v>5.9999999999999995E-4</v>
      </c>
      <c r="M277" s="216">
        <f t="shared" si="28"/>
        <v>1.8788320456594638E-2</v>
      </c>
      <c r="N277" s="216">
        <f t="shared" si="30"/>
        <v>0.18770368722823116</v>
      </c>
      <c r="O277" s="793">
        <f t="shared" si="37"/>
        <v>42809.761529326097</v>
      </c>
      <c r="P277" s="793">
        <f t="shared" si="38"/>
        <v>71146.027452847091</v>
      </c>
      <c r="Q277" s="5"/>
      <c r="R277" s="5"/>
      <c r="S277" s="5"/>
      <c r="T277" s="5"/>
      <c r="U277" s="5"/>
      <c r="V277" s="5"/>
      <c r="W277" s="191"/>
      <c r="X277" s="5"/>
      <c r="Y277" s="5"/>
      <c r="Z277" s="5"/>
      <c r="AA277" s="5"/>
      <c r="AB277" s="5"/>
    </row>
    <row r="278" spans="1:28" ht="12.75" customHeight="1">
      <c r="A278" s="178">
        <v>43040</v>
      </c>
      <c r="B278" s="200">
        <v>176591.86</v>
      </c>
      <c r="C278" s="5"/>
      <c r="D278" s="200">
        <v>182227.15</v>
      </c>
      <c r="E278" s="206">
        <f t="shared" si="33"/>
        <v>8230.9604992678833</v>
      </c>
      <c r="F278" s="207">
        <f t="shared" si="32"/>
        <v>22.139232719706101</v>
      </c>
      <c r="G278" s="198"/>
      <c r="H278" s="208">
        <f t="shared" si="31"/>
        <v>3.1911380286724488E-2</v>
      </c>
      <c r="I278" s="208">
        <f t="shared" si="36"/>
        <v>0.19605242050980709</v>
      </c>
      <c r="J278" s="216">
        <v>3.0700000000000002E-2</v>
      </c>
      <c r="K278" s="216">
        <v>0.22869999999999999</v>
      </c>
      <c r="L278" s="216">
        <v>-1.2999999999999999E-3</v>
      </c>
      <c r="M278" s="216">
        <f t="shared" si="28"/>
        <v>2.4300000000000002E-2</v>
      </c>
      <c r="N278" s="216">
        <f t="shared" si="30"/>
        <v>0.18705470681642056</v>
      </c>
      <c r="O278" s="793">
        <f t="shared" si="37"/>
        <v>44175.880109472411</v>
      </c>
      <c r="P278" s="793">
        <f t="shared" si="38"/>
        <v>72874.875919951271</v>
      </c>
      <c r="Q278" s="5"/>
      <c r="R278" s="5"/>
      <c r="S278" s="5"/>
      <c r="T278" s="5"/>
      <c r="U278" s="5"/>
      <c r="V278" s="5"/>
      <c r="W278" s="191"/>
      <c r="X278" s="5"/>
      <c r="Y278" s="5"/>
      <c r="Z278" s="5"/>
      <c r="AA278" s="5"/>
      <c r="AB278" s="5"/>
    </row>
    <row r="279" spans="1:28" s="371" customFormat="1" ht="12.75" customHeight="1">
      <c r="A279" s="596">
        <v>43070</v>
      </c>
      <c r="B279" s="372">
        <v>182227.15</v>
      </c>
      <c r="C279" s="1471">
        <v>-5000</v>
      </c>
      <c r="D279" s="372">
        <v>178387.85</v>
      </c>
      <c r="E279" s="597">
        <f t="shared" si="33"/>
        <v>8005.117080785295</v>
      </c>
      <c r="F279" s="598">
        <f t="shared" si="32"/>
        <v>22.284227475970948</v>
      </c>
      <c r="G279" s="599"/>
      <c r="H279" s="480">
        <f>((1+((184784.58-182227.15)/182227.15))*(1+((178387.85-179784.58)/179784.58))-1)</f>
        <v>6.1563573603473642E-3</v>
      </c>
      <c r="I279" s="480">
        <f t="shared" si="36"/>
        <v>0.18431975047282667</v>
      </c>
      <c r="J279" s="481">
        <v>1.11E-2</v>
      </c>
      <c r="K279" s="480">
        <f t="shared" ref="K279:K288" si="39">((1+J268)*(1+J269)*(1+J270)*(1+J271)*(1+J272)*(1+J273)*(1+J274)*(1+J275)*(1+J276)*(1+J277)*(1+J278)*(1+J279))-1</f>
        <v>0.21832888167994557</v>
      </c>
      <c r="L279" s="481">
        <v>4.5999999999999999E-3</v>
      </c>
      <c r="M279" s="481">
        <f t="shared" si="28"/>
        <v>9.8000000000000014E-3</v>
      </c>
      <c r="N279" s="480">
        <f t="shared" si="30"/>
        <v>0.17970301570134528</v>
      </c>
      <c r="O279" s="1472">
        <f t="shared" si="37"/>
        <v>44447.842614134184</v>
      </c>
      <c r="P279" s="1472">
        <f t="shared" si="38"/>
        <v>73589.049703966797</v>
      </c>
      <c r="Q279" s="369"/>
      <c r="R279" s="369"/>
      <c r="S279" s="369"/>
      <c r="T279" s="369"/>
      <c r="U279" s="369"/>
      <c r="V279" s="369"/>
      <c r="W279" s="370"/>
      <c r="X279" s="369"/>
      <c r="Y279" s="369"/>
      <c r="Z279" s="369"/>
      <c r="AA279" s="369"/>
      <c r="AB279" s="369"/>
    </row>
    <row r="280" spans="1:28" ht="12.75" customHeight="1">
      <c r="A280" s="423">
        <v>43101</v>
      </c>
      <c r="B280" s="200">
        <v>178387.85</v>
      </c>
      <c r="C280" s="5"/>
      <c r="D280" s="200">
        <v>186610.62</v>
      </c>
      <c r="E280" s="206">
        <f t="shared" si="33"/>
        <v>8005.117080785295</v>
      </c>
      <c r="F280" s="207">
        <f t="shared" si="32"/>
        <v>23.311416699691001</v>
      </c>
      <c r="G280" s="198"/>
      <c r="H280" s="208">
        <f t="shared" si="31"/>
        <v>4.6094899400379516E-2</v>
      </c>
      <c r="I280" s="208">
        <f t="shared" si="36"/>
        <v>0.22180209145401664</v>
      </c>
      <c r="J280" s="216">
        <v>5.7299999999999997E-2</v>
      </c>
      <c r="K280" s="208">
        <f t="shared" si="39"/>
        <v>0.26416246296373691</v>
      </c>
      <c r="L280" s="216">
        <v>-1.15E-2</v>
      </c>
      <c r="M280" s="216">
        <f t="shared" si="28"/>
        <v>4.3539999999999995E-2</v>
      </c>
      <c r="N280" s="208">
        <f t="shared" si="30"/>
        <v>0.21218966939486816</v>
      </c>
      <c r="O280" s="793">
        <f t="shared" si="37"/>
        <v>46496.661447996601</v>
      </c>
      <c r="P280" s="793">
        <f t="shared" si="38"/>
        <v>76793.116928077507</v>
      </c>
      <c r="Q280" s="5"/>
      <c r="R280" s="5"/>
      <c r="S280" s="5"/>
      <c r="T280" s="5"/>
      <c r="U280" s="5"/>
      <c r="V280" s="5"/>
      <c r="W280" s="191"/>
      <c r="X280" s="5"/>
      <c r="Y280" s="5"/>
      <c r="Z280" s="5"/>
      <c r="AA280" s="5"/>
      <c r="AB280" s="5"/>
    </row>
    <row r="281" spans="1:28" ht="12.75" customHeight="1">
      <c r="A281" s="423">
        <v>43132</v>
      </c>
      <c r="B281" s="200">
        <v>186610.62</v>
      </c>
      <c r="C281" s="5"/>
      <c r="D281" s="200">
        <v>180735.99</v>
      </c>
      <c r="E281" s="206">
        <f t="shared" si="33"/>
        <v>8005.117080785295</v>
      </c>
      <c r="F281" s="207">
        <f t="shared" si="32"/>
        <v>22.57755735188697</v>
      </c>
      <c r="G281" s="198"/>
      <c r="H281" s="208">
        <f t="shared" si="31"/>
        <v>-3.1480684218293739E-2</v>
      </c>
      <c r="I281" s="208">
        <f t="shared" si="36"/>
        <v>0.14773444509762657</v>
      </c>
      <c r="J281" s="216">
        <v>-3.6900000000000002E-2</v>
      </c>
      <c r="K281" s="208">
        <f t="shared" si="39"/>
        <v>0.17101849878648268</v>
      </c>
      <c r="L281" s="216">
        <v>-9.4999999999999998E-3</v>
      </c>
      <c r="M281" s="216">
        <f t="shared" si="28"/>
        <v>-3.1420000000000003E-2</v>
      </c>
      <c r="N281" s="208">
        <f t="shared" si="30"/>
        <v>0.13647980418370875</v>
      </c>
      <c r="O281" s="793">
        <f t="shared" si="37"/>
        <v>45032.914731747303</v>
      </c>
      <c r="P281" s="793">
        <f t="shared" si="38"/>
        <v>74380.277194197304</v>
      </c>
      <c r="Q281" s="5"/>
      <c r="R281" s="5"/>
      <c r="S281" s="5"/>
      <c r="T281" s="5"/>
      <c r="U281" s="5"/>
      <c r="V281" s="5"/>
      <c r="W281" s="191"/>
      <c r="X281" s="5"/>
      <c r="Y281" s="5"/>
      <c r="Z281" s="5"/>
      <c r="AA281" s="5"/>
      <c r="AB281" s="5"/>
    </row>
    <row r="282" spans="1:28" ht="12.75" customHeight="1">
      <c r="A282" s="423">
        <v>43160</v>
      </c>
      <c r="B282" s="200">
        <v>180735.99</v>
      </c>
      <c r="C282" s="5"/>
      <c r="D282" s="200">
        <v>175931.03</v>
      </c>
      <c r="E282" s="206">
        <f t="shared" si="33"/>
        <v>8005.117080785295</v>
      </c>
      <c r="F282" s="207">
        <f t="shared" si="32"/>
        <v>21.977321283943208</v>
      </c>
      <c r="G282" s="198"/>
      <c r="H282" s="208">
        <f t="shared" si="31"/>
        <v>-2.6585518468125846E-2</v>
      </c>
      <c r="I282" s="208">
        <f t="shared" si="36"/>
        <v>0.11406425703317558</v>
      </c>
      <c r="J282" s="216">
        <v>-2.5399999999999999E-2</v>
      </c>
      <c r="K282" s="208">
        <f t="shared" si="39"/>
        <v>0.13994491088184335</v>
      </c>
      <c r="L282" s="216">
        <v>6.4000000000000003E-3</v>
      </c>
      <c r="M282" s="216">
        <f t="shared" si="28"/>
        <v>-1.9040000000000001E-2</v>
      </c>
      <c r="N282" s="208">
        <f t="shared" si="30"/>
        <v>0.11391313794188007</v>
      </c>
      <c r="O282" s="793">
        <f t="shared" si="37"/>
        <v>43835.6913454729</v>
      </c>
      <c r="P282" s="793">
        <f t="shared" si="38"/>
        <v>72964.07671641979</v>
      </c>
      <c r="Q282" s="5"/>
      <c r="R282" s="5"/>
      <c r="S282" s="5"/>
      <c r="T282" s="5"/>
      <c r="U282" s="5"/>
      <c r="V282" s="5"/>
      <c r="W282" s="191"/>
      <c r="X282" s="5"/>
      <c r="Y282" s="5"/>
      <c r="Z282" s="5"/>
      <c r="AA282" s="5"/>
      <c r="AB282" s="5"/>
    </row>
    <row r="283" spans="1:28" ht="12.75" customHeight="1">
      <c r="A283" s="423">
        <v>43191</v>
      </c>
      <c r="B283" s="200">
        <v>175931.03</v>
      </c>
      <c r="C283" s="5"/>
      <c r="D283" s="200">
        <v>177097.56</v>
      </c>
      <c r="E283" s="206">
        <f t="shared" ref="E283:E291" si="40">E282+C283/F282</f>
        <v>8005.117080785295</v>
      </c>
      <c r="F283" s="207">
        <f t="shared" ref="F283:F291" si="41">D283/E283</f>
        <v>22.123044324371939</v>
      </c>
      <c r="G283" s="198"/>
      <c r="H283" s="208">
        <f t="shared" ref="H283:H299" si="42">(F283-F282)/F282</f>
        <v>6.6306097338258039E-3</v>
      </c>
      <c r="I283" s="208">
        <f t="shared" ref="I283:I288" si="43">((1+H272)*(1+H273)*(1+H274)*(1+H275)*(1+H276)*(1+H277)*(1+H278)*(1+H279)*(1+H280)*(1+H281)*(1+H282)*(1+H283))-1</f>
        <v>0.11375999097413581</v>
      </c>
      <c r="J283" s="216">
        <v>3.8E-3</v>
      </c>
      <c r="K283" s="208">
        <f t="shared" si="39"/>
        <v>0.1326445374700278</v>
      </c>
      <c r="L283" s="216">
        <v>-7.4000000000000003E-3</v>
      </c>
      <c r="M283" s="216">
        <f t="shared" ref="M283:M291" si="44">(J283*0.8)+(L283*0.2)</f>
        <v>1.56E-3</v>
      </c>
      <c r="N283" s="208">
        <f t="shared" si="30"/>
        <v>0.10487178766795391</v>
      </c>
      <c r="O283" s="793">
        <f t="shared" si="37"/>
        <v>44126.348707197176</v>
      </c>
      <c r="P283" s="793">
        <f t="shared" si="38"/>
        <v>73077.900676097401</v>
      </c>
      <c r="Q283" s="5"/>
      <c r="R283" s="5"/>
      <c r="S283" s="5"/>
      <c r="T283" s="5"/>
      <c r="U283" s="5"/>
      <c r="V283" s="5"/>
      <c r="W283" s="191"/>
      <c r="X283" s="5"/>
      <c r="Y283" s="5"/>
      <c r="Z283" s="5"/>
      <c r="AA283" s="5"/>
      <c r="AB283" s="5"/>
    </row>
    <row r="284" spans="1:28" ht="12.75" customHeight="1">
      <c r="A284" s="423">
        <v>43221</v>
      </c>
      <c r="B284" s="200">
        <f>D283</f>
        <v>177097.56</v>
      </c>
      <c r="C284" s="5"/>
      <c r="D284" s="200">
        <v>179923.52</v>
      </c>
      <c r="E284" s="206">
        <f t="shared" si="40"/>
        <v>8005.117080785295</v>
      </c>
      <c r="F284" s="207">
        <f t="shared" si="41"/>
        <v>22.476063520903512</v>
      </c>
      <c r="G284" s="198"/>
      <c r="H284" s="208">
        <f t="shared" si="42"/>
        <v>1.5957080379876473E-2</v>
      </c>
      <c r="I284" s="208">
        <f t="shared" si="43"/>
        <v>0.12455933603829927</v>
      </c>
      <c r="J284" s="216">
        <v>2.41E-2</v>
      </c>
      <c r="K284" s="208">
        <f t="shared" si="39"/>
        <v>0.14384417996068799</v>
      </c>
      <c r="L284" s="216">
        <v>7.1000000000000004E-3</v>
      </c>
      <c r="M284" s="216">
        <f t="shared" si="44"/>
        <v>2.0700000000000003E-2</v>
      </c>
      <c r="N284" s="208">
        <f t="shared" si="30"/>
        <v>0.1134918967609162</v>
      </c>
      <c r="O284" s="793">
        <f t="shared" si="37"/>
        <v>44830.476400388383</v>
      </c>
      <c r="P284" s="793">
        <f t="shared" si="38"/>
        <v>74590.613220092608</v>
      </c>
      <c r="Q284" s="5"/>
      <c r="R284" s="5"/>
      <c r="S284" s="5"/>
      <c r="T284" s="5"/>
      <c r="U284" s="5"/>
      <c r="V284" s="5"/>
      <c r="W284" s="191"/>
      <c r="X284" s="5"/>
      <c r="Y284" s="5"/>
      <c r="Z284" s="5"/>
      <c r="AA284" s="5"/>
      <c r="AB284" s="5"/>
    </row>
    <row r="285" spans="1:28" ht="12.75" customHeight="1">
      <c r="A285" s="423">
        <v>43252</v>
      </c>
      <c r="B285" s="200">
        <f>D284</f>
        <v>179923.52</v>
      </c>
      <c r="C285" s="5"/>
      <c r="D285" s="200">
        <v>182495.75</v>
      </c>
      <c r="E285" s="206">
        <f t="shared" si="40"/>
        <v>8005.117080785295</v>
      </c>
      <c r="F285" s="207">
        <f t="shared" si="41"/>
        <v>22.797386741293899</v>
      </c>
      <c r="G285" s="198"/>
      <c r="H285" s="208">
        <f t="shared" si="42"/>
        <v>1.4296240980612319E-2</v>
      </c>
      <c r="I285" s="208">
        <f t="shared" si="43"/>
        <v>0.13360016024802324</v>
      </c>
      <c r="J285" s="216">
        <v>6.1999999999999998E-3</v>
      </c>
      <c r="K285" s="208">
        <f t="shared" si="39"/>
        <v>0.1437969670963779</v>
      </c>
      <c r="L285" s="216">
        <v>-1.1999999999999999E-3</v>
      </c>
      <c r="M285" s="216">
        <f t="shared" si="44"/>
        <v>4.7200000000000002E-3</v>
      </c>
      <c r="N285" s="208">
        <f t="shared" si="30"/>
        <v>0.11341074851372457</v>
      </c>
      <c r="O285" s="793">
        <f t="shared" si="37"/>
        <v>45471.383694283984</v>
      </c>
      <c r="P285" s="793">
        <f t="shared" si="38"/>
        <v>74942.680914491444</v>
      </c>
      <c r="Q285" s="5"/>
      <c r="R285" s="5"/>
      <c r="S285" s="5"/>
      <c r="T285" s="5"/>
      <c r="U285" s="5"/>
      <c r="V285" s="5"/>
      <c r="W285" s="191"/>
      <c r="X285" s="5"/>
      <c r="Y285" s="5"/>
      <c r="Z285" s="5"/>
      <c r="AA285" s="5"/>
      <c r="AB285" s="5"/>
    </row>
    <row r="286" spans="1:28" ht="12.75" customHeight="1">
      <c r="A286" s="423">
        <v>43282</v>
      </c>
      <c r="B286" s="200">
        <f>D285</f>
        <v>182495.75</v>
      </c>
      <c r="C286" s="5"/>
      <c r="D286" s="200">
        <v>187673.14</v>
      </c>
      <c r="E286" s="206">
        <f t="shared" si="40"/>
        <v>8005.117080785295</v>
      </c>
      <c r="F286" s="207">
        <f t="shared" si="41"/>
        <v>23.444146800859713</v>
      </c>
      <c r="G286" s="198"/>
      <c r="H286" s="208">
        <f t="shared" si="42"/>
        <v>2.8369920943364504E-2</v>
      </c>
      <c r="I286" s="208">
        <f t="shared" si="43"/>
        <v>0.14236382070540898</v>
      </c>
      <c r="J286" s="216">
        <v>3.7199999999999997E-2</v>
      </c>
      <c r="K286" s="208">
        <f t="shared" si="39"/>
        <v>0.16244326382282748</v>
      </c>
      <c r="L286" s="216">
        <v>2.0000000000000001E-4</v>
      </c>
      <c r="M286" s="216">
        <f t="shared" si="44"/>
        <v>2.9799999999999997E-2</v>
      </c>
      <c r="N286" s="208">
        <f t="shared" si="30"/>
        <v>0.12708046247536098</v>
      </c>
      <c r="O286" s="793">
        <f t="shared" si="37"/>
        <v>46761.403254876219</v>
      </c>
      <c r="P286" s="793">
        <f t="shared" si="38"/>
        <v>77175.972805743295</v>
      </c>
      <c r="Q286" s="5"/>
      <c r="R286" s="5"/>
      <c r="S286" s="5"/>
      <c r="T286" s="5"/>
      <c r="U286" s="5"/>
      <c r="V286" s="5"/>
      <c r="W286" s="191"/>
      <c r="X286" s="191"/>
      <c r="Y286" s="5"/>
      <c r="Z286" s="5"/>
      <c r="AA286" s="5"/>
      <c r="AB286" s="5"/>
    </row>
    <row r="287" spans="1:28" ht="12.75" customHeight="1">
      <c r="A287" s="423">
        <v>43313</v>
      </c>
      <c r="B287" s="200">
        <v>187673.14</v>
      </c>
      <c r="C287" s="5"/>
      <c r="D287" s="200">
        <v>193093.25</v>
      </c>
      <c r="E287" s="206">
        <f t="shared" si="40"/>
        <v>8005.117080785295</v>
      </c>
      <c r="F287" s="207">
        <f t="shared" si="41"/>
        <v>24.121227466301807</v>
      </c>
      <c r="G287" s="198"/>
      <c r="H287" s="208">
        <f t="shared" si="42"/>
        <v>2.8880584616423979E-2</v>
      </c>
      <c r="I287" s="208">
        <f t="shared" si="43"/>
        <v>0.1595527486093129</v>
      </c>
      <c r="J287" s="216">
        <v>3.2599999999999997E-2</v>
      </c>
      <c r="K287" s="208">
        <f t="shared" si="39"/>
        <v>0.1966756347163221</v>
      </c>
      <c r="L287" s="216">
        <v>6.4000000000000003E-3</v>
      </c>
      <c r="M287" s="216">
        <f t="shared" si="44"/>
        <v>2.7359999999999999E-2</v>
      </c>
      <c r="N287" s="208">
        <f t="shared" si="30"/>
        <v>0.15301824315947599</v>
      </c>
      <c r="O287" s="793">
        <f t="shared" si="37"/>
        <v>48111.899918361392</v>
      </c>
      <c r="P287" s="793">
        <f t="shared" si="38"/>
        <v>79287.507421708433</v>
      </c>
      <c r="Q287" s="5"/>
      <c r="R287" s="5"/>
      <c r="S287" s="5"/>
      <c r="T287" s="5"/>
      <c r="U287" s="5"/>
      <c r="V287" s="5"/>
      <c r="W287" s="191"/>
      <c r="X287" s="191"/>
      <c r="Y287" s="5"/>
      <c r="Z287" s="5"/>
      <c r="AA287" s="5"/>
      <c r="AB287" s="5"/>
    </row>
    <row r="288" spans="1:28" ht="12.75" customHeight="1">
      <c r="A288" s="423">
        <v>43344</v>
      </c>
      <c r="B288" s="200">
        <v>193093.25</v>
      </c>
      <c r="C288" s="5"/>
      <c r="D288" s="200">
        <v>194083.83</v>
      </c>
      <c r="E288" s="206">
        <f t="shared" si="40"/>
        <v>8005.117080785295</v>
      </c>
      <c r="F288" s="207">
        <f t="shared" si="41"/>
        <v>24.244970815712357</v>
      </c>
      <c r="G288" s="198"/>
      <c r="H288" s="208">
        <f t="shared" si="42"/>
        <v>5.1300602170193579E-3</v>
      </c>
      <c r="I288" s="208">
        <f t="shared" si="43"/>
        <v>0.15715847069373012</v>
      </c>
      <c r="J288" s="216">
        <v>5.7000000000000002E-3</v>
      </c>
      <c r="K288" s="208">
        <f t="shared" si="39"/>
        <v>0.17917253739912709</v>
      </c>
      <c r="L288" s="216">
        <v>-6.4000000000000003E-3</v>
      </c>
      <c r="M288" s="216">
        <f t="shared" si="44"/>
        <v>3.2800000000000008E-3</v>
      </c>
      <c r="N288" s="208">
        <f t="shared" si="30"/>
        <v>0.13909572456237651</v>
      </c>
      <c r="O288" s="793">
        <f t="shared" si="37"/>
        <v>48358.716862097797</v>
      </c>
      <c r="P288" s="793">
        <f t="shared" si="38"/>
        <v>79547.570446051628</v>
      </c>
      <c r="Q288" s="5"/>
      <c r="R288" s="5"/>
      <c r="S288" s="5"/>
      <c r="T288" s="5"/>
      <c r="U288" s="5"/>
      <c r="V288" s="5"/>
      <c r="W288" s="191"/>
      <c r="X288" s="191"/>
      <c r="Y288" s="5"/>
      <c r="Z288" s="5"/>
      <c r="AA288" s="5"/>
      <c r="AB288" s="5"/>
    </row>
    <row r="289" spans="1:28" ht="12.75" customHeight="1">
      <c r="A289" s="423">
        <v>43374</v>
      </c>
      <c r="B289" s="200">
        <f t="shared" ref="B289:B294" si="45">D288</f>
        <v>194083.83</v>
      </c>
      <c r="C289" s="5"/>
      <c r="D289" s="200">
        <v>182553.3</v>
      </c>
      <c r="E289" s="206">
        <f t="shared" si="40"/>
        <v>8005.117080785295</v>
      </c>
      <c r="F289" s="207">
        <f t="shared" si="41"/>
        <v>22.804575892860228</v>
      </c>
      <c r="G289" s="198"/>
      <c r="H289" s="208">
        <f t="shared" si="42"/>
        <v>-5.9410049770761392E-2</v>
      </c>
      <c r="I289" s="208">
        <f t="shared" ref="I289:I294" si="46">((1+H278)*(1+H279)*(1+H280)*(1+H281)*(1+H282)*(1+H283)*(1+H284)*(1+H285)*(1+H286)*(1+H287)*(1+H288)*(1+H289))-1</f>
        <v>6.2508209846280138E-2</v>
      </c>
      <c r="J289" s="208">
        <v>-6.8400000000000002E-2</v>
      </c>
      <c r="K289" s="208">
        <f t="shared" ref="K289:K307" si="47">((1+J278)*(1+J279)*(1+J280)*(1+J281)*(1+J282)*(1+J283)*(1+J284)*(1+J285)*(1+J286)*(1+J287)*(1+J288)*(1+J289))-1</f>
        <v>7.3467345337953294E-2</v>
      </c>
      <c r="L289" s="216">
        <v>-7.9000000000000008E-3</v>
      </c>
      <c r="M289" s="216">
        <f t="shared" si="44"/>
        <v>-5.6300000000000003E-2</v>
      </c>
      <c r="N289" s="208">
        <f t="shared" si="30"/>
        <v>5.5140320795731057E-2</v>
      </c>
      <c r="O289" s="793">
        <f t="shared" si="37"/>
        <v>45485.723086470411</v>
      </c>
      <c r="P289" s="793">
        <f t="shared" si="38"/>
        <v>75069.042229938917</v>
      </c>
      <c r="Q289" s="5"/>
      <c r="R289" s="5"/>
      <c r="S289" s="5"/>
      <c r="T289" s="5"/>
      <c r="U289" s="5"/>
      <c r="V289" s="5"/>
      <c r="W289" s="191"/>
      <c r="X289" s="191"/>
      <c r="Y289" s="5"/>
      <c r="Z289" s="5"/>
      <c r="AA289" s="5"/>
      <c r="AB289" s="5"/>
    </row>
    <row r="290" spans="1:28" ht="12.75" customHeight="1">
      <c r="A290" s="423">
        <v>43405</v>
      </c>
      <c r="B290" s="200">
        <f t="shared" si="45"/>
        <v>182553.3</v>
      </c>
      <c r="C290" s="5"/>
      <c r="D290" s="200">
        <v>188465.98</v>
      </c>
      <c r="E290" s="206">
        <f t="shared" si="40"/>
        <v>8005.117080785295</v>
      </c>
      <c r="F290" s="207">
        <f t="shared" si="41"/>
        <v>23.543188450344523</v>
      </c>
      <c r="G290" s="198"/>
      <c r="H290" s="208">
        <f t="shared" si="42"/>
        <v>3.23887872747304E-2</v>
      </c>
      <c r="I290" s="208">
        <f t="shared" si="46"/>
        <v>6.2999772255499353E-2</v>
      </c>
      <c r="J290" s="208">
        <v>2.0400000000000001E-2</v>
      </c>
      <c r="K290" s="208">
        <f t="shared" si="47"/>
        <v>6.2739962339039002E-2</v>
      </c>
      <c r="L290" s="216">
        <v>6.0000000000000001E-3</v>
      </c>
      <c r="M290" s="216">
        <f t="shared" si="44"/>
        <v>1.7520000000000001E-2</v>
      </c>
      <c r="N290" s="208">
        <f t="shared" si="30"/>
        <v>4.8156183946179709E-2</v>
      </c>
      <c r="O290" s="793">
        <f t="shared" si="37"/>
        <v>46958.950495555393</v>
      </c>
      <c r="P290" s="793">
        <f t="shared" si="38"/>
        <v>76384.25184980745</v>
      </c>
      <c r="Q290" s="5"/>
      <c r="R290" s="5"/>
      <c r="S290" s="5"/>
      <c r="T290" s="5"/>
      <c r="U290" s="5"/>
      <c r="V290" s="5"/>
      <c r="W290" s="191"/>
      <c r="X290" s="191"/>
      <c r="Y290" s="5"/>
      <c r="Z290" s="5"/>
      <c r="AA290" s="5"/>
      <c r="AB290" s="5"/>
    </row>
    <row r="291" spans="1:28" s="371" customFormat="1" ht="12.75" customHeight="1">
      <c r="A291" s="1473">
        <v>43435</v>
      </c>
      <c r="B291" s="372">
        <f t="shared" si="45"/>
        <v>188465.98</v>
      </c>
      <c r="C291" s="369"/>
      <c r="D291" s="372">
        <v>173020.41</v>
      </c>
      <c r="E291" s="597">
        <f t="shared" si="40"/>
        <v>8005.117080785295</v>
      </c>
      <c r="F291" s="598">
        <f t="shared" si="41"/>
        <v>21.613726352023182</v>
      </c>
      <c r="G291" s="599"/>
      <c r="H291" s="480">
        <f t="shared" si="42"/>
        <v>-8.1954154272298921E-2</v>
      </c>
      <c r="I291" s="480">
        <f t="shared" si="46"/>
        <v>-3.0088596280520075E-2</v>
      </c>
      <c r="J291" s="480">
        <v>-9.0300000000000005E-2</v>
      </c>
      <c r="K291" s="480">
        <f t="shared" si="47"/>
        <v>-4.3838845079790523E-2</v>
      </c>
      <c r="L291" s="481">
        <v>1.84E-2</v>
      </c>
      <c r="M291" s="481">
        <f t="shared" si="44"/>
        <v>-6.856000000000001E-2</v>
      </c>
      <c r="N291" s="480">
        <f t="shared" si="30"/>
        <v>-3.3180237695751846E-2</v>
      </c>
      <c r="O291" s="1472">
        <f t="shared" si="37"/>
        <v>43110.469422177397</v>
      </c>
      <c r="P291" s="1472">
        <f t="shared" si="38"/>
        <v>71147.347542984659</v>
      </c>
      <c r="Q291" s="369"/>
      <c r="R291" s="369"/>
      <c r="S291" s="369"/>
      <c r="T291" s="369"/>
      <c r="U291" s="369"/>
      <c r="V291" s="369"/>
      <c r="W291" s="370"/>
      <c r="X291" s="370"/>
      <c r="Y291" s="369"/>
      <c r="Z291" s="369"/>
      <c r="AA291" s="369"/>
      <c r="AB291" s="369"/>
    </row>
    <row r="292" spans="1:28" ht="12.75" customHeight="1">
      <c r="A292" s="423">
        <v>43466</v>
      </c>
      <c r="B292" s="200">
        <f t="shared" si="45"/>
        <v>173020.41</v>
      </c>
      <c r="C292" s="5"/>
      <c r="D292" s="200">
        <v>186411.46</v>
      </c>
      <c r="E292" s="189">
        <f>E291+C292/F291</f>
        <v>8005.117080785295</v>
      </c>
      <c r="F292" s="494">
        <f t="shared" ref="F292:F300" si="48">D292/E292</f>
        <v>23.28653761322791</v>
      </c>
      <c r="G292" s="198"/>
      <c r="H292" s="185">
        <f t="shared" si="42"/>
        <v>7.7395782381974254E-2</v>
      </c>
      <c r="I292" s="185">
        <f t="shared" si="46"/>
        <v>-1.0672490129447487E-3</v>
      </c>
      <c r="J292" s="216">
        <v>8.0100000000000005E-2</v>
      </c>
      <c r="K292" s="216">
        <f t="shared" si="47"/>
        <v>-2.3219839752843363E-2</v>
      </c>
      <c r="L292" s="216">
        <v>1.06E-2</v>
      </c>
      <c r="M292" s="216">
        <f>(J292*0.8)+(L292*0.2)</f>
        <v>6.6200000000000009E-2</v>
      </c>
      <c r="N292" s="216">
        <f t="shared" si="30"/>
        <v>-1.2186183022414587E-2</v>
      </c>
      <c r="O292" s="793">
        <f t="shared" si="37"/>
        <v>46447.037931960993</v>
      </c>
      <c r="P292" s="793">
        <f t="shared" si="38"/>
        <v>75857.301950330249</v>
      </c>
      <c r="Q292" s="5"/>
      <c r="R292" s="5"/>
      <c r="S292" s="5"/>
      <c r="T292" s="5"/>
      <c r="U292" s="5"/>
      <c r="V292" s="5"/>
      <c r="W292" s="191"/>
      <c r="X292" s="191"/>
      <c r="Y292" s="5"/>
      <c r="Z292" s="5"/>
      <c r="AA292" s="5"/>
      <c r="AB292" s="5"/>
    </row>
    <row r="293" spans="1:28" ht="12.75" customHeight="1">
      <c r="A293" s="423">
        <v>43497</v>
      </c>
      <c r="B293" s="200">
        <f t="shared" si="45"/>
        <v>186411.46</v>
      </c>
      <c r="C293" s="5"/>
      <c r="D293" s="200">
        <v>189247.3</v>
      </c>
      <c r="E293" s="189">
        <f>E292+C293/F292</f>
        <v>8005.117080785295</v>
      </c>
      <c r="F293" s="494">
        <f t="shared" si="48"/>
        <v>23.640791020315095</v>
      </c>
      <c r="G293" s="198"/>
      <c r="H293" s="185">
        <f t="shared" si="42"/>
        <v>1.5212798612274231E-2</v>
      </c>
      <c r="I293" s="185">
        <f t="shared" si="46"/>
        <v>4.7092502162961569E-2</v>
      </c>
      <c r="J293" s="216">
        <v>3.2099999999999997E-2</v>
      </c>
      <c r="K293" s="216">
        <f t="shared" si="47"/>
        <v>4.6760256869577521E-2</v>
      </c>
      <c r="L293" s="216">
        <v>-5.9999999999999995E-4</v>
      </c>
      <c r="M293" s="216">
        <f t="shared" ref="M293:M307" si="49">(J293*0.8)+(L293*0.2)</f>
        <v>2.5559999999999999E-2</v>
      </c>
      <c r="N293" s="216">
        <f t="shared" si="30"/>
        <v>4.5925311424489967E-2</v>
      </c>
      <c r="O293" s="793">
        <f t="shared" si="37"/>
        <v>47153.627366156579</v>
      </c>
      <c r="P293" s="793">
        <f t="shared" si="38"/>
        <v>77796.214588180694</v>
      </c>
      <c r="Q293" s="5"/>
      <c r="R293" s="5"/>
      <c r="S293" s="5"/>
      <c r="T293" s="5"/>
      <c r="U293" s="5"/>
      <c r="V293" s="5"/>
      <c r="W293" s="191"/>
      <c r="X293" s="191"/>
      <c r="Y293" s="5"/>
      <c r="Z293" s="5"/>
      <c r="AA293" s="5"/>
      <c r="AB293" s="5"/>
    </row>
    <row r="294" spans="1:28" ht="12.75" customHeight="1">
      <c r="A294" s="423">
        <v>43525</v>
      </c>
      <c r="B294" s="200">
        <f t="shared" si="45"/>
        <v>189247.3</v>
      </c>
      <c r="C294" s="5"/>
      <c r="D294" s="200">
        <v>194840.97</v>
      </c>
      <c r="E294" s="189">
        <f t="shared" ref="E294:E300" si="50">E293+C294/F293</f>
        <v>8005.117080785295</v>
      </c>
      <c r="F294" s="494">
        <f t="shared" si="48"/>
        <v>24.339552817744206</v>
      </c>
      <c r="G294" s="198"/>
      <c r="H294" s="185">
        <f t="shared" si="42"/>
        <v>2.9557462642795997E-2</v>
      </c>
      <c r="I294" s="185">
        <f t="shared" si="46"/>
        <v>0.10748496157840948</v>
      </c>
      <c r="J294" s="216">
        <v>1.9400000000000001E-2</v>
      </c>
      <c r="K294" s="216">
        <f t="shared" si="47"/>
        <v>9.4877288993276743E-2</v>
      </c>
      <c r="L294" s="216">
        <v>1.9199999999999998E-2</v>
      </c>
      <c r="M294" s="216">
        <f t="shared" si="49"/>
        <v>1.9360000000000002E-2</v>
      </c>
      <c r="N294" s="216">
        <f t="shared" si="30"/>
        <v>8.6868399785585915E-2</v>
      </c>
      <c r="O294" s="793">
        <f t="shared" si="37"/>
        <v>48547.368945504073</v>
      </c>
      <c r="P294" s="793">
        <f t="shared" si="38"/>
        <v>79302.34930260788</v>
      </c>
      <c r="Q294" s="5"/>
      <c r="R294" s="5"/>
      <c r="S294" s="5"/>
      <c r="T294" s="5"/>
      <c r="U294" s="5"/>
      <c r="V294" s="5"/>
      <c r="W294" s="191"/>
      <c r="X294" s="191"/>
      <c r="Y294" s="5"/>
      <c r="Z294" s="5"/>
      <c r="AA294" s="5"/>
      <c r="AB294" s="5"/>
    </row>
    <row r="295" spans="1:28" ht="12.75" customHeight="1">
      <c r="A295" s="423">
        <v>43556</v>
      </c>
      <c r="B295" s="527">
        <v>194840.97</v>
      </c>
      <c r="C295" s="5"/>
      <c r="D295" s="196">
        <v>202462.54</v>
      </c>
      <c r="E295" s="189">
        <f t="shared" si="50"/>
        <v>8005.117080785295</v>
      </c>
      <c r="F295" s="494">
        <f t="shared" si="48"/>
        <v>25.291640079315194</v>
      </c>
      <c r="G295" s="198"/>
      <c r="H295" s="185">
        <f t="shared" si="42"/>
        <v>3.9116875675583071E-2</v>
      </c>
      <c r="I295" s="185">
        <f t="shared" ref="I295:I300" si="51">((1+H284)*(1+H285)*(1+H286)*(1+H287)*(1+H288)*(1+H289)*(1+H290)*(1+H291)*(1+H292)*(1+H293)*(1+H294)*(1+H295))-1</f>
        <v>0.14322602750709823</v>
      </c>
      <c r="J295" s="216">
        <v>4.0500000000000001E-2</v>
      </c>
      <c r="K295" s="216">
        <f t="shared" si="47"/>
        <v>0.13490717194411661</v>
      </c>
      <c r="L295" s="216">
        <v>2.9999999999999997E-4</v>
      </c>
      <c r="M295" s="216">
        <f t="shared" si="49"/>
        <v>3.2460000000000003E-2</v>
      </c>
      <c r="N295" s="216">
        <f t="shared" si="30"/>
        <v>0.12040032353790653</v>
      </c>
      <c r="O295" s="793">
        <f t="shared" si="37"/>
        <v>50446.390340922022</v>
      </c>
      <c r="P295" s="793">
        <f t="shared" si="38"/>
        <v>81876.503560970523</v>
      </c>
      <c r="Q295" s="5"/>
      <c r="R295" s="5"/>
      <c r="S295" s="5"/>
      <c r="T295" s="5"/>
      <c r="U295" s="5"/>
      <c r="V295" s="5"/>
      <c r="W295" s="191"/>
      <c r="X295" s="191"/>
      <c r="Y295" s="5"/>
      <c r="Z295" s="5"/>
      <c r="AA295" s="5"/>
      <c r="AB295" s="5"/>
    </row>
    <row r="296" spans="1:28" ht="12.75" customHeight="1">
      <c r="A296" s="423">
        <v>43586</v>
      </c>
      <c r="B296" s="192">
        <f t="shared" ref="B296:B301" si="52">D295</f>
        <v>202462.54</v>
      </c>
      <c r="C296" s="192"/>
      <c r="D296" s="192">
        <v>193711.17</v>
      </c>
      <c r="E296" s="189">
        <f t="shared" si="50"/>
        <v>8005.117080785295</v>
      </c>
      <c r="F296" s="494">
        <f t="shared" si="48"/>
        <v>24.198418092468064</v>
      </c>
      <c r="G296" s="198"/>
      <c r="H296" s="185">
        <f t="shared" si="42"/>
        <v>-4.3224637999701068E-2</v>
      </c>
      <c r="I296" s="185">
        <f t="shared" si="51"/>
        <v>7.6630615052439843E-2</v>
      </c>
      <c r="J296" s="216">
        <v>-6.3500000000000001E-2</v>
      </c>
      <c r="K296" s="216">
        <f t="shared" si="47"/>
        <v>3.7828890270154458E-2</v>
      </c>
      <c r="L296" s="216">
        <v>1.78E-2</v>
      </c>
      <c r="M296" s="530">
        <f t="shared" si="49"/>
        <v>-4.7240000000000004E-2</v>
      </c>
      <c r="N296" s="216">
        <f t="shared" si="30"/>
        <v>4.582405432935821E-2</v>
      </c>
      <c r="O296" s="793">
        <f t="shared" si="37"/>
        <v>48265.863380044051</v>
      </c>
      <c r="P296" s="793">
        <f t="shared" si="38"/>
        <v>78008.65753275028</v>
      </c>
      <c r="Q296" s="5"/>
      <c r="R296" s="5"/>
      <c r="S296" s="5"/>
      <c r="T296" s="5"/>
      <c r="U296" s="5"/>
      <c r="V296" s="5"/>
      <c r="W296" s="191"/>
      <c r="X296" s="191"/>
      <c r="Y296" s="5"/>
      <c r="Z296" s="5"/>
      <c r="AA296" s="5"/>
      <c r="AB296" s="5"/>
    </row>
    <row r="297" spans="1:28" ht="12.75" customHeight="1">
      <c r="A297" s="423">
        <v>43617</v>
      </c>
      <c r="B297" s="192">
        <f t="shared" si="52"/>
        <v>193711.17</v>
      </c>
      <c r="C297" s="192"/>
      <c r="D297" s="192">
        <v>204734.88</v>
      </c>
      <c r="E297" s="189">
        <f t="shared" si="50"/>
        <v>8005.117080785295</v>
      </c>
      <c r="F297" s="494">
        <f t="shared" si="48"/>
        <v>25.575501011899714</v>
      </c>
      <c r="G297" s="198"/>
      <c r="H297" s="185">
        <f t="shared" si="42"/>
        <v>5.6907972833987762E-2</v>
      </c>
      <c r="I297" s="185">
        <f t="shared" si="51"/>
        <v>0.12186108443621313</v>
      </c>
      <c r="J297" s="216">
        <v>7.0499999999999993E-2</v>
      </c>
      <c r="K297" s="216">
        <f t="shared" si="47"/>
        <v>0.10415009643629514</v>
      </c>
      <c r="L297" s="216">
        <v>1.26E-2</v>
      </c>
      <c r="M297" s="530">
        <f t="shared" si="49"/>
        <v>5.892E-2</v>
      </c>
      <c r="N297" s="216">
        <f t="shared" ref="N297:N317" si="53">((1+M286)*(1+M287)*(1+M288)*(1+M289)*(1+M290)*(1+M291)*(1+M292)*(1+M293)*(1+M294)*(1+M295)*(1+M296)*(1+M297))-1</f>
        <v>0.10224142806995395</v>
      </c>
      <c r="O297" s="793">
        <f t="shared" si="37"/>
        <v>51012.575822084567</v>
      </c>
      <c r="P297" s="793">
        <f t="shared" si="38"/>
        <v>82604.92763457993</v>
      </c>
      <c r="Q297" s="5"/>
      <c r="R297" s="5"/>
      <c r="S297" s="5"/>
      <c r="T297" s="5"/>
      <c r="U297" s="5"/>
      <c r="V297" s="5"/>
      <c r="W297" s="191"/>
      <c r="X297" s="191"/>
      <c r="Y297" s="5"/>
      <c r="Z297" s="5"/>
      <c r="AA297" s="5"/>
      <c r="AB297" s="5"/>
    </row>
    <row r="298" spans="1:28" ht="12.75" customHeight="1">
      <c r="A298" s="423">
        <v>43647</v>
      </c>
      <c r="B298" s="192">
        <f t="shared" si="52"/>
        <v>204734.88</v>
      </c>
      <c r="C298" s="192"/>
      <c r="D298" s="192">
        <v>207468.85</v>
      </c>
      <c r="E298" s="189">
        <f t="shared" si="50"/>
        <v>8005.117080785295</v>
      </c>
      <c r="F298" s="494">
        <f t="shared" si="48"/>
        <v>25.917028808733861</v>
      </c>
      <c r="G298" s="198"/>
      <c r="H298" s="185">
        <f t="shared" si="42"/>
        <v>1.3353708952768552E-2</v>
      </c>
      <c r="I298" s="185">
        <f t="shared" si="51"/>
        <v>0.10547971862142891</v>
      </c>
      <c r="J298" s="216">
        <v>1.44E-2</v>
      </c>
      <c r="K298" s="216">
        <f t="shared" si="47"/>
        <v>7.9878382014055394E-2</v>
      </c>
      <c r="L298" s="216">
        <v>2.2000000000000001E-3</v>
      </c>
      <c r="M298" s="530">
        <f t="shared" si="49"/>
        <v>1.196E-2</v>
      </c>
      <c r="N298" s="216">
        <f t="shared" si="53"/>
        <v>8.314647072215009E-2</v>
      </c>
      <c r="O298" s="793">
        <f t="shared" si="37"/>
        <v>51693.782912543727</v>
      </c>
      <c r="P298" s="793">
        <f t="shared" si="38"/>
        <v>83592.882569089503</v>
      </c>
      <c r="Q298" s="5"/>
      <c r="R298" s="5"/>
      <c r="S298" s="5"/>
      <c r="T298" s="5"/>
      <c r="U298" s="5"/>
      <c r="V298" s="5"/>
      <c r="W298" s="191"/>
      <c r="X298" s="191"/>
      <c r="Y298" s="5"/>
      <c r="Z298" s="5"/>
      <c r="AA298" s="5"/>
      <c r="AB298" s="5"/>
    </row>
    <row r="299" spans="1:28" ht="12.75" customHeight="1">
      <c r="A299" s="423">
        <v>43678</v>
      </c>
      <c r="B299" s="192">
        <f t="shared" si="52"/>
        <v>207468.85</v>
      </c>
      <c r="C299" s="192"/>
      <c r="D299" s="192">
        <v>205072.93</v>
      </c>
      <c r="E299" s="189">
        <f t="shared" si="50"/>
        <v>8005.117080785295</v>
      </c>
      <c r="F299" s="494">
        <f t="shared" si="48"/>
        <v>25.617730250596473</v>
      </c>
      <c r="G299" s="198"/>
      <c r="H299" s="185">
        <f t="shared" si="42"/>
        <v>-1.1548336051412101E-2</v>
      </c>
      <c r="I299" s="185">
        <f t="shared" si="51"/>
        <v>6.2040905106729438E-2</v>
      </c>
      <c r="J299" s="216">
        <v>-1.5800000000000002E-2</v>
      </c>
      <c r="K299" s="216">
        <f t="shared" si="47"/>
        <v>2.9262350937665271E-2</v>
      </c>
      <c r="L299" s="216">
        <v>2.5899999999999999E-2</v>
      </c>
      <c r="M299" s="530">
        <f t="shared" si="49"/>
        <v>-7.4600000000000014E-3</v>
      </c>
      <c r="N299" s="216">
        <f t="shared" si="53"/>
        <v>4.6435716837878616E-2</v>
      </c>
      <c r="O299" s="793">
        <f t="shared" si="37"/>
        <v>51096.805735700924</v>
      </c>
      <c r="P299" s="793">
        <f t="shared" si="38"/>
        <v>82969.279665124093</v>
      </c>
      <c r="Q299" s="5"/>
      <c r="R299" s="5"/>
      <c r="S299" s="5"/>
      <c r="T299" s="5"/>
      <c r="U299" s="5"/>
      <c r="V299" s="5"/>
      <c r="W299" s="191"/>
      <c r="X299" s="191"/>
      <c r="Y299" s="5"/>
      <c r="Z299" s="5"/>
      <c r="AA299" s="5"/>
      <c r="AB299" s="5"/>
    </row>
    <row r="300" spans="1:28" ht="12.75" customHeight="1">
      <c r="A300" s="423">
        <v>43709</v>
      </c>
      <c r="B300" s="192">
        <f t="shared" si="52"/>
        <v>205072.93</v>
      </c>
      <c r="C300" s="192"/>
      <c r="D300" s="192">
        <v>206767.77</v>
      </c>
      <c r="E300" s="189">
        <f t="shared" si="50"/>
        <v>8005.117080785295</v>
      </c>
      <c r="F300" s="494">
        <f t="shared" si="48"/>
        <v>25.829449827324233</v>
      </c>
      <c r="G300" s="198"/>
      <c r="H300" s="185">
        <f>(F300-F299)/F299</f>
        <v>8.2645720232310486E-3</v>
      </c>
      <c r="I300" s="185">
        <f t="shared" si="51"/>
        <v>6.535289415918899E-2</v>
      </c>
      <c r="J300" s="216">
        <v>1.8700000000000001E-2</v>
      </c>
      <c r="K300" s="216">
        <f t="shared" si="47"/>
        <v>4.2566925425275626E-2</v>
      </c>
      <c r="L300" s="216">
        <v>-5.3E-3</v>
      </c>
      <c r="M300" s="530">
        <f>(J300*0.8)+(L300*0.2)</f>
        <v>1.3900000000000001E-2</v>
      </c>
      <c r="N300" s="216">
        <f t="shared" si="53"/>
        <v>5.7512532196321242E-2</v>
      </c>
      <c r="O300" s="793">
        <f t="shared" si="37"/>
        <v>51519.098966860671</v>
      </c>
      <c r="P300" s="793">
        <f t="shared" si="38"/>
        <v>84122.552652469327</v>
      </c>
      <c r="Q300" s="5"/>
      <c r="R300" s="5"/>
      <c r="S300" s="5"/>
      <c r="T300" s="5"/>
      <c r="U300" s="5"/>
      <c r="V300" s="5"/>
      <c r="W300" s="191"/>
      <c r="X300" s="191"/>
      <c r="Y300" s="5"/>
      <c r="Z300" s="5"/>
      <c r="AA300" s="5"/>
      <c r="AB300" s="5"/>
    </row>
    <row r="301" spans="1:28" ht="12.75" customHeight="1">
      <c r="A301" s="423">
        <v>43739</v>
      </c>
      <c r="B301" s="192">
        <f t="shared" si="52"/>
        <v>206767.77</v>
      </c>
      <c r="C301" s="192"/>
      <c r="D301" s="192">
        <v>212172.56</v>
      </c>
      <c r="E301" s="189">
        <f t="shared" ref="E301:E308" si="54">E300+C301/F300</f>
        <v>8005.117080785295</v>
      </c>
      <c r="F301" s="494">
        <f t="shared" ref="F301:F308" si="55">D301/E301</f>
        <v>26.504616716884552</v>
      </c>
      <c r="G301" s="198"/>
      <c r="H301" s="185">
        <f>(F301-F300)/F300</f>
        <v>2.6139422019205376E-2</v>
      </c>
      <c r="I301" s="185">
        <f>((1+H290)*(1+H291)*(1+H292)*(1+H293)*(1+H294)*(1+H295)*(1+H296)*(1+H297)*(1+H298)*(1+H299)*(1+H300)*(1+H301))-1</f>
        <v>0.16224992919876025</v>
      </c>
      <c r="J301" s="216">
        <v>2.1700000000000001E-2</v>
      </c>
      <c r="K301" s="216">
        <f t="shared" si="47"/>
        <v>0.1433991280667708</v>
      </c>
      <c r="L301" s="216">
        <v>3.0000000000000001E-3</v>
      </c>
      <c r="M301" s="530">
        <f t="shared" si="49"/>
        <v>1.796E-2</v>
      </c>
      <c r="N301" s="216">
        <f t="shared" si="53"/>
        <v>0.14072847014365508</v>
      </c>
      <c r="O301" s="793">
        <f t="shared" si="37"/>
        <v>52865.778436804641</v>
      </c>
      <c r="P301" s="793">
        <f t="shared" si="38"/>
        <v>85633.393698107669</v>
      </c>
      <c r="Q301" s="5"/>
      <c r="R301" s="5"/>
      <c r="S301" s="5"/>
      <c r="T301" s="5"/>
      <c r="U301" s="5"/>
      <c r="V301" s="5"/>
      <c r="W301" s="191"/>
      <c r="X301" s="191"/>
      <c r="Y301" s="5"/>
      <c r="Z301" s="5"/>
      <c r="AA301" s="5"/>
      <c r="AB301" s="5"/>
    </row>
    <row r="302" spans="1:28" ht="12.75" customHeight="1">
      <c r="A302" s="423">
        <v>43770</v>
      </c>
      <c r="B302" s="192">
        <f>D301</f>
        <v>212172.56</v>
      </c>
      <c r="C302" s="192"/>
      <c r="D302" s="192">
        <v>218970.92</v>
      </c>
      <c r="E302" s="189">
        <f t="shared" si="54"/>
        <v>8005.117080785295</v>
      </c>
      <c r="F302" s="494">
        <f t="shared" si="55"/>
        <v>27.353868505633294</v>
      </c>
      <c r="G302" s="198"/>
      <c r="H302" s="185">
        <f>(F302-F301)/F301</f>
        <v>3.2041655150882926E-2</v>
      </c>
      <c r="I302" s="185">
        <f>((1+H291)*(1+H292)*(1+H293)*(1+H294)*(1+H295)*(1+H296)*(1+H297)*(1+H298)*(1+H299)*(1+H300)*(1+H301)*(1+H302))-1</f>
        <v>0.16185913234844773</v>
      </c>
      <c r="J302" s="216">
        <v>3.6299999999999999E-2</v>
      </c>
      <c r="K302" s="216">
        <f t="shared" si="47"/>
        <v>0.16121571581300942</v>
      </c>
      <c r="L302" s="216">
        <v>-5.0000000000000001E-4</v>
      </c>
      <c r="M302" s="530">
        <f t="shared" si="49"/>
        <v>2.894E-2</v>
      </c>
      <c r="N302" s="216">
        <f t="shared" si="53"/>
        <v>0.15353128397438076</v>
      </c>
      <c r="O302" s="793">
        <f t="shared" si="37"/>
        <v>54559.685478759719</v>
      </c>
      <c r="P302" s="793">
        <f t="shared" si="38"/>
        <v>88111.624111730896</v>
      </c>
      <c r="Q302" s="5"/>
      <c r="R302" s="5"/>
      <c r="S302" s="5"/>
      <c r="T302" s="5"/>
      <c r="U302" s="5"/>
      <c r="V302" s="5"/>
      <c r="W302" s="191"/>
      <c r="X302" s="191"/>
      <c r="Y302" s="5"/>
      <c r="Z302" s="5"/>
      <c r="AA302" s="5"/>
      <c r="AB302" s="5"/>
    </row>
    <row r="303" spans="1:28" s="371" customFormat="1" ht="12.75" customHeight="1">
      <c r="A303" s="1473">
        <v>43800</v>
      </c>
      <c r="B303" s="600">
        <f>D302</f>
        <v>218970.92</v>
      </c>
      <c r="C303" s="600"/>
      <c r="D303" s="600">
        <v>225950.07</v>
      </c>
      <c r="E303" s="601">
        <f t="shared" si="54"/>
        <v>8005.117080785295</v>
      </c>
      <c r="F303" s="602">
        <f t="shared" si="55"/>
        <v>28.225704598668344</v>
      </c>
      <c r="G303" s="599"/>
      <c r="H303" s="603">
        <f>(F303-F302)/F302</f>
        <v>3.1872497042072963E-2</v>
      </c>
      <c r="I303" s="603">
        <f>((1+H292)*(1+H293)*(1+H294)*(1+H295)*(1+H296)*(1+H297)*(1+H298)*(1+H299)*(1+H300)*(1+H301)*(1+H302)*(1+H303))-1</f>
        <v>0.30591570092800024</v>
      </c>
      <c r="J303" s="481">
        <v>3.0200000000000001E-2</v>
      </c>
      <c r="K303" s="481">
        <f t="shared" si="47"/>
        <v>0.31503180216616733</v>
      </c>
      <c r="L303" s="481">
        <v>-6.9999999999999999E-4</v>
      </c>
      <c r="M303" s="604">
        <f t="shared" si="49"/>
        <v>2.402E-2</v>
      </c>
      <c r="N303" s="481">
        <f t="shared" si="53"/>
        <v>0.26818593298059556</v>
      </c>
      <c r="O303" s="1472">
        <f t="shared" si="37"/>
        <v>56298.638892797921</v>
      </c>
      <c r="P303" s="1472">
        <f t="shared" si="38"/>
        <v>90228.065322894661</v>
      </c>
      <c r="Q303" s="369"/>
      <c r="R303" s="369"/>
      <c r="S303" s="369"/>
      <c r="T303" s="369"/>
      <c r="U303" s="369"/>
      <c r="V303" s="369"/>
      <c r="W303" s="370"/>
      <c r="X303" s="370"/>
      <c r="Y303" s="369"/>
      <c r="Z303" s="369"/>
      <c r="AA303" s="369"/>
      <c r="AB303" s="369"/>
    </row>
    <row r="304" spans="1:28" ht="12.75" customHeight="1">
      <c r="A304" s="423">
        <v>43831</v>
      </c>
      <c r="B304" s="192">
        <f>D303</f>
        <v>225950.07</v>
      </c>
      <c r="C304" s="196">
        <v>-5000</v>
      </c>
      <c r="D304" s="192">
        <v>221857.34</v>
      </c>
      <c r="E304" s="189">
        <f t="shared" si="54"/>
        <v>7827.9735844193656</v>
      </c>
      <c r="F304" s="494">
        <f t="shared" si="55"/>
        <v>28.341605602959646</v>
      </c>
      <c r="G304" s="198"/>
      <c r="H304" s="185">
        <f>(F304-F303)/F303</f>
        <v>4.1062218264967792E-3</v>
      </c>
      <c r="I304" s="185">
        <f>((1+H293)*(1+H294)*(1+H295)*(1+H296)*(1+H297)*(1+H298)*(1+H299)*(1+H300)*(1+H301)*(1+H302)*(1+H303)*(1+H304))-1</f>
        <v>0.21708113390202777</v>
      </c>
      <c r="J304" s="216">
        <v>-4.0000000000000002E-4</v>
      </c>
      <c r="K304" s="216">
        <f t="shared" si="47"/>
        <v>0.21702230297685499</v>
      </c>
      <c r="L304" s="216">
        <v>1.9199999999999998E-2</v>
      </c>
      <c r="M304" s="530">
        <f t="shared" si="49"/>
        <v>3.5199999999999997E-3</v>
      </c>
      <c r="N304" s="216">
        <f t="shared" si="53"/>
        <v>0.19363153954669565</v>
      </c>
      <c r="O304" s="793">
        <f t="shared" si="37"/>
        <v>56529.813592621584</v>
      </c>
      <c r="P304" s="793">
        <f t="shared" si="38"/>
        <v>90545.668112831248</v>
      </c>
      <c r="Q304" s="5"/>
      <c r="R304" s="5"/>
      <c r="S304" s="5"/>
      <c r="T304" s="5"/>
      <c r="U304" s="5"/>
      <c r="V304" s="5"/>
      <c r="W304" s="191"/>
      <c r="X304" s="191"/>
      <c r="Y304" s="5"/>
      <c r="Z304" s="5"/>
      <c r="AA304" s="5"/>
      <c r="AB304" s="5"/>
    </row>
    <row r="305" spans="1:28" ht="12.75" customHeight="1">
      <c r="A305" s="423">
        <v>43862</v>
      </c>
      <c r="B305" s="192">
        <f>D304</f>
        <v>221857.34</v>
      </c>
      <c r="C305" s="192"/>
      <c r="D305" s="192">
        <v>206453.64</v>
      </c>
      <c r="E305" s="189">
        <f t="shared" si="54"/>
        <v>7827.9735844193656</v>
      </c>
      <c r="F305" s="494">
        <f t="shared" si="55"/>
        <v>26.373829417477982</v>
      </c>
      <c r="G305" s="198"/>
      <c r="H305" s="185">
        <f t="shared" ref="H305:H317" si="56">(F305-F304)/F304</f>
        <v>-6.9430653049387378E-2</v>
      </c>
      <c r="I305" s="185">
        <f t="shared" ref="I305:I317" si="57">((1+H294)*(1+H295)*(1+H296)*(1+H297)*(1+H298)*(1+H299)*(1+H300)*(1+H301)*(1+H302)*(1+H303)*(1+H304)*(1+H305))-1</f>
        <v>0.11560689296793436</v>
      </c>
      <c r="J305" s="216">
        <v>-8.2299999999999998E-2</v>
      </c>
      <c r="K305" s="216">
        <f t="shared" si="47"/>
        <v>8.2125150122913659E-2</v>
      </c>
      <c r="L305" s="216">
        <v>1.7999999999999999E-2</v>
      </c>
      <c r="M305" s="530">
        <f t="shared" si="49"/>
        <v>-6.2239999999999997E-2</v>
      </c>
      <c r="N305" s="216">
        <f t="shared" si="53"/>
        <v>9.1442638680632182E-2</v>
      </c>
      <c r="O305" s="793">
        <f t="shared" si="37"/>
        <v>52604.911718125732</v>
      </c>
      <c r="P305" s="793">
        <f t="shared" si="38"/>
        <v>84910.105729488641</v>
      </c>
      <c r="Q305" s="5"/>
      <c r="R305" s="5"/>
      <c r="S305" s="5"/>
      <c r="T305" s="5"/>
      <c r="U305" s="5"/>
      <c r="V305" s="5"/>
      <c r="W305" s="191"/>
      <c r="X305" s="191"/>
      <c r="Y305" s="5"/>
      <c r="Z305" s="5"/>
      <c r="AA305" s="5"/>
      <c r="AB305" s="5"/>
    </row>
    <row r="306" spans="1:28" ht="12.75" customHeight="1">
      <c r="A306" s="423">
        <v>43891</v>
      </c>
      <c r="B306" s="192">
        <f>D305</f>
        <v>206453.64</v>
      </c>
      <c r="C306" s="192"/>
      <c r="D306" s="192">
        <v>187503.86</v>
      </c>
      <c r="E306" s="189">
        <f t="shared" si="54"/>
        <v>7827.9735844193656</v>
      </c>
      <c r="F306" s="494">
        <f t="shared" si="55"/>
        <v>23.953052214330889</v>
      </c>
      <c r="G306" s="198"/>
      <c r="H306" s="185">
        <f t="shared" si="56"/>
        <v>-9.1787095640454855E-2</v>
      </c>
      <c r="I306" s="185">
        <f t="shared" si="57"/>
        <v>-1.5879527709792285E-2</v>
      </c>
      <c r="J306" s="216">
        <v>-0.1235</v>
      </c>
      <c r="K306" s="216">
        <f t="shared" si="47"/>
        <v>-6.956769267928764E-2</v>
      </c>
      <c r="L306" s="216">
        <v>-5.8999999999999999E-3</v>
      </c>
      <c r="M306" s="530">
        <f t="shared" si="49"/>
        <v>-9.9979999999999999E-2</v>
      </c>
      <c r="N306" s="216">
        <f t="shared" si="53"/>
        <v>-3.6336325081087417E-2</v>
      </c>
      <c r="O306" s="793">
        <f t="shared" si="37"/>
        <v>47776.459655096442</v>
      </c>
      <c r="P306" s="793">
        <f t="shared" si="38"/>
        <v>76420.793358654366</v>
      </c>
      <c r="Q306" s="5"/>
      <c r="R306" s="5"/>
      <c r="S306" s="5"/>
      <c r="T306" s="5"/>
      <c r="U306" s="5"/>
      <c r="V306" s="5"/>
      <c r="W306" s="191"/>
      <c r="X306" s="191"/>
      <c r="Y306" s="5"/>
      <c r="Z306" s="5"/>
      <c r="AA306" s="5"/>
      <c r="AB306" s="5"/>
    </row>
    <row r="307" spans="1:28" ht="12.75" customHeight="1">
      <c r="A307" s="423">
        <v>43922</v>
      </c>
      <c r="B307" s="192">
        <v>187503.86</v>
      </c>
      <c r="C307" s="192"/>
      <c r="D307" s="192">
        <v>210402.84</v>
      </c>
      <c r="E307" s="189">
        <f t="shared" si="54"/>
        <v>7827.9735844193656</v>
      </c>
      <c r="F307" s="494">
        <f t="shared" si="55"/>
        <v>26.878327798497097</v>
      </c>
      <c r="G307" s="198"/>
      <c r="H307" s="185">
        <f t="shared" si="56"/>
        <v>0.12212537917886067</v>
      </c>
      <c r="I307" s="185">
        <f t="shared" si="57"/>
        <v>6.2735659459252524E-2</v>
      </c>
      <c r="J307" s="185">
        <v>0.12820000000000001</v>
      </c>
      <c r="K307" s="216">
        <f t="shared" si="47"/>
        <v>8.8550976638424039E-3</v>
      </c>
      <c r="L307" s="216">
        <v>1.78E-2</v>
      </c>
      <c r="M307" s="541">
        <f t="shared" si="49"/>
        <v>0.10612000000000001</v>
      </c>
      <c r="N307" s="216">
        <f t="shared" si="53"/>
        <v>3.2415458324106972E-2</v>
      </c>
      <c r="O307" s="793">
        <f t="shared" si="37"/>
        <v>53611.177906298632</v>
      </c>
      <c r="P307" s="793">
        <f t="shared" si="38"/>
        <v>84530.567949874763</v>
      </c>
      <c r="Q307" s="5"/>
      <c r="R307" s="5"/>
      <c r="S307" s="5"/>
      <c r="T307" s="5"/>
      <c r="U307" s="5"/>
      <c r="V307" s="5"/>
      <c r="W307" s="191"/>
      <c r="X307" s="191"/>
      <c r="Y307" s="5"/>
      <c r="Z307" s="5"/>
      <c r="AA307" s="5"/>
      <c r="AB307" s="5"/>
    </row>
    <row r="308" spans="1:28" ht="12.75" customHeight="1">
      <c r="A308" s="423">
        <v>43952</v>
      </c>
      <c r="B308" s="192">
        <f t="shared" ref="B308:B316" si="58">D307</f>
        <v>210402.84</v>
      </c>
      <c r="C308" s="192"/>
      <c r="D308" s="192">
        <v>218844.79999999999</v>
      </c>
      <c r="E308" s="189">
        <f t="shared" si="54"/>
        <v>7827.9735844193656</v>
      </c>
      <c r="F308" s="494">
        <f t="shared" si="55"/>
        <v>27.956762710030613</v>
      </c>
      <c r="G308" s="198"/>
      <c r="H308" s="185">
        <f t="shared" si="56"/>
        <v>4.012284244832439E-2</v>
      </c>
      <c r="I308" s="185">
        <f t="shared" si="57"/>
        <v>0.15531364914850987</v>
      </c>
      <c r="J308" s="185">
        <v>4.7600000000000003E-2</v>
      </c>
      <c r="K308" s="216">
        <f>((1+J297)*(1+J298)*(1+J299)*(1+J300)*(1+J301)*(1+J302)*(1+J303)*(1+J304)*(1+J305)*(1+J306)*(1+J307)*(1+J308))-1</f>
        <v>0.12853881506955789</v>
      </c>
      <c r="L308" s="216">
        <v>4.7000000000000002E-3</v>
      </c>
      <c r="M308" s="541">
        <f>(J308*0.8)+(L308*0.2)</f>
        <v>3.9020000000000006E-2</v>
      </c>
      <c r="N308" s="216">
        <f t="shared" si="53"/>
        <v>0.12588722186900569</v>
      </c>
      <c r="O308" s="793">
        <f t="shared" si="37"/>
        <v>55762.210750902144</v>
      </c>
      <c r="P308" s="793">
        <f t="shared" si="38"/>
        <v>87828.950711278885</v>
      </c>
      <c r="Q308" s="5"/>
      <c r="R308" s="5"/>
      <c r="S308" s="5"/>
      <c r="T308" s="5"/>
      <c r="U308" s="5"/>
      <c r="V308" s="5"/>
      <c r="W308" s="191"/>
      <c r="X308" s="191"/>
      <c r="Y308" s="5"/>
      <c r="Z308" s="5"/>
      <c r="AA308" s="5"/>
      <c r="AB308" s="5"/>
    </row>
    <row r="309" spans="1:28" ht="12.75" customHeight="1">
      <c r="A309" s="423">
        <v>43983</v>
      </c>
      <c r="B309" s="192">
        <f t="shared" si="58"/>
        <v>218844.79999999999</v>
      </c>
      <c r="C309" s="192"/>
      <c r="D309" s="192">
        <v>224324.43</v>
      </c>
      <c r="E309" s="189">
        <f t="shared" ref="E309:E323" si="59">E308+C309/F308</f>
        <v>7827.9735844193656</v>
      </c>
      <c r="F309" s="494">
        <f t="shared" ref="F309:F316" si="60">D309/E309</f>
        <v>28.656768904597563</v>
      </c>
      <c r="G309" s="198"/>
      <c r="H309" s="185">
        <f t="shared" si="56"/>
        <v>2.5038886005059303E-2</v>
      </c>
      <c r="I309" s="185">
        <f t="shared" si="57"/>
        <v>0.12047732285925461</v>
      </c>
      <c r="J309" s="185">
        <v>1.9900000000000001E-2</v>
      </c>
      <c r="K309" s="216">
        <f t="shared" ref="K309:K317" si="61">((1+J298)*(1+J299)*(1+J300)*(1+J301)*(1+J302)*(1+J303)*(1+J304)*(1+J305)*(1+J306)*(1+J307)*(1+J308)*(1+J309))-1</f>
        <v>7.5195457720170333E-2</v>
      </c>
      <c r="L309" s="216">
        <v>6.3E-3</v>
      </c>
      <c r="M309" s="541">
        <f t="shared" ref="M309:M317" si="62">(J309*0.8)+(L309*0.2)</f>
        <v>1.7180000000000001E-2</v>
      </c>
      <c r="N309" s="216">
        <f t="shared" si="53"/>
        <v>8.1507540079245988E-2</v>
      </c>
      <c r="O309" s="793">
        <f t="shared" si="37"/>
        <v>57158.43438928407</v>
      </c>
      <c r="P309" s="793">
        <f t="shared" si="38"/>
        <v>89337.852084498649</v>
      </c>
      <c r="Q309" s="5"/>
      <c r="R309" s="5"/>
      <c r="S309" s="5"/>
      <c r="T309" s="5"/>
      <c r="U309" s="5"/>
      <c r="V309" s="5"/>
      <c r="W309" s="191"/>
      <c r="X309" s="191"/>
      <c r="Y309" s="5"/>
      <c r="Z309" s="5"/>
      <c r="AA309" s="5"/>
      <c r="AB309" s="5"/>
    </row>
    <row r="310" spans="1:28" ht="12.75" customHeight="1">
      <c r="A310" s="423">
        <v>44013</v>
      </c>
      <c r="B310" s="192">
        <f t="shared" si="58"/>
        <v>224324.43</v>
      </c>
      <c r="C310" s="192"/>
      <c r="D310" s="192">
        <v>238015.72</v>
      </c>
      <c r="E310" s="189">
        <f t="shared" si="59"/>
        <v>7827.9735844193656</v>
      </c>
      <c r="F310" s="494">
        <f t="shared" si="60"/>
        <v>30.405789880760647</v>
      </c>
      <c r="G310" s="198"/>
      <c r="H310" s="185">
        <f t="shared" si="56"/>
        <v>6.1033432693888924E-2</v>
      </c>
      <c r="I310" s="185">
        <f t="shared" si="57"/>
        <v>0.17319736398618701</v>
      </c>
      <c r="J310" s="185">
        <v>5.6399999999999999E-2</v>
      </c>
      <c r="K310" s="216">
        <f t="shared" si="61"/>
        <v>0.11971261981031933</v>
      </c>
      <c r="L310" s="216">
        <v>1.4999999999999999E-2</v>
      </c>
      <c r="M310" s="541">
        <f t="shared" si="62"/>
        <v>4.8120000000000003E-2</v>
      </c>
      <c r="N310" s="216">
        <f t="shared" si="53"/>
        <v>0.12015265712860113</v>
      </c>
      <c r="O310" s="793">
        <f t="shared" si="37"/>
        <v>60647.009847470501</v>
      </c>
      <c r="P310" s="793">
        <f t="shared" si="38"/>
        <v>93636.789526804714</v>
      </c>
      <c r="Q310" s="5"/>
      <c r="R310" s="5"/>
      <c r="S310" s="5"/>
      <c r="T310" s="5"/>
      <c r="U310" s="5"/>
      <c r="V310" s="5"/>
      <c r="W310" s="191"/>
      <c r="X310" s="191"/>
      <c r="Y310" s="5"/>
      <c r="Z310" s="5"/>
      <c r="AA310" s="5"/>
      <c r="AB310" s="5"/>
    </row>
    <row r="311" spans="1:28" ht="12.75" customHeight="1">
      <c r="A311" s="423">
        <v>44044</v>
      </c>
      <c r="B311" s="192">
        <f t="shared" si="58"/>
        <v>238015.72</v>
      </c>
      <c r="C311" s="192"/>
      <c r="D311" s="192">
        <v>254620.06</v>
      </c>
      <c r="E311" s="189">
        <f t="shared" si="59"/>
        <v>7827.9735844193656</v>
      </c>
      <c r="F311" s="494">
        <f t="shared" si="60"/>
        <v>32.526944202621024</v>
      </c>
      <c r="G311" s="198"/>
      <c r="H311" s="185">
        <f t="shared" si="56"/>
        <v>6.976152667563304E-2</v>
      </c>
      <c r="I311" s="185">
        <f t="shared" si="57"/>
        <v>0.26970437600980124</v>
      </c>
      <c r="J311" s="185">
        <v>7.1900000000000006E-2</v>
      </c>
      <c r="K311" s="216">
        <f t="shared" si="61"/>
        <v>0.21948786544877219</v>
      </c>
      <c r="L311" s="216">
        <v>-8.0999999999999996E-3</v>
      </c>
      <c r="M311" s="541">
        <f t="shared" si="62"/>
        <v>5.5900000000000005E-2</v>
      </c>
      <c r="N311" s="216">
        <f t="shared" si="53"/>
        <v>0.19165896655257186</v>
      </c>
      <c r="O311" s="793">
        <f t="shared" si="37"/>
        <v>64877.837842742192</v>
      </c>
      <c r="P311" s="793">
        <f t="shared" si="38"/>
        <v>98871.086061353097</v>
      </c>
      <c r="Q311" s="5"/>
      <c r="R311" s="5"/>
      <c r="S311" s="5"/>
      <c r="T311" s="5"/>
      <c r="U311" s="5"/>
      <c r="V311" s="5"/>
      <c r="W311" s="191"/>
      <c r="X311" s="191"/>
      <c r="Y311" s="5"/>
      <c r="Z311" s="5"/>
      <c r="AA311" s="5"/>
      <c r="AB311" s="5"/>
    </row>
    <row r="312" spans="1:28" ht="12.75" customHeight="1">
      <c r="A312" s="423">
        <v>44075</v>
      </c>
      <c r="B312" s="192">
        <f t="shared" si="58"/>
        <v>254620.06</v>
      </c>
      <c r="C312" s="192"/>
      <c r="D312" s="192">
        <v>246376.09</v>
      </c>
      <c r="E312" s="189">
        <f t="shared" si="59"/>
        <v>7827.9735844193656</v>
      </c>
      <c r="F312" s="494">
        <f t="shared" si="60"/>
        <v>31.473801916038884</v>
      </c>
      <c r="G312" s="198"/>
      <c r="H312" s="185">
        <f t="shared" si="56"/>
        <v>-3.2377535375649524E-2</v>
      </c>
      <c r="I312" s="185">
        <f t="shared" si="57"/>
        <v>0.21852389913251868</v>
      </c>
      <c r="J312" s="216">
        <v>-3.7999999999999999E-2</v>
      </c>
      <c r="K312" s="216">
        <f t="shared" si="61"/>
        <v>0.15161217881782529</v>
      </c>
      <c r="L312" s="216">
        <v>-5.9999999999999995E-4</v>
      </c>
      <c r="M312" s="541">
        <f t="shared" si="62"/>
        <v>-3.0519999999999999E-2</v>
      </c>
      <c r="N312" s="216">
        <f t="shared" si="53"/>
        <v>0.1394511637177116</v>
      </c>
      <c r="O312" s="793">
        <f t="shared" si="37"/>
        <v>62777.25335289316</v>
      </c>
      <c r="P312" s="793">
        <f t="shared" si="38"/>
        <v>95853.540514760607</v>
      </c>
      <c r="Q312" s="5"/>
      <c r="R312" s="5"/>
      <c r="S312" s="5"/>
      <c r="T312" s="5"/>
      <c r="U312" s="5"/>
      <c r="V312" s="5"/>
      <c r="W312" s="191"/>
      <c r="X312" s="191"/>
      <c r="Y312" s="5"/>
      <c r="Z312" s="5"/>
      <c r="AA312" s="5"/>
      <c r="AB312" s="5"/>
    </row>
    <row r="313" spans="1:28" ht="12.75" customHeight="1">
      <c r="A313" s="423">
        <v>44105</v>
      </c>
      <c r="B313" s="192">
        <f t="shared" si="58"/>
        <v>246376.09</v>
      </c>
      <c r="C313" s="192"/>
      <c r="D313" s="192">
        <v>237343.92</v>
      </c>
      <c r="E313" s="189">
        <f t="shared" si="59"/>
        <v>7827.9735844193656</v>
      </c>
      <c r="F313" s="494">
        <f t="shared" si="60"/>
        <v>30.31996945830328</v>
      </c>
      <c r="G313" s="198"/>
      <c r="H313" s="185">
        <f t="shared" si="56"/>
        <v>-3.6660091488585518E-2</v>
      </c>
      <c r="I313" s="185">
        <f t="shared" si="57"/>
        <v>0.14395049670679394</v>
      </c>
      <c r="J313" s="216">
        <v>-2.6599999999999999E-2</v>
      </c>
      <c r="K313" s="216">
        <f t="shared" si="61"/>
        <v>9.7170690869404996E-2</v>
      </c>
      <c r="L313" s="216">
        <v>-4.4999999999999997E-3</v>
      </c>
      <c r="M313" s="541">
        <f t="shared" si="62"/>
        <v>-2.2180000000000002E-2</v>
      </c>
      <c r="N313" s="216">
        <f t="shared" si="53"/>
        <v>9.452054786676567E-2</v>
      </c>
      <c r="O313" s="793">
        <f t="shared" si="37"/>
        <v>60475.833501573987</v>
      </c>
      <c r="P313" s="793">
        <f t="shared" si="38"/>
        <v>93727.508986143221</v>
      </c>
      <c r="Q313" s="5"/>
      <c r="R313" s="5"/>
      <c r="S313" s="5"/>
      <c r="T313" s="5"/>
      <c r="U313" s="5"/>
      <c r="V313" s="5"/>
      <c r="W313" s="191"/>
      <c r="X313" s="191"/>
      <c r="Y313" s="5"/>
      <c r="Z313" s="5"/>
      <c r="AA313" s="5"/>
      <c r="AB313" s="5"/>
    </row>
    <row r="314" spans="1:28" ht="12.75" customHeight="1">
      <c r="A314" s="423">
        <v>44136</v>
      </c>
      <c r="B314" s="192">
        <f t="shared" si="58"/>
        <v>237343.92</v>
      </c>
      <c r="C314" s="192"/>
      <c r="D314" s="192">
        <v>255336.76</v>
      </c>
      <c r="E314" s="189">
        <f t="shared" si="59"/>
        <v>7827.9735844193656</v>
      </c>
      <c r="F314" s="494">
        <f t="shared" si="60"/>
        <v>32.618500464566836</v>
      </c>
      <c r="G314" s="198"/>
      <c r="H314" s="185">
        <f t="shared" si="56"/>
        <v>7.5809146490881149E-2</v>
      </c>
      <c r="I314" s="185">
        <f t="shared" si="57"/>
        <v>0.19246389072351278</v>
      </c>
      <c r="J314" s="216">
        <v>0.1095</v>
      </c>
      <c r="K314" s="216">
        <f t="shared" si="61"/>
        <v>0.17467034789115599</v>
      </c>
      <c r="L314" s="216">
        <v>9.9000000000000008E-3</v>
      </c>
      <c r="M314" s="541">
        <f t="shared" si="62"/>
        <v>8.9580000000000007E-2</v>
      </c>
      <c r="N314" s="216">
        <f t="shared" si="53"/>
        <v>0.15902550055850706</v>
      </c>
      <c r="O314" s="793">
        <f t="shared" si="37"/>
        <v>65060.454822652951</v>
      </c>
      <c r="P314" s="793">
        <f t="shared" si="38"/>
        <v>102123.61924112192</v>
      </c>
      <c r="Q314" s="5"/>
      <c r="R314" s="5"/>
      <c r="S314" s="5"/>
      <c r="T314" s="5"/>
      <c r="U314" s="5"/>
      <c r="V314" s="5"/>
      <c r="W314" s="191"/>
      <c r="X314" s="191"/>
      <c r="Y314" s="5"/>
      <c r="Z314" s="5"/>
      <c r="AA314" s="5"/>
      <c r="AB314" s="5"/>
    </row>
    <row r="315" spans="1:28" s="371" customFormat="1" ht="12.75" customHeight="1">
      <c r="A315" s="1473">
        <v>44166</v>
      </c>
      <c r="B315" s="600">
        <f t="shared" si="58"/>
        <v>255336.76</v>
      </c>
      <c r="C315" s="600"/>
      <c r="D315" s="600">
        <v>265048.43</v>
      </c>
      <c r="E315" s="601">
        <f t="shared" si="59"/>
        <v>7827.9735844193656</v>
      </c>
      <c r="F315" s="602">
        <f>D315/E315</f>
        <v>33.859136996520633</v>
      </c>
      <c r="G315" s="599"/>
      <c r="H315" s="603">
        <f>(F315-F314)/F314</f>
        <v>3.8034750656348794E-2</v>
      </c>
      <c r="I315" s="603">
        <f t="shared" si="57"/>
        <v>0.19958518229933064</v>
      </c>
      <c r="J315" s="481">
        <v>3.8399999999999997E-2</v>
      </c>
      <c r="K315" s="481">
        <f t="shared" si="61"/>
        <v>0.18402027688815403</v>
      </c>
      <c r="L315" s="481">
        <v>1.1999999999999999E-3</v>
      </c>
      <c r="M315" s="1598">
        <f t="shared" si="62"/>
        <v>3.0959999999999998E-2</v>
      </c>
      <c r="N315" s="481">
        <f t="shared" si="53"/>
        <v>0.16688046137360479</v>
      </c>
      <c r="O315" s="1472">
        <f t="shared" si="37"/>
        <v>67535.012999421204</v>
      </c>
      <c r="P315" s="1472">
        <f t="shared" si="38"/>
        <v>105285.36649282707</v>
      </c>
      <c r="Q315" s="369"/>
      <c r="R315" s="369"/>
      <c r="S315" s="369"/>
      <c r="T315" s="369"/>
      <c r="U315" s="369"/>
      <c r="V315" s="369"/>
      <c r="W315" s="370"/>
      <c r="X315" s="370"/>
      <c r="Y315" s="369"/>
      <c r="Z315" s="369"/>
      <c r="AA315" s="369"/>
      <c r="AB315" s="369"/>
    </row>
    <row r="316" spans="1:28" ht="12.75" customHeight="1">
      <c r="A316" s="423">
        <v>44197</v>
      </c>
      <c r="B316" s="192">
        <f t="shared" si="58"/>
        <v>265048.43</v>
      </c>
      <c r="C316" s="5"/>
      <c r="D316" s="192">
        <v>260228.77</v>
      </c>
      <c r="E316" s="189">
        <f t="shared" si="59"/>
        <v>7827.9735844193656</v>
      </c>
      <c r="F316" s="494">
        <f t="shared" si="60"/>
        <v>33.243439977614884</v>
      </c>
      <c r="G316" s="198"/>
      <c r="H316" s="185">
        <f t="shared" si="56"/>
        <v>-1.8184073001300004E-2</v>
      </c>
      <c r="I316" s="185">
        <f t="shared" si="57"/>
        <v>0.17295542261527141</v>
      </c>
      <c r="J316" s="216">
        <v>-1.01E-2</v>
      </c>
      <c r="K316" s="216">
        <f>((1+J305)*(1+J306)*(1+J307)*(1+J308)*(1+J309)*(1+J310)*(1+J311)*(1+J312)*(1+J313)*(1+J314)*(1+J315)*(1+J316))-1</f>
        <v>0.17253068436532981</v>
      </c>
      <c r="L316" s="216">
        <v>-7.1999999999999998E-3</v>
      </c>
      <c r="M316" s="541">
        <f t="shared" si="62"/>
        <v>-9.5200000000000007E-3</v>
      </c>
      <c r="N316" s="216">
        <f t="shared" si="53"/>
        <v>0.15171771303145776</v>
      </c>
      <c r="O316" s="793">
        <f t="shared" si="37"/>
        <v>66306.951392895979</v>
      </c>
      <c r="P316" s="793">
        <f t="shared" si="38"/>
        <v>104283.04980381536</v>
      </c>
      <c r="Q316" s="5"/>
      <c r="R316" s="5"/>
      <c r="S316" s="5"/>
      <c r="T316" s="5"/>
      <c r="U316" s="5"/>
      <c r="V316" s="5"/>
      <c r="W316" s="191"/>
      <c r="X316" s="191"/>
      <c r="Y316" s="5"/>
      <c r="Z316" s="5"/>
      <c r="AA316" s="5"/>
      <c r="AB316" s="5"/>
    </row>
    <row r="317" spans="1:28" ht="12.75" customHeight="1">
      <c r="A317" s="423">
        <v>44228</v>
      </c>
      <c r="B317" s="192">
        <f>D316</f>
        <v>260228.77</v>
      </c>
      <c r="C317" s="196">
        <v>-5000</v>
      </c>
      <c r="D317" s="192">
        <v>260914.6</v>
      </c>
      <c r="E317" s="189">
        <f t="shared" si="59"/>
        <v>7677.567970458631</v>
      </c>
      <c r="F317" s="494">
        <f t="shared" ref="F317:F323" si="63">D317/E317</f>
        <v>33.984016944419693</v>
      </c>
      <c r="G317" s="198"/>
      <c r="H317" s="185">
        <f t="shared" si="56"/>
        <v>2.2277386675491204E-2</v>
      </c>
      <c r="I317" s="185">
        <f t="shared" si="57"/>
        <v>0.28855072225114298</v>
      </c>
      <c r="J317" s="216">
        <v>2.76E-2</v>
      </c>
      <c r="K317" s="216">
        <f t="shared" si="61"/>
        <v>0.31294816525423719</v>
      </c>
      <c r="L317" s="216">
        <v>-1.44E-2</v>
      </c>
      <c r="M317" s="541">
        <f t="shared" si="62"/>
        <v>1.9200000000000002E-2</v>
      </c>
      <c r="N317" s="216">
        <f t="shared" si="53"/>
        <v>0.25173892373492301</v>
      </c>
      <c r="O317" s="793">
        <f t="shared" si="37"/>
        <v>67784.096988348523</v>
      </c>
      <c r="P317" s="793">
        <f t="shared" si="38"/>
        <v>106285.28436004862</v>
      </c>
      <c r="Q317" s="5"/>
      <c r="R317" s="5"/>
      <c r="S317" s="5"/>
      <c r="T317" s="5"/>
      <c r="U317" s="5"/>
      <c r="V317" s="5"/>
      <c r="W317" s="191"/>
      <c r="X317" s="191"/>
      <c r="Y317" s="5"/>
      <c r="Z317" s="5"/>
      <c r="AA317" s="5"/>
      <c r="AB317" s="5"/>
    </row>
    <row r="318" spans="1:28" ht="12.75" customHeight="1">
      <c r="A318" s="423">
        <v>44256</v>
      </c>
      <c r="B318" s="192">
        <v>260914.6</v>
      </c>
      <c r="D318" s="192">
        <v>265953.75</v>
      </c>
      <c r="E318" s="189">
        <f t="shared" si="59"/>
        <v>7677.567970458631</v>
      </c>
      <c r="F318" s="494">
        <f t="shared" si="63"/>
        <v>34.640364113131106</v>
      </c>
      <c r="G318" s="198"/>
      <c r="H318" s="185">
        <f t="shared" ref="H318:H350" si="64">(F318-F317)/F317</f>
        <v>1.931340752874677E-2</v>
      </c>
      <c r="I318" s="185">
        <f t="shared" ref="I318:I350" si="65">((1+H307)*(1+H308)*(1+H309)*(1+H310)*(1+H311)*(1+H312)*(1+H313)*(1+H314)*(1+H315)*(1+H316)*(1+H317)*(1+H318))-1</f>
        <v>0.44617745593215452</v>
      </c>
      <c r="J318" s="216">
        <v>4.3799999999999999E-2</v>
      </c>
      <c r="K318" s="216">
        <f t="shared" ref="K318:K350" si="66">((1+J307)*(1+J308)*(1+J309)*(1+J310)*(1+J311)*(1+J312)*(1+J313)*(1+J314)*(1+J315)*(1+J316)*(1+J317)*(1+J318))-1</f>
        <v>0.56355424403008891</v>
      </c>
      <c r="L318" s="216">
        <v>-1.2500000000000001E-2</v>
      </c>
      <c r="M318" s="541">
        <f>(J318*0.8)+(L318*0.2)</f>
        <v>3.2539999999999999E-2</v>
      </c>
      <c r="N318" s="216">
        <f t="shared" ref="N318:N323" si="67">((1+M307)*(1+M308)*(1+M309)*(1+M310)*(1+M311)*(1+M312)*(1+M313)*(1+M314)*(1+M315)*(1+M316)*(1+M317)*(1+M318))-1</f>
        <v>0.43604643042738811</v>
      </c>
      <c r="O318" s="793">
        <f t="shared" ref="O318:O323" si="68">O317*(1+H318)</f>
        <v>69093.23887745259</v>
      </c>
      <c r="P318" s="793">
        <f t="shared" ref="P318:P323" si="69">P317*(1+M318)</f>
        <v>109743.8075131246</v>
      </c>
      <c r="Q318" s="5"/>
      <c r="R318" s="5"/>
      <c r="S318" s="5"/>
      <c r="T318" s="5"/>
      <c r="U318" s="5"/>
      <c r="V318" s="5"/>
      <c r="W318" s="191"/>
      <c r="X318" s="191"/>
      <c r="Y318" s="5"/>
      <c r="Z318" s="5"/>
      <c r="AA318" s="5"/>
      <c r="AB318" s="5"/>
    </row>
    <row r="319" spans="1:28" ht="12.75" customHeight="1">
      <c r="A319" s="423">
        <v>44287</v>
      </c>
      <c r="B319" s="192">
        <v>265953.75</v>
      </c>
      <c r="C319" s="5"/>
      <c r="D319" s="1597">
        <v>281215.38</v>
      </c>
      <c r="E319" s="189">
        <f t="shared" si="59"/>
        <v>7677.567970458631</v>
      </c>
      <c r="F319" s="494">
        <f t="shared" si="63"/>
        <v>36.628185003642656</v>
      </c>
      <c r="G319" s="198"/>
      <c r="H319" s="185">
        <f t="shared" si="64"/>
        <v>5.7384526444917698E-2</v>
      </c>
      <c r="I319" s="185">
        <f t="shared" si="65"/>
        <v>0.36274046801716286</v>
      </c>
      <c r="J319" s="216">
        <v>5.3400000000000003E-2</v>
      </c>
      <c r="K319" s="216">
        <f t="shared" si="66"/>
        <v>0.45989012645035854</v>
      </c>
      <c r="L319" s="216">
        <v>7.9000000000000008E-3</v>
      </c>
      <c r="M319" s="530">
        <f>(J319*0.8)+(L319*0.2)</f>
        <v>4.4300000000000006E-2</v>
      </c>
      <c r="N319" s="216">
        <f t="shared" si="67"/>
        <v>0.35578715446363973</v>
      </c>
      <c r="O319" s="793">
        <f t="shared" si="68"/>
        <v>73058.121670980792</v>
      </c>
      <c r="P319" s="793">
        <f t="shared" si="69"/>
        <v>114605.45818595603</v>
      </c>
      <c r="Q319" s="5"/>
      <c r="R319" s="5"/>
      <c r="S319" s="5"/>
      <c r="T319" s="5"/>
      <c r="U319" s="5"/>
      <c r="V319" s="5"/>
      <c r="W319" s="191"/>
      <c r="X319" s="191"/>
      <c r="Y319" s="5"/>
      <c r="Z319" s="5"/>
      <c r="AA319" s="5"/>
      <c r="AB319" s="5"/>
    </row>
    <row r="320" spans="1:28" ht="12.75" customHeight="1">
      <c r="A320" s="423">
        <v>44317</v>
      </c>
      <c r="B320" s="1597">
        <v>281215.38</v>
      </c>
      <c r="C320" s="5"/>
      <c r="D320" s="192">
        <v>282077.48</v>
      </c>
      <c r="E320" s="189">
        <f t="shared" si="59"/>
        <v>7677.567970458631</v>
      </c>
      <c r="F320" s="494">
        <f t="shared" si="63"/>
        <v>36.740473166159369</v>
      </c>
      <c r="G320" s="198"/>
      <c r="H320" s="185">
        <f t="shared" si="64"/>
        <v>3.0656218020506743E-3</v>
      </c>
      <c r="I320" s="185">
        <f t="shared" si="65"/>
        <v>0.31418911220995027</v>
      </c>
      <c r="J320" s="216">
        <v>7.0000000000000001E-3</v>
      </c>
      <c r="K320" s="216">
        <f t="shared" si="66"/>
        <v>0.40331171948788769</v>
      </c>
      <c r="L320" s="216">
        <v>3.3E-3</v>
      </c>
      <c r="M320" s="530">
        <f>(J320*0.8)+(L320*0.2)</f>
        <v>6.2600000000000008E-3</v>
      </c>
      <c r="N320" s="216">
        <f t="shared" si="67"/>
        <v>0.31303957772764934</v>
      </c>
      <c r="O320" s="793">
        <f t="shared" si="68"/>
        <v>73282.090241592217</v>
      </c>
      <c r="P320" s="793">
        <f t="shared" si="69"/>
        <v>115322.8883542001</v>
      </c>
      <c r="Q320" s="5"/>
      <c r="R320" s="5"/>
      <c r="S320" s="5"/>
      <c r="T320" s="5"/>
      <c r="U320" s="5"/>
      <c r="V320" s="5"/>
      <c r="W320" s="191"/>
      <c r="X320" s="191"/>
      <c r="Y320" s="5"/>
      <c r="Z320" s="5"/>
      <c r="AA320" s="5"/>
      <c r="AB320" s="5"/>
    </row>
    <row r="321" spans="1:28" ht="12.75" customHeight="1">
      <c r="A321" s="423">
        <v>44348</v>
      </c>
      <c r="B321" s="192">
        <v>282077.48</v>
      </c>
      <c r="C321" s="5"/>
      <c r="D321" s="1599">
        <v>291934.40000000002</v>
      </c>
      <c r="E321" s="189">
        <f t="shared" si="59"/>
        <v>7677.567970458631</v>
      </c>
      <c r="F321" s="494">
        <f t="shared" si="63"/>
        <v>38.024332851664859</v>
      </c>
      <c r="G321" s="198"/>
      <c r="H321" s="185">
        <f t="shared" si="64"/>
        <v>3.4944016090898304E-2</v>
      </c>
      <c r="I321" s="185">
        <f t="shared" si="65"/>
        <v>0.3268883515183878</v>
      </c>
      <c r="J321" s="216">
        <v>2.3300000000000001E-2</v>
      </c>
      <c r="K321" s="216">
        <f t="shared" si="66"/>
        <v>0.40798988386307999</v>
      </c>
      <c r="L321" s="216">
        <v>7.0000000000000001E-3</v>
      </c>
      <c r="M321" s="530">
        <f>(J321*0.8)+(L321*0.2)</f>
        <v>2.0040000000000002E-2</v>
      </c>
      <c r="N321" s="216">
        <f t="shared" si="67"/>
        <v>0.31673144464628766</v>
      </c>
      <c r="O321" s="793">
        <f t="shared" si="68"/>
        <v>75842.860782169068</v>
      </c>
      <c r="P321" s="793">
        <f t="shared" si="69"/>
        <v>117633.95903681827</v>
      </c>
      <c r="Q321" s="5"/>
      <c r="R321" s="5"/>
      <c r="S321" s="5"/>
      <c r="T321" s="5"/>
      <c r="U321" s="5"/>
      <c r="V321" s="5"/>
      <c r="W321" s="191"/>
      <c r="X321" s="191"/>
      <c r="Y321" s="5"/>
      <c r="Z321" s="5"/>
      <c r="AA321" s="5"/>
      <c r="AB321" s="5"/>
    </row>
    <row r="322" spans="1:28" ht="12.75" customHeight="1">
      <c r="A322" s="423">
        <v>44378</v>
      </c>
      <c r="B322" s="1599">
        <v>291934.40000000002</v>
      </c>
      <c r="C322" s="5"/>
      <c r="D322" s="1599">
        <v>297951.08</v>
      </c>
      <c r="E322" s="189">
        <f t="shared" si="59"/>
        <v>7677.567970458631</v>
      </c>
      <c r="F322" s="494">
        <f t="shared" si="63"/>
        <v>38.808002891858663</v>
      </c>
      <c r="G322" s="198"/>
      <c r="H322" s="185">
        <f t="shared" si="64"/>
        <v>2.0609698617223532E-2</v>
      </c>
      <c r="I322" s="185">
        <f t="shared" si="65"/>
        <v>0.27633595588366999</v>
      </c>
      <c r="J322" s="216">
        <v>2.37549055970048E-2</v>
      </c>
      <c r="K322" s="216">
        <f t="shared" si="66"/>
        <v>0.36447988511528351</v>
      </c>
      <c r="L322" s="216">
        <v>1.12E-2</v>
      </c>
      <c r="M322" s="530">
        <f>(J322*0.8)+(L322*0.2)</f>
        <v>2.1243924477603839E-2</v>
      </c>
      <c r="N322" s="216">
        <f t="shared" si="67"/>
        <v>0.2829675876938138</v>
      </c>
      <c r="O322" s="793">
        <f t="shared" si="68"/>
        <v>77405.959285157616</v>
      </c>
      <c r="P322" s="793">
        <f t="shared" si="69"/>
        <v>120132.96597859799</v>
      </c>
      <c r="Q322" s="5"/>
      <c r="R322" s="5"/>
      <c r="S322" s="5"/>
      <c r="T322" s="5"/>
      <c r="U322" s="5"/>
      <c r="V322" s="5"/>
      <c r="W322" s="191"/>
      <c r="X322" s="191"/>
      <c r="Y322" s="5"/>
      <c r="Z322" s="5"/>
      <c r="AA322" s="5"/>
      <c r="AB322" s="5"/>
    </row>
    <row r="323" spans="1:28" ht="12.75" customHeight="1">
      <c r="A323" s="423">
        <v>44409</v>
      </c>
      <c r="B323" s="1599">
        <v>297951.08</v>
      </c>
      <c r="C323" s="5"/>
      <c r="D323" s="1599">
        <v>306916.15999999997</v>
      </c>
      <c r="E323" s="189">
        <f t="shared" si="59"/>
        <v>7677.567970458631</v>
      </c>
      <c r="F323" s="494">
        <f t="shared" si="63"/>
        <v>39.975700792352072</v>
      </c>
      <c r="G323" s="198"/>
      <c r="H323" s="185">
        <f t="shared" si="64"/>
        <v>3.0089100532879359E-2</v>
      </c>
      <c r="I323" s="185">
        <f t="shared" si="65"/>
        <v>0.22900265525498797</v>
      </c>
      <c r="J323" s="216">
        <v>3.04E-2</v>
      </c>
      <c r="K323" s="216">
        <f t="shared" si="66"/>
        <v>0.3116522750469144</v>
      </c>
      <c r="L323" s="216">
        <v>-1.9E-3</v>
      </c>
      <c r="M323" s="530">
        <f t="shared" ref="M323:M347" si="70">(J323*0.8)+(L323*0.2)</f>
        <v>2.3940000000000003E-2</v>
      </c>
      <c r="N323" s="216">
        <f t="shared" si="67"/>
        <v>0.24413470190662334</v>
      </c>
      <c r="O323" s="793">
        <f t="shared" si="68"/>
        <v>79735.034975932693</v>
      </c>
      <c r="P323" s="793">
        <f t="shared" si="69"/>
        <v>123008.94918412564</v>
      </c>
      <c r="Q323" s="5"/>
      <c r="R323" s="5"/>
      <c r="S323" s="5"/>
      <c r="T323" s="5"/>
      <c r="U323" s="5"/>
      <c r="V323" s="5"/>
      <c r="W323" s="191"/>
      <c r="X323" s="191"/>
      <c r="Y323" s="5"/>
      <c r="Z323" s="5"/>
      <c r="AA323" s="5"/>
      <c r="AB323" s="5"/>
    </row>
    <row r="324" spans="1:28" ht="12.75" customHeight="1">
      <c r="A324" s="423">
        <v>44440</v>
      </c>
      <c r="B324" s="1599">
        <v>306916.15999999997</v>
      </c>
      <c r="C324" s="213"/>
      <c r="D324" s="1599">
        <v>290476.49</v>
      </c>
      <c r="E324" s="189">
        <f t="shared" ref="E324:E347" si="71">E323+C324/F323</f>
        <v>7677.567970458631</v>
      </c>
      <c r="F324" s="494">
        <f t="shared" ref="F324:F346" si="72">D324/E324</f>
        <v>37.834440687165674</v>
      </c>
      <c r="G324" s="198"/>
      <c r="H324" s="185">
        <f t="shared" si="64"/>
        <v>-5.356404172396776E-2</v>
      </c>
      <c r="I324" s="185">
        <f t="shared" si="65"/>
        <v>0.20209311820970233</v>
      </c>
      <c r="J324" s="216">
        <v>-4.65E-2</v>
      </c>
      <c r="K324" s="216">
        <f t="shared" si="66"/>
        <v>0.30006283186822524</v>
      </c>
      <c r="L324" s="216">
        <v>-8.6999999999999994E-3</v>
      </c>
      <c r="M324" s="530">
        <f t="shared" si="70"/>
        <v>-3.8940000000000002E-2</v>
      </c>
      <c r="N324" s="216">
        <f t="shared" ref="N324:N347" si="73">((1+M313)*(1+M314)*(1+M315)*(1+M316)*(1+M317)*(1+M318)*(1+M319)*(1+M320)*(1+M321)*(1+M322)*(1+M323)*(1+M324))-1</f>
        <v>0.23332930706603494</v>
      </c>
      <c r="O324" s="793">
        <f t="shared" ref="O324:O347" si="74">O323*(1+H324)</f>
        <v>75464.104235619801</v>
      </c>
      <c r="P324" s="793">
        <f t="shared" ref="P324:P347" si="75">P323*(1+M324)</f>
        <v>118218.98070289579</v>
      </c>
      <c r="Q324" s="5"/>
      <c r="R324" s="5"/>
      <c r="S324" s="5"/>
      <c r="T324" s="5"/>
      <c r="U324" s="5"/>
      <c r="V324" s="5"/>
      <c r="W324" s="191"/>
      <c r="X324" s="191"/>
      <c r="Y324" s="5"/>
      <c r="Z324" s="5"/>
      <c r="AA324" s="5"/>
      <c r="AB324" s="5"/>
    </row>
    <row r="325" spans="1:28" ht="12.75" customHeight="1">
      <c r="A325" s="423">
        <v>44470</v>
      </c>
      <c r="B325" s="1599">
        <v>290476.49</v>
      </c>
      <c r="C325" s="213"/>
      <c r="D325" s="1599">
        <v>310357.49</v>
      </c>
      <c r="E325" s="189">
        <f t="shared" si="71"/>
        <v>7677.567970458631</v>
      </c>
      <c r="F325" s="494">
        <f t="shared" si="72"/>
        <v>40.423932577891634</v>
      </c>
      <c r="G325" s="198"/>
      <c r="H325" s="185">
        <f t="shared" si="64"/>
        <v>6.8442716310707238E-2</v>
      </c>
      <c r="I325" s="185">
        <f t="shared" si="65"/>
        <v>0.3332445018944874</v>
      </c>
      <c r="J325" s="216">
        <v>7.0099999999999996E-2</v>
      </c>
      <c r="K325" s="216">
        <f t="shared" si="66"/>
        <v>0.42921433776678475</v>
      </c>
      <c r="L325" s="216">
        <v>-2.9999999999999997E-4</v>
      </c>
      <c r="M325" s="530">
        <f t="shared" si="70"/>
        <v>5.602E-2</v>
      </c>
      <c r="N325" s="216">
        <f t="shared" si="73"/>
        <v>0.33196336222195755</v>
      </c>
      <c r="O325" s="793">
        <f t="shared" si="74"/>
        <v>80629.072513459978</v>
      </c>
      <c r="P325" s="793">
        <f t="shared" si="75"/>
        <v>124841.60800187201</v>
      </c>
      <c r="Q325" s="5"/>
      <c r="R325" s="5"/>
      <c r="S325" s="5"/>
      <c r="T325" s="5"/>
      <c r="U325" s="5"/>
      <c r="V325" s="5"/>
      <c r="W325" s="191"/>
      <c r="X325" s="191"/>
      <c r="Y325" s="5"/>
      <c r="Z325" s="5"/>
      <c r="AA325" s="5"/>
      <c r="AB325" s="5"/>
    </row>
    <row r="326" spans="1:28" ht="12.75" customHeight="1">
      <c r="A326" s="423">
        <v>44501</v>
      </c>
      <c r="B326" s="1599">
        <v>310357.49</v>
      </c>
      <c r="C326" s="213"/>
      <c r="D326" s="1599">
        <v>312199.15999999997</v>
      </c>
      <c r="E326" s="189">
        <f t="shared" si="71"/>
        <v>7677.567970458631</v>
      </c>
      <c r="F326" s="494">
        <f t="shared" si="72"/>
        <v>40.663809321032986</v>
      </c>
      <c r="G326" s="198"/>
      <c r="H326" s="185">
        <f t="shared" si="64"/>
        <v>5.9340278850688426E-3</v>
      </c>
      <c r="I326" s="185">
        <f t="shared" si="65"/>
        <v>0.24664864239254913</v>
      </c>
      <c r="J326" s="216">
        <v>-6.8999999999999999E-3</v>
      </c>
      <c r="K326" s="216">
        <f t="shared" si="66"/>
        <v>0.27927242797313623</v>
      </c>
      <c r="L326" s="216">
        <v>3.0000000000000001E-3</v>
      </c>
      <c r="M326" s="530">
        <f t="shared" si="70"/>
        <v>-4.9200000000000008E-3</v>
      </c>
      <c r="N326" s="216">
        <f t="shared" si="73"/>
        <v>0.2164412915800813</v>
      </c>
      <c r="O326" s="793">
        <f t="shared" si="74"/>
        <v>81107.52767810208</v>
      </c>
      <c r="P326" s="793">
        <f t="shared" si="75"/>
        <v>124227.3872905028</v>
      </c>
      <c r="Q326" s="5"/>
      <c r="R326" s="5"/>
      <c r="S326" s="5"/>
      <c r="T326" s="5"/>
      <c r="U326" s="5"/>
      <c r="V326" s="5"/>
      <c r="W326" s="191"/>
      <c r="X326" s="191"/>
      <c r="Y326" s="5"/>
      <c r="Z326" s="5"/>
      <c r="AA326" s="5"/>
      <c r="AB326" s="5"/>
    </row>
    <row r="327" spans="1:28" s="371" customFormat="1" ht="12.75" customHeight="1">
      <c r="A327" s="1473">
        <v>44531</v>
      </c>
      <c r="B327" s="600">
        <v>312199.15999999997</v>
      </c>
      <c r="C327" s="600"/>
      <c r="D327" s="600">
        <v>324030.28999999998</v>
      </c>
      <c r="E327" s="601">
        <f t="shared" si="71"/>
        <v>7677.567970458631</v>
      </c>
      <c r="F327" s="602">
        <f t="shared" si="72"/>
        <v>42.204809028951331</v>
      </c>
      <c r="G327" s="599"/>
      <c r="H327" s="603">
        <f t="shared" si="64"/>
        <v>3.7896098118905881E-2</v>
      </c>
      <c r="I327" s="603">
        <f t="shared" si="65"/>
        <v>0.24648212484825827</v>
      </c>
      <c r="J327" s="481">
        <v>4.48E-2</v>
      </c>
      <c r="K327" s="481">
        <f t="shared" si="66"/>
        <v>0.28715700380039699</v>
      </c>
      <c r="L327" s="481">
        <v>-2.5999999999999999E-3</v>
      </c>
      <c r="M327" s="1598">
        <f t="shared" si="70"/>
        <v>3.5320000000000004E-2</v>
      </c>
      <c r="N327" s="481">
        <f t="shared" si="73"/>
        <v>0.22158570458474602</v>
      </c>
      <c r="O327" s="1472">
        <f t="shared" si="74"/>
        <v>84181.186505173304</v>
      </c>
      <c r="P327" s="1472">
        <f t="shared" si="75"/>
        <v>128615.09860960336</v>
      </c>
      <c r="Q327" s="369"/>
      <c r="R327" s="369"/>
      <c r="S327" s="369"/>
      <c r="T327" s="369"/>
      <c r="U327" s="369"/>
      <c r="V327" s="369"/>
      <c r="W327" s="370"/>
      <c r="X327" s="370"/>
      <c r="Y327" s="369"/>
      <c r="Z327" s="369"/>
      <c r="AA327" s="369"/>
      <c r="AB327" s="369"/>
    </row>
    <row r="328" spans="1:28" ht="12.75" customHeight="1">
      <c r="A328" s="423">
        <v>44562</v>
      </c>
      <c r="B328" s="192">
        <v>324030.28999999998</v>
      </c>
      <c r="C328" s="213"/>
      <c r="D328" s="192">
        <v>306892.83</v>
      </c>
      <c r="E328" s="189">
        <f t="shared" si="71"/>
        <v>7677.567970458631</v>
      </c>
      <c r="F328" s="494">
        <f t="shared" si="72"/>
        <v>39.972662069661538</v>
      </c>
      <c r="G328" s="198"/>
      <c r="H328" s="185">
        <f t="shared" si="64"/>
        <v>-5.2888450644536782E-2</v>
      </c>
      <c r="I328" s="185">
        <f t="shared" si="65"/>
        <v>0.2024225560464834</v>
      </c>
      <c r="J328" s="216">
        <v>-5.1700000000000003E-2</v>
      </c>
      <c r="K328" s="216">
        <f t="shared" si="66"/>
        <v>0.23306494262442312</v>
      </c>
      <c r="L328" s="216">
        <v>-2.1544000000000001E-2</v>
      </c>
      <c r="M328" s="541">
        <f t="shared" si="70"/>
        <v>-4.5668800000000009E-2</v>
      </c>
      <c r="N328" s="216">
        <f t="shared" si="73"/>
        <v>0.17700241434375874</v>
      </c>
      <c r="O328" s="793">
        <f t="shared" si="74"/>
        <v>79728.973977495902</v>
      </c>
      <c r="P328" s="793">
        <f t="shared" si="75"/>
        <v>122741.4013942211</v>
      </c>
      <c r="Q328" s="5"/>
      <c r="R328" s="5"/>
      <c r="S328" s="5"/>
      <c r="T328" s="5"/>
      <c r="U328" s="5"/>
      <c r="V328" s="5"/>
      <c r="W328" s="191"/>
      <c r="X328" s="191"/>
      <c r="Y328" s="5"/>
      <c r="Z328" s="5"/>
      <c r="AA328" s="5"/>
      <c r="AB328" s="5"/>
    </row>
    <row r="329" spans="1:28" ht="12.75" customHeight="1">
      <c r="A329" s="423">
        <v>44593</v>
      </c>
      <c r="B329" s="192">
        <v>306892.83</v>
      </c>
      <c r="C329" s="213">
        <v>12355</v>
      </c>
      <c r="D329" s="192">
        <v>313491.32</v>
      </c>
      <c r="E329" s="189">
        <f t="shared" si="71"/>
        <v>7986.6542149141187</v>
      </c>
      <c r="F329" s="494">
        <f t="shared" si="72"/>
        <v>39.251895920896708</v>
      </c>
      <c r="G329" s="198"/>
      <c r="H329" s="185">
        <f t="shared" si="64"/>
        <v>-1.8031477300879548E-2</v>
      </c>
      <c r="I329" s="185">
        <f t="shared" si="65"/>
        <v>0.15501048581433263</v>
      </c>
      <c r="J329" s="216">
        <v>-2.9899999999999999E-2</v>
      </c>
      <c r="K329" s="216">
        <f t="shared" si="66"/>
        <v>0.16406802339427107</v>
      </c>
      <c r="L329" s="216">
        <v>-1.1157E-2</v>
      </c>
      <c r="M329" s="541">
        <f t="shared" si="70"/>
        <v>-2.6151400000000002E-2</v>
      </c>
      <c r="N329" s="216">
        <f t="shared" si="73"/>
        <v>0.12462927139451474</v>
      </c>
      <c r="O329" s="793">
        <f t="shared" si="74"/>
        <v>78291.342792998272</v>
      </c>
      <c r="P329" s="793">
        <f t="shared" si="75"/>
        <v>119531.54190980026</v>
      </c>
      <c r="Q329" s="5"/>
      <c r="R329" s="5"/>
      <c r="S329" s="5"/>
      <c r="T329" s="5"/>
      <c r="U329" s="5"/>
      <c r="V329" s="5"/>
      <c r="W329" s="191"/>
      <c r="X329" s="191"/>
      <c r="Y329" s="5"/>
      <c r="Z329" s="5"/>
      <c r="AA329" s="5"/>
      <c r="AB329" s="5"/>
    </row>
    <row r="330" spans="1:28" ht="12.75" customHeight="1">
      <c r="A330" s="423">
        <v>44621</v>
      </c>
      <c r="B330" s="192">
        <v>313491.32</v>
      </c>
      <c r="C330" s="213"/>
      <c r="D330" s="192">
        <v>323233.73</v>
      </c>
      <c r="E330" s="189">
        <f t="shared" si="71"/>
        <v>7986.6542149141187</v>
      </c>
      <c r="F330" s="494">
        <f t="shared" si="72"/>
        <v>40.471732129882341</v>
      </c>
      <c r="G330" s="198"/>
      <c r="H330" s="185">
        <f t="shared" si="64"/>
        <v>3.1077128387478056E-2</v>
      </c>
      <c r="I330" s="185">
        <f t="shared" si="65"/>
        <v>0.16834026333287699</v>
      </c>
      <c r="J330" s="216">
        <v>3.7100000000000001E-2</v>
      </c>
      <c r="K330" s="216">
        <f t="shared" si="66"/>
        <v>0.15659604048878917</v>
      </c>
      <c r="L330" s="216">
        <v>-2.7784E-2</v>
      </c>
      <c r="M330" s="541">
        <f t="shared" si="70"/>
        <v>2.4123200000000001E-2</v>
      </c>
      <c r="N330" s="216">
        <f t="shared" si="73"/>
        <v>0.11546180122244021</v>
      </c>
      <c r="O330" s="793">
        <f t="shared" si="74"/>
        <v>80724.412904604324</v>
      </c>
      <c r="P330" s="793">
        <f t="shared" si="75"/>
        <v>122415.02520159875</v>
      </c>
      <c r="Q330" s="5"/>
      <c r="R330" s="5"/>
      <c r="S330" s="5"/>
      <c r="T330" s="5"/>
      <c r="U330" s="5"/>
      <c r="V330" s="5"/>
      <c r="W330" s="191"/>
      <c r="X330" s="191"/>
      <c r="Y330" s="5"/>
      <c r="Z330" s="5"/>
      <c r="AA330" s="5"/>
      <c r="AB330" s="5"/>
    </row>
    <row r="331" spans="1:28" ht="12.75" customHeight="1">
      <c r="A331" s="423">
        <v>44652</v>
      </c>
      <c r="B331" s="192">
        <v>323233.73</v>
      </c>
      <c r="C331" s="213"/>
      <c r="D331" s="192">
        <v>294665.90999999997</v>
      </c>
      <c r="E331" s="189">
        <f t="shared" si="71"/>
        <v>7986.6542149141187</v>
      </c>
      <c r="F331" s="494">
        <f t="shared" si="72"/>
        <v>36.894787488075636</v>
      </c>
      <c r="G331" s="198"/>
      <c r="H331" s="185">
        <f t="shared" si="64"/>
        <v>-8.8381308472974013E-2</v>
      </c>
      <c r="I331" s="185">
        <f t="shared" si="65"/>
        <v>7.2786157546833596E-3</v>
      </c>
      <c r="J331" s="216">
        <v>-8.72E-2</v>
      </c>
      <c r="K331" s="216">
        <f t="shared" si="66"/>
        <v>2.2222002640657212E-3</v>
      </c>
      <c r="L331" s="216">
        <v>-3.7948000000000003E-2</v>
      </c>
      <c r="M331" s="541">
        <f t="shared" si="70"/>
        <v>-7.7349600000000004E-2</v>
      </c>
      <c r="N331" s="216">
        <f t="shared" si="73"/>
        <v>-1.4477375196203179E-2</v>
      </c>
      <c r="O331" s="793">
        <f t="shared" si="74"/>
        <v>73589.883666382768</v>
      </c>
      <c r="P331" s="793">
        <f t="shared" si="75"/>
        <v>112946.27196826517</v>
      </c>
      <c r="Q331" s="5"/>
      <c r="R331" s="5"/>
      <c r="S331" s="5"/>
      <c r="T331" s="5"/>
      <c r="U331" s="5"/>
      <c r="V331" s="5"/>
      <c r="W331" s="191"/>
      <c r="X331" s="191"/>
      <c r="Y331" s="5"/>
      <c r="Z331" s="5"/>
      <c r="AA331" s="5"/>
      <c r="AB331" s="5"/>
    </row>
    <row r="332" spans="1:28" ht="12.75" customHeight="1">
      <c r="A332" s="423">
        <v>44682</v>
      </c>
      <c r="B332" s="192">
        <v>294665.90999999997</v>
      </c>
      <c r="C332" s="213"/>
      <c r="D332" s="192">
        <v>293887.48</v>
      </c>
      <c r="E332" s="189">
        <f t="shared" si="71"/>
        <v>7986.6542149141187</v>
      </c>
      <c r="F332" s="494">
        <f t="shared" si="72"/>
        <v>36.797321142462934</v>
      </c>
      <c r="G332" s="198"/>
      <c r="H332" s="185">
        <f t="shared" si="64"/>
        <v>-2.6417375528779746E-3</v>
      </c>
      <c r="I332" s="185">
        <f t="shared" si="65"/>
        <v>1.5472848171136366E-3</v>
      </c>
      <c r="J332" s="216">
        <v>1.8E-3</v>
      </c>
      <c r="K332" s="216">
        <f t="shared" si="66"/>
        <v>-2.9531278802965577E-3</v>
      </c>
      <c r="L332" s="216">
        <v>-6.4469999999999996E-3</v>
      </c>
      <c r="M332" s="541">
        <f t="shared" si="70"/>
        <v>1.5060000000000008E-4</v>
      </c>
      <c r="N332" s="216">
        <f t="shared" si="73"/>
        <v>-2.0460870439953815E-2</v>
      </c>
      <c r="O332" s="793">
        <f t="shared" si="74"/>
        <v>73395.478507189357</v>
      </c>
      <c r="P332" s="793">
        <f t="shared" si="75"/>
        <v>112963.28167682359</v>
      </c>
      <c r="Q332" s="5"/>
      <c r="R332" s="5"/>
      <c r="S332" s="5"/>
      <c r="T332" s="5"/>
      <c r="U332" s="5"/>
      <c r="V332" s="5"/>
      <c r="W332" s="191"/>
      <c r="X332" s="191"/>
      <c r="Y332" s="5"/>
      <c r="Z332" s="5"/>
      <c r="AA332" s="5"/>
      <c r="AB332" s="5"/>
    </row>
    <row r="333" spans="1:28" ht="12.75" customHeight="1">
      <c r="A333" s="423">
        <v>44713</v>
      </c>
      <c r="B333" s="192">
        <v>293887.48</v>
      </c>
      <c r="C333" s="213"/>
      <c r="D333" s="192">
        <v>274235.76</v>
      </c>
      <c r="E333" s="189">
        <f t="shared" si="71"/>
        <v>7986.6542149141187</v>
      </c>
      <c r="F333" s="494">
        <f t="shared" si="72"/>
        <v>34.336751363029791</v>
      </c>
      <c r="G333" s="198"/>
      <c r="H333" s="185">
        <f t="shared" si="64"/>
        <v>-6.686817689545678E-2</v>
      </c>
      <c r="I333" s="185">
        <f t="shared" si="65"/>
        <v>-9.6979518431540623E-2</v>
      </c>
      <c r="J333" s="216">
        <v>-8.2500000000000004E-2</v>
      </c>
      <c r="K333" s="216">
        <f t="shared" si="66"/>
        <v>-0.10603879099987557</v>
      </c>
      <c r="L333" s="216">
        <v>-1.5687E-2</v>
      </c>
      <c r="M333" s="541">
        <f t="shared" si="70"/>
        <v>-6.9137400000000002E-2</v>
      </c>
      <c r="N333" s="216">
        <f t="shared" si="73"/>
        <v>-0.1060974658405538</v>
      </c>
      <c r="O333" s="793">
        <f t="shared" si="74"/>
        <v>68487.656667043921</v>
      </c>
      <c r="P333" s="793">
        <f t="shared" si="75"/>
        <v>105153.29408622037</v>
      </c>
      <c r="Q333" s="5"/>
      <c r="R333" s="5"/>
      <c r="S333" s="5"/>
      <c r="T333" s="5"/>
      <c r="U333" s="5"/>
      <c r="V333" s="5"/>
      <c r="W333" s="191"/>
      <c r="X333" s="191"/>
      <c r="Y333" s="5"/>
      <c r="Z333" s="5"/>
      <c r="AA333" s="5"/>
      <c r="AB333" s="5"/>
    </row>
    <row r="334" spans="1:28" ht="12.75" customHeight="1">
      <c r="A334" s="423">
        <v>44743</v>
      </c>
      <c r="B334" s="192">
        <v>274235.76</v>
      </c>
      <c r="C334" s="213"/>
      <c r="D334" s="192">
        <v>296978.93</v>
      </c>
      <c r="E334" s="189">
        <f t="shared" si="71"/>
        <v>7986.6542149141187</v>
      </c>
      <c r="F334" s="494">
        <f t="shared" si="72"/>
        <v>37.184398123237571</v>
      </c>
      <c r="G334" s="198"/>
      <c r="H334" s="185">
        <f t="shared" si="64"/>
        <v>8.2932911448164184E-2</v>
      </c>
      <c r="I334" s="185">
        <f t="shared" si="65"/>
        <v>-4.1836854453587202E-2</v>
      </c>
      <c r="J334" s="216">
        <v>9.2200000000000004E-2</v>
      </c>
      <c r="K334" s="216">
        <f t="shared" si="66"/>
        <v>-4.6271302699589567E-2</v>
      </c>
      <c r="L334" s="216">
        <v>2.4434000000000001E-2</v>
      </c>
      <c r="M334" s="541">
        <f t="shared" si="70"/>
        <v>7.8646800000000003E-2</v>
      </c>
      <c r="N334" s="216">
        <f t="shared" si="73"/>
        <v>-5.5852294566945071E-2</v>
      </c>
      <c r="O334" s="793">
        <f t="shared" si="74"/>
        <v>74167.53743270415</v>
      </c>
      <c r="P334" s="793">
        <f t="shared" si="75"/>
        <v>113423.26417556053</v>
      </c>
      <c r="Q334" s="5"/>
      <c r="R334" s="5"/>
      <c r="S334" s="5"/>
      <c r="T334" s="5"/>
      <c r="U334" s="5"/>
      <c r="V334" s="5"/>
      <c r="W334" s="191"/>
      <c r="X334" s="191"/>
      <c r="Y334" s="5"/>
      <c r="Z334" s="5"/>
      <c r="AA334" s="5"/>
      <c r="AB334" s="5"/>
    </row>
    <row r="335" spans="1:28" ht="12.75" customHeight="1">
      <c r="A335" s="423">
        <v>44774</v>
      </c>
      <c r="B335" s="192">
        <v>296978.93</v>
      </c>
      <c r="C335" s="213"/>
      <c r="D335" s="192">
        <v>285009.24</v>
      </c>
      <c r="E335" s="189">
        <f t="shared" si="71"/>
        <v>7986.6542149141187</v>
      </c>
      <c r="F335" s="494">
        <f t="shared" si="72"/>
        <v>35.685686688147761</v>
      </c>
      <c r="G335" s="198"/>
      <c r="H335" s="185">
        <f t="shared" si="64"/>
        <v>-4.0304845869031908E-2</v>
      </c>
      <c r="I335" s="185">
        <f t="shared" si="65"/>
        <v>-0.10731554467270399</v>
      </c>
      <c r="J335" s="216">
        <v>-4.0800000000000003E-2</v>
      </c>
      <c r="K335" s="216">
        <f t="shared" si="66"/>
        <v>-0.11217336330497496</v>
      </c>
      <c r="L335" s="216">
        <v>-2.8253E-2</v>
      </c>
      <c r="M335" s="541">
        <f t="shared" si="70"/>
        <v>-3.8290600000000001E-2</v>
      </c>
      <c r="N335" s="216">
        <f t="shared" si="73"/>
        <v>-0.11323346748500929</v>
      </c>
      <c r="O335" s="793">
        <f t="shared" si="74"/>
        <v>71178.226267993348</v>
      </c>
      <c r="P335" s="793">
        <f t="shared" si="75"/>
        <v>109080.21933631982</v>
      </c>
      <c r="Q335" s="5"/>
      <c r="R335" s="5"/>
      <c r="S335" s="5"/>
      <c r="T335" s="5"/>
      <c r="U335" s="5"/>
      <c r="V335" s="5"/>
      <c r="W335" s="191"/>
      <c r="X335" s="191"/>
      <c r="Y335" s="5"/>
      <c r="Z335" s="5"/>
      <c r="AA335" s="5"/>
      <c r="AB335" s="5"/>
    </row>
    <row r="336" spans="1:28" ht="12.75" customHeight="1">
      <c r="A336" s="423">
        <v>44805</v>
      </c>
      <c r="B336" s="192">
        <v>285009.24</v>
      </c>
      <c r="C336" s="213"/>
      <c r="D336" s="192">
        <v>260007.98</v>
      </c>
      <c r="E336" s="189">
        <f t="shared" si="71"/>
        <v>7986.6542149141187</v>
      </c>
      <c r="F336" s="494">
        <f t="shared" si="72"/>
        <v>32.555307016355648</v>
      </c>
      <c r="G336" s="198"/>
      <c r="H336" s="185">
        <f t="shared" si="64"/>
        <v>-8.7720875295130632E-2</v>
      </c>
      <c r="I336" s="185">
        <f t="shared" si="65"/>
        <v>-0.13953248878344904</v>
      </c>
      <c r="J336" s="216">
        <v>-9.2100000000000001E-2</v>
      </c>
      <c r="K336" s="216">
        <f t="shared" si="66"/>
        <v>-0.15463261305148013</v>
      </c>
      <c r="L336" s="216">
        <v>-4.3208999999999997E-2</v>
      </c>
      <c r="M336" s="541">
        <f t="shared" si="70"/>
        <v>-8.2321800000000014E-2</v>
      </c>
      <c r="N336" s="216">
        <f t="shared" si="73"/>
        <v>-0.15326169502570253</v>
      </c>
      <c r="O336" s="793">
        <f t="shared" si="74"/>
        <v>64934.409957810116</v>
      </c>
      <c r="P336" s="793">
        <f t="shared" si="75"/>
        <v>100100.53933615917</v>
      </c>
      <c r="Q336" s="5"/>
      <c r="R336" s="5"/>
      <c r="S336" s="5"/>
      <c r="T336" s="5"/>
      <c r="U336" s="5"/>
      <c r="V336" s="5"/>
      <c r="W336" s="191"/>
      <c r="X336" s="191"/>
      <c r="Y336" s="5"/>
      <c r="Z336" s="5"/>
      <c r="AA336" s="5"/>
      <c r="AB336" s="5"/>
    </row>
    <row r="337" spans="1:28" ht="12.75" customHeight="1">
      <c r="A337" s="423">
        <v>44835</v>
      </c>
      <c r="B337" s="192">
        <v>260007.98</v>
      </c>
      <c r="C337" s="213"/>
      <c r="D337" s="192">
        <v>279164.64</v>
      </c>
      <c r="E337" s="189">
        <f t="shared" si="71"/>
        <v>7986.6542149141187</v>
      </c>
      <c r="F337" s="494">
        <f t="shared" si="72"/>
        <v>34.953890889465768</v>
      </c>
      <c r="G337" s="198"/>
      <c r="H337" s="185">
        <f t="shared" si="64"/>
        <v>7.3677200215162497E-2</v>
      </c>
      <c r="I337" s="185">
        <f t="shared" si="65"/>
        <v>-0.13531691103743582</v>
      </c>
      <c r="J337" s="216">
        <v>8.1000000000000003E-2</v>
      </c>
      <c r="K337" s="216">
        <f t="shared" si="66"/>
        <v>-0.1460217313416039</v>
      </c>
      <c r="L337" s="216">
        <v>-1.2952999999999999E-2</v>
      </c>
      <c r="M337" s="541">
        <f t="shared" si="70"/>
        <v>6.2209400000000012E-2</v>
      </c>
      <c r="N337" s="216">
        <f t="shared" si="73"/>
        <v>-0.1482989082746865</v>
      </c>
      <c r="O337" s="793">
        <f t="shared" si="74"/>
        <v>69718.595481125129</v>
      </c>
      <c r="P337" s="793">
        <f t="shared" si="75"/>
        <v>106327.73382793803</v>
      </c>
      <c r="Q337" s="5"/>
      <c r="R337" s="5"/>
      <c r="S337" s="5"/>
      <c r="T337" s="5"/>
      <c r="U337" s="5"/>
      <c r="V337" s="5"/>
      <c r="W337" s="191"/>
      <c r="X337" s="191"/>
      <c r="Y337" s="5"/>
      <c r="Z337" s="5"/>
      <c r="AA337" s="5"/>
      <c r="AB337" s="5"/>
    </row>
    <row r="338" spans="1:28" ht="12.75" customHeight="1">
      <c r="A338" s="423">
        <v>44866</v>
      </c>
      <c r="B338" s="192">
        <v>279164.64</v>
      </c>
      <c r="C338" s="213"/>
      <c r="D338" s="192">
        <v>292670.71000000002</v>
      </c>
      <c r="E338" s="189">
        <f t="shared" si="71"/>
        <v>7986.6542149141187</v>
      </c>
      <c r="F338" s="494">
        <f t="shared" si="72"/>
        <v>36.644970737993461</v>
      </c>
      <c r="G338" s="198"/>
      <c r="H338" s="185">
        <f t="shared" si="64"/>
        <v>4.8380303465367348E-2</v>
      </c>
      <c r="I338" s="185">
        <f t="shared" si="65"/>
        <v>-9.8830843694734938E-2</v>
      </c>
      <c r="J338" s="216">
        <v>5.5899999999999998E-2</v>
      </c>
      <c r="K338" s="216">
        <f t="shared" si="66"/>
        <v>-9.2019279149732736E-2</v>
      </c>
      <c r="L338" s="216">
        <v>3.6776000000000003E-2</v>
      </c>
      <c r="M338" s="541">
        <f t="shared" si="70"/>
        <v>5.2075200000000002E-2</v>
      </c>
      <c r="N338" s="216">
        <f t="shared" si="73"/>
        <v>-9.9516022413145055E-2</v>
      </c>
      <c r="O338" s="793">
        <f t="shared" si="74"/>
        <v>73091.602287681148</v>
      </c>
      <c r="P338" s="793">
        <f t="shared" si="75"/>
        <v>111864.77183257467</v>
      </c>
      <c r="Q338" s="5"/>
      <c r="R338" s="5"/>
      <c r="S338" s="5"/>
      <c r="T338" s="5"/>
      <c r="U338" s="5"/>
      <c r="V338" s="5"/>
      <c r="W338" s="191"/>
      <c r="X338" s="191"/>
      <c r="Y338" s="5"/>
      <c r="Z338" s="5"/>
      <c r="AA338" s="5"/>
      <c r="AB338" s="5"/>
    </row>
    <row r="339" spans="1:28" s="1746" customFormat="1" ht="12.75" customHeight="1">
      <c r="A339" s="1734">
        <v>44896</v>
      </c>
      <c r="B339" s="1735">
        <v>292670.71000000002</v>
      </c>
      <c r="C339" s="1736">
        <v>9750</v>
      </c>
      <c r="D339" s="1735">
        <v>285474.40000000002</v>
      </c>
      <c r="E339" s="1737">
        <f t="shared" si="71"/>
        <v>8252.720739286895</v>
      </c>
      <c r="F339" s="1738">
        <f t="shared" si="72"/>
        <v>34.591549746861716</v>
      </c>
      <c r="G339" s="1739"/>
      <c r="H339" s="1740">
        <f t="shared" si="64"/>
        <v>-5.6035547300976839E-2</v>
      </c>
      <c r="I339" s="1740">
        <f t="shared" si="65"/>
        <v>-0.18038843101664359</v>
      </c>
      <c r="J339" s="1741">
        <v>-5.7599999999999998E-2</v>
      </c>
      <c r="K339" s="1741">
        <f t="shared" si="66"/>
        <v>-0.1810097326480743</v>
      </c>
      <c r="L339" s="1741">
        <v>-4.509E-3</v>
      </c>
      <c r="M339" s="1742">
        <f t="shared" si="70"/>
        <v>-4.6981800000000004E-2</v>
      </c>
      <c r="N339" s="1741">
        <f t="shared" si="73"/>
        <v>-0.17109915828085553</v>
      </c>
      <c r="O339" s="1743">
        <f t="shared" si="74"/>
        <v>68995.874350385609</v>
      </c>
      <c r="P339" s="1743">
        <f t="shared" si="75"/>
        <v>106609.16349529101</v>
      </c>
      <c r="Q339" s="1744"/>
      <c r="R339" s="1744"/>
      <c r="S339" s="1744"/>
      <c r="T339" s="1744"/>
      <c r="U339" s="1744"/>
      <c r="V339" s="1744"/>
      <c r="W339" s="1745"/>
      <c r="X339" s="1745"/>
      <c r="Y339" s="1744"/>
      <c r="Z339" s="1744"/>
      <c r="AA339" s="1744"/>
      <c r="AB339" s="1744"/>
    </row>
    <row r="340" spans="1:28" ht="12.75" customHeight="1">
      <c r="A340" s="423">
        <v>44927</v>
      </c>
      <c r="B340" s="192">
        <v>285474.40000000002</v>
      </c>
      <c r="C340" s="213"/>
      <c r="D340" s="192">
        <v>301797.51</v>
      </c>
      <c r="E340" s="189">
        <f t="shared" si="71"/>
        <v>8252.720739286895</v>
      </c>
      <c r="F340" s="494">
        <f t="shared" si="72"/>
        <v>36.569456247719572</v>
      </c>
      <c r="G340" s="198"/>
      <c r="H340" s="185">
        <f t="shared" si="64"/>
        <v>5.7178892398057395E-2</v>
      </c>
      <c r="I340" s="185">
        <f t="shared" si="65"/>
        <v>-8.5138333194099025E-2</v>
      </c>
      <c r="J340" s="216">
        <v>6.2799999999999995E-2</v>
      </c>
      <c r="K340" s="216">
        <f t="shared" si="66"/>
        <v>-8.2122897667798678E-2</v>
      </c>
      <c r="L340" s="216">
        <v>3.0765000000000001E-2</v>
      </c>
      <c r="M340" s="541">
        <f t="shared" si="70"/>
        <v>5.6392999999999999E-2</v>
      </c>
      <c r="N340" s="216">
        <f t="shared" si="73"/>
        <v>-8.2451619640841356E-2</v>
      </c>
      <c r="O340" s="1486">
        <f t="shared" si="74"/>
        <v>72940.982025776204</v>
      </c>
      <c r="P340" s="1486">
        <f t="shared" si="75"/>
        <v>112621.17405228094</v>
      </c>
      <c r="Q340" s="5"/>
      <c r="R340" s="5"/>
      <c r="S340" s="5"/>
      <c r="T340" s="5"/>
      <c r="U340" s="5"/>
      <c r="V340" s="5"/>
      <c r="W340" s="191"/>
      <c r="X340" s="191"/>
      <c r="Y340" s="5"/>
      <c r="Z340" s="5"/>
      <c r="AA340" s="5"/>
      <c r="AB340" s="5"/>
    </row>
    <row r="341" spans="1:28" ht="12.75" customHeight="1">
      <c r="A341" s="423">
        <v>44980</v>
      </c>
      <c r="B341" s="192">
        <v>301797.51</v>
      </c>
      <c r="C341" s="213"/>
      <c r="D341" s="192">
        <v>298159.39</v>
      </c>
      <c r="E341" s="189">
        <f t="shared" si="71"/>
        <v>8252.720739286895</v>
      </c>
      <c r="F341" s="494">
        <f t="shared" si="72"/>
        <v>36.128617388035295</v>
      </c>
      <c r="G341" s="198"/>
      <c r="H341" s="185">
        <f t="shared" si="64"/>
        <v>-1.2054837695645724E-2</v>
      </c>
      <c r="I341" s="185">
        <f t="shared" si="65"/>
        <v>-7.9570131826387946E-2</v>
      </c>
      <c r="J341" s="216">
        <v>-2.4400000000000002E-2</v>
      </c>
      <c r="K341" s="216">
        <f t="shared" si="66"/>
        <v>-7.6918976357802649E-2</v>
      </c>
      <c r="L341" s="216">
        <v>-2.5855E-2</v>
      </c>
      <c r="M341" s="541">
        <f t="shared" si="70"/>
        <v>-2.4691000000000005E-2</v>
      </c>
      <c r="N341" s="216">
        <f t="shared" si="73"/>
        <v>-8.1075648412175738E-2</v>
      </c>
      <c r="O341" s="1486">
        <f t="shared" si="74"/>
        <v>72061.690326094453</v>
      </c>
      <c r="P341" s="1486">
        <f t="shared" si="75"/>
        <v>109840.44464375607</v>
      </c>
      <c r="Q341" s="5"/>
      <c r="R341" s="5"/>
      <c r="S341" s="5"/>
      <c r="T341" s="5"/>
      <c r="U341" s="5"/>
      <c r="V341" s="5"/>
      <c r="W341" s="191"/>
      <c r="X341" s="191"/>
      <c r="Y341" s="5"/>
      <c r="Z341" s="5"/>
      <c r="AA341" s="5"/>
      <c r="AB341" s="5"/>
    </row>
    <row r="342" spans="1:28" ht="12.75" customHeight="1">
      <c r="A342" s="423">
        <v>45008</v>
      </c>
      <c r="B342" s="192">
        <v>298159.39</v>
      </c>
      <c r="C342" s="213"/>
      <c r="D342" s="192">
        <v>313902.71999999997</v>
      </c>
      <c r="E342" s="189">
        <f t="shared" si="71"/>
        <v>8252.720739286895</v>
      </c>
      <c r="F342" s="494">
        <f t="shared" si="72"/>
        <v>38.036270693817734</v>
      </c>
      <c r="G342" s="198"/>
      <c r="H342" s="185">
        <f t="shared" si="64"/>
        <v>5.2801724607767477E-2</v>
      </c>
      <c r="I342" s="185">
        <f t="shared" si="65"/>
        <v>-6.0176852037088335E-2</v>
      </c>
      <c r="J342" s="216">
        <v>3.6700000000000003E-2</v>
      </c>
      <c r="K342" s="216">
        <f t="shared" si="66"/>
        <v>-7.7275000279754869E-2</v>
      </c>
      <c r="L342" s="216">
        <v>2.5399000000000001E-2</v>
      </c>
      <c r="M342" s="541">
        <f t="shared" si="70"/>
        <v>3.4439800000000007E-2</v>
      </c>
      <c r="N342" s="216">
        <f t="shared" si="73"/>
        <v>-7.1818778764470403E-2</v>
      </c>
      <c r="O342" s="1486">
        <f t="shared" si="74"/>
        <v>75866.671853463107</v>
      </c>
      <c r="P342" s="1486">
        <f t="shared" si="75"/>
        <v>113623.32758919809</v>
      </c>
      <c r="Q342" s="5"/>
      <c r="R342" s="5"/>
      <c r="S342" s="5"/>
      <c r="T342" s="5"/>
      <c r="U342" s="5"/>
      <c r="V342" s="5"/>
      <c r="W342" s="191"/>
      <c r="X342" s="191"/>
      <c r="Y342" s="5"/>
      <c r="Z342" s="5"/>
      <c r="AA342" s="5"/>
      <c r="AB342" s="5"/>
    </row>
    <row r="343" spans="1:28" ht="12.75" customHeight="1">
      <c r="A343" s="423">
        <v>45017</v>
      </c>
      <c r="B343" s="192">
        <f t="shared" ref="B343:B348" si="76">D342</f>
        <v>313902.71999999997</v>
      </c>
      <c r="C343" s="213"/>
      <c r="D343" s="192">
        <v>318723.82</v>
      </c>
      <c r="E343" s="189">
        <f t="shared" si="71"/>
        <v>8252.720739286895</v>
      </c>
      <c r="F343" s="494">
        <f t="shared" si="72"/>
        <v>38.620453795646121</v>
      </c>
      <c r="G343" s="198"/>
      <c r="H343" s="185">
        <f t="shared" si="64"/>
        <v>1.5358579881053843E-2</v>
      </c>
      <c r="I343" s="185">
        <f t="shared" si="65"/>
        <v>4.6772631720082725E-2</v>
      </c>
      <c r="J343" s="216">
        <v>1.5599999999999999E-2</v>
      </c>
      <c r="K343" s="216">
        <f t="shared" si="66"/>
        <v>2.6642758233874853E-2</v>
      </c>
      <c r="L343" s="216">
        <v>6.0629999999999998E-3</v>
      </c>
      <c r="M343" s="541">
        <f t="shared" si="70"/>
        <v>1.3692599999999999E-2</v>
      </c>
      <c r="N343" s="216">
        <f t="shared" si="73"/>
        <v>1.9769173053433065E-2</v>
      </c>
      <c r="O343" s="1486">
        <f t="shared" si="74"/>
        <v>77031.876193434218</v>
      </c>
      <c r="P343" s="1486">
        <f t="shared" si="75"/>
        <v>115179.12636454594</v>
      </c>
      <c r="Q343" s="5"/>
      <c r="R343" s="5"/>
      <c r="S343" s="5"/>
      <c r="T343" s="5"/>
      <c r="U343" s="5"/>
      <c r="V343" s="5"/>
      <c r="W343" s="191"/>
      <c r="X343" s="191"/>
      <c r="Y343" s="5"/>
      <c r="Z343" s="5"/>
      <c r="AA343" s="5"/>
      <c r="AB343" s="5"/>
    </row>
    <row r="344" spans="1:28" ht="12.75" customHeight="1">
      <c r="A344" s="423">
        <v>45069</v>
      </c>
      <c r="B344" s="192">
        <f t="shared" si="76"/>
        <v>318723.82</v>
      </c>
      <c r="C344" s="213"/>
      <c r="D344" s="192">
        <v>325912.21999999997</v>
      </c>
      <c r="E344" s="189">
        <f t="shared" si="71"/>
        <v>8252.720739286895</v>
      </c>
      <c r="F344" s="494">
        <f t="shared" si="72"/>
        <v>39.491487752457445</v>
      </c>
      <c r="G344" s="198"/>
      <c r="H344" s="185">
        <f t="shared" si="64"/>
        <v>2.2553695547449008E-2</v>
      </c>
      <c r="I344" s="185">
        <f t="shared" si="65"/>
        <v>7.3216378973999241E-2</v>
      </c>
      <c r="J344" s="216">
        <v>4.3E-3</v>
      </c>
      <c r="K344" s="216">
        <f t="shared" si="66"/>
        <v>2.9204753537912076E-2</v>
      </c>
      <c r="L344" s="216">
        <v>-1.0800000000000001E-2</v>
      </c>
      <c r="M344" s="541">
        <f t="shared" si="70"/>
        <v>1.2800000000000003E-3</v>
      </c>
      <c r="N344" s="216">
        <f t="shared" si="73"/>
        <v>2.0920726933465694E-2</v>
      </c>
      <c r="O344" s="1486">
        <f t="shared" si="74"/>
        <v>78769.229676549716</v>
      </c>
      <c r="P344" s="1486">
        <f t="shared" si="75"/>
        <v>115326.55564629256</v>
      </c>
      <c r="Q344" s="5"/>
      <c r="R344" s="5"/>
      <c r="S344" s="5"/>
      <c r="T344" s="5"/>
      <c r="U344" s="5"/>
      <c r="V344" s="5"/>
      <c r="W344" s="191"/>
      <c r="X344" s="191"/>
      <c r="Y344" s="5"/>
      <c r="Z344" s="5"/>
      <c r="AA344" s="5"/>
      <c r="AB344" s="5"/>
    </row>
    <row r="345" spans="1:28" ht="12.75" customHeight="1">
      <c r="A345" s="423">
        <v>45100</v>
      </c>
      <c r="B345" s="192">
        <f t="shared" si="76"/>
        <v>325912.21999999997</v>
      </c>
      <c r="C345" s="213"/>
      <c r="D345" s="192">
        <v>341732.85</v>
      </c>
      <c r="E345" s="189">
        <f t="shared" si="71"/>
        <v>8252.720739286895</v>
      </c>
      <c r="F345" s="494">
        <f t="shared" si="72"/>
        <v>41.408507666227976</v>
      </c>
      <c r="G345" s="198"/>
      <c r="H345" s="185">
        <f t="shared" si="64"/>
        <v>4.8542610645283688E-2</v>
      </c>
      <c r="I345" s="185">
        <f t="shared" si="65"/>
        <v>0.20595298106192805</v>
      </c>
      <c r="J345" s="216">
        <v>6.6100000000000006E-2</v>
      </c>
      <c r="K345" s="216">
        <f t="shared" si="66"/>
        <v>0.1958966623942977</v>
      </c>
      <c r="L345" s="216">
        <v>-3.5999999999999999E-3</v>
      </c>
      <c r="M345" s="541">
        <f t="shared" si="70"/>
        <v>5.2160000000000012E-2</v>
      </c>
      <c r="N345" s="216">
        <f t="shared" si="73"/>
        <v>0.15395328166618261</v>
      </c>
      <c r="O345" s="1486">
        <f t="shared" si="74"/>
        <v>82592.893723567395</v>
      </c>
      <c r="P345" s="1486">
        <f t="shared" si="75"/>
        <v>121341.98878880318</v>
      </c>
      <c r="Q345" s="5"/>
      <c r="R345" s="5"/>
      <c r="S345" s="5"/>
      <c r="T345" s="5"/>
      <c r="U345" s="5"/>
      <c r="V345" s="5"/>
      <c r="W345" s="191"/>
      <c r="X345" s="191"/>
      <c r="Y345" s="5"/>
      <c r="Z345" s="5"/>
      <c r="AA345" s="5"/>
      <c r="AB345" s="5"/>
    </row>
    <row r="346" spans="1:28" ht="12.75" customHeight="1">
      <c r="A346" s="423">
        <v>45130</v>
      </c>
      <c r="B346" s="192">
        <f t="shared" si="76"/>
        <v>341732.85</v>
      </c>
      <c r="C346" s="213"/>
      <c r="D346" s="192">
        <v>351709.77</v>
      </c>
      <c r="E346" s="189">
        <f t="shared" si="71"/>
        <v>8252.720739286895</v>
      </c>
      <c r="F346" s="494">
        <f t="shared" si="72"/>
        <v>42.617432615366887</v>
      </c>
      <c r="G346" s="198"/>
      <c r="H346" s="185">
        <f t="shared" si="64"/>
        <v>2.9195086161602685E-2</v>
      </c>
      <c r="I346" s="185">
        <f t="shared" si="65"/>
        <v>0.14611059386044123</v>
      </c>
      <c r="J346" s="216">
        <v>3.2099999999999997E-2</v>
      </c>
      <c r="K346" s="216">
        <f t="shared" si="66"/>
        <v>0.13009059261779399</v>
      </c>
      <c r="L346" s="216">
        <v>-6.9999999999999999E-4</v>
      </c>
      <c r="M346" s="541">
        <f t="shared" si="70"/>
        <v>2.5539999999999997E-2</v>
      </c>
      <c r="N346" s="216">
        <f t="shared" si="73"/>
        <v>9.7138793236058785E-2</v>
      </c>
      <c r="O346" s="1486">
        <f t="shared" si="74"/>
        <v>85004.200372163032</v>
      </c>
      <c r="P346" s="1486">
        <f t="shared" si="75"/>
        <v>124441.0631824692</v>
      </c>
      <c r="Q346" s="5"/>
      <c r="R346" s="5"/>
      <c r="S346" s="5"/>
      <c r="T346" s="5"/>
      <c r="U346" s="5"/>
      <c r="V346" s="5"/>
      <c r="W346" s="191"/>
      <c r="X346" s="191"/>
      <c r="Y346" s="5"/>
      <c r="Z346" s="5"/>
      <c r="AA346" s="5"/>
      <c r="AB346" s="5"/>
    </row>
    <row r="347" spans="1:28" ht="12.75" customHeight="1">
      <c r="A347" s="423">
        <v>45161</v>
      </c>
      <c r="B347" s="192">
        <f t="shared" si="76"/>
        <v>351709.77</v>
      </c>
      <c r="C347" s="213"/>
      <c r="D347" s="192">
        <v>349222.56</v>
      </c>
      <c r="E347" s="189">
        <f t="shared" si="71"/>
        <v>8252.720739286895</v>
      </c>
      <c r="F347" s="494">
        <f>D347/E347</f>
        <v>42.316052006647176</v>
      </c>
      <c r="G347" s="198"/>
      <c r="H347" s="185">
        <f t="shared" si="64"/>
        <v>-7.0717682934996889E-3</v>
      </c>
      <c r="I347" s="185">
        <f t="shared" si="65"/>
        <v>0.18579901170016</v>
      </c>
      <c r="J347" s="216">
        <v>-1.5900000000000001E-2</v>
      </c>
      <c r="K347" s="216">
        <f t="shared" si="66"/>
        <v>0.1594267641734477</v>
      </c>
      <c r="L347" s="216">
        <v>-6.4000000000000003E-3</v>
      </c>
      <c r="M347" s="541">
        <f t="shared" si="70"/>
        <v>-1.4000000000000002E-2</v>
      </c>
      <c r="N347" s="216">
        <f t="shared" si="73"/>
        <v>0.1248500327965536</v>
      </c>
      <c r="O347" s="1486">
        <f t="shared" si="74"/>
        <v>84403.070363156876</v>
      </c>
      <c r="P347" s="1486">
        <f t="shared" si="75"/>
        <v>122698.88829791463</v>
      </c>
      <c r="Q347" s="5"/>
      <c r="R347" s="5"/>
      <c r="S347" s="5"/>
      <c r="T347" s="5"/>
      <c r="U347" s="5"/>
      <c r="V347" s="5"/>
      <c r="W347" s="191"/>
      <c r="X347" s="191"/>
      <c r="Y347" s="5"/>
      <c r="Z347" s="5"/>
      <c r="AA347" s="5"/>
      <c r="AB347" s="5"/>
    </row>
    <row r="348" spans="1:28" ht="12.75" customHeight="1">
      <c r="A348" s="423">
        <v>45192</v>
      </c>
      <c r="B348" s="449">
        <f t="shared" si="76"/>
        <v>349222.56</v>
      </c>
      <c r="C348" s="472"/>
      <c r="D348" s="449">
        <v>335454.59000000003</v>
      </c>
      <c r="E348" s="189">
        <v>8252.7199999999993</v>
      </c>
      <c r="F348" s="494">
        <f>D348/E348</f>
        <v>40.647760980622152</v>
      </c>
      <c r="G348" s="359"/>
      <c r="H348" s="185">
        <f t="shared" si="64"/>
        <v>-3.9424543333176784E-2</v>
      </c>
      <c r="I348" s="185">
        <f t="shared" si="65"/>
        <v>0.2485755689602589</v>
      </c>
      <c r="J348" s="450">
        <v>-4.7699999999999999E-2</v>
      </c>
      <c r="K348" s="216">
        <f t="shared" si="66"/>
        <v>0.21612744522786009</v>
      </c>
      <c r="L348" s="450">
        <v>-2.53E-2</v>
      </c>
      <c r="M348" s="541">
        <f t="shared" ref="M348:M350" si="77">(J348*0.8)+(L348*0.2)</f>
        <v>-4.3220000000000001E-2</v>
      </c>
      <c r="N348" s="216">
        <f t="shared" ref="N348:N350" si="78">((1+M337)*(1+M338)*(1+M339)*(1+M340)*(1+M341)*(1+M342)*(1+M343)*(1+M344)*(1+M345)*(1+M346)*(1+M347)*(1+M348))-1</f>
        <v>0.17277931891493892</v>
      </c>
      <c r="O348" s="1486">
        <f t="shared" ref="O348:O350" si="79">O347*(1+H348)</f>
        <v>81075.517858171428</v>
      </c>
      <c r="P348" s="1486">
        <f t="shared" ref="P348:P350" si="80">P347*(1+M348)</f>
        <v>117395.84234567876</v>
      </c>
      <c r="Q348" s="359"/>
      <c r="R348" s="359"/>
      <c r="S348" s="359"/>
      <c r="T348" s="359"/>
      <c r="U348" s="359"/>
      <c r="V348" s="359"/>
      <c r="W348" s="472"/>
      <c r="X348" s="472"/>
      <c r="Y348" s="359"/>
      <c r="Z348" s="359"/>
      <c r="AA348" s="359"/>
      <c r="AB348" s="359"/>
    </row>
    <row r="349" spans="1:28" ht="12.75" customHeight="1">
      <c r="A349" s="423">
        <v>45222</v>
      </c>
      <c r="B349" s="449">
        <f>D348</f>
        <v>335454.59000000003</v>
      </c>
      <c r="C349" s="472"/>
      <c r="D349" s="449">
        <v>335214.03999999998</v>
      </c>
      <c r="E349" s="189">
        <v>8252.7199999999993</v>
      </c>
      <c r="F349" s="494">
        <f>D349/E349</f>
        <v>40.618613014860557</v>
      </c>
      <c r="G349" s="359"/>
      <c r="H349" s="185">
        <f t="shared" si="64"/>
        <v>-7.1708662564441792E-4</v>
      </c>
      <c r="I349" s="185">
        <f t="shared" si="65"/>
        <v>0.16206270550275104</v>
      </c>
      <c r="J349" s="450">
        <v>-2.1000000000000001E-2</v>
      </c>
      <c r="K349" s="216">
        <f t="shared" si="66"/>
        <v>0.10137721450330739</v>
      </c>
      <c r="L349" s="450">
        <v>-1.5699999999999999E-2</v>
      </c>
      <c r="M349" s="541">
        <f t="shared" si="77"/>
        <v>-1.9940000000000003E-2</v>
      </c>
      <c r="N349" s="216">
        <f t="shared" si="78"/>
        <v>8.2078636562409102E-2</v>
      </c>
      <c r="O349" s="1486">
        <f t="shared" si="79"/>
        <v>81017.379688648143</v>
      </c>
      <c r="P349" s="1486">
        <f t="shared" si="80"/>
        <v>115054.96924930593</v>
      </c>
      <c r="Q349" s="359"/>
      <c r="R349" s="359"/>
      <c r="S349" s="359"/>
      <c r="T349" s="359"/>
      <c r="U349" s="359"/>
      <c r="V349" s="359"/>
      <c r="W349" s="472"/>
      <c r="X349" s="472"/>
      <c r="Y349" s="359"/>
      <c r="Z349" s="359"/>
      <c r="AA349" s="359"/>
      <c r="AB349" s="359"/>
    </row>
    <row r="350" spans="1:28" ht="12.75" customHeight="1">
      <c r="A350" s="423">
        <v>45253</v>
      </c>
      <c r="B350" s="449">
        <f>D349</f>
        <v>335214.03999999998</v>
      </c>
      <c r="C350" s="472"/>
      <c r="D350" s="449">
        <v>357994.01</v>
      </c>
      <c r="E350" s="189">
        <v>8252.7199999999993</v>
      </c>
      <c r="F350" s="494">
        <f>D350/E350</f>
        <v>43.378911437683577</v>
      </c>
      <c r="G350" s="359"/>
      <c r="H350" s="185">
        <f t="shared" si="64"/>
        <v>6.7956491321186877E-2</v>
      </c>
      <c r="I350" s="185">
        <f t="shared" si="65"/>
        <v>0.18376166126142879</v>
      </c>
      <c r="J350" s="450">
        <v>9.1325406408375498E-2</v>
      </c>
      <c r="K350" s="216">
        <f t="shared" si="66"/>
        <v>0.1383283797961421</v>
      </c>
      <c r="L350" s="450">
        <v>4.5100000000000001E-2</v>
      </c>
      <c r="M350" s="541">
        <f t="shared" si="77"/>
        <v>8.2080325126700396E-2</v>
      </c>
      <c r="N350" s="216">
        <f t="shared" si="78"/>
        <v>0.11293945800082428</v>
      </c>
      <c r="O350" s="1486">
        <f t="shared" si="79"/>
        <v>86523.036548325064</v>
      </c>
      <c r="P350" s="1486">
        <f t="shared" si="80"/>
        <v>124498.71853273147</v>
      </c>
      <c r="Q350" s="359"/>
      <c r="R350" s="359"/>
      <c r="S350" s="359"/>
      <c r="T350" s="359"/>
      <c r="U350" s="359"/>
      <c r="V350" s="359"/>
      <c r="W350" s="472"/>
      <c r="X350" s="472"/>
      <c r="Y350" s="359"/>
      <c r="Z350" s="359"/>
      <c r="AA350" s="359"/>
      <c r="AB350" s="359"/>
    </row>
    <row r="351" spans="1:28" s="492" customFormat="1" ht="12.75" customHeight="1">
      <c r="A351" s="486"/>
      <c r="B351" s="486"/>
      <c r="C351" s="486"/>
      <c r="D351" s="486"/>
      <c r="E351" s="487"/>
      <c r="F351" s="488"/>
      <c r="G351" s="488"/>
      <c r="H351" s="489"/>
      <c r="I351" s="487"/>
      <c r="J351" s="490"/>
      <c r="K351" s="490"/>
      <c r="L351" s="490"/>
      <c r="M351" s="490"/>
      <c r="N351" s="490"/>
      <c r="O351" s="486"/>
      <c r="P351" s="486"/>
      <c r="Q351" s="486"/>
      <c r="R351" s="486"/>
      <c r="S351" s="486"/>
      <c r="T351" s="486"/>
      <c r="U351" s="486"/>
      <c r="V351" s="486"/>
      <c r="W351" s="491"/>
      <c r="X351" s="491"/>
      <c r="Y351" s="486"/>
      <c r="Z351" s="486"/>
      <c r="AA351" s="486"/>
      <c r="AB351" s="486"/>
    </row>
    <row r="352" spans="1:28" ht="12.75" customHeight="1">
      <c r="A352" s="275" t="s">
        <v>1141</v>
      </c>
      <c r="B352" s="5"/>
      <c r="C352" s="5"/>
      <c r="D352" s="5"/>
      <c r="E352" s="217"/>
      <c r="F352" s="198"/>
      <c r="G352" s="198"/>
      <c r="H352" s="888"/>
      <c r="I352" s="217"/>
      <c r="J352" s="306"/>
      <c r="K352" s="306"/>
      <c r="L352" s="306"/>
      <c r="M352" s="306"/>
      <c r="N352" s="306"/>
      <c r="O352" s="5"/>
      <c r="P352" s="5"/>
      <c r="Q352" s="5"/>
      <c r="R352" s="5"/>
      <c r="S352" s="5"/>
      <c r="T352" s="5"/>
      <c r="U352" s="5"/>
      <c r="V352" s="5"/>
      <c r="W352" s="191"/>
      <c r="X352" s="191"/>
      <c r="Y352" s="5"/>
      <c r="Z352" s="5"/>
      <c r="AA352" s="5"/>
      <c r="AB352" s="5"/>
    </row>
    <row r="353" spans="1:28" ht="12.75" customHeight="1">
      <c r="A353" s="5"/>
      <c r="B353" s="5"/>
      <c r="C353" s="5"/>
      <c r="D353" s="5"/>
      <c r="E353" s="217"/>
      <c r="F353" s="198"/>
      <c r="G353" s="198"/>
      <c r="H353" s="888"/>
      <c r="I353" s="217"/>
      <c r="J353" s="306"/>
      <c r="K353" s="306"/>
      <c r="L353" s="216"/>
      <c r="M353" s="306"/>
      <c r="N353" s="306"/>
      <c r="O353" s="5"/>
      <c r="P353" s="5"/>
      <c r="Q353" s="5"/>
      <c r="R353" s="5"/>
      <c r="S353" s="5"/>
      <c r="T353" s="5"/>
      <c r="U353" s="5"/>
      <c r="V353" s="5"/>
      <c r="W353" s="191"/>
      <c r="X353" s="191"/>
      <c r="Y353" s="5"/>
      <c r="Z353" s="5"/>
      <c r="AA353" s="5"/>
      <c r="AB353" s="5"/>
    </row>
    <row r="354" spans="1:28" ht="12.75" customHeight="1">
      <c r="B354" s="5"/>
      <c r="C354" s="5"/>
      <c r="D354" s="5"/>
      <c r="E354" s="217"/>
      <c r="F354" s="198"/>
      <c r="G354" s="198"/>
      <c r="H354" s="888"/>
      <c r="I354" s="217"/>
      <c r="J354" s="306"/>
      <c r="K354" s="306"/>
      <c r="L354" s="306"/>
      <c r="M354" s="306"/>
      <c r="N354" s="306"/>
      <c r="O354" s="5"/>
      <c r="P354" s="5"/>
      <c r="Q354" s="5"/>
      <c r="R354" s="5"/>
      <c r="S354" s="5"/>
      <c r="T354" s="5"/>
      <c r="U354" s="5"/>
      <c r="V354" s="5"/>
      <c r="W354" s="191"/>
      <c r="X354" s="191"/>
      <c r="Y354" s="5"/>
      <c r="Z354" s="5"/>
      <c r="AA354" s="5"/>
      <c r="AB354" s="5"/>
    </row>
    <row r="355" spans="1:28" s="435" customFormat="1" ht="12.75" customHeight="1">
      <c r="A355" s="456"/>
      <c r="B355" s="456"/>
      <c r="C355" s="456"/>
      <c r="D355" s="456"/>
      <c r="E355" s="457"/>
      <c r="F355" s="458"/>
      <c r="G355" s="458"/>
      <c r="H355" s="459"/>
      <c r="I355" s="457"/>
      <c r="J355" s="460"/>
      <c r="K355" s="460"/>
      <c r="L355" s="459"/>
      <c r="M355" s="460"/>
      <c r="N355" s="460"/>
      <c r="O355" s="456"/>
      <c r="P355" s="456"/>
      <c r="Q355" s="456"/>
      <c r="R355" s="456"/>
      <c r="S355" s="456"/>
      <c r="T355" s="456"/>
      <c r="U355" s="456"/>
      <c r="V355" s="456"/>
      <c r="W355" s="461"/>
      <c r="X355" s="461"/>
      <c r="Y355" s="456"/>
      <c r="Z355" s="456"/>
      <c r="AA355" s="456"/>
      <c r="AB355" s="456"/>
    </row>
    <row r="356" spans="1:28" ht="12.75" customHeight="1">
      <c r="A356" s="5"/>
      <c r="B356" s="5"/>
      <c r="C356" s="5"/>
      <c r="D356" s="5"/>
      <c r="E356" s="217"/>
      <c r="F356" s="198"/>
      <c r="G356" s="198"/>
      <c r="H356" s="888"/>
      <c r="I356" s="217"/>
      <c r="J356" s="306"/>
      <c r="K356" s="306"/>
      <c r="L356" s="888"/>
      <c r="M356" s="306"/>
      <c r="N356" s="306"/>
      <c r="O356" s="5"/>
      <c r="P356" s="5"/>
      <c r="Q356" s="5"/>
      <c r="R356" s="5"/>
      <c r="S356" s="5"/>
      <c r="T356" s="5"/>
      <c r="U356" s="5"/>
      <c r="V356" s="5"/>
      <c r="W356" s="191"/>
      <c r="X356" s="191"/>
      <c r="Y356" s="5"/>
      <c r="Z356" s="5"/>
      <c r="AA356" s="5"/>
      <c r="AB356" s="5"/>
    </row>
    <row r="357" spans="1:28" ht="12.75" customHeight="1">
      <c r="A357" s="5"/>
      <c r="B357" s="5"/>
      <c r="C357" s="5"/>
      <c r="D357" s="5"/>
      <c r="E357" s="217"/>
      <c r="F357" s="198"/>
      <c r="G357" s="198"/>
      <c r="H357" s="888"/>
      <c r="I357" s="217"/>
      <c r="J357" s="306"/>
      <c r="K357" s="306"/>
      <c r="L357" s="888"/>
      <c r="M357" s="306"/>
      <c r="N357" s="306"/>
      <c r="O357" s="5"/>
      <c r="P357" s="5"/>
      <c r="Q357" s="5"/>
      <c r="R357" s="5"/>
      <c r="S357" s="5"/>
      <c r="T357" s="5"/>
      <c r="U357" s="5"/>
      <c r="V357" s="5"/>
      <c r="W357" s="191"/>
      <c r="X357" s="191"/>
      <c r="Y357" s="5"/>
      <c r="Z357" s="5"/>
      <c r="AA357" s="5"/>
      <c r="AB357" s="5"/>
    </row>
    <row r="358" spans="1:28" ht="12.75" customHeight="1">
      <c r="A358" s="5"/>
      <c r="B358" s="5"/>
      <c r="C358" s="5"/>
      <c r="D358" s="5"/>
      <c r="E358" s="217"/>
      <c r="F358" s="198"/>
      <c r="G358" s="198"/>
      <c r="H358" s="218"/>
      <c r="I358" s="219" t="s">
        <v>1125</v>
      </c>
      <c r="J358" s="220" t="s">
        <v>67</v>
      </c>
      <c r="K358" s="306"/>
      <c r="L358" s="888"/>
      <c r="M358" s="306"/>
      <c r="N358" s="306"/>
      <c r="O358" s="5"/>
      <c r="P358" s="5"/>
      <c r="Q358" s="5"/>
      <c r="R358" s="5"/>
      <c r="S358" s="5"/>
      <c r="T358" s="5"/>
      <c r="U358" s="5"/>
      <c r="V358" s="5"/>
      <c r="W358" s="191"/>
      <c r="X358" s="191"/>
      <c r="Y358" s="5"/>
      <c r="Z358" s="5"/>
      <c r="AA358" s="5"/>
      <c r="AB358" s="5"/>
    </row>
    <row r="359" spans="1:28" ht="12.75" customHeight="1">
      <c r="A359" s="5"/>
      <c r="B359" s="614" t="s">
        <v>1142</v>
      </c>
      <c r="C359" s="614"/>
      <c r="D359" s="614"/>
      <c r="E359" s="615"/>
      <c r="F359" s="616"/>
      <c r="G359" s="616"/>
      <c r="H359" s="220" t="s">
        <v>1143</v>
      </c>
      <c r="I359" s="2070" t="s">
        <v>1144</v>
      </c>
      <c r="J359" s="2071"/>
      <c r="K359" s="306"/>
      <c r="L359" s="888"/>
      <c r="M359" s="306"/>
      <c r="N359" s="306"/>
      <c r="O359" s="5"/>
      <c r="P359" s="5"/>
      <c r="Q359" s="5"/>
      <c r="R359" s="5"/>
      <c r="S359" s="5"/>
      <c r="T359" s="5"/>
      <c r="U359" s="5"/>
      <c r="V359" s="5"/>
      <c r="W359" s="191"/>
      <c r="X359" s="191"/>
      <c r="Y359" s="5"/>
      <c r="Z359" s="5"/>
      <c r="AA359" s="5"/>
      <c r="AB359" s="5"/>
    </row>
    <row r="360" spans="1:28" ht="12.75" customHeight="1">
      <c r="A360" s="5"/>
      <c r="B360" s="5"/>
      <c r="C360" s="5"/>
      <c r="D360" s="5"/>
      <c r="E360" s="217"/>
      <c r="F360" s="198"/>
      <c r="G360" s="198"/>
      <c r="H360" s="220">
        <v>2015</v>
      </c>
      <c r="I360" s="617" cm="1">
        <f t="array" ref="I360">(PRODUCT(1+(I244:I255))-1)/100</f>
        <v>1.7388843685882328E-2</v>
      </c>
      <c r="J360" s="617">
        <f t="array" ref="J360">PRODUCT(1+M244:M255)-1</f>
        <v>1.3775705788142467E-2</v>
      </c>
      <c r="K360" s="306"/>
      <c r="L360" s="888"/>
      <c r="M360" s="306"/>
      <c r="N360" s="306"/>
      <c r="O360" s="216"/>
      <c r="P360" s="4"/>
      <c r="Q360" s="5"/>
      <c r="R360" s="5"/>
      <c r="S360" s="5"/>
      <c r="T360" s="5"/>
      <c r="U360" s="5"/>
      <c r="V360" s="5"/>
      <c r="W360" s="191"/>
      <c r="X360" s="191"/>
      <c r="Y360" s="5"/>
      <c r="Z360" s="5"/>
      <c r="AA360" s="5"/>
      <c r="AB360" s="5"/>
    </row>
    <row r="361" spans="1:28" ht="12.75" customHeight="1">
      <c r="A361" s="5"/>
      <c r="B361" s="5"/>
      <c r="C361" s="5"/>
      <c r="D361" s="5"/>
      <c r="E361" s="217"/>
      <c r="F361" s="198"/>
      <c r="G361" s="198"/>
      <c r="H361" s="220">
        <v>2016</v>
      </c>
      <c r="I361" s="618" cm="1">
        <f t="array" ref="I361">(PRODUCT(1+H256:H267)-1)/100</f>
        <v>5.3835414223049713E-4</v>
      </c>
      <c r="J361" s="617" cm="1">
        <f t="array" ref="J361">PRODUCT(1+M256:M267)-1</f>
        <v>0.10159959844631561</v>
      </c>
      <c r="K361" s="306"/>
      <c r="L361" s="888"/>
      <c r="M361" s="306"/>
      <c r="N361" s="306"/>
      <c r="O361" s="216"/>
      <c r="P361" s="5"/>
      <c r="Q361" s="5"/>
      <c r="R361" s="5"/>
      <c r="S361" s="5"/>
      <c r="T361" s="5"/>
      <c r="U361" s="5"/>
      <c r="V361" s="5"/>
      <c r="W361" s="191"/>
      <c r="X361" s="191"/>
      <c r="Y361" s="5"/>
      <c r="Z361" s="5"/>
      <c r="AA361" s="5"/>
      <c r="AB361" s="5"/>
    </row>
    <row r="362" spans="1:28" ht="12.75" customHeight="1">
      <c r="A362" s="5"/>
      <c r="B362" s="5"/>
      <c r="C362" s="5"/>
      <c r="D362" s="5"/>
      <c r="E362" s="217"/>
      <c r="F362" s="198"/>
      <c r="G362" s="198"/>
      <c r="H362" s="220">
        <v>2017</v>
      </c>
      <c r="I362" s="618" cm="1">
        <f t="array" ref="I362">PRODUCT(1+H268:H279)-1</f>
        <v>0.18431975047282667</v>
      </c>
      <c r="J362" s="617" cm="1">
        <f t="array" ref="J362">PRODUCT(1+M268:M279)-1</f>
        <v>0.17970301570134528</v>
      </c>
      <c r="K362" s="306"/>
      <c r="L362" s="888"/>
      <c r="M362" s="306"/>
      <c r="N362" s="306"/>
      <c r="O362" s="216"/>
      <c r="P362" s="5"/>
      <c r="Q362" s="5"/>
      <c r="R362" s="5"/>
      <c r="S362" s="5"/>
      <c r="T362" s="5"/>
      <c r="U362" s="5"/>
      <c r="V362" s="5"/>
      <c r="W362" s="191"/>
      <c r="X362" s="191"/>
      <c r="Y362" s="5"/>
      <c r="Z362" s="5"/>
      <c r="AA362" s="5"/>
      <c r="AB362" s="5"/>
    </row>
    <row r="363" spans="1:28" ht="12.75" customHeight="1">
      <c r="A363" s="5"/>
      <c r="B363" s="5"/>
      <c r="C363" s="5"/>
      <c r="D363" s="5"/>
      <c r="E363" s="217"/>
      <c r="F363" s="198"/>
      <c r="G363" s="198"/>
      <c r="H363" s="220">
        <v>2018</v>
      </c>
      <c r="I363" s="618" cm="1">
        <f t="array" ref="I363">PRODUCT(1+H280:H291)-1</f>
        <v>-3.0088596280520075E-2</v>
      </c>
      <c r="J363" s="617">
        <v>-3.5000000000000003E-2</v>
      </c>
      <c r="K363" s="306"/>
      <c r="L363" s="888"/>
      <c r="M363" s="306"/>
      <c r="N363" s="306"/>
      <c r="O363" s="216"/>
      <c r="P363" s="5"/>
      <c r="Q363" s="5"/>
      <c r="R363" s="5"/>
      <c r="S363" s="5"/>
      <c r="T363" s="5"/>
      <c r="U363" s="5"/>
      <c r="V363" s="5"/>
      <c r="W363" s="191"/>
      <c r="X363" s="191"/>
      <c r="Y363" s="5"/>
      <c r="Z363" s="5"/>
      <c r="AA363" s="5"/>
      <c r="AB363" s="5"/>
    </row>
    <row r="364" spans="1:28" ht="12.75" customHeight="1">
      <c r="A364" s="5"/>
      <c r="B364" s="5"/>
      <c r="C364" s="5"/>
      <c r="D364" s="5"/>
      <c r="E364" s="217"/>
      <c r="F364" s="198"/>
      <c r="G364" s="198"/>
      <c r="H364" s="220">
        <v>2019</v>
      </c>
      <c r="I364" s="618" cm="1">
        <f t="array" ref="I364">PRODUCT(1+H292:H303)-1</f>
        <v>0.30591570092800024</v>
      </c>
      <c r="J364" s="617">
        <v>0.26929999999999998</v>
      </c>
      <c r="K364" s="306"/>
      <c r="L364" s="888"/>
      <c r="M364" s="306"/>
      <c r="N364" s="306"/>
      <c r="O364" s="216"/>
      <c r="P364" s="5"/>
      <c r="Q364" s="5"/>
      <c r="R364" s="5"/>
      <c r="S364" s="5"/>
      <c r="T364" s="5"/>
      <c r="U364" s="5"/>
      <c r="V364" s="5"/>
      <c r="W364" s="191"/>
      <c r="X364" s="191"/>
      <c r="Y364" s="5"/>
      <c r="Z364" s="5"/>
      <c r="AA364" s="5"/>
      <c r="AB364" s="5"/>
    </row>
    <row r="365" spans="1:28" ht="12.75" customHeight="1">
      <c r="A365" s="5"/>
      <c r="B365" s="5"/>
      <c r="C365" s="5"/>
      <c r="D365" s="5"/>
      <c r="E365" s="217"/>
      <c r="F365" s="198"/>
      <c r="G365" s="198"/>
      <c r="H365" s="220">
        <v>2020</v>
      </c>
      <c r="I365" s="618">
        <v>0.19950000000000001</v>
      </c>
      <c r="J365" s="617">
        <v>0.16220000000000001</v>
      </c>
      <c r="K365" s="306"/>
      <c r="L365" s="888"/>
      <c r="M365" s="306"/>
      <c r="N365" s="306"/>
      <c r="O365" s="216"/>
      <c r="P365" s="5"/>
      <c r="Q365" s="5"/>
      <c r="R365" s="5"/>
      <c r="S365" s="5"/>
      <c r="T365" s="5"/>
      <c r="U365" s="5"/>
      <c r="V365" s="5"/>
      <c r="W365" s="191"/>
      <c r="X365" s="191"/>
      <c r="Y365" s="5"/>
      <c r="Z365" s="5"/>
      <c r="AA365" s="5"/>
      <c r="AB365" s="5"/>
    </row>
    <row r="366" spans="1:28" ht="12.75" customHeight="1">
      <c r="A366" s="5"/>
      <c r="B366" s="5"/>
      <c r="C366" s="5"/>
      <c r="D366" s="5"/>
      <c r="E366" s="217"/>
      <c r="F366" s="198"/>
      <c r="G366" s="198"/>
      <c r="H366" s="220">
        <v>2021</v>
      </c>
      <c r="I366" s="618">
        <v>0.246</v>
      </c>
      <c r="J366" s="617">
        <v>0.2266</v>
      </c>
      <c r="K366" s="306"/>
      <c r="L366" s="888"/>
      <c r="M366" s="306"/>
      <c r="N366" s="306"/>
      <c r="O366" s="216"/>
      <c r="P366" s="5"/>
      <c r="Q366" s="5"/>
      <c r="R366" s="5"/>
      <c r="S366" s="5"/>
      <c r="T366" s="5"/>
      <c r="U366" s="5"/>
      <c r="V366" s="5"/>
      <c r="W366" s="191"/>
      <c r="X366" s="191"/>
      <c r="Y366" s="5"/>
      <c r="Z366" s="5"/>
      <c r="AA366" s="5"/>
      <c r="AB366" s="5"/>
    </row>
    <row r="367" spans="1:28" ht="12.75" customHeight="1">
      <c r="A367" s="5"/>
      <c r="B367" s="5"/>
      <c r="C367" s="5"/>
      <c r="D367" s="5"/>
      <c r="E367" s="217"/>
      <c r="F367" s="198"/>
      <c r="G367" s="198"/>
      <c r="H367" s="220">
        <v>2022</v>
      </c>
      <c r="I367" s="617" cm="1">
        <f t="array" ref="I367">PRODUCT(1+H328:H339)-1</f>
        <v>-0.18038843101664359</v>
      </c>
      <c r="J367" s="618">
        <v>-0.1709</v>
      </c>
      <c r="K367" s="306" t="s">
        <v>1145</v>
      </c>
      <c r="L367" s="888"/>
      <c r="M367" s="306"/>
      <c r="N367" s="306"/>
      <c r="O367" s="216"/>
      <c r="P367" s="5"/>
      <c r="Q367" s="5"/>
      <c r="R367" s="5"/>
      <c r="S367" s="5"/>
      <c r="T367" s="5"/>
      <c r="U367" s="5"/>
      <c r="V367" s="5"/>
      <c r="W367" s="191"/>
      <c r="X367" s="191"/>
      <c r="Y367" s="5"/>
      <c r="Z367" s="5"/>
      <c r="AA367" s="5"/>
      <c r="AB367" s="5"/>
    </row>
    <row r="368" spans="1:28" ht="12.75" customHeight="1">
      <c r="A368" s="5"/>
      <c r="B368" s="5"/>
      <c r="C368" s="5"/>
      <c r="D368" s="5"/>
      <c r="E368" s="217"/>
      <c r="F368" s="198"/>
      <c r="G368" s="198"/>
      <c r="H368" s="220"/>
      <c r="I368" s="619"/>
      <c r="J368" s="253"/>
      <c r="K368" s="306"/>
      <c r="L368" s="888"/>
      <c r="M368" s="306"/>
      <c r="N368" s="306"/>
      <c r="O368" s="216"/>
      <c r="P368" s="5"/>
      <c r="Q368" s="5"/>
      <c r="R368" s="5"/>
      <c r="S368" s="5"/>
      <c r="T368" s="5"/>
      <c r="U368" s="5"/>
      <c r="V368" s="5"/>
      <c r="W368" s="191"/>
      <c r="X368" s="191"/>
      <c r="Y368" s="5"/>
      <c r="Z368" s="5"/>
      <c r="AA368" s="5"/>
      <c r="AB368" s="5"/>
    </row>
    <row r="369" spans="1:28" ht="12.75" customHeight="1">
      <c r="A369" s="5"/>
      <c r="B369" s="5"/>
      <c r="C369" s="5"/>
      <c r="D369" s="5"/>
      <c r="E369" s="217"/>
      <c r="F369" s="198"/>
      <c r="G369" s="198"/>
      <c r="H369" s="220" t="s">
        <v>1146</v>
      </c>
      <c r="I369" s="1747" cm="1">
        <f t="array" ref="I369">GEOMEAN(1+I365:I367)-1</f>
        <v>6.9979502893360301E-2</v>
      </c>
      <c r="J369" s="618" cm="1">
        <f t="array" ref="J369">GEOMEAN(1+J365:J367)-1</f>
        <v>5.7296794531925377E-2</v>
      </c>
      <c r="K369" s="306"/>
      <c r="L369" s="888"/>
      <c r="M369" s="306"/>
      <c r="N369" s="306"/>
      <c r="O369" s="216"/>
      <c r="P369" s="5"/>
      <c r="Q369" s="5"/>
      <c r="R369" s="5"/>
      <c r="S369" s="5"/>
      <c r="T369" s="5"/>
      <c r="U369" s="5"/>
      <c r="V369" s="5"/>
      <c r="W369" s="191"/>
      <c r="X369" s="191"/>
      <c r="Y369" s="5"/>
      <c r="Z369" s="5"/>
      <c r="AA369" s="5"/>
      <c r="AB369" s="5"/>
    </row>
    <row r="370" spans="1:28" ht="12.75" customHeight="1">
      <c r="A370" s="5"/>
      <c r="B370" s="5"/>
      <c r="C370" s="5"/>
      <c r="D370" s="5"/>
      <c r="E370" s="217"/>
      <c r="F370" s="198"/>
      <c r="G370" s="198"/>
      <c r="H370" s="220" t="s">
        <v>1147</v>
      </c>
      <c r="I370" s="618" cm="1">
        <f t="array" ref="I370">GEOMEAN(1+I363:I367)-1</f>
        <v>9.1829229566259496E-2</v>
      </c>
      <c r="J370" s="618" cm="1">
        <f t="array" ref="J370">GEOMEAN(1+J363:J367)-1</f>
        <v>7.6803523561520093E-2</v>
      </c>
      <c r="K370" s="306"/>
      <c r="L370" s="306"/>
      <c r="M370" s="306"/>
      <c r="N370" s="306"/>
      <c r="O370" s="216"/>
      <c r="P370" s="5"/>
      <c r="Q370" s="5"/>
      <c r="R370" s="5"/>
      <c r="S370" s="5"/>
      <c r="T370" s="5"/>
      <c r="U370" s="5"/>
      <c r="V370" s="5"/>
      <c r="W370" s="191"/>
      <c r="X370" s="191"/>
      <c r="Y370" s="5"/>
      <c r="Z370" s="5"/>
      <c r="AA370" s="5"/>
      <c r="AB370" s="5"/>
    </row>
    <row r="371" spans="1:28" ht="12.75" customHeight="1">
      <c r="A371" s="5"/>
      <c r="B371" s="5"/>
      <c r="C371" s="5"/>
      <c r="D371" s="5"/>
      <c r="E371" s="217"/>
      <c r="F371" s="198"/>
      <c r="G371" s="198"/>
      <c r="H371" s="888"/>
      <c r="I371" s="217"/>
      <c r="J371" s="306"/>
      <c r="K371" s="306"/>
      <c r="L371" s="306"/>
      <c r="M371" s="306"/>
      <c r="N371" s="306"/>
      <c r="O371" s="216"/>
      <c r="P371" s="5"/>
      <c r="Q371" s="5"/>
      <c r="R371" s="5"/>
      <c r="S371" s="5"/>
      <c r="T371" s="5"/>
      <c r="U371" s="5"/>
      <c r="V371" s="5"/>
      <c r="W371" s="191"/>
      <c r="X371" s="191"/>
      <c r="Y371" s="5"/>
      <c r="Z371" s="5"/>
      <c r="AA371" s="5"/>
      <c r="AB371" s="5"/>
    </row>
    <row r="372" spans="1:28" ht="12.75" customHeight="1">
      <c r="A372" s="5"/>
      <c r="B372" s="5"/>
      <c r="C372" s="5"/>
      <c r="D372" s="5"/>
      <c r="E372" s="217"/>
      <c r="F372" s="198"/>
      <c r="G372" s="198"/>
      <c r="H372" s="888"/>
      <c r="I372" s="217"/>
      <c r="J372" s="306"/>
      <c r="K372" s="306"/>
      <c r="L372" s="306"/>
      <c r="M372" s="306"/>
      <c r="N372" s="306"/>
      <c r="O372" s="216"/>
      <c r="P372" s="5"/>
      <c r="Q372" s="5"/>
      <c r="R372" s="5"/>
      <c r="S372" s="5"/>
      <c r="T372" s="5"/>
      <c r="U372" s="5"/>
      <c r="V372" s="5"/>
      <c r="W372" s="191"/>
      <c r="X372" s="5"/>
      <c r="Y372" s="5"/>
      <c r="Z372" s="5"/>
      <c r="AA372" s="5"/>
      <c r="AB372" s="5"/>
    </row>
    <row r="373" spans="1:28" ht="12.75" customHeight="1">
      <c r="A373" s="5"/>
      <c r="B373" s="5"/>
      <c r="C373" s="5"/>
      <c r="D373" s="5"/>
      <c r="E373" s="217"/>
      <c r="F373" s="198"/>
      <c r="G373" s="198"/>
      <c r="H373" s="888"/>
      <c r="I373" s="217"/>
      <c r="J373" s="306"/>
      <c r="K373" s="306"/>
      <c r="L373" s="306"/>
      <c r="M373" s="306"/>
      <c r="N373" s="306"/>
      <c r="O373" s="5"/>
      <c r="P373" s="5"/>
      <c r="Q373" s="5"/>
      <c r="R373" s="5"/>
      <c r="S373" s="5"/>
      <c r="T373" s="5"/>
      <c r="U373" s="5"/>
      <c r="V373" s="5"/>
      <c r="W373" s="191"/>
      <c r="X373" s="5"/>
      <c r="Y373" s="5"/>
      <c r="Z373" s="5"/>
      <c r="AA373" s="5"/>
      <c r="AB373" s="5"/>
    </row>
    <row r="374" spans="1:28" ht="12.75" customHeight="1">
      <c r="A374" s="178"/>
      <c r="B374" s="5"/>
      <c r="C374" s="191"/>
      <c r="D374" s="5"/>
      <c r="E374" s="222"/>
      <c r="F374" s="197"/>
      <c r="G374" s="197"/>
      <c r="H374" s="216"/>
      <c r="I374" s="216"/>
      <c r="J374" s="888"/>
      <c r="K374" s="306"/>
      <c r="L374" s="306"/>
      <c r="M374" s="306"/>
      <c r="N374" s="306"/>
      <c r="O374" s="191"/>
      <c r="P374" s="191"/>
      <c r="Q374" s="191"/>
      <c r="R374" s="191"/>
      <c r="S374" s="191"/>
      <c r="T374" s="191"/>
      <c r="U374" s="191"/>
      <c r="V374" s="191"/>
      <c r="W374" s="191"/>
      <c r="X374" s="5"/>
      <c r="Y374" s="5"/>
      <c r="Z374" s="5"/>
      <c r="AA374" s="5"/>
      <c r="AB374" s="5"/>
    </row>
    <row r="375" spans="1:28" ht="12.75" customHeight="1">
      <c r="A375" s="223"/>
      <c r="B375" s="191"/>
      <c r="C375" s="191"/>
      <c r="D375" s="222"/>
      <c r="E375" s="184" t="s">
        <v>1125</v>
      </c>
      <c r="F375" s="216" t="s">
        <v>67</v>
      </c>
      <c r="G375" s="216"/>
      <c r="H375" s="2073" t="s">
        <v>1148</v>
      </c>
      <c r="I375" s="2074"/>
      <c r="J375" s="2074"/>
      <c r="K375" s="2074"/>
      <c r="L375" s="2074"/>
      <c r="M375" s="2071"/>
      <c r="N375" s="306"/>
      <c r="O375" s="191"/>
      <c r="P375" s="191"/>
      <c r="Q375" s="191"/>
      <c r="R375" s="191"/>
      <c r="S375" s="224"/>
      <c r="T375" s="191"/>
      <c r="U375" s="191"/>
      <c r="V375" s="191"/>
      <c r="W375" s="191"/>
      <c r="X375" s="5"/>
      <c r="Y375" s="5"/>
      <c r="Z375" s="5"/>
      <c r="AA375" s="5"/>
      <c r="AB375" s="5"/>
    </row>
    <row r="376" spans="1:28" ht="12.75" customHeight="1">
      <c r="A376" s="191"/>
      <c r="B376" s="191"/>
      <c r="C376" s="225"/>
      <c r="D376" s="226" t="s">
        <v>1149</v>
      </c>
      <c r="E376" s="1474">
        <f>I378</f>
        <v>0.14611059386044123</v>
      </c>
      <c r="F376" s="227">
        <f>L378</f>
        <v>9.7347367279587732E-2</v>
      </c>
      <c r="G376" s="216"/>
      <c r="H376" s="228"/>
      <c r="I376" s="229" t="s">
        <v>1125</v>
      </c>
      <c r="J376" s="229" t="s">
        <v>1126</v>
      </c>
      <c r="K376" s="229" t="s">
        <v>1150</v>
      </c>
      <c r="L376" s="230" t="s">
        <v>67</v>
      </c>
      <c r="M376" s="231" t="s">
        <v>1151</v>
      </c>
      <c r="N376" s="306"/>
      <c r="O376" s="191"/>
      <c r="P376" s="191"/>
      <c r="Q376" s="191"/>
      <c r="R376" s="191"/>
      <c r="S376" s="224"/>
      <c r="T376" s="191"/>
      <c r="U376" s="191"/>
      <c r="V376" s="191"/>
      <c r="W376" s="191"/>
      <c r="X376" s="5"/>
      <c r="Y376" s="5"/>
      <c r="Z376" s="5"/>
      <c r="AA376" s="5"/>
      <c r="AB376" s="5"/>
    </row>
    <row r="377" spans="1:28" ht="12.75" customHeight="1">
      <c r="A377" s="191"/>
      <c r="B377" s="191"/>
      <c r="C377" s="232"/>
      <c r="D377" s="1475" t="s">
        <v>1152</v>
      </c>
      <c r="E377" s="233">
        <f>STDEV($H$335:$H$346)*12^0.5</f>
        <v>0.17623317205274699</v>
      </c>
      <c r="F377" s="233">
        <f>STDEV($M$335:$M$346)*12^0.5</f>
        <v>0.16395975443588701</v>
      </c>
      <c r="G377" s="216"/>
      <c r="H377" s="234" t="s">
        <v>5</v>
      </c>
      <c r="I377" s="342" cm="1">
        <f t="array" ref="I377">(PRODUCT(1+H340:H346)-1)</f>
        <v>0.23201859781472534</v>
      </c>
      <c r="J377" s="218" cm="1">
        <f t="array" ref="J377">(PRODUCT(1+J340:J346)-1)</f>
        <v>0.20637495439239251</v>
      </c>
      <c r="K377" s="1862" cm="1">
        <f t="array" ref="K377">PRODUCT(1+L340:L346)-1</f>
        <v>2.0269843022930445E-2</v>
      </c>
      <c r="L377" s="230">
        <f>0.8*J377+0.2*K377</f>
        <v>0.16915393211850011</v>
      </c>
      <c r="M377" s="230">
        <f>I377-L377</f>
        <v>6.286466569622523E-2</v>
      </c>
      <c r="N377" s="306"/>
      <c r="O377" s="191"/>
      <c r="P377" s="191"/>
      <c r="Q377" s="191"/>
      <c r="R377" s="191"/>
      <c r="S377" s="224"/>
      <c r="T377" s="191"/>
      <c r="U377" s="191"/>
      <c r="V377" s="191"/>
      <c r="W377" s="191"/>
      <c r="X377" s="5"/>
      <c r="Y377" s="5"/>
      <c r="Z377" s="5"/>
      <c r="AA377" s="5"/>
      <c r="AB377" s="5"/>
    </row>
    <row r="378" spans="1:28" ht="12.75" customHeight="1">
      <c r="A378" s="191"/>
      <c r="B378" s="191"/>
      <c r="C378" s="225"/>
      <c r="D378" s="235" t="s">
        <v>1153</v>
      </c>
      <c r="E378" s="611">
        <f>SLOPE($H$335:$H$346,$M$335:$M$346)</f>
        <v>1.0560950675845562</v>
      </c>
      <c r="F378" s="236">
        <v>1</v>
      </c>
      <c r="G378" s="216"/>
      <c r="H378" s="234" t="s">
        <v>1154</v>
      </c>
      <c r="I378" s="342" cm="1">
        <f t="array" ref="I378">PRODUCT(1+H335:H346)-1</f>
        <v>0.14611059386044123</v>
      </c>
      <c r="J378" s="342" cm="1">
        <f t="array" ref="J378">PRODUCT(1+J335:J346)-1</f>
        <v>0.13009059261779399</v>
      </c>
      <c r="K378" s="1863" cm="1">
        <f t="array" ref="K378">PRODUCT(1+L335:L346)-1</f>
        <v>-3.3625534073237318E-2</v>
      </c>
      <c r="L378" s="230">
        <f>0.8*J378+0.2*K378</f>
        <v>9.7347367279587732E-2</v>
      </c>
      <c r="M378" s="230">
        <f>I378-L378</f>
        <v>4.8763226580853497E-2</v>
      </c>
      <c r="N378" s="306"/>
      <c r="O378" s="191"/>
      <c r="P378" s="191"/>
      <c r="Q378" s="191"/>
      <c r="R378" s="191"/>
      <c r="S378" s="224"/>
      <c r="T378" s="191"/>
      <c r="U378" s="191"/>
      <c r="V378" s="191"/>
      <c r="W378" s="191"/>
      <c r="X378" s="5"/>
      <c r="Y378" s="5"/>
      <c r="Z378" s="5"/>
      <c r="AA378" s="5"/>
      <c r="AB378" s="5"/>
    </row>
    <row r="379" spans="1:28" ht="12.75" customHeight="1">
      <c r="A379" s="191"/>
      <c r="B379" s="80"/>
      <c r="C379" s="2075" t="s">
        <v>1155</v>
      </c>
      <c r="D379" s="2071"/>
      <c r="E379" s="233">
        <f>I379</f>
        <v>0.11912087755927092</v>
      </c>
      <c r="F379" s="233">
        <f>L379</f>
        <v>0.10000350026030227</v>
      </c>
      <c r="G379" s="224"/>
      <c r="H379" s="234" t="s">
        <v>1156</v>
      </c>
      <c r="I379" s="342" cm="1">
        <f t="array" ref="I379">(PRODUCT(1+H311:H346))^(1/3)-1</f>
        <v>0.11912087755927092</v>
      </c>
      <c r="J379" s="342" cm="1">
        <f t="array" ref="J379">(PRODUCT(1+J311:J346))^(1/3)-1</f>
        <v>0.13719536959768774</v>
      </c>
      <c r="K379" s="1863" cm="1">
        <f t="array" ref="K379">(PRODUCT(1+L311:L346))^(1/3)-1</f>
        <v>-4.876397708923963E-2</v>
      </c>
      <c r="L379" s="230">
        <f>0.8*J379+0.2*K379</f>
        <v>0.10000350026030227</v>
      </c>
      <c r="M379" s="230">
        <f>I379-L379</f>
        <v>1.9117377298968646E-2</v>
      </c>
      <c r="N379" s="306"/>
      <c r="O379" s="191"/>
      <c r="P379" s="191"/>
      <c r="Q379" s="191"/>
      <c r="R379" s="191"/>
      <c r="S379" s="224"/>
      <c r="T379" s="191"/>
      <c r="U379" s="191"/>
      <c r="V379" s="191"/>
      <c r="W379" s="191"/>
      <c r="X379" s="5"/>
      <c r="Y379" s="5"/>
      <c r="Z379" s="5"/>
      <c r="AA379" s="5"/>
      <c r="AB379" s="5"/>
    </row>
    <row r="380" spans="1:28" ht="12.75" customHeight="1">
      <c r="A380" s="191"/>
      <c r="B380" s="80"/>
      <c r="C380" s="2075" t="s">
        <v>1157</v>
      </c>
      <c r="D380" s="2071"/>
      <c r="E380" s="233">
        <f>STDEV($H$311:$H$346)*12^(1/2)</f>
        <v>0.1657910320127341</v>
      </c>
      <c r="F380" s="233">
        <f>STDEV($M$311:$M$346)*12^(1/2)</f>
        <v>0.15206080479550324</v>
      </c>
      <c r="G380" s="224"/>
      <c r="H380" s="234" t="s">
        <v>75</v>
      </c>
      <c r="I380" s="342" cm="1">
        <f t="array" ref="I380">(PRODUCT(1+H287:H346))^(1/5)-1</f>
        <v>0.12696536787685186</v>
      </c>
      <c r="J380" s="342" cm="1">
        <f t="array" ref="J380">(PRODUCT(1+J287:J346))^(1/5)-1</f>
        <v>0.12201156564935989</v>
      </c>
      <c r="K380" s="342" cm="1">
        <f t="array" ref="K380">(PRODUCT(1+L287:L346))^(1/5)-1</f>
        <v>4.8880393152539447E-3</v>
      </c>
      <c r="L380" s="230">
        <f t="shared" ref="L380:L381" si="81">0.8*J380+0.2*K380</f>
        <v>9.8586860382538707E-2</v>
      </c>
      <c r="M380" s="230">
        <f t="shared" ref="M380:M381" si="82">I380-L380</f>
        <v>2.8378507494313157E-2</v>
      </c>
      <c r="N380" s="306"/>
      <c r="O380" s="191"/>
      <c r="P380" s="191"/>
      <c r="Q380" s="191"/>
      <c r="R380" s="191"/>
      <c r="S380" s="191"/>
      <c r="T380" s="191"/>
      <c r="U380" s="191"/>
      <c r="V380" s="191"/>
      <c r="W380" s="191"/>
      <c r="X380" s="5"/>
      <c r="Y380" s="5"/>
      <c r="Z380" s="5"/>
      <c r="AA380" s="5"/>
      <c r="AB380" s="5"/>
    </row>
    <row r="381" spans="1:28" ht="12.75" customHeight="1">
      <c r="A381" s="191"/>
      <c r="B381" s="80"/>
      <c r="C381" s="237"/>
      <c r="D381" s="237" t="s">
        <v>1158</v>
      </c>
      <c r="E381" s="236">
        <f>SLOPE($H$311:$H$346,$M$311:$M$346)</f>
        <v>1.0699260469474363</v>
      </c>
      <c r="F381" s="236">
        <v>1</v>
      </c>
      <c r="G381" s="224"/>
      <c r="H381" s="234" t="s">
        <v>1159</v>
      </c>
      <c r="I381" s="342" cm="1">
        <f t="array" ref="I381">(PRODUCT(1+H227:H346))^(1/10)-1</f>
        <v>0.11184803374832342</v>
      </c>
      <c r="J381" s="342" cm="1">
        <f t="array" ref="J381">(PRODUCT(1+J227:J346))^(1/10)-1</f>
        <v>0.12664482437067859</v>
      </c>
      <c r="K381" s="342" cm="1">
        <f t="array" ref="K381">(PRODUCT(1+L227:L346))^(1/10)-1</f>
        <v>1.3680539787507051E-2</v>
      </c>
      <c r="L381" s="230">
        <f t="shared" si="81"/>
        <v>0.10405196745404428</v>
      </c>
      <c r="M381" s="230">
        <f t="shared" si="82"/>
        <v>7.7960662942791331E-3</v>
      </c>
      <c r="N381" s="306"/>
      <c r="O381" s="191"/>
      <c r="P381" s="191"/>
      <c r="Q381" s="191"/>
      <c r="R381" s="191"/>
      <c r="S381" s="191"/>
      <c r="T381" s="191"/>
      <c r="U381" s="191"/>
      <c r="V381" s="191"/>
      <c r="W381" s="191"/>
      <c r="X381" s="5"/>
      <c r="Y381" s="5"/>
      <c r="Z381" s="5"/>
      <c r="AA381" s="5"/>
      <c r="AB381" s="5"/>
    </row>
    <row r="382" spans="1:28" ht="12.75" customHeight="1">
      <c r="A382" s="191"/>
      <c r="B382" s="80"/>
      <c r="C382" s="2075" t="s">
        <v>1160</v>
      </c>
      <c r="D382" s="2071"/>
      <c r="E382" s="233">
        <f>I380</f>
        <v>0.12696536787685186</v>
      </c>
      <c r="F382" s="233">
        <f>L380</f>
        <v>9.8586860382538707E-2</v>
      </c>
      <c r="G382" s="224"/>
      <c r="H382" s="216"/>
      <c r="I382" s="222"/>
      <c r="J382" s="306"/>
      <c r="K382" s="306"/>
      <c r="L382" s="306"/>
      <c r="M382" s="306"/>
      <c r="N382" s="306"/>
      <c r="O382" s="191"/>
      <c r="P382" s="191"/>
      <c r="Q382" s="191"/>
      <c r="R382" s="191"/>
      <c r="S382" s="191"/>
      <c r="T382" s="191"/>
      <c r="U382" s="191"/>
      <c r="V382" s="191"/>
      <c r="W382" s="191"/>
      <c r="X382" s="5"/>
      <c r="Y382" s="5"/>
      <c r="Z382" s="5"/>
      <c r="AA382" s="5"/>
      <c r="AB382" s="5"/>
    </row>
    <row r="383" spans="1:28" ht="12.75" customHeight="1">
      <c r="B383" s="80"/>
      <c r="C383" s="2075" t="s">
        <v>1161</v>
      </c>
      <c r="D383" s="2071"/>
      <c r="E383" s="233">
        <f>STDEV($H$287:$H$346)*12^(1/2)</f>
        <v>0.16862469823488307</v>
      </c>
      <c r="F383" s="233">
        <f>STDEV($M$287:$M$346)*12^(1/2)</f>
        <v>0.15488106886781855</v>
      </c>
      <c r="G383" s="224"/>
      <c r="H383" s="2076" t="s">
        <v>5</v>
      </c>
      <c r="I383" s="2077"/>
      <c r="J383" s="306"/>
      <c r="K383" s="306"/>
      <c r="L383" s="306"/>
      <c r="M383" s="306"/>
      <c r="N383" s="306"/>
      <c r="O383" s="191"/>
      <c r="P383" s="191"/>
      <c r="Q383" s="191"/>
      <c r="R383" s="191"/>
      <c r="S383" s="191"/>
      <c r="T383" s="191"/>
      <c r="U383" s="191"/>
      <c r="V383" s="191"/>
      <c r="W383" s="191"/>
      <c r="X383" s="5"/>
      <c r="Y383" s="5"/>
      <c r="Z383" s="5"/>
      <c r="AA383" s="5"/>
      <c r="AB383" s="5"/>
    </row>
    <row r="384" spans="1:28" ht="12.75" customHeight="1">
      <c r="A384" s="191"/>
      <c r="B384" s="80"/>
      <c r="C384" s="237"/>
      <c r="D384" s="238" t="s">
        <v>1162</v>
      </c>
      <c r="E384" s="236">
        <f>SLOPE($H$287:$H$346,$M$287:$M$346)</f>
        <v>1.0726713378452073</v>
      </c>
      <c r="F384" s="236">
        <v>1</v>
      </c>
      <c r="G384" s="224"/>
      <c r="H384" s="80" t="s">
        <v>1125</v>
      </c>
      <c r="I384" s="217" t="s">
        <v>67</v>
      </c>
      <c r="J384" s="191"/>
      <c r="K384" s="224"/>
      <c r="L384" s="224"/>
      <c r="M384" s="224"/>
      <c r="N384" s="224"/>
      <c r="O384" s="191"/>
      <c r="P384" s="191"/>
      <c r="Q384" s="191"/>
      <c r="R384" s="191"/>
      <c r="S384" s="191"/>
      <c r="T384" s="191"/>
      <c r="U384" s="191"/>
      <c r="V384" s="191"/>
      <c r="W384" s="191"/>
      <c r="X384" s="5"/>
      <c r="Y384" s="5"/>
      <c r="Z384" s="5"/>
      <c r="AA384" s="5"/>
      <c r="AB384" s="5"/>
    </row>
    <row r="385" spans="1:28" ht="12.75" customHeight="1">
      <c r="A385" s="191"/>
      <c r="B385" s="80"/>
      <c r="C385" s="887"/>
      <c r="D385" s="1476" t="s">
        <v>1163</v>
      </c>
      <c r="E385" s="239">
        <f>$E$376/$E$378</f>
        <v>0.1383498496916736</v>
      </c>
      <c r="F385" s="233">
        <f>$F$376/$F$378</f>
        <v>9.7347367279587732E-2</v>
      </c>
      <c r="G385" s="224" t="s">
        <v>1164</v>
      </c>
      <c r="H385" s="80">
        <f>I377</f>
        <v>0.23201859781472534</v>
      </c>
      <c r="I385" s="4">
        <f>L377</f>
        <v>0.16915393211850011</v>
      </c>
      <c r="J385" s="612" t="s">
        <v>1165</v>
      </c>
      <c r="K385" s="613"/>
      <c r="L385" s="613"/>
      <c r="M385" s="613"/>
      <c r="N385" s="613"/>
      <c r="O385" s="191"/>
      <c r="P385" s="191"/>
      <c r="Q385" s="191"/>
      <c r="R385" s="191"/>
      <c r="S385" s="191"/>
      <c r="T385" s="191"/>
      <c r="U385" s="191"/>
      <c r="V385" s="191"/>
      <c r="W385" s="191"/>
      <c r="X385" s="5"/>
      <c r="Y385" s="5"/>
      <c r="Z385" s="5"/>
      <c r="AA385" s="5"/>
      <c r="AB385" s="5"/>
    </row>
    <row r="386" spans="1:28" ht="12.75" customHeight="1">
      <c r="A386" s="191"/>
      <c r="B386" s="80"/>
      <c r="C386" s="887"/>
      <c r="D386" s="1476" t="s">
        <v>1166</v>
      </c>
      <c r="E386" s="239">
        <f>$E$379/$E$381</f>
        <v>0.11133561791408854</v>
      </c>
      <c r="F386" s="233">
        <f>$F$379/$F$381</f>
        <v>0.10000350026030227</v>
      </c>
      <c r="G386" s="224" t="s">
        <v>1167</v>
      </c>
      <c r="H386" s="80">
        <f>STDEV($H$340:H346)*7^0.5</f>
        <v>6.5163665717120053E-2</v>
      </c>
      <c r="I386" s="4">
        <f>STDEV($M$340:M346)*7^0.5</f>
        <v>7.5877068224683902E-2</v>
      </c>
      <c r="J386" s="191"/>
      <c r="K386" s="224"/>
      <c r="L386" s="224"/>
      <c r="M386" s="224"/>
      <c r="N386" s="224"/>
      <c r="O386" s="191"/>
      <c r="P386" s="191"/>
      <c r="Q386" s="191"/>
      <c r="R386" s="191"/>
      <c r="S386" s="191"/>
      <c r="T386" s="191"/>
      <c r="U386" s="191"/>
      <c r="V386" s="191"/>
      <c r="W386" s="191"/>
      <c r="X386" s="5"/>
      <c r="Y386" s="5"/>
      <c r="Z386" s="5"/>
      <c r="AA386" s="5"/>
      <c r="AB386" s="5"/>
    </row>
    <row r="387" spans="1:28" ht="12.75" customHeight="1">
      <c r="A387" s="191"/>
      <c r="B387" s="80"/>
      <c r="C387" s="887"/>
      <c r="D387" s="1476" t="s">
        <v>1168</v>
      </c>
      <c r="E387" s="239">
        <f>$E$382/$E$384</f>
        <v>0.11836371812814644</v>
      </c>
      <c r="F387" s="233">
        <f>$F$382/$F$384</f>
        <v>9.8586860382538707E-2</v>
      </c>
      <c r="G387" s="224" t="s">
        <v>1169</v>
      </c>
      <c r="H387" s="1749">
        <f>SLOPE($H$340:H$346,$M$340:$M$346)</f>
        <v>0.81296247049412063</v>
      </c>
      <c r="I387" s="217">
        <v>1</v>
      </c>
      <c r="J387" s="191"/>
      <c r="K387" s="224"/>
      <c r="L387" s="224"/>
      <c r="M387" s="224"/>
      <c r="N387" s="224"/>
      <c r="O387" s="191"/>
      <c r="P387" s="191"/>
      <c r="Q387" s="191"/>
      <c r="R387" s="191"/>
      <c r="S387" s="191"/>
      <c r="T387" s="191"/>
      <c r="U387" s="191"/>
      <c r="V387" s="191"/>
      <c r="W387" s="191"/>
      <c r="X387" s="5"/>
      <c r="Y387" s="5"/>
      <c r="Z387" s="5"/>
      <c r="AA387" s="5"/>
      <c r="AB387" s="5"/>
    </row>
    <row r="388" spans="1:28" ht="12.75" customHeight="1">
      <c r="A388" s="191"/>
      <c r="B388" s="80"/>
      <c r="C388" s="2075" t="s">
        <v>1170</v>
      </c>
      <c r="D388" s="2071"/>
      <c r="E388" s="240">
        <f>$E$376/$E$377</f>
        <v>0.82907543545042695</v>
      </c>
      <c r="F388" s="236">
        <f>$F$376/$F$377</f>
        <v>0.59372720832936698</v>
      </c>
      <c r="G388" s="224"/>
      <c r="H388" s="80"/>
      <c r="I388" s="217"/>
      <c r="J388" s="191"/>
      <c r="K388" s="224"/>
      <c r="L388" s="224"/>
      <c r="M388" s="224"/>
      <c r="N388" s="224"/>
      <c r="O388" s="191"/>
      <c r="P388" s="191"/>
      <c r="Q388" s="191"/>
      <c r="R388" s="191"/>
      <c r="S388" s="191"/>
      <c r="T388" s="191"/>
      <c r="U388" s="191"/>
      <c r="V388" s="191"/>
      <c r="W388" s="5"/>
      <c r="X388" s="5"/>
      <c r="Y388" s="5"/>
      <c r="Z388" s="5"/>
      <c r="AA388" s="5"/>
      <c r="AB388" s="5"/>
    </row>
    <row r="389" spans="1:28" ht="12.75" customHeight="1">
      <c r="A389" s="191"/>
      <c r="B389" s="80"/>
      <c r="C389" s="2075" t="s">
        <v>1171</v>
      </c>
      <c r="D389" s="2071"/>
      <c r="E389" s="236">
        <f>$E$379/$E$380</f>
        <v>0.71850012701604671</v>
      </c>
      <c r="F389" s="236">
        <f>$F$379/$F$380</f>
        <v>0.65765468224892354</v>
      </c>
      <c r="G389" s="191" t="s">
        <v>1172</v>
      </c>
      <c r="H389" s="1749">
        <f>H385/H386</f>
        <v>3.5605516549964209</v>
      </c>
      <c r="I389" s="217">
        <f>I385/I386</f>
        <v>2.2293156032018628</v>
      </c>
      <c r="J389" s="306"/>
      <c r="K389" s="306"/>
      <c r="L389" s="306"/>
      <c r="M389" s="306"/>
      <c r="N389" s="306"/>
      <c r="O389" s="191"/>
      <c r="P389" s="191"/>
      <c r="Q389" s="191"/>
      <c r="R389" s="191"/>
      <c r="S389" s="191"/>
      <c r="T389" s="191"/>
      <c r="U389" s="191"/>
      <c r="V389" s="191"/>
      <c r="W389" s="5"/>
      <c r="X389" s="5"/>
      <c r="Y389" s="5"/>
      <c r="Z389" s="5"/>
      <c r="AA389" s="5"/>
      <c r="AB389" s="5"/>
    </row>
    <row r="390" spans="1:28" ht="12.75" customHeight="1">
      <c r="A390" s="191"/>
      <c r="B390" s="80"/>
      <c r="C390" s="2075" t="s">
        <v>1173</v>
      </c>
      <c r="D390" s="2071"/>
      <c r="E390" s="236">
        <f>$E$382/$E$383</f>
        <v>0.75294644975433844</v>
      </c>
      <c r="F390" s="236">
        <f>$F$382/$F$383</f>
        <v>0.63653267054010665</v>
      </c>
      <c r="G390" s="191" t="s">
        <v>1174</v>
      </c>
      <c r="H390" s="80">
        <f>H385/H387</f>
        <v>0.28539890368334453</v>
      </c>
      <c r="I390" s="4">
        <f>I385/I387</f>
        <v>0.16915393211850011</v>
      </c>
      <c r="J390" s="306"/>
      <c r="K390" s="306"/>
      <c r="L390" s="306"/>
      <c r="M390" s="306"/>
      <c r="N390" s="306"/>
      <c r="O390" s="191"/>
      <c r="P390" s="191"/>
      <c r="Q390" s="191"/>
      <c r="R390" s="191"/>
      <c r="S390" s="191"/>
      <c r="T390" s="191"/>
      <c r="U390" s="191"/>
      <c r="V390" s="191"/>
      <c r="W390" s="5"/>
      <c r="X390" s="5"/>
      <c r="Y390" s="5"/>
      <c r="Z390" s="5"/>
      <c r="AA390" s="5"/>
      <c r="AB390" s="5"/>
    </row>
    <row r="391" spans="1:28" ht="12.75" customHeight="1">
      <c r="A391" s="191"/>
      <c r="B391" s="80"/>
      <c r="C391" s="887"/>
      <c r="D391" s="235" t="s">
        <v>1175</v>
      </c>
      <c r="E391" s="233">
        <f>INTERCEPT(H335:H346,M335:M346)</f>
        <v>3.3457406562053121E-3</v>
      </c>
      <c r="F391" s="233">
        <v>0</v>
      </c>
      <c r="G391" s="191"/>
      <c r="H391" s="80"/>
      <c r="I391" s="222"/>
      <c r="J391" s="306"/>
      <c r="K391" s="306"/>
      <c r="L391" s="306"/>
      <c r="M391" s="306"/>
      <c r="N391" s="306"/>
      <c r="O391" s="191"/>
      <c r="P391" s="191"/>
      <c r="Q391" s="191"/>
      <c r="R391" s="191"/>
      <c r="S391" s="191"/>
      <c r="T391" s="191"/>
      <c r="U391" s="191"/>
      <c r="V391" s="191"/>
      <c r="W391" s="5"/>
      <c r="X391" s="5"/>
      <c r="Y391" s="5"/>
      <c r="Z391" s="5"/>
      <c r="AA391" s="5"/>
      <c r="AB391" s="5"/>
    </row>
    <row r="392" spans="1:28" ht="12.75" customHeight="1">
      <c r="A392" s="191"/>
      <c r="B392" s="80"/>
      <c r="C392" s="887"/>
      <c r="D392" s="235" t="s">
        <v>1176</v>
      </c>
      <c r="E392" s="233">
        <f>INTERCEPT(H311:H346,M311:M346)</f>
        <v>1.052075030666854E-3</v>
      </c>
      <c r="F392" s="233">
        <v>0</v>
      </c>
      <c r="G392" s="191"/>
      <c r="H392" s="80"/>
      <c r="I392" s="222"/>
      <c r="J392" s="306"/>
      <c r="K392" s="306"/>
      <c r="L392" s="306"/>
      <c r="M392" s="306"/>
      <c r="N392" s="306"/>
      <c r="O392" s="191"/>
      <c r="P392" s="191"/>
      <c r="Q392" s="191"/>
      <c r="R392" s="191"/>
      <c r="S392" s="191"/>
      <c r="T392" s="191"/>
      <c r="U392" s="191"/>
      <c r="V392" s="191"/>
      <c r="W392" s="5"/>
      <c r="X392" s="5"/>
      <c r="Y392" s="5"/>
      <c r="Z392" s="5"/>
      <c r="AA392" s="5"/>
      <c r="AB392" s="5"/>
    </row>
    <row r="393" spans="1:28" ht="12.75" customHeight="1">
      <c r="A393" s="191"/>
      <c r="B393" s="80"/>
      <c r="C393" s="242"/>
      <c r="D393" s="1477" t="s">
        <v>1177</v>
      </c>
      <c r="E393" s="1478">
        <f>INTERCEPT(H284:H343,M284:M343)</f>
        <v>1.2543152589914591E-3</v>
      </c>
      <c r="F393" s="233">
        <v>0</v>
      </c>
      <c r="G393" s="191"/>
      <c r="H393" s="80"/>
      <c r="I393" s="222"/>
      <c r="J393" s="306"/>
      <c r="K393" s="306"/>
      <c r="L393" s="306"/>
      <c r="M393" s="306"/>
      <c r="N393" s="306"/>
      <c r="O393" s="191"/>
      <c r="P393" s="191"/>
      <c r="Q393" s="191"/>
      <c r="R393" s="191"/>
      <c r="S393" s="191"/>
      <c r="T393" s="191"/>
      <c r="U393" s="191"/>
      <c r="V393" s="191"/>
      <c r="W393" s="5"/>
      <c r="X393" s="5"/>
      <c r="Y393" s="5"/>
      <c r="Z393" s="5"/>
      <c r="AA393" s="5"/>
      <c r="AB393" s="5"/>
    </row>
    <row r="394" spans="1:28" ht="12.75" customHeight="1">
      <c r="A394" s="191"/>
      <c r="B394" s="80"/>
      <c r="C394" s="191"/>
      <c r="D394" s="191"/>
      <c r="E394" s="222"/>
      <c r="F394" s="197"/>
      <c r="G394" s="197"/>
      <c r="H394" s="80"/>
      <c r="I394" s="197"/>
      <c r="J394" s="886" t="s">
        <v>1178</v>
      </c>
      <c r="K394" s="243"/>
      <c r="L394" s="243"/>
      <c r="M394" s="243"/>
      <c r="N394" s="243"/>
      <c r="O394" s="191"/>
      <c r="P394" s="191"/>
      <c r="Q394" s="191"/>
      <c r="R394" s="191"/>
      <c r="S394" s="191"/>
      <c r="T394" s="191"/>
      <c r="U394" s="191"/>
      <c r="V394" s="191"/>
      <c r="W394" s="5"/>
      <c r="X394" s="5"/>
      <c r="Y394" s="5"/>
      <c r="Z394" s="5"/>
      <c r="AA394" s="5"/>
      <c r="AB394" s="5"/>
    </row>
    <row r="395" spans="1:28" ht="12.75" customHeight="1">
      <c r="A395" s="191"/>
      <c r="B395" s="191"/>
      <c r="C395" s="191"/>
      <c r="D395" s="5"/>
      <c r="E395" s="222"/>
      <c r="F395" s="197"/>
      <c r="G395" s="197"/>
      <c r="H395" s="80"/>
      <c r="I395" s="222"/>
      <c r="J395" s="244" t="s">
        <v>1143</v>
      </c>
      <c r="K395" s="233" t="s">
        <v>1125</v>
      </c>
      <c r="L395" s="233" t="s">
        <v>1179</v>
      </c>
      <c r="M395" s="233"/>
      <c r="N395" s="1572" t="s">
        <v>1126</v>
      </c>
      <c r="O395" s="1573" t="s">
        <v>1151</v>
      </c>
      <c r="P395" s="191"/>
      <c r="Q395" s="191"/>
      <c r="R395" s="191"/>
      <c r="S395" s="191"/>
      <c r="T395" s="191"/>
      <c r="U395" s="191"/>
      <c r="V395" s="191"/>
      <c r="W395" s="5"/>
      <c r="X395" s="5"/>
      <c r="Y395" s="5"/>
      <c r="Z395" s="5"/>
      <c r="AA395" s="5"/>
      <c r="AB395" s="5"/>
    </row>
    <row r="396" spans="1:28" ht="12.75" customHeight="1">
      <c r="A396" s="5"/>
      <c r="B396" s="245"/>
      <c r="C396" s="2078"/>
      <c r="D396" s="2078"/>
      <c r="E396" s="2078"/>
      <c r="F396" s="2078"/>
      <c r="G396" s="197"/>
      <c r="H396" s="80"/>
      <c r="I396" s="193"/>
      <c r="J396" s="1543">
        <v>1995</v>
      </c>
      <c r="K396" s="1479">
        <v>0.35809999999999997</v>
      </c>
      <c r="L396" s="1480"/>
      <c r="M396" s="1480"/>
      <c r="N396" s="1544">
        <v>0.33950000000000002</v>
      </c>
      <c r="O396" s="1545">
        <f>K396-N396</f>
        <v>1.859999999999995E-2</v>
      </c>
      <c r="P396" s="191"/>
      <c r="Q396" s="191"/>
      <c r="R396" s="191"/>
      <c r="S396" s="191"/>
      <c r="T396" s="191"/>
      <c r="U396" s="191"/>
      <c r="V396" s="191"/>
      <c r="W396" s="5"/>
      <c r="X396" s="5"/>
      <c r="Y396" s="5"/>
      <c r="Z396" s="5"/>
      <c r="AA396" s="5"/>
      <c r="AB396" s="5"/>
    </row>
    <row r="397" spans="1:28" ht="12.75" customHeight="1">
      <c r="A397" s="5"/>
      <c r="B397" s="60" t="s">
        <v>1248</v>
      </c>
      <c r="C397" s="2079" t="s">
        <v>1185</v>
      </c>
      <c r="D397" s="2079"/>
      <c r="E397" s="2079"/>
      <c r="F397" s="431"/>
      <c r="G397" s="197"/>
      <c r="H397" s="216"/>
      <c r="I397" s="193"/>
      <c r="J397" s="1543">
        <v>1996</v>
      </c>
      <c r="K397" s="1479">
        <f>I27</f>
        <v>0.27724979276408734</v>
      </c>
      <c r="L397" s="1479"/>
      <c r="M397" s="1481"/>
      <c r="N397" s="1546">
        <f>K27</f>
        <v>0.23074179747587165</v>
      </c>
      <c r="O397" s="1545">
        <f t="shared" ref="O397:O410" si="83">K397-N397</f>
        <v>4.6507995288215698E-2</v>
      </c>
      <c r="P397" s="224"/>
      <c r="Q397" s="224"/>
      <c r="R397" s="191"/>
      <c r="S397" s="191"/>
      <c r="T397" s="191"/>
      <c r="U397" s="191"/>
      <c r="V397" s="191"/>
      <c r="W397" s="5"/>
      <c r="X397" s="5"/>
      <c r="Y397" s="5"/>
      <c r="Z397" s="5"/>
      <c r="AA397" s="5"/>
      <c r="AB397" s="5"/>
    </row>
    <row r="398" spans="1:28" ht="12.75" customHeight="1">
      <c r="A398" s="5"/>
      <c r="C398" t="s">
        <v>1249</v>
      </c>
      <c r="F398" s="197"/>
      <c r="G398" s="197"/>
      <c r="H398" s="216"/>
      <c r="I398" s="193"/>
      <c r="J398" s="1547">
        <v>1997</v>
      </c>
      <c r="K398" s="1548">
        <f>I39</f>
        <v>0.29719454365659281</v>
      </c>
      <c r="L398" s="1548"/>
      <c r="M398" s="1483"/>
      <c r="N398" s="1549">
        <f>K39</f>
        <v>0.33366191289193314</v>
      </c>
      <c r="O398" s="1550">
        <f t="shared" si="83"/>
        <v>-3.646736923534033E-2</v>
      </c>
      <c r="P398" s="224"/>
      <c r="Q398" s="224"/>
      <c r="R398" s="191"/>
      <c r="S398" s="191"/>
      <c r="T398" s="191"/>
      <c r="U398" s="191"/>
      <c r="V398" s="191"/>
      <c r="W398" s="5"/>
      <c r="X398" s="5"/>
      <c r="Y398" s="5"/>
      <c r="Z398" s="5"/>
      <c r="AA398" s="5"/>
      <c r="AB398" s="5"/>
    </row>
    <row r="399" spans="1:28" ht="12.75" customHeight="1">
      <c r="A399" s="191"/>
      <c r="B399" s="191"/>
      <c r="C399" s="191"/>
      <c r="D399" s="191"/>
      <c r="E399" s="222"/>
      <c r="F399" s="197"/>
      <c r="G399" s="197"/>
      <c r="H399" s="216"/>
      <c r="I399" s="193"/>
      <c r="J399" s="1543">
        <v>1998</v>
      </c>
      <c r="K399" s="1479">
        <f>I51</f>
        <v>0.30594938264496352</v>
      </c>
      <c r="L399" s="1479"/>
      <c r="M399" s="1481"/>
      <c r="N399" s="1546">
        <f>K51</f>
        <v>0.28579271892508329</v>
      </c>
      <c r="O399" s="1545">
        <f t="shared" si="83"/>
        <v>2.015666371988023E-2</v>
      </c>
      <c r="P399" s="224"/>
      <c r="Q399" s="224"/>
      <c r="R399" s="191"/>
      <c r="S399" s="191"/>
      <c r="T399" s="191"/>
      <c r="U399" s="191"/>
      <c r="V399" s="191"/>
      <c r="W399" s="5"/>
      <c r="X399" s="5"/>
      <c r="Y399" s="5"/>
      <c r="Z399" s="5"/>
      <c r="AA399" s="5"/>
      <c r="AB399" s="5"/>
    </row>
    <row r="400" spans="1:28" ht="12.75" customHeight="1">
      <c r="A400" s="191"/>
      <c r="B400" s="191"/>
      <c r="C400" s="191"/>
      <c r="D400" s="191"/>
      <c r="E400" s="222"/>
      <c r="F400" s="197"/>
      <c r="G400" s="197"/>
      <c r="H400" s="216"/>
      <c r="I400" s="193"/>
      <c r="J400" s="1543">
        <v>1999</v>
      </c>
      <c r="K400" s="1479">
        <f>I63</f>
        <v>0.22942548943246011</v>
      </c>
      <c r="L400" s="1479"/>
      <c r="M400" s="1481"/>
      <c r="N400" s="1546">
        <f>K63</f>
        <v>0.21032753399941595</v>
      </c>
      <c r="O400" s="1545">
        <f t="shared" si="83"/>
        <v>1.9097955433044156E-2</v>
      </c>
      <c r="P400" s="224"/>
      <c r="Q400" s="224"/>
      <c r="R400" s="191"/>
      <c r="S400" s="191"/>
      <c r="T400" s="191"/>
      <c r="U400" s="191"/>
      <c r="V400" s="191"/>
      <c r="W400" s="5"/>
      <c r="X400" s="5"/>
      <c r="Y400" s="5"/>
      <c r="Z400" s="5"/>
      <c r="AA400" s="5"/>
      <c r="AB400" s="5"/>
    </row>
    <row r="401" spans="1:28" ht="12.75" customHeight="1">
      <c r="A401" s="191"/>
      <c r="B401" s="191"/>
      <c r="C401" s="191"/>
      <c r="D401" s="191"/>
      <c r="E401" s="222"/>
      <c r="F401" s="197"/>
      <c r="G401" s="197"/>
      <c r="H401" s="216"/>
      <c r="I401" s="193"/>
      <c r="J401" s="1547">
        <v>2000</v>
      </c>
      <c r="K401" s="1548">
        <f>I75</f>
        <v>-9.8124690802261161E-2</v>
      </c>
      <c r="L401" s="1548"/>
      <c r="M401" s="1483"/>
      <c r="N401" s="1549">
        <f>K75</f>
        <v>-9.0962039465540934E-2</v>
      </c>
      <c r="O401" s="1550">
        <f t="shared" si="83"/>
        <v>-7.1626513367202271E-3</v>
      </c>
      <c r="P401" s="224"/>
      <c r="Q401" s="224"/>
      <c r="R401" s="191"/>
      <c r="S401" s="191"/>
      <c r="T401" s="191"/>
      <c r="U401" s="191"/>
      <c r="V401" s="191"/>
      <c r="W401" s="5"/>
      <c r="X401" s="5"/>
      <c r="Y401" s="5"/>
      <c r="Z401" s="5"/>
      <c r="AA401" s="5"/>
      <c r="AB401" s="5"/>
    </row>
    <row r="402" spans="1:28" ht="12.75" customHeight="1">
      <c r="A402" s="191"/>
      <c r="B402" s="191"/>
      <c r="C402" s="191"/>
      <c r="D402" s="191"/>
      <c r="E402" s="222"/>
      <c r="F402" s="197"/>
      <c r="G402" s="197"/>
      <c r="H402" s="216"/>
      <c r="I402" s="193"/>
      <c r="J402" s="1547">
        <v>2001</v>
      </c>
      <c r="K402" s="1548">
        <f>I87</f>
        <v>-0.20181310094155869</v>
      </c>
      <c r="L402" s="1548"/>
      <c r="M402" s="1483"/>
      <c r="N402" s="1549">
        <f>K87</f>
        <v>-0.11882674619079403</v>
      </c>
      <c r="O402" s="1550">
        <f t="shared" si="83"/>
        <v>-8.2986354750764657E-2</v>
      </c>
      <c r="P402" s="224"/>
      <c r="Q402" s="224"/>
      <c r="R402" s="191"/>
      <c r="S402" s="191"/>
      <c r="T402" s="191"/>
      <c r="U402" s="191"/>
      <c r="V402" s="191"/>
      <c r="W402" s="5"/>
      <c r="X402" s="5"/>
      <c r="Y402" s="5"/>
      <c r="Z402" s="5"/>
      <c r="AA402" s="5"/>
      <c r="AB402" s="5"/>
    </row>
    <row r="403" spans="1:28" ht="12.75" customHeight="1">
      <c r="A403" s="191"/>
      <c r="B403" s="191"/>
      <c r="C403" s="191"/>
      <c r="D403" s="191"/>
      <c r="E403" s="222"/>
      <c r="F403" s="197"/>
      <c r="G403" s="197"/>
      <c r="H403" s="216"/>
      <c r="I403" s="193"/>
      <c r="J403" s="1543">
        <v>2002</v>
      </c>
      <c r="K403" s="1479">
        <f>I99</f>
        <v>-0.2092676428161776</v>
      </c>
      <c r="L403" s="1479"/>
      <c r="M403" s="1481"/>
      <c r="N403" s="1546">
        <f>K99</f>
        <v>-0.22106136431514034</v>
      </c>
      <c r="O403" s="1545">
        <f t="shared" si="83"/>
        <v>1.1793721498962739E-2</v>
      </c>
      <c r="P403" s="224"/>
      <c r="Q403" s="224"/>
      <c r="R403" s="191"/>
      <c r="S403" s="191"/>
      <c r="T403" s="191"/>
      <c r="U403" s="191"/>
      <c r="V403" s="191"/>
      <c r="W403" s="5"/>
      <c r="X403" s="5"/>
      <c r="Y403" s="5"/>
      <c r="Z403" s="5"/>
      <c r="AA403" s="5"/>
      <c r="AB403" s="5"/>
    </row>
    <row r="404" spans="1:28" ht="12.75" customHeight="1">
      <c r="A404" s="191"/>
      <c r="B404" s="191"/>
      <c r="C404" s="191"/>
      <c r="D404" s="191"/>
      <c r="E404" s="222"/>
      <c r="F404" s="197"/>
      <c r="G404" s="197"/>
      <c r="H404" s="216"/>
      <c r="I404" s="193"/>
      <c r="J404" s="1547">
        <v>2003</v>
      </c>
      <c r="K404" s="1548">
        <f>I111</f>
        <v>0.23563319515884573</v>
      </c>
      <c r="L404" s="1548"/>
      <c r="M404" s="1483"/>
      <c r="N404" s="1549">
        <f>K111</f>
        <v>0.28690713854758698</v>
      </c>
      <c r="O404" s="1550">
        <f t="shared" si="83"/>
        <v>-5.127394338874125E-2</v>
      </c>
      <c r="P404" s="224"/>
      <c r="Q404" s="224"/>
      <c r="R404" s="191"/>
      <c r="S404" s="191"/>
      <c r="T404" s="191"/>
      <c r="U404" s="191"/>
      <c r="V404" s="191"/>
      <c r="W404" s="5"/>
      <c r="X404" s="5"/>
      <c r="Y404" s="5"/>
      <c r="Z404" s="5"/>
      <c r="AA404" s="5"/>
      <c r="AB404" s="5"/>
    </row>
    <row r="405" spans="1:28" ht="12.75" customHeight="1">
      <c r="A405" s="191"/>
      <c r="B405" s="191"/>
      <c r="C405" s="191"/>
      <c r="D405" s="191"/>
      <c r="E405" s="222"/>
      <c r="F405" s="197"/>
      <c r="G405" s="197"/>
      <c r="H405" s="216"/>
      <c r="I405" s="193"/>
      <c r="J405" s="1543">
        <v>2004</v>
      </c>
      <c r="K405" s="1479">
        <f>I123</f>
        <v>0.14017459246854735</v>
      </c>
      <c r="L405" s="1479"/>
      <c r="M405" s="1481"/>
      <c r="N405" s="1546">
        <f>K123</f>
        <v>0.10872726569574942</v>
      </c>
      <c r="O405" s="1545">
        <f t="shared" si="83"/>
        <v>3.1447326772797934E-2</v>
      </c>
      <c r="P405" s="224"/>
      <c r="Q405" s="224"/>
      <c r="R405" s="191"/>
      <c r="S405" s="191"/>
      <c r="T405" s="191"/>
      <c r="U405" s="191"/>
      <c r="V405" s="191"/>
      <c r="W405" s="5"/>
      <c r="X405" s="5"/>
      <c r="Y405" s="5"/>
      <c r="Z405" s="5"/>
      <c r="AA405" s="5"/>
      <c r="AB405" s="5"/>
    </row>
    <row r="406" spans="1:28" ht="12.75" customHeight="1">
      <c r="A406" s="191"/>
      <c r="B406" s="191"/>
      <c r="C406" s="191"/>
      <c r="D406" s="191"/>
      <c r="E406" s="222"/>
      <c r="F406" s="197"/>
      <c r="G406" s="197"/>
      <c r="H406" s="216"/>
      <c r="I406" s="193"/>
      <c r="J406" s="1547">
        <v>2005</v>
      </c>
      <c r="K406" s="1548">
        <f>I135</f>
        <v>-6.337375497706621E-2</v>
      </c>
      <c r="L406" s="1548"/>
      <c r="M406" s="1483"/>
      <c r="N406" s="1549">
        <f>K135</f>
        <v>4.891361186090859E-2</v>
      </c>
      <c r="O406" s="1550">
        <f t="shared" si="83"/>
        <v>-0.1122873668379748</v>
      </c>
      <c r="P406" s="224"/>
      <c r="Q406" s="224"/>
      <c r="R406" s="191"/>
      <c r="S406" s="191"/>
      <c r="T406" s="191"/>
      <c r="U406" s="191"/>
      <c r="V406" s="191"/>
      <c r="W406" s="5"/>
      <c r="X406" s="5"/>
      <c r="Y406" s="5"/>
      <c r="Z406" s="5"/>
      <c r="AA406" s="5"/>
      <c r="AB406" s="5"/>
    </row>
    <row r="407" spans="1:28" ht="12.75" customHeight="1">
      <c r="A407" s="191"/>
      <c r="B407" s="191"/>
      <c r="C407" s="191"/>
      <c r="D407" s="191"/>
      <c r="E407" s="222"/>
      <c r="F407" s="197"/>
      <c r="G407" s="197"/>
      <c r="H407" s="216"/>
      <c r="I407" s="193"/>
      <c r="J407" s="1551">
        <v>2006</v>
      </c>
      <c r="K407" s="1549">
        <v>-2.46E-2</v>
      </c>
      <c r="L407" s="1549"/>
      <c r="M407" s="1484"/>
      <c r="N407" s="1549">
        <v>0.13619999999999999</v>
      </c>
      <c r="O407" s="1550">
        <f t="shared" si="83"/>
        <v>-0.1608</v>
      </c>
      <c r="P407" s="224"/>
      <c r="Q407" s="224"/>
      <c r="R407" s="191"/>
      <c r="S407" s="191"/>
      <c r="T407" s="191"/>
      <c r="U407" s="191"/>
      <c r="V407" s="191"/>
      <c r="W407" s="5"/>
      <c r="X407" s="5"/>
      <c r="Y407" s="5"/>
      <c r="Z407" s="5"/>
      <c r="AA407" s="5"/>
      <c r="AB407" s="5"/>
    </row>
    <row r="408" spans="1:28" ht="12.75" customHeight="1">
      <c r="A408" s="191"/>
      <c r="B408" s="191"/>
      <c r="C408" s="191"/>
      <c r="D408" s="191"/>
      <c r="E408" s="222"/>
      <c r="F408" s="197"/>
      <c r="G408" s="197"/>
      <c r="H408" s="216"/>
      <c r="I408" s="193"/>
      <c r="J408" s="1552">
        <v>2007</v>
      </c>
      <c r="K408" s="1546">
        <v>5.7700000000000001E-2</v>
      </c>
      <c r="L408" s="1553"/>
      <c r="M408" s="1485"/>
      <c r="N408" s="1553">
        <v>5.4899999999999997E-2</v>
      </c>
      <c r="O408" s="1545">
        <f t="shared" si="83"/>
        <v>2.8000000000000039E-3</v>
      </c>
      <c r="P408" s="224"/>
      <c r="Q408" s="224"/>
      <c r="R408" s="191"/>
      <c r="S408" s="191"/>
      <c r="T408" s="191"/>
      <c r="U408" s="191"/>
      <c r="V408" s="191"/>
      <c r="W408" s="5"/>
      <c r="X408" s="5"/>
      <c r="Y408" s="5"/>
      <c r="Z408" s="5"/>
      <c r="AA408" s="5"/>
      <c r="AB408" s="5"/>
    </row>
    <row r="409" spans="1:28" ht="12.75" customHeight="1">
      <c r="A409" s="191"/>
      <c r="B409" s="191"/>
      <c r="C409" s="191"/>
      <c r="D409" s="191"/>
      <c r="E409" s="222"/>
      <c r="F409" s="197"/>
      <c r="G409" s="197"/>
      <c r="H409" s="216"/>
      <c r="I409" s="193"/>
      <c r="J409" s="1551">
        <v>2008</v>
      </c>
      <c r="K409" s="1549">
        <v>-0.40639999999999998</v>
      </c>
      <c r="L409" s="1549"/>
      <c r="M409" s="1484"/>
      <c r="N409" s="1549">
        <v>-0.37</v>
      </c>
      <c r="O409" s="1550">
        <f t="shared" si="83"/>
        <v>-3.6399999999999988E-2</v>
      </c>
      <c r="P409" s="224"/>
      <c r="Q409" s="224"/>
      <c r="R409" s="191"/>
      <c r="S409" s="191"/>
      <c r="T409" s="191"/>
      <c r="U409" s="191"/>
      <c r="V409" s="191"/>
      <c r="W409" s="5"/>
      <c r="X409" s="5"/>
      <c r="Y409" s="5"/>
      <c r="Z409" s="5"/>
      <c r="AA409" s="5"/>
      <c r="AB409" s="5"/>
    </row>
    <row r="410" spans="1:28" ht="12.75" customHeight="1">
      <c r="A410" s="191"/>
      <c r="B410" s="191"/>
      <c r="C410" s="191"/>
      <c r="D410" s="191"/>
      <c r="E410" s="222"/>
      <c r="F410" s="197"/>
      <c r="G410" s="197"/>
      <c r="H410" s="216"/>
      <c r="I410" s="193"/>
      <c r="J410" s="1551">
        <v>2009</v>
      </c>
      <c r="K410" s="1549">
        <v>0.25729999999999997</v>
      </c>
      <c r="L410" s="1549"/>
      <c r="M410" s="1484"/>
      <c r="N410" s="1549">
        <v>0.2646</v>
      </c>
      <c r="O410" s="1550">
        <f t="shared" si="83"/>
        <v>-7.3000000000000287E-3</v>
      </c>
      <c r="P410" s="224"/>
      <c r="Q410" s="224"/>
      <c r="R410" s="191"/>
      <c r="S410" s="191"/>
      <c r="T410" s="191"/>
      <c r="U410" s="191"/>
      <c r="V410" s="191"/>
      <c r="W410" s="5"/>
      <c r="X410" s="5"/>
      <c r="Y410" s="5"/>
      <c r="Z410" s="5"/>
      <c r="AA410" s="5"/>
      <c r="AB410" s="5"/>
    </row>
    <row r="411" spans="1:28" ht="12.75" customHeight="1">
      <c r="A411" s="191"/>
      <c r="B411" s="191"/>
      <c r="C411" s="191"/>
      <c r="D411" s="191"/>
      <c r="E411" s="222"/>
      <c r="F411" s="197"/>
      <c r="G411" s="197"/>
      <c r="H411" s="216"/>
      <c r="I411" s="193"/>
      <c r="J411" s="1552">
        <v>2010</v>
      </c>
      <c r="K411" s="1546">
        <v>0.18559999999999999</v>
      </c>
      <c r="L411" s="1546">
        <v>6.54E-2</v>
      </c>
      <c r="M411" s="1482"/>
      <c r="N411" s="1546">
        <v>0.15060000000000001</v>
      </c>
      <c r="O411" s="1545">
        <f>K411-(0.2*L411+0.8*N411)</f>
        <v>5.2039999999999975E-2</v>
      </c>
      <c r="P411" s="224"/>
      <c r="Q411" s="224"/>
      <c r="R411" s="191"/>
      <c r="S411" s="191"/>
      <c r="T411" s="191"/>
      <c r="U411" s="191"/>
      <c r="V411" s="191"/>
      <c r="W411" s="5"/>
      <c r="X411" s="5"/>
      <c r="Y411" s="5"/>
      <c r="Z411" s="5"/>
      <c r="AA411" s="5"/>
      <c r="AB411" s="5"/>
    </row>
    <row r="412" spans="1:28" ht="12.75" customHeight="1">
      <c r="A412" s="191"/>
      <c r="B412" s="191"/>
      <c r="C412" s="191"/>
      <c r="D412" s="191"/>
      <c r="E412" s="222"/>
      <c r="F412" s="197"/>
      <c r="G412" s="197"/>
      <c r="H412" s="216"/>
      <c r="I412" s="193"/>
      <c r="J412" s="1547">
        <v>2011</v>
      </c>
      <c r="K412" s="1554">
        <v>-5.1499999999999997E-2</v>
      </c>
      <c r="L412" s="368">
        <v>7.8399999999999997E-2</v>
      </c>
      <c r="M412" s="1484"/>
      <c r="N412" s="1549">
        <v>2.12E-2</v>
      </c>
      <c r="O412" s="1550">
        <f t="shared" ref="O412:O423" si="84">K412-(0.2*L412+0.8*N412)</f>
        <v>-8.4139999999999993E-2</v>
      </c>
      <c r="P412" s="224"/>
      <c r="Q412" s="191"/>
      <c r="R412" s="191"/>
      <c r="S412" s="191"/>
      <c r="T412" s="191"/>
      <c r="U412" s="191"/>
      <c r="V412" s="191"/>
      <c r="W412" s="5"/>
      <c r="X412" s="5"/>
      <c r="Y412" s="5"/>
      <c r="Z412" s="5"/>
      <c r="AA412" s="5"/>
      <c r="AB412" s="5"/>
    </row>
    <row r="413" spans="1:28" ht="12.75" customHeight="1">
      <c r="A413" s="191"/>
      <c r="B413" s="191"/>
      <c r="C413" s="191"/>
      <c r="D413" s="191"/>
      <c r="E413" s="222"/>
      <c r="F413" s="197"/>
      <c r="G413" s="197"/>
      <c r="H413" s="216"/>
      <c r="I413" s="193"/>
      <c r="J413" s="1555">
        <v>2012</v>
      </c>
      <c r="K413" s="1556">
        <v>0.1376</v>
      </c>
      <c r="L413" s="1557">
        <v>4.2099999999999999E-2</v>
      </c>
      <c r="M413" s="1482"/>
      <c r="N413" s="1546">
        <v>0.16</v>
      </c>
      <c r="O413" s="1545">
        <f t="shared" si="84"/>
        <v>1.1799999999999866E-3</v>
      </c>
      <c r="P413" s="224"/>
      <c r="Q413" s="224"/>
      <c r="R413" s="191"/>
      <c r="S413" s="191"/>
      <c r="T413" s="191"/>
      <c r="U413" s="191"/>
      <c r="V413" s="191"/>
      <c r="W413" s="5"/>
      <c r="X413" s="5"/>
      <c r="Y413" s="5"/>
      <c r="Z413" s="5"/>
      <c r="AA413" s="5"/>
      <c r="AB413" s="5"/>
    </row>
    <row r="414" spans="1:28" ht="12.75" customHeight="1">
      <c r="A414" s="191"/>
      <c r="B414" s="191"/>
      <c r="C414" s="191"/>
      <c r="D414" s="191"/>
      <c r="E414" s="222"/>
      <c r="F414" s="197"/>
      <c r="G414" s="197"/>
      <c r="H414" s="216"/>
      <c r="I414" s="193"/>
      <c r="J414" s="1547">
        <v>2013</v>
      </c>
      <c r="K414" s="1554">
        <v>0.1734</v>
      </c>
      <c r="L414" s="368">
        <v>-2.0199999999999999E-2</v>
      </c>
      <c r="M414" s="1484"/>
      <c r="N414" s="1549">
        <v>0.32390000000000002</v>
      </c>
      <c r="O414" s="1550">
        <f t="shared" si="84"/>
        <v>-8.168000000000003E-2</v>
      </c>
      <c r="P414" s="224"/>
      <c r="Q414" s="224"/>
      <c r="R414" s="191"/>
      <c r="S414" s="191"/>
      <c r="T414" s="191"/>
      <c r="U414" s="191"/>
      <c r="V414" s="191"/>
      <c r="W414" s="5"/>
      <c r="X414" s="5"/>
      <c r="Y414" s="5"/>
      <c r="Z414" s="5"/>
      <c r="AA414" s="5"/>
      <c r="AB414" s="5"/>
    </row>
    <row r="415" spans="1:28" ht="12.75" customHeight="1">
      <c r="A415" s="191"/>
      <c r="B415" s="191"/>
      <c r="C415" s="191"/>
      <c r="D415" s="191"/>
      <c r="E415" s="222"/>
      <c r="F415" s="197"/>
      <c r="G415" s="197"/>
      <c r="H415" s="216"/>
      <c r="I415" s="193"/>
      <c r="J415" s="1555">
        <v>2014</v>
      </c>
      <c r="K415" s="1556">
        <v>0.1439</v>
      </c>
      <c r="L415" s="1557">
        <v>5.9700000000000003E-2</v>
      </c>
      <c r="M415" s="1558"/>
      <c r="N415" s="1559">
        <v>0.13689999999999999</v>
      </c>
      <c r="O415" s="1545">
        <f t="shared" si="84"/>
        <v>2.2439999999999988E-2</v>
      </c>
      <c r="P415" s="191"/>
      <c r="Q415" s="191"/>
      <c r="R415" s="191"/>
      <c r="S415" s="191"/>
      <c r="T415" s="191"/>
      <c r="U415" s="191"/>
      <c r="V415" s="191"/>
      <c r="W415" s="5"/>
      <c r="X415" s="5"/>
      <c r="Y415" s="5"/>
      <c r="Z415" s="5"/>
      <c r="AA415" s="5"/>
      <c r="AB415" s="5"/>
    </row>
    <row r="416" spans="1:28" ht="12.75" customHeight="1">
      <c r="A416" s="191"/>
      <c r="B416" s="191"/>
      <c r="C416" s="191"/>
      <c r="D416" s="191"/>
      <c r="E416" s="222"/>
      <c r="F416" s="197"/>
      <c r="G416" s="197"/>
      <c r="H416" s="216"/>
      <c r="I416" s="193"/>
      <c r="J416" s="1560">
        <v>2015</v>
      </c>
      <c r="K416" s="1554">
        <v>-8.0000000000000002E-3</v>
      </c>
      <c r="L416" s="1561">
        <v>5.4999999999999997E-3</v>
      </c>
      <c r="M416" s="532"/>
      <c r="N416" s="1562">
        <v>1.38E-2</v>
      </c>
      <c r="O416" s="1550">
        <f t="shared" si="84"/>
        <v>-2.0140000000000002E-2</v>
      </c>
      <c r="P416" s="191"/>
      <c r="Q416" s="191"/>
      <c r="R416" s="191"/>
      <c r="S416" s="191"/>
      <c r="T416" s="191"/>
      <c r="U416" s="191"/>
      <c r="V416" s="191"/>
      <c r="W416" s="5"/>
      <c r="X416" s="5"/>
      <c r="Y416" s="5"/>
      <c r="Z416" s="5"/>
      <c r="AA416" s="5"/>
      <c r="AB416" s="5"/>
    </row>
    <row r="417" spans="1:28" ht="12.75" customHeight="1">
      <c r="A417" s="191"/>
      <c r="B417" s="191"/>
      <c r="C417" s="191"/>
      <c r="D417" s="191"/>
      <c r="E417" s="222"/>
      <c r="F417" s="197"/>
      <c r="G417" s="197"/>
      <c r="H417" s="216"/>
      <c r="I417" s="193"/>
      <c r="J417" s="1563">
        <v>2016</v>
      </c>
      <c r="K417" s="1564">
        <v>5.21E-2</v>
      </c>
      <c r="L417" s="1565">
        <v>2.6499999999999999E-2</v>
      </c>
      <c r="M417" s="1566"/>
      <c r="N417" s="1567">
        <v>0.1196</v>
      </c>
      <c r="O417" s="1550">
        <f t="shared" si="84"/>
        <v>-4.888E-2</v>
      </c>
      <c r="P417" s="191"/>
      <c r="Q417" s="191"/>
      <c r="R417" s="191"/>
      <c r="S417" s="191"/>
      <c r="T417" s="191"/>
      <c r="U417" s="191"/>
      <c r="V417" s="191"/>
      <c r="W417" s="5"/>
      <c r="X417" s="5"/>
      <c r="Y417" s="5"/>
      <c r="Z417" s="5"/>
      <c r="AA417" s="5"/>
      <c r="AB417" s="5"/>
    </row>
    <row r="418" spans="1:28" ht="12.75" customHeight="1">
      <c r="A418" s="191"/>
      <c r="B418" s="191"/>
      <c r="C418" s="191"/>
      <c r="D418" s="191"/>
      <c r="E418" s="222"/>
      <c r="F418" s="197"/>
      <c r="G418" s="197"/>
      <c r="H418" s="216"/>
      <c r="I418" s="193"/>
      <c r="J418" s="1568">
        <v>2017</v>
      </c>
      <c r="K418" s="1556">
        <v>0.18429999999999999</v>
      </c>
      <c r="L418" s="1569">
        <v>3.5400000000000001E-2</v>
      </c>
      <c r="M418" s="1570"/>
      <c r="N418" s="1571">
        <v>0.21829999999999999</v>
      </c>
      <c r="O418" s="1545">
        <f t="shared" si="84"/>
        <v>2.5799999999999712E-3</v>
      </c>
      <c r="P418" s="191"/>
      <c r="Q418" s="191"/>
      <c r="R418" s="191"/>
      <c r="S418" s="191"/>
      <c r="T418" s="191"/>
      <c r="U418" s="191"/>
      <c r="V418" s="191"/>
      <c r="W418" s="5"/>
      <c r="X418" s="5"/>
      <c r="Y418" s="5"/>
      <c r="Z418" s="5"/>
      <c r="AA418" s="5"/>
      <c r="AB418" s="5"/>
    </row>
    <row r="419" spans="1:28" ht="12.75" customHeight="1">
      <c r="A419" s="191"/>
      <c r="B419" s="191"/>
      <c r="C419" s="191"/>
      <c r="D419" s="191"/>
      <c r="E419" s="222"/>
      <c r="F419" s="197"/>
      <c r="G419" s="197"/>
      <c r="H419" s="216"/>
      <c r="I419" s="193"/>
      <c r="J419" s="1568">
        <v>2018</v>
      </c>
      <c r="K419" s="1556">
        <v>-3.0099999999999998E-2</v>
      </c>
      <c r="L419" s="1569">
        <v>2.0000000000000001E-4</v>
      </c>
      <c r="M419" s="1570"/>
      <c r="N419" s="1571">
        <v>-4.3799999999999999E-2</v>
      </c>
      <c r="O419" s="1545">
        <f t="shared" si="84"/>
        <v>4.900000000000005E-3</v>
      </c>
      <c r="P419" s="191"/>
      <c r="Q419" s="191"/>
      <c r="R419" s="191"/>
      <c r="S419" s="191"/>
      <c r="T419" s="191"/>
      <c r="U419" s="191"/>
      <c r="V419" s="191"/>
      <c r="W419" s="5"/>
      <c r="X419" s="5"/>
      <c r="Y419" s="5"/>
      <c r="Z419" s="5"/>
      <c r="AA419" s="5"/>
      <c r="AB419" s="5"/>
    </row>
    <row r="420" spans="1:28" ht="12.75" customHeight="1">
      <c r="A420" s="191"/>
      <c r="B420" s="191"/>
      <c r="C420" s="191"/>
      <c r="D420" s="191"/>
      <c r="E420" s="222"/>
      <c r="F420" s="197"/>
      <c r="G420" s="197"/>
      <c r="H420" s="216"/>
      <c r="I420" s="193"/>
      <c r="J420" s="1568">
        <v>2019</v>
      </c>
      <c r="K420" s="1556">
        <v>0.30590000000000001</v>
      </c>
      <c r="L420" s="1569">
        <v>8.72E-2</v>
      </c>
      <c r="M420" s="1570"/>
      <c r="N420" s="1571">
        <v>0.31490000000000001</v>
      </c>
      <c r="O420" s="1545">
        <f t="shared" si="84"/>
        <v>3.6539999999999961E-2</v>
      </c>
      <c r="P420" s="191"/>
      <c r="Q420" s="191"/>
      <c r="R420" s="191"/>
      <c r="S420" s="191"/>
      <c r="T420" s="191"/>
      <c r="U420" s="191"/>
      <c r="V420" s="191"/>
      <c r="W420" s="5"/>
      <c r="X420" s="5"/>
      <c r="Y420" s="5"/>
      <c r="Z420" s="5"/>
      <c r="AA420" s="5"/>
      <c r="AB420" s="5"/>
    </row>
    <row r="421" spans="1:28" ht="12.75" customHeight="1">
      <c r="A421" s="191"/>
      <c r="B421" s="191"/>
      <c r="C421" s="191"/>
      <c r="D421" s="191"/>
      <c r="E421" s="222"/>
      <c r="F421" s="197"/>
      <c r="G421" s="197"/>
      <c r="H421" s="216"/>
      <c r="I421" s="222"/>
      <c r="J421" s="1568">
        <v>2020</v>
      </c>
      <c r="K421" s="1556">
        <v>0.19950000000000001</v>
      </c>
      <c r="L421" s="1569">
        <v>7.4999999999999997E-2</v>
      </c>
      <c r="M421" s="1570"/>
      <c r="N421" s="1571">
        <v>0.184</v>
      </c>
      <c r="O421" s="1554">
        <f t="shared" si="84"/>
        <v>3.73E-2</v>
      </c>
      <c r="P421" s="191"/>
      <c r="Q421" s="191"/>
      <c r="R421" s="191"/>
      <c r="S421" s="191"/>
      <c r="T421" s="191"/>
      <c r="U421" s="191"/>
      <c r="V421" s="191"/>
      <c r="W421" s="5"/>
      <c r="X421" s="5"/>
      <c r="Y421" s="5"/>
      <c r="Z421" s="5"/>
      <c r="AA421" s="5"/>
      <c r="AB421" s="5"/>
    </row>
    <row r="422" spans="1:28" ht="12.75" customHeight="1">
      <c r="A422" s="191"/>
      <c r="B422" s="191"/>
      <c r="C422" s="191"/>
      <c r="D422" s="191"/>
      <c r="E422" s="222"/>
      <c r="F422" s="197"/>
      <c r="G422" s="197"/>
      <c r="H422" s="216"/>
      <c r="I422" s="222"/>
      <c r="J422" s="1568">
        <v>2021</v>
      </c>
      <c r="K422" s="1556">
        <v>0.246</v>
      </c>
      <c r="L422" s="1875">
        <v>-1.54E-2</v>
      </c>
      <c r="M422" s="1570"/>
      <c r="N422" s="1875">
        <v>0.28710000000000002</v>
      </c>
      <c r="O422" s="1871">
        <f t="shared" si="84"/>
        <v>1.9399999999999973E-2</v>
      </c>
      <c r="P422" s="191"/>
      <c r="Q422" s="191"/>
      <c r="R422" s="191"/>
      <c r="S422" s="191"/>
      <c r="T422" s="191"/>
      <c r="U422" s="191"/>
      <c r="V422" s="191"/>
      <c r="W422" s="5"/>
      <c r="X422" s="5"/>
      <c r="Y422" s="5"/>
      <c r="Z422" s="5"/>
      <c r="AA422" s="5"/>
      <c r="AB422" s="5"/>
    </row>
    <row r="423" spans="1:28" ht="12.75" customHeight="1">
      <c r="A423" s="191"/>
      <c r="B423" s="191"/>
      <c r="C423" s="191"/>
      <c r="D423" s="191"/>
      <c r="E423" s="222"/>
      <c r="F423" s="197"/>
      <c r="G423" s="197"/>
      <c r="H423" s="216"/>
      <c r="I423" s="222"/>
      <c r="J423" s="1872">
        <v>2022</v>
      </c>
      <c r="K423" s="1873">
        <v>-0.1804</v>
      </c>
      <c r="L423" s="1873">
        <v>-0.13009999999999999</v>
      </c>
      <c r="M423" s="1874"/>
      <c r="N423" s="1873">
        <v>-0.18109999999999998</v>
      </c>
      <c r="O423" s="1876">
        <f t="shared" si="84"/>
        <v>-9.5000000000000084E-3</v>
      </c>
      <c r="P423" s="191"/>
      <c r="Q423" s="191"/>
      <c r="R423" s="191"/>
      <c r="S423" s="191"/>
      <c r="T423" s="191"/>
      <c r="U423" s="191"/>
      <c r="V423" s="191"/>
      <c r="W423" s="5"/>
      <c r="X423" s="5"/>
      <c r="Y423" s="5"/>
      <c r="Z423" s="5"/>
      <c r="AA423" s="5"/>
      <c r="AB423" s="5"/>
    </row>
    <row r="424" spans="1:28" ht="12.75" customHeight="1">
      <c r="A424" s="191"/>
      <c r="B424" s="191"/>
      <c r="C424" s="246"/>
      <c r="D424" s="246"/>
      <c r="E424" s="246"/>
      <c r="F424" s="197"/>
      <c r="G424" s="197"/>
      <c r="H424" s="216"/>
      <c r="I424" s="222"/>
      <c r="O424" s="191"/>
      <c r="P424" s="191"/>
      <c r="Q424" s="191"/>
      <c r="R424" s="191"/>
      <c r="S424" s="191"/>
      <c r="T424" s="191"/>
      <c r="U424" s="191"/>
      <c r="V424" s="191"/>
      <c r="W424" s="5"/>
      <c r="X424" s="5"/>
      <c r="Y424" s="5"/>
      <c r="Z424" s="5"/>
      <c r="AA424" s="5"/>
      <c r="AB424" s="5"/>
    </row>
    <row r="425" spans="1:28" ht="12.75" customHeight="1">
      <c r="A425" s="191"/>
      <c r="B425" s="191"/>
      <c r="C425" s="191"/>
      <c r="D425" s="191"/>
      <c r="E425" s="222"/>
      <c r="F425" s="197"/>
      <c r="G425" s="197"/>
      <c r="H425" s="216"/>
      <c r="I425" s="222"/>
      <c r="J425" s="194"/>
      <c r="K425" s="194"/>
      <c r="L425" s="194"/>
      <c r="M425" s="194"/>
      <c r="N425" s="194"/>
      <c r="O425" s="191"/>
      <c r="P425" s="191"/>
      <c r="Q425" s="191"/>
      <c r="R425" s="191"/>
      <c r="S425" s="191"/>
      <c r="T425" s="191"/>
      <c r="U425" s="191"/>
      <c r="V425" s="191"/>
      <c r="W425" s="5"/>
      <c r="X425" s="5"/>
      <c r="Y425" s="5"/>
      <c r="Z425" s="5"/>
      <c r="AA425" s="5"/>
      <c r="AB425" s="5"/>
    </row>
    <row r="426" spans="1:28" ht="12.75" customHeight="1">
      <c r="A426" s="191"/>
      <c r="B426" s="191"/>
      <c r="C426" s="247"/>
      <c r="D426" s="191"/>
      <c r="E426" s="222"/>
      <c r="F426" s="197"/>
      <c r="G426" s="197"/>
      <c r="H426" s="216"/>
      <c r="I426" s="248"/>
      <c r="J426" s="194" t="s">
        <v>1186</v>
      </c>
      <c r="K426" s="216">
        <f>AVERAGE(K396:K423)</f>
        <v>8.9765993092444027E-2</v>
      </c>
      <c r="L426" s="216"/>
      <c r="M426" s="216"/>
      <c r="N426" s="216">
        <f>AVERAGE(N396:N423)</f>
        <v>0.11445792247946693</v>
      </c>
      <c r="O426" s="191"/>
      <c r="P426" s="194"/>
      <c r="Q426" s="191"/>
      <c r="R426" s="194"/>
      <c r="S426" s="191"/>
      <c r="T426" s="191"/>
      <c r="U426" s="191"/>
      <c r="V426" s="191"/>
      <c r="W426" s="5"/>
      <c r="X426" s="5"/>
      <c r="Y426" s="5"/>
      <c r="Z426" s="5"/>
      <c r="AA426" s="5"/>
      <c r="AB426" s="5"/>
    </row>
    <row r="427" spans="1:28" ht="12.75" customHeight="1">
      <c r="A427" s="191"/>
      <c r="B427" s="191"/>
      <c r="C427" s="191"/>
      <c r="D427" s="191"/>
      <c r="E427" s="222"/>
      <c r="F427" s="197"/>
      <c r="G427" s="197"/>
      <c r="H427" s="216"/>
      <c r="I427" s="222"/>
      <c r="J427" s="194" t="s">
        <v>680</v>
      </c>
      <c r="K427" s="216" cm="1">
        <f t="array" ref="K427">GEOMEAN(K396:K421+1)-1</f>
        <v>7.6131027310560428E-2</v>
      </c>
      <c r="L427" s="216"/>
      <c r="M427" s="216"/>
      <c r="N427" s="216" cm="1">
        <f t="array" ref="N427">GEOMEAN(1+N396:N421)-1</f>
        <v>0.10330453917053917</v>
      </c>
      <c r="O427" s="5"/>
      <c r="P427" s="450"/>
      <c r="Q427" s="1459"/>
      <c r="R427" s="216"/>
      <c r="S427" s="5"/>
      <c r="T427" s="191"/>
      <c r="U427" s="191"/>
      <c r="V427" s="191"/>
      <c r="W427" s="5"/>
      <c r="X427" s="5"/>
      <c r="Y427" s="5"/>
      <c r="Z427" s="5"/>
      <c r="AA427" s="5"/>
      <c r="AB427" s="5"/>
    </row>
    <row r="428" spans="1:28" ht="12.75" customHeight="1">
      <c r="A428" s="191"/>
      <c r="B428" s="191"/>
      <c r="C428" s="191"/>
      <c r="D428" s="191"/>
      <c r="E428" s="222"/>
      <c r="F428" s="197"/>
      <c r="G428" s="197"/>
      <c r="H428" s="216"/>
      <c r="I428" s="222"/>
      <c r="J428" s="249"/>
      <c r="K428" s="216"/>
      <c r="L428" s="194"/>
      <c r="M428" s="194"/>
      <c r="N428" s="216"/>
      <c r="O428" s="5"/>
      <c r="P428" s="450"/>
      <c r="Q428" s="1459"/>
      <c r="R428" s="216"/>
      <c r="S428" s="1459"/>
      <c r="T428" s="191"/>
      <c r="U428" s="191"/>
      <c r="V428" s="191"/>
      <c r="W428" s="5"/>
      <c r="X428" s="5"/>
      <c r="Y428" s="5"/>
      <c r="Z428" s="5"/>
      <c r="AA428" s="5"/>
      <c r="AB428" s="5"/>
    </row>
    <row r="429" spans="1:28" ht="12.75" customHeight="1">
      <c r="A429" s="191"/>
      <c r="B429" s="191"/>
      <c r="C429" s="191"/>
      <c r="D429" s="191"/>
      <c r="E429" s="222"/>
      <c r="F429" s="197"/>
      <c r="G429" s="197"/>
      <c r="H429" s="216"/>
      <c r="I429" s="222"/>
      <c r="J429" s="194"/>
      <c r="K429" s="194"/>
      <c r="L429" s="194"/>
      <c r="M429" s="194"/>
      <c r="N429" s="194"/>
      <c r="O429" s="5"/>
      <c r="P429" s="450"/>
      <c r="Q429" s="1459"/>
      <c r="R429" s="216"/>
      <c r="S429" s="1459"/>
      <c r="T429" s="191"/>
      <c r="U429" s="191"/>
      <c r="V429" s="191"/>
      <c r="W429" s="5"/>
      <c r="X429" s="5"/>
      <c r="Y429" s="5"/>
      <c r="Z429" s="5"/>
      <c r="AA429" s="5"/>
      <c r="AB429" s="5"/>
    </row>
    <row r="430" spans="1:28" ht="12.75" customHeight="1">
      <c r="A430" s="191"/>
      <c r="B430" s="191"/>
      <c r="C430" s="191"/>
      <c r="D430" s="191"/>
      <c r="E430" s="222"/>
      <c r="F430" s="197"/>
      <c r="G430" s="197"/>
      <c r="H430" s="216"/>
      <c r="I430" s="222"/>
      <c r="J430" s="194"/>
      <c r="K430" s="194"/>
      <c r="L430" s="194"/>
      <c r="M430" s="194"/>
      <c r="N430" s="194"/>
      <c r="O430" s="5"/>
      <c r="P430" s="450"/>
      <c r="Q430" s="1459"/>
      <c r="R430" s="216"/>
      <c r="S430" s="1459"/>
      <c r="T430" s="191"/>
      <c r="U430" s="191"/>
      <c r="V430" s="191"/>
      <c r="W430" s="5"/>
      <c r="X430" s="5"/>
      <c r="Y430" s="5"/>
      <c r="Z430" s="5"/>
      <c r="AA430" s="5"/>
      <c r="AB430" s="5"/>
    </row>
    <row r="431" spans="1:28" ht="12.75" customHeight="1">
      <c r="A431" s="191"/>
      <c r="B431" s="191"/>
      <c r="C431" s="191"/>
      <c r="D431" s="191"/>
      <c r="E431" s="222"/>
      <c r="F431" s="197"/>
      <c r="G431" s="197"/>
      <c r="H431" s="216"/>
      <c r="I431" s="222"/>
      <c r="J431" s="194"/>
      <c r="K431" s="194"/>
      <c r="L431" s="194"/>
      <c r="M431" s="194"/>
      <c r="N431" s="194"/>
      <c r="O431" s="5"/>
      <c r="P431" s="450"/>
      <c r="Q431" s="1459"/>
      <c r="R431" s="216"/>
      <c r="S431" s="1459"/>
      <c r="T431" s="191"/>
      <c r="U431" s="191"/>
      <c r="V431" s="191"/>
      <c r="W431" s="5"/>
      <c r="X431" s="5"/>
      <c r="Y431" s="5"/>
      <c r="Z431" s="5"/>
      <c r="AA431" s="5"/>
      <c r="AB431" s="5"/>
    </row>
    <row r="432" spans="1:28" ht="12.75" customHeight="1">
      <c r="A432" s="250"/>
      <c r="B432" s="2080" t="s">
        <v>5</v>
      </c>
      <c r="C432" s="2071"/>
      <c r="D432" s="2080" t="s">
        <v>1187</v>
      </c>
      <c r="E432" s="2071"/>
      <c r="F432" s="2080" t="s">
        <v>1188</v>
      </c>
      <c r="G432" s="2071"/>
      <c r="H432" s="2080" t="s">
        <v>1189</v>
      </c>
      <c r="I432" s="2071"/>
      <c r="J432" s="194"/>
      <c r="K432" s="216"/>
      <c r="L432" s="194"/>
      <c r="M432" s="194"/>
      <c r="N432" s="194"/>
      <c r="O432" s="5"/>
      <c r="P432" s="450"/>
      <c r="Q432" s="1459"/>
      <c r="R432" s="216"/>
      <c r="S432" s="1459"/>
      <c r="T432" s="191"/>
      <c r="U432" s="191"/>
      <c r="V432" s="191"/>
      <c r="W432" s="5"/>
      <c r="X432" s="5"/>
      <c r="Y432" s="5"/>
      <c r="Z432" s="5"/>
      <c r="AA432" s="5"/>
      <c r="AB432" s="5"/>
    </row>
    <row r="433" spans="1:28" ht="12.75" customHeight="1">
      <c r="A433" s="250"/>
      <c r="B433" s="251" t="s">
        <v>1125</v>
      </c>
      <c r="C433" s="251" t="s">
        <v>1190</v>
      </c>
      <c r="D433" s="251" t="s">
        <v>1191</v>
      </c>
      <c r="E433" s="251" t="s">
        <v>1190</v>
      </c>
      <c r="F433" s="251" t="s">
        <v>1125</v>
      </c>
      <c r="G433" s="251" t="s">
        <v>1190</v>
      </c>
      <c r="H433" s="251" t="s">
        <v>1125</v>
      </c>
      <c r="I433" s="251" t="s">
        <v>1190</v>
      </c>
      <c r="J433" s="194"/>
      <c r="K433" s="888"/>
      <c r="L433" s="194"/>
      <c r="M433" s="194"/>
      <c r="N433" s="194"/>
      <c r="O433" s="5"/>
      <c r="P433" s="450"/>
      <c r="Q433" s="1459"/>
      <c r="R433" s="216"/>
      <c r="S433" s="1459"/>
      <c r="T433" s="191"/>
      <c r="U433" s="191"/>
      <c r="V433" s="191"/>
      <c r="W433" s="5"/>
      <c r="X433" s="5"/>
      <c r="Y433" s="5"/>
      <c r="Z433" s="5"/>
      <c r="AA433" s="5"/>
      <c r="AB433" s="5"/>
    </row>
    <row r="434" spans="1:28" ht="12.75" customHeight="1">
      <c r="A434" s="252" t="s">
        <v>1192</v>
      </c>
      <c r="B434" s="253">
        <f>I377</f>
        <v>0.23201859781472534</v>
      </c>
      <c r="C434" s="253">
        <f>L377</f>
        <v>0.16915393211850011</v>
      </c>
      <c r="D434" s="253">
        <f>I378</f>
        <v>0.14611059386044123</v>
      </c>
      <c r="E434" s="253">
        <f>L378</f>
        <v>9.7347367279587732E-2</v>
      </c>
      <c r="F434" s="253">
        <f>I379</f>
        <v>0.11912087755927092</v>
      </c>
      <c r="G434" s="253">
        <f>L379</f>
        <v>0.10000350026030227</v>
      </c>
      <c r="H434" s="253">
        <f>I380</f>
        <v>0.12696536787685186</v>
      </c>
      <c r="I434" s="253">
        <f>L380</f>
        <v>9.8586860382538707E-2</v>
      </c>
      <c r="J434" s="194"/>
      <c r="K434" s="194"/>
      <c r="L434" s="194"/>
      <c r="M434" s="194"/>
      <c r="N434" s="194"/>
      <c r="O434" s="450"/>
      <c r="P434" s="216"/>
      <c r="Q434" s="1459"/>
      <c r="R434" s="191"/>
      <c r="S434" s="191"/>
      <c r="T434" s="191"/>
      <c r="U434" s="5"/>
      <c r="V434" s="5"/>
      <c r="W434" s="5"/>
      <c r="X434" s="5"/>
      <c r="Y434" s="5"/>
      <c r="Z434" s="5"/>
      <c r="AA434" s="5"/>
      <c r="AB434" s="5"/>
    </row>
    <row r="435" spans="1:28" ht="12.75" customHeight="1">
      <c r="A435" s="5" t="s">
        <v>1193</v>
      </c>
      <c r="B435" s="254">
        <f>100*(B434+1)</f>
        <v>123.20185978147254</v>
      </c>
      <c r="C435" s="254">
        <f>100*(C434+1)</f>
        <v>116.91539321185</v>
      </c>
      <c r="D435" s="254">
        <f>100*(D434+1)</f>
        <v>114.61105938604412</v>
      </c>
      <c r="E435" s="254">
        <f>100*(E434+1)</f>
        <v>109.73473672795878</v>
      </c>
      <c r="F435" s="254">
        <f>100*(F434+1)^3</f>
        <v>140.16222825486659</v>
      </c>
      <c r="G435" s="254">
        <f>100*(G434+1)^3</f>
        <v>133.10127059853286</v>
      </c>
      <c r="H435" s="254">
        <f>100*(H434+1)^5</f>
        <v>181.78282612444687</v>
      </c>
      <c r="I435" s="254">
        <f>100*(I434+1)^5</f>
        <v>160.01916568914714</v>
      </c>
      <c r="J435" s="194"/>
      <c r="K435" s="194"/>
      <c r="L435" s="194"/>
      <c r="M435" s="194"/>
      <c r="N435" s="194"/>
      <c r="O435" s="450"/>
      <c r="P435" s="216"/>
      <c r="Q435" s="1459"/>
      <c r="R435" s="191"/>
      <c r="S435" s="191"/>
      <c r="T435" s="191"/>
      <c r="U435" s="5"/>
      <c r="V435" s="5"/>
      <c r="W435" s="5"/>
      <c r="X435" s="5"/>
      <c r="Y435" s="5"/>
      <c r="Z435" s="5"/>
      <c r="AA435" s="5"/>
      <c r="AB435" s="5"/>
    </row>
    <row r="436" spans="1:28" ht="12.75" customHeight="1">
      <c r="A436" s="255" t="s">
        <v>1194</v>
      </c>
      <c r="B436" s="256"/>
      <c r="C436" s="256"/>
      <c r="D436" s="256"/>
      <c r="E436" s="256"/>
      <c r="F436" s="256"/>
      <c r="G436" s="256"/>
      <c r="H436" s="256"/>
      <c r="I436" s="256"/>
      <c r="J436" s="194"/>
      <c r="K436" s="194"/>
      <c r="L436" s="194"/>
      <c r="M436" s="193"/>
      <c r="N436" s="191"/>
      <c r="O436" s="450"/>
      <c r="P436" s="216"/>
      <c r="Q436" s="1459"/>
      <c r="R436" s="191"/>
      <c r="S436" s="191"/>
      <c r="T436" s="191"/>
      <c r="U436" s="5"/>
      <c r="V436" s="5"/>
      <c r="W436" s="5"/>
      <c r="X436" s="5"/>
      <c r="Y436" s="5"/>
      <c r="Z436" s="5"/>
      <c r="AA436" s="5"/>
      <c r="AB436" s="5"/>
    </row>
    <row r="437" spans="1:28" ht="12.75" customHeight="1">
      <c r="A437" s="252" t="s">
        <v>1195</v>
      </c>
      <c r="B437" s="253">
        <f>H386</f>
        <v>6.5163665717120053E-2</v>
      </c>
      <c r="C437" s="253">
        <f>I386</f>
        <v>7.5877068224683902E-2</v>
      </c>
      <c r="D437" s="253">
        <f>E377</f>
        <v>0.17623317205274699</v>
      </c>
      <c r="E437" s="253">
        <f>F377</f>
        <v>0.16395975443588701</v>
      </c>
      <c r="F437" s="253">
        <f>E380</f>
        <v>0.1657910320127341</v>
      </c>
      <c r="G437" s="253">
        <f>F380</f>
        <v>0.15206080479550324</v>
      </c>
      <c r="H437" s="253">
        <f>E383</f>
        <v>0.16862469823488307</v>
      </c>
      <c r="I437" s="253">
        <f>F383</f>
        <v>0.15488106886781855</v>
      </c>
      <c r="J437" s="194"/>
      <c r="K437" s="194"/>
      <c r="L437" s="194"/>
      <c r="M437" s="193"/>
      <c r="N437" s="191"/>
      <c r="O437" s="450"/>
      <c r="P437" s="216"/>
      <c r="Q437" s="1459"/>
      <c r="R437" s="191"/>
      <c r="S437" s="191"/>
      <c r="T437" s="191"/>
      <c r="U437" s="5"/>
      <c r="V437" s="5"/>
      <c r="W437" s="5"/>
      <c r="X437" s="5"/>
      <c r="Y437" s="5"/>
      <c r="Z437" s="5"/>
      <c r="AA437" s="5"/>
      <c r="AB437" s="5"/>
    </row>
    <row r="438" spans="1:28" ht="12.75" customHeight="1">
      <c r="A438" s="252" t="s">
        <v>1196</v>
      </c>
      <c r="B438" s="257">
        <f>H387</f>
        <v>0.81296247049412063</v>
      </c>
      <c r="C438" s="257">
        <v>1</v>
      </c>
      <c r="D438" s="257">
        <f>E378</f>
        <v>1.0560950675845562</v>
      </c>
      <c r="E438" s="257">
        <v>1</v>
      </c>
      <c r="F438" s="257">
        <f>E381</f>
        <v>1.0699260469474363</v>
      </c>
      <c r="G438" s="257">
        <v>1</v>
      </c>
      <c r="H438" s="257">
        <f>E384</f>
        <v>1.0726713378452073</v>
      </c>
      <c r="I438" s="257">
        <v>1</v>
      </c>
      <c r="J438" s="194"/>
      <c r="K438" s="194"/>
      <c r="L438" s="194"/>
      <c r="M438" s="193"/>
      <c r="N438" s="191"/>
      <c r="O438" s="450"/>
      <c r="P438" s="216"/>
      <c r="Q438" s="1459"/>
      <c r="R438" s="191"/>
      <c r="S438" s="191"/>
      <c r="T438" s="191"/>
      <c r="U438" s="5"/>
      <c r="V438" s="5"/>
      <c r="W438" s="5"/>
      <c r="X438" s="5"/>
      <c r="Y438" s="5"/>
      <c r="Z438" s="5"/>
      <c r="AA438" s="5"/>
      <c r="AB438" s="5"/>
    </row>
    <row r="439" spans="1:28" ht="12.75" customHeight="1">
      <c r="A439" s="255" t="s">
        <v>1197</v>
      </c>
      <c r="B439" s="256"/>
      <c r="C439" s="256"/>
      <c r="D439" s="256"/>
      <c r="E439" s="256"/>
      <c r="F439" s="256"/>
      <c r="G439" s="256"/>
      <c r="H439" s="256"/>
      <c r="I439" s="256"/>
      <c r="J439" s="194"/>
      <c r="K439" s="194"/>
      <c r="L439" s="194"/>
      <c r="M439" s="193"/>
      <c r="N439" s="191"/>
      <c r="O439" s="191"/>
      <c r="P439" s="191"/>
      <c r="Q439" s="191"/>
      <c r="R439" s="191"/>
      <c r="S439" s="191"/>
      <c r="T439" s="191"/>
      <c r="U439" s="5"/>
      <c r="V439" s="5"/>
      <c r="W439" s="5"/>
      <c r="X439" s="5"/>
      <c r="Y439" s="5"/>
      <c r="Z439" s="5"/>
      <c r="AA439" s="5"/>
      <c r="AB439" s="5"/>
    </row>
    <row r="440" spans="1:28" ht="12.75" customHeight="1">
      <c r="A440" s="252" t="s">
        <v>1172</v>
      </c>
      <c r="B440" s="257">
        <f>$B$434/$B$437</f>
        <v>3.5605516549964209</v>
      </c>
      <c r="C440" s="257">
        <f>$C$434/C437</f>
        <v>2.2293156032018628</v>
      </c>
      <c r="D440" s="257">
        <f>$E$376/$E$377</f>
        <v>0.82907543545042695</v>
      </c>
      <c r="E440" s="257">
        <f>$F$376/$F$377</f>
        <v>0.59372720832936698</v>
      </c>
      <c r="F440" s="257">
        <f>$E$379/$E$380</f>
        <v>0.71850012701604671</v>
      </c>
      <c r="G440" s="257">
        <f>$F$379/$F$380</f>
        <v>0.65765468224892354</v>
      </c>
      <c r="H440" s="257">
        <f>$E$382/$E$383</f>
        <v>0.75294644975433844</v>
      </c>
      <c r="I440" s="257">
        <f>$F$382/$F$383</f>
        <v>0.63653267054010665</v>
      </c>
      <c r="J440" s="194"/>
      <c r="K440" s="194"/>
      <c r="L440" s="194"/>
      <c r="M440" s="193"/>
      <c r="N440" s="191"/>
      <c r="O440" s="5"/>
      <c r="P440" s="5"/>
      <c r="Q440" s="5"/>
      <c r="R440" s="5"/>
      <c r="S440" s="5"/>
      <c r="T440" s="5"/>
      <c r="U440" s="5"/>
      <c r="V440" s="5"/>
      <c r="W440" s="5"/>
      <c r="X440" s="5"/>
      <c r="Y440" s="5"/>
      <c r="Z440" s="5"/>
      <c r="AA440" s="5"/>
      <c r="AB440" s="5"/>
    </row>
    <row r="441" spans="1:28" ht="12.75" customHeight="1">
      <c r="A441" s="252" t="s">
        <v>1198</v>
      </c>
      <c r="B441" s="253">
        <f>$B$434/$B$438</f>
        <v>0.28539890368334453</v>
      </c>
      <c r="C441" s="253">
        <f>$C$434/$C$438</f>
        <v>0.16915393211850011</v>
      </c>
      <c r="D441" s="258">
        <f>$D$434/$D$438</f>
        <v>0.1383498496916736</v>
      </c>
      <c r="E441" s="253">
        <f>$E$434/$E$438</f>
        <v>9.7347367279587732E-2</v>
      </c>
      <c r="F441" s="258">
        <f>$F$434/$F$438</f>
        <v>0.11133561791408854</v>
      </c>
      <c r="G441" s="258">
        <f>$G$434/$G$438</f>
        <v>0.10000350026030227</v>
      </c>
      <c r="H441" s="258">
        <f>$H$434/$H$438</f>
        <v>0.11836371812814644</v>
      </c>
      <c r="I441" s="253">
        <f>$I$434/$I$438</f>
        <v>9.8586860382538707E-2</v>
      </c>
      <c r="J441" s="194"/>
      <c r="K441" s="194"/>
      <c r="L441" s="194"/>
      <c r="M441" s="193"/>
      <c r="N441" s="191"/>
      <c r="O441" s="5"/>
      <c r="P441" s="5"/>
      <c r="Q441" s="5"/>
      <c r="R441" s="5"/>
      <c r="S441" s="5"/>
      <c r="T441" s="5"/>
      <c r="U441" s="5"/>
      <c r="V441" s="5"/>
      <c r="W441" s="5"/>
      <c r="X441" s="5"/>
      <c r="Y441" s="5"/>
      <c r="Z441" s="5"/>
      <c r="AA441" s="5"/>
      <c r="AB441" s="5"/>
    </row>
    <row r="442" spans="1:28" ht="12.75" customHeight="1">
      <c r="A442" s="5"/>
      <c r="B442" s="5"/>
      <c r="C442" s="5"/>
      <c r="D442" s="5"/>
      <c r="E442" s="217"/>
      <c r="F442" s="198"/>
      <c r="G442" s="198"/>
      <c r="H442" s="888"/>
      <c r="I442" s="217"/>
      <c r="J442" s="306"/>
      <c r="K442" s="306"/>
      <c r="L442" s="306"/>
      <c r="M442" s="215"/>
      <c r="N442" s="5"/>
      <c r="O442" s="5"/>
      <c r="P442" s="5"/>
      <c r="Q442" s="5"/>
      <c r="R442" s="5"/>
      <c r="S442" s="5"/>
      <c r="T442" s="5"/>
      <c r="U442" s="5"/>
      <c r="V442" s="5"/>
      <c r="W442" s="5"/>
      <c r="X442" s="5"/>
      <c r="Y442" s="5"/>
      <c r="Z442" s="5"/>
      <c r="AA442" s="5"/>
      <c r="AB442" s="5"/>
    </row>
    <row r="443" spans="1:28" ht="12.75" customHeight="1">
      <c r="A443" s="5"/>
      <c r="B443" s="5"/>
      <c r="C443" s="5"/>
      <c r="D443" s="5"/>
      <c r="E443" s="217"/>
      <c r="F443" s="198"/>
      <c r="G443" s="198"/>
      <c r="H443" s="888"/>
      <c r="I443" s="217"/>
      <c r="J443" s="306"/>
      <c r="K443" s="306"/>
      <c r="L443" s="306"/>
      <c r="M443" s="306"/>
      <c r="N443" s="306"/>
      <c r="O443" s="5"/>
      <c r="P443" s="5"/>
      <c r="Q443" s="5"/>
      <c r="R443" s="5"/>
      <c r="S443" s="5"/>
      <c r="T443" s="5"/>
      <c r="U443" s="5"/>
      <c r="V443" s="5"/>
      <c r="W443" s="5"/>
      <c r="X443" s="5"/>
      <c r="Y443" s="5"/>
      <c r="Z443" s="5"/>
      <c r="AA443" s="5"/>
      <c r="AB443" s="5"/>
    </row>
    <row r="444" spans="1:28" ht="12.75" customHeight="1">
      <c r="A444" s="5"/>
      <c r="B444" s="5"/>
      <c r="C444" s="5"/>
      <c r="D444" s="5"/>
      <c r="E444" s="217"/>
      <c r="F444" s="198"/>
      <c r="G444" s="198"/>
      <c r="H444" s="888"/>
      <c r="I444" s="217"/>
      <c r="J444" s="306"/>
      <c r="K444" s="306"/>
      <c r="L444" s="306"/>
      <c r="M444" s="306"/>
      <c r="N444" s="306"/>
      <c r="O444" s="5"/>
      <c r="P444" s="5"/>
      <c r="Q444" s="5"/>
      <c r="R444" s="5"/>
      <c r="S444" s="5"/>
      <c r="T444" s="5"/>
      <c r="U444" s="5"/>
      <c r="V444" s="5"/>
      <c r="W444" s="5"/>
      <c r="X444" s="5"/>
      <c r="Y444" s="5"/>
      <c r="Z444" s="5"/>
      <c r="AA444" s="5"/>
      <c r="AB444" s="5"/>
    </row>
    <row r="445" spans="1:28" ht="12.75" customHeight="1">
      <c r="A445" s="5"/>
      <c r="B445" s="5"/>
      <c r="C445" s="5"/>
      <c r="D445" s="5"/>
      <c r="E445" s="217"/>
      <c r="F445" s="198"/>
      <c r="G445" s="198"/>
      <c r="H445" s="888"/>
      <c r="I445" s="217"/>
      <c r="J445" s="306"/>
      <c r="K445" s="306"/>
      <c r="L445" s="306"/>
      <c r="M445" s="306"/>
      <c r="N445" s="306"/>
      <c r="O445" s="5"/>
      <c r="P445" s="5"/>
      <c r="Q445" s="5"/>
      <c r="R445" s="5"/>
      <c r="S445" s="5"/>
      <c r="T445" s="5"/>
      <c r="U445" s="5"/>
      <c r="V445" s="5"/>
      <c r="W445" s="5"/>
      <c r="X445" s="5"/>
      <c r="Y445" s="5"/>
      <c r="Z445" s="5"/>
      <c r="AA445" s="5"/>
      <c r="AB445" s="5"/>
    </row>
    <row r="446" spans="1:28" ht="12.75" customHeight="1">
      <c r="A446" s="5"/>
      <c r="B446" s="5"/>
      <c r="C446" s="5"/>
      <c r="D446" s="5"/>
      <c r="E446" s="217"/>
      <c r="F446" s="198"/>
      <c r="G446" s="198"/>
      <c r="H446" s="888"/>
      <c r="I446" s="217"/>
      <c r="J446" s="306"/>
      <c r="K446" s="306"/>
      <c r="L446" s="306"/>
      <c r="M446" s="306"/>
      <c r="N446" s="306"/>
      <c r="O446" s="5"/>
      <c r="P446" s="5"/>
      <c r="Q446" s="5"/>
      <c r="R446" s="5"/>
      <c r="S446" s="5"/>
      <c r="T446" s="5"/>
      <c r="U446" s="5"/>
      <c r="V446" s="5"/>
      <c r="W446" s="5"/>
      <c r="X446" s="5"/>
      <c r="Y446" s="5"/>
      <c r="Z446" s="5"/>
      <c r="AA446" s="5"/>
      <c r="AB446" s="5"/>
    </row>
    <row r="447" spans="1:28" ht="12.75" customHeight="1">
      <c r="A447" s="5"/>
      <c r="B447" s="5"/>
      <c r="C447" s="5"/>
      <c r="D447" s="5"/>
      <c r="E447" s="217"/>
      <c r="F447" s="198"/>
      <c r="G447" s="198"/>
      <c r="H447" s="888"/>
      <c r="I447" s="217"/>
      <c r="J447" s="306"/>
      <c r="K447" s="306"/>
      <c r="L447" s="306"/>
      <c r="M447" s="306"/>
      <c r="N447" s="306"/>
      <c r="O447" s="5"/>
      <c r="P447" s="5"/>
      <c r="Q447" s="5"/>
      <c r="R447" s="5"/>
      <c r="S447" s="5"/>
      <c r="T447" s="5"/>
      <c r="U447" s="5"/>
      <c r="V447" s="5"/>
      <c r="W447" s="5"/>
      <c r="X447" s="5"/>
      <c r="Y447" s="5"/>
      <c r="Z447" s="5"/>
      <c r="AA447" s="5"/>
      <c r="AB447" s="5"/>
    </row>
    <row r="448" spans="1:28" ht="12.75" customHeight="1">
      <c r="A448" s="5"/>
      <c r="B448" s="5"/>
      <c r="C448" s="5"/>
      <c r="D448" s="5"/>
      <c r="E448" s="217"/>
      <c r="F448" s="198"/>
      <c r="G448" s="198"/>
      <c r="H448" s="888"/>
      <c r="I448" s="217"/>
      <c r="J448" s="306"/>
      <c r="K448" s="306"/>
      <c r="L448" s="306"/>
      <c r="M448" s="306"/>
      <c r="N448" s="306"/>
      <c r="O448" s="5"/>
      <c r="P448" s="5"/>
      <c r="Q448" s="5"/>
      <c r="R448" s="5"/>
      <c r="S448" s="5"/>
      <c r="T448" s="5"/>
      <c r="U448" s="5"/>
      <c r="V448" s="5"/>
      <c r="W448" s="5"/>
      <c r="X448" s="5"/>
      <c r="Y448" s="5"/>
      <c r="Z448" s="5"/>
      <c r="AA448" s="5"/>
      <c r="AB448" s="5"/>
    </row>
    <row r="449" spans="1:28" ht="12.75" customHeight="1">
      <c r="A449" s="5"/>
      <c r="B449" s="5"/>
      <c r="C449" s="5"/>
      <c r="D449" s="5"/>
      <c r="E449" s="217"/>
      <c r="F449" s="198"/>
      <c r="G449" s="198"/>
      <c r="H449" s="888"/>
      <c r="I449" s="217"/>
      <c r="J449" s="306"/>
      <c r="K449" s="306"/>
      <c r="L449" s="306"/>
      <c r="M449" s="306"/>
      <c r="N449" s="306"/>
      <c r="O449" s="5"/>
      <c r="P449" s="5"/>
      <c r="Q449" s="5"/>
      <c r="R449" s="5"/>
      <c r="S449" s="5"/>
      <c r="T449" s="5"/>
      <c r="U449" s="5"/>
      <c r="V449" s="5"/>
      <c r="W449" s="5"/>
      <c r="X449" s="5"/>
      <c r="Y449" s="5"/>
      <c r="Z449" s="5"/>
      <c r="AA449" s="5"/>
      <c r="AB449" s="5"/>
    </row>
    <row r="450" spans="1:28" ht="12.75" customHeight="1">
      <c r="A450" s="5"/>
      <c r="B450" s="5"/>
      <c r="C450" s="5"/>
      <c r="D450" s="5"/>
      <c r="E450" s="217"/>
      <c r="F450" s="198"/>
      <c r="G450" s="198"/>
      <c r="H450" s="888"/>
      <c r="I450" s="217"/>
      <c r="J450" s="306"/>
      <c r="K450" s="306"/>
      <c r="L450" s="306"/>
      <c r="M450" s="306"/>
      <c r="N450" s="306"/>
      <c r="O450" s="5"/>
      <c r="P450" s="5"/>
      <c r="Q450" s="5"/>
      <c r="R450" s="5"/>
      <c r="S450" s="5"/>
      <c r="T450" s="5"/>
      <c r="U450" s="5"/>
      <c r="V450" s="5"/>
      <c r="W450" s="5"/>
      <c r="X450" s="5"/>
      <c r="Y450" s="5"/>
      <c r="Z450" s="5"/>
      <c r="AA450" s="5"/>
      <c r="AB450" s="5"/>
    </row>
    <row r="451" spans="1:28" ht="12.75" customHeight="1">
      <c r="A451" s="5"/>
      <c r="B451" s="5"/>
      <c r="C451" s="5"/>
      <c r="D451" s="5"/>
      <c r="E451" s="217"/>
      <c r="F451" s="198"/>
      <c r="G451" s="198"/>
      <c r="H451" s="888"/>
      <c r="I451" s="217"/>
      <c r="J451" s="306"/>
      <c r="K451" s="306"/>
      <c r="L451" s="306"/>
      <c r="M451" s="306"/>
      <c r="N451" s="306"/>
      <c r="O451" s="5"/>
      <c r="P451" s="5"/>
      <c r="Q451" s="5"/>
      <c r="R451" s="5"/>
      <c r="S451" s="5"/>
      <c r="T451" s="5"/>
      <c r="U451" s="5"/>
      <c r="V451" s="5"/>
      <c r="W451" s="5"/>
      <c r="X451" s="5"/>
      <c r="Y451" s="5"/>
      <c r="Z451" s="5"/>
      <c r="AA451" s="5"/>
      <c r="AB451" s="5"/>
    </row>
    <row r="452" spans="1:28" ht="12.75" customHeight="1">
      <c r="A452" s="5"/>
      <c r="B452" s="5"/>
      <c r="C452" s="5"/>
      <c r="D452" s="5"/>
      <c r="E452" s="217"/>
      <c r="F452" s="198"/>
      <c r="G452" s="198"/>
      <c r="H452" s="888"/>
      <c r="I452" s="217"/>
      <c r="J452" s="306"/>
      <c r="K452" s="306"/>
      <c r="L452" s="306"/>
      <c r="M452" s="306"/>
      <c r="N452" s="306"/>
      <c r="O452" s="5"/>
      <c r="P452" s="5"/>
      <c r="Q452" s="5"/>
      <c r="R452" s="5"/>
      <c r="S452" s="5"/>
      <c r="T452" s="5"/>
      <c r="U452" s="5"/>
      <c r="V452" s="5"/>
      <c r="W452" s="5"/>
      <c r="X452" s="5"/>
      <c r="Y452" s="5"/>
      <c r="Z452" s="5"/>
      <c r="AA452" s="5"/>
      <c r="AB452" s="5"/>
    </row>
    <row r="453" spans="1:28" ht="12.75" customHeight="1">
      <c r="A453" s="5"/>
      <c r="B453" s="5"/>
      <c r="C453" s="5"/>
      <c r="D453" s="5"/>
      <c r="E453" s="217"/>
      <c r="F453" s="198"/>
      <c r="G453" s="198"/>
      <c r="H453" s="888"/>
      <c r="I453" s="217"/>
      <c r="J453" s="306"/>
      <c r="K453" s="306"/>
      <c r="L453" s="306"/>
      <c r="M453" s="306"/>
      <c r="N453" s="306"/>
      <c r="O453" s="5"/>
      <c r="P453" s="5"/>
      <c r="Q453" s="5"/>
      <c r="R453" s="5"/>
      <c r="S453" s="5"/>
      <c r="T453" s="5"/>
      <c r="U453" s="5"/>
      <c r="V453" s="5"/>
      <c r="W453" s="5"/>
      <c r="X453" s="5"/>
      <c r="Y453" s="5"/>
      <c r="Z453" s="5"/>
      <c r="AA453" s="5"/>
      <c r="AB453" s="5"/>
    </row>
    <row r="454" spans="1:28" ht="12.75" customHeight="1">
      <c r="A454" s="5"/>
      <c r="B454" s="5"/>
      <c r="C454" s="5"/>
      <c r="D454" s="5"/>
      <c r="E454" s="217"/>
      <c r="F454" s="198"/>
      <c r="G454" s="198"/>
      <c r="H454" s="888"/>
      <c r="I454" s="217"/>
      <c r="J454" s="306"/>
      <c r="K454" s="306"/>
      <c r="L454" s="306"/>
      <c r="M454" s="306"/>
      <c r="N454" s="306"/>
      <c r="O454" s="5"/>
      <c r="P454" s="5"/>
      <c r="Q454" s="5"/>
      <c r="R454" s="5"/>
      <c r="S454" s="5"/>
      <c r="T454" s="5"/>
      <c r="U454" s="5"/>
      <c r="V454" s="5"/>
      <c r="W454" s="5"/>
      <c r="X454" s="5"/>
      <c r="Y454" s="5"/>
      <c r="Z454" s="5"/>
      <c r="AA454" s="5"/>
      <c r="AB454" s="5"/>
    </row>
    <row r="455" spans="1:28" ht="12.75" customHeight="1">
      <c r="A455" s="5"/>
      <c r="B455" s="5"/>
      <c r="C455" s="5"/>
      <c r="D455" s="5"/>
      <c r="E455" s="217"/>
      <c r="F455" s="198"/>
      <c r="G455" s="198"/>
      <c r="H455" s="888"/>
      <c r="I455" s="217"/>
      <c r="J455" s="306"/>
      <c r="K455" s="306"/>
      <c r="L455" s="306"/>
      <c r="M455" s="306"/>
      <c r="N455" s="306"/>
      <c r="O455" s="5"/>
      <c r="P455" s="5"/>
      <c r="Q455" s="5"/>
      <c r="R455" s="5"/>
      <c r="S455" s="5"/>
      <c r="T455" s="5"/>
      <c r="U455" s="5"/>
      <c r="V455" s="5"/>
      <c r="W455" s="5"/>
      <c r="X455" s="5"/>
      <c r="Y455" s="5"/>
      <c r="Z455" s="5"/>
      <c r="AA455" s="5"/>
      <c r="AB455" s="5"/>
    </row>
    <row r="456" spans="1:28" ht="12.75" customHeight="1">
      <c r="A456" s="5"/>
      <c r="B456" s="5"/>
      <c r="C456" s="5"/>
      <c r="D456" s="5"/>
      <c r="E456" s="217"/>
      <c r="F456" s="198"/>
      <c r="G456" s="198"/>
      <c r="H456" s="888"/>
      <c r="I456" s="217"/>
      <c r="J456" s="306"/>
      <c r="K456" s="306"/>
      <c r="L456" s="306"/>
      <c r="M456" s="306"/>
      <c r="N456" s="306"/>
      <c r="O456" s="5"/>
      <c r="P456" s="5"/>
      <c r="Q456" s="5"/>
      <c r="R456" s="5"/>
      <c r="S456" s="5"/>
      <c r="T456" s="5"/>
      <c r="U456" s="5"/>
      <c r="V456" s="5"/>
      <c r="W456" s="5"/>
      <c r="X456" s="5"/>
      <c r="Y456" s="5"/>
      <c r="Z456" s="5"/>
      <c r="AA456" s="5"/>
      <c r="AB456" s="5"/>
    </row>
    <row r="457" spans="1:28" ht="12.75" customHeight="1">
      <c r="A457" s="5"/>
      <c r="B457" s="5"/>
      <c r="C457" s="5"/>
      <c r="D457" s="5"/>
      <c r="E457" s="217"/>
      <c r="F457" s="198"/>
      <c r="G457" s="198"/>
      <c r="H457" s="888"/>
      <c r="I457" s="217"/>
      <c r="J457" s="306"/>
      <c r="K457" s="306"/>
      <c r="L457" s="306"/>
      <c r="M457" s="306"/>
      <c r="N457" s="306"/>
      <c r="O457" s="5"/>
      <c r="P457" s="5"/>
      <c r="Q457" s="5"/>
      <c r="R457" s="5"/>
      <c r="S457" s="5"/>
      <c r="T457" s="5"/>
      <c r="U457" s="5"/>
      <c r="V457" s="5"/>
      <c r="W457" s="5"/>
      <c r="X457" s="5"/>
      <c r="Y457" s="5"/>
      <c r="Z457" s="5"/>
      <c r="AA457" s="5"/>
      <c r="AB457" s="5"/>
    </row>
    <row r="458" spans="1:28" ht="12.75" customHeight="1">
      <c r="A458" s="5"/>
      <c r="B458" s="5"/>
      <c r="C458" s="5"/>
      <c r="D458" s="5"/>
      <c r="E458" s="217"/>
      <c r="F458" s="198"/>
      <c r="G458" s="198"/>
      <c r="H458" s="888"/>
      <c r="I458" s="217"/>
      <c r="J458" s="306"/>
      <c r="K458" s="306"/>
      <c r="L458" s="306"/>
      <c r="M458" s="306"/>
      <c r="N458" s="306"/>
      <c r="O458" s="5"/>
      <c r="P458" s="5"/>
      <c r="Q458" s="5"/>
      <c r="R458" s="5"/>
      <c r="S458" s="5"/>
      <c r="T458" s="5"/>
      <c r="U458" s="5"/>
      <c r="V458" s="5"/>
      <c r="W458" s="5"/>
      <c r="X458" s="5"/>
      <c r="Y458" s="5"/>
      <c r="Z458" s="5"/>
      <c r="AA458" s="5"/>
      <c r="AB458" s="5"/>
    </row>
    <row r="459" spans="1:28" ht="12.75" customHeight="1">
      <c r="A459" s="5"/>
      <c r="B459" s="5"/>
      <c r="C459" s="5"/>
      <c r="D459" s="5"/>
      <c r="E459" s="217"/>
      <c r="F459" s="198"/>
      <c r="G459" s="198"/>
      <c r="H459" s="888"/>
      <c r="I459" s="217"/>
      <c r="J459" s="306"/>
      <c r="K459" s="306"/>
      <c r="L459" s="306"/>
      <c r="M459" s="306"/>
      <c r="N459" s="306"/>
      <c r="O459" s="5"/>
      <c r="P459" s="5"/>
      <c r="Q459" s="5"/>
      <c r="R459" s="5"/>
      <c r="S459" s="5"/>
      <c r="T459" s="5"/>
      <c r="U459" s="5"/>
      <c r="V459" s="5"/>
      <c r="W459" s="5"/>
      <c r="X459" s="5"/>
      <c r="Y459" s="5"/>
      <c r="Z459" s="5"/>
      <c r="AA459" s="5"/>
      <c r="AB459" s="5"/>
    </row>
    <row r="460" spans="1:28" ht="12.75" customHeight="1">
      <c r="A460" s="5"/>
      <c r="B460" s="5"/>
      <c r="C460" s="5"/>
      <c r="D460" s="5"/>
      <c r="E460" s="217"/>
      <c r="F460" s="198"/>
      <c r="G460" s="198"/>
      <c r="H460" s="888"/>
      <c r="I460" s="217"/>
      <c r="J460" s="306"/>
      <c r="K460" s="306"/>
      <c r="L460" s="306"/>
      <c r="M460" s="306"/>
      <c r="N460" s="306"/>
      <c r="O460" s="5"/>
      <c r="P460" s="5"/>
      <c r="Q460" s="5"/>
      <c r="R460" s="5"/>
      <c r="S460" s="5"/>
      <c r="T460" s="5"/>
      <c r="U460" s="5"/>
      <c r="V460" s="5"/>
      <c r="W460" s="5"/>
      <c r="X460" s="5"/>
      <c r="Y460" s="5"/>
      <c r="Z460" s="5"/>
      <c r="AA460" s="5"/>
      <c r="AB460" s="5"/>
    </row>
    <row r="461" spans="1:28" ht="12.75" customHeight="1">
      <c r="A461" s="5"/>
      <c r="B461" s="5"/>
      <c r="C461" s="5"/>
      <c r="D461" s="5"/>
      <c r="E461" s="217"/>
      <c r="F461" s="198"/>
      <c r="G461" s="198"/>
      <c r="H461" s="888"/>
      <c r="I461" s="217"/>
      <c r="J461" s="306"/>
      <c r="K461" s="306"/>
      <c r="L461" s="306"/>
      <c r="M461" s="306"/>
      <c r="N461" s="306"/>
      <c r="O461" s="5"/>
      <c r="P461" s="5"/>
      <c r="Q461" s="5"/>
      <c r="R461" s="5"/>
      <c r="S461" s="5"/>
      <c r="T461" s="5"/>
      <c r="U461" s="5"/>
      <c r="V461" s="5"/>
      <c r="W461" s="5"/>
      <c r="X461" s="5"/>
      <c r="Y461" s="5"/>
      <c r="Z461" s="5"/>
      <c r="AA461" s="5"/>
      <c r="AB461" s="5"/>
    </row>
    <row r="462" spans="1:28" ht="12.75" customHeight="1">
      <c r="A462" s="5"/>
      <c r="B462" s="5"/>
      <c r="C462" s="5"/>
      <c r="D462" s="5"/>
      <c r="E462" s="217"/>
      <c r="F462" s="198"/>
      <c r="G462" s="198"/>
      <c r="H462" s="888"/>
      <c r="I462" s="217"/>
      <c r="J462" s="306"/>
      <c r="K462" s="306"/>
      <c r="L462" s="306"/>
      <c r="M462" s="306"/>
      <c r="N462" s="306"/>
      <c r="O462" s="5"/>
      <c r="P462" s="5"/>
      <c r="Q462" s="5"/>
      <c r="R462" s="5"/>
      <c r="S462" s="5"/>
      <c r="T462" s="5"/>
      <c r="U462" s="5"/>
      <c r="V462" s="5"/>
      <c r="W462" s="5"/>
      <c r="X462" s="5"/>
      <c r="Y462" s="5"/>
      <c r="Z462" s="5"/>
      <c r="AA462" s="5"/>
      <c r="AB462" s="5"/>
    </row>
    <row r="463" spans="1:28" ht="12.75" customHeight="1">
      <c r="A463" s="5"/>
      <c r="B463" s="5"/>
      <c r="C463" s="5"/>
      <c r="D463" s="5"/>
      <c r="E463" s="217"/>
      <c r="F463" s="198"/>
      <c r="G463" s="198"/>
      <c r="H463" s="888"/>
      <c r="I463" s="217"/>
      <c r="J463" s="306"/>
      <c r="K463" s="306"/>
      <c r="L463" s="306"/>
      <c r="M463" s="306"/>
      <c r="N463" s="306"/>
      <c r="O463" s="5"/>
      <c r="P463" s="5"/>
      <c r="Q463" s="5"/>
      <c r="R463" s="5"/>
      <c r="S463" s="5"/>
      <c r="T463" s="5"/>
      <c r="U463" s="5"/>
      <c r="V463" s="5"/>
      <c r="W463" s="5"/>
      <c r="X463" s="5"/>
      <c r="Y463" s="5"/>
      <c r="Z463" s="5"/>
      <c r="AA463" s="5"/>
      <c r="AB463" s="5"/>
    </row>
    <row r="464" spans="1:28" ht="12.75" customHeight="1">
      <c r="A464" s="5"/>
      <c r="B464" s="5"/>
      <c r="C464" s="5"/>
      <c r="D464" s="5"/>
      <c r="E464" s="217"/>
      <c r="F464" s="198"/>
      <c r="G464" s="198"/>
      <c r="H464" s="888"/>
      <c r="I464" s="217"/>
      <c r="J464" s="306"/>
      <c r="K464" s="306"/>
      <c r="L464" s="306"/>
      <c r="M464" s="306"/>
      <c r="N464" s="306"/>
      <c r="O464" s="5"/>
      <c r="P464" s="5"/>
      <c r="Q464" s="5"/>
      <c r="R464" s="5"/>
      <c r="S464" s="5"/>
      <c r="T464" s="5"/>
      <c r="U464" s="5"/>
      <c r="V464" s="5"/>
      <c r="W464" s="5"/>
      <c r="X464" s="5"/>
      <c r="Y464" s="5"/>
      <c r="Z464" s="5"/>
      <c r="AA464" s="5"/>
      <c r="AB464" s="5"/>
    </row>
    <row r="465" spans="1:28" ht="12.75" customHeight="1">
      <c r="A465" s="5"/>
      <c r="B465" s="5"/>
      <c r="C465" s="5"/>
      <c r="D465" s="5"/>
      <c r="E465" s="217"/>
      <c r="F465" s="198"/>
      <c r="G465" s="198"/>
      <c r="H465" s="888"/>
      <c r="I465" s="217"/>
      <c r="J465" s="306"/>
      <c r="K465" s="306"/>
      <c r="L465" s="306"/>
      <c r="M465" s="306"/>
      <c r="N465" s="306"/>
      <c r="O465" s="5"/>
      <c r="P465" s="5"/>
      <c r="Q465" s="5"/>
      <c r="R465" s="5"/>
      <c r="S465" s="5"/>
      <c r="T465" s="5"/>
      <c r="U465" s="5"/>
      <c r="V465" s="5"/>
      <c r="W465" s="5"/>
      <c r="X465" s="5"/>
      <c r="Y465" s="5"/>
      <c r="Z465" s="5"/>
      <c r="AA465" s="5"/>
      <c r="AB465" s="5"/>
    </row>
    <row r="466" spans="1:28" ht="12.75" customHeight="1">
      <c r="A466" s="5"/>
      <c r="B466" s="5"/>
      <c r="C466" s="5"/>
      <c r="D466" s="5"/>
      <c r="E466" s="217"/>
      <c r="F466" s="198"/>
      <c r="G466" s="198"/>
      <c r="H466" s="888"/>
      <c r="I466" s="217"/>
      <c r="J466" s="306"/>
      <c r="K466" s="306"/>
      <c r="L466" s="306"/>
      <c r="M466" s="306"/>
      <c r="N466" s="306"/>
      <c r="O466" s="5"/>
      <c r="P466" s="5"/>
      <c r="Q466" s="5"/>
      <c r="R466" s="5"/>
      <c r="S466" s="5"/>
      <c r="T466" s="5"/>
      <c r="U466" s="5"/>
      <c r="V466" s="5"/>
      <c r="W466" s="5"/>
      <c r="X466" s="5"/>
      <c r="Y466" s="5"/>
      <c r="Z466" s="5"/>
      <c r="AA466" s="5"/>
      <c r="AB466" s="5"/>
    </row>
    <row r="467" spans="1:28" ht="12.75" customHeight="1">
      <c r="A467" s="5"/>
      <c r="B467" s="5"/>
      <c r="C467" s="5"/>
      <c r="D467" s="5"/>
      <c r="E467" s="217"/>
      <c r="F467" s="198"/>
      <c r="G467" s="198"/>
      <c r="H467" s="888"/>
      <c r="I467" s="217"/>
      <c r="J467" s="306"/>
      <c r="K467" s="306"/>
      <c r="L467" s="306"/>
      <c r="M467" s="306"/>
      <c r="N467" s="306"/>
      <c r="O467" s="5"/>
      <c r="P467" s="5"/>
      <c r="Q467" s="5"/>
      <c r="R467" s="5"/>
      <c r="S467" s="5"/>
      <c r="T467" s="5"/>
      <c r="U467" s="5"/>
      <c r="V467" s="5"/>
      <c r="W467" s="5"/>
      <c r="X467" s="5"/>
      <c r="Y467" s="5"/>
      <c r="Z467" s="5"/>
      <c r="AA467" s="5"/>
      <c r="AB467" s="5"/>
    </row>
    <row r="468" spans="1:28" ht="12.75" customHeight="1">
      <c r="A468" s="5"/>
      <c r="B468" s="5"/>
      <c r="C468" s="5"/>
      <c r="D468" s="5"/>
      <c r="E468" s="217"/>
      <c r="F468" s="198"/>
      <c r="G468" s="198"/>
      <c r="H468" s="888"/>
      <c r="I468" s="217"/>
      <c r="J468" s="306"/>
      <c r="K468" s="306"/>
      <c r="L468" s="306"/>
      <c r="M468" s="306"/>
      <c r="N468" s="306"/>
      <c r="O468" s="5"/>
      <c r="P468" s="5"/>
      <c r="Q468" s="5"/>
      <c r="R468" s="5"/>
      <c r="S468" s="5"/>
      <c r="T468" s="5"/>
      <c r="U468" s="5"/>
      <c r="V468" s="5"/>
      <c r="W468" s="5"/>
      <c r="X468" s="5"/>
      <c r="Y468" s="5"/>
      <c r="Z468" s="5"/>
      <c r="AA468" s="5"/>
      <c r="AB468" s="5"/>
    </row>
    <row r="469" spans="1:28" ht="12.75" customHeight="1">
      <c r="A469" s="5"/>
      <c r="B469" s="5"/>
      <c r="C469" s="5"/>
      <c r="D469" s="5"/>
      <c r="E469" s="217"/>
      <c r="F469" s="198"/>
      <c r="G469" s="198"/>
      <c r="H469" s="888"/>
      <c r="I469" s="217"/>
      <c r="J469" s="306"/>
      <c r="K469" s="306"/>
      <c r="L469" s="306"/>
      <c r="M469" s="306"/>
      <c r="N469" s="306"/>
      <c r="O469" s="5"/>
      <c r="P469" s="5"/>
      <c r="Q469" s="5"/>
      <c r="R469" s="5"/>
      <c r="S469" s="5"/>
      <c r="T469" s="5"/>
      <c r="U469" s="5"/>
      <c r="V469" s="5"/>
      <c r="W469" s="5"/>
      <c r="X469" s="5"/>
      <c r="Y469" s="5"/>
      <c r="Z469" s="5"/>
      <c r="AA469" s="5"/>
      <c r="AB469" s="5"/>
    </row>
    <row r="470" spans="1:28" ht="12.75" customHeight="1">
      <c r="A470" s="5"/>
      <c r="B470" s="5"/>
      <c r="C470" s="5"/>
      <c r="D470" s="5"/>
      <c r="E470" s="217"/>
      <c r="F470" s="198"/>
      <c r="G470" s="198"/>
      <c r="H470" s="888"/>
      <c r="I470" s="217"/>
      <c r="J470" s="306"/>
      <c r="K470" s="306"/>
      <c r="L470" s="306"/>
      <c r="M470" s="306"/>
      <c r="N470" s="306"/>
      <c r="O470" s="5"/>
      <c r="P470" s="5"/>
      <c r="Q470" s="5"/>
      <c r="R470" s="5"/>
      <c r="S470" s="5"/>
      <c r="T470" s="5"/>
      <c r="U470" s="5"/>
      <c r="V470" s="5"/>
      <c r="W470" s="5"/>
      <c r="X470" s="5"/>
      <c r="Y470" s="5"/>
      <c r="Z470" s="5"/>
      <c r="AA470" s="5"/>
      <c r="AB470" s="5"/>
    </row>
    <row r="471" spans="1:28" ht="12.75" customHeight="1">
      <c r="A471" s="5"/>
      <c r="B471" s="5"/>
      <c r="C471" s="5"/>
      <c r="D471" s="5"/>
      <c r="E471" s="217"/>
      <c r="F471" s="198"/>
      <c r="G471" s="198"/>
      <c r="H471" s="888"/>
      <c r="I471" s="217"/>
      <c r="J471" s="306"/>
      <c r="K471" s="306"/>
      <c r="L471" s="306"/>
      <c r="M471" s="306"/>
      <c r="N471" s="306"/>
      <c r="O471" s="5"/>
      <c r="P471" s="5"/>
      <c r="Q471" s="5"/>
      <c r="R471" s="5"/>
      <c r="S471" s="5"/>
      <c r="T471" s="5"/>
      <c r="U471" s="5"/>
      <c r="V471" s="5"/>
      <c r="W471" s="5"/>
      <c r="X471" s="5"/>
      <c r="Y471" s="5"/>
      <c r="Z471" s="5"/>
      <c r="AA471" s="5"/>
      <c r="AB471" s="5"/>
    </row>
    <row r="472" spans="1:28" ht="12.75" customHeight="1">
      <c r="A472" s="5"/>
      <c r="B472" s="5"/>
      <c r="C472" s="5"/>
      <c r="D472" s="5"/>
      <c r="E472" s="217"/>
      <c r="F472" s="198"/>
      <c r="G472" s="198"/>
      <c r="H472" s="888"/>
      <c r="I472" s="217"/>
      <c r="J472" s="306"/>
      <c r="K472" s="306"/>
      <c r="L472" s="306"/>
      <c r="M472" s="306"/>
      <c r="N472" s="306"/>
      <c r="O472" s="5"/>
      <c r="P472" s="5"/>
      <c r="Q472" s="5"/>
      <c r="R472" s="5"/>
      <c r="S472" s="5"/>
      <c r="T472" s="5"/>
      <c r="U472" s="5"/>
      <c r="V472" s="5"/>
      <c r="W472" s="5"/>
      <c r="X472" s="5"/>
      <c r="Y472" s="5"/>
      <c r="Z472" s="5"/>
      <c r="AA472" s="5"/>
      <c r="AB472" s="5"/>
    </row>
    <row r="473" spans="1:28" ht="12.75" customHeight="1">
      <c r="A473" s="5"/>
      <c r="B473" s="5"/>
      <c r="C473" s="5"/>
      <c r="D473" s="5"/>
      <c r="E473" s="217"/>
      <c r="F473" s="198"/>
      <c r="G473" s="198"/>
      <c r="H473" s="888"/>
      <c r="I473" s="217"/>
      <c r="J473" s="306"/>
      <c r="K473" s="306"/>
      <c r="L473" s="306"/>
      <c r="M473" s="306"/>
      <c r="N473" s="306"/>
      <c r="O473" s="5"/>
      <c r="P473" s="5"/>
      <c r="Q473" s="5"/>
      <c r="R473" s="5"/>
      <c r="S473" s="5"/>
      <c r="T473" s="5"/>
      <c r="U473" s="5"/>
      <c r="V473" s="5"/>
      <c r="W473" s="5"/>
      <c r="X473" s="5"/>
      <c r="Y473" s="5"/>
      <c r="Z473" s="5"/>
      <c r="AA473" s="5"/>
      <c r="AB473" s="5"/>
    </row>
    <row r="474" spans="1:28" ht="12.75" customHeight="1">
      <c r="A474" s="5"/>
      <c r="B474" s="5"/>
      <c r="C474" s="5"/>
      <c r="D474" s="5"/>
      <c r="E474" s="217"/>
      <c r="F474" s="198"/>
      <c r="G474" s="198"/>
      <c r="H474" s="888"/>
      <c r="I474" s="217"/>
      <c r="J474" s="306"/>
      <c r="K474" s="306"/>
      <c r="L474" s="306"/>
      <c r="M474" s="306"/>
      <c r="N474" s="306"/>
      <c r="O474" s="5"/>
      <c r="P474" s="5"/>
      <c r="Q474" s="5"/>
      <c r="R474" s="5"/>
      <c r="S474" s="5"/>
      <c r="T474" s="5"/>
      <c r="U474" s="5"/>
      <c r="V474" s="5"/>
      <c r="W474" s="5"/>
      <c r="X474" s="5"/>
      <c r="Y474" s="5"/>
      <c r="Z474" s="5"/>
      <c r="AA474" s="5"/>
      <c r="AB474" s="5"/>
    </row>
    <row r="475" spans="1:28" ht="12.75" customHeight="1">
      <c r="A475" s="5"/>
      <c r="B475" s="5"/>
      <c r="C475" s="5"/>
      <c r="D475" s="5"/>
      <c r="E475" s="217"/>
      <c r="F475" s="198"/>
      <c r="G475" s="198"/>
      <c r="H475" s="888"/>
      <c r="I475" s="217"/>
      <c r="J475" s="306"/>
      <c r="K475" s="306"/>
      <c r="L475" s="306"/>
      <c r="M475" s="306"/>
      <c r="N475" s="306"/>
      <c r="O475" s="5"/>
      <c r="P475" s="5"/>
      <c r="Q475" s="5"/>
      <c r="R475" s="5"/>
      <c r="S475" s="5"/>
      <c r="T475" s="5"/>
      <c r="U475" s="5"/>
      <c r="V475" s="5"/>
      <c r="W475" s="5"/>
      <c r="X475" s="5"/>
      <c r="Y475" s="5"/>
      <c r="Z475" s="5"/>
      <c r="AA475" s="5"/>
      <c r="AB475" s="5"/>
    </row>
    <row r="476" spans="1:28" ht="12.75" customHeight="1">
      <c r="A476" s="5"/>
      <c r="B476" s="5"/>
      <c r="C476" s="5"/>
      <c r="D476" s="5"/>
      <c r="E476" s="217"/>
      <c r="F476" s="198"/>
      <c r="G476" s="198"/>
      <c r="H476" s="888"/>
      <c r="I476" s="217"/>
      <c r="J476" s="306"/>
      <c r="K476" s="306"/>
      <c r="L476" s="306"/>
      <c r="M476" s="306"/>
      <c r="N476" s="306"/>
      <c r="O476" s="5"/>
      <c r="P476" s="5"/>
      <c r="Q476" s="5"/>
      <c r="R476" s="5"/>
      <c r="S476" s="5"/>
      <c r="T476" s="5"/>
      <c r="U476" s="5"/>
      <c r="V476" s="5"/>
      <c r="W476" s="5"/>
      <c r="X476" s="5"/>
      <c r="Y476" s="5"/>
      <c r="Z476" s="5"/>
      <c r="AA476" s="5"/>
      <c r="AB476" s="5"/>
    </row>
    <row r="477" spans="1:28" ht="12.75" customHeight="1">
      <c r="A477" s="5"/>
      <c r="B477" s="5"/>
      <c r="C477" s="5"/>
      <c r="D477" s="5"/>
      <c r="E477" s="217"/>
      <c r="F477" s="198"/>
      <c r="G477" s="198"/>
      <c r="H477" s="888"/>
      <c r="I477" s="217"/>
      <c r="J477" s="306"/>
      <c r="K477" s="306"/>
      <c r="L477" s="306"/>
      <c r="M477" s="306"/>
      <c r="N477" s="306"/>
      <c r="O477" s="5"/>
      <c r="P477" s="5"/>
      <c r="Q477" s="5"/>
      <c r="R477" s="5"/>
      <c r="S477" s="5"/>
      <c r="T477" s="5"/>
      <c r="U477" s="5"/>
      <c r="V477" s="5"/>
      <c r="W477" s="5"/>
      <c r="X477" s="5"/>
      <c r="Y477" s="5"/>
      <c r="Z477" s="5"/>
      <c r="AA477" s="5"/>
      <c r="AB477" s="5"/>
    </row>
    <row r="478" spans="1:28" ht="12.75" customHeight="1">
      <c r="A478" s="5"/>
      <c r="B478" s="5"/>
      <c r="C478" s="5"/>
      <c r="D478" s="5"/>
      <c r="E478" s="217"/>
      <c r="F478" s="198"/>
      <c r="G478" s="198"/>
      <c r="H478" s="888"/>
      <c r="I478" s="217"/>
      <c r="J478" s="306"/>
      <c r="K478" s="306"/>
      <c r="L478" s="306"/>
      <c r="M478" s="306"/>
      <c r="N478" s="306"/>
      <c r="O478" s="5"/>
      <c r="P478" s="5"/>
      <c r="Q478" s="5"/>
      <c r="R478" s="5"/>
      <c r="S478" s="5"/>
      <c r="T478" s="5"/>
      <c r="U478" s="5"/>
      <c r="V478" s="5"/>
      <c r="W478" s="5"/>
      <c r="X478" s="5"/>
      <c r="Y478" s="5"/>
      <c r="Z478" s="5"/>
      <c r="AA478" s="5"/>
      <c r="AB478" s="5"/>
    </row>
    <row r="479" spans="1:28" ht="12.75" customHeight="1">
      <c r="A479" s="5"/>
      <c r="B479" s="5"/>
      <c r="C479" s="5"/>
      <c r="D479" s="5"/>
      <c r="E479" s="217"/>
      <c r="F479" s="198"/>
      <c r="G479" s="198"/>
      <c r="H479" s="888"/>
      <c r="I479" s="217"/>
      <c r="J479" s="306"/>
      <c r="K479" s="306"/>
      <c r="L479" s="306"/>
      <c r="M479" s="306"/>
      <c r="N479" s="306"/>
      <c r="O479" s="5"/>
      <c r="P479" s="5"/>
      <c r="Q479" s="5"/>
      <c r="R479" s="5"/>
      <c r="S479" s="5"/>
      <c r="T479" s="5"/>
      <c r="U479" s="5"/>
      <c r="V479" s="5"/>
      <c r="W479" s="5"/>
      <c r="X479" s="5"/>
      <c r="Y479" s="5"/>
      <c r="Z479" s="5"/>
      <c r="AA479" s="5"/>
      <c r="AB479" s="5"/>
    </row>
    <row r="480" spans="1:28" ht="12.75" customHeight="1">
      <c r="A480" s="5"/>
      <c r="B480" s="5"/>
      <c r="C480" s="5"/>
      <c r="D480" s="5"/>
      <c r="E480" s="217"/>
      <c r="F480" s="198"/>
      <c r="G480" s="198"/>
      <c r="H480" s="888"/>
      <c r="I480" s="217"/>
      <c r="J480" s="306"/>
      <c r="K480" s="306"/>
      <c r="L480" s="306"/>
      <c r="M480" s="306"/>
      <c r="N480" s="306"/>
      <c r="O480" s="5"/>
      <c r="P480" s="5"/>
      <c r="Q480" s="5"/>
      <c r="R480" s="5"/>
      <c r="S480" s="5"/>
      <c r="T480" s="5"/>
      <c r="U480" s="5"/>
      <c r="V480" s="5"/>
      <c r="W480" s="5"/>
      <c r="X480" s="5"/>
      <c r="Y480" s="5"/>
      <c r="Z480" s="5"/>
      <c r="AA480" s="5"/>
      <c r="AB480" s="5"/>
    </row>
    <row r="481" spans="1:28" ht="12.75" customHeight="1">
      <c r="A481" s="5"/>
      <c r="B481" s="5"/>
      <c r="C481" s="5"/>
      <c r="D481" s="5"/>
      <c r="E481" s="217"/>
      <c r="F481" s="198"/>
      <c r="G481" s="198"/>
      <c r="H481" s="888"/>
      <c r="I481" s="217"/>
      <c r="J481" s="306"/>
      <c r="K481" s="306"/>
      <c r="L481" s="306"/>
      <c r="M481" s="306"/>
      <c r="N481" s="306"/>
      <c r="O481" s="5"/>
      <c r="P481" s="5"/>
      <c r="Q481" s="5"/>
      <c r="R481" s="5"/>
      <c r="S481" s="5"/>
      <c r="T481" s="5"/>
      <c r="U481" s="5"/>
      <c r="V481" s="5"/>
      <c r="W481" s="5"/>
      <c r="X481" s="5"/>
      <c r="Y481" s="5"/>
      <c r="Z481" s="5"/>
      <c r="AA481" s="5"/>
      <c r="AB481" s="5"/>
    </row>
    <row r="482" spans="1:28" ht="12.75" customHeight="1">
      <c r="A482" s="5"/>
      <c r="B482" s="5"/>
      <c r="C482" s="5"/>
      <c r="D482" s="5"/>
      <c r="E482" s="217"/>
      <c r="F482" s="198"/>
      <c r="G482" s="198"/>
      <c r="H482" s="888"/>
      <c r="I482" s="217"/>
      <c r="J482" s="306"/>
      <c r="K482" s="306"/>
      <c r="L482" s="306"/>
      <c r="M482" s="306"/>
      <c r="N482" s="306"/>
      <c r="O482" s="5"/>
      <c r="P482" s="5"/>
      <c r="Q482" s="5"/>
      <c r="R482" s="5"/>
      <c r="S482" s="5"/>
      <c r="T482" s="5"/>
      <c r="U482" s="5"/>
      <c r="V482" s="5"/>
      <c r="W482" s="5"/>
      <c r="X482" s="5"/>
      <c r="Y482" s="5"/>
      <c r="Z482" s="5"/>
      <c r="AA482" s="5"/>
      <c r="AB482" s="5"/>
    </row>
    <row r="483" spans="1:28" ht="12.75" customHeight="1">
      <c r="A483" s="5"/>
      <c r="B483" s="5"/>
      <c r="C483" s="5"/>
      <c r="D483" s="5"/>
      <c r="E483" s="217"/>
      <c r="F483" s="198"/>
      <c r="G483" s="198"/>
      <c r="H483" s="888"/>
      <c r="I483" s="217"/>
      <c r="J483" s="306"/>
      <c r="K483" s="306"/>
      <c r="L483" s="306"/>
      <c r="M483" s="306"/>
      <c r="N483" s="306"/>
      <c r="O483" s="5"/>
      <c r="P483" s="5"/>
      <c r="Q483" s="5"/>
      <c r="R483" s="5"/>
      <c r="S483" s="5"/>
      <c r="T483" s="5"/>
      <c r="U483" s="5"/>
      <c r="V483" s="5"/>
      <c r="W483" s="5"/>
      <c r="X483" s="5"/>
      <c r="Y483" s="5"/>
      <c r="Z483" s="5"/>
      <c r="AA483" s="5"/>
      <c r="AB483" s="5"/>
    </row>
    <row r="484" spans="1:28" ht="12.75" customHeight="1">
      <c r="A484" s="5"/>
      <c r="B484" s="5"/>
      <c r="C484" s="5"/>
      <c r="D484" s="5"/>
      <c r="E484" s="217"/>
      <c r="F484" s="198"/>
      <c r="G484" s="198"/>
      <c r="H484" s="888"/>
      <c r="I484" s="217"/>
      <c r="J484" s="306"/>
      <c r="K484" s="306"/>
      <c r="L484" s="306"/>
      <c r="M484" s="306"/>
      <c r="N484" s="306"/>
      <c r="O484" s="5"/>
      <c r="P484" s="5"/>
      <c r="Q484" s="5"/>
      <c r="R484" s="5"/>
      <c r="S484" s="5"/>
      <c r="T484" s="5"/>
      <c r="U484" s="5"/>
      <c r="V484" s="5"/>
      <c r="W484" s="5"/>
      <c r="X484" s="5"/>
      <c r="Y484" s="5"/>
      <c r="Z484" s="5"/>
      <c r="AA484" s="5"/>
      <c r="AB484" s="5"/>
    </row>
    <row r="485" spans="1:28" ht="12.75" customHeight="1">
      <c r="A485" s="5"/>
      <c r="B485" s="5"/>
      <c r="C485" s="5"/>
      <c r="D485" s="5"/>
      <c r="E485" s="217"/>
      <c r="F485" s="198"/>
      <c r="G485" s="198"/>
      <c r="H485" s="888"/>
      <c r="I485" s="217"/>
      <c r="J485" s="306"/>
      <c r="K485" s="306"/>
      <c r="L485" s="306"/>
      <c r="M485" s="306"/>
      <c r="N485" s="306"/>
      <c r="O485" s="5"/>
      <c r="P485" s="5"/>
      <c r="Q485" s="5"/>
      <c r="R485" s="5"/>
      <c r="S485" s="5"/>
      <c r="T485" s="5"/>
      <c r="U485" s="5"/>
      <c r="V485" s="5"/>
      <c r="W485" s="5"/>
      <c r="X485" s="5"/>
      <c r="Y485" s="5"/>
      <c r="Z485" s="5"/>
      <c r="AA485" s="5"/>
      <c r="AB485" s="5"/>
    </row>
    <row r="486" spans="1:28" ht="12.75" customHeight="1">
      <c r="A486" s="5"/>
      <c r="B486" s="5"/>
      <c r="C486" s="5"/>
      <c r="D486" s="5"/>
      <c r="E486" s="217"/>
      <c r="F486" s="198"/>
      <c r="G486" s="198"/>
      <c r="H486" s="888"/>
      <c r="I486" s="217"/>
      <c r="J486" s="306"/>
      <c r="K486" s="306"/>
      <c r="L486" s="306"/>
      <c r="M486" s="306"/>
      <c r="N486" s="306"/>
      <c r="O486" s="5"/>
      <c r="P486" s="5"/>
      <c r="Q486" s="5"/>
      <c r="R486" s="5"/>
      <c r="S486" s="5"/>
      <c r="T486" s="5"/>
      <c r="U486" s="5"/>
      <c r="V486" s="5"/>
      <c r="W486" s="5"/>
      <c r="X486" s="5"/>
      <c r="Y486" s="5"/>
      <c r="Z486" s="5"/>
      <c r="AA486" s="5"/>
      <c r="AB486" s="5"/>
    </row>
    <row r="487" spans="1:28" ht="12.75" customHeight="1">
      <c r="A487" s="5"/>
      <c r="B487" s="5"/>
      <c r="C487" s="5"/>
      <c r="D487" s="5"/>
      <c r="E487" s="217"/>
      <c r="F487" s="198"/>
      <c r="G487" s="198"/>
      <c r="H487" s="888"/>
      <c r="I487" s="217"/>
      <c r="J487" s="306"/>
      <c r="K487" s="306"/>
      <c r="L487" s="306"/>
      <c r="M487" s="306"/>
      <c r="N487" s="306"/>
      <c r="O487" s="5"/>
      <c r="P487" s="5"/>
      <c r="Q487" s="5"/>
      <c r="R487" s="5"/>
      <c r="S487" s="5"/>
      <c r="T487" s="5"/>
      <c r="U487" s="5"/>
      <c r="V487" s="5"/>
      <c r="W487" s="5"/>
      <c r="X487" s="5"/>
      <c r="Y487" s="5"/>
      <c r="Z487" s="5"/>
      <c r="AA487" s="5"/>
      <c r="AB487" s="5"/>
    </row>
    <row r="488" spans="1:28" ht="12.75" customHeight="1">
      <c r="A488" s="5"/>
      <c r="B488" s="5"/>
      <c r="C488" s="5"/>
      <c r="D488" s="5"/>
      <c r="E488" s="217"/>
      <c r="F488" s="198"/>
      <c r="G488" s="198"/>
      <c r="H488" s="888"/>
      <c r="I488" s="217"/>
      <c r="J488" s="306"/>
      <c r="K488" s="306"/>
      <c r="L488" s="306"/>
      <c r="M488" s="306"/>
      <c r="N488" s="306"/>
      <c r="O488" s="5"/>
      <c r="P488" s="5"/>
      <c r="Q488" s="5"/>
      <c r="R488" s="5"/>
      <c r="S488" s="5"/>
      <c r="T488" s="5"/>
      <c r="U488" s="5"/>
      <c r="V488" s="5"/>
      <c r="W488" s="5"/>
      <c r="X488" s="5"/>
      <c r="Y488" s="5"/>
      <c r="Z488" s="5"/>
      <c r="AA488" s="5"/>
      <c r="AB488" s="5"/>
    </row>
    <row r="489" spans="1:28" ht="12.75" customHeight="1">
      <c r="A489" s="5"/>
      <c r="B489" s="5"/>
      <c r="C489" s="5"/>
      <c r="D489" s="5"/>
      <c r="E489" s="217"/>
      <c r="F489" s="198"/>
      <c r="G489" s="198"/>
      <c r="H489" s="888"/>
      <c r="I489" s="217"/>
      <c r="J489" s="306"/>
      <c r="K489" s="306"/>
      <c r="L489" s="306"/>
      <c r="M489" s="306"/>
      <c r="N489" s="306"/>
      <c r="O489" s="5"/>
      <c r="P489" s="5"/>
      <c r="Q489" s="5"/>
      <c r="R489" s="5"/>
      <c r="S489" s="5"/>
      <c r="T489" s="5"/>
      <c r="U489" s="5"/>
      <c r="V489" s="5"/>
      <c r="W489" s="5"/>
      <c r="X489" s="5"/>
      <c r="Y489" s="5"/>
      <c r="Z489" s="5"/>
      <c r="AA489" s="5"/>
      <c r="AB489" s="5"/>
    </row>
    <row r="490" spans="1:28" ht="12.75" customHeight="1">
      <c r="A490" s="5"/>
      <c r="B490" s="5"/>
      <c r="C490" s="5"/>
      <c r="D490" s="5"/>
      <c r="E490" s="217"/>
      <c r="F490" s="198"/>
      <c r="G490" s="198"/>
      <c r="H490" s="888"/>
      <c r="I490" s="217"/>
      <c r="J490" s="306"/>
      <c r="K490" s="306"/>
      <c r="L490" s="306"/>
      <c r="M490" s="306"/>
      <c r="N490" s="306"/>
      <c r="O490" s="5"/>
      <c r="P490" s="5"/>
      <c r="Q490" s="5"/>
      <c r="R490" s="5"/>
      <c r="S490" s="5"/>
      <c r="T490" s="5"/>
      <c r="U490" s="5"/>
      <c r="V490" s="5"/>
      <c r="W490" s="5"/>
      <c r="X490" s="5"/>
      <c r="Y490" s="5"/>
      <c r="Z490" s="5"/>
      <c r="AA490" s="5"/>
      <c r="AB490" s="5"/>
    </row>
    <row r="491" spans="1:28" ht="12.75" customHeight="1">
      <c r="A491" s="5"/>
      <c r="B491" s="5"/>
      <c r="C491" s="5"/>
      <c r="D491" s="5"/>
      <c r="E491" s="217"/>
      <c r="F491" s="198"/>
      <c r="G491" s="198"/>
      <c r="H491" s="888"/>
      <c r="I491" s="217"/>
      <c r="J491" s="306"/>
      <c r="K491" s="306"/>
      <c r="L491" s="306"/>
      <c r="M491" s="306"/>
      <c r="N491" s="306"/>
      <c r="O491" s="5"/>
      <c r="P491" s="5"/>
      <c r="Q491" s="5"/>
      <c r="R491" s="5"/>
      <c r="S491" s="5"/>
      <c r="T491" s="5"/>
      <c r="U491" s="5"/>
      <c r="V491" s="5"/>
      <c r="W491" s="5"/>
      <c r="X491" s="5"/>
      <c r="Y491" s="5"/>
      <c r="Z491" s="5"/>
      <c r="AA491" s="5"/>
      <c r="AB491" s="5"/>
    </row>
    <row r="492" spans="1:28" ht="12.75" customHeight="1">
      <c r="A492" s="5"/>
      <c r="B492" s="5"/>
      <c r="C492" s="5"/>
      <c r="D492" s="5"/>
      <c r="E492" s="217"/>
      <c r="F492" s="198"/>
      <c r="G492" s="198"/>
      <c r="H492" s="888"/>
      <c r="I492" s="217"/>
      <c r="J492" s="306"/>
      <c r="K492" s="306"/>
      <c r="L492" s="306"/>
      <c r="M492" s="306"/>
      <c r="N492" s="306"/>
      <c r="O492" s="5"/>
      <c r="P492" s="5"/>
      <c r="Q492" s="5"/>
      <c r="R492" s="5"/>
      <c r="S492" s="5"/>
      <c r="T492" s="5"/>
      <c r="U492" s="5"/>
      <c r="V492" s="5"/>
      <c r="W492" s="5"/>
      <c r="X492" s="5"/>
      <c r="Y492" s="5"/>
      <c r="Z492" s="5"/>
      <c r="AA492" s="5"/>
      <c r="AB492" s="5"/>
    </row>
    <row r="493" spans="1:28" ht="12.75" customHeight="1">
      <c r="A493" s="5"/>
      <c r="B493" s="5"/>
      <c r="C493" s="5"/>
      <c r="D493" s="5"/>
      <c r="E493" s="217"/>
      <c r="F493" s="198"/>
      <c r="G493" s="198"/>
      <c r="H493" s="888"/>
      <c r="I493" s="217"/>
      <c r="J493" s="306"/>
      <c r="K493" s="306"/>
      <c r="L493" s="306"/>
      <c r="M493" s="306"/>
      <c r="N493" s="306"/>
      <c r="O493" s="5"/>
      <c r="P493" s="5"/>
      <c r="Q493" s="5"/>
      <c r="R493" s="5"/>
      <c r="S493" s="5"/>
      <c r="T493" s="5"/>
      <c r="U493" s="5"/>
      <c r="V493" s="5"/>
      <c r="W493" s="5"/>
      <c r="X493" s="5"/>
      <c r="Y493" s="5"/>
      <c r="Z493" s="5"/>
      <c r="AA493" s="5"/>
      <c r="AB493" s="5"/>
    </row>
    <row r="494" spans="1:28" ht="12.75" customHeight="1">
      <c r="A494" s="5"/>
      <c r="B494" s="5"/>
      <c r="C494" s="5"/>
      <c r="D494" s="5"/>
      <c r="E494" s="217"/>
      <c r="F494" s="198"/>
      <c r="G494" s="198"/>
      <c r="H494" s="888"/>
      <c r="I494" s="217"/>
      <c r="J494" s="306"/>
      <c r="K494" s="306"/>
      <c r="L494" s="306"/>
      <c r="M494" s="306"/>
      <c r="N494" s="306"/>
      <c r="O494" s="5"/>
      <c r="P494" s="5"/>
      <c r="Q494" s="5"/>
      <c r="R494" s="5"/>
      <c r="S494" s="5"/>
      <c r="T494" s="5"/>
      <c r="U494" s="5"/>
      <c r="V494" s="5"/>
      <c r="W494" s="5"/>
      <c r="X494" s="5"/>
      <c r="Y494" s="5"/>
      <c r="Z494" s="5"/>
      <c r="AA494" s="5"/>
      <c r="AB494" s="5"/>
    </row>
    <row r="495" spans="1:28" ht="12.75" customHeight="1">
      <c r="A495" s="5"/>
      <c r="B495" s="5"/>
      <c r="C495" s="5"/>
      <c r="D495" s="5"/>
      <c r="E495" s="217"/>
      <c r="F495" s="198"/>
      <c r="G495" s="198"/>
      <c r="H495" s="888"/>
      <c r="I495" s="217"/>
      <c r="J495" s="306"/>
      <c r="K495" s="306"/>
      <c r="L495" s="306"/>
      <c r="M495" s="306"/>
      <c r="N495" s="306"/>
      <c r="O495" s="5"/>
      <c r="P495" s="5"/>
      <c r="Q495" s="5"/>
      <c r="R495" s="5"/>
      <c r="S495" s="5"/>
      <c r="T495" s="5"/>
      <c r="U495" s="5"/>
      <c r="V495" s="5"/>
      <c r="W495" s="5"/>
      <c r="X495" s="5"/>
      <c r="Y495" s="5"/>
      <c r="Z495" s="5"/>
      <c r="AA495" s="5"/>
      <c r="AB495" s="5"/>
    </row>
    <row r="496" spans="1:28" ht="12.75" customHeight="1">
      <c r="A496" s="5"/>
      <c r="B496" s="5"/>
      <c r="C496" s="5"/>
      <c r="D496" s="5"/>
      <c r="E496" s="217"/>
      <c r="F496" s="198"/>
      <c r="G496" s="198"/>
      <c r="H496" s="888"/>
      <c r="I496" s="217"/>
      <c r="J496" s="306"/>
      <c r="K496" s="306"/>
      <c r="L496" s="306"/>
      <c r="M496" s="306"/>
      <c r="N496" s="306"/>
      <c r="O496" s="5"/>
      <c r="P496" s="5"/>
      <c r="Q496" s="5"/>
      <c r="R496" s="5"/>
      <c r="S496" s="5"/>
      <c r="T496" s="5"/>
      <c r="U496" s="5"/>
      <c r="V496" s="5"/>
      <c r="W496" s="5"/>
      <c r="X496" s="5"/>
      <c r="Y496" s="5"/>
      <c r="Z496" s="5"/>
      <c r="AA496" s="5"/>
      <c r="AB496" s="5"/>
    </row>
    <row r="497" spans="1:28" ht="12.75" customHeight="1">
      <c r="A497" s="5"/>
      <c r="B497" s="5"/>
      <c r="C497" s="5"/>
      <c r="D497" s="5"/>
      <c r="E497" s="217"/>
      <c r="F497" s="198"/>
      <c r="G497" s="198"/>
      <c r="H497" s="888"/>
      <c r="I497" s="217"/>
      <c r="J497" s="306"/>
      <c r="K497" s="306"/>
      <c r="L497" s="306"/>
      <c r="M497" s="306"/>
      <c r="N497" s="306"/>
      <c r="O497" s="5"/>
      <c r="P497" s="5"/>
      <c r="Q497" s="5"/>
      <c r="R497" s="5"/>
      <c r="S497" s="5"/>
      <c r="T497" s="5"/>
      <c r="U497" s="5"/>
      <c r="V497" s="5"/>
      <c r="W497" s="5"/>
      <c r="X497" s="5"/>
      <c r="Y497" s="5"/>
      <c r="Z497" s="5"/>
      <c r="AA497" s="5"/>
      <c r="AB497" s="5"/>
    </row>
    <row r="498" spans="1:28" ht="12.75" customHeight="1">
      <c r="A498" s="5"/>
      <c r="B498" s="5"/>
      <c r="C498" s="5"/>
      <c r="D498" s="5"/>
      <c r="E498" s="217"/>
      <c r="F498" s="198"/>
      <c r="G498" s="198"/>
      <c r="H498" s="888"/>
      <c r="I498" s="217"/>
      <c r="J498" s="306"/>
      <c r="K498" s="306"/>
      <c r="L498" s="306"/>
      <c r="M498" s="306"/>
      <c r="N498" s="306"/>
      <c r="O498" s="5"/>
      <c r="P498" s="5"/>
      <c r="Q498" s="5"/>
      <c r="R498" s="5"/>
      <c r="S498" s="5"/>
      <c r="T498" s="5"/>
      <c r="U498" s="5"/>
      <c r="V498" s="5"/>
      <c r="W498" s="5"/>
      <c r="X498" s="5"/>
      <c r="Y498" s="5"/>
      <c r="Z498" s="5"/>
      <c r="AA498" s="5"/>
      <c r="AB498" s="5"/>
    </row>
    <row r="499" spans="1:28" ht="12.75" customHeight="1">
      <c r="A499" s="5"/>
      <c r="B499" s="5"/>
      <c r="C499" s="5"/>
      <c r="D499" s="5"/>
      <c r="E499" s="217"/>
      <c r="F499" s="198"/>
      <c r="G499" s="198"/>
      <c r="H499" s="888"/>
      <c r="I499" s="217"/>
      <c r="J499" s="306"/>
      <c r="K499" s="306"/>
      <c r="L499" s="306"/>
      <c r="M499" s="306"/>
      <c r="N499" s="306"/>
      <c r="O499" s="5"/>
      <c r="P499" s="5"/>
      <c r="Q499" s="5"/>
      <c r="R499" s="5"/>
      <c r="S499" s="5"/>
      <c r="T499" s="5"/>
      <c r="U499" s="5"/>
      <c r="V499" s="5"/>
      <c r="W499" s="5"/>
      <c r="X499" s="5"/>
      <c r="Y499" s="5"/>
      <c r="Z499" s="5"/>
      <c r="AA499" s="5"/>
      <c r="AB499" s="5"/>
    </row>
    <row r="500" spans="1:28" ht="12.75" customHeight="1">
      <c r="A500" s="5"/>
      <c r="B500" s="5"/>
      <c r="C500" s="5"/>
      <c r="D500" s="5"/>
      <c r="E500" s="217"/>
      <c r="F500" s="198"/>
      <c r="G500" s="198"/>
      <c r="H500" s="888"/>
      <c r="I500" s="217"/>
      <c r="J500" s="306"/>
      <c r="K500" s="306"/>
      <c r="L500" s="306"/>
      <c r="M500" s="306"/>
      <c r="N500" s="306"/>
      <c r="O500" s="5"/>
      <c r="P500" s="5"/>
      <c r="Q500" s="5"/>
      <c r="R500" s="5"/>
      <c r="S500" s="5"/>
      <c r="T500" s="5"/>
      <c r="U500" s="5"/>
      <c r="V500" s="5"/>
      <c r="W500" s="5"/>
      <c r="X500" s="5"/>
      <c r="Y500" s="5"/>
      <c r="Z500" s="5"/>
      <c r="AA500" s="5"/>
      <c r="AB500" s="5"/>
    </row>
    <row r="501" spans="1:28" ht="12.75" customHeight="1">
      <c r="A501" s="5"/>
      <c r="B501" s="5"/>
      <c r="C501" s="5"/>
      <c r="D501" s="5"/>
      <c r="E501" s="217"/>
      <c r="F501" s="198"/>
      <c r="G501" s="198"/>
      <c r="H501" s="888"/>
      <c r="I501" s="217"/>
      <c r="J501" s="306"/>
      <c r="K501" s="306"/>
      <c r="L501" s="306"/>
      <c r="M501" s="306"/>
      <c r="N501" s="306"/>
      <c r="O501" s="5"/>
      <c r="P501" s="5"/>
      <c r="Q501" s="5"/>
      <c r="R501" s="5"/>
      <c r="S501" s="5"/>
      <c r="T501" s="5"/>
      <c r="U501" s="5"/>
      <c r="V501" s="5"/>
      <c r="W501" s="5"/>
      <c r="X501" s="5"/>
      <c r="Y501" s="5"/>
      <c r="Z501" s="5"/>
      <c r="AA501" s="5"/>
      <c r="AB501" s="5"/>
    </row>
    <row r="502" spans="1:28" ht="12.75" customHeight="1">
      <c r="A502" s="5"/>
      <c r="B502" s="5"/>
      <c r="C502" s="5"/>
      <c r="D502" s="5"/>
      <c r="E502" s="217"/>
      <c r="F502" s="198"/>
      <c r="G502" s="198"/>
      <c r="H502" s="888"/>
      <c r="I502" s="217"/>
      <c r="J502" s="306"/>
      <c r="K502" s="306"/>
      <c r="L502" s="306"/>
      <c r="M502" s="306"/>
      <c r="N502" s="306"/>
      <c r="O502" s="5"/>
      <c r="P502" s="5"/>
      <c r="Q502" s="5"/>
      <c r="R502" s="5"/>
      <c r="S502" s="5"/>
      <c r="T502" s="5"/>
      <c r="U502" s="5"/>
      <c r="V502" s="5"/>
      <c r="W502" s="5"/>
      <c r="X502" s="5"/>
      <c r="Y502" s="5"/>
      <c r="Z502" s="5"/>
      <c r="AA502" s="5"/>
      <c r="AB502" s="5"/>
    </row>
    <row r="503" spans="1:28" ht="12.75" customHeight="1">
      <c r="A503" s="5"/>
      <c r="B503" s="5"/>
      <c r="C503" s="5"/>
      <c r="D503" s="5"/>
      <c r="E503" s="217"/>
      <c r="F503" s="198"/>
      <c r="G503" s="198"/>
      <c r="H503" s="888"/>
      <c r="I503" s="217"/>
      <c r="J503" s="306"/>
      <c r="K503" s="306"/>
      <c r="L503" s="306"/>
      <c r="M503" s="306"/>
      <c r="N503" s="306"/>
      <c r="O503" s="5"/>
      <c r="P503" s="5"/>
      <c r="Q503" s="5"/>
      <c r="R503" s="5"/>
      <c r="S503" s="5"/>
      <c r="T503" s="5"/>
      <c r="U503" s="5"/>
      <c r="V503" s="5"/>
      <c r="W503" s="5"/>
      <c r="X503" s="5"/>
      <c r="Y503" s="5"/>
      <c r="Z503" s="5"/>
      <c r="AA503" s="5"/>
      <c r="AB503" s="5"/>
    </row>
    <row r="504" spans="1:28" ht="12.75" customHeight="1">
      <c r="A504" s="5"/>
      <c r="B504" s="5"/>
      <c r="C504" s="5"/>
      <c r="D504" s="5"/>
      <c r="E504" s="217"/>
      <c r="F504" s="198"/>
      <c r="G504" s="198"/>
      <c r="H504" s="888"/>
      <c r="I504" s="217"/>
      <c r="J504" s="306"/>
      <c r="K504" s="306"/>
      <c r="L504" s="306"/>
      <c r="M504" s="306"/>
      <c r="N504" s="306"/>
      <c r="O504" s="5"/>
      <c r="P504" s="5"/>
      <c r="Q504" s="5"/>
      <c r="R504" s="5"/>
      <c r="S504" s="5"/>
      <c r="T504" s="5"/>
      <c r="U504" s="5"/>
      <c r="V504" s="5"/>
      <c r="W504" s="5"/>
      <c r="X504" s="5"/>
      <c r="Y504" s="5"/>
      <c r="Z504" s="5"/>
      <c r="AA504" s="5"/>
      <c r="AB504" s="5"/>
    </row>
    <row r="505" spans="1:28" ht="12.75" customHeight="1">
      <c r="A505" s="5"/>
      <c r="B505" s="5"/>
      <c r="C505" s="5"/>
      <c r="D505" s="5"/>
      <c r="E505" s="217"/>
      <c r="F505" s="198"/>
      <c r="G505" s="198"/>
      <c r="H505" s="888"/>
      <c r="I505" s="217"/>
      <c r="J505" s="306"/>
      <c r="K505" s="306"/>
      <c r="L505" s="306"/>
      <c r="M505" s="306"/>
      <c r="N505" s="306"/>
      <c r="O505" s="5"/>
      <c r="P505" s="5"/>
      <c r="Q505" s="5"/>
      <c r="R505" s="5"/>
      <c r="S505" s="5"/>
      <c r="T505" s="5"/>
      <c r="U505" s="5"/>
      <c r="V505" s="5"/>
      <c r="W505" s="5"/>
      <c r="X505" s="5"/>
      <c r="Y505" s="5"/>
      <c r="Z505" s="5"/>
      <c r="AA505" s="5"/>
      <c r="AB505" s="5"/>
    </row>
    <row r="506" spans="1:28" ht="12.75" customHeight="1">
      <c r="A506" s="5"/>
      <c r="B506" s="5"/>
      <c r="C506" s="5"/>
      <c r="D506" s="5"/>
      <c r="E506" s="217"/>
      <c r="F506" s="198"/>
      <c r="G506" s="198"/>
      <c r="H506" s="888"/>
      <c r="I506" s="217"/>
      <c r="J506" s="306"/>
      <c r="K506" s="306"/>
      <c r="L506" s="306"/>
      <c r="M506" s="306"/>
      <c r="N506" s="306"/>
      <c r="O506" s="5"/>
      <c r="P506" s="5"/>
      <c r="Q506" s="5"/>
      <c r="R506" s="5"/>
      <c r="S506" s="5"/>
      <c r="T506" s="5"/>
      <c r="U506" s="5"/>
      <c r="V506" s="5"/>
      <c r="W506" s="5"/>
      <c r="X506" s="5"/>
      <c r="Y506" s="5"/>
      <c r="Z506" s="5"/>
      <c r="AA506" s="5"/>
      <c r="AB506" s="5"/>
    </row>
    <row r="507" spans="1:28" ht="12.75" customHeight="1">
      <c r="A507" s="5"/>
      <c r="B507" s="5"/>
      <c r="C507" s="5"/>
      <c r="D507" s="5"/>
      <c r="E507" s="217"/>
      <c r="F507" s="198"/>
      <c r="G507" s="198"/>
      <c r="H507" s="888"/>
      <c r="I507" s="217"/>
      <c r="J507" s="306"/>
      <c r="K507" s="306"/>
      <c r="L507" s="306"/>
      <c r="M507" s="306"/>
      <c r="N507" s="306"/>
      <c r="O507" s="5"/>
      <c r="P507" s="5"/>
      <c r="Q507" s="5"/>
      <c r="R507" s="5"/>
      <c r="S507" s="5"/>
      <c r="T507" s="5"/>
      <c r="U507" s="5"/>
      <c r="V507" s="5"/>
      <c r="W507" s="5"/>
      <c r="X507" s="5"/>
      <c r="Y507" s="5"/>
      <c r="Z507" s="5"/>
      <c r="AA507" s="5"/>
      <c r="AB507" s="5"/>
    </row>
    <row r="508" spans="1:28" ht="12.75" customHeight="1">
      <c r="A508" s="5"/>
      <c r="B508" s="5"/>
      <c r="C508" s="5"/>
      <c r="D508" s="5"/>
      <c r="E508" s="217"/>
      <c r="F508" s="198"/>
      <c r="G508" s="198"/>
      <c r="H508" s="888"/>
      <c r="I508" s="217"/>
      <c r="J508" s="306"/>
      <c r="K508" s="306"/>
      <c r="L508" s="306"/>
      <c r="M508" s="306"/>
      <c r="N508" s="306"/>
      <c r="O508" s="5"/>
      <c r="P508" s="5"/>
      <c r="Q508" s="5"/>
      <c r="R508" s="5"/>
      <c r="S508" s="5"/>
      <c r="T508" s="5"/>
      <c r="U508" s="5"/>
      <c r="V508" s="5"/>
      <c r="W508" s="5"/>
      <c r="X508" s="5"/>
      <c r="Y508" s="5"/>
      <c r="Z508" s="5"/>
      <c r="AA508" s="5"/>
      <c r="AB508" s="5"/>
    </row>
    <row r="509" spans="1:28" ht="12.75" customHeight="1">
      <c r="A509" s="5"/>
      <c r="B509" s="5"/>
      <c r="C509" s="5"/>
      <c r="D509" s="5"/>
      <c r="E509" s="217"/>
      <c r="F509" s="198"/>
      <c r="G509" s="198"/>
      <c r="H509" s="888"/>
      <c r="I509" s="217"/>
      <c r="J509" s="306"/>
      <c r="K509" s="306"/>
      <c r="L509" s="306"/>
      <c r="M509" s="306"/>
      <c r="N509" s="306"/>
      <c r="O509" s="5"/>
      <c r="P509" s="5"/>
      <c r="Q509" s="5"/>
      <c r="R509" s="5"/>
      <c r="S509" s="5"/>
      <c r="T509" s="5"/>
      <c r="U509" s="5"/>
      <c r="V509" s="5"/>
      <c r="W509" s="5"/>
      <c r="X509" s="5"/>
      <c r="Y509" s="5"/>
      <c r="Z509" s="5"/>
      <c r="AA509" s="5"/>
      <c r="AB509" s="5"/>
    </row>
    <row r="510" spans="1:28" ht="12.75" customHeight="1">
      <c r="A510" s="5"/>
      <c r="B510" s="5"/>
      <c r="C510" s="5"/>
      <c r="D510" s="5"/>
      <c r="E510" s="217"/>
      <c r="F510" s="198"/>
      <c r="G510" s="198"/>
      <c r="H510" s="888"/>
      <c r="I510" s="217"/>
      <c r="J510" s="306"/>
      <c r="K510" s="306"/>
      <c r="L510" s="306"/>
      <c r="M510" s="306"/>
      <c r="N510" s="306"/>
      <c r="O510" s="5"/>
      <c r="P510" s="5"/>
      <c r="Q510" s="5"/>
      <c r="R510" s="5"/>
      <c r="S510" s="5"/>
      <c r="T510" s="5"/>
      <c r="U510" s="5"/>
      <c r="V510" s="5"/>
      <c r="W510" s="5"/>
      <c r="X510" s="5"/>
      <c r="Y510" s="5"/>
      <c r="Z510" s="5"/>
      <c r="AA510" s="5"/>
      <c r="AB510" s="5"/>
    </row>
    <row r="511" spans="1:28" ht="12.75" customHeight="1">
      <c r="A511" s="5"/>
      <c r="B511" s="5"/>
      <c r="C511" s="5"/>
      <c r="D511" s="5"/>
      <c r="E511" s="217"/>
      <c r="F511" s="198"/>
      <c r="G511" s="198"/>
      <c r="H511" s="888"/>
      <c r="I511" s="217"/>
      <c r="J511" s="306"/>
      <c r="K511" s="306"/>
      <c r="L511" s="306"/>
      <c r="M511" s="306"/>
      <c r="N511" s="306"/>
      <c r="O511" s="5"/>
      <c r="P511" s="5"/>
      <c r="Q511" s="5"/>
      <c r="R511" s="5"/>
      <c r="S511" s="5"/>
      <c r="T511" s="5"/>
      <c r="U511" s="5"/>
      <c r="V511" s="5"/>
      <c r="W511" s="5"/>
      <c r="X511" s="5"/>
      <c r="Y511" s="5"/>
      <c r="Z511" s="5"/>
      <c r="AA511" s="5"/>
      <c r="AB511" s="5"/>
    </row>
    <row r="512" spans="1:28" ht="12.75" customHeight="1">
      <c r="A512" s="5"/>
      <c r="B512" s="5"/>
      <c r="C512" s="5"/>
      <c r="D512" s="5"/>
      <c r="E512" s="217"/>
      <c r="F512" s="198"/>
      <c r="G512" s="198"/>
      <c r="H512" s="888"/>
      <c r="I512" s="217"/>
      <c r="J512" s="306"/>
      <c r="K512" s="306"/>
      <c r="L512" s="306"/>
      <c r="M512" s="306"/>
      <c r="N512" s="306"/>
      <c r="O512" s="5"/>
      <c r="P512" s="5"/>
      <c r="Q512" s="5"/>
      <c r="R512" s="5"/>
      <c r="S512" s="5"/>
      <c r="T512" s="5"/>
      <c r="U512" s="5"/>
      <c r="V512" s="5"/>
      <c r="W512" s="5"/>
      <c r="X512" s="5"/>
      <c r="Y512" s="5"/>
      <c r="Z512" s="5"/>
      <c r="AA512" s="5"/>
      <c r="AB512" s="5"/>
    </row>
    <row r="513" spans="1:28" ht="12.75" customHeight="1">
      <c r="A513" s="5"/>
      <c r="B513" s="5"/>
      <c r="C513" s="5"/>
      <c r="D513" s="5"/>
      <c r="E513" s="217"/>
      <c r="F513" s="198"/>
      <c r="G513" s="198"/>
      <c r="H513" s="888"/>
      <c r="I513" s="217"/>
      <c r="J513" s="306"/>
      <c r="K513" s="306"/>
      <c r="L513" s="306"/>
      <c r="M513" s="306"/>
      <c r="N513" s="306"/>
      <c r="O513" s="5"/>
      <c r="P513" s="5"/>
      <c r="Q513" s="5"/>
      <c r="R513" s="5"/>
      <c r="S513" s="5"/>
      <c r="T513" s="5"/>
      <c r="U513" s="5"/>
      <c r="V513" s="5"/>
      <c r="W513" s="5"/>
      <c r="X513" s="5"/>
      <c r="Y513" s="5"/>
      <c r="Z513" s="5"/>
      <c r="AA513" s="5"/>
      <c r="AB513" s="5"/>
    </row>
    <row r="514" spans="1:28" ht="12.75" customHeight="1">
      <c r="A514" s="5"/>
      <c r="B514" s="5"/>
      <c r="C514" s="5"/>
      <c r="D514" s="5"/>
      <c r="E514" s="217"/>
      <c r="F514" s="198"/>
      <c r="G514" s="198"/>
      <c r="H514" s="888"/>
      <c r="I514" s="217"/>
      <c r="J514" s="306"/>
      <c r="K514" s="306"/>
      <c r="L514" s="306"/>
      <c r="M514" s="306"/>
      <c r="N514" s="306"/>
      <c r="O514" s="5"/>
      <c r="P514" s="5"/>
      <c r="Q514" s="5"/>
      <c r="R514" s="5"/>
      <c r="S514" s="5"/>
      <c r="T514" s="5"/>
      <c r="U514" s="5"/>
      <c r="V514" s="5"/>
      <c r="W514" s="5"/>
      <c r="X514" s="5"/>
      <c r="Y514" s="5"/>
      <c r="Z514" s="5"/>
      <c r="AA514" s="5"/>
      <c r="AB514" s="5"/>
    </row>
    <row r="515" spans="1:28" ht="12.75" customHeight="1">
      <c r="A515" s="5"/>
      <c r="B515" s="5"/>
      <c r="C515" s="5"/>
      <c r="D515" s="5"/>
      <c r="E515" s="217"/>
      <c r="F515" s="198"/>
      <c r="G515" s="198"/>
      <c r="H515" s="888"/>
      <c r="I515" s="217"/>
      <c r="J515" s="306"/>
      <c r="K515" s="306"/>
      <c r="L515" s="306"/>
      <c r="M515" s="306"/>
      <c r="N515" s="306"/>
      <c r="O515" s="5"/>
      <c r="P515" s="5"/>
      <c r="Q515" s="5"/>
      <c r="R515" s="5"/>
      <c r="S515" s="5"/>
      <c r="T515" s="5"/>
      <c r="U515" s="5"/>
      <c r="V515" s="5"/>
      <c r="W515" s="5"/>
      <c r="X515" s="5"/>
      <c r="Y515" s="5"/>
      <c r="Z515" s="5"/>
      <c r="AA515" s="5"/>
      <c r="AB515" s="5"/>
    </row>
    <row r="516" spans="1:28" ht="12.75" customHeight="1">
      <c r="A516" s="5"/>
      <c r="B516" s="5"/>
      <c r="C516" s="5"/>
      <c r="D516" s="5"/>
      <c r="E516" s="217"/>
      <c r="F516" s="198"/>
      <c r="G516" s="198"/>
      <c r="H516" s="888"/>
      <c r="I516" s="217"/>
      <c r="J516" s="306"/>
      <c r="K516" s="306"/>
      <c r="L516" s="306"/>
      <c r="M516" s="306"/>
      <c r="N516" s="306"/>
      <c r="O516" s="5"/>
      <c r="P516" s="5"/>
      <c r="Q516" s="5"/>
      <c r="R516" s="5"/>
      <c r="S516" s="5"/>
      <c r="T516" s="5"/>
      <c r="U516" s="5"/>
      <c r="V516" s="5"/>
      <c r="W516" s="5"/>
      <c r="X516" s="5"/>
      <c r="Y516" s="5"/>
      <c r="Z516" s="5"/>
      <c r="AA516" s="5"/>
      <c r="AB516" s="5"/>
    </row>
    <row r="517" spans="1:28" ht="12.75" customHeight="1">
      <c r="A517" s="5"/>
      <c r="B517" s="5"/>
      <c r="C517" s="5"/>
      <c r="D517" s="5"/>
      <c r="E517" s="217"/>
      <c r="F517" s="198"/>
      <c r="G517" s="198"/>
      <c r="H517" s="888"/>
      <c r="I517" s="217"/>
      <c r="J517" s="306"/>
      <c r="K517" s="306"/>
      <c r="L517" s="306"/>
      <c r="M517" s="306"/>
      <c r="N517" s="306"/>
      <c r="O517" s="5"/>
      <c r="P517" s="5"/>
      <c r="Q517" s="5"/>
      <c r="R517" s="5"/>
      <c r="S517" s="5"/>
      <c r="T517" s="5"/>
      <c r="U517" s="5"/>
      <c r="V517" s="5"/>
      <c r="W517" s="5"/>
      <c r="X517" s="5"/>
      <c r="Y517" s="5"/>
      <c r="Z517" s="5"/>
      <c r="AA517" s="5"/>
      <c r="AB517" s="5"/>
    </row>
    <row r="518" spans="1:28" ht="12.75" customHeight="1">
      <c r="A518" s="5"/>
      <c r="B518" s="5"/>
      <c r="C518" s="5"/>
      <c r="D518" s="5"/>
      <c r="E518" s="217"/>
      <c r="F518" s="198"/>
      <c r="G518" s="198"/>
      <c r="H518" s="888"/>
      <c r="I518" s="217"/>
      <c r="J518" s="306"/>
      <c r="K518" s="306"/>
      <c r="L518" s="306"/>
      <c r="M518" s="306"/>
      <c r="N518" s="306"/>
      <c r="O518" s="5"/>
      <c r="P518" s="5"/>
      <c r="Q518" s="5"/>
      <c r="R518" s="5"/>
      <c r="S518" s="5"/>
      <c r="T518" s="5"/>
      <c r="U518" s="5"/>
      <c r="V518" s="5"/>
      <c r="W518" s="5"/>
      <c r="X518" s="5"/>
      <c r="Y518" s="5"/>
      <c r="Z518" s="5"/>
      <c r="AA518" s="5"/>
      <c r="AB518" s="5"/>
    </row>
    <row r="519" spans="1:28" ht="12.75" customHeight="1">
      <c r="A519" s="5"/>
      <c r="B519" s="5"/>
      <c r="C519" s="5"/>
      <c r="D519" s="5"/>
      <c r="E519" s="217"/>
      <c r="F519" s="198"/>
      <c r="G519" s="198"/>
      <c r="H519" s="888"/>
      <c r="I519" s="217"/>
      <c r="J519" s="306"/>
      <c r="K519" s="306"/>
      <c r="L519" s="306"/>
      <c r="M519" s="306"/>
      <c r="N519" s="306"/>
      <c r="O519" s="5"/>
      <c r="P519" s="5"/>
      <c r="Q519" s="5"/>
      <c r="R519" s="5"/>
      <c r="S519" s="5"/>
      <c r="T519" s="5"/>
      <c r="U519" s="5"/>
      <c r="V519" s="5"/>
      <c r="W519" s="5"/>
      <c r="X519" s="5"/>
      <c r="Y519" s="5"/>
      <c r="Z519" s="5"/>
      <c r="AA519" s="5"/>
      <c r="AB519" s="5"/>
    </row>
    <row r="520" spans="1:28" ht="12.75" customHeight="1">
      <c r="A520" s="5"/>
      <c r="B520" s="5"/>
      <c r="C520" s="5"/>
      <c r="D520" s="5"/>
      <c r="E520" s="217"/>
      <c r="F520" s="198"/>
      <c r="G520" s="198"/>
      <c r="H520" s="888"/>
      <c r="I520" s="217"/>
      <c r="J520" s="306"/>
      <c r="K520" s="306"/>
      <c r="L520" s="306"/>
      <c r="M520" s="306"/>
      <c r="N520" s="306"/>
      <c r="O520" s="5"/>
      <c r="P520" s="5"/>
      <c r="Q520" s="5"/>
      <c r="R520" s="5"/>
      <c r="S520" s="5"/>
      <c r="T520" s="5"/>
      <c r="U520" s="5"/>
      <c r="V520" s="5"/>
      <c r="W520" s="5"/>
      <c r="X520" s="5"/>
      <c r="Y520" s="5"/>
      <c r="Z520" s="5"/>
      <c r="AA520" s="5"/>
      <c r="AB520" s="5"/>
    </row>
    <row r="521" spans="1:28" ht="12.75" customHeight="1">
      <c r="A521" s="5"/>
      <c r="B521" s="5"/>
      <c r="C521" s="5"/>
      <c r="D521" s="5"/>
      <c r="E521" s="217"/>
      <c r="F521" s="198"/>
      <c r="G521" s="198"/>
      <c r="H521" s="888"/>
      <c r="I521" s="217"/>
      <c r="J521" s="306"/>
      <c r="K521" s="306"/>
      <c r="L521" s="306"/>
      <c r="M521" s="306"/>
      <c r="N521" s="306"/>
      <c r="O521" s="5"/>
      <c r="P521" s="5"/>
      <c r="Q521" s="5"/>
      <c r="R521" s="5"/>
      <c r="S521" s="5"/>
      <c r="T521" s="5"/>
      <c r="U521" s="5"/>
      <c r="V521" s="5"/>
      <c r="W521" s="5"/>
      <c r="X521" s="5"/>
      <c r="Y521" s="5"/>
      <c r="Z521" s="5"/>
      <c r="AA521" s="5"/>
      <c r="AB521" s="5"/>
    </row>
    <row r="522" spans="1:28" ht="12.75" customHeight="1">
      <c r="A522" s="5"/>
      <c r="B522" s="5"/>
      <c r="C522" s="5"/>
      <c r="D522" s="5"/>
      <c r="E522" s="217"/>
      <c r="F522" s="198"/>
      <c r="G522" s="198"/>
      <c r="H522" s="888"/>
      <c r="I522" s="217"/>
      <c r="J522" s="306"/>
      <c r="K522" s="306"/>
      <c r="L522" s="306"/>
      <c r="M522" s="306"/>
      <c r="N522" s="306"/>
      <c r="O522" s="5"/>
      <c r="P522" s="5"/>
      <c r="Q522" s="5"/>
      <c r="R522" s="5"/>
      <c r="S522" s="5"/>
      <c r="T522" s="5"/>
      <c r="U522" s="5"/>
      <c r="V522" s="5"/>
      <c r="W522" s="5"/>
      <c r="X522" s="5"/>
      <c r="Y522" s="5"/>
      <c r="Z522" s="5"/>
      <c r="AA522" s="5"/>
      <c r="AB522" s="5"/>
    </row>
    <row r="523" spans="1:28" ht="12.75" customHeight="1">
      <c r="A523" s="5"/>
      <c r="B523" s="5"/>
      <c r="C523" s="5"/>
      <c r="D523" s="5"/>
      <c r="E523" s="217"/>
      <c r="F523" s="198"/>
      <c r="G523" s="198"/>
      <c r="H523" s="888"/>
      <c r="I523" s="217"/>
      <c r="J523" s="306"/>
      <c r="K523" s="306"/>
      <c r="L523" s="306"/>
      <c r="M523" s="306"/>
      <c r="N523" s="306"/>
      <c r="O523" s="5"/>
      <c r="P523" s="5"/>
      <c r="Q523" s="5"/>
      <c r="R523" s="5"/>
      <c r="S523" s="5"/>
      <c r="T523" s="5"/>
      <c r="U523" s="5"/>
      <c r="V523" s="5"/>
      <c r="W523" s="5"/>
      <c r="X523" s="5"/>
      <c r="Y523" s="5"/>
      <c r="Z523" s="5"/>
      <c r="AA523" s="5"/>
      <c r="AB523" s="5"/>
    </row>
    <row r="524" spans="1:28" ht="12.75" customHeight="1">
      <c r="A524" s="5"/>
      <c r="B524" s="5"/>
      <c r="C524" s="5"/>
      <c r="D524" s="5"/>
      <c r="E524" s="217"/>
      <c r="F524" s="198"/>
      <c r="G524" s="198"/>
      <c r="H524" s="888"/>
      <c r="I524" s="217"/>
      <c r="J524" s="306"/>
      <c r="K524" s="306"/>
      <c r="L524" s="306"/>
      <c r="M524" s="306"/>
      <c r="N524" s="306"/>
      <c r="O524" s="5"/>
      <c r="P524" s="5"/>
      <c r="Q524" s="5"/>
      <c r="R524" s="5"/>
      <c r="S524" s="5"/>
      <c r="T524" s="5"/>
      <c r="U524" s="5"/>
      <c r="V524" s="5"/>
      <c r="W524" s="5"/>
      <c r="X524" s="5"/>
      <c r="Y524" s="5"/>
      <c r="Z524" s="5"/>
      <c r="AA524" s="5"/>
      <c r="AB524" s="5"/>
    </row>
    <row r="525" spans="1:28" ht="12.75" customHeight="1">
      <c r="A525" s="5"/>
      <c r="B525" s="5"/>
      <c r="C525" s="5"/>
      <c r="D525" s="5"/>
      <c r="E525" s="217"/>
      <c r="F525" s="198"/>
      <c r="G525" s="198"/>
      <c r="H525" s="888"/>
      <c r="I525" s="217"/>
      <c r="J525" s="306"/>
      <c r="K525" s="306"/>
      <c r="L525" s="306"/>
      <c r="M525" s="306"/>
      <c r="N525" s="306"/>
      <c r="O525" s="5"/>
      <c r="P525" s="5"/>
      <c r="Q525" s="5"/>
      <c r="R525" s="5"/>
      <c r="S525" s="5"/>
      <c r="T525" s="5"/>
      <c r="U525" s="5"/>
      <c r="V525" s="5"/>
      <c r="W525" s="5"/>
      <c r="X525" s="5"/>
      <c r="Y525" s="5"/>
      <c r="Z525" s="5"/>
      <c r="AA525" s="5"/>
      <c r="AB525" s="5"/>
    </row>
    <row r="526" spans="1:28" ht="12.75" customHeight="1">
      <c r="A526" s="5"/>
      <c r="B526" s="5"/>
      <c r="C526" s="5"/>
      <c r="D526" s="5"/>
      <c r="E526" s="217"/>
      <c r="F526" s="198"/>
      <c r="G526" s="198"/>
      <c r="H526" s="888"/>
      <c r="I526" s="217"/>
      <c r="J526" s="306"/>
      <c r="K526" s="306"/>
      <c r="L526" s="306"/>
      <c r="M526" s="306"/>
      <c r="N526" s="306"/>
      <c r="O526" s="5"/>
      <c r="P526" s="5"/>
      <c r="Q526" s="5"/>
      <c r="R526" s="5"/>
      <c r="S526" s="5"/>
      <c r="T526" s="5"/>
      <c r="U526" s="5"/>
      <c r="V526" s="5"/>
      <c r="W526" s="5"/>
      <c r="X526" s="5"/>
      <c r="Y526" s="5"/>
      <c r="Z526" s="5"/>
      <c r="AA526" s="5"/>
      <c r="AB526" s="5"/>
    </row>
    <row r="527" spans="1:28" ht="12.75" customHeight="1">
      <c r="A527" s="5"/>
      <c r="B527" s="5"/>
      <c r="C527" s="5"/>
      <c r="D527" s="5"/>
      <c r="E527" s="217"/>
      <c r="F527" s="198"/>
      <c r="G527" s="198"/>
      <c r="H527" s="888"/>
      <c r="I527" s="217"/>
      <c r="J527" s="306"/>
      <c r="K527" s="306"/>
      <c r="L527" s="306"/>
      <c r="M527" s="306"/>
      <c r="N527" s="306"/>
      <c r="O527" s="5"/>
      <c r="P527" s="5"/>
      <c r="Q527" s="5"/>
      <c r="R527" s="5"/>
      <c r="S527" s="5"/>
      <c r="T527" s="5"/>
      <c r="U527" s="5"/>
      <c r="V527" s="5"/>
      <c r="W527" s="5"/>
      <c r="X527" s="5"/>
      <c r="Y527" s="5"/>
      <c r="Z527" s="5"/>
      <c r="AA527" s="5"/>
      <c r="AB527" s="5"/>
    </row>
    <row r="528" spans="1:28" ht="12.75" customHeight="1">
      <c r="A528" s="5"/>
      <c r="B528" s="5"/>
      <c r="C528" s="5"/>
      <c r="D528" s="5"/>
      <c r="E528" s="217"/>
      <c r="F528" s="198"/>
      <c r="G528" s="198"/>
      <c r="H528" s="888"/>
      <c r="I528" s="217"/>
      <c r="J528" s="306"/>
      <c r="K528" s="306"/>
      <c r="L528" s="306"/>
      <c r="M528" s="306"/>
      <c r="N528" s="306"/>
      <c r="O528" s="5"/>
      <c r="P528" s="5"/>
      <c r="Q528" s="5"/>
      <c r="R528" s="5"/>
      <c r="S528" s="5"/>
      <c r="T528" s="5"/>
      <c r="U528" s="5"/>
      <c r="V528" s="5"/>
      <c r="W528" s="5"/>
      <c r="X528" s="5"/>
      <c r="Y528" s="5"/>
      <c r="Z528" s="5"/>
      <c r="AA528" s="5"/>
      <c r="AB528" s="5"/>
    </row>
    <row r="529" spans="1:28" ht="12.75" customHeight="1">
      <c r="A529" s="5"/>
      <c r="B529" s="5"/>
      <c r="C529" s="5"/>
      <c r="D529" s="5"/>
      <c r="E529" s="217"/>
      <c r="F529" s="198"/>
      <c r="G529" s="198"/>
      <c r="H529" s="888"/>
      <c r="I529" s="217"/>
      <c r="J529" s="306"/>
      <c r="K529" s="306"/>
      <c r="L529" s="306"/>
      <c r="M529" s="306"/>
      <c r="N529" s="306"/>
      <c r="O529" s="5"/>
      <c r="P529" s="5"/>
      <c r="Q529" s="5"/>
      <c r="R529" s="5"/>
      <c r="S529" s="5"/>
      <c r="T529" s="5"/>
      <c r="U529" s="5"/>
      <c r="V529" s="5"/>
      <c r="W529" s="5"/>
      <c r="X529" s="5"/>
      <c r="Y529" s="5"/>
      <c r="Z529" s="5"/>
      <c r="AA529" s="5"/>
      <c r="AB529" s="5"/>
    </row>
    <row r="530" spans="1:28" ht="12.75" customHeight="1">
      <c r="A530" s="5"/>
      <c r="B530" s="5"/>
      <c r="C530" s="5"/>
      <c r="D530" s="5"/>
      <c r="E530" s="217"/>
      <c r="F530" s="198"/>
      <c r="G530" s="198"/>
      <c r="H530" s="888"/>
      <c r="I530" s="217"/>
      <c r="J530" s="306"/>
      <c r="K530" s="306"/>
      <c r="L530" s="306"/>
      <c r="M530" s="306"/>
      <c r="N530" s="306"/>
      <c r="O530" s="5"/>
      <c r="P530" s="5"/>
      <c r="Q530" s="5"/>
      <c r="R530" s="5"/>
      <c r="S530" s="5"/>
      <c r="T530" s="5"/>
      <c r="U530" s="5"/>
      <c r="V530" s="5"/>
      <c r="W530" s="5"/>
      <c r="X530" s="5"/>
      <c r="Y530" s="5"/>
      <c r="Z530" s="5"/>
      <c r="AA530" s="5"/>
      <c r="AB530" s="5"/>
    </row>
    <row r="531" spans="1:28" ht="12.75" customHeight="1">
      <c r="A531" s="5"/>
      <c r="B531" s="5"/>
      <c r="C531" s="5"/>
      <c r="D531" s="5"/>
      <c r="E531" s="217"/>
      <c r="F531" s="198"/>
      <c r="G531" s="198"/>
      <c r="H531" s="888"/>
      <c r="I531" s="217"/>
      <c r="J531" s="306"/>
      <c r="K531" s="306"/>
      <c r="L531" s="306"/>
      <c r="M531" s="306"/>
      <c r="N531" s="306"/>
      <c r="O531" s="5"/>
      <c r="P531" s="5"/>
      <c r="Q531" s="5"/>
      <c r="R531" s="5"/>
      <c r="S531" s="5"/>
      <c r="T531" s="5"/>
      <c r="U531" s="5"/>
      <c r="V531" s="5"/>
      <c r="W531" s="5"/>
      <c r="X531" s="5"/>
      <c r="Y531" s="5"/>
      <c r="Z531" s="5"/>
      <c r="AA531" s="5"/>
      <c r="AB531" s="5"/>
    </row>
    <row r="532" spans="1:28" ht="12.75" customHeight="1">
      <c r="A532" s="5"/>
      <c r="B532" s="5"/>
      <c r="C532" s="5"/>
      <c r="D532" s="5"/>
      <c r="E532" s="217"/>
      <c r="F532" s="198"/>
      <c r="G532" s="198"/>
      <c r="H532" s="888"/>
      <c r="I532" s="217"/>
      <c r="J532" s="306"/>
      <c r="K532" s="306"/>
      <c r="L532" s="306"/>
      <c r="M532" s="306"/>
      <c r="N532" s="306"/>
      <c r="O532" s="5"/>
      <c r="P532" s="5"/>
      <c r="Q532" s="5"/>
      <c r="R532" s="5"/>
      <c r="S532" s="5"/>
      <c r="T532" s="5"/>
      <c r="U532" s="5"/>
      <c r="V532" s="5"/>
      <c r="W532" s="5"/>
      <c r="X532" s="5"/>
      <c r="Y532" s="5"/>
      <c r="Z532" s="5"/>
      <c r="AA532" s="5"/>
      <c r="AB532" s="5"/>
    </row>
    <row r="533" spans="1:28" ht="12.75" customHeight="1">
      <c r="A533" s="5"/>
      <c r="B533" s="5"/>
      <c r="C533" s="5"/>
      <c r="D533" s="5"/>
      <c r="E533" s="217"/>
      <c r="F533" s="198"/>
      <c r="G533" s="198"/>
      <c r="H533" s="888"/>
      <c r="I533" s="217"/>
      <c r="J533" s="306"/>
      <c r="K533" s="306"/>
      <c r="L533" s="306"/>
      <c r="M533" s="306"/>
      <c r="N533" s="306"/>
      <c r="O533" s="5"/>
      <c r="P533" s="5"/>
      <c r="Q533" s="5"/>
      <c r="R533" s="5"/>
      <c r="S533" s="5"/>
      <c r="T533" s="5"/>
      <c r="U533" s="5"/>
      <c r="V533" s="5"/>
      <c r="W533" s="5"/>
      <c r="X533" s="5"/>
      <c r="Y533" s="5"/>
      <c r="Z533" s="5"/>
      <c r="AA533" s="5"/>
      <c r="AB533" s="5"/>
    </row>
    <row r="534" spans="1:28" ht="12.75" customHeight="1">
      <c r="A534" s="5"/>
      <c r="B534" s="5"/>
      <c r="C534" s="5"/>
      <c r="D534" s="5"/>
      <c r="E534" s="217"/>
      <c r="F534" s="198"/>
      <c r="G534" s="198"/>
      <c r="H534" s="888"/>
      <c r="I534" s="217"/>
      <c r="J534" s="306"/>
      <c r="K534" s="306"/>
      <c r="L534" s="306"/>
      <c r="M534" s="306"/>
      <c r="N534" s="306"/>
      <c r="O534" s="5"/>
      <c r="P534" s="5"/>
      <c r="Q534" s="5"/>
      <c r="R534" s="5"/>
      <c r="S534" s="5"/>
      <c r="T534" s="5"/>
      <c r="U534" s="5"/>
      <c r="V534" s="5"/>
      <c r="W534" s="5"/>
      <c r="X534" s="5"/>
      <c r="Y534" s="5"/>
      <c r="Z534" s="5"/>
      <c r="AA534" s="5"/>
      <c r="AB534" s="5"/>
    </row>
    <row r="535" spans="1:28" ht="12.75" customHeight="1">
      <c r="A535" s="5"/>
      <c r="B535" s="5"/>
      <c r="C535" s="5"/>
      <c r="D535" s="5"/>
      <c r="E535" s="217"/>
      <c r="F535" s="198"/>
      <c r="G535" s="198"/>
      <c r="H535" s="888"/>
      <c r="I535" s="217"/>
      <c r="J535" s="306"/>
      <c r="K535" s="306"/>
      <c r="L535" s="306"/>
      <c r="M535" s="306"/>
      <c r="N535" s="306"/>
      <c r="O535" s="5"/>
      <c r="P535" s="5"/>
      <c r="Q535" s="5"/>
      <c r="R535" s="5"/>
      <c r="S535" s="5"/>
      <c r="T535" s="5"/>
      <c r="U535" s="5"/>
      <c r="V535" s="5"/>
      <c r="W535" s="5"/>
      <c r="X535" s="5"/>
      <c r="Y535" s="5"/>
      <c r="Z535" s="5"/>
      <c r="AA535" s="5"/>
      <c r="AB535" s="5"/>
    </row>
    <row r="536" spans="1:28" ht="12.75" customHeight="1">
      <c r="A536" s="5"/>
      <c r="B536" s="5"/>
      <c r="C536" s="5"/>
      <c r="D536" s="5"/>
      <c r="E536" s="217"/>
      <c r="F536" s="198"/>
      <c r="G536" s="198"/>
      <c r="H536" s="888"/>
      <c r="I536" s="217"/>
      <c r="J536" s="306"/>
      <c r="K536" s="306"/>
      <c r="L536" s="306"/>
      <c r="M536" s="306"/>
      <c r="N536" s="306"/>
      <c r="O536" s="5"/>
      <c r="P536" s="5"/>
      <c r="Q536" s="5"/>
      <c r="R536" s="5"/>
      <c r="S536" s="5"/>
      <c r="T536" s="5"/>
      <c r="U536" s="5"/>
      <c r="V536" s="5"/>
      <c r="W536" s="5"/>
      <c r="X536" s="5"/>
      <c r="Y536" s="5"/>
      <c r="Z536" s="5"/>
      <c r="AA536" s="5"/>
      <c r="AB536" s="5"/>
    </row>
    <row r="537" spans="1:28" ht="12.75" customHeight="1">
      <c r="A537" s="5"/>
      <c r="B537" s="5"/>
      <c r="C537" s="5"/>
      <c r="D537" s="5"/>
      <c r="E537" s="217"/>
      <c r="F537" s="198"/>
      <c r="G537" s="198"/>
      <c r="H537" s="888"/>
      <c r="I537" s="217"/>
      <c r="J537" s="306"/>
      <c r="K537" s="306"/>
      <c r="L537" s="306"/>
      <c r="M537" s="306"/>
      <c r="N537" s="306"/>
      <c r="O537" s="5"/>
      <c r="P537" s="5"/>
      <c r="Q537" s="5"/>
      <c r="R537" s="5"/>
      <c r="S537" s="5"/>
      <c r="T537" s="5"/>
      <c r="U537" s="5"/>
      <c r="V537" s="5"/>
      <c r="W537" s="5"/>
      <c r="X537" s="5"/>
      <c r="Y537" s="5"/>
      <c r="Z537" s="5"/>
      <c r="AA537" s="5"/>
      <c r="AB537" s="5"/>
    </row>
    <row r="538" spans="1:28" ht="12.75" customHeight="1">
      <c r="A538" s="5"/>
      <c r="B538" s="5"/>
      <c r="C538" s="5"/>
      <c r="D538" s="5"/>
      <c r="E538" s="217"/>
      <c r="F538" s="198"/>
      <c r="G538" s="198"/>
      <c r="H538" s="888"/>
      <c r="I538" s="217"/>
      <c r="J538" s="306"/>
      <c r="K538" s="306"/>
      <c r="L538" s="306"/>
      <c r="M538" s="306"/>
      <c r="N538" s="306"/>
      <c r="O538" s="5"/>
      <c r="P538" s="5"/>
      <c r="Q538" s="5"/>
      <c r="R538" s="5"/>
      <c r="S538" s="5"/>
      <c r="T538" s="5"/>
      <c r="U538" s="5"/>
      <c r="V538" s="5"/>
      <c r="W538" s="5"/>
      <c r="X538" s="5"/>
      <c r="Y538" s="5"/>
      <c r="Z538" s="5"/>
      <c r="AA538" s="5"/>
      <c r="AB538" s="5"/>
    </row>
    <row r="539" spans="1:28" ht="12.75" customHeight="1">
      <c r="A539" s="5"/>
      <c r="B539" s="5"/>
      <c r="C539" s="5"/>
      <c r="D539" s="5"/>
      <c r="E539" s="217"/>
      <c r="F539" s="198"/>
      <c r="G539" s="198"/>
      <c r="H539" s="888"/>
      <c r="I539" s="217"/>
      <c r="J539" s="306"/>
      <c r="K539" s="306"/>
      <c r="L539" s="306"/>
      <c r="M539" s="306"/>
      <c r="N539" s="306"/>
      <c r="O539" s="5"/>
      <c r="P539" s="5"/>
      <c r="Q539" s="5"/>
      <c r="R539" s="5"/>
      <c r="S539" s="5"/>
      <c r="T539" s="5"/>
      <c r="U539" s="5"/>
      <c r="V539" s="5"/>
      <c r="W539" s="5"/>
      <c r="X539" s="5"/>
      <c r="Y539" s="5"/>
      <c r="Z539" s="5"/>
      <c r="AA539" s="5"/>
      <c r="AB539" s="5"/>
    </row>
    <row r="540" spans="1:28" ht="12.75" customHeight="1">
      <c r="A540" s="5"/>
      <c r="B540" s="5"/>
      <c r="C540" s="5"/>
      <c r="D540" s="5"/>
      <c r="E540" s="217"/>
      <c r="F540" s="198"/>
      <c r="G540" s="198"/>
      <c r="H540" s="888"/>
      <c r="I540" s="217"/>
      <c r="J540" s="306"/>
      <c r="K540" s="306"/>
      <c r="L540" s="306"/>
      <c r="M540" s="306"/>
      <c r="N540" s="306"/>
      <c r="O540" s="5"/>
      <c r="P540" s="5"/>
      <c r="Q540" s="5"/>
      <c r="R540" s="5"/>
      <c r="S540" s="5"/>
      <c r="T540" s="5"/>
      <c r="U540" s="5"/>
      <c r="V540" s="5"/>
      <c r="W540" s="5"/>
      <c r="X540" s="5"/>
      <c r="Y540" s="5"/>
      <c r="Z540" s="5"/>
      <c r="AA540" s="5"/>
      <c r="AB540" s="5"/>
    </row>
    <row r="541" spans="1:28" ht="12.75" customHeight="1">
      <c r="A541" s="5"/>
      <c r="B541" s="5"/>
      <c r="C541" s="5"/>
      <c r="D541" s="5"/>
      <c r="E541" s="217"/>
      <c r="F541" s="198"/>
      <c r="G541" s="198"/>
      <c r="H541" s="888"/>
      <c r="I541" s="217"/>
      <c r="J541" s="306"/>
      <c r="K541" s="306"/>
      <c r="L541" s="306"/>
      <c r="M541" s="306"/>
      <c r="N541" s="306"/>
      <c r="O541" s="5"/>
      <c r="P541" s="5"/>
      <c r="Q541" s="5"/>
      <c r="R541" s="5"/>
      <c r="S541" s="5"/>
      <c r="T541" s="5"/>
      <c r="U541" s="5"/>
      <c r="V541" s="5"/>
      <c r="W541" s="5"/>
      <c r="X541" s="5"/>
      <c r="Y541" s="5"/>
      <c r="Z541" s="5"/>
      <c r="AA541" s="5"/>
      <c r="AB541" s="5"/>
    </row>
    <row r="542" spans="1:28" ht="12.75" customHeight="1">
      <c r="A542" s="5"/>
      <c r="B542" s="5"/>
      <c r="C542" s="5"/>
      <c r="D542" s="5"/>
      <c r="E542" s="217"/>
      <c r="F542" s="198"/>
      <c r="G542" s="198"/>
      <c r="H542" s="888"/>
      <c r="I542" s="217"/>
      <c r="J542" s="306"/>
      <c r="K542" s="306"/>
      <c r="L542" s="306"/>
      <c r="M542" s="306"/>
      <c r="N542" s="306"/>
      <c r="O542" s="5"/>
      <c r="P542" s="5"/>
      <c r="Q542" s="5"/>
      <c r="R542" s="5"/>
      <c r="S542" s="5"/>
      <c r="T542" s="5"/>
      <c r="U542" s="5"/>
      <c r="V542" s="5"/>
      <c r="W542" s="5"/>
      <c r="X542" s="5"/>
      <c r="Y542" s="5"/>
      <c r="Z542" s="5"/>
      <c r="AA542" s="5"/>
      <c r="AB542" s="5"/>
    </row>
    <row r="543" spans="1:28" ht="12.75" customHeight="1">
      <c r="A543" s="5"/>
      <c r="B543" s="5"/>
      <c r="C543" s="5"/>
      <c r="D543" s="5"/>
      <c r="E543" s="217"/>
      <c r="F543" s="198"/>
      <c r="G543" s="198"/>
      <c r="H543" s="888"/>
      <c r="I543" s="217"/>
      <c r="J543" s="306"/>
      <c r="K543" s="306"/>
      <c r="L543" s="306"/>
      <c r="M543" s="306"/>
      <c r="N543" s="306"/>
      <c r="O543" s="5"/>
      <c r="P543" s="5"/>
      <c r="Q543" s="5"/>
      <c r="R543" s="5"/>
      <c r="S543" s="5"/>
      <c r="T543" s="5"/>
      <c r="U543" s="5"/>
      <c r="V543" s="5"/>
      <c r="W543" s="5"/>
      <c r="X543" s="5"/>
      <c r="Y543" s="5"/>
      <c r="Z543" s="5"/>
      <c r="AA543" s="5"/>
      <c r="AB543" s="5"/>
    </row>
    <row r="544" spans="1:28" ht="12.75" customHeight="1">
      <c r="A544" s="5"/>
      <c r="B544" s="5"/>
      <c r="C544" s="5"/>
      <c r="D544" s="5"/>
      <c r="E544" s="217"/>
      <c r="F544" s="198"/>
      <c r="G544" s="198"/>
      <c r="H544" s="888"/>
      <c r="I544" s="217"/>
      <c r="J544" s="306"/>
      <c r="K544" s="306"/>
      <c r="L544" s="306"/>
      <c r="M544" s="306"/>
      <c r="N544" s="306"/>
      <c r="O544" s="5"/>
      <c r="P544" s="5"/>
      <c r="Q544" s="5"/>
      <c r="R544" s="5"/>
      <c r="S544" s="5"/>
      <c r="T544" s="5"/>
      <c r="U544" s="5"/>
      <c r="V544" s="5"/>
      <c r="W544" s="5"/>
      <c r="X544" s="5"/>
      <c r="Y544" s="5"/>
      <c r="Z544" s="5"/>
      <c r="AA544" s="5"/>
      <c r="AB544" s="5"/>
    </row>
    <row r="545" spans="1:28" ht="12.75" customHeight="1">
      <c r="A545" s="5"/>
      <c r="B545" s="5"/>
      <c r="C545" s="5"/>
      <c r="D545" s="5"/>
      <c r="E545" s="217"/>
      <c r="F545" s="198"/>
      <c r="G545" s="198"/>
      <c r="H545" s="888"/>
      <c r="I545" s="217"/>
      <c r="J545" s="306"/>
      <c r="K545" s="306"/>
      <c r="L545" s="306"/>
      <c r="M545" s="306"/>
      <c r="N545" s="306"/>
      <c r="O545" s="5"/>
      <c r="P545" s="5"/>
      <c r="Q545" s="5"/>
      <c r="R545" s="5"/>
      <c r="S545" s="5"/>
      <c r="T545" s="5"/>
      <c r="U545" s="5"/>
      <c r="V545" s="5"/>
      <c r="W545" s="5"/>
      <c r="X545" s="5"/>
      <c r="Y545" s="5"/>
      <c r="Z545" s="5"/>
      <c r="AA545" s="5"/>
      <c r="AB545" s="5"/>
    </row>
    <row r="546" spans="1:28" ht="12.75" customHeight="1">
      <c r="A546" s="5"/>
      <c r="B546" s="5"/>
      <c r="C546" s="5"/>
      <c r="D546" s="5"/>
      <c r="E546" s="217"/>
      <c r="F546" s="198"/>
      <c r="G546" s="198"/>
      <c r="H546" s="888"/>
      <c r="I546" s="217"/>
      <c r="J546" s="306"/>
      <c r="K546" s="306"/>
      <c r="L546" s="306"/>
      <c r="M546" s="306"/>
      <c r="N546" s="306"/>
      <c r="O546" s="5"/>
      <c r="P546" s="5"/>
      <c r="Q546" s="5"/>
      <c r="R546" s="5"/>
      <c r="S546" s="5"/>
      <c r="T546" s="5"/>
      <c r="U546" s="5"/>
      <c r="V546" s="5"/>
      <c r="W546" s="5"/>
      <c r="X546" s="5"/>
      <c r="Y546" s="5"/>
      <c r="Z546" s="5"/>
      <c r="AA546" s="5"/>
      <c r="AB546" s="5"/>
    </row>
    <row r="547" spans="1:28" ht="12.75" customHeight="1">
      <c r="A547" s="5"/>
      <c r="B547" s="5"/>
      <c r="C547" s="5"/>
      <c r="D547" s="5"/>
      <c r="E547" s="217"/>
      <c r="F547" s="198"/>
      <c r="G547" s="198"/>
      <c r="H547" s="888"/>
      <c r="I547" s="217"/>
      <c r="J547" s="306"/>
      <c r="K547" s="306"/>
      <c r="L547" s="306"/>
      <c r="M547" s="306"/>
      <c r="N547" s="306"/>
      <c r="O547" s="5"/>
      <c r="P547" s="5"/>
      <c r="Q547" s="5"/>
      <c r="R547" s="5"/>
      <c r="S547" s="5"/>
      <c r="T547" s="5"/>
      <c r="U547" s="5"/>
      <c r="V547" s="5"/>
      <c r="W547" s="5"/>
      <c r="X547" s="5"/>
      <c r="Y547" s="5"/>
      <c r="Z547" s="5"/>
      <c r="AA547" s="5"/>
      <c r="AB547" s="5"/>
    </row>
    <row r="548" spans="1:28" ht="12.75" customHeight="1">
      <c r="A548" s="5"/>
      <c r="B548" s="5"/>
      <c r="C548" s="5"/>
      <c r="D548" s="5"/>
      <c r="E548" s="217"/>
      <c r="F548" s="198"/>
      <c r="G548" s="198"/>
      <c r="H548" s="888"/>
      <c r="I548" s="217"/>
      <c r="J548" s="306"/>
      <c r="K548" s="306"/>
      <c r="L548" s="306"/>
      <c r="M548" s="306"/>
      <c r="N548" s="306"/>
      <c r="O548" s="5"/>
      <c r="P548" s="5"/>
      <c r="Q548" s="5"/>
      <c r="R548" s="5"/>
      <c r="S548" s="5"/>
      <c r="T548" s="5"/>
      <c r="U548" s="5"/>
      <c r="V548" s="5"/>
      <c r="W548" s="5"/>
      <c r="X548" s="5"/>
      <c r="Y548" s="5"/>
      <c r="Z548" s="5"/>
      <c r="AA548" s="5"/>
      <c r="AB548" s="5"/>
    </row>
    <row r="549" spans="1:28" ht="12.75" customHeight="1">
      <c r="A549" s="5"/>
      <c r="B549" s="5"/>
      <c r="C549" s="5"/>
      <c r="D549" s="5"/>
      <c r="E549" s="217"/>
      <c r="F549" s="198"/>
      <c r="G549" s="198"/>
      <c r="H549" s="888"/>
      <c r="I549" s="217"/>
      <c r="J549" s="306"/>
      <c r="K549" s="306"/>
      <c r="L549" s="306"/>
      <c r="M549" s="306"/>
      <c r="N549" s="306"/>
      <c r="O549" s="5"/>
      <c r="P549" s="5"/>
      <c r="Q549" s="5"/>
      <c r="R549" s="5"/>
      <c r="S549" s="5"/>
      <c r="T549" s="5"/>
      <c r="U549" s="5"/>
      <c r="V549" s="5"/>
      <c r="W549" s="5"/>
      <c r="X549" s="5"/>
      <c r="Y549" s="5"/>
      <c r="Z549" s="5"/>
      <c r="AA549" s="5"/>
      <c r="AB549" s="5"/>
    </row>
    <row r="550" spans="1:28" ht="12.75" customHeight="1">
      <c r="A550" s="5"/>
      <c r="B550" s="5"/>
      <c r="C550" s="5"/>
      <c r="D550" s="5"/>
      <c r="E550" s="217"/>
      <c r="F550" s="198"/>
      <c r="G550" s="198"/>
      <c r="H550" s="888"/>
      <c r="I550" s="217"/>
      <c r="J550" s="306"/>
      <c r="K550" s="306"/>
      <c r="L550" s="306"/>
      <c r="M550" s="306"/>
      <c r="N550" s="306"/>
      <c r="O550" s="5"/>
      <c r="P550" s="5"/>
      <c r="Q550" s="5"/>
      <c r="R550" s="5"/>
      <c r="S550" s="5"/>
      <c r="T550" s="5"/>
      <c r="U550" s="5"/>
      <c r="V550" s="5"/>
      <c r="W550" s="5"/>
      <c r="X550" s="5"/>
      <c r="Y550" s="5"/>
      <c r="Z550" s="5"/>
      <c r="AA550" s="5"/>
      <c r="AB550" s="5"/>
    </row>
    <row r="551" spans="1:28" ht="12.75" customHeight="1">
      <c r="A551" s="5"/>
      <c r="B551" s="5"/>
      <c r="C551" s="5"/>
      <c r="D551" s="5"/>
      <c r="E551" s="217"/>
      <c r="F551" s="198"/>
      <c r="G551" s="198"/>
      <c r="H551" s="888"/>
      <c r="I551" s="217"/>
      <c r="J551" s="306"/>
      <c r="K551" s="306"/>
      <c r="L551" s="306"/>
      <c r="M551" s="306"/>
      <c r="N551" s="306"/>
      <c r="O551" s="5"/>
      <c r="P551" s="5"/>
      <c r="Q551" s="5"/>
      <c r="R551" s="5"/>
      <c r="S551" s="5"/>
      <c r="T551" s="5"/>
      <c r="U551" s="5"/>
      <c r="V551" s="5"/>
      <c r="W551" s="5"/>
      <c r="X551" s="5"/>
      <c r="Y551" s="5"/>
      <c r="Z551" s="5"/>
      <c r="AA551" s="5"/>
      <c r="AB551" s="5"/>
    </row>
    <row r="552" spans="1:28" ht="12.75" customHeight="1">
      <c r="A552" s="5"/>
      <c r="B552" s="5"/>
      <c r="C552" s="5"/>
      <c r="D552" s="5"/>
      <c r="E552" s="217"/>
      <c r="F552" s="198"/>
      <c r="G552" s="198"/>
      <c r="H552" s="888"/>
      <c r="I552" s="217"/>
      <c r="J552" s="306"/>
      <c r="K552" s="306"/>
      <c r="L552" s="306"/>
      <c r="M552" s="306"/>
      <c r="N552" s="306"/>
      <c r="O552" s="5"/>
      <c r="P552" s="5"/>
      <c r="Q552" s="5"/>
      <c r="R552" s="5"/>
      <c r="S552" s="5"/>
      <c r="T552" s="5"/>
      <c r="U552" s="5"/>
      <c r="V552" s="5"/>
      <c r="W552" s="5"/>
      <c r="X552" s="5"/>
      <c r="Y552" s="5"/>
      <c r="Z552" s="5"/>
      <c r="AA552" s="5"/>
      <c r="AB552" s="5"/>
    </row>
    <row r="553" spans="1:28" ht="12.75" customHeight="1">
      <c r="A553" s="5"/>
      <c r="B553" s="5"/>
      <c r="C553" s="5"/>
      <c r="D553" s="5"/>
      <c r="E553" s="217"/>
      <c r="F553" s="198"/>
      <c r="G553" s="198"/>
      <c r="H553" s="888"/>
      <c r="I553" s="217"/>
      <c r="J553" s="306"/>
      <c r="K553" s="306"/>
      <c r="L553" s="306"/>
      <c r="M553" s="306"/>
      <c r="N553" s="306"/>
      <c r="O553" s="5"/>
      <c r="P553" s="5"/>
      <c r="Q553" s="5"/>
      <c r="R553" s="5"/>
      <c r="S553" s="5"/>
      <c r="T553" s="5"/>
      <c r="U553" s="5"/>
      <c r="V553" s="5"/>
      <c r="W553" s="5"/>
      <c r="X553" s="5"/>
      <c r="Y553" s="5"/>
      <c r="Z553" s="5"/>
      <c r="AA553" s="5"/>
      <c r="AB553" s="5"/>
    </row>
    <row r="554" spans="1:28" ht="12.75" customHeight="1">
      <c r="A554" s="5"/>
      <c r="B554" s="5"/>
      <c r="C554" s="5"/>
      <c r="D554" s="5"/>
      <c r="E554" s="217"/>
      <c r="F554" s="198"/>
      <c r="G554" s="198"/>
      <c r="H554" s="888"/>
      <c r="I554" s="217"/>
      <c r="J554" s="306"/>
      <c r="K554" s="306"/>
      <c r="L554" s="306"/>
      <c r="M554" s="306"/>
      <c r="N554" s="306"/>
      <c r="O554" s="5"/>
      <c r="P554" s="5"/>
      <c r="Q554" s="5"/>
      <c r="R554" s="5"/>
      <c r="S554" s="5"/>
      <c r="T554" s="5"/>
      <c r="U554" s="5"/>
      <c r="V554" s="5"/>
      <c r="W554" s="5"/>
      <c r="X554" s="5"/>
      <c r="Y554" s="5"/>
      <c r="Z554" s="5"/>
      <c r="AA554" s="5"/>
      <c r="AB554" s="5"/>
    </row>
    <row r="555" spans="1:28" ht="12.75" customHeight="1">
      <c r="A555" s="5"/>
      <c r="B555" s="5"/>
      <c r="C555" s="5"/>
      <c r="D555" s="5"/>
      <c r="E555" s="217"/>
      <c r="F555" s="198"/>
      <c r="G555" s="198"/>
      <c r="H555" s="888"/>
      <c r="I555" s="217"/>
      <c r="J555" s="306"/>
      <c r="K555" s="306"/>
      <c r="L555" s="306"/>
      <c r="M555" s="306"/>
      <c r="N555" s="306"/>
      <c r="O555" s="5"/>
      <c r="P555" s="5"/>
      <c r="Q555" s="5"/>
      <c r="R555" s="5"/>
      <c r="S555" s="5"/>
      <c r="T555" s="5"/>
      <c r="U555" s="5"/>
      <c r="V555" s="5"/>
      <c r="W555" s="5"/>
      <c r="X555" s="5"/>
      <c r="Y555" s="5"/>
      <c r="Z555" s="5"/>
      <c r="AA555" s="5"/>
      <c r="AB555" s="5"/>
    </row>
    <row r="556" spans="1:28" ht="12.75" customHeight="1">
      <c r="A556" s="5"/>
      <c r="B556" s="5"/>
      <c r="C556" s="5"/>
      <c r="D556" s="5"/>
      <c r="E556" s="217"/>
      <c r="F556" s="198"/>
      <c r="G556" s="198"/>
      <c r="H556" s="888"/>
      <c r="I556" s="217"/>
      <c r="J556" s="306"/>
      <c r="K556" s="306"/>
      <c r="L556" s="306"/>
      <c r="M556" s="306"/>
      <c r="N556" s="306"/>
      <c r="O556" s="5"/>
      <c r="P556" s="5"/>
      <c r="Q556" s="5"/>
      <c r="R556" s="5"/>
      <c r="S556" s="5"/>
      <c r="T556" s="5"/>
      <c r="U556" s="5"/>
      <c r="V556" s="5"/>
      <c r="W556" s="5"/>
      <c r="X556" s="5"/>
      <c r="Y556" s="5"/>
      <c r="Z556" s="5"/>
      <c r="AA556" s="5"/>
      <c r="AB556" s="5"/>
    </row>
    <row r="557" spans="1:28" ht="12.75" customHeight="1">
      <c r="A557" s="5"/>
      <c r="B557" s="5"/>
      <c r="C557" s="5"/>
      <c r="D557" s="5"/>
      <c r="E557" s="217"/>
      <c r="F557" s="198"/>
      <c r="G557" s="198"/>
      <c r="H557" s="888"/>
      <c r="I557" s="217"/>
      <c r="J557" s="306"/>
      <c r="K557" s="306"/>
      <c r="L557" s="306"/>
      <c r="M557" s="306"/>
      <c r="N557" s="306"/>
      <c r="O557" s="5"/>
      <c r="P557" s="5"/>
      <c r="Q557" s="5"/>
      <c r="R557" s="5"/>
      <c r="S557" s="5"/>
      <c r="T557" s="5"/>
      <c r="U557" s="5"/>
      <c r="V557" s="5"/>
      <c r="W557" s="5"/>
      <c r="X557" s="5"/>
      <c r="Y557" s="5"/>
      <c r="Z557" s="5"/>
      <c r="AA557" s="5"/>
      <c r="AB557" s="5"/>
    </row>
    <row r="558" spans="1:28" ht="12.75" customHeight="1">
      <c r="A558" s="5"/>
      <c r="B558" s="5"/>
      <c r="C558" s="5"/>
      <c r="D558" s="5"/>
      <c r="E558" s="217"/>
      <c r="F558" s="198"/>
      <c r="G558" s="198"/>
      <c r="H558" s="888"/>
      <c r="I558" s="217"/>
      <c r="J558" s="306"/>
      <c r="K558" s="306"/>
      <c r="L558" s="306"/>
      <c r="M558" s="306"/>
      <c r="N558" s="306"/>
      <c r="O558" s="5"/>
      <c r="P558" s="5"/>
      <c r="Q558" s="5"/>
      <c r="R558" s="5"/>
      <c r="S558" s="5"/>
      <c r="T558" s="5"/>
      <c r="U558" s="5"/>
      <c r="V558" s="5"/>
      <c r="W558" s="5"/>
      <c r="X558" s="5"/>
      <c r="Y558" s="5"/>
      <c r="Z558" s="5"/>
      <c r="AA558" s="5"/>
      <c r="AB558" s="5"/>
    </row>
    <row r="559" spans="1:28" ht="12.75" customHeight="1">
      <c r="A559" s="5"/>
      <c r="B559" s="5"/>
      <c r="C559" s="5"/>
      <c r="D559" s="5"/>
      <c r="E559" s="217"/>
      <c r="F559" s="198"/>
      <c r="G559" s="198"/>
      <c r="H559" s="888"/>
      <c r="I559" s="217"/>
      <c r="J559" s="306"/>
      <c r="K559" s="306"/>
      <c r="L559" s="306"/>
      <c r="M559" s="306"/>
      <c r="N559" s="306"/>
      <c r="O559" s="5"/>
      <c r="P559" s="5"/>
      <c r="Q559" s="5"/>
      <c r="R559" s="5"/>
      <c r="S559" s="5"/>
      <c r="T559" s="5"/>
      <c r="U559" s="5"/>
      <c r="V559" s="5"/>
      <c r="W559" s="5"/>
      <c r="X559" s="5"/>
      <c r="Y559" s="5"/>
      <c r="Z559" s="5"/>
      <c r="AA559" s="5"/>
      <c r="AB559" s="5"/>
    </row>
    <row r="560" spans="1:28" ht="12.75" customHeight="1">
      <c r="A560" s="5"/>
      <c r="B560" s="5"/>
      <c r="C560" s="5"/>
      <c r="D560" s="5"/>
      <c r="E560" s="217"/>
      <c r="F560" s="198"/>
      <c r="G560" s="198"/>
      <c r="H560" s="888"/>
      <c r="I560" s="217"/>
      <c r="J560" s="306"/>
      <c r="K560" s="306"/>
      <c r="L560" s="306"/>
      <c r="M560" s="306"/>
      <c r="N560" s="306"/>
      <c r="O560" s="5"/>
      <c r="P560" s="5"/>
      <c r="Q560" s="5"/>
      <c r="R560" s="5"/>
      <c r="S560" s="5"/>
      <c r="T560" s="5"/>
      <c r="U560" s="5"/>
      <c r="V560" s="5"/>
      <c r="W560" s="5"/>
      <c r="X560" s="5"/>
      <c r="Y560" s="5"/>
      <c r="Z560" s="5"/>
      <c r="AA560" s="5"/>
      <c r="AB560" s="5"/>
    </row>
    <row r="561" spans="1:28" ht="12.75" customHeight="1">
      <c r="A561" s="5"/>
      <c r="B561" s="5"/>
      <c r="C561" s="5"/>
      <c r="D561" s="5"/>
      <c r="E561" s="217"/>
      <c r="F561" s="198"/>
      <c r="G561" s="198"/>
      <c r="H561" s="888"/>
      <c r="I561" s="217"/>
      <c r="J561" s="306"/>
      <c r="K561" s="306"/>
      <c r="L561" s="306"/>
      <c r="M561" s="306"/>
      <c r="N561" s="306"/>
      <c r="O561" s="5"/>
      <c r="P561" s="5"/>
      <c r="Q561" s="5"/>
      <c r="R561" s="5"/>
      <c r="S561" s="5"/>
      <c r="T561" s="5"/>
      <c r="U561" s="5"/>
      <c r="V561" s="5"/>
      <c r="W561" s="5"/>
      <c r="X561" s="5"/>
      <c r="Y561" s="5"/>
      <c r="Z561" s="5"/>
      <c r="AA561" s="5"/>
      <c r="AB561" s="5"/>
    </row>
    <row r="562" spans="1:28" ht="12.75" customHeight="1">
      <c r="A562" s="5"/>
      <c r="B562" s="5"/>
      <c r="C562" s="5"/>
      <c r="D562" s="5"/>
      <c r="E562" s="217"/>
      <c r="F562" s="198"/>
      <c r="G562" s="198"/>
      <c r="H562" s="888"/>
      <c r="I562" s="217"/>
      <c r="J562" s="306"/>
      <c r="K562" s="306"/>
      <c r="L562" s="306"/>
      <c r="M562" s="306"/>
      <c r="N562" s="306"/>
      <c r="O562" s="5"/>
      <c r="P562" s="5"/>
      <c r="Q562" s="5"/>
      <c r="R562" s="5"/>
      <c r="S562" s="5"/>
      <c r="T562" s="5"/>
      <c r="U562" s="5"/>
      <c r="V562" s="5"/>
      <c r="W562" s="5"/>
      <c r="X562" s="5"/>
      <c r="Y562" s="5"/>
      <c r="Z562" s="5"/>
      <c r="AA562" s="5"/>
      <c r="AB562" s="5"/>
    </row>
    <row r="563" spans="1:28" ht="12.75" customHeight="1">
      <c r="A563" s="5"/>
      <c r="B563" s="5"/>
      <c r="C563" s="5"/>
      <c r="D563" s="5"/>
      <c r="E563" s="217"/>
      <c r="F563" s="198"/>
      <c r="G563" s="198"/>
      <c r="H563" s="888"/>
      <c r="I563" s="217"/>
      <c r="J563" s="306"/>
      <c r="K563" s="306"/>
      <c r="L563" s="306"/>
      <c r="M563" s="306"/>
      <c r="N563" s="306"/>
      <c r="O563" s="5"/>
      <c r="P563" s="5"/>
      <c r="Q563" s="5"/>
      <c r="R563" s="5"/>
      <c r="S563" s="5"/>
      <c r="T563" s="5"/>
      <c r="U563" s="5"/>
      <c r="V563" s="5"/>
      <c r="W563" s="5"/>
      <c r="X563" s="5"/>
      <c r="Y563" s="5"/>
      <c r="Z563" s="5"/>
      <c r="AA563" s="5"/>
      <c r="AB563" s="5"/>
    </row>
    <row r="564" spans="1:28" ht="12.75" customHeight="1">
      <c r="A564" s="5"/>
      <c r="B564" s="5"/>
      <c r="C564" s="5"/>
      <c r="D564" s="5"/>
      <c r="E564" s="217"/>
      <c r="F564" s="198"/>
      <c r="G564" s="198"/>
      <c r="H564" s="888"/>
      <c r="I564" s="217"/>
      <c r="J564" s="306"/>
      <c r="K564" s="306"/>
      <c r="L564" s="306"/>
      <c r="M564" s="306"/>
      <c r="N564" s="306"/>
      <c r="O564" s="5"/>
      <c r="P564" s="5"/>
      <c r="Q564" s="5"/>
      <c r="R564" s="5"/>
      <c r="S564" s="5"/>
      <c r="T564" s="5"/>
      <c r="U564" s="5"/>
      <c r="V564" s="5"/>
      <c r="W564" s="5"/>
      <c r="X564" s="5"/>
      <c r="Y564" s="5"/>
      <c r="Z564" s="5"/>
      <c r="AA564" s="5"/>
      <c r="AB564" s="5"/>
    </row>
    <row r="565" spans="1:28" ht="12.75" customHeight="1">
      <c r="A565" s="5"/>
      <c r="B565" s="5"/>
      <c r="C565" s="5"/>
      <c r="D565" s="5"/>
      <c r="E565" s="217"/>
      <c r="F565" s="198"/>
      <c r="G565" s="198"/>
      <c r="H565" s="888"/>
      <c r="I565" s="217"/>
      <c r="J565" s="306"/>
      <c r="K565" s="306"/>
      <c r="L565" s="306"/>
      <c r="M565" s="306"/>
      <c r="N565" s="306"/>
      <c r="O565" s="5"/>
      <c r="P565" s="5"/>
      <c r="Q565" s="5"/>
      <c r="R565" s="5"/>
      <c r="S565" s="5"/>
      <c r="T565" s="5"/>
      <c r="U565" s="5"/>
      <c r="V565" s="5"/>
      <c r="W565" s="5"/>
      <c r="X565" s="5"/>
      <c r="Y565" s="5"/>
      <c r="Z565" s="5"/>
      <c r="AA565" s="5"/>
      <c r="AB565" s="5"/>
    </row>
    <row r="566" spans="1:28" ht="12.75" customHeight="1">
      <c r="A566" s="5"/>
      <c r="B566" s="5"/>
      <c r="C566" s="5"/>
      <c r="D566" s="5"/>
      <c r="E566" s="217"/>
      <c r="F566" s="198"/>
      <c r="G566" s="198"/>
      <c r="H566" s="888"/>
      <c r="I566" s="217"/>
      <c r="J566" s="306"/>
      <c r="K566" s="306"/>
      <c r="L566" s="306"/>
      <c r="M566" s="306"/>
      <c r="N566" s="306"/>
      <c r="O566" s="5"/>
      <c r="P566" s="5"/>
      <c r="Q566" s="5"/>
      <c r="R566" s="5"/>
      <c r="S566" s="5"/>
      <c r="T566" s="5"/>
      <c r="U566" s="5"/>
      <c r="V566" s="5"/>
      <c r="W566" s="5"/>
      <c r="X566" s="5"/>
      <c r="Y566" s="5"/>
      <c r="Z566" s="5"/>
      <c r="AA566" s="5"/>
      <c r="AB566" s="5"/>
    </row>
    <row r="567" spans="1:28" ht="12.75" customHeight="1">
      <c r="A567" s="5"/>
      <c r="B567" s="5"/>
      <c r="C567" s="5"/>
      <c r="D567" s="5"/>
      <c r="E567" s="217"/>
      <c r="F567" s="198"/>
      <c r="G567" s="198"/>
      <c r="H567" s="888"/>
      <c r="I567" s="217"/>
      <c r="J567" s="306"/>
      <c r="K567" s="306"/>
      <c r="L567" s="306"/>
      <c r="M567" s="306"/>
      <c r="N567" s="306"/>
      <c r="O567" s="5"/>
      <c r="P567" s="5"/>
      <c r="Q567" s="5"/>
      <c r="R567" s="5"/>
      <c r="S567" s="5"/>
      <c r="T567" s="5"/>
      <c r="U567" s="5"/>
      <c r="V567" s="5"/>
      <c r="W567" s="5"/>
      <c r="X567" s="5"/>
      <c r="Y567" s="5"/>
      <c r="Z567" s="5"/>
      <c r="AA567" s="5"/>
      <c r="AB567" s="5"/>
    </row>
    <row r="568" spans="1:28" ht="12.75" customHeight="1">
      <c r="A568" s="5"/>
      <c r="B568" s="5"/>
      <c r="C568" s="5"/>
      <c r="D568" s="5"/>
      <c r="E568" s="217"/>
      <c r="F568" s="198"/>
      <c r="G568" s="198"/>
      <c r="H568" s="888"/>
      <c r="I568" s="217"/>
      <c r="J568" s="306"/>
      <c r="K568" s="306"/>
      <c r="L568" s="306"/>
      <c r="M568" s="306"/>
      <c r="N568" s="306"/>
      <c r="O568" s="5"/>
      <c r="P568" s="5"/>
      <c r="Q568" s="5"/>
      <c r="R568" s="5"/>
      <c r="S568" s="5"/>
      <c r="T568" s="5"/>
      <c r="U568" s="5"/>
      <c r="V568" s="5"/>
      <c r="W568" s="5"/>
      <c r="X568" s="5"/>
      <c r="Y568" s="5"/>
      <c r="Z568" s="5"/>
      <c r="AA568" s="5"/>
      <c r="AB568" s="5"/>
    </row>
    <row r="569" spans="1:28" ht="12.75" customHeight="1">
      <c r="A569" s="5"/>
      <c r="B569" s="5"/>
      <c r="C569" s="5"/>
      <c r="D569" s="5"/>
      <c r="E569" s="217"/>
      <c r="F569" s="198"/>
      <c r="G569" s="198"/>
      <c r="H569" s="888"/>
      <c r="I569" s="217"/>
      <c r="J569" s="306"/>
      <c r="K569" s="306"/>
      <c r="L569" s="306"/>
      <c r="M569" s="306"/>
      <c r="N569" s="306"/>
      <c r="O569" s="5"/>
      <c r="P569" s="5"/>
      <c r="Q569" s="5"/>
      <c r="R569" s="5"/>
      <c r="S569" s="5"/>
      <c r="T569" s="5"/>
      <c r="U569" s="5"/>
      <c r="V569" s="5"/>
      <c r="W569" s="5"/>
      <c r="X569" s="5"/>
      <c r="Y569" s="5"/>
      <c r="Z569" s="5"/>
      <c r="AA569" s="5"/>
      <c r="AB569" s="5"/>
    </row>
    <row r="570" spans="1:28" ht="12.75" customHeight="1">
      <c r="A570" s="5"/>
      <c r="B570" s="5"/>
      <c r="C570" s="5"/>
      <c r="D570" s="5"/>
      <c r="E570" s="217"/>
      <c r="F570" s="198"/>
      <c r="G570" s="198"/>
      <c r="H570" s="888"/>
      <c r="I570" s="217"/>
      <c r="J570" s="306"/>
      <c r="K570" s="306"/>
      <c r="L570" s="306"/>
      <c r="M570" s="306"/>
      <c r="N570" s="306"/>
      <c r="O570" s="5"/>
      <c r="P570" s="5"/>
      <c r="Q570" s="5"/>
      <c r="R570" s="5"/>
      <c r="S570" s="5"/>
      <c r="T570" s="5"/>
      <c r="U570" s="5"/>
      <c r="V570" s="5"/>
      <c r="W570" s="5"/>
      <c r="X570" s="5"/>
      <c r="Y570" s="5"/>
      <c r="Z570" s="5"/>
      <c r="AA570" s="5"/>
      <c r="AB570" s="5"/>
    </row>
    <row r="571" spans="1:28" ht="12.75" customHeight="1">
      <c r="A571" s="5"/>
      <c r="B571" s="5"/>
      <c r="C571" s="5"/>
      <c r="D571" s="5"/>
      <c r="E571" s="217"/>
      <c r="F571" s="198"/>
      <c r="G571" s="198"/>
      <c r="H571" s="888"/>
      <c r="I571" s="217"/>
      <c r="J571" s="306"/>
      <c r="K571" s="306"/>
      <c r="L571" s="306"/>
      <c r="M571" s="306"/>
      <c r="N571" s="306"/>
      <c r="O571" s="5"/>
      <c r="P571" s="5"/>
      <c r="Q571" s="5"/>
      <c r="R571" s="5"/>
      <c r="S571" s="5"/>
      <c r="T571" s="5"/>
      <c r="U571" s="5"/>
      <c r="V571" s="5"/>
      <c r="W571" s="5"/>
      <c r="X571" s="5"/>
      <c r="Y571" s="5"/>
      <c r="Z571" s="5"/>
      <c r="AA571" s="5"/>
      <c r="AB571" s="5"/>
    </row>
    <row r="572" spans="1:28" ht="12.75" customHeight="1">
      <c r="A572" s="5"/>
      <c r="B572" s="5"/>
      <c r="C572" s="5"/>
      <c r="D572" s="5"/>
      <c r="E572" s="217"/>
      <c r="F572" s="198"/>
      <c r="G572" s="198"/>
      <c r="H572" s="888"/>
      <c r="I572" s="217"/>
      <c r="J572" s="306"/>
      <c r="K572" s="306"/>
      <c r="L572" s="306"/>
      <c r="M572" s="306"/>
      <c r="N572" s="306"/>
      <c r="O572" s="5"/>
      <c r="P572" s="5"/>
      <c r="Q572" s="5"/>
      <c r="R572" s="5"/>
      <c r="S572" s="5"/>
      <c r="T572" s="5"/>
      <c r="U572" s="5"/>
      <c r="V572" s="5"/>
      <c r="W572" s="5"/>
      <c r="X572" s="5"/>
      <c r="Y572" s="5"/>
      <c r="Z572" s="5"/>
      <c r="AA572" s="5"/>
      <c r="AB572" s="5"/>
    </row>
    <row r="573" spans="1:28" ht="12.75" customHeight="1">
      <c r="A573" s="5"/>
      <c r="B573" s="5"/>
      <c r="C573" s="5"/>
      <c r="D573" s="5"/>
      <c r="E573" s="217"/>
      <c r="F573" s="198"/>
      <c r="G573" s="198"/>
      <c r="H573" s="888"/>
      <c r="I573" s="217"/>
      <c r="J573" s="306"/>
      <c r="K573" s="306"/>
      <c r="L573" s="306"/>
      <c r="M573" s="306"/>
      <c r="N573" s="306"/>
      <c r="O573" s="5"/>
      <c r="P573" s="5"/>
      <c r="Q573" s="5"/>
      <c r="R573" s="5"/>
      <c r="S573" s="5"/>
      <c r="T573" s="5"/>
      <c r="U573" s="5"/>
      <c r="V573" s="5"/>
      <c r="W573" s="5"/>
      <c r="X573" s="5"/>
      <c r="Y573" s="5"/>
      <c r="Z573" s="5"/>
      <c r="AA573" s="5"/>
      <c r="AB573" s="5"/>
    </row>
    <row r="574" spans="1:28" ht="12.75" customHeight="1">
      <c r="A574" s="5"/>
      <c r="B574" s="5"/>
      <c r="C574" s="5"/>
      <c r="D574" s="5"/>
      <c r="E574" s="217"/>
      <c r="F574" s="198"/>
      <c r="G574" s="198"/>
      <c r="H574" s="888"/>
      <c r="I574" s="217"/>
      <c r="J574" s="306"/>
      <c r="K574" s="306"/>
      <c r="L574" s="306"/>
      <c r="M574" s="306"/>
      <c r="N574" s="306"/>
      <c r="O574" s="5"/>
      <c r="P574" s="5"/>
      <c r="Q574" s="5"/>
      <c r="R574" s="5"/>
      <c r="S574" s="5"/>
      <c r="T574" s="5"/>
      <c r="U574" s="5"/>
      <c r="V574" s="5"/>
      <c r="W574" s="5"/>
      <c r="X574" s="5"/>
      <c r="Y574" s="5"/>
      <c r="Z574" s="5"/>
      <c r="AA574" s="5"/>
      <c r="AB574" s="5"/>
    </row>
    <row r="575" spans="1:28" ht="12.75" customHeight="1">
      <c r="A575" s="5"/>
      <c r="B575" s="5"/>
      <c r="C575" s="5"/>
      <c r="D575" s="5"/>
      <c r="E575" s="217"/>
      <c r="F575" s="198"/>
      <c r="G575" s="198"/>
      <c r="H575" s="888"/>
      <c r="I575" s="217"/>
      <c r="J575" s="306"/>
      <c r="K575" s="306"/>
      <c r="L575" s="306"/>
      <c r="M575" s="306"/>
      <c r="N575" s="306"/>
      <c r="O575" s="5"/>
      <c r="P575" s="5"/>
      <c r="Q575" s="5"/>
      <c r="R575" s="5"/>
      <c r="S575" s="5"/>
      <c r="T575" s="5"/>
      <c r="U575" s="5"/>
      <c r="V575" s="5"/>
      <c r="W575" s="5"/>
      <c r="X575" s="5"/>
      <c r="Y575" s="5"/>
      <c r="Z575" s="5"/>
      <c r="AA575" s="5"/>
      <c r="AB575" s="5"/>
    </row>
    <row r="576" spans="1:28" ht="12.75" customHeight="1">
      <c r="A576" s="5"/>
      <c r="B576" s="5"/>
      <c r="C576" s="5"/>
      <c r="D576" s="5"/>
      <c r="E576" s="217"/>
      <c r="F576" s="198"/>
      <c r="G576" s="198"/>
      <c r="H576" s="888"/>
      <c r="I576" s="217"/>
      <c r="J576" s="306"/>
      <c r="K576" s="306"/>
      <c r="L576" s="306"/>
      <c r="M576" s="306"/>
      <c r="N576" s="306"/>
      <c r="O576" s="5"/>
      <c r="P576" s="5"/>
      <c r="Q576" s="5"/>
      <c r="R576" s="5"/>
      <c r="S576" s="5"/>
      <c r="T576" s="5"/>
      <c r="U576" s="5"/>
      <c r="V576" s="5"/>
      <c r="W576" s="5"/>
      <c r="X576" s="5"/>
      <c r="Y576" s="5"/>
      <c r="Z576" s="5"/>
      <c r="AA576" s="5"/>
      <c r="AB576" s="5"/>
    </row>
    <row r="577" spans="1:28" ht="12.75" customHeight="1">
      <c r="A577" s="5"/>
      <c r="B577" s="5"/>
      <c r="C577" s="5"/>
      <c r="D577" s="5"/>
      <c r="E577" s="217"/>
      <c r="F577" s="198"/>
      <c r="G577" s="198"/>
      <c r="H577" s="888"/>
      <c r="I577" s="217"/>
      <c r="J577" s="306"/>
      <c r="K577" s="306"/>
      <c r="L577" s="306"/>
      <c r="M577" s="306"/>
      <c r="N577" s="306"/>
      <c r="O577" s="5"/>
      <c r="P577" s="5"/>
      <c r="Q577" s="5"/>
      <c r="R577" s="5"/>
      <c r="S577" s="5"/>
      <c r="T577" s="5"/>
      <c r="U577" s="5"/>
      <c r="V577" s="5"/>
      <c r="W577" s="5"/>
      <c r="X577" s="5"/>
      <c r="Y577" s="5"/>
      <c r="Z577" s="5"/>
      <c r="AA577" s="5"/>
      <c r="AB577" s="5"/>
    </row>
    <row r="578" spans="1:28" ht="12.75" customHeight="1">
      <c r="A578" s="5"/>
      <c r="B578" s="5"/>
      <c r="C578" s="5"/>
      <c r="D578" s="5"/>
      <c r="E578" s="217"/>
      <c r="F578" s="198"/>
      <c r="G578" s="198"/>
      <c r="H578" s="888"/>
      <c r="I578" s="217"/>
      <c r="J578" s="306"/>
      <c r="K578" s="306"/>
      <c r="L578" s="306"/>
      <c r="M578" s="306"/>
      <c r="N578" s="306"/>
      <c r="O578" s="5"/>
      <c r="P578" s="5"/>
      <c r="Q578" s="5"/>
      <c r="R578" s="5"/>
      <c r="S578" s="5"/>
      <c r="T578" s="5"/>
      <c r="U578" s="5"/>
      <c r="V578" s="5"/>
      <c r="W578" s="5"/>
      <c r="X578" s="5"/>
      <c r="Y578" s="5"/>
      <c r="Z578" s="5"/>
      <c r="AA578" s="5"/>
      <c r="AB578" s="5"/>
    </row>
    <row r="579" spans="1:28" ht="12.75" customHeight="1">
      <c r="A579" s="5"/>
      <c r="B579" s="5"/>
      <c r="C579" s="5"/>
      <c r="D579" s="5"/>
      <c r="E579" s="217"/>
      <c r="F579" s="198"/>
      <c r="G579" s="198"/>
      <c r="H579" s="888"/>
      <c r="I579" s="217"/>
      <c r="J579" s="306"/>
      <c r="K579" s="306"/>
      <c r="L579" s="306"/>
      <c r="M579" s="306"/>
      <c r="N579" s="306"/>
      <c r="O579" s="5"/>
      <c r="P579" s="5"/>
      <c r="Q579" s="5"/>
      <c r="R579" s="5"/>
      <c r="S579" s="5"/>
      <c r="T579" s="5"/>
      <c r="U579" s="5"/>
      <c r="V579" s="5"/>
      <c r="W579" s="5"/>
      <c r="X579" s="5"/>
      <c r="Y579" s="5"/>
      <c r="Z579" s="5"/>
      <c r="AA579" s="5"/>
      <c r="AB579" s="5"/>
    </row>
    <row r="580" spans="1:28" ht="12.75" customHeight="1">
      <c r="A580" s="5"/>
      <c r="B580" s="5"/>
      <c r="C580" s="5"/>
      <c r="D580" s="5"/>
      <c r="E580" s="217"/>
      <c r="F580" s="198"/>
      <c r="G580" s="198"/>
      <c r="H580" s="888"/>
      <c r="I580" s="217"/>
      <c r="J580" s="306"/>
      <c r="K580" s="306"/>
      <c r="L580" s="306"/>
      <c r="M580" s="306"/>
      <c r="N580" s="306"/>
      <c r="O580" s="5"/>
      <c r="P580" s="5"/>
      <c r="Q580" s="5"/>
      <c r="R580" s="5"/>
      <c r="S580" s="5"/>
      <c r="T580" s="5"/>
      <c r="U580" s="5"/>
      <c r="V580" s="5"/>
      <c r="W580" s="5"/>
      <c r="X580" s="5"/>
      <c r="Y580" s="5"/>
      <c r="Z580" s="5"/>
      <c r="AA580" s="5"/>
      <c r="AB580" s="5"/>
    </row>
    <row r="581" spans="1:28" ht="12.75" customHeight="1">
      <c r="A581" s="5"/>
      <c r="B581" s="5"/>
      <c r="C581" s="5"/>
      <c r="D581" s="5"/>
      <c r="E581" s="217"/>
      <c r="F581" s="198"/>
      <c r="G581" s="198"/>
      <c r="H581" s="888"/>
      <c r="I581" s="217"/>
      <c r="J581" s="306"/>
      <c r="K581" s="306"/>
      <c r="L581" s="306"/>
      <c r="M581" s="306"/>
      <c r="N581" s="306"/>
      <c r="O581" s="5"/>
      <c r="P581" s="5"/>
      <c r="Q581" s="5"/>
      <c r="R581" s="5"/>
      <c r="S581" s="5"/>
      <c r="T581" s="5"/>
      <c r="U581" s="5"/>
      <c r="V581" s="5"/>
      <c r="W581" s="5"/>
      <c r="X581" s="5"/>
      <c r="Y581" s="5"/>
      <c r="Z581" s="5"/>
      <c r="AA581" s="5"/>
      <c r="AB581" s="5"/>
    </row>
    <row r="582" spans="1:28" ht="12.75" customHeight="1">
      <c r="A582" s="5"/>
      <c r="B582" s="5"/>
      <c r="C582" s="5"/>
      <c r="D582" s="5"/>
      <c r="E582" s="217"/>
      <c r="F582" s="198"/>
      <c r="G582" s="198"/>
      <c r="H582" s="888"/>
      <c r="I582" s="217"/>
      <c r="J582" s="306"/>
      <c r="K582" s="306"/>
      <c r="L582" s="306"/>
      <c r="M582" s="306"/>
      <c r="N582" s="306"/>
      <c r="O582" s="5"/>
      <c r="P582" s="5"/>
      <c r="Q582" s="5"/>
      <c r="R582" s="5"/>
      <c r="S582" s="5"/>
      <c r="T582" s="5"/>
      <c r="U582" s="5"/>
      <c r="V582" s="5"/>
      <c r="W582" s="5"/>
      <c r="X582" s="5"/>
      <c r="Y582" s="5"/>
      <c r="Z582" s="5"/>
      <c r="AA582" s="5"/>
      <c r="AB582" s="5"/>
    </row>
    <row r="583" spans="1:28" ht="12.75" customHeight="1">
      <c r="A583" s="5"/>
      <c r="B583" s="5"/>
      <c r="C583" s="5"/>
      <c r="D583" s="5"/>
      <c r="E583" s="217"/>
      <c r="F583" s="198"/>
      <c r="G583" s="198"/>
      <c r="H583" s="888"/>
      <c r="I583" s="217"/>
      <c r="J583" s="306"/>
      <c r="K583" s="306"/>
      <c r="L583" s="306"/>
      <c r="M583" s="306"/>
      <c r="N583" s="306"/>
      <c r="O583" s="5"/>
      <c r="P583" s="5"/>
      <c r="Q583" s="5"/>
      <c r="R583" s="5"/>
      <c r="S583" s="5"/>
      <c r="T583" s="5"/>
      <c r="U583" s="5"/>
      <c r="V583" s="5"/>
      <c r="W583" s="5"/>
      <c r="X583" s="5"/>
      <c r="Y583" s="5"/>
      <c r="Z583" s="5"/>
      <c r="AA583" s="5"/>
      <c r="AB583" s="5"/>
    </row>
    <row r="584" spans="1:28" ht="12.75" customHeight="1">
      <c r="A584" s="5"/>
      <c r="B584" s="5"/>
      <c r="C584" s="5"/>
      <c r="D584" s="5"/>
      <c r="E584" s="217"/>
      <c r="F584" s="198"/>
      <c r="G584" s="198"/>
      <c r="H584" s="888"/>
      <c r="I584" s="217"/>
      <c r="J584" s="306"/>
      <c r="K584" s="306"/>
      <c r="L584" s="306"/>
      <c r="M584" s="306"/>
      <c r="N584" s="306"/>
      <c r="O584" s="5"/>
      <c r="P584" s="5"/>
      <c r="Q584" s="5"/>
      <c r="R584" s="5"/>
      <c r="S584" s="5"/>
      <c r="T584" s="5"/>
      <c r="U584" s="5"/>
      <c r="V584" s="5"/>
      <c r="W584" s="5"/>
      <c r="X584" s="5"/>
      <c r="Y584" s="5"/>
      <c r="Z584" s="5"/>
      <c r="AA584" s="5"/>
      <c r="AB584" s="5"/>
    </row>
    <row r="585" spans="1:28" ht="12.75" customHeight="1">
      <c r="A585" s="5"/>
      <c r="B585" s="5"/>
      <c r="C585" s="5"/>
      <c r="D585" s="5"/>
      <c r="E585" s="217"/>
      <c r="F585" s="198"/>
      <c r="G585" s="198"/>
      <c r="H585" s="888"/>
      <c r="I585" s="217"/>
      <c r="J585" s="306"/>
      <c r="K585" s="306"/>
      <c r="L585" s="306"/>
      <c r="M585" s="306"/>
      <c r="N585" s="306"/>
      <c r="O585" s="5"/>
      <c r="P585" s="5"/>
      <c r="Q585" s="5"/>
      <c r="R585" s="5"/>
      <c r="S585" s="5"/>
      <c r="T585" s="5"/>
      <c r="U585" s="5"/>
      <c r="V585" s="5"/>
      <c r="W585" s="5"/>
      <c r="X585" s="5"/>
      <c r="Y585" s="5"/>
      <c r="Z585" s="5"/>
      <c r="AA585" s="5"/>
      <c r="AB585" s="5"/>
    </row>
    <row r="586" spans="1:28" ht="12.75" customHeight="1">
      <c r="A586" s="5"/>
      <c r="B586" s="5"/>
      <c r="C586" s="5"/>
      <c r="D586" s="5"/>
      <c r="E586" s="217"/>
      <c r="F586" s="198"/>
      <c r="G586" s="198"/>
      <c r="H586" s="888"/>
      <c r="I586" s="217"/>
      <c r="J586" s="306"/>
      <c r="K586" s="306"/>
      <c r="L586" s="306"/>
      <c r="M586" s="306"/>
      <c r="N586" s="306"/>
      <c r="O586" s="5"/>
      <c r="P586" s="5"/>
      <c r="Q586" s="5"/>
      <c r="R586" s="5"/>
      <c r="S586" s="5"/>
      <c r="T586" s="5"/>
      <c r="U586" s="5"/>
      <c r="V586" s="5"/>
      <c r="W586" s="5"/>
      <c r="X586" s="5"/>
      <c r="Y586" s="5"/>
      <c r="Z586" s="5"/>
      <c r="AA586" s="5"/>
      <c r="AB586" s="5"/>
    </row>
    <row r="587" spans="1:28" ht="12.75" customHeight="1">
      <c r="A587" s="5"/>
      <c r="B587" s="5"/>
      <c r="C587" s="5"/>
      <c r="D587" s="5"/>
      <c r="E587" s="217"/>
      <c r="F587" s="198"/>
      <c r="G587" s="198"/>
      <c r="H587" s="888"/>
      <c r="I587" s="217"/>
      <c r="J587" s="306"/>
      <c r="K587" s="306"/>
      <c r="L587" s="306"/>
      <c r="M587" s="306"/>
      <c r="N587" s="306"/>
      <c r="O587" s="5"/>
      <c r="P587" s="5"/>
      <c r="Q587" s="5"/>
      <c r="R587" s="5"/>
      <c r="S587" s="5"/>
      <c r="T587" s="5"/>
      <c r="U587" s="5"/>
      <c r="V587" s="5"/>
      <c r="W587" s="5"/>
      <c r="X587" s="5"/>
      <c r="Y587" s="5"/>
      <c r="Z587" s="5"/>
      <c r="AA587" s="5"/>
      <c r="AB587" s="5"/>
    </row>
    <row r="588" spans="1:28" ht="12.75" customHeight="1">
      <c r="A588" s="5"/>
      <c r="B588" s="5"/>
      <c r="C588" s="5"/>
      <c r="D588" s="5"/>
      <c r="E588" s="217"/>
      <c r="F588" s="198"/>
      <c r="G588" s="198"/>
      <c r="H588" s="888"/>
      <c r="I588" s="217"/>
      <c r="J588" s="306"/>
      <c r="K588" s="306"/>
      <c r="L588" s="306"/>
      <c r="M588" s="306"/>
      <c r="N588" s="306"/>
      <c r="O588" s="5"/>
      <c r="P588" s="5"/>
      <c r="Q588" s="5"/>
      <c r="R588" s="5"/>
      <c r="S588" s="5"/>
      <c r="T588" s="5"/>
      <c r="U588" s="5"/>
      <c r="V588" s="5"/>
      <c r="W588" s="5"/>
      <c r="X588" s="5"/>
      <c r="Y588" s="5"/>
      <c r="Z588" s="5"/>
      <c r="AA588" s="5"/>
      <c r="AB588" s="5"/>
    </row>
    <row r="589" spans="1:28" ht="12.75" customHeight="1">
      <c r="A589" s="5"/>
      <c r="B589" s="5"/>
      <c r="C589" s="5"/>
      <c r="D589" s="5"/>
      <c r="E589" s="217"/>
      <c r="F589" s="198"/>
      <c r="G589" s="198"/>
      <c r="H589" s="888"/>
      <c r="I589" s="217"/>
      <c r="J589" s="306"/>
      <c r="K589" s="306"/>
      <c r="L589" s="306"/>
      <c r="M589" s="306"/>
      <c r="N589" s="306"/>
      <c r="O589" s="5"/>
      <c r="P589" s="5"/>
      <c r="Q589" s="5"/>
      <c r="R589" s="5"/>
      <c r="S589" s="5"/>
      <c r="T589" s="5"/>
      <c r="U589" s="5"/>
      <c r="V589" s="5"/>
      <c r="W589" s="5"/>
      <c r="X589" s="5"/>
      <c r="Y589" s="5"/>
      <c r="Z589" s="5"/>
      <c r="AA589" s="5"/>
      <c r="AB589" s="5"/>
    </row>
    <row r="590" spans="1:28" ht="12.75" customHeight="1">
      <c r="A590" s="5"/>
      <c r="B590" s="5"/>
      <c r="C590" s="5"/>
      <c r="D590" s="5"/>
      <c r="E590" s="217"/>
      <c r="F590" s="198"/>
      <c r="G590" s="198"/>
      <c r="H590" s="888"/>
      <c r="I590" s="217"/>
      <c r="J590" s="306"/>
      <c r="K590" s="306"/>
      <c r="L590" s="306"/>
      <c r="M590" s="306"/>
      <c r="N590" s="306"/>
      <c r="O590" s="5"/>
      <c r="P590" s="5"/>
      <c r="Q590" s="5"/>
      <c r="R590" s="5"/>
      <c r="S590" s="5"/>
      <c r="T590" s="5"/>
      <c r="U590" s="5"/>
      <c r="V590" s="5"/>
      <c r="W590" s="5"/>
      <c r="X590" s="5"/>
      <c r="Y590" s="5"/>
      <c r="Z590" s="5"/>
      <c r="AA590" s="5"/>
      <c r="AB590" s="5"/>
    </row>
    <row r="591" spans="1:28" ht="12.75" customHeight="1">
      <c r="A591" s="5"/>
      <c r="B591" s="5"/>
      <c r="C591" s="5"/>
      <c r="D591" s="5"/>
      <c r="E591" s="217"/>
      <c r="F591" s="198"/>
      <c r="G591" s="198"/>
      <c r="H591" s="888"/>
      <c r="I591" s="217"/>
      <c r="J591" s="306"/>
      <c r="K591" s="306"/>
      <c r="L591" s="306"/>
      <c r="M591" s="306"/>
      <c r="N591" s="306"/>
      <c r="O591" s="5"/>
      <c r="P591" s="5"/>
      <c r="Q591" s="5"/>
      <c r="R591" s="5"/>
      <c r="S591" s="5"/>
      <c r="T591" s="5"/>
      <c r="U591" s="5"/>
      <c r="V591" s="5"/>
      <c r="W591" s="5"/>
      <c r="X591" s="5"/>
      <c r="Y591" s="5"/>
      <c r="Z591" s="5"/>
      <c r="AA591" s="5"/>
      <c r="AB591" s="5"/>
    </row>
    <row r="592" spans="1:28" ht="12.75" customHeight="1">
      <c r="A592" s="5"/>
      <c r="B592" s="5"/>
      <c r="C592" s="5"/>
      <c r="D592" s="5"/>
      <c r="E592" s="217"/>
      <c r="F592" s="198"/>
      <c r="G592" s="198"/>
      <c r="H592" s="888"/>
      <c r="I592" s="217"/>
      <c r="J592" s="306"/>
      <c r="K592" s="306"/>
      <c r="L592" s="306"/>
      <c r="M592" s="306"/>
      <c r="N592" s="306"/>
      <c r="O592" s="5"/>
      <c r="P592" s="5"/>
      <c r="Q592" s="5"/>
      <c r="R592" s="5"/>
      <c r="S592" s="5"/>
      <c r="T592" s="5"/>
      <c r="U592" s="5"/>
      <c r="V592" s="5"/>
      <c r="W592" s="5"/>
      <c r="X592" s="5"/>
      <c r="Y592" s="5"/>
      <c r="Z592" s="5"/>
      <c r="AA592" s="5"/>
      <c r="AB592" s="5"/>
    </row>
    <row r="593" spans="1:28" ht="12.75" customHeight="1">
      <c r="A593" s="5"/>
      <c r="B593" s="5"/>
      <c r="C593" s="5"/>
      <c r="D593" s="5"/>
      <c r="E593" s="217"/>
      <c r="F593" s="198"/>
      <c r="G593" s="198"/>
      <c r="H593" s="888"/>
      <c r="I593" s="217"/>
      <c r="J593" s="306"/>
      <c r="K593" s="306"/>
      <c r="L593" s="306"/>
      <c r="M593" s="306"/>
      <c r="N593" s="306"/>
      <c r="O593" s="5"/>
      <c r="P593" s="5"/>
      <c r="Q593" s="5"/>
      <c r="R593" s="5"/>
      <c r="S593" s="5"/>
      <c r="T593" s="5"/>
      <c r="U593" s="5"/>
      <c r="V593" s="5"/>
      <c r="W593" s="5"/>
      <c r="X593" s="5"/>
      <c r="Y593" s="5"/>
      <c r="Z593" s="5"/>
      <c r="AA593" s="5"/>
      <c r="AB593" s="5"/>
    </row>
    <row r="594" spans="1:28" ht="12.75" customHeight="1">
      <c r="A594" s="5"/>
      <c r="B594" s="5"/>
      <c r="C594" s="5"/>
      <c r="D594" s="5"/>
      <c r="E594" s="217"/>
      <c r="F594" s="198"/>
      <c r="G594" s="198"/>
      <c r="H594" s="888"/>
      <c r="I594" s="217"/>
      <c r="J594" s="306"/>
      <c r="K594" s="306"/>
      <c r="L594" s="306"/>
      <c r="M594" s="306"/>
      <c r="N594" s="306"/>
      <c r="O594" s="5"/>
      <c r="P594" s="5"/>
      <c r="Q594" s="5"/>
      <c r="R594" s="5"/>
      <c r="S594" s="5"/>
      <c r="T594" s="5"/>
      <c r="U594" s="5"/>
      <c r="V594" s="5"/>
      <c r="W594" s="5"/>
      <c r="X594" s="5"/>
      <c r="Y594" s="5"/>
      <c r="Z594" s="5"/>
      <c r="AA594" s="5"/>
      <c r="AB594" s="5"/>
    </row>
    <row r="595" spans="1:28" ht="12.75" customHeight="1">
      <c r="A595" s="5"/>
      <c r="B595" s="5"/>
      <c r="C595" s="5"/>
      <c r="D595" s="5"/>
      <c r="E595" s="217"/>
      <c r="F595" s="198"/>
      <c r="G595" s="198"/>
      <c r="H595" s="888"/>
      <c r="I595" s="217"/>
      <c r="J595" s="306"/>
      <c r="K595" s="306"/>
      <c r="L595" s="306"/>
      <c r="M595" s="306"/>
      <c r="N595" s="306"/>
      <c r="O595" s="5"/>
      <c r="P595" s="5"/>
      <c r="Q595" s="5"/>
      <c r="R595" s="5"/>
      <c r="S595" s="5"/>
      <c r="T595" s="5"/>
      <c r="U595" s="5"/>
      <c r="V595" s="5"/>
      <c r="W595" s="5"/>
      <c r="X595" s="5"/>
      <c r="Y595" s="5"/>
      <c r="Z595" s="5"/>
      <c r="AA595" s="5"/>
      <c r="AB595" s="5"/>
    </row>
    <row r="596" spans="1:28" ht="12.75" customHeight="1">
      <c r="A596" s="5"/>
      <c r="B596" s="5"/>
      <c r="C596" s="5"/>
      <c r="D596" s="5"/>
      <c r="E596" s="217"/>
      <c r="F596" s="198"/>
      <c r="G596" s="198"/>
      <c r="H596" s="888"/>
      <c r="I596" s="217"/>
      <c r="J596" s="306"/>
      <c r="K596" s="306"/>
      <c r="L596" s="306"/>
      <c r="M596" s="306"/>
      <c r="N596" s="306"/>
      <c r="O596" s="5"/>
      <c r="P596" s="5"/>
      <c r="Q596" s="5"/>
      <c r="R596" s="5"/>
      <c r="S596" s="5"/>
      <c r="T596" s="5"/>
      <c r="U596" s="5"/>
      <c r="V596" s="5"/>
      <c r="W596" s="5"/>
      <c r="X596" s="5"/>
      <c r="Y596" s="5"/>
      <c r="Z596" s="5"/>
      <c r="AA596" s="5"/>
      <c r="AB596" s="5"/>
    </row>
    <row r="597" spans="1:28" ht="12.75" customHeight="1">
      <c r="A597" s="5"/>
      <c r="B597" s="5"/>
      <c r="C597" s="5"/>
      <c r="D597" s="5"/>
      <c r="E597" s="217"/>
      <c r="F597" s="198"/>
      <c r="G597" s="198"/>
      <c r="H597" s="888"/>
      <c r="I597" s="217"/>
      <c r="J597" s="306"/>
      <c r="K597" s="306"/>
      <c r="L597" s="306"/>
      <c r="M597" s="306"/>
      <c r="N597" s="306"/>
      <c r="O597" s="5"/>
      <c r="P597" s="5"/>
      <c r="Q597" s="5"/>
      <c r="R597" s="5"/>
      <c r="S597" s="5"/>
      <c r="T597" s="5"/>
      <c r="U597" s="5"/>
      <c r="V597" s="5"/>
      <c r="W597" s="5"/>
      <c r="X597" s="5"/>
      <c r="Y597" s="5"/>
      <c r="Z597" s="5"/>
      <c r="AA597" s="5"/>
      <c r="AB597" s="5"/>
    </row>
    <row r="598" spans="1:28" ht="12.75" customHeight="1">
      <c r="A598" s="5"/>
      <c r="B598" s="5"/>
      <c r="C598" s="5"/>
      <c r="D598" s="5"/>
      <c r="E598" s="217"/>
      <c r="F598" s="198"/>
      <c r="G598" s="198"/>
      <c r="H598" s="888"/>
      <c r="I598" s="217"/>
      <c r="J598" s="306"/>
      <c r="K598" s="306"/>
      <c r="L598" s="306"/>
      <c r="M598" s="306"/>
      <c r="N598" s="306"/>
      <c r="O598" s="5"/>
      <c r="P598" s="5"/>
      <c r="Q598" s="5"/>
      <c r="R598" s="5"/>
      <c r="S598" s="5"/>
      <c r="T598" s="5"/>
      <c r="U598" s="5"/>
      <c r="V598" s="5"/>
      <c r="W598" s="5"/>
      <c r="X598" s="5"/>
      <c r="Y598" s="5"/>
      <c r="Z598" s="5"/>
      <c r="AA598" s="5"/>
      <c r="AB598" s="5"/>
    </row>
    <row r="599" spans="1:28" ht="12.75" customHeight="1">
      <c r="A599" s="5"/>
      <c r="B599" s="5"/>
      <c r="C599" s="5"/>
      <c r="D599" s="5"/>
      <c r="E599" s="217"/>
      <c r="F599" s="198"/>
      <c r="G599" s="198"/>
      <c r="H599" s="888"/>
      <c r="I599" s="217"/>
      <c r="J599" s="306"/>
      <c r="K599" s="306"/>
      <c r="L599" s="306"/>
      <c r="M599" s="306"/>
      <c r="N599" s="306"/>
      <c r="O599" s="5"/>
      <c r="P599" s="5"/>
      <c r="Q599" s="5"/>
      <c r="R599" s="5"/>
      <c r="S599" s="5"/>
      <c r="T599" s="5"/>
      <c r="U599" s="5"/>
      <c r="V599" s="5"/>
      <c r="W599" s="5"/>
      <c r="X599" s="5"/>
      <c r="Y599" s="5"/>
      <c r="Z599" s="5"/>
      <c r="AA599" s="5"/>
      <c r="AB599" s="5"/>
    </row>
    <row r="600" spans="1:28" ht="12.75" customHeight="1">
      <c r="A600" s="5"/>
      <c r="B600" s="5"/>
      <c r="C600" s="5"/>
      <c r="D600" s="5"/>
      <c r="E600" s="217"/>
      <c r="F600" s="198"/>
      <c r="G600" s="198"/>
      <c r="H600" s="888"/>
      <c r="I600" s="217"/>
      <c r="J600" s="306"/>
      <c r="K600" s="306"/>
      <c r="L600" s="306"/>
      <c r="M600" s="306"/>
      <c r="N600" s="306"/>
      <c r="O600" s="5"/>
      <c r="P600" s="5"/>
      <c r="Q600" s="5"/>
      <c r="R600" s="5"/>
      <c r="S600" s="5"/>
      <c r="T600" s="5"/>
      <c r="U600" s="5"/>
      <c r="V600" s="5"/>
      <c r="W600" s="5"/>
      <c r="X600" s="5"/>
      <c r="Y600" s="5"/>
      <c r="Z600" s="5"/>
      <c r="AA600" s="5"/>
      <c r="AB600" s="5"/>
    </row>
    <row r="601" spans="1:28" ht="12.75" customHeight="1">
      <c r="A601" s="5"/>
      <c r="B601" s="5"/>
      <c r="C601" s="5"/>
      <c r="D601" s="5"/>
      <c r="E601" s="217"/>
      <c r="F601" s="198"/>
      <c r="G601" s="198"/>
      <c r="H601" s="888"/>
      <c r="I601" s="217"/>
      <c r="J601" s="306"/>
      <c r="K601" s="306"/>
      <c r="L601" s="306"/>
      <c r="M601" s="306"/>
      <c r="N601" s="306"/>
      <c r="O601" s="5"/>
      <c r="P601" s="5"/>
      <c r="Q601" s="5"/>
      <c r="R601" s="5"/>
      <c r="S601" s="5"/>
      <c r="T601" s="5"/>
      <c r="U601" s="5"/>
      <c r="V601" s="5"/>
      <c r="W601" s="5"/>
      <c r="X601" s="5"/>
      <c r="Y601" s="5"/>
      <c r="Z601" s="5"/>
      <c r="AA601" s="5"/>
      <c r="AB601" s="5"/>
    </row>
    <row r="602" spans="1:28" ht="12.75" customHeight="1">
      <c r="A602" s="5"/>
      <c r="B602" s="5"/>
      <c r="C602" s="5"/>
      <c r="D602" s="5"/>
      <c r="E602" s="217"/>
      <c r="F602" s="198"/>
      <c r="G602" s="198"/>
      <c r="H602" s="888"/>
      <c r="I602" s="217"/>
      <c r="J602" s="306"/>
      <c r="K602" s="306"/>
      <c r="L602" s="306"/>
      <c r="M602" s="306"/>
      <c r="N602" s="306"/>
      <c r="O602" s="5"/>
      <c r="P602" s="5"/>
      <c r="Q602" s="5"/>
      <c r="R602" s="5"/>
      <c r="S602" s="5"/>
      <c r="T602" s="5"/>
      <c r="U602" s="5"/>
      <c r="V602" s="5"/>
      <c r="W602" s="5"/>
      <c r="X602" s="5"/>
      <c r="Y602" s="5"/>
      <c r="Z602" s="5"/>
      <c r="AA602" s="5"/>
      <c r="AB602" s="5"/>
    </row>
    <row r="603" spans="1:28" ht="12.75" customHeight="1">
      <c r="A603" s="5"/>
      <c r="B603" s="5"/>
      <c r="C603" s="5"/>
      <c r="D603" s="5"/>
      <c r="E603" s="217"/>
      <c r="F603" s="198"/>
      <c r="G603" s="198"/>
      <c r="H603" s="888"/>
      <c r="I603" s="217"/>
      <c r="J603" s="306"/>
      <c r="K603" s="306"/>
      <c r="L603" s="306"/>
      <c r="M603" s="306"/>
      <c r="N603" s="306"/>
      <c r="O603" s="5"/>
      <c r="P603" s="5"/>
      <c r="Q603" s="5"/>
      <c r="R603" s="5"/>
      <c r="S603" s="5"/>
      <c r="T603" s="5"/>
      <c r="U603" s="5"/>
      <c r="V603" s="5"/>
      <c r="W603" s="5"/>
      <c r="X603" s="5"/>
      <c r="Y603" s="5"/>
      <c r="Z603" s="5"/>
      <c r="AA603" s="5"/>
      <c r="AB603" s="5"/>
    </row>
    <row r="604" spans="1:28" ht="12.75" customHeight="1">
      <c r="A604" s="5"/>
      <c r="B604" s="5"/>
      <c r="C604" s="5"/>
      <c r="D604" s="5"/>
      <c r="E604" s="217"/>
      <c r="F604" s="198"/>
      <c r="G604" s="198"/>
      <c r="H604" s="888"/>
      <c r="I604" s="217"/>
      <c r="J604" s="306"/>
      <c r="K604" s="306"/>
      <c r="L604" s="306"/>
      <c r="M604" s="306"/>
      <c r="N604" s="306"/>
      <c r="O604" s="5"/>
      <c r="P604" s="5"/>
      <c r="Q604" s="5"/>
      <c r="R604" s="5"/>
      <c r="S604" s="5"/>
      <c r="T604" s="5"/>
      <c r="U604" s="5"/>
      <c r="V604" s="5"/>
      <c r="W604" s="5"/>
      <c r="X604" s="5"/>
      <c r="Y604" s="5"/>
      <c r="Z604" s="5"/>
      <c r="AA604" s="5"/>
      <c r="AB604" s="5"/>
    </row>
    <row r="605" spans="1:28" ht="12.75" customHeight="1">
      <c r="A605" s="5"/>
      <c r="B605" s="5"/>
      <c r="C605" s="5"/>
      <c r="D605" s="5"/>
      <c r="E605" s="217"/>
      <c r="F605" s="198"/>
      <c r="G605" s="198"/>
      <c r="H605" s="888"/>
      <c r="I605" s="217"/>
      <c r="J605" s="306"/>
      <c r="K605" s="306"/>
      <c r="L605" s="306"/>
      <c r="M605" s="306"/>
      <c r="N605" s="306"/>
      <c r="O605" s="5"/>
      <c r="P605" s="5"/>
      <c r="Q605" s="5"/>
      <c r="R605" s="5"/>
      <c r="S605" s="5"/>
      <c r="T605" s="5"/>
      <c r="U605" s="5"/>
      <c r="V605" s="5"/>
      <c r="W605" s="5"/>
      <c r="X605" s="5"/>
      <c r="Y605" s="5"/>
      <c r="Z605" s="5"/>
      <c r="AA605" s="5"/>
      <c r="AB605" s="5"/>
    </row>
    <row r="606" spans="1:28" ht="12.75" customHeight="1">
      <c r="A606" s="5"/>
      <c r="B606" s="5"/>
      <c r="C606" s="5"/>
      <c r="D606" s="5"/>
      <c r="E606" s="217"/>
      <c r="F606" s="198"/>
      <c r="G606" s="198"/>
      <c r="H606" s="888"/>
      <c r="I606" s="217"/>
      <c r="J606" s="306"/>
      <c r="K606" s="306"/>
      <c r="L606" s="306"/>
      <c r="M606" s="306"/>
      <c r="N606" s="306"/>
      <c r="O606" s="5"/>
      <c r="P606" s="5"/>
      <c r="Q606" s="5"/>
      <c r="R606" s="5"/>
      <c r="S606" s="5"/>
      <c r="T606" s="5"/>
      <c r="U606" s="5"/>
      <c r="V606" s="5"/>
      <c r="W606" s="5"/>
      <c r="X606" s="5"/>
      <c r="Y606" s="5"/>
      <c r="Z606" s="5"/>
      <c r="AA606" s="5"/>
      <c r="AB606" s="5"/>
    </row>
    <row r="607" spans="1:28" ht="12.75" customHeight="1">
      <c r="A607" s="5"/>
      <c r="B607" s="5"/>
      <c r="C607" s="5"/>
      <c r="D607" s="5"/>
      <c r="E607" s="217"/>
      <c r="F607" s="198"/>
      <c r="G607" s="198"/>
      <c r="H607" s="888"/>
      <c r="I607" s="217"/>
      <c r="J607" s="306"/>
      <c r="K607" s="306"/>
      <c r="L607" s="306"/>
      <c r="M607" s="306"/>
      <c r="N607" s="306"/>
      <c r="O607" s="5"/>
      <c r="P607" s="5"/>
      <c r="Q607" s="5"/>
      <c r="R607" s="5"/>
      <c r="S607" s="5"/>
      <c r="T607" s="5"/>
      <c r="U607" s="5"/>
      <c r="V607" s="5"/>
      <c r="W607" s="5"/>
      <c r="X607" s="5"/>
      <c r="Y607" s="5"/>
      <c r="Z607" s="5"/>
      <c r="AA607" s="5"/>
      <c r="AB607" s="5"/>
    </row>
    <row r="608" spans="1:28" ht="12.75" customHeight="1">
      <c r="A608" s="5"/>
      <c r="B608" s="5"/>
      <c r="C608" s="5"/>
      <c r="D608" s="5"/>
      <c r="E608" s="217"/>
      <c r="F608" s="198"/>
      <c r="G608" s="198"/>
      <c r="H608" s="888"/>
      <c r="I608" s="217"/>
      <c r="J608" s="306"/>
      <c r="K608" s="306"/>
      <c r="L608" s="306"/>
      <c r="M608" s="306"/>
      <c r="N608" s="306"/>
      <c r="O608" s="5"/>
      <c r="P608" s="5"/>
      <c r="Q608" s="5"/>
      <c r="R608" s="5"/>
      <c r="S608" s="5"/>
      <c r="T608" s="5"/>
      <c r="U608" s="5"/>
      <c r="V608" s="5"/>
      <c r="W608" s="5"/>
      <c r="X608" s="5"/>
      <c r="Y608" s="5"/>
      <c r="Z608" s="5"/>
      <c r="AA608" s="5"/>
      <c r="AB608" s="5"/>
    </row>
    <row r="609" spans="1:28" ht="12.75" customHeight="1">
      <c r="A609" s="5"/>
      <c r="B609" s="5"/>
      <c r="C609" s="5"/>
      <c r="D609" s="5"/>
      <c r="E609" s="217"/>
      <c r="F609" s="198"/>
      <c r="G609" s="198"/>
      <c r="H609" s="888"/>
      <c r="I609" s="217"/>
      <c r="J609" s="306"/>
      <c r="K609" s="306"/>
      <c r="L609" s="306"/>
      <c r="M609" s="306"/>
      <c r="N609" s="306"/>
      <c r="O609" s="5"/>
      <c r="P609" s="5"/>
      <c r="Q609" s="5"/>
      <c r="R609" s="5"/>
      <c r="S609" s="5"/>
      <c r="T609" s="5"/>
      <c r="U609" s="5"/>
      <c r="V609" s="5"/>
      <c r="W609" s="5"/>
      <c r="X609" s="5"/>
      <c r="Y609" s="5"/>
      <c r="Z609" s="5"/>
      <c r="AA609" s="5"/>
      <c r="AB609" s="5"/>
    </row>
    <row r="610" spans="1:28" ht="12.75" customHeight="1">
      <c r="A610" s="5"/>
      <c r="B610" s="5"/>
      <c r="C610" s="5"/>
      <c r="D610" s="5"/>
      <c r="E610" s="217"/>
      <c r="F610" s="198"/>
      <c r="G610" s="198"/>
      <c r="H610" s="888"/>
      <c r="I610" s="217"/>
      <c r="J610" s="306"/>
      <c r="K610" s="306"/>
      <c r="L610" s="306"/>
      <c r="M610" s="306"/>
      <c r="N610" s="306"/>
      <c r="O610" s="5"/>
      <c r="P610" s="5"/>
      <c r="Q610" s="5"/>
      <c r="R610" s="5"/>
      <c r="S610" s="5"/>
      <c r="T610" s="5"/>
      <c r="U610" s="5"/>
      <c r="V610" s="5"/>
      <c r="W610" s="5"/>
      <c r="X610" s="5"/>
      <c r="Y610" s="5"/>
      <c r="Z610" s="5"/>
      <c r="AA610" s="5"/>
      <c r="AB610" s="5"/>
    </row>
    <row r="611" spans="1:28" ht="12.75" customHeight="1">
      <c r="A611" s="5"/>
      <c r="B611" s="5"/>
      <c r="C611" s="5"/>
      <c r="D611" s="5"/>
      <c r="E611" s="217"/>
      <c r="F611" s="198"/>
      <c r="G611" s="198"/>
      <c r="H611" s="888"/>
      <c r="I611" s="217"/>
      <c r="J611" s="306"/>
      <c r="K611" s="306"/>
      <c r="L611" s="306"/>
      <c r="M611" s="306"/>
      <c r="N611" s="306"/>
      <c r="O611" s="5"/>
      <c r="P611" s="5"/>
      <c r="Q611" s="5"/>
      <c r="R611" s="5"/>
      <c r="S611" s="5"/>
      <c r="T611" s="5"/>
      <c r="U611" s="5"/>
      <c r="V611" s="5"/>
      <c r="W611" s="5"/>
      <c r="X611" s="5"/>
      <c r="Y611" s="5"/>
      <c r="Z611" s="5"/>
      <c r="AA611" s="5"/>
      <c r="AB611" s="5"/>
    </row>
    <row r="612" spans="1:28" ht="12.75" customHeight="1">
      <c r="A612" s="5"/>
      <c r="B612" s="5"/>
      <c r="C612" s="5"/>
      <c r="D612" s="5"/>
      <c r="E612" s="217"/>
      <c r="F612" s="198"/>
      <c r="G612" s="198"/>
      <c r="H612" s="888"/>
      <c r="I612" s="217"/>
      <c r="J612" s="306"/>
      <c r="K612" s="306"/>
      <c r="L612" s="306"/>
      <c r="M612" s="306"/>
      <c r="N612" s="306"/>
      <c r="O612" s="5"/>
      <c r="P612" s="5"/>
      <c r="Q612" s="5"/>
      <c r="R612" s="5"/>
      <c r="S612" s="5"/>
      <c r="T612" s="5"/>
      <c r="U612" s="5"/>
      <c r="V612" s="5"/>
      <c r="W612" s="5"/>
      <c r="X612" s="5"/>
      <c r="Y612" s="5"/>
      <c r="Z612" s="5"/>
      <c r="AA612" s="5"/>
      <c r="AB612" s="5"/>
    </row>
    <row r="613" spans="1:28" ht="12.75" customHeight="1">
      <c r="A613" s="5"/>
      <c r="B613" s="5"/>
      <c r="C613" s="5"/>
      <c r="D613" s="5"/>
      <c r="E613" s="217"/>
      <c r="F613" s="198"/>
      <c r="G613" s="198"/>
      <c r="H613" s="888"/>
      <c r="I613" s="217"/>
      <c r="J613" s="306"/>
      <c r="K613" s="306"/>
      <c r="L613" s="306"/>
      <c r="M613" s="306"/>
      <c r="N613" s="306"/>
      <c r="O613" s="5"/>
      <c r="P613" s="5"/>
      <c r="Q613" s="5"/>
      <c r="R613" s="5"/>
      <c r="S613" s="5"/>
      <c r="T613" s="5"/>
      <c r="U613" s="5"/>
      <c r="V613" s="5"/>
      <c r="W613" s="5"/>
      <c r="X613" s="5"/>
      <c r="Y613" s="5"/>
      <c r="Z613" s="5"/>
      <c r="AA613" s="5"/>
      <c r="AB613" s="5"/>
    </row>
    <row r="614" spans="1:28" ht="12.75" customHeight="1">
      <c r="A614" s="5"/>
      <c r="B614" s="5"/>
      <c r="C614" s="5"/>
      <c r="D614" s="5"/>
      <c r="E614" s="217"/>
      <c r="F614" s="198"/>
      <c r="G614" s="198"/>
      <c r="H614" s="888"/>
      <c r="I614" s="217"/>
      <c r="J614" s="306"/>
      <c r="K614" s="306"/>
      <c r="L614" s="306"/>
      <c r="M614" s="306"/>
      <c r="N614" s="306"/>
      <c r="O614" s="5"/>
      <c r="P614" s="5"/>
      <c r="Q614" s="5"/>
      <c r="R614" s="5"/>
      <c r="S614" s="5"/>
      <c r="T614" s="5"/>
      <c r="U614" s="5"/>
      <c r="V614" s="5"/>
      <c r="W614" s="5"/>
      <c r="X614" s="5"/>
      <c r="Y614" s="5"/>
      <c r="Z614" s="5"/>
      <c r="AA614" s="5"/>
      <c r="AB614" s="5"/>
    </row>
    <row r="615" spans="1:28" ht="12.75" customHeight="1">
      <c r="A615" s="5"/>
      <c r="B615" s="5"/>
      <c r="C615" s="5"/>
      <c r="D615" s="5"/>
      <c r="E615" s="217"/>
      <c r="F615" s="198"/>
      <c r="G615" s="198"/>
      <c r="H615" s="888"/>
      <c r="I615" s="217"/>
      <c r="J615" s="306"/>
      <c r="K615" s="306"/>
      <c r="L615" s="306"/>
      <c r="M615" s="306"/>
      <c r="N615" s="306"/>
      <c r="O615" s="5"/>
      <c r="P615" s="5"/>
      <c r="Q615" s="5"/>
      <c r="R615" s="5"/>
      <c r="S615" s="5"/>
      <c r="T615" s="5"/>
      <c r="U615" s="5"/>
      <c r="V615" s="5"/>
      <c r="W615" s="5"/>
      <c r="X615" s="5"/>
      <c r="Y615" s="5"/>
      <c r="Z615" s="5"/>
      <c r="AA615" s="5"/>
      <c r="AB615" s="5"/>
    </row>
    <row r="616" spans="1:28" ht="12.75" customHeight="1">
      <c r="A616" s="5"/>
      <c r="B616" s="5"/>
      <c r="C616" s="5"/>
      <c r="D616" s="5"/>
      <c r="E616" s="217"/>
      <c r="F616" s="198"/>
      <c r="G616" s="198"/>
      <c r="H616" s="888"/>
      <c r="I616" s="217"/>
      <c r="J616" s="306"/>
      <c r="K616" s="306"/>
      <c r="L616" s="306"/>
      <c r="M616" s="306"/>
      <c r="N616" s="306"/>
      <c r="O616" s="5"/>
      <c r="P616" s="5"/>
      <c r="Q616" s="5"/>
      <c r="R616" s="5"/>
      <c r="S616" s="5"/>
      <c r="T616" s="5"/>
      <c r="U616" s="5"/>
      <c r="V616" s="5"/>
      <c r="W616" s="5"/>
      <c r="X616" s="5"/>
      <c r="Y616" s="5"/>
      <c r="Z616" s="5"/>
      <c r="AA616" s="5"/>
      <c r="AB616" s="5"/>
    </row>
    <row r="617" spans="1:28" ht="12.75" customHeight="1">
      <c r="A617" s="5"/>
      <c r="B617" s="5"/>
      <c r="C617" s="5"/>
      <c r="D617" s="5"/>
      <c r="E617" s="217"/>
      <c r="F617" s="198"/>
      <c r="G617" s="198"/>
      <c r="H617" s="888"/>
      <c r="I617" s="217"/>
      <c r="J617" s="306"/>
      <c r="K617" s="306"/>
      <c r="L617" s="306"/>
      <c r="M617" s="306"/>
      <c r="N617" s="306"/>
      <c r="O617" s="5"/>
      <c r="P617" s="5"/>
      <c r="Q617" s="5"/>
      <c r="R617" s="5"/>
      <c r="S617" s="5"/>
      <c r="T617" s="5"/>
      <c r="U617" s="5"/>
      <c r="V617" s="5"/>
      <c r="W617" s="5"/>
      <c r="X617" s="5"/>
      <c r="Y617" s="5"/>
      <c r="Z617" s="5"/>
      <c r="AA617" s="5"/>
      <c r="AB617" s="5"/>
    </row>
    <row r="618" spans="1:28" ht="12.75" customHeight="1">
      <c r="A618" s="5"/>
      <c r="B618" s="5"/>
      <c r="C618" s="5"/>
      <c r="D618" s="5"/>
      <c r="E618" s="217"/>
      <c r="F618" s="198"/>
      <c r="G618" s="198"/>
      <c r="H618" s="888"/>
      <c r="I618" s="217"/>
      <c r="J618" s="306"/>
      <c r="K618" s="306"/>
      <c r="L618" s="306"/>
      <c r="M618" s="306"/>
      <c r="N618" s="306"/>
      <c r="O618" s="5"/>
      <c r="P618" s="5"/>
      <c r="Q618" s="5"/>
      <c r="R618" s="5"/>
      <c r="S618" s="5"/>
      <c r="T618" s="5"/>
      <c r="U618" s="5"/>
      <c r="V618" s="5"/>
      <c r="W618" s="5"/>
      <c r="X618" s="5"/>
      <c r="Y618" s="5"/>
      <c r="Z618" s="5"/>
      <c r="AA618" s="5"/>
      <c r="AB618" s="5"/>
    </row>
    <row r="619" spans="1:28" ht="12.75" customHeight="1">
      <c r="A619" s="5"/>
      <c r="B619" s="5"/>
      <c r="C619" s="5"/>
      <c r="D619" s="5"/>
      <c r="E619" s="217"/>
      <c r="F619" s="198"/>
      <c r="G619" s="198"/>
      <c r="H619" s="888"/>
      <c r="I619" s="217"/>
      <c r="J619" s="306"/>
      <c r="K619" s="306"/>
      <c r="L619" s="306"/>
      <c r="M619" s="306"/>
      <c r="N619" s="306"/>
      <c r="O619" s="5"/>
      <c r="P619" s="5"/>
      <c r="Q619" s="5"/>
      <c r="R619" s="5"/>
      <c r="S619" s="5"/>
      <c r="T619" s="5"/>
      <c r="U619" s="5"/>
      <c r="V619" s="5"/>
      <c r="W619" s="5"/>
      <c r="X619" s="5"/>
      <c r="Y619" s="5"/>
      <c r="Z619" s="5"/>
      <c r="AA619" s="5"/>
      <c r="AB619" s="5"/>
    </row>
    <row r="620" spans="1:28" ht="12.75" customHeight="1">
      <c r="A620" s="5"/>
      <c r="B620" s="5"/>
      <c r="C620" s="5"/>
      <c r="D620" s="5"/>
      <c r="E620" s="217"/>
      <c r="F620" s="198"/>
      <c r="G620" s="198"/>
      <c r="H620" s="888"/>
      <c r="I620" s="217"/>
      <c r="J620" s="306"/>
      <c r="K620" s="306"/>
      <c r="L620" s="306"/>
      <c r="M620" s="306"/>
      <c r="N620" s="306"/>
      <c r="O620" s="5"/>
      <c r="P620" s="5"/>
      <c r="Q620" s="5"/>
      <c r="R620" s="5"/>
      <c r="S620" s="5"/>
      <c r="T620" s="5"/>
      <c r="U620" s="5"/>
      <c r="V620" s="5"/>
      <c r="W620" s="5"/>
      <c r="X620" s="5"/>
      <c r="Y620" s="5"/>
      <c r="Z620" s="5"/>
      <c r="AA620" s="5"/>
      <c r="AB620" s="5"/>
    </row>
    <row r="621" spans="1:28" ht="12.75" customHeight="1">
      <c r="A621" s="5"/>
      <c r="B621" s="5"/>
      <c r="C621" s="5"/>
      <c r="D621" s="5"/>
      <c r="E621" s="217"/>
      <c r="F621" s="198"/>
      <c r="G621" s="198"/>
      <c r="H621" s="888"/>
      <c r="I621" s="217"/>
      <c r="J621" s="306"/>
      <c r="K621" s="306"/>
      <c r="L621" s="306"/>
      <c r="M621" s="306"/>
      <c r="N621" s="306"/>
      <c r="O621" s="5"/>
      <c r="P621" s="5"/>
      <c r="Q621" s="5"/>
      <c r="R621" s="5"/>
      <c r="S621" s="5"/>
      <c r="T621" s="5"/>
      <c r="U621" s="5"/>
      <c r="V621" s="5"/>
      <c r="W621" s="5"/>
      <c r="X621" s="5"/>
      <c r="Y621" s="5"/>
      <c r="Z621" s="5"/>
      <c r="AA621" s="5"/>
      <c r="AB621" s="5"/>
    </row>
    <row r="622" spans="1:28" ht="12.75" customHeight="1">
      <c r="A622" s="5"/>
      <c r="B622" s="5"/>
      <c r="C622" s="5"/>
      <c r="D622" s="5"/>
      <c r="E622" s="217"/>
      <c r="F622" s="198"/>
      <c r="G622" s="198"/>
      <c r="H622" s="888"/>
      <c r="I622" s="217"/>
      <c r="J622" s="306"/>
      <c r="K622" s="306"/>
      <c r="L622" s="306"/>
      <c r="M622" s="306"/>
      <c r="N622" s="306"/>
      <c r="O622" s="5"/>
      <c r="P622" s="5"/>
      <c r="Q622" s="5"/>
      <c r="R622" s="5"/>
      <c r="S622" s="5"/>
      <c r="T622" s="5"/>
      <c r="U622" s="5"/>
      <c r="V622" s="5"/>
      <c r="W622" s="5"/>
      <c r="X622" s="5"/>
      <c r="Y622" s="5"/>
      <c r="Z622" s="5"/>
      <c r="AA622" s="5"/>
      <c r="AB622" s="5"/>
    </row>
    <row r="623" spans="1:28" ht="12.75" customHeight="1">
      <c r="A623" s="5"/>
      <c r="B623" s="5"/>
      <c r="C623" s="5"/>
      <c r="D623" s="5"/>
      <c r="E623" s="217"/>
      <c r="F623" s="198"/>
      <c r="G623" s="198"/>
      <c r="H623" s="888"/>
      <c r="I623" s="217"/>
      <c r="J623" s="306"/>
      <c r="K623" s="306"/>
      <c r="L623" s="306"/>
      <c r="M623" s="306"/>
      <c r="N623" s="306"/>
      <c r="O623" s="5"/>
      <c r="P623" s="5"/>
      <c r="Q623" s="5"/>
      <c r="R623" s="5"/>
      <c r="S623" s="5"/>
      <c r="T623" s="5"/>
      <c r="U623" s="5"/>
      <c r="V623" s="5"/>
      <c r="W623" s="5"/>
      <c r="X623" s="5"/>
      <c r="Y623" s="5"/>
      <c r="Z623" s="5"/>
      <c r="AA623" s="5"/>
      <c r="AB623" s="5"/>
    </row>
    <row r="624" spans="1:28" ht="12.75" customHeight="1">
      <c r="A624" s="5"/>
      <c r="B624" s="5"/>
      <c r="C624" s="5"/>
      <c r="D624" s="5"/>
      <c r="E624" s="217"/>
      <c r="F624" s="198"/>
      <c r="G624" s="198"/>
      <c r="H624" s="888"/>
      <c r="I624" s="217"/>
      <c r="J624" s="306"/>
      <c r="K624" s="306"/>
      <c r="L624" s="306"/>
      <c r="M624" s="306"/>
      <c r="N624" s="306"/>
      <c r="O624" s="5"/>
      <c r="P624" s="5"/>
      <c r="Q624" s="5"/>
      <c r="R624" s="5"/>
      <c r="S624" s="5"/>
      <c r="T624" s="5"/>
      <c r="U624" s="5"/>
      <c r="V624" s="5"/>
      <c r="W624" s="5"/>
      <c r="X624" s="5"/>
      <c r="Y624" s="5"/>
      <c r="Z624" s="5"/>
      <c r="AA624" s="5"/>
      <c r="AB624" s="5"/>
    </row>
    <row r="625" spans="1:28" ht="12.75" customHeight="1">
      <c r="A625" s="5"/>
      <c r="B625" s="5"/>
      <c r="C625" s="5"/>
      <c r="D625" s="5"/>
      <c r="E625" s="217"/>
      <c r="F625" s="198"/>
      <c r="G625" s="198"/>
      <c r="H625" s="888"/>
      <c r="I625" s="217"/>
      <c r="J625" s="306"/>
      <c r="K625" s="306"/>
      <c r="L625" s="306"/>
      <c r="M625" s="306"/>
      <c r="N625" s="306"/>
      <c r="O625" s="5"/>
      <c r="P625" s="5"/>
      <c r="Q625" s="5"/>
      <c r="R625" s="5"/>
      <c r="S625" s="5"/>
      <c r="T625" s="5"/>
      <c r="U625" s="5"/>
      <c r="V625" s="5"/>
      <c r="W625" s="5"/>
      <c r="X625" s="5"/>
      <c r="Y625" s="5"/>
      <c r="Z625" s="5"/>
      <c r="AA625" s="5"/>
      <c r="AB625" s="5"/>
    </row>
    <row r="626" spans="1:28" ht="12.75" customHeight="1">
      <c r="A626" s="5"/>
      <c r="B626" s="5"/>
      <c r="C626" s="5"/>
      <c r="D626" s="5"/>
      <c r="E626" s="217"/>
      <c r="F626" s="198"/>
      <c r="G626" s="198"/>
      <c r="H626" s="888"/>
      <c r="I626" s="217"/>
      <c r="J626" s="306"/>
      <c r="K626" s="306"/>
      <c r="L626" s="306"/>
      <c r="M626" s="306"/>
      <c r="N626" s="306"/>
      <c r="O626" s="5"/>
      <c r="P626" s="5"/>
      <c r="Q626" s="5"/>
      <c r="R626" s="5"/>
      <c r="S626" s="5"/>
      <c r="T626" s="5"/>
      <c r="U626" s="5"/>
      <c r="V626" s="5"/>
      <c r="W626" s="5"/>
      <c r="X626" s="5"/>
      <c r="Y626" s="5"/>
      <c r="Z626" s="5"/>
      <c r="AA626" s="5"/>
      <c r="AB626" s="5"/>
    </row>
    <row r="627" spans="1:28" ht="12.75" customHeight="1">
      <c r="A627" s="5"/>
      <c r="B627" s="5"/>
      <c r="C627" s="5"/>
      <c r="D627" s="5"/>
      <c r="E627" s="217"/>
      <c r="F627" s="198"/>
      <c r="G627" s="198"/>
      <c r="H627" s="888"/>
      <c r="I627" s="217"/>
      <c r="J627" s="306"/>
      <c r="K627" s="306"/>
      <c r="L627" s="306"/>
      <c r="M627" s="306"/>
      <c r="N627" s="306"/>
      <c r="O627" s="5"/>
      <c r="P627" s="5"/>
      <c r="Q627" s="5"/>
      <c r="R627" s="5"/>
      <c r="S627" s="5"/>
      <c r="T627" s="5"/>
      <c r="U627" s="5"/>
      <c r="V627" s="5"/>
      <c r="W627" s="5"/>
      <c r="X627" s="5"/>
      <c r="Y627" s="5"/>
      <c r="Z627" s="5"/>
      <c r="AA627" s="5"/>
      <c r="AB627" s="5"/>
    </row>
    <row r="628" spans="1:28" ht="12.75" customHeight="1">
      <c r="A628" s="5"/>
      <c r="B628" s="5"/>
      <c r="C628" s="5"/>
      <c r="D628" s="5"/>
      <c r="E628" s="217"/>
      <c r="F628" s="198"/>
      <c r="G628" s="198"/>
      <c r="H628" s="888"/>
      <c r="I628" s="217"/>
      <c r="J628" s="306"/>
      <c r="K628" s="306"/>
      <c r="L628" s="306"/>
      <c r="M628" s="306"/>
      <c r="N628" s="306"/>
      <c r="O628" s="5"/>
      <c r="P628" s="5"/>
      <c r="Q628" s="5"/>
      <c r="R628" s="5"/>
      <c r="S628" s="5"/>
      <c r="T628" s="5"/>
      <c r="U628" s="5"/>
      <c r="V628" s="5"/>
      <c r="W628" s="5"/>
      <c r="X628" s="5"/>
      <c r="Y628" s="5"/>
      <c r="Z628" s="5"/>
      <c r="AA628" s="5"/>
      <c r="AB628" s="5"/>
    </row>
    <row r="629" spans="1:28" ht="12.75" customHeight="1">
      <c r="A629" s="5"/>
      <c r="B629" s="5"/>
      <c r="C629" s="5"/>
      <c r="D629" s="5"/>
      <c r="E629" s="217"/>
      <c r="F629" s="198"/>
      <c r="G629" s="198"/>
      <c r="H629" s="888"/>
      <c r="I629" s="217"/>
      <c r="J629" s="306"/>
      <c r="K629" s="306"/>
      <c r="L629" s="306"/>
      <c r="M629" s="306"/>
      <c r="N629" s="306"/>
      <c r="O629" s="5"/>
      <c r="P629" s="5"/>
      <c r="Q629" s="5"/>
      <c r="R629" s="5"/>
      <c r="S629" s="5"/>
      <c r="T629" s="5"/>
      <c r="U629" s="5"/>
      <c r="V629" s="5"/>
      <c r="W629" s="5"/>
      <c r="X629" s="5"/>
      <c r="Y629" s="5"/>
      <c r="Z629" s="5"/>
      <c r="AA629" s="5"/>
      <c r="AB629" s="5"/>
    </row>
    <row r="630" spans="1:28" ht="12.75" customHeight="1">
      <c r="A630" s="5"/>
      <c r="B630" s="5"/>
      <c r="C630" s="5"/>
      <c r="D630" s="5"/>
      <c r="E630" s="217"/>
      <c r="F630" s="198"/>
      <c r="G630" s="198"/>
      <c r="H630" s="888"/>
      <c r="I630" s="217"/>
      <c r="J630" s="306"/>
      <c r="K630" s="306"/>
      <c r="L630" s="306"/>
      <c r="M630" s="306"/>
      <c r="N630" s="306"/>
      <c r="O630" s="5"/>
      <c r="P630" s="5"/>
      <c r="Q630" s="5"/>
      <c r="R630" s="5"/>
      <c r="S630" s="5"/>
      <c r="T630" s="5"/>
      <c r="U630" s="5"/>
      <c r="V630" s="5"/>
      <c r="W630" s="5"/>
      <c r="X630" s="5"/>
      <c r="Y630" s="5"/>
      <c r="Z630" s="5"/>
      <c r="AA630" s="5"/>
      <c r="AB630" s="5"/>
    </row>
    <row r="631" spans="1:28" ht="12.75" customHeight="1">
      <c r="A631" s="5"/>
      <c r="B631" s="5"/>
      <c r="C631" s="5"/>
      <c r="D631" s="5"/>
      <c r="E631" s="217"/>
      <c r="F631" s="198"/>
      <c r="G631" s="198"/>
      <c r="H631" s="888"/>
      <c r="I631" s="217"/>
      <c r="J631" s="306"/>
      <c r="K631" s="306"/>
      <c r="L631" s="306"/>
      <c r="M631" s="306"/>
      <c r="N631" s="306"/>
      <c r="O631" s="5"/>
      <c r="P631" s="5"/>
      <c r="Q631" s="5"/>
      <c r="R631" s="5"/>
      <c r="S631" s="5"/>
      <c r="T631" s="5"/>
      <c r="U631" s="5"/>
      <c r="V631" s="5"/>
      <c r="W631" s="5"/>
      <c r="X631" s="5"/>
      <c r="Y631" s="5"/>
      <c r="Z631" s="5"/>
      <c r="AA631" s="5"/>
      <c r="AB631" s="5"/>
    </row>
    <row r="632" spans="1:28" ht="12.75" customHeight="1">
      <c r="A632" s="5"/>
      <c r="B632" s="5"/>
      <c r="C632" s="5"/>
      <c r="D632" s="5"/>
      <c r="E632" s="217"/>
      <c r="F632" s="198"/>
      <c r="G632" s="198"/>
      <c r="H632" s="888"/>
      <c r="I632" s="217"/>
      <c r="J632" s="306"/>
      <c r="K632" s="306"/>
      <c r="L632" s="306"/>
      <c r="M632" s="306"/>
      <c r="N632" s="306"/>
      <c r="O632" s="5"/>
      <c r="P632" s="5"/>
      <c r="Q632" s="5"/>
      <c r="R632" s="5"/>
      <c r="S632" s="5"/>
      <c r="T632" s="5"/>
      <c r="U632" s="5"/>
      <c r="V632" s="5"/>
      <c r="W632" s="5"/>
      <c r="X632" s="5"/>
      <c r="Y632" s="5"/>
      <c r="Z632" s="5"/>
      <c r="AA632" s="5"/>
      <c r="AB632" s="5"/>
    </row>
    <row r="633" spans="1:28" ht="12.75" customHeight="1">
      <c r="A633" s="5"/>
      <c r="B633" s="5"/>
      <c r="C633" s="5"/>
      <c r="D633" s="5"/>
      <c r="E633" s="217"/>
      <c r="F633" s="198"/>
      <c r="G633" s="198"/>
      <c r="H633" s="888"/>
      <c r="I633" s="217"/>
      <c r="J633" s="306"/>
      <c r="K633" s="306"/>
      <c r="L633" s="306"/>
      <c r="M633" s="306"/>
      <c r="N633" s="306"/>
      <c r="O633" s="5"/>
      <c r="P633" s="5"/>
      <c r="Q633" s="5"/>
      <c r="R633" s="5"/>
      <c r="S633" s="5"/>
      <c r="T633" s="5"/>
      <c r="U633" s="5"/>
      <c r="V633" s="5"/>
      <c r="W633" s="5"/>
      <c r="X633" s="5"/>
      <c r="Y633" s="5"/>
      <c r="Z633" s="5"/>
      <c r="AA633" s="5"/>
      <c r="AB633" s="5"/>
    </row>
    <row r="634" spans="1:28" ht="12.75" customHeight="1">
      <c r="A634" s="5"/>
      <c r="B634" s="5"/>
      <c r="C634" s="5"/>
      <c r="D634" s="5"/>
      <c r="E634" s="217"/>
      <c r="F634" s="198"/>
      <c r="G634" s="198"/>
      <c r="H634" s="888"/>
      <c r="I634" s="217"/>
      <c r="J634" s="306"/>
      <c r="K634" s="306"/>
      <c r="L634" s="306"/>
      <c r="M634" s="306"/>
      <c r="N634" s="306"/>
      <c r="O634" s="5"/>
      <c r="P634" s="5"/>
      <c r="Q634" s="5"/>
      <c r="R634" s="5"/>
      <c r="S634" s="5"/>
      <c r="T634" s="5"/>
      <c r="U634" s="5"/>
      <c r="V634" s="5"/>
      <c r="W634" s="5"/>
      <c r="X634" s="5"/>
      <c r="Y634" s="5"/>
      <c r="Z634" s="5"/>
      <c r="AA634" s="5"/>
      <c r="AB634" s="5"/>
    </row>
    <row r="635" spans="1:28" ht="12.75" customHeight="1">
      <c r="A635" s="5"/>
      <c r="B635" s="5"/>
      <c r="C635" s="5"/>
      <c r="D635" s="5"/>
      <c r="E635" s="217"/>
      <c r="F635" s="198"/>
      <c r="G635" s="198"/>
      <c r="H635" s="888"/>
      <c r="I635" s="217"/>
      <c r="J635" s="306"/>
      <c r="K635" s="306"/>
      <c r="L635" s="306"/>
      <c r="M635" s="306"/>
      <c r="N635" s="306"/>
      <c r="O635" s="5"/>
      <c r="P635" s="5"/>
      <c r="Q635" s="5"/>
      <c r="R635" s="5"/>
      <c r="S635" s="5"/>
      <c r="T635" s="5"/>
      <c r="U635" s="5"/>
      <c r="V635" s="5"/>
      <c r="W635" s="5"/>
      <c r="X635" s="5"/>
      <c r="Y635" s="5"/>
      <c r="Z635" s="5"/>
      <c r="AA635" s="5"/>
      <c r="AB635" s="5"/>
    </row>
    <row r="636" spans="1:28" ht="12.75" customHeight="1">
      <c r="A636" s="5"/>
      <c r="B636" s="5"/>
      <c r="C636" s="5"/>
      <c r="D636" s="5"/>
      <c r="E636" s="217"/>
      <c r="F636" s="198"/>
      <c r="G636" s="198"/>
      <c r="H636" s="888"/>
      <c r="I636" s="217"/>
      <c r="J636" s="306"/>
      <c r="K636" s="306"/>
      <c r="L636" s="306"/>
      <c r="M636" s="306"/>
      <c r="N636" s="306"/>
      <c r="O636" s="5"/>
      <c r="P636" s="5"/>
      <c r="Q636" s="5"/>
      <c r="R636" s="5"/>
      <c r="S636" s="5"/>
      <c r="T636" s="5"/>
      <c r="U636" s="5"/>
      <c r="V636" s="5"/>
      <c r="W636" s="5"/>
      <c r="X636" s="5"/>
      <c r="Y636" s="5"/>
      <c r="Z636" s="5"/>
      <c r="AA636" s="5"/>
      <c r="AB636" s="5"/>
    </row>
    <row r="637" spans="1:28" ht="12.75" customHeight="1">
      <c r="A637" s="5"/>
      <c r="B637" s="5"/>
      <c r="C637" s="5"/>
      <c r="D637" s="5"/>
      <c r="E637" s="217"/>
      <c r="F637" s="198"/>
      <c r="G637" s="198"/>
      <c r="H637" s="888"/>
      <c r="I637" s="217"/>
      <c r="J637" s="306"/>
      <c r="K637" s="306"/>
      <c r="L637" s="306"/>
      <c r="M637" s="306"/>
      <c r="N637" s="306"/>
      <c r="O637" s="5"/>
      <c r="P637" s="5"/>
      <c r="Q637" s="5"/>
      <c r="R637" s="5"/>
      <c r="S637" s="5"/>
      <c r="T637" s="5"/>
      <c r="U637" s="5"/>
      <c r="V637" s="5"/>
      <c r="W637" s="5"/>
      <c r="X637" s="5"/>
      <c r="Y637" s="5"/>
      <c r="Z637" s="5"/>
      <c r="AA637" s="5"/>
      <c r="AB637" s="5"/>
    </row>
    <row r="638" spans="1:28" ht="12.75" customHeight="1">
      <c r="A638" s="5"/>
      <c r="B638" s="5"/>
      <c r="C638" s="5"/>
      <c r="D638" s="5"/>
      <c r="E638" s="217"/>
      <c r="F638" s="198"/>
      <c r="G638" s="198"/>
      <c r="H638" s="888"/>
      <c r="I638" s="217"/>
      <c r="J638" s="306"/>
      <c r="K638" s="306"/>
      <c r="L638" s="306"/>
      <c r="M638" s="306"/>
      <c r="N638" s="306"/>
      <c r="O638" s="5"/>
      <c r="P638" s="5"/>
      <c r="Q638" s="5"/>
      <c r="R638" s="5"/>
      <c r="S638" s="5"/>
      <c r="T638" s="5"/>
      <c r="U638" s="5"/>
      <c r="V638" s="5"/>
      <c r="W638" s="5"/>
      <c r="X638" s="5"/>
      <c r="Y638" s="5"/>
      <c r="Z638" s="5"/>
      <c r="AA638" s="5"/>
      <c r="AB638" s="5"/>
    </row>
    <row r="639" spans="1:28" ht="12.75" customHeight="1">
      <c r="A639" s="5"/>
      <c r="B639" s="5"/>
      <c r="C639" s="5"/>
      <c r="D639" s="5"/>
      <c r="E639" s="217"/>
      <c r="F639" s="198"/>
      <c r="G639" s="198"/>
      <c r="H639" s="888"/>
      <c r="I639" s="217"/>
      <c r="J639" s="306"/>
      <c r="K639" s="306"/>
      <c r="L639" s="306"/>
      <c r="M639" s="306"/>
      <c r="N639" s="306"/>
      <c r="O639" s="5"/>
      <c r="P639" s="5"/>
      <c r="Q639" s="5"/>
      <c r="R639" s="5"/>
      <c r="S639" s="5"/>
      <c r="T639" s="5"/>
      <c r="U639" s="5"/>
      <c r="V639" s="5"/>
      <c r="W639" s="5"/>
      <c r="X639" s="5"/>
      <c r="Y639" s="5"/>
      <c r="Z639" s="5"/>
      <c r="AA639" s="5"/>
      <c r="AB639" s="5"/>
    </row>
    <row r="640" spans="1:28" ht="12.75" customHeight="1">
      <c r="A640" s="5"/>
      <c r="B640" s="5"/>
      <c r="C640" s="5"/>
      <c r="D640" s="5"/>
      <c r="E640" s="217"/>
      <c r="F640" s="198"/>
      <c r="G640" s="198"/>
      <c r="H640" s="888"/>
      <c r="I640" s="217"/>
      <c r="J640" s="306"/>
      <c r="K640" s="306"/>
      <c r="L640" s="306"/>
      <c r="M640" s="306"/>
      <c r="N640" s="306"/>
      <c r="O640" s="5"/>
      <c r="P640" s="5"/>
      <c r="Q640" s="5"/>
      <c r="R640" s="5"/>
      <c r="S640" s="5"/>
      <c r="T640" s="5"/>
      <c r="U640" s="5"/>
      <c r="V640" s="5"/>
      <c r="W640" s="5"/>
      <c r="X640" s="5"/>
      <c r="Y640" s="5"/>
      <c r="Z640" s="5"/>
      <c r="AA640" s="5"/>
      <c r="AB640" s="5"/>
    </row>
    <row r="641" spans="1:28" ht="12.75" customHeight="1">
      <c r="A641" s="5"/>
      <c r="B641" s="5"/>
      <c r="C641" s="5"/>
      <c r="D641" s="5"/>
      <c r="E641" s="217"/>
      <c r="F641" s="198"/>
      <c r="G641" s="198"/>
      <c r="H641" s="888"/>
      <c r="I641" s="217"/>
      <c r="J641" s="306"/>
      <c r="K641" s="306"/>
      <c r="L641" s="306"/>
      <c r="M641" s="306"/>
      <c r="N641" s="306"/>
      <c r="O641" s="5"/>
      <c r="P641" s="5"/>
      <c r="Q641" s="5"/>
      <c r="R641" s="5"/>
      <c r="S641" s="5"/>
      <c r="T641" s="5"/>
      <c r="U641" s="5"/>
      <c r="V641" s="5"/>
      <c r="W641" s="5"/>
      <c r="X641" s="5"/>
      <c r="Y641" s="5"/>
      <c r="Z641" s="5"/>
      <c r="AA641" s="5"/>
      <c r="AB641" s="5"/>
    </row>
    <row r="642" spans="1:28" ht="12.75" customHeight="1">
      <c r="A642" s="5"/>
      <c r="B642" s="5"/>
      <c r="C642" s="5"/>
      <c r="D642" s="5"/>
      <c r="E642" s="217"/>
      <c r="F642" s="198"/>
      <c r="G642" s="198"/>
      <c r="H642" s="888"/>
      <c r="I642" s="217"/>
      <c r="J642" s="306"/>
      <c r="K642" s="306"/>
      <c r="L642" s="306"/>
      <c r="M642" s="306"/>
      <c r="N642" s="306"/>
      <c r="O642" s="5"/>
      <c r="P642" s="5"/>
      <c r="Q642" s="5"/>
      <c r="R642" s="5"/>
      <c r="S642" s="5"/>
      <c r="T642" s="5"/>
      <c r="U642" s="5"/>
      <c r="V642" s="5"/>
      <c r="W642" s="5"/>
      <c r="X642" s="5"/>
      <c r="Y642" s="5"/>
      <c r="Z642" s="5"/>
      <c r="AA642" s="5"/>
      <c r="AB642" s="5"/>
    </row>
    <row r="643" spans="1:28" ht="12.75" customHeight="1">
      <c r="A643" s="5"/>
      <c r="B643" s="5"/>
      <c r="C643" s="5"/>
      <c r="D643" s="5"/>
      <c r="E643" s="217"/>
      <c r="F643" s="198"/>
      <c r="G643" s="198"/>
      <c r="H643" s="888"/>
      <c r="I643" s="217"/>
      <c r="J643" s="306"/>
      <c r="K643" s="306"/>
      <c r="L643" s="306"/>
      <c r="M643" s="306"/>
      <c r="N643" s="306"/>
      <c r="O643" s="5"/>
      <c r="P643" s="5"/>
      <c r="Q643" s="5"/>
      <c r="R643" s="5"/>
      <c r="S643" s="5"/>
      <c r="T643" s="5"/>
      <c r="U643" s="5"/>
      <c r="V643" s="5"/>
      <c r="W643" s="5"/>
      <c r="X643" s="5"/>
      <c r="Y643" s="5"/>
      <c r="Z643" s="5"/>
      <c r="AA643" s="5"/>
      <c r="AB643" s="5"/>
    </row>
    <row r="644" spans="1:28" ht="12.75" customHeight="1">
      <c r="A644" s="5"/>
      <c r="B644" s="5"/>
      <c r="C644" s="5"/>
      <c r="D644" s="5"/>
      <c r="E644" s="217"/>
      <c r="F644" s="198"/>
      <c r="G644" s="198"/>
      <c r="H644" s="888"/>
      <c r="I644" s="217"/>
      <c r="J644" s="306"/>
      <c r="K644" s="306"/>
      <c r="L644" s="306"/>
      <c r="M644" s="306"/>
      <c r="N644" s="306"/>
      <c r="O644" s="5"/>
      <c r="P644" s="5"/>
      <c r="Q644" s="5"/>
      <c r="R644" s="5"/>
      <c r="S644" s="5"/>
      <c r="T644" s="5"/>
      <c r="U644" s="5"/>
      <c r="V644" s="5"/>
      <c r="W644" s="5"/>
      <c r="X644" s="5"/>
      <c r="Y644" s="5"/>
      <c r="Z644" s="5"/>
      <c r="AA644" s="5"/>
      <c r="AB644" s="5"/>
    </row>
    <row r="645" spans="1:28" ht="12.75" customHeight="1">
      <c r="A645" s="5"/>
      <c r="B645" s="5"/>
      <c r="C645" s="5"/>
      <c r="D645" s="5"/>
      <c r="E645" s="217"/>
      <c r="F645" s="198"/>
      <c r="G645" s="198"/>
      <c r="H645" s="888"/>
      <c r="I645" s="217"/>
      <c r="J645" s="306"/>
      <c r="K645" s="306"/>
      <c r="L645" s="306"/>
      <c r="M645" s="306"/>
      <c r="N645" s="306"/>
      <c r="O645" s="5"/>
      <c r="P645" s="5"/>
      <c r="Q645" s="5"/>
      <c r="R645" s="5"/>
      <c r="S645" s="5"/>
      <c r="T645" s="5"/>
      <c r="U645" s="5"/>
      <c r="V645" s="5"/>
      <c r="W645" s="5"/>
      <c r="X645" s="5"/>
      <c r="Y645" s="5"/>
      <c r="Z645" s="5"/>
      <c r="AA645" s="5"/>
      <c r="AB645" s="5"/>
    </row>
    <row r="646" spans="1:28" ht="12.75" customHeight="1">
      <c r="A646" s="5"/>
      <c r="B646" s="5"/>
      <c r="C646" s="5"/>
      <c r="D646" s="5"/>
      <c r="E646" s="217"/>
      <c r="F646" s="198"/>
      <c r="G646" s="198"/>
      <c r="H646" s="888"/>
      <c r="I646" s="217"/>
      <c r="J646" s="306"/>
      <c r="K646" s="306"/>
      <c r="L646" s="306"/>
      <c r="M646" s="306"/>
      <c r="N646" s="306"/>
      <c r="O646" s="5"/>
      <c r="P646" s="5"/>
      <c r="Q646" s="5"/>
      <c r="R646" s="5"/>
      <c r="S646" s="5"/>
      <c r="T646" s="5"/>
      <c r="U646" s="5"/>
      <c r="V646" s="5"/>
      <c r="W646" s="5"/>
      <c r="X646" s="5"/>
      <c r="Y646" s="5"/>
      <c r="Z646" s="5"/>
      <c r="AA646" s="5"/>
      <c r="AB646" s="5"/>
    </row>
    <row r="647" spans="1:28" ht="12.75" customHeight="1">
      <c r="A647" s="5"/>
      <c r="B647" s="5"/>
      <c r="C647" s="5"/>
      <c r="D647" s="5"/>
      <c r="E647" s="217"/>
      <c r="F647" s="198"/>
      <c r="G647" s="198"/>
      <c r="H647" s="888"/>
      <c r="I647" s="217"/>
      <c r="J647" s="306"/>
      <c r="K647" s="306"/>
      <c r="L647" s="306"/>
      <c r="M647" s="306"/>
      <c r="N647" s="306"/>
      <c r="O647" s="5"/>
      <c r="P647" s="5"/>
      <c r="Q647" s="5"/>
      <c r="R647" s="5"/>
      <c r="S647" s="5"/>
      <c r="T647" s="5"/>
      <c r="U647" s="5"/>
      <c r="V647" s="5"/>
      <c r="W647" s="5"/>
      <c r="X647" s="5"/>
      <c r="Y647" s="5"/>
      <c r="Z647" s="5"/>
      <c r="AA647" s="5"/>
      <c r="AB647" s="5"/>
    </row>
    <row r="648" spans="1:28" ht="12.75" customHeight="1">
      <c r="A648" s="5"/>
      <c r="B648" s="5"/>
      <c r="C648" s="5"/>
      <c r="D648" s="5"/>
      <c r="E648" s="217"/>
      <c r="F648" s="198"/>
      <c r="G648" s="198"/>
      <c r="H648" s="888"/>
      <c r="I648" s="217"/>
      <c r="J648" s="306"/>
      <c r="K648" s="306"/>
      <c r="L648" s="306"/>
      <c r="M648" s="306"/>
      <c r="N648" s="306"/>
      <c r="O648" s="5"/>
      <c r="P648" s="5"/>
      <c r="Q648" s="5"/>
      <c r="R648" s="5"/>
      <c r="S648" s="5"/>
      <c r="T648" s="5"/>
      <c r="U648" s="5"/>
      <c r="V648" s="5"/>
      <c r="W648" s="5"/>
      <c r="X648" s="5"/>
      <c r="Y648" s="5"/>
      <c r="Z648" s="5"/>
      <c r="AA648" s="5"/>
      <c r="AB648" s="5"/>
    </row>
    <row r="649" spans="1:28" ht="12.75" customHeight="1">
      <c r="A649" s="5"/>
      <c r="B649" s="5"/>
      <c r="C649" s="5"/>
      <c r="D649" s="5"/>
      <c r="E649" s="217"/>
      <c r="F649" s="198"/>
      <c r="G649" s="198"/>
      <c r="H649" s="888"/>
      <c r="I649" s="217"/>
      <c r="J649" s="306"/>
      <c r="K649" s="306"/>
      <c r="L649" s="306"/>
      <c r="M649" s="306"/>
      <c r="N649" s="306"/>
      <c r="O649" s="5"/>
      <c r="P649" s="5"/>
      <c r="Q649" s="5"/>
      <c r="R649" s="5"/>
      <c r="S649" s="5"/>
      <c r="T649" s="5"/>
      <c r="U649" s="5"/>
      <c r="V649" s="5"/>
      <c r="W649" s="5"/>
      <c r="X649" s="5"/>
      <c r="Y649" s="5"/>
      <c r="Z649" s="5"/>
      <c r="AA649" s="5"/>
      <c r="AB649" s="5"/>
    </row>
    <row r="650" spans="1:28" ht="12.75" customHeight="1">
      <c r="A650" s="5"/>
      <c r="B650" s="5"/>
      <c r="C650" s="5"/>
      <c r="D650" s="5"/>
      <c r="E650" s="217"/>
      <c r="F650" s="198"/>
      <c r="G650" s="198"/>
      <c r="H650" s="888"/>
      <c r="I650" s="217"/>
      <c r="J650" s="306"/>
      <c r="K650" s="306"/>
      <c r="L650" s="306"/>
      <c r="M650" s="306"/>
      <c r="N650" s="306"/>
      <c r="O650" s="5"/>
      <c r="P650" s="5"/>
      <c r="Q650" s="5"/>
      <c r="R650" s="5"/>
      <c r="S650" s="5"/>
      <c r="T650" s="5"/>
      <c r="U650" s="5"/>
      <c r="V650" s="5"/>
      <c r="W650" s="5"/>
      <c r="X650" s="5"/>
      <c r="Y650" s="5"/>
      <c r="Z650" s="5"/>
      <c r="AA650" s="5"/>
      <c r="AB650" s="5"/>
    </row>
    <row r="651" spans="1:28" ht="12.75" customHeight="1">
      <c r="A651" s="5"/>
      <c r="B651" s="5"/>
      <c r="C651" s="5"/>
      <c r="D651" s="5"/>
      <c r="E651" s="217"/>
      <c r="F651" s="198"/>
      <c r="G651" s="198"/>
      <c r="H651" s="888"/>
      <c r="I651" s="217"/>
      <c r="J651" s="306"/>
      <c r="K651" s="306"/>
      <c r="L651" s="306"/>
      <c r="M651" s="306"/>
      <c r="N651" s="306"/>
      <c r="O651" s="5"/>
      <c r="P651" s="5"/>
      <c r="Q651" s="5"/>
      <c r="R651" s="5"/>
      <c r="S651" s="5"/>
      <c r="T651" s="5"/>
      <c r="U651" s="5"/>
      <c r="V651" s="5"/>
      <c r="W651" s="5"/>
      <c r="X651" s="5"/>
      <c r="Y651" s="5"/>
      <c r="Z651" s="5"/>
      <c r="AA651" s="5"/>
      <c r="AB651" s="5"/>
    </row>
    <row r="652" spans="1:28" ht="12.75" customHeight="1">
      <c r="A652" s="5"/>
      <c r="B652" s="5"/>
      <c r="C652" s="5"/>
      <c r="D652" s="5"/>
      <c r="E652" s="217"/>
      <c r="F652" s="198"/>
      <c r="G652" s="198"/>
      <c r="H652" s="888"/>
      <c r="I652" s="217"/>
      <c r="J652" s="306"/>
      <c r="K652" s="306"/>
      <c r="L652" s="306"/>
      <c r="M652" s="306"/>
      <c r="N652" s="306"/>
      <c r="O652" s="5"/>
      <c r="P652" s="5"/>
      <c r="Q652" s="5"/>
      <c r="R652" s="5"/>
      <c r="S652" s="5"/>
      <c r="T652" s="5"/>
      <c r="U652" s="5"/>
      <c r="V652" s="5"/>
      <c r="W652" s="5"/>
      <c r="X652" s="5"/>
      <c r="Y652" s="5"/>
      <c r="Z652" s="5"/>
      <c r="AA652" s="5"/>
      <c r="AB652" s="5"/>
    </row>
    <row r="653" spans="1:28" ht="12.75" customHeight="1">
      <c r="A653" s="5"/>
      <c r="B653" s="5"/>
      <c r="C653" s="5"/>
      <c r="D653" s="5"/>
      <c r="E653" s="217"/>
      <c r="F653" s="198"/>
      <c r="G653" s="198"/>
      <c r="H653" s="888"/>
      <c r="I653" s="217"/>
      <c r="J653" s="306"/>
      <c r="K653" s="306"/>
      <c r="L653" s="306"/>
      <c r="M653" s="306"/>
      <c r="N653" s="306"/>
      <c r="O653" s="5"/>
      <c r="P653" s="5"/>
      <c r="Q653" s="5"/>
      <c r="R653" s="5"/>
      <c r="S653" s="5"/>
      <c r="T653" s="5"/>
      <c r="U653" s="5"/>
      <c r="V653" s="5"/>
      <c r="W653" s="5"/>
      <c r="X653" s="5"/>
      <c r="Y653" s="5"/>
      <c r="Z653" s="5"/>
      <c r="AA653" s="5"/>
      <c r="AB653" s="5"/>
    </row>
    <row r="654" spans="1:28" ht="12.75" customHeight="1">
      <c r="A654" s="5"/>
      <c r="B654" s="5"/>
      <c r="C654" s="5"/>
      <c r="D654" s="5"/>
      <c r="E654" s="217"/>
      <c r="F654" s="198"/>
      <c r="G654" s="198"/>
      <c r="H654" s="888"/>
      <c r="I654" s="217"/>
      <c r="J654" s="306"/>
      <c r="K654" s="306"/>
      <c r="L654" s="306"/>
      <c r="M654" s="306"/>
      <c r="N654" s="306"/>
      <c r="O654" s="5"/>
      <c r="P654" s="5"/>
      <c r="Q654" s="5"/>
      <c r="R654" s="5"/>
      <c r="S654" s="5"/>
      <c r="T654" s="5"/>
      <c r="U654" s="5"/>
      <c r="V654" s="5"/>
      <c r="W654" s="5"/>
      <c r="X654" s="5"/>
      <c r="Y654" s="5"/>
      <c r="Z654" s="5"/>
      <c r="AA654" s="5"/>
      <c r="AB654" s="5"/>
    </row>
    <row r="655" spans="1:28" ht="12.75" customHeight="1">
      <c r="A655" s="5"/>
      <c r="B655" s="5"/>
      <c r="C655" s="5"/>
      <c r="D655" s="5"/>
      <c r="E655" s="217"/>
      <c r="F655" s="198"/>
      <c r="G655" s="198"/>
      <c r="H655" s="888"/>
      <c r="I655" s="217"/>
      <c r="J655" s="306"/>
      <c r="K655" s="306"/>
      <c r="L655" s="306"/>
      <c r="M655" s="306"/>
      <c r="N655" s="306"/>
      <c r="O655" s="5"/>
      <c r="P655" s="5"/>
      <c r="Q655" s="5"/>
      <c r="R655" s="5"/>
      <c r="S655" s="5"/>
      <c r="T655" s="5"/>
      <c r="U655" s="5"/>
      <c r="V655" s="5"/>
      <c r="W655" s="5"/>
      <c r="X655" s="5"/>
      <c r="Y655" s="5"/>
      <c r="Z655" s="5"/>
      <c r="AA655" s="5"/>
      <c r="AB655" s="5"/>
    </row>
    <row r="656" spans="1:28" ht="12.75" customHeight="1">
      <c r="A656" s="5"/>
      <c r="B656" s="5"/>
      <c r="C656" s="5"/>
      <c r="D656" s="5"/>
      <c r="E656" s="217"/>
      <c r="F656" s="198"/>
      <c r="G656" s="198"/>
      <c r="H656" s="888"/>
      <c r="I656" s="217"/>
      <c r="J656" s="306"/>
      <c r="K656" s="306"/>
      <c r="L656" s="306"/>
      <c r="M656" s="306"/>
      <c r="N656" s="306"/>
      <c r="O656" s="5"/>
      <c r="P656" s="5"/>
      <c r="Q656" s="5"/>
      <c r="R656" s="5"/>
      <c r="S656" s="5"/>
      <c r="T656" s="5"/>
      <c r="U656" s="5"/>
      <c r="V656" s="5"/>
      <c r="W656" s="5"/>
      <c r="X656" s="5"/>
      <c r="Y656" s="5"/>
      <c r="Z656" s="5"/>
      <c r="AA656" s="5"/>
      <c r="AB656" s="5"/>
    </row>
    <row r="657" spans="1:28" ht="12.75" customHeight="1">
      <c r="A657" s="5"/>
      <c r="B657" s="5"/>
      <c r="C657" s="5"/>
      <c r="D657" s="5"/>
      <c r="E657" s="217"/>
      <c r="F657" s="198"/>
      <c r="G657" s="198"/>
      <c r="H657" s="888"/>
      <c r="I657" s="217"/>
      <c r="J657" s="306"/>
      <c r="K657" s="306"/>
      <c r="L657" s="306"/>
      <c r="M657" s="306"/>
      <c r="N657" s="306"/>
      <c r="O657" s="5"/>
      <c r="P657" s="5"/>
      <c r="Q657" s="5"/>
      <c r="R657" s="5"/>
      <c r="S657" s="5"/>
      <c r="T657" s="5"/>
      <c r="U657" s="5"/>
      <c r="V657" s="5"/>
      <c r="W657" s="5"/>
      <c r="X657" s="5"/>
      <c r="Y657" s="5"/>
      <c r="Z657" s="5"/>
      <c r="AA657" s="5"/>
      <c r="AB657" s="5"/>
    </row>
    <row r="658" spans="1:28" ht="12.75" customHeight="1">
      <c r="A658" s="5"/>
      <c r="B658" s="5"/>
      <c r="C658" s="5"/>
      <c r="D658" s="5"/>
      <c r="E658" s="217"/>
      <c r="F658" s="198"/>
      <c r="G658" s="198"/>
      <c r="H658" s="888"/>
      <c r="I658" s="217"/>
      <c r="J658" s="306"/>
      <c r="K658" s="306"/>
      <c r="L658" s="306"/>
      <c r="M658" s="306"/>
      <c r="N658" s="306"/>
      <c r="O658" s="5"/>
      <c r="P658" s="5"/>
      <c r="Q658" s="5"/>
      <c r="R658" s="5"/>
      <c r="S658" s="5"/>
      <c r="T658" s="5"/>
      <c r="U658" s="5"/>
      <c r="V658" s="5"/>
      <c r="W658" s="5"/>
      <c r="X658" s="5"/>
      <c r="Y658" s="5"/>
      <c r="Z658" s="5"/>
      <c r="AA658" s="5"/>
      <c r="AB658" s="5"/>
    </row>
    <row r="659" spans="1:28" ht="12.75" customHeight="1">
      <c r="A659" s="5"/>
      <c r="B659" s="5"/>
      <c r="C659" s="5"/>
      <c r="D659" s="5"/>
      <c r="E659" s="217"/>
      <c r="F659" s="198"/>
      <c r="G659" s="198"/>
      <c r="H659" s="888"/>
      <c r="I659" s="217"/>
      <c r="J659" s="306"/>
      <c r="K659" s="306"/>
      <c r="L659" s="306"/>
      <c r="M659" s="306"/>
      <c r="N659" s="306"/>
      <c r="O659" s="5"/>
      <c r="P659" s="5"/>
      <c r="Q659" s="5"/>
      <c r="R659" s="5"/>
      <c r="S659" s="5"/>
      <c r="T659" s="5"/>
      <c r="U659" s="5"/>
      <c r="V659" s="5"/>
      <c r="W659" s="5"/>
      <c r="X659" s="5"/>
      <c r="Y659" s="5"/>
      <c r="Z659" s="5"/>
      <c r="AA659" s="5"/>
      <c r="AB659" s="5"/>
    </row>
    <row r="660" spans="1:28" ht="12.75" customHeight="1">
      <c r="A660" s="5"/>
      <c r="B660" s="5"/>
      <c r="C660" s="5"/>
      <c r="D660" s="5"/>
      <c r="E660" s="217"/>
      <c r="F660" s="198"/>
      <c r="G660" s="198"/>
      <c r="H660" s="888"/>
      <c r="I660" s="217"/>
      <c r="J660" s="306"/>
      <c r="K660" s="306"/>
      <c r="L660" s="306"/>
      <c r="M660" s="306"/>
      <c r="N660" s="306"/>
      <c r="O660" s="5"/>
      <c r="P660" s="5"/>
      <c r="Q660" s="5"/>
      <c r="R660" s="5"/>
      <c r="S660" s="5"/>
      <c r="T660" s="5"/>
      <c r="U660" s="5"/>
      <c r="V660" s="5"/>
      <c r="W660" s="5"/>
      <c r="X660" s="5"/>
      <c r="Y660" s="5"/>
      <c r="Z660" s="5"/>
      <c r="AA660" s="5"/>
      <c r="AB660" s="5"/>
    </row>
    <row r="661" spans="1:28" ht="12.75" customHeight="1">
      <c r="A661" s="5"/>
      <c r="B661" s="5"/>
      <c r="C661" s="5"/>
      <c r="D661" s="5"/>
      <c r="E661" s="217"/>
      <c r="F661" s="198"/>
      <c r="G661" s="198"/>
      <c r="H661" s="888"/>
      <c r="I661" s="217"/>
      <c r="J661" s="306"/>
      <c r="K661" s="306"/>
      <c r="L661" s="306"/>
      <c r="M661" s="306"/>
      <c r="N661" s="306"/>
      <c r="O661" s="5"/>
      <c r="P661" s="5"/>
      <c r="Q661" s="5"/>
      <c r="R661" s="5"/>
      <c r="S661" s="5"/>
      <c r="T661" s="5"/>
      <c r="U661" s="5"/>
      <c r="V661" s="5"/>
      <c r="W661" s="5"/>
      <c r="X661" s="5"/>
      <c r="Y661" s="5"/>
      <c r="Z661" s="5"/>
      <c r="AA661" s="5"/>
      <c r="AB661" s="5"/>
    </row>
    <row r="662" spans="1:28" ht="12.75" customHeight="1">
      <c r="A662" s="5"/>
      <c r="B662" s="5"/>
      <c r="C662" s="5"/>
      <c r="D662" s="5"/>
      <c r="E662" s="217"/>
      <c r="F662" s="198"/>
      <c r="G662" s="198"/>
      <c r="H662" s="888"/>
      <c r="I662" s="217"/>
      <c r="J662" s="306"/>
      <c r="K662" s="306"/>
      <c r="L662" s="306"/>
      <c r="M662" s="306"/>
      <c r="N662" s="306"/>
      <c r="O662" s="5"/>
      <c r="P662" s="5"/>
      <c r="Q662" s="5"/>
      <c r="R662" s="5"/>
      <c r="S662" s="5"/>
      <c r="T662" s="5"/>
      <c r="U662" s="5"/>
      <c r="V662" s="5"/>
      <c r="W662" s="5"/>
      <c r="X662" s="5"/>
      <c r="Y662" s="5"/>
      <c r="Z662" s="5"/>
      <c r="AA662" s="5"/>
      <c r="AB662" s="5"/>
    </row>
    <row r="663" spans="1:28" ht="12.75" customHeight="1">
      <c r="A663" s="5"/>
      <c r="B663" s="5"/>
      <c r="C663" s="5"/>
      <c r="D663" s="5"/>
      <c r="E663" s="217"/>
      <c r="F663" s="198"/>
      <c r="G663" s="198"/>
      <c r="H663" s="888"/>
      <c r="I663" s="217"/>
      <c r="J663" s="306"/>
      <c r="K663" s="306"/>
      <c r="L663" s="306"/>
      <c r="M663" s="306"/>
      <c r="N663" s="306"/>
      <c r="O663" s="5"/>
      <c r="P663" s="5"/>
      <c r="Q663" s="5"/>
      <c r="R663" s="5"/>
      <c r="S663" s="5"/>
      <c r="T663" s="5"/>
      <c r="U663" s="5"/>
      <c r="V663" s="5"/>
      <c r="W663" s="5"/>
      <c r="X663" s="5"/>
      <c r="Y663" s="5"/>
      <c r="Z663" s="5"/>
      <c r="AA663" s="5"/>
      <c r="AB663" s="5"/>
    </row>
    <row r="664" spans="1:28" ht="12.75" customHeight="1">
      <c r="A664" s="5"/>
      <c r="B664" s="5"/>
      <c r="C664" s="5"/>
      <c r="D664" s="5"/>
      <c r="E664" s="217"/>
      <c r="F664" s="198"/>
      <c r="G664" s="198"/>
      <c r="H664" s="888"/>
      <c r="I664" s="217"/>
      <c r="J664" s="306"/>
      <c r="K664" s="306"/>
      <c r="L664" s="306"/>
      <c r="M664" s="306"/>
      <c r="N664" s="306"/>
      <c r="O664" s="5"/>
      <c r="P664" s="5"/>
      <c r="Q664" s="5"/>
      <c r="R664" s="5"/>
      <c r="S664" s="5"/>
      <c r="T664" s="5"/>
      <c r="U664" s="5"/>
      <c r="V664" s="5"/>
      <c r="W664" s="5"/>
      <c r="X664" s="5"/>
      <c r="Y664" s="5"/>
      <c r="Z664" s="5"/>
      <c r="AA664" s="5"/>
      <c r="AB664" s="5"/>
    </row>
    <row r="665" spans="1:28" ht="12.75" customHeight="1">
      <c r="A665" s="5"/>
      <c r="B665" s="5"/>
      <c r="C665" s="5"/>
      <c r="D665" s="5"/>
      <c r="E665" s="217"/>
      <c r="F665" s="198"/>
      <c r="G665" s="198"/>
      <c r="H665" s="888"/>
      <c r="I665" s="217"/>
      <c r="J665" s="306"/>
      <c r="K665" s="306"/>
      <c r="L665" s="306"/>
      <c r="M665" s="306"/>
      <c r="N665" s="306"/>
      <c r="O665" s="5"/>
      <c r="P665" s="5"/>
      <c r="Q665" s="5"/>
      <c r="R665" s="5"/>
      <c r="S665" s="5"/>
      <c r="T665" s="5"/>
      <c r="U665" s="5"/>
      <c r="V665" s="5"/>
      <c r="W665" s="5"/>
      <c r="X665" s="5"/>
      <c r="Y665" s="5"/>
      <c r="Z665" s="5"/>
      <c r="AA665" s="5"/>
      <c r="AB665" s="5"/>
    </row>
    <row r="666" spans="1:28" ht="12.75" customHeight="1">
      <c r="A666" s="5"/>
      <c r="B666" s="5"/>
      <c r="C666" s="5"/>
      <c r="D666" s="5"/>
      <c r="E666" s="217"/>
      <c r="F666" s="198"/>
      <c r="G666" s="198"/>
      <c r="H666" s="888"/>
      <c r="I666" s="217"/>
      <c r="J666" s="306"/>
      <c r="K666" s="306"/>
      <c r="L666" s="306"/>
      <c r="M666" s="306"/>
      <c r="N666" s="306"/>
      <c r="O666" s="5"/>
      <c r="P666" s="5"/>
      <c r="Q666" s="5"/>
      <c r="R666" s="5"/>
      <c r="S666" s="5"/>
      <c r="T666" s="5"/>
      <c r="U666" s="5"/>
      <c r="V666" s="5"/>
      <c r="W666" s="5"/>
      <c r="X666" s="5"/>
      <c r="Y666" s="5"/>
      <c r="Z666" s="5"/>
      <c r="AA666" s="5"/>
      <c r="AB666" s="5"/>
    </row>
    <row r="667" spans="1:28" ht="12.75" customHeight="1">
      <c r="A667" s="5"/>
      <c r="B667" s="5"/>
      <c r="C667" s="5"/>
      <c r="D667" s="5"/>
      <c r="E667" s="217"/>
      <c r="F667" s="198"/>
      <c r="G667" s="198"/>
      <c r="H667" s="888"/>
      <c r="I667" s="217"/>
      <c r="J667" s="306"/>
      <c r="K667" s="306"/>
      <c r="L667" s="306"/>
      <c r="M667" s="306"/>
      <c r="N667" s="306"/>
      <c r="O667" s="5"/>
      <c r="P667" s="5"/>
      <c r="Q667" s="5"/>
      <c r="R667" s="5"/>
      <c r="S667" s="5"/>
      <c r="T667" s="5"/>
      <c r="U667" s="5"/>
      <c r="V667" s="5"/>
      <c r="W667" s="5"/>
      <c r="X667" s="5"/>
      <c r="Y667" s="5"/>
      <c r="Z667" s="5"/>
      <c r="AA667" s="5"/>
      <c r="AB667" s="5"/>
    </row>
    <row r="668" spans="1:28" ht="12.75" customHeight="1">
      <c r="A668" s="5"/>
      <c r="B668" s="5"/>
      <c r="C668" s="5"/>
      <c r="D668" s="5"/>
      <c r="E668" s="217"/>
      <c r="F668" s="198"/>
      <c r="G668" s="198"/>
      <c r="H668" s="888"/>
      <c r="I668" s="217"/>
      <c r="J668" s="306"/>
      <c r="K668" s="306"/>
      <c r="L668" s="306"/>
      <c r="M668" s="306"/>
      <c r="N668" s="306"/>
      <c r="O668" s="5"/>
      <c r="P668" s="5"/>
      <c r="Q668" s="5"/>
      <c r="R668" s="5"/>
      <c r="S668" s="5"/>
      <c r="T668" s="5"/>
      <c r="U668" s="5"/>
      <c r="V668" s="5"/>
      <c r="W668" s="5"/>
      <c r="X668" s="5"/>
      <c r="Y668" s="5"/>
      <c r="Z668" s="5"/>
      <c r="AA668" s="5"/>
      <c r="AB668" s="5"/>
    </row>
    <row r="669" spans="1:28" ht="12.75" customHeight="1">
      <c r="A669" s="5"/>
      <c r="B669" s="5"/>
      <c r="C669" s="5"/>
      <c r="D669" s="5"/>
      <c r="E669" s="217"/>
      <c r="F669" s="198"/>
      <c r="G669" s="198"/>
      <c r="H669" s="888"/>
      <c r="I669" s="217"/>
      <c r="J669" s="306"/>
      <c r="K669" s="306"/>
      <c r="L669" s="306"/>
      <c r="M669" s="306"/>
      <c r="N669" s="306"/>
      <c r="O669" s="5"/>
      <c r="P669" s="5"/>
      <c r="Q669" s="5"/>
      <c r="R669" s="5"/>
      <c r="S669" s="5"/>
      <c r="T669" s="5"/>
      <c r="U669" s="5"/>
      <c r="V669" s="5"/>
      <c r="W669" s="5"/>
      <c r="X669" s="5"/>
      <c r="Y669" s="5"/>
      <c r="Z669" s="5"/>
      <c r="AA669" s="5"/>
      <c r="AB669" s="5"/>
    </row>
    <row r="670" spans="1:28" ht="12.75" customHeight="1">
      <c r="A670" s="5"/>
      <c r="B670" s="5"/>
      <c r="C670" s="5"/>
      <c r="D670" s="5"/>
      <c r="E670" s="217"/>
      <c r="F670" s="198"/>
      <c r="G670" s="198"/>
      <c r="H670" s="888"/>
      <c r="I670" s="217"/>
      <c r="J670" s="306"/>
      <c r="K670" s="306"/>
      <c r="L670" s="306"/>
      <c r="M670" s="306"/>
      <c r="N670" s="306"/>
      <c r="O670" s="5"/>
      <c r="P670" s="5"/>
      <c r="Q670" s="5"/>
      <c r="R670" s="5"/>
      <c r="S670" s="5"/>
      <c r="T670" s="5"/>
      <c r="U670" s="5"/>
      <c r="V670" s="5"/>
      <c r="W670" s="5"/>
      <c r="X670" s="5"/>
      <c r="Y670" s="5"/>
      <c r="Z670" s="5"/>
      <c r="AA670" s="5"/>
      <c r="AB670" s="5"/>
    </row>
    <row r="671" spans="1:28" ht="12.75" customHeight="1">
      <c r="A671" s="5"/>
      <c r="B671" s="5"/>
      <c r="C671" s="5"/>
      <c r="D671" s="5"/>
      <c r="E671" s="217"/>
      <c r="F671" s="198"/>
      <c r="G671" s="198"/>
      <c r="H671" s="888"/>
      <c r="I671" s="217"/>
      <c r="J671" s="306"/>
      <c r="K671" s="306"/>
      <c r="L671" s="306"/>
      <c r="M671" s="306"/>
      <c r="N671" s="306"/>
      <c r="O671" s="5"/>
      <c r="P671" s="5"/>
      <c r="Q671" s="5"/>
      <c r="R671" s="5"/>
      <c r="S671" s="5"/>
      <c r="T671" s="5"/>
      <c r="U671" s="5"/>
      <c r="V671" s="5"/>
      <c r="W671" s="5"/>
      <c r="X671" s="5"/>
      <c r="Y671" s="5"/>
      <c r="Z671" s="5"/>
      <c r="AA671" s="5"/>
      <c r="AB671" s="5"/>
    </row>
    <row r="672" spans="1:28" ht="12.75" customHeight="1">
      <c r="A672" s="5"/>
      <c r="B672" s="5"/>
      <c r="C672" s="5"/>
      <c r="D672" s="5"/>
      <c r="E672" s="217"/>
      <c r="F672" s="198"/>
      <c r="G672" s="198"/>
      <c r="H672" s="888"/>
      <c r="I672" s="217"/>
      <c r="J672" s="306"/>
      <c r="K672" s="306"/>
      <c r="L672" s="306"/>
      <c r="M672" s="306"/>
      <c r="N672" s="306"/>
      <c r="O672" s="5"/>
      <c r="P672" s="5"/>
      <c r="Q672" s="5"/>
      <c r="R672" s="5"/>
      <c r="S672" s="5"/>
      <c r="T672" s="5"/>
      <c r="U672" s="5"/>
      <c r="V672" s="5"/>
      <c r="W672" s="5"/>
      <c r="X672" s="5"/>
      <c r="Y672" s="5"/>
      <c r="Z672" s="5"/>
      <c r="AA672" s="5"/>
      <c r="AB672" s="5"/>
    </row>
    <row r="673" spans="1:28" ht="12.75" customHeight="1">
      <c r="A673" s="5"/>
      <c r="B673" s="5"/>
      <c r="C673" s="5"/>
      <c r="D673" s="5"/>
      <c r="E673" s="217"/>
      <c r="F673" s="198"/>
      <c r="G673" s="198"/>
      <c r="H673" s="888"/>
      <c r="I673" s="217"/>
      <c r="J673" s="306"/>
      <c r="K673" s="306"/>
      <c r="L673" s="306"/>
      <c r="M673" s="306"/>
      <c r="N673" s="306"/>
      <c r="O673" s="5"/>
      <c r="P673" s="5"/>
      <c r="Q673" s="5"/>
      <c r="R673" s="5"/>
      <c r="S673" s="5"/>
      <c r="T673" s="5"/>
      <c r="U673" s="5"/>
      <c r="V673" s="5"/>
      <c r="W673" s="5"/>
      <c r="X673" s="5"/>
      <c r="Y673" s="5"/>
      <c r="Z673" s="5"/>
      <c r="AA673" s="5"/>
      <c r="AB673" s="5"/>
    </row>
    <row r="674" spans="1:28" ht="12.75" customHeight="1">
      <c r="A674" s="5"/>
      <c r="B674" s="5"/>
      <c r="C674" s="5"/>
      <c r="D674" s="5"/>
      <c r="E674" s="217"/>
      <c r="F674" s="198"/>
      <c r="G674" s="198"/>
      <c r="H674" s="888"/>
      <c r="I674" s="217"/>
      <c r="J674" s="306"/>
      <c r="K674" s="306"/>
      <c r="L674" s="306"/>
      <c r="M674" s="306"/>
      <c r="N674" s="306"/>
      <c r="O674" s="5"/>
      <c r="P674" s="5"/>
      <c r="Q674" s="5"/>
      <c r="R674" s="5"/>
      <c r="S674" s="5"/>
      <c r="T674" s="5"/>
      <c r="U674" s="5"/>
      <c r="V674" s="5"/>
      <c r="W674" s="5"/>
      <c r="X674" s="5"/>
      <c r="Y674" s="5"/>
      <c r="Z674" s="5"/>
      <c r="AA674" s="5"/>
      <c r="AB674" s="5"/>
    </row>
    <row r="675" spans="1:28" ht="12.75" customHeight="1">
      <c r="A675" s="5"/>
      <c r="B675" s="5"/>
      <c r="C675" s="5"/>
      <c r="D675" s="5"/>
      <c r="E675" s="217"/>
      <c r="F675" s="198"/>
      <c r="G675" s="198"/>
      <c r="H675" s="888"/>
      <c r="I675" s="217"/>
      <c r="J675" s="306"/>
      <c r="K675" s="306"/>
      <c r="L675" s="306"/>
      <c r="M675" s="306"/>
      <c r="N675" s="306"/>
      <c r="O675" s="5"/>
      <c r="P675" s="5"/>
      <c r="Q675" s="5"/>
      <c r="R675" s="5"/>
      <c r="S675" s="5"/>
      <c r="T675" s="5"/>
      <c r="U675" s="5"/>
      <c r="V675" s="5"/>
      <c r="W675" s="5"/>
      <c r="X675" s="5"/>
      <c r="Y675" s="5"/>
      <c r="Z675" s="5"/>
      <c r="AA675" s="5"/>
      <c r="AB675" s="5"/>
    </row>
    <row r="676" spans="1:28" ht="12.75" customHeight="1">
      <c r="A676" s="5"/>
      <c r="B676" s="5"/>
      <c r="C676" s="5"/>
      <c r="D676" s="5"/>
      <c r="E676" s="217"/>
      <c r="F676" s="198"/>
      <c r="G676" s="198"/>
      <c r="H676" s="888"/>
      <c r="I676" s="217"/>
      <c r="J676" s="306"/>
      <c r="K676" s="306"/>
      <c r="L676" s="306"/>
      <c r="M676" s="306"/>
      <c r="N676" s="306"/>
      <c r="O676" s="5"/>
      <c r="P676" s="5"/>
      <c r="Q676" s="5"/>
      <c r="R676" s="5"/>
      <c r="S676" s="5"/>
      <c r="T676" s="5"/>
      <c r="U676" s="5"/>
      <c r="V676" s="5"/>
      <c r="W676" s="5"/>
      <c r="X676" s="5"/>
      <c r="Y676" s="5"/>
      <c r="Z676" s="5"/>
      <c r="AA676" s="5"/>
      <c r="AB676" s="5"/>
    </row>
    <row r="677" spans="1:28" ht="12.75" customHeight="1">
      <c r="A677" s="5"/>
      <c r="B677" s="5"/>
      <c r="C677" s="5"/>
      <c r="D677" s="5"/>
      <c r="E677" s="217"/>
      <c r="F677" s="198"/>
      <c r="G677" s="198"/>
      <c r="H677" s="888"/>
      <c r="I677" s="217"/>
      <c r="J677" s="306"/>
      <c r="K677" s="306"/>
      <c r="L677" s="306"/>
      <c r="M677" s="306"/>
      <c r="N677" s="306"/>
      <c r="O677" s="5"/>
      <c r="P677" s="5"/>
      <c r="Q677" s="5"/>
      <c r="R677" s="5"/>
      <c r="S677" s="5"/>
      <c r="T677" s="5"/>
      <c r="U677" s="5"/>
      <c r="V677" s="5"/>
      <c r="W677" s="5"/>
      <c r="X677" s="5"/>
      <c r="Y677" s="5"/>
      <c r="Z677" s="5"/>
      <c r="AA677" s="5"/>
      <c r="AB677" s="5"/>
    </row>
    <row r="678" spans="1:28" ht="12.75" customHeight="1">
      <c r="A678" s="5"/>
      <c r="B678" s="5"/>
      <c r="C678" s="5"/>
      <c r="D678" s="5"/>
      <c r="E678" s="217"/>
      <c r="F678" s="198"/>
      <c r="G678" s="198"/>
      <c r="H678" s="888"/>
      <c r="I678" s="217"/>
      <c r="J678" s="306"/>
      <c r="K678" s="306"/>
      <c r="L678" s="306"/>
      <c r="M678" s="306"/>
      <c r="N678" s="306"/>
      <c r="O678" s="5"/>
      <c r="P678" s="5"/>
      <c r="Q678" s="5"/>
      <c r="R678" s="5"/>
      <c r="S678" s="5"/>
      <c r="T678" s="5"/>
      <c r="U678" s="5"/>
      <c r="V678" s="5"/>
      <c r="W678" s="5"/>
      <c r="X678" s="5"/>
      <c r="Y678" s="5"/>
      <c r="Z678" s="5"/>
      <c r="AA678" s="5"/>
      <c r="AB678" s="5"/>
    </row>
    <row r="679" spans="1:28" ht="12.75" customHeight="1">
      <c r="A679" s="5"/>
      <c r="B679" s="5"/>
      <c r="C679" s="5"/>
      <c r="D679" s="5"/>
      <c r="E679" s="217"/>
      <c r="F679" s="198"/>
      <c r="G679" s="198"/>
      <c r="H679" s="888"/>
      <c r="I679" s="217"/>
      <c r="J679" s="306"/>
      <c r="K679" s="306"/>
      <c r="L679" s="306"/>
      <c r="M679" s="306"/>
      <c r="N679" s="306"/>
      <c r="O679" s="5"/>
      <c r="P679" s="5"/>
      <c r="Q679" s="5"/>
      <c r="R679" s="5"/>
      <c r="S679" s="5"/>
      <c r="T679" s="5"/>
      <c r="U679" s="5"/>
      <c r="V679" s="5"/>
      <c r="W679" s="5"/>
      <c r="X679" s="5"/>
      <c r="Y679" s="5"/>
      <c r="Z679" s="5"/>
      <c r="AA679" s="5"/>
      <c r="AB679" s="5"/>
    </row>
    <row r="680" spans="1:28" ht="12.75" customHeight="1">
      <c r="A680" s="5"/>
      <c r="B680" s="5"/>
      <c r="C680" s="5"/>
      <c r="D680" s="5"/>
      <c r="E680" s="217"/>
      <c r="F680" s="198"/>
      <c r="G680" s="198"/>
      <c r="H680" s="888"/>
      <c r="I680" s="217"/>
      <c r="J680" s="306"/>
      <c r="K680" s="306"/>
      <c r="L680" s="306"/>
      <c r="M680" s="306"/>
      <c r="N680" s="306"/>
      <c r="O680" s="5"/>
      <c r="P680" s="5"/>
      <c r="Q680" s="5"/>
      <c r="R680" s="5"/>
      <c r="S680" s="5"/>
      <c r="T680" s="5"/>
      <c r="U680" s="5"/>
      <c r="V680" s="5"/>
      <c r="W680" s="5"/>
      <c r="X680" s="5"/>
      <c r="Y680" s="5"/>
      <c r="Z680" s="5"/>
      <c r="AA680" s="5"/>
      <c r="AB680" s="5"/>
    </row>
    <row r="681" spans="1:28" ht="12.75" customHeight="1">
      <c r="A681" s="5"/>
      <c r="B681" s="5"/>
      <c r="C681" s="5"/>
      <c r="D681" s="5"/>
      <c r="E681" s="217"/>
      <c r="F681" s="198"/>
      <c r="G681" s="198"/>
      <c r="H681" s="888"/>
      <c r="I681" s="217"/>
      <c r="J681" s="306"/>
      <c r="K681" s="306"/>
      <c r="L681" s="306"/>
      <c r="M681" s="306"/>
      <c r="N681" s="306"/>
      <c r="O681" s="5"/>
      <c r="P681" s="5"/>
      <c r="Q681" s="5"/>
      <c r="R681" s="5"/>
      <c r="S681" s="5"/>
      <c r="T681" s="5"/>
      <c r="U681" s="5"/>
      <c r="V681" s="5"/>
      <c r="W681" s="5"/>
      <c r="X681" s="5"/>
      <c r="Y681" s="5"/>
      <c r="Z681" s="5"/>
      <c r="AA681" s="5"/>
      <c r="AB681" s="5"/>
    </row>
    <row r="682" spans="1:28" ht="12.75" customHeight="1">
      <c r="A682" s="5"/>
      <c r="B682" s="5"/>
      <c r="C682" s="5"/>
      <c r="D682" s="5"/>
      <c r="E682" s="217"/>
      <c r="F682" s="198"/>
      <c r="G682" s="198"/>
      <c r="H682" s="888"/>
      <c r="I682" s="217"/>
      <c r="J682" s="306"/>
      <c r="K682" s="306"/>
      <c r="L682" s="306"/>
      <c r="M682" s="306"/>
      <c r="N682" s="306"/>
      <c r="O682" s="5"/>
      <c r="P682" s="5"/>
      <c r="Q682" s="5"/>
      <c r="R682" s="5"/>
      <c r="S682" s="5"/>
      <c r="T682" s="5"/>
      <c r="U682" s="5"/>
      <c r="V682" s="5"/>
      <c r="W682" s="5"/>
      <c r="X682" s="5"/>
      <c r="Y682" s="5"/>
      <c r="Z682" s="5"/>
      <c r="AA682" s="5"/>
      <c r="AB682" s="5"/>
    </row>
    <row r="683" spans="1:28" ht="12.75" customHeight="1">
      <c r="A683" s="5"/>
      <c r="B683" s="5"/>
      <c r="C683" s="5"/>
      <c r="D683" s="5"/>
      <c r="E683" s="217"/>
      <c r="F683" s="198"/>
      <c r="G683" s="198"/>
      <c r="H683" s="888"/>
      <c r="I683" s="217"/>
      <c r="J683" s="306"/>
      <c r="K683" s="306"/>
      <c r="L683" s="306"/>
      <c r="M683" s="306"/>
      <c r="N683" s="306"/>
      <c r="O683" s="5"/>
      <c r="P683" s="5"/>
      <c r="Q683" s="5"/>
      <c r="R683" s="5"/>
      <c r="S683" s="5"/>
      <c r="T683" s="5"/>
      <c r="U683" s="5"/>
      <c r="V683" s="5"/>
      <c r="W683" s="5"/>
      <c r="X683" s="5"/>
      <c r="Y683" s="5"/>
      <c r="Z683" s="5"/>
      <c r="AA683" s="5"/>
      <c r="AB683" s="5"/>
    </row>
    <row r="684" spans="1:28" ht="12.75" customHeight="1">
      <c r="A684" s="5"/>
      <c r="B684" s="5"/>
      <c r="C684" s="5"/>
      <c r="D684" s="5"/>
      <c r="E684" s="217"/>
      <c r="F684" s="198"/>
      <c r="G684" s="198"/>
      <c r="H684" s="888"/>
      <c r="I684" s="217"/>
      <c r="J684" s="306"/>
      <c r="K684" s="306"/>
      <c r="L684" s="306"/>
      <c r="M684" s="306"/>
      <c r="N684" s="306"/>
      <c r="O684" s="5"/>
      <c r="P684" s="5"/>
      <c r="Q684" s="5"/>
      <c r="R684" s="5"/>
      <c r="S684" s="5"/>
      <c r="T684" s="5"/>
      <c r="U684" s="5"/>
      <c r="V684" s="5"/>
      <c r="W684" s="5"/>
      <c r="X684" s="5"/>
      <c r="Y684" s="5"/>
      <c r="Z684" s="5"/>
      <c r="AA684" s="5"/>
      <c r="AB684" s="5"/>
    </row>
    <row r="685" spans="1:28" ht="12.75" customHeight="1">
      <c r="A685" s="5"/>
      <c r="B685" s="5"/>
      <c r="C685" s="5"/>
      <c r="D685" s="5"/>
      <c r="E685" s="217"/>
      <c r="F685" s="198"/>
      <c r="G685" s="198"/>
      <c r="H685" s="888"/>
      <c r="I685" s="217"/>
      <c r="J685" s="306"/>
      <c r="K685" s="306"/>
      <c r="L685" s="306"/>
      <c r="M685" s="306"/>
      <c r="N685" s="306"/>
      <c r="O685" s="5"/>
      <c r="P685" s="5"/>
      <c r="Q685" s="5"/>
      <c r="R685" s="5"/>
      <c r="S685" s="5"/>
      <c r="T685" s="5"/>
      <c r="U685" s="5"/>
      <c r="V685" s="5"/>
      <c r="W685" s="5"/>
      <c r="X685" s="5"/>
      <c r="Y685" s="5"/>
      <c r="Z685" s="5"/>
      <c r="AA685" s="5"/>
      <c r="AB685" s="5"/>
    </row>
    <row r="686" spans="1:28" ht="12.75" customHeight="1">
      <c r="A686" s="5"/>
      <c r="B686" s="5"/>
      <c r="C686" s="5"/>
      <c r="D686" s="5"/>
      <c r="E686" s="217"/>
      <c r="F686" s="198"/>
      <c r="G686" s="198"/>
      <c r="H686" s="888"/>
      <c r="I686" s="217"/>
      <c r="J686" s="306"/>
      <c r="K686" s="306"/>
      <c r="L686" s="306"/>
      <c r="M686" s="306"/>
      <c r="N686" s="306"/>
      <c r="O686" s="5"/>
      <c r="P686" s="5"/>
      <c r="Q686" s="5"/>
      <c r="R686" s="5"/>
      <c r="S686" s="5"/>
      <c r="T686" s="5"/>
      <c r="U686" s="5"/>
      <c r="V686" s="5"/>
      <c r="W686" s="5"/>
      <c r="X686" s="5"/>
      <c r="Y686" s="5"/>
      <c r="Z686" s="5"/>
      <c r="AA686" s="5"/>
      <c r="AB686" s="5"/>
    </row>
    <row r="687" spans="1:28" ht="12.75" customHeight="1">
      <c r="A687" s="5"/>
      <c r="B687" s="5"/>
      <c r="C687" s="5"/>
      <c r="D687" s="5"/>
      <c r="E687" s="217"/>
      <c r="F687" s="198"/>
      <c r="G687" s="198"/>
      <c r="H687" s="888"/>
      <c r="I687" s="217"/>
      <c r="J687" s="306"/>
      <c r="K687" s="306"/>
      <c r="L687" s="306"/>
      <c r="M687" s="306"/>
      <c r="N687" s="306"/>
      <c r="O687" s="5"/>
      <c r="P687" s="5"/>
      <c r="Q687" s="5"/>
      <c r="R687" s="5"/>
      <c r="S687" s="5"/>
      <c r="T687" s="5"/>
      <c r="U687" s="5"/>
      <c r="V687" s="5"/>
      <c r="W687" s="5"/>
      <c r="X687" s="5"/>
      <c r="Y687" s="5"/>
      <c r="Z687" s="5"/>
      <c r="AA687" s="5"/>
      <c r="AB687" s="5"/>
    </row>
    <row r="688" spans="1:28" ht="12.75" customHeight="1">
      <c r="A688" s="5"/>
      <c r="B688" s="5"/>
      <c r="C688" s="5"/>
      <c r="D688" s="5"/>
      <c r="E688" s="217"/>
      <c r="F688" s="198"/>
      <c r="G688" s="198"/>
      <c r="H688" s="888"/>
      <c r="I688" s="217"/>
      <c r="J688" s="306"/>
      <c r="K688" s="306"/>
      <c r="L688" s="306"/>
      <c r="M688" s="306"/>
      <c r="N688" s="306"/>
      <c r="O688" s="5"/>
      <c r="P688" s="5"/>
      <c r="Q688" s="5"/>
      <c r="R688" s="5"/>
      <c r="S688" s="5"/>
      <c r="T688" s="5"/>
      <c r="U688" s="5"/>
      <c r="V688" s="5"/>
      <c r="W688" s="5"/>
      <c r="X688" s="5"/>
      <c r="Y688" s="5"/>
      <c r="Z688" s="5"/>
      <c r="AA688" s="5"/>
      <c r="AB688" s="5"/>
    </row>
    <row r="689" spans="1:28" ht="12.75" customHeight="1">
      <c r="A689" s="5"/>
      <c r="B689" s="5"/>
      <c r="C689" s="5"/>
      <c r="D689" s="5"/>
      <c r="E689" s="217"/>
      <c r="F689" s="198"/>
      <c r="G689" s="198"/>
      <c r="H689" s="888"/>
      <c r="I689" s="217"/>
      <c r="J689" s="306"/>
      <c r="K689" s="306"/>
      <c r="L689" s="306"/>
      <c r="M689" s="306"/>
      <c r="N689" s="306"/>
      <c r="O689" s="5"/>
      <c r="P689" s="5"/>
      <c r="Q689" s="5"/>
      <c r="R689" s="5"/>
      <c r="S689" s="5"/>
      <c r="T689" s="5"/>
      <c r="U689" s="5"/>
      <c r="V689" s="5"/>
      <c r="W689" s="5"/>
      <c r="X689" s="5"/>
      <c r="Y689" s="5"/>
      <c r="Z689" s="5"/>
      <c r="AA689" s="5"/>
      <c r="AB689" s="5"/>
    </row>
    <row r="690" spans="1:28" ht="12.75" customHeight="1">
      <c r="A690" s="5"/>
      <c r="B690" s="5"/>
      <c r="C690" s="5"/>
      <c r="D690" s="5"/>
      <c r="E690" s="217"/>
      <c r="F690" s="198"/>
      <c r="G690" s="198"/>
      <c r="H690" s="888"/>
      <c r="I690" s="217"/>
      <c r="J690" s="306"/>
      <c r="K690" s="306"/>
      <c r="L690" s="306"/>
      <c r="M690" s="306"/>
      <c r="N690" s="306"/>
      <c r="O690" s="5"/>
      <c r="P690" s="5"/>
      <c r="Q690" s="5"/>
      <c r="R690" s="5"/>
      <c r="S690" s="5"/>
      <c r="T690" s="5"/>
      <c r="U690" s="5"/>
      <c r="V690" s="5"/>
      <c r="W690" s="5"/>
      <c r="X690" s="5"/>
      <c r="Y690" s="5"/>
      <c r="Z690" s="5"/>
      <c r="AA690" s="5"/>
      <c r="AB690" s="5"/>
    </row>
    <row r="691" spans="1:28" ht="12.75" customHeight="1">
      <c r="A691" s="5"/>
      <c r="B691" s="5"/>
      <c r="C691" s="5"/>
      <c r="D691" s="5"/>
      <c r="E691" s="217"/>
      <c r="F691" s="198"/>
      <c r="G691" s="198"/>
      <c r="H691" s="888"/>
      <c r="I691" s="217"/>
      <c r="J691" s="306"/>
      <c r="K691" s="306"/>
      <c r="L691" s="306"/>
      <c r="M691" s="306"/>
      <c r="N691" s="306"/>
      <c r="O691" s="5"/>
      <c r="P691" s="5"/>
      <c r="Q691" s="5"/>
      <c r="R691" s="5"/>
      <c r="S691" s="5"/>
      <c r="T691" s="5"/>
      <c r="U691" s="5"/>
      <c r="V691" s="5"/>
      <c r="W691" s="5"/>
      <c r="X691" s="5"/>
      <c r="Y691" s="5"/>
      <c r="Z691" s="5"/>
      <c r="AA691" s="5"/>
      <c r="AB691" s="5"/>
    </row>
    <row r="692" spans="1:28" ht="12.75" customHeight="1">
      <c r="A692" s="5"/>
      <c r="B692" s="5"/>
      <c r="C692" s="5"/>
      <c r="D692" s="5"/>
      <c r="E692" s="217"/>
      <c r="F692" s="198"/>
      <c r="G692" s="198"/>
      <c r="H692" s="888"/>
      <c r="I692" s="217"/>
      <c r="J692" s="306"/>
      <c r="K692" s="306"/>
      <c r="L692" s="306"/>
      <c r="M692" s="306"/>
      <c r="N692" s="306"/>
      <c r="O692" s="5"/>
      <c r="P692" s="5"/>
      <c r="Q692" s="5"/>
      <c r="R692" s="5"/>
      <c r="S692" s="5"/>
      <c r="T692" s="5"/>
      <c r="U692" s="5"/>
      <c r="V692" s="5"/>
      <c r="W692" s="5"/>
      <c r="X692" s="5"/>
      <c r="Y692" s="5"/>
      <c r="Z692" s="5"/>
      <c r="AA692" s="5"/>
      <c r="AB692" s="5"/>
    </row>
    <row r="693" spans="1:28" ht="12.75" customHeight="1">
      <c r="A693" s="5"/>
      <c r="B693" s="5"/>
      <c r="C693" s="5"/>
      <c r="D693" s="5"/>
      <c r="E693" s="217"/>
      <c r="F693" s="198"/>
      <c r="G693" s="198"/>
      <c r="H693" s="888"/>
      <c r="I693" s="217"/>
      <c r="J693" s="306"/>
      <c r="K693" s="306"/>
      <c r="L693" s="306"/>
      <c r="M693" s="306"/>
      <c r="N693" s="306"/>
      <c r="O693" s="5"/>
      <c r="P693" s="5"/>
      <c r="Q693" s="5"/>
      <c r="R693" s="5"/>
      <c r="S693" s="5"/>
      <c r="T693" s="5"/>
      <c r="U693" s="5"/>
      <c r="V693" s="5"/>
      <c r="W693" s="5"/>
      <c r="X693" s="5"/>
      <c r="Y693" s="5"/>
      <c r="Z693" s="5"/>
      <c r="AA693" s="5"/>
      <c r="AB693" s="5"/>
    </row>
    <row r="694" spans="1:28" ht="12.75" customHeight="1">
      <c r="A694" s="5"/>
      <c r="B694" s="5"/>
      <c r="C694" s="5"/>
      <c r="D694" s="5"/>
      <c r="E694" s="217"/>
      <c r="F694" s="198"/>
      <c r="G694" s="198"/>
      <c r="H694" s="888"/>
      <c r="I694" s="217"/>
      <c r="J694" s="306"/>
      <c r="K694" s="306"/>
      <c r="L694" s="306"/>
      <c r="M694" s="306"/>
      <c r="N694" s="306"/>
      <c r="O694" s="5"/>
      <c r="P694" s="5"/>
      <c r="Q694" s="5"/>
      <c r="R694" s="5"/>
      <c r="S694" s="5"/>
      <c r="T694" s="5"/>
      <c r="U694" s="5"/>
      <c r="V694" s="5"/>
      <c r="W694" s="5"/>
      <c r="X694" s="5"/>
      <c r="Y694" s="5"/>
      <c r="Z694" s="5"/>
      <c r="AA694" s="5"/>
      <c r="AB694" s="5"/>
    </row>
    <row r="695" spans="1:28" ht="12.75" customHeight="1">
      <c r="A695" s="5"/>
      <c r="B695" s="5"/>
      <c r="C695" s="5"/>
      <c r="D695" s="5"/>
      <c r="E695" s="217"/>
      <c r="F695" s="198"/>
      <c r="G695" s="198"/>
      <c r="H695" s="888"/>
      <c r="I695" s="217"/>
      <c r="J695" s="306"/>
      <c r="K695" s="306"/>
      <c r="L695" s="306"/>
      <c r="M695" s="306"/>
      <c r="N695" s="306"/>
      <c r="O695" s="5"/>
      <c r="P695" s="5"/>
      <c r="Q695" s="5"/>
      <c r="R695" s="5"/>
      <c r="S695" s="5"/>
      <c r="T695" s="5"/>
      <c r="U695" s="5"/>
      <c r="V695" s="5"/>
      <c r="W695" s="5"/>
      <c r="X695" s="5"/>
      <c r="Y695" s="5"/>
      <c r="Z695" s="5"/>
      <c r="AA695" s="5"/>
      <c r="AB695" s="5"/>
    </row>
    <row r="696" spans="1:28" ht="12.75" customHeight="1">
      <c r="A696" s="5"/>
      <c r="B696" s="5"/>
      <c r="C696" s="5"/>
      <c r="D696" s="5"/>
      <c r="E696" s="217"/>
      <c r="F696" s="198"/>
      <c r="G696" s="198"/>
      <c r="H696" s="888"/>
      <c r="I696" s="217"/>
      <c r="J696" s="306"/>
      <c r="K696" s="306"/>
      <c r="L696" s="306"/>
      <c r="M696" s="306"/>
      <c r="N696" s="306"/>
      <c r="O696" s="5"/>
      <c r="P696" s="5"/>
      <c r="Q696" s="5"/>
      <c r="R696" s="5"/>
      <c r="S696" s="5"/>
      <c r="T696" s="5"/>
      <c r="U696" s="5"/>
      <c r="V696" s="5"/>
      <c r="W696" s="5"/>
      <c r="X696" s="5"/>
      <c r="Y696" s="5"/>
      <c r="Z696" s="5"/>
      <c r="AA696" s="5"/>
      <c r="AB696" s="5"/>
    </row>
    <row r="697" spans="1:28" ht="12.75" customHeight="1">
      <c r="A697" s="5"/>
      <c r="B697" s="5"/>
      <c r="C697" s="5"/>
      <c r="D697" s="5"/>
      <c r="E697" s="217"/>
      <c r="F697" s="198"/>
      <c r="G697" s="198"/>
      <c r="H697" s="888"/>
      <c r="I697" s="217"/>
      <c r="J697" s="306"/>
      <c r="K697" s="306"/>
      <c r="L697" s="306"/>
      <c r="M697" s="306"/>
      <c r="N697" s="306"/>
      <c r="O697" s="5"/>
      <c r="P697" s="5"/>
      <c r="Q697" s="5"/>
      <c r="R697" s="5"/>
      <c r="S697" s="5"/>
      <c r="T697" s="5"/>
      <c r="U697" s="5"/>
      <c r="V697" s="5"/>
      <c r="W697" s="5"/>
      <c r="X697" s="5"/>
      <c r="Y697" s="5"/>
      <c r="Z697" s="5"/>
      <c r="AA697" s="5"/>
      <c r="AB697" s="5"/>
    </row>
    <row r="698" spans="1:28" ht="12.75" customHeight="1">
      <c r="A698" s="5"/>
      <c r="B698" s="5"/>
      <c r="C698" s="5"/>
      <c r="D698" s="5"/>
      <c r="E698" s="217"/>
      <c r="F698" s="198"/>
      <c r="G698" s="198"/>
      <c r="H698" s="888"/>
      <c r="I698" s="217"/>
      <c r="J698" s="306"/>
      <c r="K698" s="306"/>
      <c r="L698" s="306"/>
      <c r="M698" s="306"/>
      <c r="N698" s="306"/>
      <c r="O698" s="5"/>
      <c r="P698" s="5"/>
      <c r="Q698" s="5"/>
      <c r="R698" s="5"/>
      <c r="S698" s="5"/>
      <c r="T698" s="5"/>
      <c r="U698" s="5"/>
      <c r="V698" s="5"/>
      <c r="W698" s="5"/>
      <c r="X698" s="5"/>
      <c r="Y698" s="5"/>
      <c r="Z698" s="5"/>
      <c r="AA698" s="5"/>
      <c r="AB698" s="5"/>
    </row>
    <row r="699" spans="1:28" ht="12.75" customHeight="1">
      <c r="A699" s="5"/>
      <c r="B699" s="5"/>
      <c r="C699" s="5"/>
      <c r="D699" s="5"/>
      <c r="E699" s="217"/>
      <c r="F699" s="198"/>
      <c r="G699" s="198"/>
      <c r="H699" s="888"/>
      <c r="I699" s="217"/>
      <c r="J699" s="306"/>
      <c r="K699" s="306"/>
      <c r="L699" s="306"/>
      <c r="M699" s="306"/>
      <c r="N699" s="306"/>
      <c r="O699" s="5"/>
      <c r="P699" s="5"/>
      <c r="Q699" s="5"/>
      <c r="R699" s="5"/>
      <c r="S699" s="5"/>
      <c r="T699" s="5"/>
      <c r="U699" s="5"/>
      <c r="V699" s="5"/>
      <c r="W699" s="5"/>
      <c r="X699" s="5"/>
      <c r="Y699" s="5"/>
      <c r="Z699" s="5"/>
      <c r="AA699" s="5"/>
      <c r="AB699" s="5"/>
    </row>
    <row r="700" spans="1:28" ht="12.75" customHeight="1">
      <c r="A700" s="5"/>
      <c r="B700" s="5"/>
      <c r="C700" s="5"/>
      <c r="D700" s="5"/>
      <c r="E700" s="217"/>
      <c r="F700" s="198"/>
      <c r="G700" s="198"/>
      <c r="H700" s="888"/>
      <c r="I700" s="217"/>
      <c r="J700" s="306"/>
      <c r="K700" s="306"/>
      <c r="L700" s="306"/>
      <c r="M700" s="306"/>
      <c r="N700" s="306"/>
      <c r="O700" s="5"/>
      <c r="P700" s="5"/>
      <c r="Q700" s="5"/>
      <c r="R700" s="5"/>
      <c r="S700" s="5"/>
      <c r="T700" s="5"/>
      <c r="U700" s="5"/>
      <c r="V700" s="5"/>
      <c r="W700" s="5"/>
      <c r="X700" s="5"/>
      <c r="Y700" s="5"/>
      <c r="Z700" s="5"/>
      <c r="AA700" s="5"/>
      <c r="AB700" s="5"/>
    </row>
    <row r="701" spans="1:28" ht="12.75" customHeight="1">
      <c r="A701" s="5"/>
      <c r="B701" s="5"/>
      <c r="C701" s="5"/>
      <c r="D701" s="5"/>
      <c r="E701" s="217"/>
      <c r="F701" s="198"/>
      <c r="G701" s="198"/>
      <c r="H701" s="888"/>
      <c r="I701" s="217"/>
      <c r="J701" s="306"/>
      <c r="K701" s="306"/>
      <c r="L701" s="306"/>
      <c r="M701" s="306"/>
      <c r="N701" s="306"/>
      <c r="O701" s="5"/>
      <c r="P701" s="5"/>
      <c r="Q701" s="5"/>
      <c r="R701" s="5"/>
      <c r="S701" s="5"/>
      <c r="T701" s="5"/>
      <c r="U701" s="5"/>
      <c r="V701" s="5"/>
      <c r="W701" s="5"/>
      <c r="X701" s="5"/>
      <c r="Y701" s="5"/>
      <c r="Z701" s="5"/>
      <c r="AA701" s="5"/>
      <c r="AB701" s="5"/>
    </row>
    <row r="702" spans="1:28" ht="12.75" customHeight="1">
      <c r="A702" s="5"/>
      <c r="B702" s="5"/>
      <c r="C702" s="5"/>
      <c r="D702" s="5"/>
      <c r="E702" s="217"/>
      <c r="F702" s="198"/>
      <c r="G702" s="198"/>
      <c r="H702" s="888"/>
      <c r="I702" s="217"/>
      <c r="J702" s="306"/>
      <c r="K702" s="306"/>
      <c r="L702" s="306"/>
      <c r="M702" s="306"/>
      <c r="N702" s="306"/>
      <c r="O702" s="5"/>
      <c r="P702" s="5"/>
      <c r="Q702" s="5"/>
      <c r="R702" s="5"/>
      <c r="S702" s="5"/>
      <c r="T702" s="5"/>
      <c r="U702" s="5"/>
      <c r="V702" s="5"/>
      <c r="W702" s="5"/>
      <c r="X702" s="5"/>
      <c r="Y702" s="5"/>
      <c r="Z702" s="5"/>
      <c r="AA702" s="5"/>
      <c r="AB702" s="5"/>
    </row>
    <row r="703" spans="1:28" ht="12.75" customHeight="1">
      <c r="A703" s="5"/>
      <c r="B703" s="5"/>
      <c r="C703" s="5"/>
      <c r="D703" s="5"/>
      <c r="E703" s="217"/>
      <c r="F703" s="198"/>
      <c r="G703" s="198"/>
      <c r="H703" s="888"/>
      <c r="I703" s="217"/>
      <c r="J703" s="306"/>
      <c r="K703" s="306"/>
      <c r="L703" s="306"/>
      <c r="M703" s="306"/>
      <c r="N703" s="306"/>
      <c r="O703" s="5"/>
      <c r="P703" s="5"/>
      <c r="Q703" s="5"/>
      <c r="R703" s="5"/>
      <c r="S703" s="5"/>
      <c r="T703" s="5"/>
      <c r="U703" s="5"/>
      <c r="V703" s="5"/>
      <c r="W703" s="5"/>
      <c r="X703" s="5"/>
      <c r="Y703" s="5"/>
      <c r="Z703" s="5"/>
      <c r="AA703" s="5"/>
      <c r="AB703" s="5"/>
    </row>
    <row r="704" spans="1:28" ht="12.75" customHeight="1">
      <c r="A704" s="5"/>
      <c r="B704" s="5"/>
      <c r="C704" s="5"/>
      <c r="D704" s="5"/>
      <c r="E704" s="217"/>
      <c r="F704" s="198"/>
      <c r="G704" s="198"/>
      <c r="H704" s="888"/>
      <c r="I704" s="217"/>
      <c r="J704" s="306"/>
      <c r="K704" s="306"/>
      <c r="L704" s="306"/>
      <c r="M704" s="306"/>
      <c r="N704" s="306"/>
      <c r="O704" s="5"/>
      <c r="P704" s="5"/>
      <c r="Q704" s="5"/>
      <c r="R704" s="5"/>
      <c r="S704" s="5"/>
      <c r="T704" s="5"/>
      <c r="U704" s="5"/>
      <c r="V704" s="5"/>
      <c r="W704" s="5"/>
      <c r="X704" s="5"/>
      <c r="Y704" s="5"/>
      <c r="Z704" s="5"/>
      <c r="AA704" s="5"/>
      <c r="AB704" s="5"/>
    </row>
    <row r="705" spans="1:28" ht="12.75" customHeight="1">
      <c r="A705" s="5"/>
      <c r="B705" s="5"/>
      <c r="C705" s="5"/>
      <c r="D705" s="5"/>
      <c r="E705" s="217"/>
      <c r="F705" s="198"/>
      <c r="G705" s="198"/>
      <c r="H705" s="888"/>
      <c r="I705" s="217"/>
      <c r="J705" s="306"/>
      <c r="K705" s="306"/>
      <c r="L705" s="306"/>
      <c r="M705" s="306"/>
      <c r="N705" s="306"/>
      <c r="O705" s="5"/>
      <c r="P705" s="5"/>
      <c r="Q705" s="5"/>
      <c r="R705" s="5"/>
      <c r="S705" s="5"/>
      <c r="T705" s="5"/>
      <c r="U705" s="5"/>
      <c r="V705" s="5"/>
      <c r="W705" s="5"/>
      <c r="X705" s="5"/>
      <c r="Y705" s="5"/>
      <c r="Z705" s="5"/>
      <c r="AA705" s="5"/>
      <c r="AB705" s="5"/>
    </row>
    <row r="706" spans="1:28" ht="12.75" customHeight="1">
      <c r="A706" s="5"/>
      <c r="B706" s="5"/>
      <c r="C706" s="5"/>
      <c r="D706" s="5"/>
      <c r="E706" s="217"/>
      <c r="F706" s="198"/>
      <c r="G706" s="198"/>
      <c r="H706" s="888"/>
      <c r="I706" s="217"/>
      <c r="J706" s="306"/>
      <c r="K706" s="306"/>
      <c r="L706" s="306"/>
      <c r="M706" s="306"/>
      <c r="N706" s="306"/>
      <c r="O706" s="5"/>
      <c r="P706" s="5"/>
      <c r="Q706" s="5"/>
      <c r="R706" s="5"/>
      <c r="S706" s="5"/>
      <c r="T706" s="5"/>
      <c r="U706" s="5"/>
      <c r="V706" s="5"/>
      <c r="W706" s="5"/>
      <c r="X706" s="5"/>
      <c r="Y706" s="5"/>
      <c r="Z706" s="5"/>
      <c r="AA706" s="5"/>
      <c r="AB706" s="5"/>
    </row>
    <row r="707" spans="1:28" ht="12.75" customHeight="1">
      <c r="A707" s="5"/>
      <c r="B707" s="5"/>
      <c r="C707" s="5"/>
      <c r="D707" s="5"/>
      <c r="E707" s="217"/>
      <c r="F707" s="198"/>
      <c r="G707" s="198"/>
      <c r="H707" s="888"/>
      <c r="I707" s="217"/>
      <c r="J707" s="306"/>
      <c r="K707" s="306"/>
      <c r="L707" s="306"/>
      <c r="M707" s="306"/>
      <c r="N707" s="306"/>
      <c r="O707" s="5"/>
      <c r="P707" s="5"/>
      <c r="Q707" s="5"/>
      <c r="R707" s="5"/>
      <c r="S707" s="5"/>
      <c r="T707" s="5"/>
      <c r="U707" s="5"/>
      <c r="V707" s="5"/>
      <c r="W707" s="5"/>
      <c r="X707" s="5"/>
      <c r="Y707" s="5"/>
      <c r="Z707" s="5"/>
      <c r="AA707" s="5"/>
      <c r="AB707" s="5"/>
    </row>
    <row r="708" spans="1:28" ht="12.75" customHeight="1">
      <c r="A708" s="5"/>
      <c r="B708" s="5"/>
      <c r="C708" s="5"/>
      <c r="D708" s="5"/>
      <c r="E708" s="217"/>
      <c r="F708" s="198"/>
      <c r="G708" s="198"/>
      <c r="H708" s="888"/>
      <c r="I708" s="217"/>
      <c r="J708" s="306"/>
      <c r="K708" s="306"/>
      <c r="L708" s="306"/>
      <c r="M708" s="306"/>
      <c r="N708" s="306"/>
      <c r="O708" s="5"/>
      <c r="P708" s="5"/>
      <c r="Q708" s="5"/>
      <c r="R708" s="5"/>
      <c r="S708" s="5"/>
      <c r="T708" s="5"/>
      <c r="U708" s="5"/>
      <c r="V708" s="5"/>
      <c r="W708" s="5"/>
      <c r="X708" s="5"/>
      <c r="Y708" s="5"/>
      <c r="Z708" s="5"/>
      <c r="AA708" s="5"/>
      <c r="AB708" s="5"/>
    </row>
    <row r="709" spans="1:28" ht="12.75" customHeight="1">
      <c r="A709" s="5"/>
      <c r="B709" s="5"/>
      <c r="C709" s="5"/>
      <c r="D709" s="5"/>
      <c r="E709" s="217"/>
      <c r="F709" s="198"/>
      <c r="G709" s="198"/>
      <c r="H709" s="888"/>
      <c r="I709" s="217"/>
      <c r="J709" s="306"/>
      <c r="K709" s="306"/>
      <c r="L709" s="306"/>
      <c r="M709" s="306"/>
      <c r="N709" s="306"/>
      <c r="O709" s="5"/>
      <c r="P709" s="5"/>
      <c r="Q709" s="5"/>
      <c r="R709" s="5"/>
      <c r="S709" s="5"/>
      <c r="T709" s="5"/>
      <c r="U709" s="5"/>
      <c r="V709" s="5"/>
      <c r="W709" s="5"/>
      <c r="X709" s="5"/>
      <c r="Y709" s="5"/>
      <c r="Z709" s="5"/>
      <c r="AA709" s="5"/>
      <c r="AB709" s="5"/>
    </row>
    <row r="710" spans="1:28" ht="12.75" customHeight="1">
      <c r="A710" s="5"/>
      <c r="B710" s="5"/>
      <c r="C710" s="5"/>
      <c r="D710" s="5"/>
      <c r="E710" s="217"/>
      <c r="F710" s="198"/>
      <c r="G710" s="198"/>
      <c r="H710" s="888"/>
      <c r="I710" s="217"/>
      <c r="J710" s="306"/>
      <c r="K710" s="306"/>
      <c r="L710" s="306"/>
      <c r="M710" s="306"/>
      <c r="N710" s="306"/>
      <c r="O710" s="5"/>
      <c r="P710" s="5"/>
      <c r="Q710" s="5"/>
      <c r="R710" s="5"/>
      <c r="S710" s="5"/>
      <c r="T710" s="5"/>
      <c r="U710" s="5"/>
      <c r="V710" s="5"/>
      <c r="W710" s="5"/>
      <c r="X710" s="5"/>
      <c r="Y710" s="5"/>
      <c r="Z710" s="5"/>
      <c r="AA710" s="5"/>
      <c r="AB710" s="5"/>
    </row>
    <row r="711" spans="1:28" ht="12.75" customHeight="1">
      <c r="A711" s="5"/>
      <c r="B711" s="5"/>
      <c r="C711" s="5"/>
      <c r="D711" s="5"/>
      <c r="E711" s="217"/>
      <c r="F711" s="198"/>
      <c r="G711" s="198"/>
      <c r="H711" s="888"/>
      <c r="I711" s="217"/>
      <c r="J711" s="306"/>
      <c r="K711" s="306"/>
      <c r="L711" s="306"/>
      <c r="M711" s="306"/>
      <c r="N711" s="306"/>
      <c r="O711" s="5"/>
      <c r="P711" s="5"/>
      <c r="Q711" s="5"/>
      <c r="R711" s="5"/>
      <c r="S711" s="5"/>
      <c r="T711" s="5"/>
      <c r="U711" s="5"/>
      <c r="V711" s="5"/>
      <c r="W711" s="5"/>
      <c r="X711" s="5"/>
      <c r="Y711" s="5"/>
      <c r="Z711" s="5"/>
      <c r="AA711" s="5"/>
      <c r="AB711" s="5"/>
    </row>
    <row r="712" spans="1:28" ht="12.75" customHeight="1">
      <c r="A712" s="5"/>
      <c r="B712" s="5"/>
      <c r="C712" s="5"/>
      <c r="D712" s="5"/>
      <c r="E712" s="217"/>
      <c r="F712" s="198"/>
      <c r="G712" s="198"/>
      <c r="H712" s="888"/>
      <c r="I712" s="217"/>
      <c r="J712" s="306"/>
      <c r="K712" s="306"/>
      <c r="L712" s="306"/>
      <c r="M712" s="306"/>
      <c r="N712" s="306"/>
      <c r="O712" s="5"/>
      <c r="P712" s="5"/>
      <c r="Q712" s="5"/>
      <c r="R712" s="5"/>
      <c r="S712" s="5"/>
      <c r="T712" s="5"/>
      <c r="U712" s="5"/>
      <c r="V712" s="5"/>
      <c r="W712" s="5"/>
      <c r="X712" s="5"/>
      <c r="Y712" s="5"/>
      <c r="Z712" s="5"/>
      <c r="AA712" s="5"/>
      <c r="AB712" s="5"/>
    </row>
    <row r="713" spans="1:28" ht="12.75" customHeight="1">
      <c r="A713" s="5"/>
      <c r="B713" s="5"/>
      <c r="C713" s="5"/>
      <c r="D713" s="5"/>
      <c r="E713" s="217"/>
      <c r="F713" s="198"/>
      <c r="G713" s="198"/>
      <c r="H713" s="888"/>
      <c r="I713" s="217"/>
      <c r="J713" s="306"/>
      <c r="K713" s="306"/>
      <c r="L713" s="306"/>
      <c r="M713" s="306"/>
      <c r="N713" s="306"/>
      <c r="O713" s="5"/>
      <c r="P713" s="5"/>
      <c r="Q713" s="5"/>
      <c r="R713" s="5"/>
      <c r="S713" s="5"/>
      <c r="T713" s="5"/>
      <c r="U713" s="5"/>
      <c r="V713" s="5"/>
      <c r="W713" s="5"/>
      <c r="X713" s="5"/>
      <c r="Y713" s="5"/>
      <c r="Z713" s="5"/>
      <c r="AA713" s="5"/>
      <c r="AB713" s="5"/>
    </row>
    <row r="714" spans="1:28" ht="12.75" customHeight="1">
      <c r="A714" s="5"/>
      <c r="B714" s="5"/>
      <c r="C714" s="5"/>
      <c r="D714" s="5"/>
      <c r="E714" s="217"/>
      <c r="F714" s="198"/>
      <c r="G714" s="198"/>
      <c r="H714" s="888"/>
      <c r="I714" s="217"/>
      <c r="J714" s="306"/>
      <c r="K714" s="306"/>
      <c r="L714" s="306"/>
      <c r="M714" s="306"/>
      <c r="N714" s="306"/>
      <c r="O714" s="5"/>
      <c r="P714" s="5"/>
      <c r="Q714" s="5"/>
      <c r="R714" s="5"/>
      <c r="S714" s="5"/>
      <c r="T714" s="5"/>
      <c r="U714" s="5"/>
      <c r="V714" s="5"/>
      <c r="W714" s="5"/>
      <c r="X714" s="5"/>
      <c r="Y714" s="5"/>
      <c r="Z714" s="5"/>
      <c r="AA714" s="5"/>
      <c r="AB714" s="5"/>
    </row>
    <row r="715" spans="1:28" ht="12.75" customHeight="1">
      <c r="A715" s="5"/>
      <c r="B715" s="5"/>
      <c r="C715" s="5"/>
      <c r="D715" s="5"/>
      <c r="E715" s="217"/>
      <c r="F715" s="198"/>
      <c r="G715" s="198"/>
      <c r="H715" s="888"/>
      <c r="I715" s="217"/>
      <c r="J715" s="306"/>
      <c r="K715" s="306"/>
      <c r="L715" s="306"/>
      <c r="M715" s="306"/>
      <c r="N715" s="306"/>
      <c r="O715" s="5"/>
      <c r="P715" s="5"/>
      <c r="Q715" s="5"/>
      <c r="R715" s="5"/>
      <c r="S715" s="5"/>
      <c r="T715" s="5"/>
      <c r="U715" s="5"/>
      <c r="V715" s="5"/>
      <c r="W715" s="5"/>
      <c r="X715" s="5"/>
      <c r="Y715" s="5"/>
      <c r="Z715" s="5"/>
      <c r="AA715" s="5"/>
      <c r="AB715" s="5"/>
    </row>
    <row r="716" spans="1:28" ht="12.75" customHeight="1">
      <c r="A716" s="5"/>
      <c r="B716" s="5"/>
      <c r="C716" s="5"/>
      <c r="D716" s="5"/>
      <c r="E716" s="217"/>
      <c r="F716" s="198"/>
      <c r="G716" s="198"/>
      <c r="H716" s="888"/>
      <c r="I716" s="217"/>
      <c r="J716" s="306"/>
      <c r="K716" s="306"/>
      <c r="L716" s="306"/>
      <c r="M716" s="306"/>
      <c r="N716" s="306"/>
      <c r="O716" s="5"/>
      <c r="P716" s="5"/>
      <c r="Q716" s="5"/>
      <c r="R716" s="5"/>
      <c r="S716" s="5"/>
      <c r="T716" s="5"/>
      <c r="U716" s="5"/>
      <c r="V716" s="5"/>
      <c r="W716" s="5"/>
      <c r="X716" s="5"/>
      <c r="Y716" s="5"/>
      <c r="Z716" s="5"/>
      <c r="AA716" s="5"/>
      <c r="AB716" s="5"/>
    </row>
    <row r="717" spans="1:28" ht="12.75" customHeight="1">
      <c r="A717" s="5"/>
      <c r="B717" s="5"/>
      <c r="C717" s="5"/>
      <c r="D717" s="5"/>
      <c r="E717" s="217"/>
      <c r="F717" s="198"/>
      <c r="G717" s="198"/>
      <c r="H717" s="888"/>
      <c r="I717" s="217"/>
      <c r="J717" s="306"/>
      <c r="K717" s="306"/>
      <c r="L717" s="306"/>
      <c r="M717" s="306"/>
      <c r="N717" s="306"/>
      <c r="O717" s="5"/>
      <c r="P717" s="5"/>
      <c r="Q717" s="5"/>
      <c r="R717" s="5"/>
      <c r="S717" s="5"/>
      <c r="T717" s="5"/>
      <c r="U717" s="5"/>
      <c r="V717" s="5"/>
      <c r="W717" s="5"/>
      <c r="X717" s="5"/>
      <c r="Y717" s="5"/>
      <c r="Z717" s="5"/>
      <c r="AA717" s="5"/>
      <c r="AB717" s="5"/>
    </row>
    <row r="718" spans="1:28" ht="12.75" customHeight="1">
      <c r="A718" s="5"/>
      <c r="B718" s="5"/>
      <c r="C718" s="5"/>
      <c r="D718" s="5"/>
      <c r="E718" s="217"/>
      <c r="F718" s="198"/>
      <c r="G718" s="198"/>
      <c r="H718" s="888"/>
      <c r="I718" s="217"/>
      <c r="J718" s="306"/>
      <c r="K718" s="306"/>
      <c r="L718" s="306"/>
      <c r="M718" s="306"/>
      <c r="N718" s="306"/>
      <c r="O718" s="5"/>
      <c r="P718" s="5"/>
      <c r="Q718" s="5"/>
      <c r="R718" s="5"/>
      <c r="S718" s="5"/>
      <c r="T718" s="5"/>
      <c r="U718" s="5"/>
      <c r="V718" s="5"/>
      <c r="W718" s="5"/>
      <c r="X718" s="5"/>
      <c r="Y718" s="5"/>
      <c r="Z718" s="5"/>
      <c r="AA718" s="5"/>
      <c r="AB718" s="5"/>
    </row>
    <row r="719" spans="1:28" ht="12.75" customHeight="1">
      <c r="A719" s="5"/>
      <c r="B719" s="5"/>
      <c r="C719" s="5"/>
      <c r="D719" s="5"/>
      <c r="E719" s="217"/>
      <c r="F719" s="198"/>
      <c r="G719" s="198"/>
      <c r="H719" s="888"/>
      <c r="I719" s="217"/>
      <c r="J719" s="306"/>
      <c r="K719" s="306"/>
      <c r="L719" s="306"/>
      <c r="M719" s="306"/>
      <c r="N719" s="306"/>
      <c r="O719" s="5"/>
      <c r="P719" s="5"/>
      <c r="Q719" s="5"/>
      <c r="R719" s="5"/>
      <c r="S719" s="5"/>
      <c r="T719" s="5"/>
      <c r="U719" s="5"/>
      <c r="V719" s="5"/>
      <c r="W719" s="5"/>
      <c r="X719" s="5"/>
      <c r="Y719" s="5"/>
      <c r="Z719" s="5"/>
      <c r="AA719" s="5"/>
      <c r="AB719" s="5"/>
    </row>
    <row r="720" spans="1:28" ht="12.75" customHeight="1">
      <c r="A720" s="5"/>
      <c r="B720" s="5"/>
      <c r="C720" s="5"/>
      <c r="D720" s="5"/>
      <c r="E720" s="217"/>
      <c r="F720" s="198"/>
      <c r="G720" s="198"/>
      <c r="H720" s="888"/>
      <c r="I720" s="217"/>
      <c r="J720" s="306"/>
      <c r="K720" s="306"/>
      <c r="L720" s="306"/>
      <c r="M720" s="306"/>
      <c r="N720" s="306"/>
      <c r="O720" s="5"/>
      <c r="P720" s="5"/>
      <c r="Q720" s="5"/>
      <c r="R720" s="5"/>
      <c r="S720" s="5"/>
      <c r="T720" s="5"/>
      <c r="U720" s="5"/>
      <c r="V720" s="5"/>
      <c r="W720" s="5"/>
      <c r="X720" s="5"/>
      <c r="Y720" s="5"/>
      <c r="Z720" s="5"/>
      <c r="AA720" s="5"/>
      <c r="AB720" s="5"/>
    </row>
    <row r="721" spans="1:28" ht="12.75" customHeight="1">
      <c r="A721" s="5"/>
      <c r="B721" s="5"/>
      <c r="C721" s="5"/>
      <c r="D721" s="5"/>
      <c r="E721" s="217"/>
      <c r="F721" s="198"/>
      <c r="G721" s="198"/>
      <c r="H721" s="888"/>
      <c r="I721" s="217"/>
      <c r="J721" s="306"/>
      <c r="K721" s="306"/>
      <c r="L721" s="306"/>
      <c r="M721" s="306"/>
      <c r="N721" s="306"/>
      <c r="O721" s="5"/>
      <c r="P721" s="5"/>
      <c r="Q721" s="5"/>
      <c r="R721" s="5"/>
      <c r="S721" s="5"/>
      <c r="T721" s="5"/>
      <c r="U721" s="5"/>
      <c r="V721" s="5"/>
      <c r="W721" s="5"/>
      <c r="X721" s="5"/>
      <c r="Y721" s="5"/>
      <c r="Z721" s="5"/>
      <c r="AA721" s="5"/>
      <c r="AB721" s="5"/>
    </row>
    <row r="722" spans="1:28" ht="12.75" customHeight="1">
      <c r="A722" s="5"/>
      <c r="B722" s="5"/>
      <c r="C722" s="5"/>
      <c r="D722" s="5"/>
      <c r="E722" s="217"/>
      <c r="F722" s="198"/>
      <c r="G722" s="198"/>
      <c r="H722" s="888"/>
      <c r="I722" s="217"/>
      <c r="J722" s="306"/>
      <c r="K722" s="306"/>
      <c r="L722" s="306"/>
      <c r="M722" s="306"/>
      <c r="N722" s="306"/>
      <c r="O722" s="5"/>
      <c r="P722" s="5"/>
      <c r="Q722" s="5"/>
      <c r="R722" s="5"/>
      <c r="S722" s="5"/>
      <c r="T722" s="5"/>
      <c r="U722" s="5"/>
      <c r="V722" s="5"/>
      <c r="W722" s="5"/>
      <c r="X722" s="5"/>
      <c r="Y722" s="5"/>
      <c r="Z722" s="5"/>
      <c r="AA722" s="5"/>
      <c r="AB722" s="5"/>
    </row>
    <row r="723" spans="1:28" ht="12.75" customHeight="1">
      <c r="A723" s="5"/>
      <c r="B723" s="5"/>
      <c r="C723" s="5"/>
      <c r="D723" s="5"/>
      <c r="E723" s="217"/>
      <c r="F723" s="198"/>
      <c r="G723" s="198"/>
      <c r="H723" s="888"/>
      <c r="I723" s="217"/>
      <c r="J723" s="306"/>
      <c r="K723" s="306"/>
      <c r="L723" s="306"/>
      <c r="M723" s="306"/>
      <c r="N723" s="306"/>
      <c r="O723" s="5"/>
      <c r="P723" s="5"/>
      <c r="Q723" s="5"/>
      <c r="R723" s="5"/>
      <c r="S723" s="5"/>
      <c r="T723" s="5"/>
      <c r="U723" s="5"/>
      <c r="V723" s="5"/>
      <c r="W723" s="5"/>
      <c r="X723" s="5"/>
      <c r="Y723" s="5"/>
      <c r="Z723" s="5"/>
      <c r="AA723" s="5"/>
      <c r="AB723" s="5"/>
    </row>
    <row r="724" spans="1:28" ht="12.75" customHeight="1">
      <c r="A724" s="5"/>
      <c r="B724" s="5"/>
      <c r="C724" s="5"/>
      <c r="D724" s="5"/>
      <c r="E724" s="217"/>
      <c r="F724" s="198"/>
      <c r="G724" s="198"/>
      <c r="H724" s="888"/>
      <c r="I724" s="217"/>
      <c r="J724" s="306"/>
      <c r="K724" s="306"/>
      <c r="L724" s="306"/>
      <c r="M724" s="306"/>
      <c r="N724" s="306"/>
      <c r="O724" s="5"/>
      <c r="P724" s="5"/>
      <c r="Q724" s="5"/>
      <c r="R724" s="5"/>
      <c r="S724" s="5"/>
      <c r="T724" s="5"/>
      <c r="U724" s="5"/>
      <c r="V724" s="5"/>
      <c r="W724" s="5"/>
      <c r="X724" s="5"/>
      <c r="Y724" s="5"/>
      <c r="Z724" s="5"/>
      <c r="AA724" s="5"/>
      <c r="AB724" s="5"/>
    </row>
    <row r="725" spans="1:28" ht="12.75" customHeight="1">
      <c r="A725" s="5"/>
      <c r="B725" s="5"/>
      <c r="C725" s="5"/>
      <c r="D725" s="5"/>
      <c r="E725" s="217"/>
      <c r="F725" s="198"/>
      <c r="G725" s="198"/>
      <c r="H725" s="888"/>
      <c r="I725" s="217"/>
      <c r="J725" s="306"/>
      <c r="K725" s="306"/>
      <c r="L725" s="306"/>
      <c r="M725" s="306"/>
      <c r="N725" s="306"/>
      <c r="O725" s="5"/>
      <c r="P725" s="5"/>
      <c r="Q725" s="5"/>
      <c r="R725" s="5"/>
      <c r="S725" s="5"/>
      <c r="T725" s="5"/>
      <c r="U725" s="5"/>
      <c r="V725" s="5"/>
      <c r="W725" s="5"/>
      <c r="X725" s="5"/>
      <c r="Y725" s="5"/>
      <c r="Z725" s="5"/>
      <c r="AA725" s="5"/>
      <c r="AB725" s="5"/>
    </row>
    <row r="726" spans="1:28" ht="12.75" customHeight="1">
      <c r="A726" s="5"/>
      <c r="B726" s="5"/>
      <c r="C726" s="5"/>
      <c r="D726" s="5"/>
      <c r="E726" s="217"/>
      <c r="F726" s="198"/>
      <c r="G726" s="198"/>
      <c r="H726" s="888"/>
      <c r="I726" s="217"/>
      <c r="J726" s="306"/>
      <c r="K726" s="306"/>
      <c r="L726" s="306"/>
      <c r="M726" s="306"/>
      <c r="N726" s="306"/>
      <c r="O726" s="5"/>
      <c r="P726" s="5"/>
      <c r="Q726" s="5"/>
      <c r="R726" s="5"/>
      <c r="S726" s="5"/>
      <c r="T726" s="5"/>
      <c r="U726" s="5"/>
      <c r="V726" s="5"/>
      <c r="W726" s="5"/>
      <c r="X726" s="5"/>
      <c r="Y726" s="5"/>
      <c r="Z726" s="5"/>
      <c r="AA726" s="5"/>
      <c r="AB726" s="5"/>
    </row>
    <row r="727" spans="1:28" ht="12.75" customHeight="1">
      <c r="A727" s="5"/>
      <c r="B727" s="5"/>
      <c r="C727" s="5"/>
      <c r="D727" s="5"/>
      <c r="E727" s="217"/>
      <c r="F727" s="198"/>
      <c r="G727" s="198"/>
      <c r="H727" s="888"/>
      <c r="I727" s="217"/>
      <c r="J727" s="306"/>
      <c r="K727" s="306"/>
      <c r="L727" s="306"/>
      <c r="M727" s="306"/>
      <c r="N727" s="306"/>
      <c r="O727" s="5"/>
      <c r="P727" s="5"/>
      <c r="Q727" s="5"/>
      <c r="R727" s="5"/>
      <c r="S727" s="5"/>
      <c r="T727" s="5"/>
      <c r="U727" s="5"/>
      <c r="V727" s="5"/>
      <c r="W727" s="5"/>
      <c r="X727" s="5"/>
      <c r="Y727" s="5"/>
      <c r="Z727" s="5"/>
      <c r="AA727" s="5"/>
      <c r="AB727" s="5"/>
    </row>
    <row r="728" spans="1:28" ht="12.75" customHeight="1">
      <c r="A728" s="5"/>
      <c r="B728" s="5"/>
      <c r="C728" s="5"/>
      <c r="D728" s="5"/>
      <c r="E728" s="217"/>
      <c r="F728" s="198"/>
      <c r="G728" s="198"/>
      <c r="H728" s="888"/>
      <c r="I728" s="217"/>
      <c r="J728" s="306"/>
      <c r="K728" s="306"/>
      <c r="L728" s="306"/>
      <c r="M728" s="306"/>
      <c r="N728" s="306"/>
      <c r="O728" s="5"/>
      <c r="P728" s="5"/>
      <c r="Q728" s="5"/>
      <c r="R728" s="5"/>
      <c r="S728" s="5"/>
      <c r="T728" s="5"/>
      <c r="U728" s="5"/>
      <c r="V728" s="5"/>
      <c r="W728" s="5"/>
      <c r="X728" s="5"/>
      <c r="Y728" s="5"/>
      <c r="Z728" s="5"/>
      <c r="AA728" s="5"/>
      <c r="AB728" s="5"/>
    </row>
    <row r="729" spans="1:28" ht="12.75" customHeight="1">
      <c r="A729" s="5"/>
      <c r="B729" s="5"/>
      <c r="C729" s="5"/>
      <c r="D729" s="5"/>
      <c r="E729" s="217"/>
      <c r="F729" s="198"/>
      <c r="G729" s="198"/>
      <c r="H729" s="888"/>
      <c r="I729" s="217"/>
      <c r="J729" s="306"/>
      <c r="K729" s="306"/>
      <c r="L729" s="306"/>
      <c r="M729" s="306"/>
      <c r="N729" s="306"/>
      <c r="O729" s="5"/>
      <c r="P729" s="5"/>
      <c r="Q729" s="5"/>
      <c r="R729" s="5"/>
      <c r="S729" s="5"/>
      <c r="T729" s="5"/>
      <c r="U729" s="5"/>
      <c r="V729" s="5"/>
      <c r="W729" s="5"/>
      <c r="X729" s="5"/>
      <c r="Y729" s="5"/>
      <c r="Z729" s="5"/>
      <c r="AA729" s="5"/>
      <c r="AB729" s="5"/>
    </row>
    <row r="730" spans="1:28" ht="12.75" customHeight="1">
      <c r="A730" s="5"/>
      <c r="B730" s="5"/>
      <c r="C730" s="5"/>
      <c r="D730" s="5"/>
      <c r="E730" s="217"/>
      <c r="F730" s="198"/>
      <c r="G730" s="198"/>
      <c r="H730" s="888"/>
      <c r="I730" s="217"/>
      <c r="J730" s="306"/>
      <c r="K730" s="306"/>
      <c r="L730" s="306"/>
      <c r="M730" s="306"/>
      <c r="N730" s="306"/>
      <c r="O730" s="5"/>
      <c r="P730" s="5"/>
      <c r="Q730" s="5"/>
      <c r="R730" s="5"/>
      <c r="S730" s="5"/>
      <c r="T730" s="5"/>
      <c r="U730" s="5"/>
      <c r="V730" s="5"/>
      <c r="W730" s="5"/>
      <c r="X730" s="5"/>
      <c r="Y730" s="5"/>
      <c r="Z730" s="5"/>
      <c r="AA730" s="5"/>
      <c r="AB730" s="5"/>
    </row>
    <row r="731" spans="1:28" ht="12.75" customHeight="1">
      <c r="A731" s="5"/>
      <c r="B731" s="5"/>
      <c r="C731" s="5"/>
      <c r="D731" s="5"/>
      <c r="E731" s="217"/>
      <c r="F731" s="198"/>
      <c r="G731" s="198"/>
      <c r="H731" s="888"/>
      <c r="I731" s="217"/>
      <c r="J731" s="306"/>
      <c r="K731" s="306"/>
      <c r="L731" s="306"/>
      <c r="M731" s="306"/>
      <c r="N731" s="306"/>
      <c r="O731" s="5"/>
      <c r="P731" s="5"/>
      <c r="Q731" s="5"/>
      <c r="R731" s="5"/>
      <c r="S731" s="5"/>
      <c r="T731" s="5"/>
      <c r="U731" s="5"/>
      <c r="V731" s="5"/>
      <c r="W731" s="5"/>
      <c r="X731" s="5"/>
      <c r="Y731" s="5"/>
      <c r="Z731" s="5"/>
      <c r="AA731" s="5"/>
      <c r="AB731" s="5"/>
    </row>
    <row r="732" spans="1:28" ht="12.75" customHeight="1">
      <c r="A732" s="5"/>
      <c r="B732" s="5"/>
      <c r="C732" s="5"/>
      <c r="D732" s="5"/>
      <c r="E732" s="217"/>
      <c r="F732" s="198"/>
      <c r="G732" s="198"/>
      <c r="H732" s="888"/>
      <c r="I732" s="217"/>
      <c r="J732" s="306"/>
      <c r="K732" s="306"/>
      <c r="L732" s="306"/>
      <c r="M732" s="306"/>
      <c r="N732" s="306"/>
      <c r="O732" s="5"/>
      <c r="P732" s="5"/>
      <c r="Q732" s="5"/>
      <c r="R732" s="5"/>
      <c r="S732" s="5"/>
      <c r="T732" s="5"/>
      <c r="U732" s="5"/>
      <c r="V732" s="5"/>
      <c r="W732" s="5"/>
      <c r="X732" s="5"/>
      <c r="Y732" s="5"/>
      <c r="Z732" s="5"/>
      <c r="AA732" s="5"/>
      <c r="AB732" s="5"/>
    </row>
    <row r="733" spans="1:28" ht="12.75" customHeight="1">
      <c r="A733" s="5"/>
      <c r="B733" s="5"/>
      <c r="C733" s="5"/>
      <c r="D733" s="5"/>
      <c r="E733" s="217"/>
      <c r="F733" s="198"/>
      <c r="G733" s="198"/>
      <c r="H733" s="888"/>
      <c r="I733" s="217"/>
      <c r="J733" s="306"/>
      <c r="K733" s="306"/>
      <c r="L733" s="306"/>
      <c r="M733" s="306"/>
      <c r="N733" s="306"/>
      <c r="O733" s="5"/>
      <c r="P733" s="5"/>
      <c r="Q733" s="5"/>
      <c r="R733" s="5"/>
      <c r="S733" s="5"/>
      <c r="T733" s="5"/>
      <c r="U733" s="5"/>
      <c r="V733" s="5"/>
      <c r="W733" s="5"/>
      <c r="X733" s="5"/>
      <c r="Y733" s="5"/>
      <c r="Z733" s="5"/>
      <c r="AA733" s="5"/>
      <c r="AB733" s="5"/>
    </row>
    <row r="734" spans="1:28" ht="12.75" customHeight="1">
      <c r="A734" s="5"/>
      <c r="B734" s="5"/>
      <c r="C734" s="5"/>
      <c r="D734" s="5"/>
      <c r="E734" s="217"/>
      <c r="F734" s="198"/>
      <c r="G734" s="198"/>
      <c r="H734" s="888"/>
      <c r="I734" s="217"/>
      <c r="J734" s="306"/>
      <c r="K734" s="306"/>
      <c r="L734" s="306"/>
      <c r="M734" s="306"/>
      <c r="N734" s="306"/>
      <c r="O734" s="5"/>
      <c r="P734" s="5"/>
      <c r="Q734" s="5"/>
      <c r="R734" s="5"/>
      <c r="S734" s="5"/>
      <c r="T734" s="5"/>
      <c r="U734" s="5"/>
      <c r="V734" s="5"/>
      <c r="W734" s="5"/>
      <c r="X734" s="5"/>
      <c r="Y734" s="5"/>
      <c r="Z734" s="5"/>
      <c r="AA734" s="5"/>
      <c r="AB734" s="5"/>
    </row>
    <row r="735" spans="1:28" ht="12.75" customHeight="1">
      <c r="A735" s="5"/>
      <c r="B735" s="5"/>
      <c r="C735" s="5"/>
      <c r="D735" s="5"/>
      <c r="E735" s="217"/>
      <c r="F735" s="198"/>
      <c r="G735" s="198"/>
      <c r="H735" s="888"/>
      <c r="I735" s="217"/>
      <c r="J735" s="306"/>
      <c r="K735" s="306"/>
      <c r="L735" s="306"/>
      <c r="M735" s="306"/>
      <c r="N735" s="306"/>
      <c r="O735" s="5"/>
      <c r="P735" s="5"/>
      <c r="Q735" s="5"/>
      <c r="R735" s="5"/>
      <c r="S735" s="5"/>
      <c r="T735" s="5"/>
      <c r="U735" s="5"/>
      <c r="V735" s="5"/>
      <c r="W735" s="5"/>
      <c r="X735" s="5"/>
      <c r="Y735" s="5"/>
      <c r="Z735" s="5"/>
      <c r="AA735" s="5"/>
      <c r="AB735" s="5"/>
    </row>
    <row r="736" spans="1:28" ht="12.75" customHeight="1">
      <c r="A736" s="5"/>
      <c r="B736" s="5"/>
      <c r="C736" s="5"/>
      <c r="D736" s="5"/>
      <c r="E736" s="217"/>
      <c r="F736" s="198"/>
      <c r="G736" s="198"/>
      <c r="H736" s="888"/>
      <c r="I736" s="217"/>
      <c r="J736" s="306"/>
      <c r="K736" s="306"/>
      <c r="L736" s="306"/>
      <c r="M736" s="306"/>
      <c r="N736" s="306"/>
      <c r="O736" s="5"/>
      <c r="P736" s="5"/>
      <c r="Q736" s="5"/>
      <c r="R736" s="5"/>
      <c r="S736" s="5"/>
      <c r="T736" s="5"/>
      <c r="U736" s="5"/>
      <c r="V736" s="5"/>
      <c r="W736" s="5"/>
      <c r="X736" s="5"/>
      <c r="Y736" s="5"/>
      <c r="Z736" s="5"/>
      <c r="AA736" s="5"/>
      <c r="AB736" s="5"/>
    </row>
    <row r="737" spans="1:28" ht="12.75" customHeight="1">
      <c r="A737" s="5"/>
      <c r="B737" s="5"/>
      <c r="C737" s="5"/>
      <c r="D737" s="5"/>
      <c r="E737" s="217"/>
      <c r="F737" s="198"/>
      <c r="G737" s="198"/>
      <c r="H737" s="888"/>
      <c r="I737" s="217"/>
      <c r="J737" s="306"/>
      <c r="K737" s="306"/>
      <c r="L737" s="306"/>
      <c r="M737" s="306"/>
      <c r="N737" s="306"/>
      <c r="O737" s="5"/>
      <c r="P737" s="5"/>
      <c r="Q737" s="5"/>
      <c r="R737" s="5"/>
      <c r="S737" s="5"/>
      <c r="T737" s="5"/>
      <c r="U737" s="5"/>
      <c r="V737" s="5"/>
      <c r="W737" s="5"/>
      <c r="X737" s="5"/>
      <c r="Y737" s="5"/>
      <c r="Z737" s="5"/>
      <c r="AA737" s="5"/>
      <c r="AB737" s="5"/>
    </row>
    <row r="738" spans="1:28" ht="12.75" customHeight="1">
      <c r="A738" s="5"/>
      <c r="B738" s="5"/>
      <c r="C738" s="5"/>
      <c r="D738" s="5"/>
      <c r="E738" s="217"/>
      <c r="F738" s="198"/>
      <c r="G738" s="198"/>
      <c r="H738" s="888"/>
      <c r="I738" s="217"/>
      <c r="J738" s="306"/>
      <c r="K738" s="306"/>
      <c r="L738" s="306"/>
      <c r="M738" s="306"/>
      <c r="N738" s="306"/>
      <c r="O738" s="5"/>
      <c r="P738" s="5"/>
      <c r="Q738" s="5"/>
      <c r="R738" s="5"/>
      <c r="S738" s="5"/>
      <c r="T738" s="5"/>
      <c r="U738" s="5"/>
      <c r="V738" s="5"/>
      <c r="W738" s="5"/>
      <c r="X738" s="5"/>
      <c r="Y738" s="5"/>
      <c r="Z738" s="5"/>
      <c r="AA738" s="5"/>
      <c r="AB738" s="5"/>
    </row>
    <row r="739" spans="1:28" ht="12.75" customHeight="1">
      <c r="A739" s="5"/>
      <c r="B739" s="5"/>
      <c r="C739" s="5"/>
      <c r="D739" s="5"/>
      <c r="E739" s="217"/>
      <c r="F739" s="198"/>
      <c r="G739" s="198"/>
      <c r="H739" s="888"/>
      <c r="I739" s="217"/>
      <c r="J739" s="306"/>
      <c r="K739" s="306"/>
      <c r="L739" s="306"/>
      <c r="M739" s="306"/>
      <c r="N739" s="306"/>
      <c r="O739" s="5"/>
      <c r="P739" s="5"/>
      <c r="Q739" s="5"/>
      <c r="R739" s="5"/>
      <c r="S739" s="5"/>
      <c r="T739" s="5"/>
      <c r="U739" s="5"/>
      <c r="V739" s="5"/>
      <c r="W739" s="5"/>
      <c r="X739" s="5"/>
      <c r="Y739" s="5"/>
      <c r="Z739" s="5"/>
      <c r="AA739" s="5"/>
      <c r="AB739" s="5"/>
    </row>
    <row r="740" spans="1:28" ht="12.75" customHeight="1">
      <c r="A740" s="5"/>
      <c r="B740" s="5"/>
      <c r="C740" s="5"/>
      <c r="D740" s="5"/>
      <c r="E740" s="217"/>
      <c r="F740" s="198"/>
      <c r="G740" s="198"/>
      <c r="H740" s="888"/>
      <c r="I740" s="217"/>
      <c r="J740" s="306"/>
      <c r="K740" s="306"/>
      <c r="L740" s="306"/>
      <c r="M740" s="306"/>
      <c r="N740" s="306"/>
      <c r="O740" s="5"/>
      <c r="P740" s="5"/>
      <c r="Q740" s="5"/>
      <c r="R740" s="5"/>
      <c r="S740" s="5"/>
      <c r="T740" s="5"/>
      <c r="U740" s="5"/>
      <c r="V740" s="5"/>
      <c r="W740" s="5"/>
      <c r="X740" s="5"/>
      <c r="Y740" s="5"/>
      <c r="Z740" s="5"/>
      <c r="AA740" s="5"/>
      <c r="AB740" s="5"/>
    </row>
    <row r="741" spans="1:28" ht="12.75" customHeight="1">
      <c r="A741" s="5"/>
      <c r="B741" s="5"/>
      <c r="C741" s="5"/>
      <c r="D741" s="5"/>
      <c r="E741" s="217"/>
      <c r="F741" s="198"/>
      <c r="G741" s="198"/>
      <c r="H741" s="888"/>
      <c r="I741" s="217"/>
      <c r="J741" s="306"/>
      <c r="K741" s="306"/>
      <c r="L741" s="306"/>
      <c r="M741" s="306"/>
      <c r="N741" s="306"/>
      <c r="O741" s="5"/>
      <c r="P741" s="5"/>
      <c r="Q741" s="5"/>
      <c r="R741" s="5"/>
      <c r="S741" s="5"/>
      <c r="T741" s="5"/>
      <c r="U741" s="5"/>
      <c r="V741" s="5"/>
      <c r="W741" s="5"/>
      <c r="X741" s="5"/>
      <c r="Y741" s="5"/>
      <c r="Z741" s="5"/>
      <c r="AA741" s="5"/>
      <c r="AB741" s="5"/>
    </row>
    <row r="742" spans="1:28" ht="12.75" customHeight="1">
      <c r="A742" s="5"/>
      <c r="B742" s="5"/>
      <c r="C742" s="5"/>
      <c r="D742" s="5"/>
      <c r="E742" s="217"/>
      <c r="F742" s="198"/>
      <c r="G742" s="198"/>
      <c r="H742" s="888"/>
      <c r="I742" s="217"/>
      <c r="J742" s="306"/>
      <c r="K742" s="306"/>
      <c r="L742" s="306"/>
      <c r="M742" s="306"/>
      <c r="N742" s="306"/>
      <c r="O742" s="5"/>
      <c r="P742" s="5"/>
      <c r="Q742" s="5"/>
      <c r="R742" s="5"/>
      <c r="S742" s="5"/>
      <c r="T742" s="5"/>
      <c r="U742" s="5"/>
      <c r="V742" s="5"/>
      <c r="W742" s="5"/>
      <c r="X742" s="5"/>
      <c r="Y742" s="5"/>
      <c r="Z742" s="5"/>
      <c r="AA742" s="5"/>
      <c r="AB742" s="5"/>
    </row>
    <row r="743" spans="1:28" ht="12.75" customHeight="1">
      <c r="A743" s="5"/>
      <c r="B743" s="5"/>
      <c r="C743" s="5"/>
      <c r="D743" s="5"/>
      <c r="E743" s="217"/>
      <c r="F743" s="198"/>
      <c r="G743" s="198"/>
      <c r="H743" s="888"/>
      <c r="I743" s="217"/>
      <c r="J743" s="306"/>
      <c r="K743" s="306"/>
      <c r="L743" s="306"/>
      <c r="M743" s="306"/>
      <c r="N743" s="306"/>
      <c r="O743" s="5"/>
      <c r="P743" s="5"/>
      <c r="Q743" s="5"/>
      <c r="R743" s="5"/>
      <c r="S743" s="5"/>
      <c r="T743" s="5"/>
      <c r="U743" s="5"/>
      <c r="V743" s="5"/>
      <c r="W743" s="5"/>
      <c r="X743" s="5"/>
      <c r="Y743" s="5"/>
      <c r="Z743" s="5"/>
      <c r="AA743" s="5"/>
      <c r="AB743" s="5"/>
    </row>
    <row r="744" spans="1:28" ht="12.75" customHeight="1">
      <c r="A744" s="5"/>
      <c r="B744" s="5"/>
      <c r="C744" s="5"/>
      <c r="D744" s="5"/>
      <c r="E744" s="217"/>
      <c r="F744" s="198"/>
      <c r="G744" s="198"/>
      <c r="H744" s="888"/>
      <c r="I744" s="217"/>
      <c r="J744" s="306"/>
      <c r="K744" s="306"/>
      <c r="L744" s="306"/>
      <c r="M744" s="306"/>
      <c r="N744" s="306"/>
      <c r="O744" s="5"/>
      <c r="P744" s="5"/>
      <c r="Q744" s="5"/>
      <c r="R744" s="5"/>
      <c r="S744" s="5"/>
      <c r="T744" s="5"/>
      <c r="U744" s="5"/>
      <c r="V744" s="5"/>
      <c r="W744" s="5"/>
      <c r="X744" s="5"/>
      <c r="Y744" s="5"/>
      <c r="Z744" s="5"/>
      <c r="AA744" s="5"/>
      <c r="AB744" s="5"/>
    </row>
    <row r="745" spans="1:28" ht="12.75" customHeight="1">
      <c r="A745" s="5"/>
      <c r="B745" s="5"/>
      <c r="C745" s="5"/>
      <c r="D745" s="5"/>
      <c r="E745" s="217"/>
      <c r="F745" s="198"/>
      <c r="G745" s="198"/>
      <c r="H745" s="888"/>
      <c r="I745" s="217"/>
      <c r="J745" s="306"/>
      <c r="K745" s="306"/>
      <c r="L745" s="306"/>
      <c r="M745" s="306"/>
      <c r="N745" s="306"/>
      <c r="O745" s="5"/>
      <c r="P745" s="5"/>
      <c r="Q745" s="5"/>
      <c r="R745" s="5"/>
      <c r="S745" s="5"/>
      <c r="T745" s="5"/>
      <c r="U745" s="5"/>
      <c r="V745" s="5"/>
      <c r="W745" s="5"/>
      <c r="X745" s="5"/>
      <c r="Y745" s="5"/>
      <c r="Z745" s="5"/>
      <c r="AA745" s="5"/>
      <c r="AB745" s="5"/>
    </row>
    <row r="746" spans="1:28" ht="12.75" customHeight="1">
      <c r="A746" s="5"/>
      <c r="B746" s="5"/>
      <c r="C746" s="5"/>
      <c r="D746" s="5"/>
      <c r="E746" s="217"/>
      <c r="F746" s="198"/>
      <c r="G746" s="198"/>
      <c r="H746" s="888"/>
      <c r="I746" s="217"/>
      <c r="J746" s="306"/>
      <c r="K746" s="306"/>
      <c r="L746" s="306"/>
      <c r="M746" s="306"/>
      <c r="N746" s="306"/>
      <c r="O746" s="5"/>
      <c r="P746" s="5"/>
      <c r="Q746" s="5"/>
      <c r="R746" s="5"/>
      <c r="S746" s="5"/>
      <c r="T746" s="5"/>
      <c r="U746" s="5"/>
      <c r="V746" s="5"/>
      <c r="W746" s="5"/>
      <c r="X746" s="5"/>
      <c r="Y746" s="5"/>
      <c r="Z746" s="5"/>
      <c r="AA746" s="5"/>
      <c r="AB746" s="5"/>
    </row>
    <row r="747" spans="1:28" ht="12.75" customHeight="1">
      <c r="A747" s="5"/>
      <c r="B747" s="5"/>
      <c r="C747" s="5"/>
      <c r="D747" s="5"/>
      <c r="E747" s="217"/>
      <c r="F747" s="198"/>
      <c r="G747" s="198"/>
      <c r="H747" s="888"/>
      <c r="I747" s="217"/>
      <c r="J747" s="306"/>
      <c r="K747" s="306"/>
      <c r="L747" s="306"/>
      <c r="M747" s="306"/>
      <c r="N747" s="306"/>
      <c r="O747" s="5"/>
      <c r="P747" s="5"/>
      <c r="Q747" s="5"/>
      <c r="R747" s="5"/>
      <c r="S747" s="5"/>
      <c r="T747" s="5"/>
      <c r="U747" s="5"/>
      <c r="V747" s="5"/>
      <c r="W747" s="5"/>
      <c r="X747" s="5"/>
      <c r="Y747" s="5"/>
      <c r="Z747" s="5"/>
      <c r="AA747" s="5"/>
      <c r="AB747" s="5"/>
    </row>
    <row r="748" spans="1:28" ht="12.75" customHeight="1">
      <c r="A748" s="5"/>
      <c r="B748" s="5"/>
      <c r="C748" s="5"/>
      <c r="D748" s="5"/>
      <c r="E748" s="217"/>
      <c r="F748" s="198"/>
      <c r="G748" s="198"/>
      <c r="H748" s="888"/>
      <c r="I748" s="217"/>
      <c r="J748" s="306"/>
      <c r="K748" s="306"/>
      <c r="L748" s="306"/>
      <c r="M748" s="306"/>
      <c r="N748" s="306"/>
      <c r="O748" s="5"/>
      <c r="P748" s="5"/>
      <c r="Q748" s="5"/>
      <c r="R748" s="5"/>
      <c r="S748" s="5"/>
      <c r="T748" s="5"/>
      <c r="U748" s="5"/>
      <c r="V748" s="5"/>
      <c r="W748" s="5"/>
      <c r="X748" s="5"/>
      <c r="Y748" s="5"/>
      <c r="Z748" s="5"/>
      <c r="AA748" s="5"/>
      <c r="AB748" s="5"/>
    </row>
    <row r="749" spans="1:28" ht="12.75" customHeight="1">
      <c r="A749" s="5"/>
      <c r="B749" s="5"/>
      <c r="C749" s="5"/>
      <c r="D749" s="5"/>
      <c r="E749" s="217"/>
      <c r="F749" s="198"/>
      <c r="G749" s="198"/>
      <c r="H749" s="888"/>
      <c r="I749" s="217"/>
      <c r="J749" s="306"/>
      <c r="K749" s="306"/>
      <c r="L749" s="306"/>
      <c r="M749" s="306"/>
      <c r="N749" s="306"/>
      <c r="O749" s="5"/>
      <c r="P749" s="5"/>
      <c r="Q749" s="5"/>
      <c r="R749" s="5"/>
      <c r="S749" s="5"/>
      <c r="T749" s="5"/>
      <c r="U749" s="5"/>
      <c r="V749" s="5"/>
      <c r="W749" s="5"/>
      <c r="X749" s="5"/>
      <c r="Y749" s="5"/>
      <c r="Z749" s="5"/>
      <c r="AA749" s="5"/>
      <c r="AB749" s="5"/>
    </row>
    <row r="750" spans="1:28" ht="12.75" customHeight="1">
      <c r="A750" s="5"/>
      <c r="B750" s="5"/>
      <c r="C750" s="5"/>
      <c r="D750" s="5"/>
      <c r="E750" s="217"/>
      <c r="F750" s="198"/>
      <c r="G750" s="198"/>
      <c r="H750" s="888"/>
      <c r="I750" s="217"/>
      <c r="J750" s="306"/>
      <c r="K750" s="306"/>
      <c r="L750" s="306"/>
      <c r="M750" s="306"/>
      <c r="N750" s="306"/>
      <c r="O750" s="5"/>
      <c r="P750" s="5"/>
      <c r="Q750" s="5"/>
      <c r="R750" s="5"/>
      <c r="S750" s="5"/>
      <c r="T750" s="5"/>
      <c r="U750" s="5"/>
      <c r="V750" s="5"/>
      <c r="W750" s="5"/>
      <c r="X750" s="5"/>
      <c r="Y750" s="5"/>
      <c r="Z750" s="5"/>
      <c r="AA750" s="5"/>
      <c r="AB750" s="5"/>
    </row>
    <row r="751" spans="1:28" ht="12.75" customHeight="1">
      <c r="A751" s="5"/>
      <c r="B751" s="5"/>
      <c r="C751" s="5"/>
      <c r="D751" s="5"/>
      <c r="E751" s="217"/>
      <c r="F751" s="198"/>
      <c r="G751" s="198"/>
      <c r="H751" s="888"/>
      <c r="I751" s="217"/>
      <c r="J751" s="306"/>
      <c r="K751" s="306"/>
      <c r="L751" s="306"/>
      <c r="M751" s="306"/>
      <c r="N751" s="306"/>
      <c r="O751" s="5"/>
      <c r="P751" s="5"/>
      <c r="Q751" s="5"/>
      <c r="R751" s="5"/>
      <c r="S751" s="5"/>
      <c r="T751" s="5"/>
      <c r="U751" s="5"/>
      <c r="V751" s="5"/>
      <c r="W751" s="5"/>
      <c r="X751" s="5"/>
      <c r="Y751" s="5"/>
      <c r="Z751" s="5"/>
      <c r="AA751" s="5"/>
      <c r="AB751" s="5"/>
    </row>
    <row r="752" spans="1:28" ht="12.75" customHeight="1">
      <c r="A752" s="5"/>
      <c r="B752" s="5"/>
      <c r="C752" s="5"/>
      <c r="D752" s="5"/>
      <c r="E752" s="217"/>
      <c r="F752" s="198"/>
      <c r="G752" s="198"/>
      <c r="H752" s="888"/>
      <c r="I752" s="217"/>
      <c r="J752" s="306"/>
      <c r="K752" s="306"/>
      <c r="L752" s="306"/>
      <c r="M752" s="306"/>
      <c r="N752" s="306"/>
      <c r="O752" s="5"/>
      <c r="P752" s="5"/>
      <c r="Q752" s="5"/>
      <c r="R752" s="5"/>
      <c r="S752" s="5"/>
      <c r="T752" s="5"/>
      <c r="U752" s="5"/>
      <c r="V752" s="5"/>
      <c r="W752" s="5"/>
      <c r="X752" s="5"/>
      <c r="Y752" s="5"/>
      <c r="Z752" s="5"/>
      <c r="AA752" s="5"/>
      <c r="AB752" s="5"/>
    </row>
    <row r="753" spans="1:28" ht="12.75" customHeight="1">
      <c r="A753" s="5"/>
      <c r="B753" s="5"/>
      <c r="C753" s="5"/>
      <c r="D753" s="5"/>
      <c r="E753" s="217"/>
      <c r="F753" s="198"/>
      <c r="G753" s="198"/>
      <c r="H753" s="888"/>
      <c r="I753" s="217"/>
      <c r="J753" s="306"/>
      <c r="K753" s="306"/>
      <c r="L753" s="306"/>
      <c r="M753" s="306"/>
      <c r="N753" s="306"/>
      <c r="O753" s="5"/>
      <c r="P753" s="5"/>
      <c r="Q753" s="5"/>
      <c r="R753" s="5"/>
      <c r="S753" s="5"/>
      <c r="T753" s="5"/>
      <c r="U753" s="5"/>
      <c r="V753" s="5"/>
      <c r="W753" s="5"/>
      <c r="X753" s="5"/>
      <c r="Y753" s="5"/>
      <c r="Z753" s="5"/>
      <c r="AA753" s="5"/>
      <c r="AB753" s="5"/>
    </row>
    <row r="754" spans="1:28" ht="12.75" customHeight="1">
      <c r="A754" s="5"/>
      <c r="B754" s="5"/>
      <c r="C754" s="5"/>
      <c r="D754" s="5"/>
      <c r="E754" s="217"/>
      <c r="F754" s="198"/>
      <c r="G754" s="198"/>
      <c r="H754" s="888"/>
      <c r="I754" s="217"/>
      <c r="J754" s="306"/>
      <c r="K754" s="306"/>
      <c r="L754" s="306"/>
      <c r="M754" s="306"/>
      <c r="N754" s="306"/>
      <c r="O754" s="5"/>
      <c r="P754" s="5"/>
      <c r="Q754" s="5"/>
      <c r="R754" s="5"/>
      <c r="S754" s="5"/>
      <c r="T754" s="5"/>
      <c r="U754" s="5"/>
      <c r="V754" s="5"/>
      <c r="W754" s="5"/>
      <c r="X754" s="5"/>
      <c r="Y754" s="5"/>
      <c r="Z754" s="5"/>
      <c r="AA754" s="5"/>
      <c r="AB754" s="5"/>
    </row>
    <row r="755" spans="1:28" ht="12.75" customHeight="1">
      <c r="A755" s="5"/>
      <c r="B755" s="5"/>
      <c r="C755" s="5"/>
      <c r="D755" s="5"/>
      <c r="E755" s="217"/>
      <c r="F755" s="198"/>
      <c r="G755" s="198"/>
      <c r="H755" s="888"/>
      <c r="I755" s="217"/>
      <c r="J755" s="306"/>
      <c r="K755" s="306"/>
      <c r="L755" s="306"/>
      <c r="M755" s="306"/>
      <c r="N755" s="306"/>
      <c r="O755" s="5"/>
      <c r="P755" s="5"/>
      <c r="Q755" s="5"/>
      <c r="R755" s="5"/>
      <c r="S755" s="5"/>
      <c r="T755" s="5"/>
      <c r="U755" s="5"/>
      <c r="V755" s="5"/>
      <c r="W755" s="5"/>
      <c r="X755" s="5"/>
      <c r="Y755" s="5"/>
      <c r="Z755" s="5"/>
      <c r="AA755" s="5"/>
      <c r="AB755" s="5"/>
    </row>
    <row r="756" spans="1:28" ht="12.75" customHeight="1">
      <c r="A756" s="5"/>
      <c r="B756" s="5"/>
      <c r="C756" s="5"/>
      <c r="D756" s="5"/>
      <c r="E756" s="217"/>
      <c r="F756" s="198"/>
      <c r="G756" s="198"/>
      <c r="H756" s="888"/>
      <c r="I756" s="217"/>
      <c r="J756" s="306"/>
      <c r="K756" s="306"/>
      <c r="L756" s="306"/>
      <c r="M756" s="306"/>
      <c r="N756" s="306"/>
      <c r="O756" s="5"/>
      <c r="P756" s="5"/>
      <c r="Q756" s="5"/>
      <c r="R756" s="5"/>
      <c r="S756" s="5"/>
      <c r="T756" s="5"/>
      <c r="U756" s="5"/>
      <c r="V756" s="5"/>
      <c r="W756" s="5"/>
      <c r="X756" s="5"/>
      <c r="Y756" s="5"/>
      <c r="Z756" s="5"/>
      <c r="AA756" s="5"/>
      <c r="AB756" s="5"/>
    </row>
    <row r="757" spans="1:28" ht="12.75" customHeight="1">
      <c r="A757" s="5"/>
      <c r="B757" s="5"/>
      <c r="C757" s="5"/>
      <c r="D757" s="5"/>
      <c r="E757" s="217"/>
      <c r="F757" s="198"/>
      <c r="G757" s="198"/>
      <c r="H757" s="888"/>
      <c r="I757" s="217"/>
      <c r="J757" s="306"/>
      <c r="K757" s="306"/>
      <c r="L757" s="306"/>
      <c r="M757" s="306"/>
      <c r="N757" s="306"/>
      <c r="O757" s="5"/>
      <c r="P757" s="5"/>
      <c r="Q757" s="5"/>
      <c r="R757" s="5"/>
      <c r="S757" s="5"/>
      <c r="T757" s="5"/>
      <c r="U757" s="5"/>
      <c r="V757" s="5"/>
      <c r="W757" s="5"/>
      <c r="X757" s="5"/>
      <c r="Y757" s="5"/>
      <c r="Z757" s="5"/>
      <c r="AA757" s="5"/>
      <c r="AB757" s="5"/>
    </row>
    <row r="758" spans="1:28" ht="12.75" customHeight="1">
      <c r="A758" s="5"/>
      <c r="B758" s="5"/>
      <c r="C758" s="5"/>
      <c r="D758" s="5"/>
      <c r="E758" s="217"/>
      <c r="F758" s="198"/>
      <c r="G758" s="198"/>
      <c r="H758" s="888"/>
      <c r="I758" s="217"/>
      <c r="J758" s="306"/>
      <c r="K758" s="306"/>
      <c r="L758" s="306"/>
      <c r="M758" s="306"/>
      <c r="N758" s="306"/>
      <c r="O758" s="5"/>
      <c r="P758" s="5"/>
      <c r="Q758" s="5"/>
      <c r="R758" s="5"/>
      <c r="S758" s="5"/>
      <c r="T758" s="5"/>
      <c r="U758" s="5"/>
      <c r="V758" s="5"/>
      <c r="W758" s="5"/>
      <c r="X758" s="5"/>
      <c r="Y758" s="5"/>
      <c r="Z758" s="5"/>
      <c r="AA758" s="5"/>
      <c r="AB758" s="5"/>
    </row>
    <row r="759" spans="1:28" ht="12.75" customHeight="1">
      <c r="A759" s="5"/>
      <c r="B759" s="5"/>
      <c r="C759" s="5"/>
      <c r="D759" s="5"/>
      <c r="E759" s="217"/>
      <c r="F759" s="198"/>
      <c r="G759" s="198"/>
      <c r="H759" s="888"/>
      <c r="I759" s="217"/>
      <c r="J759" s="306"/>
      <c r="K759" s="306"/>
      <c r="L759" s="306"/>
      <c r="M759" s="306"/>
      <c r="N759" s="306"/>
      <c r="O759" s="5"/>
      <c r="P759" s="5"/>
      <c r="Q759" s="5"/>
      <c r="R759" s="5"/>
      <c r="S759" s="5"/>
      <c r="T759" s="5"/>
      <c r="U759" s="5"/>
      <c r="V759" s="5"/>
      <c r="W759" s="5"/>
      <c r="X759" s="5"/>
      <c r="Y759" s="5"/>
      <c r="Z759" s="5"/>
      <c r="AA759" s="5"/>
      <c r="AB759" s="5"/>
    </row>
    <row r="760" spans="1:28" ht="12.75" customHeight="1">
      <c r="A760" s="5"/>
      <c r="B760" s="5"/>
      <c r="C760" s="5"/>
      <c r="D760" s="5"/>
      <c r="E760" s="217"/>
      <c r="F760" s="198"/>
      <c r="G760" s="198"/>
      <c r="H760" s="888"/>
      <c r="I760" s="217"/>
      <c r="J760" s="306"/>
      <c r="K760" s="306"/>
      <c r="L760" s="306"/>
      <c r="M760" s="306"/>
      <c r="N760" s="306"/>
      <c r="O760" s="5"/>
      <c r="P760" s="5"/>
      <c r="Q760" s="5"/>
      <c r="R760" s="5"/>
      <c r="S760" s="5"/>
      <c r="T760" s="5"/>
      <c r="U760" s="5"/>
      <c r="V760" s="5"/>
      <c r="W760" s="5"/>
      <c r="X760" s="5"/>
      <c r="Y760" s="5"/>
      <c r="Z760" s="5"/>
      <c r="AA760" s="5"/>
      <c r="AB760" s="5"/>
    </row>
    <row r="761" spans="1:28" ht="12.75" customHeight="1">
      <c r="A761" s="5"/>
      <c r="B761" s="5"/>
      <c r="C761" s="5"/>
      <c r="D761" s="5"/>
      <c r="E761" s="217"/>
      <c r="F761" s="198"/>
      <c r="G761" s="198"/>
      <c r="H761" s="888"/>
      <c r="I761" s="217"/>
      <c r="J761" s="306"/>
      <c r="K761" s="306"/>
      <c r="L761" s="306"/>
      <c r="M761" s="306"/>
      <c r="N761" s="306"/>
      <c r="O761" s="5"/>
      <c r="P761" s="5"/>
      <c r="Q761" s="5"/>
      <c r="R761" s="5"/>
      <c r="S761" s="5"/>
      <c r="T761" s="5"/>
      <c r="U761" s="5"/>
      <c r="V761" s="5"/>
      <c r="W761" s="5"/>
      <c r="X761" s="5"/>
      <c r="Y761" s="5"/>
      <c r="Z761" s="5"/>
      <c r="AA761" s="5"/>
      <c r="AB761" s="5"/>
    </row>
    <row r="762" spans="1:28" ht="12.75" customHeight="1">
      <c r="A762" s="5"/>
      <c r="B762" s="5"/>
      <c r="C762" s="5"/>
      <c r="D762" s="5"/>
      <c r="E762" s="217"/>
      <c r="F762" s="198"/>
      <c r="G762" s="198"/>
      <c r="H762" s="888"/>
      <c r="I762" s="217"/>
      <c r="J762" s="306"/>
      <c r="K762" s="306"/>
      <c r="L762" s="306"/>
      <c r="M762" s="306"/>
      <c r="N762" s="306"/>
      <c r="O762" s="5"/>
      <c r="P762" s="5"/>
      <c r="Q762" s="5"/>
      <c r="R762" s="5"/>
      <c r="S762" s="5"/>
      <c r="T762" s="5"/>
      <c r="U762" s="5"/>
      <c r="V762" s="5"/>
      <c r="W762" s="5"/>
      <c r="X762" s="5"/>
      <c r="Y762" s="5"/>
      <c r="Z762" s="5"/>
      <c r="AA762" s="5"/>
      <c r="AB762" s="5"/>
    </row>
    <row r="763" spans="1:28" ht="12.75" customHeight="1">
      <c r="A763" s="5"/>
      <c r="B763" s="5"/>
      <c r="C763" s="5"/>
      <c r="D763" s="5"/>
      <c r="E763" s="217"/>
      <c r="F763" s="198"/>
      <c r="G763" s="198"/>
      <c r="H763" s="888"/>
      <c r="I763" s="217"/>
      <c r="J763" s="306"/>
      <c r="K763" s="306"/>
      <c r="L763" s="306"/>
      <c r="M763" s="306"/>
      <c r="N763" s="306"/>
      <c r="O763" s="5"/>
      <c r="P763" s="5"/>
      <c r="Q763" s="5"/>
      <c r="R763" s="5"/>
      <c r="S763" s="5"/>
      <c r="T763" s="5"/>
      <c r="U763" s="5"/>
      <c r="V763" s="5"/>
      <c r="W763" s="5"/>
      <c r="X763" s="5"/>
      <c r="Y763" s="5"/>
      <c r="Z763" s="5"/>
      <c r="AA763" s="5"/>
      <c r="AB763" s="5"/>
    </row>
    <row r="764" spans="1:28" ht="12.75" customHeight="1">
      <c r="A764" s="5"/>
      <c r="B764" s="5"/>
      <c r="C764" s="5"/>
      <c r="D764" s="5"/>
      <c r="E764" s="217"/>
      <c r="F764" s="198"/>
      <c r="G764" s="198"/>
      <c r="H764" s="888"/>
      <c r="I764" s="217"/>
      <c r="J764" s="306"/>
      <c r="K764" s="306"/>
      <c r="L764" s="306"/>
      <c r="M764" s="306"/>
      <c r="N764" s="306"/>
      <c r="O764" s="5"/>
      <c r="P764" s="5"/>
      <c r="Q764" s="5"/>
      <c r="R764" s="5"/>
      <c r="S764" s="5"/>
      <c r="T764" s="5"/>
      <c r="U764" s="5"/>
      <c r="V764" s="5"/>
      <c r="W764" s="5"/>
      <c r="X764" s="5"/>
      <c r="Y764" s="5"/>
      <c r="Z764" s="5"/>
      <c r="AA764" s="5"/>
      <c r="AB764" s="5"/>
    </row>
    <row r="765" spans="1:28" ht="12.75" customHeight="1">
      <c r="A765" s="5"/>
      <c r="B765" s="5"/>
      <c r="C765" s="5"/>
      <c r="D765" s="5"/>
      <c r="E765" s="217"/>
      <c r="F765" s="198"/>
      <c r="G765" s="198"/>
      <c r="H765" s="888"/>
      <c r="I765" s="217"/>
      <c r="J765" s="306"/>
      <c r="K765" s="306"/>
      <c r="L765" s="306"/>
      <c r="M765" s="306"/>
      <c r="N765" s="306"/>
      <c r="O765" s="5"/>
      <c r="P765" s="5"/>
      <c r="Q765" s="5"/>
      <c r="R765" s="5"/>
      <c r="S765" s="5"/>
      <c r="T765" s="5"/>
      <c r="U765" s="5"/>
      <c r="V765" s="5"/>
      <c r="W765" s="5"/>
      <c r="X765" s="5"/>
      <c r="Y765" s="5"/>
      <c r="Z765" s="5"/>
      <c r="AA765" s="5"/>
      <c r="AB765" s="5"/>
    </row>
    <row r="766" spans="1:28" ht="12.75" customHeight="1">
      <c r="A766" s="5"/>
      <c r="B766" s="5"/>
      <c r="C766" s="5"/>
      <c r="D766" s="5"/>
      <c r="E766" s="217"/>
      <c r="F766" s="198"/>
      <c r="G766" s="198"/>
      <c r="H766" s="888"/>
      <c r="I766" s="217"/>
      <c r="J766" s="306"/>
      <c r="K766" s="306"/>
      <c r="L766" s="306"/>
      <c r="M766" s="306"/>
      <c r="N766" s="306"/>
      <c r="O766" s="5"/>
      <c r="P766" s="5"/>
      <c r="Q766" s="5"/>
      <c r="R766" s="5"/>
      <c r="S766" s="5"/>
      <c r="T766" s="5"/>
      <c r="U766" s="5"/>
      <c r="V766" s="5"/>
      <c r="W766" s="5"/>
      <c r="X766" s="5"/>
      <c r="Y766" s="5"/>
      <c r="Z766" s="5"/>
      <c r="AA766" s="5"/>
      <c r="AB766" s="5"/>
    </row>
    <row r="767" spans="1:28" ht="12.75" customHeight="1">
      <c r="A767" s="5"/>
      <c r="B767" s="5"/>
      <c r="C767" s="5"/>
      <c r="D767" s="5"/>
      <c r="E767" s="217"/>
      <c r="F767" s="198"/>
      <c r="G767" s="198"/>
      <c r="H767" s="888"/>
      <c r="I767" s="217"/>
      <c r="J767" s="306"/>
      <c r="K767" s="306"/>
      <c r="L767" s="306"/>
      <c r="M767" s="306"/>
      <c r="N767" s="306"/>
      <c r="O767" s="5"/>
      <c r="P767" s="5"/>
      <c r="Q767" s="5"/>
      <c r="R767" s="5"/>
      <c r="S767" s="5"/>
      <c r="T767" s="5"/>
      <c r="U767" s="5"/>
      <c r="V767" s="5"/>
      <c r="W767" s="5"/>
      <c r="X767" s="5"/>
      <c r="Y767" s="5"/>
      <c r="Z767" s="5"/>
      <c r="AA767" s="5"/>
      <c r="AB767" s="5"/>
    </row>
    <row r="768" spans="1:28" ht="12.75" customHeight="1">
      <c r="A768" s="5"/>
      <c r="B768" s="5"/>
      <c r="C768" s="5"/>
      <c r="D768" s="5"/>
      <c r="E768" s="217"/>
      <c r="F768" s="198"/>
      <c r="G768" s="198"/>
      <c r="H768" s="888"/>
      <c r="I768" s="217"/>
      <c r="J768" s="306"/>
      <c r="K768" s="306"/>
      <c r="L768" s="306"/>
      <c r="M768" s="306"/>
      <c r="N768" s="306"/>
      <c r="O768" s="5"/>
      <c r="P768" s="5"/>
      <c r="Q768" s="5"/>
      <c r="R768" s="5"/>
      <c r="S768" s="5"/>
      <c r="T768" s="5"/>
      <c r="U768" s="5"/>
      <c r="V768" s="5"/>
      <c r="W768" s="5"/>
      <c r="X768" s="5"/>
      <c r="Y768" s="5"/>
      <c r="Z768" s="5"/>
      <c r="AA768" s="5"/>
      <c r="AB768" s="5"/>
    </row>
    <row r="769" spans="1:28" ht="12.75" customHeight="1">
      <c r="A769" s="5"/>
      <c r="B769" s="5"/>
      <c r="C769" s="5"/>
      <c r="D769" s="5"/>
      <c r="E769" s="217"/>
      <c r="F769" s="198"/>
      <c r="G769" s="198"/>
      <c r="H769" s="888"/>
      <c r="I769" s="217"/>
      <c r="J769" s="306"/>
      <c r="K769" s="306"/>
      <c r="L769" s="306"/>
      <c r="M769" s="306"/>
      <c r="N769" s="306"/>
      <c r="O769" s="5"/>
      <c r="P769" s="5"/>
      <c r="Q769" s="5"/>
      <c r="R769" s="5"/>
      <c r="S769" s="5"/>
      <c r="T769" s="5"/>
      <c r="U769" s="5"/>
      <c r="V769" s="5"/>
      <c r="W769" s="5"/>
      <c r="X769" s="5"/>
      <c r="Y769" s="5"/>
      <c r="Z769" s="5"/>
      <c r="AA769" s="5"/>
      <c r="AB769" s="5"/>
    </row>
    <row r="770" spans="1:28" ht="12.75" customHeight="1">
      <c r="A770" s="5"/>
      <c r="B770" s="5"/>
      <c r="C770" s="5"/>
      <c r="D770" s="5"/>
      <c r="E770" s="217"/>
      <c r="F770" s="198"/>
      <c r="G770" s="198"/>
      <c r="H770" s="888"/>
      <c r="I770" s="217"/>
      <c r="J770" s="306"/>
      <c r="K770" s="306"/>
      <c r="L770" s="306"/>
      <c r="M770" s="306"/>
      <c r="N770" s="306"/>
      <c r="O770" s="5"/>
      <c r="P770" s="5"/>
      <c r="Q770" s="5"/>
      <c r="R770" s="5"/>
      <c r="S770" s="5"/>
      <c r="T770" s="5"/>
      <c r="U770" s="5"/>
      <c r="V770" s="5"/>
      <c r="W770" s="5"/>
      <c r="X770" s="5"/>
      <c r="Y770" s="5"/>
      <c r="Z770" s="5"/>
      <c r="AA770" s="5"/>
      <c r="AB770" s="5"/>
    </row>
    <row r="771" spans="1:28" ht="12.75" customHeight="1">
      <c r="A771" s="5"/>
      <c r="B771" s="5"/>
      <c r="C771" s="5"/>
      <c r="D771" s="5"/>
      <c r="E771" s="217"/>
      <c r="F771" s="198"/>
      <c r="G771" s="198"/>
      <c r="H771" s="888"/>
      <c r="I771" s="217"/>
      <c r="J771" s="306"/>
      <c r="K771" s="306"/>
      <c r="L771" s="306"/>
      <c r="M771" s="306"/>
      <c r="N771" s="306"/>
      <c r="O771" s="5"/>
      <c r="P771" s="5"/>
      <c r="Q771" s="5"/>
      <c r="R771" s="5"/>
      <c r="S771" s="5"/>
      <c r="T771" s="5"/>
      <c r="U771" s="5"/>
      <c r="V771" s="5"/>
      <c r="W771" s="5"/>
      <c r="X771" s="5"/>
      <c r="Y771" s="5"/>
      <c r="Z771" s="5"/>
      <c r="AA771" s="5"/>
      <c r="AB771" s="5"/>
    </row>
    <row r="772" spans="1:28" ht="12.75" customHeight="1">
      <c r="A772" s="5"/>
      <c r="B772" s="5"/>
      <c r="C772" s="5"/>
      <c r="D772" s="5"/>
      <c r="E772" s="217"/>
      <c r="F772" s="198"/>
      <c r="G772" s="198"/>
      <c r="H772" s="888"/>
      <c r="I772" s="217"/>
      <c r="J772" s="306"/>
      <c r="K772" s="306"/>
      <c r="L772" s="306"/>
      <c r="M772" s="306"/>
      <c r="N772" s="306"/>
      <c r="O772" s="5"/>
      <c r="P772" s="5"/>
      <c r="Q772" s="5"/>
      <c r="R772" s="5"/>
      <c r="S772" s="5"/>
      <c r="T772" s="5"/>
      <c r="U772" s="5"/>
      <c r="V772" s="5"/>
      <c r="W772" s="5"/>
      <c r="X772" s="5"/>
      <c r="Y772" s="5"/>
      <c r="Z772" s="5"/>
      <c r="AA772" s="5"/>
      <c r="AB772" s="5"/>
    </row>
    <row r="773" spans="1:28" ht="12.75" customHeight="1">
      <c r="A773" s="5"/>
      <c r="B773" s="5"/>
      <c r="C773" s="5"/>
      <c r="D773" s="5"/>
      <c r="E773" s="217"/>
      <c r="F773" s="198"/>
      <c r="G773" s="198"/>
      <c r="H773" s="888"/>
      <c r="I773" s="217"/>
      <c r="J773" s="306"/>
      <c r="K773" s="306"/>
      <c r="L773" s="306"/>
      <c r="M773" s="306"/>
      <c r="N773" s="306"/>
      <c r="O773" s="5"/>
      <c r="P773" s="5"/>
      <c r="Q773" s="5"/>
      <c r="R773" s="5"/>
      <c r="S773" s="5"/>
      <c r="T773" s="5"/>
      <c r="U773" s="5"/>
      <c r="V773" s="5"/>
      <c r="W773" s="5"/>
      <c r="X773" s="5"/>
      <c r="Y773" s="5"/>
      <c r="Z773" s="5"/>
      <c r="AA773" s="5"/>
      <c r="AB773" s="5"/>
    </row>
    <row r="774" spans="1:28" ht="12.75" customHeight="1">
      <c r="A774" s="5"/>
      <c r="B774" s="5"/>
      <c r="C774" s="5"/>
      <c r="D774" s="5"/>
      <c r="E774" s="217"/>
      <c r="F774" s="198"/>
      <c r="G774" s="198"/>
      <c r="H774" s="888"/>
      <c r="I774" s="217"/>
      <c r="J774" s="306"/>
      <c r="K774" s="306"/>
      <c r="L774" s="306"/>
      <c r="M774" s="306"/>
      <c r="N774" s="306"/>
      <c r="O774" s="5"/>
      <c r="P774" s="5"/>
      <c r="Q774" s="5"/>
      <c r="R774" s="5"/>
      <c r="S774" s="5"/>
      <c r="T774" s="5"/>
      <c r="U774" s="5"/>
      <c r="V774" s="5"/>
      <c r="W774" s="5"/>
      <c r="X774" s="5"/>
      <c r="Y774" s="5"/>
      <c r="Z774" s="5"/>
      <c r="AA774" s="5"/>
      <c r="AB774" s="5"/>
    </row>
    <row r="775" spans="1:28" ht="12.75" customHeight="1">
      <c r="A775" s="5"/>
      <c r="B775" s="5"/>
      <c r="C775" s="5"/>
      <c r="D775" s="5"/>
      <c r="E775" s="217"/>
      <c r="F775" s="198"/>
      <c r="G775" s="198"/>
      <c r="H775" s="888"/>
      <c r="I775" s="217"/>
      <c r="J775" s="306"/>
      <c r="K775" s="306"/>
      <c r="L775" s="306"/>
      <c r="M775" s="306"/>
      <c r="N775" s="306"/>
      <c r="O775" s="5"/>
      <c r="P775" s="5"/>
      <c r="Q775" s="5"/>
      <c r="R775" s="5"/>
      <c r="S775" s="5"/>
      <c r="T775" s="5"/>
      <c r="U775" s="5"/>
      <c r="V775" s="5"/>
      <c r="W775" s="5"/>
      <c r="X775" s="5"/>
      <c r="Y775" s="5"/>
      <c r="Z775" s="5"/>
      <c r="AA775" s="5"/>
      <c r="AB775" s="5"/>
    </row>
    <row r="776" spans="1:28" ht="12.75" customHeight="1">
      <c r="A776" s="5"/>
      <c r="B776" s="5"/>
      <c r="C776" s="5"/>
      <c r="D776" s="5"/>
      <c r="E776" s="217"/>
      <c r="F776" s="198"/>
      <c r="G776" s="198"/>
      <c r="H776" s="888"/>
      <c r="I776" s="217"/>
      <c r="J776" s="306"/>
      <c r="K776" s="306"/>
      <c r="L776" s="306"/>
      <c r="M776" s="306"/>
      <c r="N776" s="306"/>
      <c r="O776" s="5"/>
      <c r="P776" s="5"/>
      <c r="Q776" s="5"/>
      <c r="R776" s="5"/>
      <c r="S776" s="5"/>
      <c r="T776" s="5"/>
      <c r="U776" s="5"/>
      <c r="V776" s="5"/>
      <c r="W776" s="5"/>
      <c r="X776" s="5"/>
      <c r="Y776" s="5"/>
      <c r="Z776" s="5"/>
      <c r="AA776" s="5"/>
      <c r="AB776" s="5"/>
    </row>
    <row r="777" spans="1:28" ht="12.75" customHeight="1">
      <c r="A777" s="5"/>
      <c r="B777" s="5"/>
      <c r="C777" s="5"/>
      <c r="D777" s="5"/>
      <c r="E777" s="217"/>
      <c r="F777" s="198"/>
      <c r="G777" s="198"/>
      <c r="H777" s="888"/>
      <c r="I777" s="217"/>
      <c r="J777" s="306"/>
      <c r="K777" s="306"/>
      <c r="L777" s="306"/>
      <c r="M777" s="306"/>
      <c r="N777" s="306"/>
      <c r="O777" s="5"/>
      <c r="P777" s="5"/>
      <c r="Q777" s="5"/>
      <c r="R777" s="5"/>
      <c r="S777" s="5"/>
      <c r="T777" s="5"/>
      <c r="U777" s="5"/>
      <c r="V777" s="5"/>
      <c r="W777" s="5"/>
      <c r="X777" s="5"/>
      <c r="Y777" s="5"/>
      <c r="Z777" s="5"/>
      <c r="AA777" s="5"/>
      <c r="AB777" s="5"/>
    </row>
    <row r="778" spans="1:28" ht="12.75" customHeight="1">
      <c r="A778" s="5"/>
      <c r="B778" s="5"/>
      <c r="C778" s="5"/>
      <c r="D778" s="5"/>
      <c r="E778" s="217"/>
      <c r="F778" s="198"/>
      <c r="G778" s="198"/>
      <c r="H778" s="888"/>
      <c r="I778" s="217"/>
      <c r="J778" s="306"/>
      <c r="K778" s="306"/>
      <c r="L778" s="306"/>
      <c r="M778" s="306"/>
      <c r="N778" s="306"/>
      <c r="O778" s="5"/>
      <c r="P778" s="5"/>
      <c r="Q778" s="5"/>
      <c r="R778" s="5"/>
      <c r="S778" s="5"/>
      <c r="T778" s="5"/>
      <c r="U778" s="5"/>
      <c r="V778" s="5"/>
      <c r="W778" s="5"/>
      <c r="X778" s="5"/>
      <c r="Y778" s="5"/>
      <c r="Z778" s="5"/>
      <c r="AA778" s="5"/>
      <c r="AB778" s="5"/>
    </row>
    <row r="779" spans="1:28" ht="12.75" customHeight="1">
      <c r="A779" s="5"/>
      <c r="B779" s="5"/>
      <c r="C779" s="5"/>
      <c r="D779" s="5"/>
      <c r="E779" s="217"/>
      <c r="F779" s="198"/>
      <c r="G779" s="198"/>
      <c r="H779" s="888"/>
      <c r="I779" s="217"/>
      <c r="J779" s="306"/>
      <c r="K779" s="306"/>
      <c r="L779" s="306"/>
      <c r="M779" s="306"/>
      <c r="N779" s="306"/>
      <c r="O779" s="5"/>
      <c r="P779" s="5"/>
      <c r="Q779" s="5"/>
      <c r="R779" s="5"/>
      <c r="S779" s="5"/>
      <c r="T779" s="5"/>
      <c r="U779" s="5"/>
      <c r="V779" s="5"/>
      <c r="W779" s="5"/>
      <c r="X779" s="5"/>
      <c r="Y779" s="5"/>
      <c r="Z779" s="5"/>
      <c r="AA779" s="5"/>
      <c r="AB779" s="5"/>
    </row>
    <row r="780" spans="1:28" ht="12.75" customHeight="1">
      <c r="A780" s="5"/>
      <c r="B780" s="5"/>
      <c r="C780" s="5"/>
      <c r="D780" s="5"/>
      <c r="E780" s="217"/>
      <c r="F780" s="198"/>
      <c r="G780" s="198"/>
      <c r="H780" s="888"/>
      <c r="I780" s="217"/>
      <c r="J780" s="306"/>
      <c r="K780" s="306"/>
      <c r="L780" s="306"/>
      <c r="M780" s="306"/>
      <c r="N780" s="306"/>
      <c r="O780" s="5"/>
      <c r="P780" s="5"/>
      <c r="Q780" s="5"/>
      <c r="R780" s="5"/>
      <c r="S780" s="5"/>
      <c r="T780" s="5"/>
      <c r="U780" s="5"/>
      <c r="V780" s="5"/>
      <c r="W780" s="5"/>
      <c r="X780" s="5"/>
      <c r="Y780" s="5"/>
      <c r="Z780" s="5"/>
      <c r="AA780" s="5"/>
      <c r="AB780" s="5"/>
    </row>
    <row r="781" spans="1:28" ht="12.75" customHeight="1">
      <c r="A781" s="5"/>
      <c r="B781" s="5"/>
      <c r="C781" s="5"/>
      <c r="D781" s="5"/>
      <c r="E781" s="217"/>
      <c r="F781" s="198"/>
      <c r="G781" s="198"/>
      <c r="H781" s="888"/>
      <c r="I781" s="217"/>
      <c r="J781" s="306"/>
      <c r="K781" s="306"/>
      <c r="L781" s="306"/>
      <c r="M781" s="306"/>
      <c r="N781" s="306"/>
      <c r="O781" s="5"/>
      <c r="P781" s="5"/>
      <c r="Q781" s="5"/>
      <c r="R781" s="5"/>
      <c r="S781" s="5"/>
      <c r="T781" s="5"/>
      <c r="U781" s="5"/>
      <c r="V781" s="5"/>
      <c r="W781" s="5"/>
      <c r="X781" s="5"/>
      <c r="Y781" s="5"/>
      <c r="Z781" s="5"/>
      <c r="AA781" s="5"/>
      <c r="AB781" s="5"/>
    </row>
    <row r="782" spans="1:28" ht="12.75" customHeight="1">
      <c r="A782" s="5"/>
      <c r="B782" s="5"/>
      <c r="C782" s="5"/>
      <c r="D782" s="5"/>
      <c r="E782" s="217"/>
      <c r="F782" s="198"/>
      <c r="G782" s="198"/>
      <c r="H782" s="888"/>
      <c r="I782" s="217"/>
      <c r="J782" s="306"/>
      <c r="K782" s="306"/>
      <c r="L782" s="306"/>
      <c r="M782" s="306"/>
      <c r="N782" s="306"/>
      <c r="O782" s="5"/>
      <c r="P782" s="5"/>
      <c r="Q782" s="5"/>
      <c r="R782" s="5"/>
      <c r="S782" s="5"/>
      <c r="T782" s="5"/>
      <c r="U782" s="5"/>
      <c r="V782" s="5"/>
      <c r="W782" s="5"/>
      <c r="X782" s="5"/>
      <c r="Y782" s="5"/>
      <c r="Z782" s="5"/>
      <c r="AA782" s="5"/>
      <c r="AB782" s="5"/>
    </row>
    <row r="783" spans="1:28" ht="12.75" customHeight="1">
      <c r="A783" s="5"/>
      <c r="B783" s="5"/>
      <c r="C783" s="5"/>
      <c r="D783" s="5"/>
      <c r="E783" s="217"/>
      <c r="F783" s="198"/>
      <c r="G783" s="198"/>
      <c r="H783" s="888"/>
      <c r="I783" s="217"/>
      <c r="J783" s="306"/>
      <c r="K783" s="306"/>
      <c r="L783" s="306"/>
      <c r="M783" s="306"/>
      <c r="N783" s="306"/>
      <c r="O783" s="5"/>
      <c r="P783" s="5"/>
      <c r="Q783" s="5"/>
      <c r="R783" s="5"/>
      <c r="S783" s="5"/>
      <c r="T783" s="5"/>
      <c r="U783" s="5"/>
      <c r="V783" s="5"/>
      <c r="W783" s="5"/>
      <c r="X783" s="5"/>
      <c r="Y783" s="5"/>
      <c r="Z783" s="5"/>
      <c r="AA783" s="5"/>
      <c r="AB783" s="5"/>
    </row>
    <row r="784" spans="1:28" ht="12.75" customHeight="1">
      <c r="A784" s="5"/>
      <c r="B784" s="5"/>
      <c r="C784" s="5"/>
      <c r="D784" s="5"/>
      <c r="E784" s="217"/>
      <c r="F784" s="198"/>
      <c r="G784" s="198"/>
      <c r="H784" s="888"/>
      <c r="I784" s="217"/>
      <c r="J784" s="306"/>
      <c r="K784" s="306"/>
      <c r="L784" s="306"/>
      <c r="M784" s="306"/>
      <c r="N784" s="306"/>
      <c r="O784" s="5"/>
      <c r="P784" s="5"/>
      <c r="Q784" s="5"/>
      <c r="R784" s="5"/>
      <c r="S784" s="5"/>
      <c r="T784" s="5"/>
      <c r="U784" s="5"/>
      <c r="V784" s="5"/>
      <c r="W784" s="5"/>
      <c r="X784" s="5"/>
      <c r="Y784" s="5"/>
      <c r="Z784" s="5"/>
      <c r="AA784" s="5"/>
      <c r="AB784" s="5"/>
    </row>
    <row r="785" spans="1:28" ht="12.75" customHeight="1">
      <c r="A785" s="5"/>
      <c r="B785" s="5"/>
      <c r="C785" s="5"/>
      <c r="D785" s="5"/>
      <c r="E785" s="217"/>
      <c r="F785" s="198"/>
      <c r="G785" s="198"/>
      <c r="H785" s="888"/>
      <c r="I785" s="217"/>
      <c r="J785" s="306"/>
      <c r="K785" s="306"/>
      <c r="L785" s="306"/>
      <c r="M785" s="306"/>
      <c r="N785" s="306"/>
      <c r="O785" s="5"/>
      <c r="P785" s="5"/>
      <c r="Q785" s="5"/>
      <c r="R785" s="5"/>
      <c r="S785" s="5"/>
      <c r="T785" s="5"/>
      <c r="U785" s="5"/>
      <c r="V785" s="5"/>
      <c r="W785" s="5"/>
      <c r="X785" s="5"/>
      <c r="Y785" s="5"/>
      <c r="Z785" s="5"/>
      <c r="AA785" s="5"/>
      <c r="AB785" s="5"/>
    </row>
    <row r="786" spans="1:28" ht="12.75" customHeight="1">
      <c r="A786" s="5"/>
      <c r="B786" s="5"/>
      <c r="C786" s="5"/>
      <c r="D786" s="5"/>
      <c r="E786" s="217"/>
      <c r="F786" s="198"/>
      <c r="G786" s="198"/>
      <c r="H786" s="888"/>
      <c r="I786" s="217"/>
      <c r="J786" s="306"/>
      <c r="K786" s="306"/>
      <c r="L786" s="306"/>
      <c r="M786" s="306"/>
      <c r="N786" s="306"/>
      <c r="O786" s="5"/>
      <c r="P786" s="5"/>
      <c r="Q786" s="5"/>
      <c r="R786" s="5"/>
      <c r="S786" s="5"/>
      <c r="T786" s="5"/>
      <c r="U786" s="5"/>
      <c r="V786" s="5"/>
      <c r="W786" s="5"/>
      <c r="X786" s="5"/>
      <c r="Y786" s="5"/>
      <c r="Z786" s="5"/>
      <c r="AA786" s="5"/>
      <c r="AB786" s="5"/>
    </row>
    <row r="787" spans="1:28" ht="12.75" customHeight="1">
      <c r="A787" s="5"/>
      <c r="B787" s="5"/>
      <c r="C787" s="5"/>
      <c r="D787" s="5"/>
      <c r="E787" s="217"/>
      <c r="F787" s="198"/>
      <c r="G787" s="198"/>
      <c r="H787" s="888"/>
      <c r="I787" s="217"/>
      <c r="J787" s="306"/>
      <c r="K787" s="306"/>
      <c r="L787" s="306"/>
      <c r="M787" s="306"/>
      <c r="N787" s="306"/>
      <c r="O787" s="5"/>
      <c r="P787" s="5"/>
      <c r="Q787" s="5"/>
      <c r="R787" s="5"/>
      <c r="S787" s="5"/>
      <c r="T787" s="5"/>
      <c r="U787" s="5"/>
      <c r="V787" s="5"/>
      <c r="W787" s="5"/>
      <c r="X787" s="5"/>
      <c r="Y787" s="5"/>
      <c r="Z787" s="5"/>
      <c r="AA787" s="5"/>
      <c r="AB787" s="5"/>
    </row>
    <row r="788" spans="1:28" ht="12.75" customHeight="1">
      <c r="A788" s="5"/>
      <c r="B788" s="5"/>
      <c r="C788" s="5"/>
      <c r="D788" s="5"/>
      <c r="E788" s="217"/>
      <c r="F788" s="198"/>
      <c r="G788" s="198"/>
      <c r="H788" s="888"/>
      <c r="I788" s="217"/>
      <c r="J788" s="306"/>
      <c r="K788" s="306"/>
      <c r="L788" s="306"/>
      <c r="M788" s="306"/>
      <c r="N788" s="306"/>
      <c r="O788" s="5"/>
      <c r="P788" s="5"/>
      <c r="Q788" s="5"/>
      <c r="R788" s="5"/>
      <c r="S788" s="5"/>
      <c r="T788" s="5"/>
      <c r="U788" s="5"/>
      <c r="V788" s="5"/>
      <c r="W788" s="5"/>
      <c r="X788" s="5"/>
      <c r="Y788" s="5"/>
      <c r="Z788" s="5"/>
      <c r="AA788" s="5"/>
      <c r="AB788" s="5"/>
    </row>
    <row r="789" spans="1:28" ht="12.75" customHeight="1">
      <c r="A789" s="5"/>
      <c r="B789" s="5"/>
      <c r="C789" s="5"/>
      <c r="D789" s="5"/>
      <c r="E789" s="217"/>
      <c r="F789" s="198"/>
      <c r="G789" s="198"/>
      <c r="H789" s="888"/>
      <c r="I789" s="217"/>
      <c r="J789" s="306"/>
      <c r="K789" s="306"/>
      <c r="L789" s="306"/>
      <c r="M789" s="306"/>
      <c r="N789" s="306"/>
      <c r="O789" s="5"/>
      <c r="P789" s="5"/>
      <c r="Q789" s="5"/>
      <c r="R789" s="5"/>
      <c r="S789" s="5"/>
      <c r="T789" s="5"/>
      <c r="U789" s="5"/>
      <c r="V789" s="5"/>
      <c r="W789" s="5"/>
      <c r="X789" s="5"/>
      <c r="Y789" s="5"/>
      <c r="Z789" s="5"/>
      <c r="AA789" s="5"/>
      <c r="AB789" s="5"/>
    </row>
    <row r="790" spans="1:28" ht="12.75" customHeight="1">
      <c r="A790" s="5"/>
      <c r="B790" s="5"/>
      <c r="C790" s="5"/>
      <c r="D790" s="5"/>
      <c r="E790" s="217"/>
      <c r="F790" s="198"/>
      <c r="G790" s="198"/>
      <c r="H790" s="888"/>
      <c r="I790" s="217"/>
      <c r="J790" s="306"/>
      <c r="K790" s="306"/>
      <c r="L790" s="306"/>
      <c r="M790" s="306"/>
      <c r="N790" s="306"/>
      <c r="O790" s="5"/>
      <c r="P790" s="5"/>
      <c r="Q790" s="5"/>
      <c r="R790" s="5"/>
      <c r="S790" s="5"/>
      <c r="T790" s="5"/>
      <c r="U790" s="5"/>
      <c r="V790" s="5"/>
      <c r="W790" s="5"/>
      <c r="X790" s="5"/>
      <c r="Y790" s="5"/>
      <c r="Z790" s="5"/>
      <c r="AA790" s="5"/>
      <c r="AB790" s="5"/>
    </row>
    <row r="791" spans="1:28" ht="12.75" customHeight="1">
      <c r="A791" s="5"/>
      <c r="B791" s="5"/>
      <c r="C791" s="5"/>
      <c r="D791" s="5"/>
      <c r="E791" s="217"/>
      <c r="F791" s="198"/>
      <c r="G791" s="198"/>
      <c r="H791" s="888"/>
      <c r="I791" s="217"/>
      <c r="J791" s="306"/>
      <c r="K791" s="306"/>
      <c r="L791" s="306"/>
      <c r="M791" s="306"/>
      <c r="N791" s="306"/>
      <c r="O791" s="5"/>
      <c r="P791" s="5"/>
      <c r="Q791" s="5"/>
      <c r="R791" s="5"/>
      <c r="S791" s="5"/>
      <c r="T791" s="5"/>
      <c r="U791" s="5"/>
      <c r="V791" s="5"/>
      <c r="W791" s="5"/>
      <c r="X791" s="5"/>
      <c r="Y791" s="5"/>
      <c r="Z791" s="5"/>
      <c r="AA791" s="5"/>
      <c r="AB791" s="5"/>
    </row>
    <row r="792" spans="1:28" ht="12.75" customHeight="1">
      <c r="A792" s="5"/>
      <c r="B792" s="5"/>
      <c r="C792" s="5"/>
      <c r="D792" s="5"/>
      <c r="E792" s="217"/>
      <c r="F792" s="198"/>
      <c r="G792" s="198"/>
      <c r="H792" s="888"/>
      <c r="I792" s="217"/>
      <c r="J792" s="306"/>
      <c r="K792" s="306"/>
      <c r="L792" s="306"/>
      <c r="M792" s="306"/>
      <c r="N792" s="306"/>
      <c r="O792" s="5"/>
      <c r="P792" s="5"/>
      <c r="Q792" s="5"/>
      <c r="R792" s="5"/>
      <c r="S792" s="5"/>
      <c r="T792" s="5"/>
      <c r="U792" s="5"/>
      <c r="V792" s="5"/>
      <c r="W792" s="5"/>
      <c r="X792" s="5"/>
      <c r="Y792" s="5"/>
      <c r="Z792" s="5"/>
      <c r="AA792" s="5"/>
      <c r="AB792" s="5"/>
    </row>
    <row r="793" spans="1:28" ht="12.75" customHeight="1">
      <c r="A793" s="5"/>
      <c r="B793" s="5"/>
      <c r="C793" s="5"/>
      <c r="D793" s="5"/>
      <c r="E793" s="217"/>
      <c r="F793" s="198"/>
      <c r="G793" s="198"/>
      <c r="H793" s="888"/>
      <c r="I793" s="217"/>
      <c r="J793" s="306"/>
      <c r="K793" s="306"/>
      <c r="L793" s="306"/>
      <c r="M793" s="306"/>
      <c r="N793" s="306"/>
      <c r="O793" s="5"/>
      <c r="P793" s="5"/>
      <c r="Q793" s="5"/>
      <c r="R793" s="5"/>
      <c r="S793" s="5"/>
      <c r="T793" s="5"/>
      <c r="U793" s="5"/>
      <c r="V793" s="5"/>
      <c r="W793" s="5"/>
      <c r="X793" s="5"/>
      <c r="Y793" s="5"/>
      <c r="Z793" s="5"/>
      <c r="AA793" s="5"/>
      <c r="AB793" s="5"/>
    </row>
    <row r="794" spans="1:28" ht="12.75" customHeight="1">
      <c r="A794" s="5"/>
      <c r="B794" s="5"/>
      <c r="C794" s="5"/>
      <c r="D794" s="5"/>
      <c r="E794" s="217"/>
      <c r="F794" s="198"/>
      <c r="G794" s="198"/>
      <c r="H794" s="888"/>
      <c r="I794" s="217"/>
      <c r="J794" s="306"/>
      <c r="K794" s="306"/>
      <c r="L794" s="306"/>
      <c r="M794" s="306"/>
      <c r="N794" s="306"/>
      <c r="O794" s="5"/>
      <c r="P794" s="5"/>
      <c r="Q794" s="5"/>
      <c r="R794" s="5"/>
      <c r="S794" s="5"/>
      <c r="T794" s="5"/>
      <c r="U794" s="5"/>
      <c r="V794" s="5"/>
      <c r="W794" s="5"/>
      <c r="X794" s="5"/>
      <c r="Y794" s="5"/>
      <c r="Z794" s="5"/>
      <c r="AA794" s="5"/>
      <c r="AB794" s="5"/>
    </row>
    <row r="795" spans="1:28" ht="12.75" customHeight="1">
      <c r="A795" s="5"/>
      <c r="B795" s="5"/>
      <c r="C795" s="5"/>
      <c r="D795" s="5"/>
      <c r="E795" s="217"/>
      <c r="F795" s="198"/>
      <c r="G795" s="198"/>
      <c r="H795" s="888"/>
      <c r="I795" s="217"/>
      <c r="J795" s="306"/>
      <c r="K795" s="306"/>
      <c r="L795" s="306"/>
      <c r="M795" s="306"/>
      <c r="N795" s="306"/>
      <c r="O795" s="5"/>
      <c r="P795" s="5"/>
      <c r="Q795" s="5"/>
      <c r="R795" s="5"/>
      <c r="S795" s="5"/>
      <c r="T795" s="5"/>
      <c r="U795" s="5"/>
      <c r="V795" s="5"/>
      <c r="W795" s="5"/>
      <c r="X795" s="5"/>
      <c r="Y795" s="5"/>
      <c r="Z795" s="5"/>
      <c r="AA795" s="5"/>
      <c r="AB795" s="5"/>
    </row>
    <row r="796" spans="1:28" ht="12.75" customHeight="1">
      <c r="A796" s="5"/>
      <c r="B796" s="5"/>
      <c r="C796" s="5"/>
      <c r="D796" s="5"/>
      <c r="E796" s="217"/>
      <c r="F796" s="198"/>
      <c r="G796" s="198"/>
      <c r="H796" s="888"/>
      <c r="I796" s="217"/>
      <c r="J796" s="306"/>
      <c r="K796" s="306"/>
      <c r="L796" s="306"/>
      <c r="M796" s="306"/>
      <c r="N796" s="306"/>
      <c r="O796" s="5"/>
      <c r="P796" s="5"/>
      <c r="Q796" s="5"/>
      <c r="R796" s="5"/>
      <c r="S796" s="5"/>
      <c r="T796" s="5"/>
      <c r="U796" s="5"/>
      <c r="V796" s="5"/>
      <c r="W796" s="5"/>
      <c r="X796" s="5"/>
      <c r="Y796" s="5"/>
      <c r="Z796" s="5"/>
      <c r="AA796" s="5"/>
      <c r="AB796" s="5"/>
    </row>
    <row r="797" spans="1:28" ht="12.75" customHeight="1">
      <c r="A797" s="5"/>
      <c r="B797" s="5"/>
      <c r="C797" s="5"/>
      <c r="D797" s="5"/>
      <c r="E797" s="217"/>
      <c r="F797" s="198"/>
      <c r="G797" s="198"/>
      <c r="H797" s="888"/>
      <c r="I797" s="217"/>
      <c r="J797" s="306"/>
      <c r="K797" s="306"/>
      <c r="L797" s="306"/>
      <c r="M797" s="306"/>
      <c r="N797" s="306"/>
      <c r="O797" s="5"/>
      <c r="P797" s="5"/>
      <c r="Q797" s="5"/>
      <c r="R797" s="5"/>
      <c r="S797" s="5"/>
      <c r="T797" s="5"/>
      <c r="U797" s="5"/>
      <c r="V797" s="5"/>
      <c r="W797" s="5"/>
      <c r="X797" s="5"/>
      <c r="Y797" s="5"/>
      <c r="Z797" s="5"/>
      <c r="AA797" s="5"/>
      <c r="AB797" s="5"/>
    </row>
    <row r="798" spans="1:28" ht="12.75" customHeight="1">
      <c r="A798" s="5"/>
      <c r="B798" s="5"/>
      <c r="C798" s="5"/>
      <c r="D798" s="5"/>
      <c r="E798" s="217"/>
      <c r="F798" s="198"/>
      <c r="G798" s="198"/>
      <c r="H798" s="888"/>
      <c r="I798" s="217"/>
      <c r="J798" s="306"/>
      <c r="K798" s="306"/>
      <c r="L798" s="306"/>
      <c r="M798" s="306"/>
      <c r="N798" s="306"/>
      <c r="O798" s="5"/>
      <c r="P798" s="5"/>
      <c r="Q798" s="5"/>
      <c r="R798" s="5"/>
      <c r="S798" s="5"/>
      <c r="T798" s="5"/>
      <c r="U798" s="5"/>
      <c r="V798" s="5"/>
      <c r="W798" s="5"/>
      <c r="X798" s="5"/>
      <c r="Y798" s="5"/>
      <c r="Z798" s="5"/>
      <c r="AA798" s="5"/>
      <c r="AB798" s="5"/>
    </row>
    <row r="799" spans="1:28" ht="12.75" customHeight="1">
      <c r="A799" s="5"/>
      <c r="B799" s="5"/>
      <c r="C799" s="5"/>
      <c r="D799" s="5"/>
      <c r="E799" s="217"/>
      <c r="F799" s="198"/>
      <c r="G799" s="198"/>
      <c r="H799" s="888"/>
      <c r="I799" s="217"/>
      <c r="J799" s="306"/>
      <c r="K799" s="306"/>
      <c r="L799" s="306"/>
      <c r="M799" s="306"/>
      <c r="N799" s="306"/>
      <c r="O799" s="5"/>
      <c r="P799" s="5"/>
      <c r="Q799" s="5"/>
      <c r="R799" s="5"/>
      <c r="S799" s="5"/>
      <c r="T799" s="5"/>
      <c r="U799" s="5"/>
      <c r="V799" s="5"/>
      <c r="W799" s="5"/>
      <c r="X799" s="5"/>
      <c r="Y799" s="5"/>
      <c r="Z799" s="5"/>
      <c r="AA799" s="5"/>
      <c r="AB799" s="5"/>
    </row>
    <row r="800" spans="1:28" ht="12.75" customHeight="1">
      <c r="A800" s="5"/>
      <c r="B800" s="5"/>
      <c r="C800" s="5"/>
      <c r="D800" s="5"/>
      <c r="E800" s="217"/>
      <c r="F800" s="198"/>
      <c r="G800" s="198"/>
      <c r="H800" s="888"/>
      <c r="I800" s="217"/>
      <c r="J800" s="306"/>
      <c r="K800" s="306"/>
      <c r="L800" s="306"/>
      <c r="M800" s="306"/>
      <c r="N800" s="306"/>
      <c r="O800" s="5"/>
      <c r="P800" s="5"/>
      <c r="Q800" s="5"/>
      <c r="R800" s="5"/>
      <c r="S800" s="5"/>
      <c r="T800" s="5"/>
      <c r="U800" s="5"/>
      <c r="V800" s="5"/>
      <c r="W800" s="5"/>
      <c r="X800" s="5"/>
      <c r="Y800" s="5"/>
      <c r="Z800" s="5"/>
      <c r="AA800" s="5"/>
      <c r="AB800" s="5"/>
    </row>
    <row r="801" spans="1:28" ht="12.75" customHeight="1">
      <c r="A801" s="5"/>
      <c r="B801" s="5"/>
      <c r="C801" s="5"/>
      <c r="D801" s="5"/>
      <c r="E801" s="217"/>
      <c r="F801" s="198"/>
      <c r="G801" s="198"/>
      <c r="H801" s="888"/>
      <c r="I801" s="217"/>
      <c r="J801" s="306"/>
      <c r="K801" s="306"/>
      <c r="L801" s="306"/>
      <c r="M801" s="306"/>
      <c r="N801" s="306"/>
      <c r="O801" s="5"/>
      <c r="P801" s="5"/>
      <c r="Q801" s="5"/>
      <c r="R801" s="5"/>
      <c r="S801" s="5"/>
      <c r="T801" s="5"/>
      <c r="U801" s="5"/>
      <c r="V801" s="5"/>
      <c r="W801" s="5"/>
      <c r="X801" s="5"/>
      <c r="Y801" s="5"/>
      <c r="Z801" s="5"/>
      <c r="AA801" s="5"/>
      <c r="AB801" s="5"/>
    </row>
    <row r="802" spans="1:28" ht="12.75" customHeight="1">
      <c r="A802" s="5"/>
      <c r="B802" s="5"/>
      <c r="C802" s="5"/>
      <c r="D802" s="5"/>
      <c r="E802" s="217"/>
      <c r="F802" s="198"/>
      <c r="G802" s="198"/>
      <c r="H802" s="888"/>
      <c r="I802" s="217"/>
      <c r="J802" s="306"/>
      <c r="K802" s="306"/>
      <c r="L802" s="306"/>
      <c r="M802" s="306"/>
      <c r="N802" s="306"/>
      <c r="O802" s="5"/>
      <c r="P802" s="5"/>
      <c r="Q802" s="5"/>
      <c r="R802" s="5"/>
      <c r="S802" s="5"/>
      <c r="T802" s="5"/>
      <c r="U802" s="5"/>
      <c r="V802" s="5"/>
      <c r="W802" s="5"/>
      <c r="X802" s="5"/>
      <c r="Y802" s="5"/>
      <c r="Z802" s="5"/>
      <c r="AA802" s="5"/>
      <c r="AB802" s="5"/>
    </row>
    <row r="803" spans="1:28" ht="12.75" customHeight="1">
      <c r="A803" s="5"/>
      <c r="B803" s="5"/>
      <c r="C803" s="5"/>
      <c r="D803" s="5"/>
      <c r="E803" s="217"/>
      <c r="F803" s="198"/>
      <c r="G803" s="198"/>
      <c r="H803" s="888"/>
      <c r="I803" s="217"/>
      <c r="J803" s="306"/>
      <c r="K803" s="306"/>
      <c r="L803" s="306"/>
      <c r="M803" s="306"/>
      <c r="N803" s="306"/>
      <c r="O803" s="5"/>
      <c r="P803" s="5"/>
      <c r="Q803" s="5"/>
      <c r="R803" s="5"/>
      <c r="S803" s="5"/>
      <c r="T803" s="5"/>
      <c r="U803" s="5"/>
      <c r="V803" s="5"/>
      <c r="W803" s="5"/>
      <c r="X803" s="5"/>
      <c r="Y803" s="5"/>
      <c r="Z803" s="5"/>
      <c r="AA803" s="5"/>
      <c r="AB803" s="5"/>
    </row>
    <row r="804" spans="1:28" ht="12.75" customHeight="1">
      <c r="A804" s="5"/>
      <c r="B804" s="5"/>
      <c r="C804" s="5"/>
      <c r="D804" s="5"/>
      <c r="E804" s="217"/>
      <c r="F804" s="198"/>
      <c r="G804" s="198"/>
      <c r="H804" s="888"/>
      <c r="I804" s="217"/>
      <c r="J804" s="306"/>
      <c r="K804" s="306"/>
      <c r="L804" s="306"/>
      <c r="M804" s="306"/>
      <c r="N804" s="306"/>
      <c r="O804" s="5"/>
      <c r="P804" s="5"/>
      <c r="Q804" s="5"/>
      <c r="R804" s="5"/>
      <c r="S804" s="5"/>
      <c r="T804" s="5"/>
      <c r="U804" s="5"/>
      <c r="V804" s="5"/>
      <c r="W804" s="5"/>
      <c r="X804" s="5"/>
      <c r="Y804" s="5"/>
      <c r="Z804" s="5"/>
      <c r="AA804" s="5"/>
      <c r="AB804" s="5"/>
    </row>
    <row r="805" spans="1:28" ht="12.75" customHeight="1">
      <c r="A805" s="5"/>
      <c r="B805" s="5"/>
      <c r="C805" s="5"/>
      <c r="D805" s="5"/>
      <c r="E805" s="217"/>
      <c r="F805" s="198"/>
      <c r="G805" s="198"/>
      <c r="H805" s="888"/>
      <c r="I805" s="217"/>
      <c r="J805" s="306"/>
      <c r="K805" s="306"/>
      <c r="L805" s="306"/>
      <c r="M805" s="306"/>
      <c r="N805" s="306"/>
      <c r="O805" s="5"/>
      <c r="P805" s="5"/>
      <c r="Q805" s="5"/>
      <c r="R805" s="5"/>
      <c r="S805" s="5"/>
      <c r="T805" s="5"/>
      <c r="U805" s="5"/>
      <c r="V805" s="5"/>
      <c r="W805" s="5"/>
      <c r="X805" s="5"/>
      <c r="Y805" s="5"/>
      <c r="Z805" s="5"/>
      <c r="AA805" s="5"/>
      <c r="AB805" s="5"/>
    </row>
    <row r="806" spans="1:28" ht="12.75" customHeight="1">
      <c r="A806" s="5"/>
      <c r="B806" s="5"/>
      <c r="C806" s="5"/>
      <c r="D806" s="5"/>
      <c r="E806" s="217"/>
      <c r="F806" s="198"/>
      <c r="G806" s="198"/>
      <c r="H806" s="888"/>
      <c r="I806" s="217"/>
      <c r="J806" s="306"/>
      <c r="K806" s="306"/>
      <c r="L806" s="306"/>
      <c r="M806" s="306"/>
      <c r="N806" s="306"/>
      <c r="O806" s="5"/>
      <c r="P806" s="5"/>
      <c r="Q806" s="5"/>
      <c r="R806" s="5"/>
      <c r="S806" s="5"/>
      <c r="T806" s="5"/>
      <c r="U806" s="5"/>
      <c r="V806" s="5"/>
      <c r="W806" s="5"/>
      <c r="X806" s="5"/>
      <c r="Y806" s="5"/>
      <c r="Z806" s="5"/>
      <c r="AA806" s="5"/>
      <c r="AB806" s="5"/>
    </row>
    <row r="807" spans="1:28" ht="12.75" customHeight="1">
      <c r="A807" s="5"/>
      <c r="B807" s="5"/>
      <c r="C807" s="5"/>
      <c r="D807" s="5"/>
      <c r="E807" s="217"/>
      <c r="F807" s="198"/>
      <c r="G807" s="198"/>
      <c r="H807" s="888"/>
      <c r="I807" s="217"/>
      <c r="J807" s="306"/>
      <c r="K807" s="306"/>
      <c r="L807" s="306"/>
      <c r="M807" s="306"/>
      <c r="N807" s="306"/>
      <c r="O807" s="5"/>
      <c r="P807" s="5"/>
      <c r="Q807" s="5"/>
      <c r="R807" s="5"/>
      <c r="S807" s="5"/>
      <c r="T807" s="5"/>
      <c r="U807" s="5"/>
      <c r="V807" s="5"/>
      <c r="W807" s="5"/>
      <c r="X807" s="5"/>
      <c r="Y807" s="5"/>
      <c r="Z807" s="5"/>
      <c r="AA807" s="5"/>
      <c r="AB807" s="5"/>
    </row>
    <row r="808" spans="1:28" ht="12.75" customHeight="1">
      <c r="A808" s="5"/>
      <c r="B808" s="5"/>
      <c r="C808" s="5"/>
      <c r="D808" s="5"/>
      <c r="E808" s="217"/>
      <c r="F808" s="198"/>
      <c r="G808" s="198"/>
      <c r="H808" s="888"/>
      <c r="I808" s="217"/>
      <c r="J808" s="306"/>
      <c r="K808" s="306"/>
      <c r="L808" s="306"/>
      <c r="M808" s="306"/>
      <c r="N808" s="306"/>
      <c r="O808" s="5"/>
      <c r="P808" s="5"/>
      <c r="Q808" s="5"/>
      <c r="R808" s="5"/>
      <c r="S808" s="5"/>
      <c r="T808" s="5"/>
      <c r="U808" s="5"/>
      <c r="V808" s="5"/>
      <c r="W808" s="5"/>
      <c r="X808" s="5"/>
      <c r="Y808" s="5"/>
      <c r="Z808" s="5"/>
      <c r="AA808" s="5"/>
      <c r="AB808" s="5"/>
    </row>
    <row r="809" spans="1:28" ht="12.75" customHeight="1">
      <c r="A809" s="5"/>
      <c r="B809" s="5"/>
      <c r="C809" s="5"/>
      <c r="D809" s="5"/>
      <c r="E809" s="217"/>
      <c r="F809" s="198"/>
      <c r="G809" s="198"/>
      <c r="H809" s="888"/>
      <c r="I809" s="217"/>
      <c r="J809" s="306"/>
      <c r="K809" s="306"/>
      <c r="L809" s="306"/>
      <c r="M809" s="306"/>
      <c r="N809" s="306"/>
      <c r="O809" s="5"/>
      <c r="P809" s="5"/>
      <c r="Q809" s="5"/>
      <c r="R809" s="5"/>
      <c r="S809" s="5"/>
      <c r="T809" s="5"/>
      <c r="U809" s="5"/>
      <c r="V809" s="5"/>
      <c r="W809" s="5"/>
      <c r="X809" s="5"/>
      <c r="Y809" s="5"/>
      <c r="Z809" s="5"/>
      <c r="AA809" s="5"/>
      <c r="AB809" s="5"/>
    </row>
    <row r="810" spans="1:28" ht="12.75" customHeight="1">
      <c r="A810" s="5"/>
      <c r="B810" s="5"/>
      <c r="C810" s="5"/>
      <c r="D810" s="5"/>
      <c r="E810" s="217"/>
      <c r="F810" s="198"/>
      <c r="G810" s="198"/>
      <c r="H810" s="888"/>
      <c r="I810" s="217"/>
      <c r="J810" s="306"/>
      <c r="K810" s="306"/>
      <c r="L810" s="306"/>
      <c r="M810" s="306"/>
      <c r="N810" s="306"/>
      <c r="O810" s="5"/>
      <c r="P810" s="5"/>
      <c r="Q810" s="5"/>
      <c r="R810" s="5"/>
      <c r="S810" s="5"/>
      <c r="T810" s="5"/>
      <c r="U810" s="5"/>
      <c r="V810" s="5"/>
      <c r="W810" s="5"/>
      <c r="X810" s="5"/>
      <c r="Y810" s="5"/>
      <c r="Z810" s="5"/>
      <c r="AA810" s="5"/>
      <c r="AB810" s="5"/>
    </row>
    <row r="811" spans="1:28" ht="12.75" customHeight="1">
      <c r="A811" s="5"/>
      <c r="B811" s="5"/>
      <c r="C811" s="5"/>
      <c r="D811" s="5"/>
      <c r="E811" s="217"/>
      <c r="F811" s="198"/>
      <c r="G811" s="198"/>
      <c r="H811" s="888"/>
      <c r="I811" s="217"/>
      <c r="J811" s="306"/>
      <c r="K811" s="306"/>
      <c r="L811" s="306"/>
      <c r="M811" s="306"/>
      <c r="N811" s="306"/>
      <c r="O811" s="5"/>
      <c r="P811" s="5"/>
      <c r="Q811" s="5"/>
      <c r="R811" s="5"/>
      <c r="S811" s="5"/>
      <c r="T811" s="5"/>
      <c r="U811" s="5"/>
      <c r="V811" s="5"/>
      <c r="W811" s="5"/>
      <c r="X811" s="5"/>
      <c r="Y811" s="5"/>
      <c r="Z811" s="5"/>
      <c r="AA811" s="5"/>
      <c r="AB811" s="5"/>
    </row>
    <row r="812" spans="1:28" ht="12.75" customHeight="1">
      <c r="A812" s="5"/>
      <c r="B812" s="5"/>
      <c r="C812" s="5"/>
      <c r="D812" s="5"/>
      <c r="E812" s="217"/>
      <c r="F812" s="198"/>
      <c r="G812" s="198"/>
      <c r="H812" s="888"/>
      <c r="I812" s="217"/>
      <c r="J812" s="306"/>
      <c r="K812" s="306"/>
      <c r="L812" s="306"/>
      <c r="M812" s="306"/>
      <c r="N812" s="306"/>
      <c r="O812" s="5"/>
      <c r="P812" s="5"/>
      <c r="Q812" s="5"/>
      <c r="R812" s="5"/>
      <c r="S812" s="5"/>
      <c r="T812" s="5"/>
      <c r="U812" s="5"/>
      <c r="V812" s="5"/>
      <c r="W812" s="5"/>
      <c r="X812" s="5"/>
      <c r="Y812" s="5"/>
      <c r="Z812" s="5"/>
      <c r="AA812" s="5"/>
      <c r="AB812" s="5"/>
    </row>
    <row r="813" spans="1:28" ht="12.75" customHeight="1">
      <c r="A813" s="5"/>
      <c r="B813" s="5"/>
      <c r="C813" s="5"/>
      <c r="D813" s="5"/>
      <c r="E813" s="217"/>
      <c r="F813" s="198"/>
      <c r="G813" s="198"/>
      <c r="H813" s="888"/>
      <c r="I813" s="217"/>
      <c r="J813" s="306"/>
      <c r="K813" s="306"/>
      <c r="L813" s="306"/>
      <c r="M813" s="306"/>
      <c r="N813" s="306"/>
      <c r="O813" s="5"/>
      <c r="P813" s="5"/>
      <c r="Q813" s="5"/>
      <c r="R813" s="5"/>
      <c r="S813" s="5"/>
      <c r="T813" s="5"/>
      <c r="U813" s="5"/>
      <c r="V813" s="5"/>
      <c r="W813" s="5"/>
      <c r="X813" s="5"/>
      <c r="Y813" s="5"/>
      <c r="Z813" s="5"/>
      <c r="AA813" s="5"/>
      <c r="AB813" s="5"/>
    </row>
    <row r="814" spans="1:28" ht="12.75" customHeight="1">
      <c r="A814" s="5"/>
      <c r="B814" s="5"/>
      <c r="C814" s="5"/>
      <c r="D814" s="5"/>
      <c r="E814" s="217"/>
      <c r="F814" s="198"/>
      <c r="G814" s="198"/>
      <c r="H814" s="888"/>
      <c r="I814" s="217"/>
      <c r="J814" s="306"/>
      <c r="K814" s="306"/>
      <c r="L814" s="306"/>
      <c r="M814" s="306"/>
      <c r="N814" s="306"/>
      <c r="O814" s="5"/>
      <c r="P814" s="5"/>
      <c r="Q814" s="5"/>
      <c r="R814" s="5"/>
      <c r="S814" s="5"/>
      <c r="T814" s="5"/>
      <c r="U814" s="5"/>
      <c r="V814" s="5"/>
      <c r="W814" s="5"/>
      <c r="X814" s="5"/>
      <c r="Y814" s="5"/>
      <c r="Z814" s="5"/>
      <c r="AA814" s="5"/>
      <c r="AB814" s="5"/>
    </row>
    <row r="815" spans="1:28" ht="12.75" customHeight="1">
      <c r="A815" s="5"/>
      <c r="B815" s="5"/>
      <c r="C815" s="5"/>
      <c r="D815" s="5"/>
      <c r="E815" s="217"/>
      <c r="F815" s="198"/>
      <c r="G815" s="198"/>
      <c r="H815" s="888"/>
      <c r="I815" s="217"/>
      <c r="J815" s="306"/>
      <c r="K815" s="306"/>
      <c r="L815" s="306"/>
      <c r="M815" s="306"/>
      <c r="N815" s="306"/>
      <c r="O815" s="5"/>
      <c r="P815" s="5"/>
      <c r="Q815" s="5"/>
      <c r="R815" s="5"/>
      <c r="S815" s="5"/>
      <c r="T815" s="5"/>
      <c r="U815" s="5"/>
      <c r="V815" s="5"/>
      <c r="W815" s="5"/>
      <c r="X815" s="5"/>
      <c r="Y815" s="5"/>
      <c r="Z815" s="5"/>
      <c r="AA815" s="5"/>
      <c r="AB815" s="5"/>
    </row>
    <row r="816" spans="1:28" ht="12.75" customHeight="1">
      <c r="A816" s="5"/>
      <c r="B816" s="5"/>
      <c r="C816" s="5"/>
      <c r="D816" s="5"/>
      <c r="E816" s="217"/>
      <c r="F816" s="198"/>
      <c r="G816" s="198"/>
      <c r="H816" s="888"/>
      <c r="I816" s="217"/>
      <c r="J816" s="306"/>
      <c r="K816" s="306"/>
      <c r="L816" s="306"/>
      <c r="M816" s="306"/>
      <c r="N816" s="306"/>
      <c r="O816" s="5"/>
      <c r="P816" s="5"/>
      <c r="Q816" s="5"/>
      <c r="R816" s="5"/>
      <c r="S816" s="5"/>
      <c r="T816" s="5"/>
      <c r="U816" s="5"/>
      <c r="V816" s="5"/>
      <c r="W816" s="5"/>
      <c r="X816" s="5"/>
      <c r="Y816" s="5"/>
      <c r="Z816" s="5"/>
      <c r="AA816" s="5"/>
      <c r="AB816" s="5"/>
    </row>
    <row r="817" spans="1:28" ht="12.75" customHeight="1">
      <c r="A817" s="5"/>
      <c r="B817" s="5"/>
      <c r="C817" s="5"/>
      <c r="D817" s="5"/>
      <c r="E817" s="217"/>
      <c r="F817" s="198"/>
      <c r="G817" s="198"/>
      <c r="H817" s="888"/>
      <c r="I817" s="217"/>
      <c r="J817" s="306"/>
      <c r="K817" s="306"/>
      <c r="L817" s="306"/>
      <c r="M817" s="306"/>
      <c r="N817" s="306"/>
      <c r="O817" s="5"/>
      <c r="P817" s="5"/>
      <c r="Q817" s="5"/>
      <c r="R817" s="5"/>
      <c r="S817" s="5"/>
      <c r="T817" s="5"/>
      <c r="U817" s="5"/>
      <c r="V817" s="5"/>
      <c r="W817" s="5"/>
      <c r="X817" s="5"/>
      <c r="Y817" s="5"/>
      <c r="Z817" s="5"/>
      <c r="AA817" s="5"/>
      <c r="AB817" s="5"/>
    </row>
    <row r="818" spans="1:28" ht="12.75" customHeight="1">
      <c r="A818" s="5"/>
      <c r="B818" s="5"/>
      <c r="C818" s="5"/>
      <c r="D818" s="5"/>
      <c r="E818" s="217"/>
      <c r="F818" s="198"/>
      <c r="G818" s="198"/>
      <c r="H818" s="888"/>
      <c r="I818" s="217"/>
      <c r="J818" s="306"/>
      <c r="K818" s="306"/>
      <c r="L818" s="306"/>
      <c r="M818" s="306"/>
      <c r="N818" s="306"/>
      <c r="O818" s="5"/>
      <c r="P818" s="5"/>
      <c r="Q818" s="5"/>
      <c r="R818" s="5"/>
      <c r="S818" s="5"/>
      <c r="T818" s="5"/>
      <c r="U818" s="5"/>
      <c r="V818" s="5"/>
      <c r="W818" s="5"/>
      <c r="X818" s="5"/>
      <c r="Y818" s="5"/>
      <c r="Z818" s="5"/>
      <c r="AA818" s="5"/>
      <c r="AB818" s="5"/>
    </row>
    <row r="819" spans="1:28" ht="12.75" customHeight="1">
      <c r="A819" s="5"/>
      <c r="B819" s="5"/>
      <c r="C819" s="5"/>
      <c r="D819" s="5"/>
      <c r="E819" s="217"/>
      <c r="F819" s="198"/>
      <c r="G819" s="198"/>
      <c r="H819" s="888"/>
      <c r="I819" s="217"/>
      <c r="J819" s="306"/>
      <c r="K819" s="306"/>
      <c r="L819" s="306"/>
      <c r="M819" s="306"/>
      <c r="N819" s="306"/>
      <c r="O819" s="5"/>
      <c r="P819" s="5"/>
      <c r="Q819" s="5"/>
      <c r="R819" s="5"/>
      <c r="S819" s="5"/>
      <c r="T819" s="5"/>
      <c r="U819" s="5"/>
      <c r="V819" s="5"/>
      <c r="W819" s="5"/>
      <c r="X819" s="5"/>
      <c r="Y819" s="5"/>
      <c r="Z819" s="5"/>
      <c r="AA819" s="5"/>
      <c r="AB819" s="5"/>
    </row>
    <row r="820" spans="1:28" ht="12.75" customHeight="1">
      <c r="A820" s="5"/>
      <c r="B820" s="5"/>
      <c r="C820" s="5"/>
      <c r="D820" s="5"/>
      <c r="E820" s="217"/>
      <c r="F820" s="198"/>
      <c r="G820" s="198"/>
      <c r="H820" s="888"/>
      <c r="I820" s="217"/>
      <c r="J820" s="306"/>
      <c r="K820" s="306"/>
      <c r="L820" s="306"/>
      <c r="M820" s="306"/>
      <c r="N820" s="306"/>
      <c r="O820" s="5"/>
      <c r="P820" s="5"/>
      <c r="Q820" s="5"/>
      <c r="R820" s="5"/>
      <c r="S820" s="5"/>
      <c r="T820" s="5"/>
      <c r="U820" s="5"/>
      <c r="V820" s="5"/>
      <c r="W820" s="5"/>
      <c r="X820" s="5"/>
      <c r="Y820" s="5"/>
      <c r="Z820" s="5"/>
      <c r="AA820" s="5"/>
      <c r="AB820" s="5"/>
    </row>
    <row r="821" spans="1:28" ht="12.75" customHeight="1">
      <c r="A821" s="5"/>
      <c r="B821" s="5"/>
      <c r="C821" s="5"/>
      <c r="D821" s="5"/>
      <c r="E821" s="217"/>
      <c r="F821" s="198"/>
      <c r="G821" s="198"/>
      <c r="H821" s="888"/>
      <c r="I821" s="217"/>
      <c r="J821" s="306"/>
      <c r="K821" s="306"/>
      <c r="L821" s="306"/>
      <c r="M821" s="306"/>
      <c r="N821" s="306"/>
      <c r="O821" s="5"/>
      <c r="P821" s="5"/>
      <c r="Q821" s="5"/>
      <c r="R821" s="5"/>
      <c r="S821" s="5"/>
      <c r="T821" s="5"/>
      <c r="U821" s="5"/>
      <c r="V821" s="5"/>
      <c r="W821" s="5"/>
      <c r="X821" s="5"/>
      <c r="Y821" s="5"/>
      <c r="Z821" s="5"/>
      <c r="AA821" s="5"/>
      <c r="AB821" s="5"/>
    </row>
    <row r="822" spans="1:28" ht="12.75" customHeight="1">
      <c r="A822" s="5"/>
      <c r="B822" s="5"/>
      <c r="C822" s="5"/>
      <c r="D822" s="5"/>
      <c r="E822" s="217"/>
      <c r="F822" s="198"/>
      <c r="G822" s="198"/>
      <c r="H822" s="888"/>
      <c r="I822" s="217"/>
      <c r="J822" s="306"/>
      <c r="K822" s="306"/>
      <c r="L822" s="306"/>
      <c r="M822" s="306"/>
      <c r="N822" s="306"/>
      <c r="O822" s="5"/>
      <c r="P822" s="5"/>
      <c r="Q822" s="5"/>
      <c r="R822" s="5"/>
      <c r="S822" s="5"/>
      <c r="T822" s="5"/>
      <c r="U822" s="5"/>
      <c r="V822" s="5"/>
      <c r="W822" s="5"/>
      <c r="X822" s="5"/>
      <c r="Y822" s="5"/>
      <c r="Z822" s="5"/>
      <c r="AA822" s="5"/>
      <c r="AB822" s="5"/>
    </row>
    <row r="823" spans="1:28" ht="12.75" customHeight="1">
      <c r="A823" s="5"/>
      <c r="B823" s="5"/>
      <c r="C823" s="5"/>
      <c r="D823" s="5"/>
      <c r="E823" s="217"/>
      <c r="F823" s="198"/>
      <c r="G823" s="198"/>
      <c r="H823" s="888"/>
      <c r="I823" s="217"/>
      <c r="J823" s="306"/>
      <c r="K823" s="306"/>
      <c r="L823" s="306"/>
      <c r="M823" s="306"/>
      <c r="N823" s="306"/>
      <c r="O823" s="5"/>
      <c r="P823" s="5"/>
      <c r="Q823" s="5"/>
      <c r="R823" s="5"/>
      <c r="S823" s="5"/>
      <c r="T823" s="5"/>
      <c r="U823" s="5"/>
      <c r="V823" s="5"/>
      <c r="W823" s="5"/>
      <c r="X823" s="5"/>
      <c r="Y823" s="5"/>
      <c r="Z823" s="5"/>
      <c r="AA823" s="5"/>
      <c r="AB823" s="5"/>
    </row>
    <row r="824" spans="1:28" ht="12.75" customHeight="1">
      <c r="A824" s="5"/>
      <c r="B824" s="5"/>
      <c r="C824" s="5"/>
      <c r="D824" s="5"/>
      <c r="E824" s="217"/>
      <c r="F824" s="198"/>
      <c r="G824" s="198"/>
      <c r="H824" s="888"/>
      <c r="I824" s="217"/>
      <c r="J824" s="306"/>
      <c r="K824" s="306"/>
      <c r="L824" s="306"/>
      <c r="M824" s="306"/>
      <c r="N824" s="306"/>
      <c r="O824" s="5"/>
      <c r="P824" s="5"/>
      <c r="Q824" s="5"/>
      <c r="R824" s="5"/>
      <c r="S824" s="5"/>
      <c r="T824" s="5"/>
      <c r="U824" s="5"/>
      <c r="V824" s="5"/>
      <c r="W824" s="5"/>
      <c r="X824" s="5"/>
      <c r="Y824" s="5"/>
      <c r="Z824" s="5"/>
      <c r="AA824" s="5"/>
      <c r="AB824" s="5"/>
    </row>
    <row r="825" spans="1:28" ht="12.75" customHeight="1">
      <c r="A825" s="5"/>
      <c r="B825" s="5"/>
      <c r="C825" s="5"/>
      <c r="D825" s="5"/>
      <c r="E825" s="217"/>
      <c r="F825" s="198"/>
      <c r="G825" s="198"/>
      <c r="H825" s="888"/>
      <c r="I825" s="217"/>
      <c r="J825" s="306"/>
      <c r="K825" s="306"/>
      <c r="L825" s="306"/>
      <c r="M825" s="306"/>
      <c r="N825" s="306"/>
      <c r="O825" s="5"/>
      <c r="P825" s="5"/>
      <c r="Q825" s="5"/>
      <c r="R825" s="5"/>
      <c r="S825" s="5"/>
      <c r="T825" s="5"/>
      <c r="U825" s="5"/>
      <c r="V825" s="5"/>
      <c r="W825" s="5"/>
      <c r="X825" s="5"/>
      <c r="Y825" s="5"/>
      <c r="Z825" s="5"/>
      <c r="AA825" s="5"/>
      <c r="AB825" s="5"/>
    </row>
    <row r="826" spans="1:28" ht="12.75" customHeight="1">
      <c r="A826" s="5"/>
      <c r="B826" s="5"/>
      <c r="C826" s="5"/>
      <c r="D826" s="5"/>
      <c r="E826" s="217"/>
      <c r="F826" s="198"/>
      <c r="G826" s="198"/>
      <c r="H826" s="888"/>
      <c r="I826" s="217"/>
      <c r="J826" s="306"/>
      <c r="K826" s="306"/>
      <c r="L826" s="306"/>
      <c r="M826" s="306"/>
      <c r="N826" s="306"/>
      <c r="O826" s="5"/>
      <c r="P826" s="5"/>
      <c r="Q826" s="5"/>
      <c r="R826" s="5"/>
      <c r="S826" s="5"/>
      <c r="T826" s="5"/>
      <c r="U826" s="5"/>
      <c r="V826" s="5"/>
      <c r="W826" s="5"/>
      <c r="X826" s="5"/>
      <c r="Y826" s="5"/>
      <c r="Z826" s="5"/>
      <c r="AA826" s="5"/>
      <c r="AB826" s="5"/>
    </row>
    <row r="827" spans="1:28" ht="12.75" customHeight="1">
      <c r="A827" s="5"/>
      <c r="B827" s="5"/>
      <c r="C827" s="5"/>
      <c r="D827" s="5"/>
      <c r="E827" s="217"/>
      <c r="F827" s="198"/>
      <c r="G827" s="198"/>
      <c r="H827" s="888"/>
      <c r="I827" s="217"/>
      <c r="J827" s="306"/>
      <c r="K827" s="306"/>
      <c r="L827" s="306"/>
      <c r="M827" s="306"/>
      <c r="N827" s="306"/>
      <c r="O827" s="5"/>
      <c r="P827" s="5"/>
      <c r="Q827" s="5"/>
      <c r="R827" s="5"/>
      <c r="S827" s="5"/>
      <c r="T827" s="5"/>
      <c r="U827" s="5"/>
      <c r="V827" s="5"/>
      <c r="W827" s="5"/>
      <c r="X827" s="5"/>
      <c r="Y827" s="5"/>
      <c r="Z827" s="5"/>
      <c r="AA827" s="5"/>
      <c r="AB827" s="5"/>
    </row>
    <row r="828" spans="1:28" ht="12.75" customHeight="1">
      <c r="A828" s="5"/>
      <c r="B828" s="5"/>
      <c r="C828" s="5"/>
      <c r="D828" s="5"/>
      <c r="E828" s="217"/>
      <c r="F828" s="198"/>
      <c r="G828" s="198"/>
      <c r="H828" s="888"/>
      <c r="I828" s="217"/>
      <c r="J828" s="306"/>
      <c r="K828" s="306"/>
      <c r="L828" s="306"/>
      <c r="M828" s="306"/>
      <c r="N828" s="306"/>
      <c r="O828" s="5"/>
      <c r="P828" s="5"/>
      <c r="Q828" s="5"/>
      <c r="R828" s="5"/>
      <c r="S828" s="5"/>
      <c r="T828" s="5"/>
      <c r="U828" s="5"/>
      <c r="V828" s="5"/>
      <c r="W828" s="5"/>
      <c r="X828" s="5"/>
      <c r="Y828" s="5"/>
      <c r="Z828" s="5"/>
      <c r="AA828" s="5"/>
      <c r="AB828" s="5"/>
    </row>
    <row r="829" spans="1:28" ht="12.75" customHeight="1">
      <c r="A829" s="5"/>
      <c r="B829" s="5"/>
      <c r="C829" s="5"/>
      <c r="D829" s="5"/>
      <c r="E829" s="217"/>
      <c r="F829" s="198"/>
      <c r="G829" s="198"/>
      <c r="H829" s="888"/>
      <c r="I829" s="217"/>
      <c r="J829" s="306"/>
      <c r="K829" s="306"/>
      <c r="L829" s="306"/>
      <c r="M829" s="306"/>
      <c r="N829" s="306"/>
      <c r="O829" s="5"/>
      <c r="P829" s="5"/>
      <c r="Q829" s="5"/>
      <c r="R829" s="5"/>
      <c r="S829" s="5"/>
      <c r="T829" s="5"/>
      <c r="U829" s="5"/>
      <c r="V829" s="5"/>
      <c r="W829" s="5"/>
      <c r="X829" s="5"/>
      <c r="Y829" s="5"/>
      <c r="Z829" s="5"/>
      <c r="AA829" s="5"/>
      <c r="AB829" s="5"/>
    </row>
    <row r="830" spans="1:28" ht="12.75" customHeight="1">
      <c r="A830" s="5"/>
      <c r="B830" s="5"/>
      <c r="C830" s="5"/>
      <c r="D830" s="5"/>
      <c r="E830" s="217"/>
      <c r="F830" s="198"/>
      <c r="G830" s="198"/>
      <c r="H830" s="888"/>
      <c r="I830" s="217"/>
      <c r="J830" s="306"/>
      <c r="K830" s="306"/>
      <c r="L830" s="306"/>
      <c r="M830" s="306"/>
      <c r="N830" s="306"/>
      <c r="O830" s="5"/>
      <c r="P830" s="5"/>
      <c r="Q830" s="5"/>
      <c r="R830" s="5"/>
      <c r="S830" s="5"/>
      <c r="T830" s="5"/>
      <c r="U830" s="5"/>
      <c r="V830" s="5"/>
      <c r="W830" s="5"/>
      <c r="X830" s="5"/>
      <c r="Y830" s="5"/>
      <c r="Z830" s="5"/>
      <c r="AA830" s="5"/>
      <c r="AB830" s="5"/>
    </row>
    <row r="831" spans="1:28" ht="12.75" customHeight="1">
      <c r="A831" s="5"/>
      <c r="B831" s="5"/>
      <c r="C831" s="5"/>
      <c r="D831" s="5"/>
      <c r="E831" s="217"/>
      <c r="F831" s="198"/>
      <c r="G831" s="198"/>
      <c r="H831" s="888"/>
      <c r="I831" s="217"/>
      <c r="J831" s="306"/>
      <c r="K831" s="306"/>
      <c r="L831" s="306"/>
      <c r="M831" s="306"/>
      <c r="N831" s="306"/>
      <c r="O831" s="5"/>
      <c r="P831" s="5"/>
      <c r="Q831" s="5"/>
      <c r="R831" s="5"/>
      <c r="S831" s="5"/>
      <c r="T831" s="5"/>
      <c r="U831" s="5"/>
      <c r="V831" s="5"/>
      <c r="W831" s="5"/>
      <c r="X831" s="5"/>
      <c r="Y831" s="5"/>
      <c r="Z831" s="5"/>
      <c r="AA831" s="5"/>
      <c r="AB831" s="5"/>
    </row>
    <row r="832" spans="1:28" ht="12.75" customHeight="1">
      <c r="A832" s="5"/>
      <c r="B832" s="5"/>
      <c r="C832" s="5"/>
      <c r="D832" s="5"/>
      <c r="E832" s="217"/>
      <c r="F832" s="198"/>
      <c r="G832" s="198"/>
      <c r="H832" s="888"/>
      <c r="I832" s="217"/>
      <c r="J832" s="306"/>
      <c r="K832" s="306"/>
      <c r="L832" s="306"/>
      <c r="M832" s="306"/>
      <c r="N832" s="306"/>
      <c r="O832" s="5"/>
      <c r="P832" s="5"/>
      <c r="Q832" s="5"/>
      <c r="R832" s="5"/>
      <c r="S832" s="5"/>
      <c r="T832" s="5"/>
      <c r="U832" s="5"/>
      <c r="V832" s="5"/>
      <c r="W832" s="5"/>
      <c r="X832" s="5"/>
      <c r="Y832" s="5"/>
      <c r="Z832" s="5"/>
      <c r="AA832" s="5"/>
      <c r="AB832" s="5"/>
    </row>
    <row r="833" spans="1:28" ht="12.75" customHeight="1">
      <c r="A833" s="5"/>
      <c r="B833" s="5"/>
      <c r="C833" s="5"/>
      <c r="D833" s="5"/>
      <c r="E833" s="217"/>
      <c r="F833" s="198"/>
      <c r="G833" s="198"/>
      <c r="H833" s="888"/>
      <c r="I833" s="217"/>
      <c r="J833" s="306"/>
      <c r="K833" s="306"/>
      <c r="L833" s="306"/>
      <c r="M833" s="306"/>
      <c r="N833" s="306"/>
      <c r="O833" s="5"/>
      <c r="P833" s="5"/>
      <c r="Q833" s="5"/>
      <c r="R833" s="5"/>
      <c r="S833" s="5"/>
      <c r="T833" s="5"/>
      <c r="U833" s="5"/>
      <c r="V833" s="5"/>
      <c r="W833" s="5"/>
      <c r="X833" s="5"/>
      <c r="Y833" s="5"/>
      <c r="Z833" s="5"/>
      <c r="AA833" s="5"/>
      <c r="AB833" s="5"/>
    </row>
    <row r="834" spans="1:28" ht="12.75" customHeight="1">
      <c r="A834" s="5"/>
      <c r="B834" s="5"/>
      <c r="C834" s="5"/>
      <c r="D834" s="5"/>
      <c r="E834" s="217"/>
      <c r="F834" s="198"/>
      <c r="G834" s="198"/>
      <c r="H834" s="888"/>
      <c r="I834" s="217"/>
      <c r="J834" s="306"/>
      <c r="K834" s="306"/>
      <c r="L834" s="306"/>
      <c r="M834" s="306"/>
      <c r="N834" s="306"/>
      <c r="O834" s="5"/>
      <c r="P834" s="5"/>
      <c r="Q834" s="5"/>
      <c r="R834" s="5"/>
      <c r="S834" s="5"/>
      <c r="T834" s="5"/>
      <c r="U834" s="5"/>
      <c r="V834" s="5"/>
      <c r="W834" s="5"/>
      <c r="X834" s="5"/>
      <c r="Y834" s="5"/>
      <c r="Z834" s="5"/>
      <c r="AA834" s="5"/>
      <c r="AB834" s="5"/>
    </row>
    <row r="835" spans="1:28" ht="12.75" customHeight="1">
      <c r="A835" s="5"/>
      <c r="B835" s="5"/>
      <c r="C835" s="5"/>
      <c r="D835" s="5"/>
      <c r="E835" s="217"/>
      <c r="F835" s="198"/>
      <c r="G835" s="198"/>
      <c r="H835" s="888"/>
      <c r="I835" s="217"/>
      <c r="J835" s="306"/>
      <c r="K835" s="306"/>
      <c r="L835" s="306"/>
      <c r="M835" s="306"/>
      <c r="N835" s="306"/>
      <c r="O835" s="5"/>
      <c r="P835" s="5"/>
      <c r="Q835" s="5"/>
      <c r="R835" s="5"/>
      <c r="S835" s="5"/>
      <c r="T835" s="5"/>
      <c r="U835" s="5"/>
      <c r="V835" s="5"/>
      <c r="W835" s="5"/>
      <c r="X835" s="5"/>
      <c r="Y835" s="5"/>
      <c r="Z835" s="5"/>
      <c r="AA835" s="5"/>
      <c r="AB835" s="5"/>
    </row>
    <row r="836" spans="1:28" ht="12.75" customHeight="1">
      <c r="A836" s="5"/>
      <c r="B836" s="5"/>
      <c r="C836" s="5"/>
      <c r="D836" s="5"/>
      <c r="E836" s="217"/>
      <c r="F836" s="198"/>
      <c r="G836" s="198"/>
      <c r="H836" s="888"/>
      <c r="I836" s="217"/>
      <c r="J836" s="306"/>
      <c r="K836" s="306"/>
      <c r="L836" s="306"/>
      <c r="M836" s="306"/>
      <c r="N836" s="306"/>
      <c r="O836" s="5"/>
      <c r="P836" s="5"/>
      <c r="Q836" s="5"/>
      <c r="R836" s="5"/>
      <c r="S836" s="5"/>
      <c r="T836" s="5"/>
      <c r="U836" s="5"/>
      <c r="V836" s="5"/>
      <c r="W836" s="5"/>
      <c r="X836" s="5"/>
      <c r="Y836" s="5"/>
      <c r="Z836" s="5"/>
      <c r="AA836" s="5"/>
      <c r="AB836" s="5"/>
    </row>
    <row r="837" spans="1:28" ht="12.75" customHeight="1">
      <c r="A837" s="5"/>
      <c r="B837" s="5"/>
      <c r="C837" s="5"/>
      <c r="D837" s="5"/>
      <c r="E837" s="217"/>
      <c r="F837" s="198"/>
      <c r="G837" s="198"/>
      <c r="H837" s="888"/>
      <c r="I837" s="217"/>
      <c r="J837" s="306"/>
      <c r="K837" s="306"/>
      <c r="L837" s="306"/>
      <c r="M837" s="306"/>
      <c r="N837" s="306"/>
      <c r="O837" s="5"/>
      <c r="P837" s="5"/>
      <c r="Q837" s="5"/>
      <c r="R837" s="5"/>
      <c r="S837" s="5"/>
      <c r="T837" s="5"/>
      <c r="U837" s="5"/>
      <c r="V837" s="5"/>
      <c r="W837" s="5"/>
      <c r="X837" s="5"/>
      <c r="Y837" s="5"/>
      <c r="Z837" s="5"/>
      <c r="AA837" s="5"/>
      <c r="AB837" s="5"/>
    </row>
    <row r="838" spans="1:28" ht="12.75" customHeight="1">
      <c r="A838" s="5"/>
      <c r="B838" s="5"/>
      <c r="C838" s="5"/>
      <c r="D838" s="5"/>
      <c r="E838" s="217"/>
      <c r="F838" s="198"/>
      <c r="G838" s="198"/>
      <c r="H838" s="888"/>
      <c r="I838" s="217"/>
      <c r="J838" s="306"/>
      <c r="K838" s="306"/>
      <c r="L838" s="306"/>
      <c r="M838" s="306"/>
      <c r="N838" s="306"/>
      <c r="O838" s="5"/>
      <c r="P838" s="5"/>
      <c r="Q838" s="5"/>
      <c r="R838" s="5"/>
      <c r="S838" s="5"/>
      <c r="T838" s="5"/>
      <c r="U838" s="5"/>
      <c r="V838" s="5"/>
      <c r="W838" s="5"/>
      <c r="X838" s="5"/>
      <c r="Y838" s="5"/>
      <c r="Z838" s="5"/>
      <c r="AA838" s="5"/>
      <c r="AB838" s="5"/>
    </row>
    <row r="839" spans="1:28" ht="12.75" customHeight="1">
      <c r="A839" s="5"/>
      <c r="B839" s="5"/>
      <c r="C839" s="5"/>
      <c r="D839" s="5"/>
      <c r="E839" s="217"/>
      <c r="F839" s="198"/>
      <c r="G839" s="198"/>
      <c r="H839" s="888"/>
      <c r="I839" s="217"/>
      <c r="J839" s="306"/>
      <c r="K839" s="306"/>
      <c r="L839" s="306"/>
      <c r="M839" s="306"/>
      <c r="N839" s="306"/>
      <c r="O839" s="5"/>
      <c r="P839" s="5"/>
      <c r="Q839" s="5"/>
      <c r="R839" s="5"/>
      <c r="S839" s="5"/>
      <c r="T839" s="5"/>
      <c r="U839" s="5"/>
      <c r="V839" s="5"/>
      <c r="W839" s="5"/>
      <c r="X839" s="5"/>
      <c r="Y839" s="5"/>
      <c r="Z839" s="5"/>
      <c r="AA839" s="5"/>
      <c r="AB839" s="5"/>
    </row>
    <row r="840" spans="1:28" ht="12.75" customHeight="1">
      <c r="A840" s="5"/>
      <c r="B840" s="5"/>
      <c r="C840" s="5"/>
      <c r="D840" s="5"/>
      <c r="E840" s="217"/>
      <c r="F840" s="198"/>
      <c r="G840" s="198"/>
      <c r="H840" s="888"/>
      <c r="I840" s="217"/>
      <c r="J840" s="306"/>
      <c r="K840" s="306"/>
      <c r="L840" s="306"/>
      <c r="M840" s="306"/>
      <c r="N840" s="306"/>
      <c r="O840" s="5"/>
      <c r="P840" s="5"/>
      <c r="Q840" s="5"/>
      <c r="R840" s="5"/>
      <c r="S840" s="5"/>
      <c r="T840" s="5"/>
      <c r="U840" s="5"/>
      <c r="V840" s="5"/>
      <c r="W840" s="5"/>
      <c r="X840" s="5"/>
      <c r="Y840" s="5"/>
      <c r="Z840" s="5"/>
      <c r="AA840" s="5"/>
      <c r="AB840" s="5"/>
    </row>
    <row r="841" spans="1:28" ht="12.75" customHeight="1">
      <c r="A841" s="5"/>
      <c r="B841" s="5"/>
      <c r="C841" s="5"/>
      <c r="D841" s="5"/>
      <c r="E841" s="217"/>
      <c r="F841" s="198"/>
      <c r="G841" s="198"/>
      <c r="H841" s="888"/>
      <c r="I841" s="217"/>
      <c r="J841" s="306"/>
      <c r="K841" s="306"/>
      <c r="L841" s="306"/>
      <c r="M841" s="306"/>
      <c r="N841" s="306"/>
      <c r="O841" s="5"/>
      <c r="P841" s="5"/>
      <c r="Q841" s="5"/>
      <c r="R841" s="5"/>
      <c r="S841" s="5"/>
      <c r="T841" s="5"/>
      <c r="U841" s="5"/>
      <c r="V841" s="5"/>
      <c r="W841" s="5"/>
      <c r="X841" s="5"/>
      <c r="Y841" s="5"/>
      <c r="Z841" s="5"/>
      <c r="AA841" s="5"/>
      <c r="AB841" s="5"/>
    </row>
    <row r="842" spans="1:28" ht="12.75" customHeight="1">
      <c r="A842" s="5"/>
      <c r="B842" s="5"/>
      <c r="C842" s="5"/>
      <c r="D842" s="5"/>
      <c r="E842" s="217"/>
      <c r="F842" s="198"/>
      <c r="G842" s="198"/>
      <c r="H842" s="888"/>
      <c r="I842" s="217"/>
      <c r="J842" s="306"/>
      <c r="K842" s="306"/>
      <c r="L842" s="306"/>
      <c r="M842" s="306"/>
      <c r="N842" s="306"/>
      <c r="O842" s="5"/>
      <c r="P842" s="5"/>
      <c r="Q842" s="5"/>
      <c r="R842" s="5"/>
      <c r="S842" s="5"/>
      <c r="T842" s="5"/>
      <c r="U842" s="5"/>
      <c r="V842" s="5"/>
      <c r="W842" s="5"/>
      <c r="X842" s="5"/>
      <c r="Y842" s="5"/>
      <c r="Z842" s="5"/>
      <c r="AA842" s="5"/>
      <c r="AB842" s="5"/>
    </row>
    <row r="843" spans="1:28" ht="12.75" customHeight="1">
      <c r="A843" s="5"/>
      <c r="B843" s="5"/>
      <c r="C843" s="5"/>
      <c r="D843" s="5"/>
      <c r="E843" s="217"/>
      <c r="F843" s="198"/>
      <c r="G843" s="198"/>
      <c r="H843" s="888"/>
      <c r="I843" s="217"/>
      <c r="J843" s="306"/>
      <c r="K843" s="306"/>
      <c r="L843" s="306"/>
      <c r="M843" s="306"/>
      <c r="N843" s="306"/>
      <c r="O843" s="5"/>
      <c r="P843" s="5"/>
      <c r="Q843" s="5"/>
      <c r="R843" s="5"/>
      <c r="S843" s="5"/>
      <c r="T843" s="5"/>
      <c r="U843" s="5"/>
      <c r="V843" s="5"/>
      <c r="W843" s="5"/>
      <c r="X843" s="5"/>
      <c r="Y843" s="5"/>
      <c r="Z843" s="5"/>
      <c r="AA843" s="5"/>
      <c r="AB843" s="5"/>
    </row>
    <row r="844" spans="1:28" ht="12.75" customHeight="1">
      <c r="A844" s="5"/>
      <c r="B844" s="5"/>
      <c r="C844" s="5"/>
      <c r="D844" s="5"/>
      <c r="E844" s="217"/>
      <c r="F844" s="198"/>
      <c r="G844" s="198"/>
      <c r="H844" s="888"/>
      <c r="I844" s="217"/>
      <c r="J844" s="306"/>
      <c r="K844" s="306"/>
      <c r="L844" s="306"/>
      <c r="M844" s="306"/>
      <c r="N844" s="306"/>
      <c r="O844" s="5"/>
      <c r="P844" s="5"/>
      <c r="Q844" s="5"/>
      <c r="R844" s="5"/>
      <c r="S844" s="5"/>
      <c r="T844" s="5"/>
      <c r="U844" s="5"/>
      <c r="V844" s="5"/>
      <c r="W844" s="5"/>
      <c r="X844" s="5"/>
      <c r="Y844" s="5"/>
      <c r="Z844" s="5"/>
      <c r="AA844" s="5"/>
      <c r="AB844" s="5"/>
    </row>
    <row r="845" spans="1:28" ht="12.75" customHeight="1">
      <c r="A845" s="5"/>
      <c r="B845" s="5"/>
      <c r="C845" s="5"/>
      <c r="D845" s="5"/>
      <c r="E845" s="217"/>
      <c r="F845" s="198"/>
      <c r="G845" s="198"/>
      <c r="H845" s="888"/>
      <c r="I845" s="217"/>
      <c r="J845" s="306"/>
      <c r="K845" s="306"/>
      <c r="L845" s="306"/>
      <c r="M845" s="306"/>
      <c r="N845" s="306"/>
      <c r="O845" s="5"/>
      <c r="P845" s="5"/>
      <c r="Q845" s="5"/>
      <c r="R845" s="5"/>
      <c r="S845" s="5"/>
      <c r="T845" s="5"/>
      <c r="U845" s="5"/>
      <c r="V845" s="5"/>
      <c r="W845" s="5"/>
      <c r="X845" s="5"/>
      <c r="Y845" s="5"/>
      <c r="Z845" s="5"/>
      <c r="AA845" s="5"/>
      <c r="AB845" s="5"/>
    </row>
    <row r="846" spans="1:28" ht="12.75" customHeight="1">
      <c r="A846" s="5"/>
      <c r="B846" s="5"/>
      <c r="C846" s="5"/>
      <c r="D846" s="5"/>
      <c r="E846" s="217"/>
      <c r="F846" s="198"/>
      <c r="G846" s="198"/>
      <c r="H846" s="888"/>
      <c r="I846" s="217"/>
      <c r="J846" s="306"/>
      <c r="K846" s="306"/>
      <c r="L846" s="306"/>
      <c r="M846" s="306"/>
      <c r="N846" s="306"/>
      <c r="O846" s="5"/>
      <c r="P846" s="5"/>
      <c r="Q846" s="5"/>
      <c r="R846" s="5"/>
      <c r="S846" s="5"/>
      <c r="T846" s="5"/>
      <c r="U846" s="5"/>
      <c r="V846" s="5"/>
      <c r="W846" s="5"/>
      <c r="X846" s="5"/>
      <c r="Y846" s="5"/>
      <c r="Z846" s="5"/>
      <c r="AA846" s="5"/>
      <c r="AB846" s="5"/>
    </row>
    <row r="847" spans="1:28" ht="12.75" customHeight="1">
      <c r="A847" s="5"/>
      <c r="B847" s="5"/>
      <c r="C847" s="5"/>
      <c r="D847" s="5"/>
      <c r="E847" s="217"/>
      <c r="F847" s="198"/>
      <c r="G847" s="198"/>
      <c r="H847" s="888"/>
      <c r="I847" s="217"/>
      <c r="J847" s="306"/>
      <c r="K847" s="306"/>
      <c r="L847" s="306"/>
      <c r="M847" s="306"/>
      <c r="N847" s="306"/>
      <c r="O847" s="5"/>
      <c r="P847" s="5"/>
      <c r="Q847" s="5"/>
      <c r="R847" s="5"/>
      <c r="S847" s="5"/>
      <c r="T847" s="5"/>
      <c r="U847" s="5"/>
      <c r="V847" s="5"/>
      <c r="W847" s="5"/>
      <c r="X847" s="5"/>
      <c r="Y847" s="5"/>
      <c r="Z847" s="5"/>
      <c r="AA847" s="5"/>
      <c r="AB847" s="5"/>
    </row>
    <row r="848" spans="1:28" ht="12.75" customHeight="1">
      <c r="A848" s="5"/>
      <c r="B848" s="5"/>
      <c r="C848" s="5"/>
      <c r="D848" s="5"/>
      <c r="E848" s="217"/>
      <c r="F848" s="198"/>
      <c r="G848" s="198"/>
      <c r="H848" s="888"/>
      <c r="I848" s="217"/>
      <c r="J848" s="306"/>
      <c r="K848" s="306"/>
      <c r="L848" s="306"/>
      <c r="M848" s="306"/>
      <c r="N848" s="306"/>
      <c r="O848" s="5"/>
      <c r="P848" s="5"/>
      <c r="Q848" s="5"/>
      <c r="R848" s="5"/>
      <c r="S848" s="5"/>
      <c r="T848" s="5"/>
      <c r="U848" s="5"/>
      <c r="V848" s="5"/>
      <c r="W848" s="5"/>
      <c r="X848" s="5"/>
      <c r="Y848" s="5"/>
      <c r="Z848" s="5"/>
      <c r="AA848" s="5"/>
      <c r="AB848" s="5"/>
    </row>
    <row r="849" spans="1:28" ht="12.75" customHeight="1">
      <c r="A849" s="5"/>
      <c r="B849" s="5"/>
      <c r="C849" s="5"/>
      <c r="D849" s="5"/>
      <c r="E849" s="217"/>
      <c r="F849" s="198"/>
      <c r="G849" s="198"/>
      <c r="H849" s="888"/>
      <c r="I849" s="217"/>
      <c r="J849" s="306"/>
      <c r="K849" s="306"/>
      <c r="L849" s="306"/>
      <c r="M849" s="306"/>
      <c r="N849" s="306"/>
      <c r="O849" s="5"/>
      <c r="P849" s="5"/>
      <c r="Q849" s="5"/>
      <c r="R849" s="5"/>
      <c r="S849" s="5"/>
      <c r="T849" s="5"/>
      <c r="U849" s="5"/>
      <c r="V849" s="5"/>
      <c r="W849" s="5"/>
      <c r="X849" s="5"/>
      <c r="Y849" s="5"/>
      <c r="Z849" s="5"/>
      <c r="AA849" s="5"/>
      <c r="AB849" s="5"/>
    </row>
    <row r="850" spans="1:28" ht="12.75" customHeight="1">
      <c r="A850" s="5"/>
      <c r="B850" s="5"/>
      <c r="C850" s="5"/>
      <c r="D850" s="5"/>
      <c r="E850" s="217"/>
      <c r="F850" s="198"/>
      <c r="G850" s="198"/>
      <c r="H850" s="888"/>
      <c r="I850" s="217"/>
      <c r="J850" s="306"/>
      <c r="K850" s="306"/>
      <c r="L850" s="306"/>
      <c r="M850" s="306"/>
      <c r="N850" s="306"/>
      <c r="O850" s="5"/>
      <c r="P850" s="5"/>
      <c r="Q850" s="5"/>
      <c r="R850" s="5"/>
      <c r="S850" s="5"/>
      <c r="T850" s="5"/>
      <c r="U850" s="5"/>
      <c r="V850" s="5"/>
      <c r="W850" s="5"/>
      <c r="X850" s="5"/>
      <c r="Y850" s="5"/>
      <c r="Z850" s="5"/>
      <c r="AA850" s="5"/>
      <c r="AB850" s="5"/>
    </row>
    <row r="851" spans="1:28" ht="12.75" customHeight="1">
      <c r="A851" s="5"/>
      <c r="B851" s="5"/>
      <c r="C851" s="5"/>
      <c r="D851" s="5"/>
      <c r="E851" s="217"/>
      <c r="F851" s="198"/>
      <c r="G851" s="198"/>
      <c r="H851" s="888"/>
      <c r="I851" s="217"/>
      <c r="J851" s="306"/>
      <c r="K851" s="306"/>
      <c r="L851" s="306"/>
      <c r="M851" s="306"/>
      <c r="N851" s="306"/>
      <c r="O851" s="5"/>
      <c r="P851" s="5"/>
      <c r="Q851" s="5"/>
      <c r="R851" s="5"/>
      <c r="S851" s="5"/>
      <c r="T851" s="5"/>
      <c r="U851" s="5"/>
      <c r="V851" s="5"/>
      <c r="W851" s="5"/>
      <c r="X851" s="5"/>
      <c r="Y851" s="5"/>
      <c r="Z851" s="5"/>
      <c r="AA851" s="5"/>
      <c r="AB851" s="5"/>
    </row>
    <row r="852" spans="1:28" ht="12.75" customHeight="1">
      <c r="A852" s="5"/>
      <c r="B852" s="5"/>
      <c r="C852" s="5"/>
      <c r="D852" s="5"/>
      <c r="E852" s="217"/>
      <c r="F852" s="198"/>
      <c r="G852" s="198"/>
      <c r="H852" s="888"/>
      <c r="I852" s="217"/>
      <c r="J852" s="306"/>
      <c r="K852" s="306"/>
      <c r="L852" s="306"/>
      <c r="M852" s="306"/>
      <c r="N852" s="306"/>
      <c r="O852" s="5"/>
      <c r="P852" s="5"/>
      <c r="Q852" s="5"/>
      <c r="R852" s="5"/>
      <c r="S852" s="5"/>
      <c r="T852" s="5"/>
      <c r="U852" s="5"/>
      <c r="V852" s="5"/>
      <c r="W852" s="5"/>
      <c r="X852" s="5"/>
      <c r="Y852" s="5"/>
      <c r="Z852" s="5"/>
      <c r="AA852" s="5"/>
      <c r="AB852" s="5"/>
    </row>
    <row r="853" spans="1:28" ht="12.75" customHeight="1">
      <c r="A853" s="5"/>
      <c r="B853" s="5"/>
      <c r="C853" s="5"/>
      <c r="D853" s="5"/>
      <c r="E853" s="217"/>
      <c r="F853" s="198"/>
      <c r="G853" s="198"/>
      <c r="H853" s="888"/>
      <c r="I853" s="217"/>
      <c r="J853" s="306"/>
      <c r="K853" s="306"/>
      <c r="L853" s="306"/>
      <c r="M853" s="306"/>
      <c r="N853" s="306"/>
      <c r="O853" s="5"/>
      <c r="P853" s="5"/>
      <c r="Q853" s="5"/>
      <c r="R853" s="5"/>
      <c r="S853" s="5"/>
      <c r="T853" s="5"/>
      <c r="U853" s="5"/>
      <c r="V853" s="5"/>
      <c r="W853" s="5"/>
      <c r="X853" s="5"/>
      <c r="Y853" s="5"/>
      <c r="Z853" s="5"/>
      <c r="AA853" s="5"/>
      <c r="AB853" s="5"/>
    </row>
    <row r="854" spans="1:28" ht="12.75" customHeight="1">
      <c r="A854" s="5"/>
      <c r="B854" s="5"/>
      <c r="C854" s="5"/>
      <c r="D854" s="5"/>
      <c r="E854" s="217"/>
      <c r="F854" s="198"/>
      <c r="G854" s="198"/>
      <c r="H854" s="888"/>
      <c r="I854" s="217"/>
      <c r="J854" s="306"/>
      <c r="K854" s="306"/>
      <c r="L854" s="306"/>
      <c r="M854" s="306"/>
      <c r="N854" s="306"/>
      <c r="O854" s="5"/>
      <c r="P854" s="5"/>
      <c r="Q854" s="5"/>
      <c r="R854" s="5"/>
      <c r="S854" s="5"/>
      <c r="T854" s="5"/>
      <c r="U854" s="5"/>
      <c r="V854" s="5"/>
      <c r="W854" s="5"/>
      <c r="X854" s="5"/>
      <c r="Y854" s="5"/>
      <c r="Z854" s="5"/>
      <c r="AA854" s="5"/>
      <c r="AB854" s="5"/>
    </row>
    <row r="855" spans="1:28" ht="12.75" customHeight="1">
      <c r="A855" s="5"/>
      <c r="B855" s="5"/>
      <c r="C855" s="5"/>
      <c r="D855" s="5"/>
      <c r="E855" s="217"/>
      <c r="F855" s="198"/>
      <c r="G855" s="198"/>
      <c r="H855" s="888"/>
      <c r="I855" s="217"/>
      <c r="J855" s="306"/>
      <c r="K855" s="306"/>
      <c r="L855" s="306"/>
      <c r="M855" s="306"/>
      <c r="N855" s="306"/>
      <c r="O855" s="5"/>
      <c r="P855" s="5"/>
      <c r="Q855" s="5"/>
      <c r="R855" s="5"/>
      <c r="S855" s="5"/>
      <c r="T855" s="5"/>
      <c r="U855" s="5"/>
      <c r="V855" s="5"/>
      <c r="W855" s="5"/>
      <c r="X855" s="5"/>
      <c r="Y855" s="5"/>
      <c r="Z855" s="5"/>
      <c r="AA855" s="5"/>
      <c r="AB855" s="5"/>
    </row>
    <row r="856" spans="1:28" ht="12.75" customHeight="1">
      <c r="A856" s="5"/>
      <c r="B856" s="5"/>
      <c r="C856" s="5"/>
      <c r="D856" s="5"/>
      <c r="E856" s="217"/>
      <c r="F856" s="198"/>
      <c r="G856" s="198"/>
      <c r="H856" s="888"/>
      <c r="I856" s="217"/>
      <c r="J856" s="306"/>
      <c r="K856" s="306"/>
      <c r="L856" s="306"/>
      <c r="M856" s="306"/>
      <c r="N856" s="306"/>
      <c r="O856" s="5"/>
      <c r="P856" s="5"/>
      <c r="Q856" s="5"/>
      <c r="R856" s="5"/>
      <c r="S856" s="5"/>
      <c r="T856" s="5"/>
      <c r="U856" s="5"/>
      <c r="V856" s="5"/>
      <c r="W856" s="5"/>
      <c r="X856" s="5"/>
      <c r="Y856" s="5"/>
      <c r="Z856" s="5"/>
      <c r="AA856" s="5"/>
      <c r="AB856" s="5"/>
    </row>
    <row r="857" spans="1:28" ht="12.75" customHeight="1">
      <c r="A857" s="5"/>
      <c r="B857" s="5"/>
      <c r="C857" s="5"/>
      <c r="D857" s="5"/>
      <c r="E857" s="217"/>
      <c r="F857" s="198"/>
      <c r="G857" s="198"/>
      <c r="H857" s="888"/>
      <c r="I857" s="217"/>
      <c r="J857" s="306"/>
      <c r="K857" s="306"/>
      <c r="L857" s="306"/>
      <c r="M857" s="306"/>
      <c r="N857" s="306"/>
      <c r="O857" s="5"/>
      <c r="P857" s="5"/>
      <c r="Q857" s="5"/>
      <c r="R857" s="5"/>
      <c r="S857" s="5"/>
      <c r="T857" s="5"/>
      <c r="U857" s="5"/>
      <c r="V857" s="5"/>
      <c r="W857" s="5"/>
      <c r="X857" s="5"/>
      <c r="Y857" s="5"/>
      <c r="Z857" s="5"/>
      <c r="AA857" s="5"/>
      <c r="AB857" s="5"/>
    </row>
    <row r="858" spans="1:28" ht="12.75" customHeight="1">
      <c r="A858" s="5"/>
      <c r="B858" s="5"/>
      <c r="C858" s="5"/>
      <c r="D858" s="5"/>
      <c r="E858" s="217"/>
      <c r="F858" s="198"/>
      <c r="G858" s="198"/>
      <c r="H858" s="888"/>
      <c r="I858" s="217"/>
      <c r="J858" s="306"/>
      <c r="K858" s="306"/>
      <c r="L858" s="306"/>
      <c r="M858" s="306"/>
      <c r="N858" s="306"/>
      <c r="O858" s="5"/>
      <c r="P858" s="5"/>
      <c r="Q858" s="5"/>
      <c r="R858" s="5"/>
      <c r="S858" s="5"/>
      <c r="T858" s="5"/>
      <c r="U858" s="5"/>
      <c r="V858" s="5"/>
      <c r="W858" s="5"/>
      <c r="X858" s="5"/>
      <c r="Y858" s="5"/>
      <c r="Z858" s="5"/>
      <c r="AA858" s="5"/>
      <c r="AB858" s="5"/>
    </row>
    <row r="859" spans="1:28" ht="12.75" customHeight="1">
      <c r="A859" s="5"/>
      <c r="B859" s="5"/>
      <c r="C859" s="5"/>
      <c r="D859" s="5"/>
      <c r="E859" s="217"/>
      <c r="F859" s="198"/>
      <c r="G859" s="198"/>
      <c r="H859" s="888"/>
      <c r="I859" s="217"/>
      <c r="J859" s="306"/>
      <c r="K859" s="306"/>
      <c r="L859" s="306"/>
      <c r="M859" s="306"/>
      <c r="N859" s="306"/>
      <c r="O859" s="5"/>
      <c r="P859" s="5"/>
      <c r="Q859" s="5"/>
      <c r="R859" s="5"/>
      <c r="S859" s="5"/>
      <c r="T859" s="5"/>
      <c r="U859" s="5"/>
      <c r="V859" s="5"/>
      <c r="W859" s="5"/>
      <c r="X859" s="5"/>
      <c r="Y859" s="5"/>
      <c r="Z859" s="5"/>
      <c r="AA859" s="5"/>
      <c r="AB859" s="5"/>
    </row>
    <row r="860" spans="1:28" ht="12.75" customHeight="1">
      <c r="A860" s="5"/>
      <c r="B860" s="5"/>
      <c r="C860" s="5"/>
      <c r="D860" s="5"/>
      <c r="E860" s="217"/>
      <c r="F860" s="198"/>
      <c r="G860" s="198"/>
      <c r="H860" s="888"/>
      <c r="I860" s="217"/>
      <c r="J860" s="306"/>
      <c r="K860" s="306"/>
      <c r="L860" s="306"/>
      <c r="M860" s="306"/>
      <c r="N860" s="306"/>
      <c r="O860" s="5"/>
      <c r="P860" s="5"/>
      <c r="Q860" s="5"/>
      <c r="R860" s="5"/>
      <c r="S860" s="5"/>
      <c r="T860" s="5"/>
      <c r="U860" s="5"/>
      <c r="V860" s="5"/>
      <c r="W860" s="5"/>
      <c r="X860" s="5"/>
      <c r="Y860" s="5"/>
      <c r="Z860" s="5"/>
      <c r="AA860" s="5"/>
      <c r="AB860" s="5"/>
    </row>
    <row r="861" spans="1:28" ht="12.75" customHeight="1">
      <c r="A861" s="5"/>
      <c r="B861" s="5"/>
      <c r="C861" s="5"/>
      <c r="D861" s="5"/>
      <c r="E861" s="217"/>
      <c r="F861" s="198"/>
      <c r="G861" s="198"/>
      <c r="H861" s="888"/>
      <c r="I861" s="217"/>
      <c r="J861" s="306"/>
      <c r="K861" s="306"/>
      <c r="L861" s="306"/>
      <c r="M861" s="306"/>
      <c r="N861" s="306"/>
      <c r="O861" s="5"/>
      <c r="P861" s="5"/>
      <c r="Q861" s="5"/>
      <c r="R861" s="5"/>
      <c r="S861" s="5"/>
      <c r="T861" s="5"/>
      <c r="U861" s="5"/>
      <c r="V861" s="5"/>
      <c r="W861" s="5"/>
      <c r="X861" s="5"/>
      <c r="Y861" s="5"/>
      <c r="Z861" s="5"/>
      <c r="AA861" s="5"/>
      <c r="AB861" s="5"/>
    </row>
    <row r="862" spans="1:28" ht="12.75" customHeight="1">
      <c r="A862" s="5"/>
      <c r="B862" s="5"/>
      <c r="C862" s="5"/>
      <c r="D862" s="5"/>
      <c r="E862" s="217"/>
      <c r="F862" s="198"/>
      <c r="G862" s="198"/>
      <c r="H862" s="888"/>
      <c r="I862" s="217"/>
      <c r="J862" s="306"/>
      <c r="K862" s="306"/>
      <c r="L862" s="306"/>
      <c r="M862" s="306"/>
      <c r="N862" s="306"/>
      <c r="O862" s="5"/>
      <c r="P862" s="5"/>
      <c r="Q862" s="5"/>
      <c r="R862" s="5"/>
      <c r="S862" s="5"/>
      <c r="T862" s="5"/>
      <c r="U862" s="5"/>
      <c r="V862" s="5"/>
      <c r="W862" s="5"/>
      <c r="X862" s="5"/>
      <c r="Y862" s="5"/>
      <c r="Z862" s="5"/>
      <c r="AA862" s="5"/>
      <c r="AB862" s="5"/>
    </row>
    <row r="863" spans="1:28" ht="12.75" customHeight="1">
      <c r="A863" s="5"/>
      <c r="B863" s="5"/>
      <c r="C863" s="5"/>
      <c r="D863" s="5"/>
      <c r="E863" s="217"/>
      <c r="F863" s="198"/>
      <c r="G863" s="198"/>
      <c r="H863" s="888"/>
      <c r="I863" s="217"/>
      <c r="J863" s="306"/>
      <c r="K863" s="306"/>
      <c r="L863" s="306"/>
      <c r="M863" s="306"/>
      <c r="N863" s="306"/>
      <c r="O863" s="5"/>
      <c r="P863" s="5"/>
      <c r="Q863" s="5"/>
      <c r="R863" s="5"/>
      <c r="S863" s="5"/>
      <c r="T863" s="5"/>
      <c r="U863" s="5"/>
      <c r="V863" s="5"/>
      <c r="W863" s="5"/>
      <c r="X863" s="5"/>
      <c r="Y863" s="5"/>
      <c r="Z863" s="5"/>
      <c r="AA863" s="5"/>
      <c r="AB863" s="5"/>
    </row>
    <row r="864" spans="1:28" ht="12.75" customHeight="1">
      <c r="A864" s="5"/>
      <c r="B864" s="5"/>
      <c r="C864" s="5"/>
      <c r="D864" s="5"/>
      <c r="E864" s="217"/>
      <c r="F864" s="198"/>
      <c r="G864" s="198"/>
      <c r="H864" s="888"/>
      <c r="I864" s="217"/>
      <c r="J864" s="306"/>
      <c r="K864" s="306"/>
      <c r="L864" s="306"/>
      <c r="M864" s="306"/>
      <c r="N864" s="306"/>
      <c r="O864" s="5"/>
      <c r="P864" s="5"/>
      <c r="Q864" s="5"/>
      <c r="R864" s="5"/>
      <c r="S864" s="5"/>
      <c r="T864" s="5"/>
      <c r="U864" s="5"/>
      <c r="V864" s="5"/>
      <c r="W864" s="5"/>
      <c r="X864" s="5"/>
      <c r="Y864" s="5"/>
      <c r="Z864" s="5"/>
      <c r="AA864" s="5"/>
      <c r="AB864" s="5"/>
    </row>
    <row r="865" spans="1:28" ht="12.75" customHeight="1">
      <c r="A865" s="5"/>
      <c r="B865" s="5"/>
      <c r="C865" s="5"/>
      <c r="D865" s="5"/>
      <c r="E865" s="217"/>
      <c r="F865" s="198"/>
      <c r="G865" s="198"/>
      <c r="H865" s="888"/>
      <c r="I865" s="217"/>
      <c r="J865" s="306"/>
      <c r="K865" s="306"/>
      <c r="L865" s="306"/>
      <c r="M865" s="306"/>
      <c r="N865" s="306"/>
      <c r="O865" s="5"/>
      <c r="P865" s="5"/>
      <c r="Q865" s="5"/>
      <c r="R865" s="5"/>
      <c r="S865" s="5"/>
      <c r="T865" s="5"/>
      <c r="U865" s="5"/>
      <c r="V865" s="5"/>
      <c r="W865" s="5"/>
      <c r="X865" s="5"/>
      <c r="Y865" s="5"/>
      <c r="Z865" s="5"/>
      <c r="AA865" s="5"/>
      <c r="AB865" s="5"/>
    </row>
    <row r="866" spans="1:28" ht="12.75" customHeight="1">
      <c r="A866" s="5"/>
      <c r="B866" s="5"/>
      <c r="C866" s="5"/>
      <c r="D866" s="5"/>
      <c r="E866" s="217"/>
      <c r="F866" s="198"/>
      <c r="G866" s="198"/>
      <c r="H866" s="888"/>
      <c r="I866" s="217"/>
      <c r="J866" s="306"/>
      <c r="K866" s="306"/>
      <c r="L866" s="306"/>
      <c r="M866" s="306"/>
      <c r="N866" s="306"/>
      <c r="O866" s="5"/>
      <c r="P866" s="5"/>
      <c r="Q866" s="5"/>
      <c r="R866" s="5"/>
      <c r="S866" s="5"/>
      <c r="T866" s="5"/>
      <c r="U866" s="5"/>
      <c r="V866" s="5"/>
      <c r="W866" s="5"/>
      <c r="X866" s="5"/>
      <c r="Y866" s="5"/>
      <c r="Z866" s="5"/>
      <c r="AA866" s="5"/>
      <c r="AB866" s="5"/>
    </row>
    <row r="867" spans="1:28" ht="12.75" customHeight="1">
      <c r="A867" s="5"/>
      <c r="B867" s="5"/>
      <c r="C867" s="5"/>
      <c r="D867" s="5"/>
      <c r="E867" s="217"/>
      <c r="F867" s="198"/>
      <c r="G867" s="198"/>
      <c r="H867" s="888"/>
      <c r="I867" s="217"/>
      <c r="J867" s="306"/>
      <c r="K867" s="306"/>
      <c r="L867" s="306"/>
      <c r="M867" s="306"/>
      <c r="N867" s="306"/>
      <c r="O867" s="5"/>
      <c r="P867" s="5"/>
      <c r="Q867" s="5"/>
      <c r="R867" s="5"/>
      <c r="S867" s="5"/>
      <c r="T867" s="5"/>
      <c r="U867" s="5"/>
      <c r="V867" s="5"/>
      <c r="W867" s="5"/>
      <c r="X867" s="5"/>
      <c r="Y867" s="5"/>
      <c r="Z867" s="5"/>
      <c r="AA867" s="5"/>
      <c r="AB867" s="5"/>
    </row>
    <row r="868" spans="1:28" ht="12.75" customHeight="1">
      <c r="A868" s="5"/>
      <c r="B868" s="5"/>
      <c r="C868" s="5"/>
      <c r="D868" s="5"/>
      <c r="E868" s="217"/>
      <c r="F868" s="198"/>
      <c r="G868" s="198"/>
      <c r="H868" s="888"/>
      <c r="I868" s="217"/>
      <c r="J868" s="306"/>
      <c r="K868" s="306"/>
      <c r="L868" s="306"/>
      <c r="M868" s="306"/>
      <c r="N868" s="306"/>
      <c r="O868" s="5"/>
      <c r="P868" s="5"/>
      <c r="Q868" s="5"/>
      <c r="R868" s="5"/>
      <c r="S868" s="5"/>
      <c r="T868" s="5"/>
      <c r="U868" s="5"/>
      <c r="V868" s="5"/>
      <c r="W868" s="5"/>
      <c r="X868" s="5"/>
      <c r="Y868" s="5"/>
      <c r="Z868" s="5"/>
      <c r="AA868" s="5"/>
      <c r="AB868" s="5"/>
    </row>
    <row r="869" spans="1:28" ht="12.75" customHeight="1">
      <c r="A869" s="5"/>
      <c r="B869" s="5"/>
      <c r="C869" s="5"/>
      <c r="D869" s="5"/>
      <c r="E869" s="217"/>
      <c r="F869" s="198"/>
      <c r="G869" s="198"/>
      <c r="H869" s="888"/>
      <c r="I869" s="217"/>
      <c r="J869" s="306"/>
      <c r="K869" s="306"/>
      <c r="L869" s="306"/>
      <c r="M869" s="306"/>
      <c r="N869" s="306"/>
      <c r="O869" s="5"/>
      <c r="P869" s="5"/>
      <c r="Q869" s="5"/>
      <c r="R869" s="5"/>
      <c r="S869" s="5"/>
      <c r="T869" s="5"/>
      <c r="U869" s="5"/>
      <c r="V869" s="5"/>
      <c r="W869" s="5"/>
      <c r="X869" s="5"/>
      <c r="Y869" s="5"/>
      <c r="Z869" s="5"/>
      <c r="AA869" s="5"/>
      <c r="AB869" s="5"/>
    </row>
    <row r="870" spans="1:28" ht="12.75" customHeight="1">
      <c r="A870" s="5"/>
      <c r="B870" s="5"/>
      <c r="C870" s="5"/>
      <c r="D870" s="5"/>
      <c r="E870" s="217"/>
      <c r="F870" s="198"/>
      <c r="G870" s="198"/>
      <c r="H870" s="888"/>
      <c r="I870" s="217"/>
      <c r="J870" s="306"/>
      <c r="K870" s="306"/>
      <c r="L870" s="306"/>
      <c r="M870" s="306"/>
      <c r="N870" s="306"/>
      <c r="O870" s="5"/>
      <c r="P870" s="5"/>
      <c r="Q870" s="5"/>
      <c r="R870" s="5"/>
      <c r="S870" s="5"/>
      <c r="T870" s="5"/>
      <c r="U870" s="5"/>
      <c r="V870" s="5"/>
      <c r="W870" s="5"/>
      <c r="X870" s="5"/>
      <c r="Y870" s="5"/>
      <c r="Z870" s="5"/>
      <c r="AA870" s="5"/>
      <c r="AB870" s="5"/>
    </row>
    <row r="871" spans="1:28" ht="12.75" customHeight="1">
      <c r="A871" s="5"/>
      <c r="B871" s="5"/>
      <c r="C871" s="5"/>
      <c r="D871" s="5"/>
      <c r="E871" s="217"/>
      <c r="F871" s="198"/>
      <c r="G871" s="198"/>
      <c r="H871" s="888"/>
      <c r="I871" s="217"/>
      <c r="J871" s="306"/>
      <c r="K871" s="306"/>
      <c r="L871" s="306"/>
      <c r="M871" s="306"/>
      <c r="N871" s="306"/>
      <c r="O871" s="5"/>
      <c r="P871" s="5"/>
      <c r="Q871" s="5"/>
      <c r="R871" s="5"/>
      <c r="S871" s="5"/>
      <c r="T871" s="5"/>
      <c r="U871" s="5"/>
      <c r="V871" s="5"/>
      <c r="W871" s="5"/>
      <c r="X871" s="5"/>
      <c r="Y871" s="5"/>
      <c r="Z871" s="5"/>
      <c r="AA871" s="5"/>
      <c r="AB871" s="5"/>
    </row>
    <row r="872" spans="1:28" ht="12.75" customHeight="1">
      <c r="A872" s="5"/>
      <c r="B872" s="5"/>
      <c r="C872" s="5"/>
      <c r="D872" s="5"/>
      <c r="E872" s="217"/>
      <c r="F872" s="198"/>
      <c r="G872" s="198"/>
      <c r="H872" s="888"/>
      <c r="I872" s="217"/>
      <c r="J872" s="306"/>
      <c r="K872" s="306"/>
      <c r="L872" s="306"/>
      <c r="M872" s="306"/>
      <c r="N872" s="306"/>
      <c r="O872" s="5"/>
      <c r="P872" s="5"/>
      <c r="Q872" s="5"/>
      <c r="R872" s="5"/>
      <c r="S872" s="5"/>
      <c r="T872" s="5"/>
      <c r="U872" s="5"/>
      <c r="V872" s="5"/>
      <c r="W872" s="5"/>
      <c r="X872" s="5"/>
      <c r="Y872" s="5"/>
      <c r="Z872" s="5"/>
      <c r="AA872" s="5"/>
      <c r="AB872" s="5"/>
    </row>
    <row r="873" spans="1:28" ht="12.75" customHeight="1">
      <c r="A873" s="5"/>
      <c r="B873" s="5"/>
      <c r="C873" s="5"/>
      <c r="D873" s="5"/>
      <c r="E873" s="217"/>
      <c r="F873" s="198"/>
      <c r="G873" s="198"/>
      <c r="H873" s="888"/>
      <c r="I873" s="217"/>
      <c r="J873" s="306"/>
      <c r="K873" s="306"/>
      <c r="L873" s="306"/>
      <c r="M873" s="306"/>
      <c r="N873" s="306"/>
      <c r="O873" s="5"/>
      <c r="P873" s="5"/>
      <c r="Q873" s="5"/>
      <c r="R873" s="5"/>
      <c r="S873" s="5"/>
      <c r="T873" s="5"/>
      <c r="U873" s="5"/>
      <c r="V873" s="5"/>
      <c r="W873" s="5"/>
      <c r="X873" s="5"/>
      <c r="Y873" s="5"/>
      <c r="Z873" s="5"/>
      <c r="AA873" s="5"/>
      <c r="AB873" s="5"/>
    </row>
    <row r="874" spans="1:28" ht="12.75" customHeight="1">
      <c r="A874" s="5"/>
      <c r="B874" s="5"/>
      <c r="C874" s="5"/>
      <c r="D874" s="5"/>
      <c r="E874" s="217"/>
      <c r="F874" s="198"/>
      <c r="G874" s="198"/>
      <c r="H874" s="888"/>
      <c r="I874" s="217"/>
      <c r="J874" s="306"/>
      <c r="K874" s="306"/>
      <c r="L874" s="306"/>
      <c r="M874" s="306"/>
      <c r="N874" s="306"/>
      <c r="O874" s="5"/>
      <c r="P874" s="5"/>
      <c r="Q874" s="5"/>
      <c r="R874" s="5"/>
      <c r="S874" s="5"/>
      <c r="T874" s="5"/>
      <c r="U874" s="5"/>
      <c r="V874" s="5"/>
      <c r="W874" s="5"/>
      <c r="X874" s="5"/>
      <c r="Y874" s="5"/>
      <c r="Z874" s="5"/>
      <c r="AA874" s="5"/>
      <c r="AB874" s="5"/>
    </row>
    <row r="875" spans="1:28" ht="12.75" customHeight="1">
      <c r="A875" s="5"/>
      <c r="B875" s="5"/>
      <c r="C875" s="5"/>
      <c r="D875" s="5"/>
      <c r="E875" s="217"/>
      <c r="F875" s="198"/>
      <c r="G875" s="198"/>
      <c r="H875" s="888"/>
      <c r="I875" s="217"/>
      <c r="J875" s="306"/>
      <c r="K875" s="306"/>
      <c r="L875" s="306"/>
      <c r="M875" s="306"/>
      <c r="N875" s="306"/>
      <c r="O875" s="5"/>
      <c r="P875" s="5"/>
      <c r="Q875" s="5"/>
      <c r="R875" s="5"/>
      <c r="S875" s="5"/>
      <c r="T875" s="5"/>
      <c r="U875" s="5"/>
      <c r="V875" s="5"/>
      <c r="W875" s="5"/>
      <c r="X875" s="5"/>
      <c r="Y875" s="5"/>
      <c r="Z875" s="5"/>
      <c r="AA875" s="5"/>
      <c r="AB875" s="5"/>
    </row>
    <row r="876" spans="1:28" ht="12.75" customHeight="1">
      <c r="A876" s="5"/>
      <c r="B876" s="5"/>
      <c r="C876" s="5"/>
      <c r="D876" s="5"/>
      <c r="E876" s="217"/>
      <c r="F876" s="198"/>
      <c r="G876" s="198"/>
      <c r="H876" s="888"/>
      <c r="I876" s="217"/>
      <c r="J876" s="306"/>
      <c r="K876" s="306"/>
      <c r="L876" s="306"/>
      <c r="M876" s="306"/>
      <c r="N876" s="306"/>
      <c r="O876" s="5"/>
      <c r="P876" s="5"/>
      <c r="Q876" s="5"/>
      <c r="R876" s="5"/>
      <c r="S876" s="5"/>
      <c r="T876" s="5"/>
      <c r="U876" s="5"/>
      <c r="V876" s="5"/>
      <c r="W876" s="5"/>
      <c r="X876" s="5"/>
      <c r="Y876" s="5"/>
      <c r="Z876" s="5"/>
      <c r="AA876" s="5"/>
      <c r="AB876" s="5"/>
    </row>
    <row r="877" spans="1:28" ht="12.75" customHeight="1">
      <c r="A877" s="5"/>
      <c r="B877" s="5"/>
      <c r="C877" s="5"/>
      <c r="D877" s="5"/>
      <c r="E877" s="217"/>
      <c r="F877" s="198"/>
      <c r="G877" s="198"/>
      <c r="H877" s="888"/>
      <c r="I877" s="217"/>
      <c r="J877" s="306"/>
      <c r="K877" s="306"/>
      <c r="L877" s="306"/>
      <c r="M877" s="306"/>
      <c r="N877" s="306"/>
      <c r="O877" s="5"/>
      <c r="P877" s="5"/>
      <c r="Q877" s="5"/>
      <c r="R877" s="5"/>
      <c r="S877" s="5"/>
      <c r="T877" s="5"/>
      <c r="U877" s="5"/>
      <c r="V877" s="5"/>
      <c r="W877" s="5"/>
      <c r="X877" s="5"/>
      <c r="Y877" s="5"/>
      <c r="Z877" s="5"/>
      <c r="AA877" s="5"/>
      <c r="AB877" s="5"/>
    </row>
    <row r="878" spans="1:28" ht="12.75" customHeight="1">
      <c r="A878" s="5"/>
      <c r="B878" s="5"/>
      <c r="C878" s="5"/>
      <c r="D878" s="5"/>
      <c r="E878" s="217"/>
      <c r="F878" s="198"/>
      <c r="G878" s="198"/>
      <c r="H878" s="888"/>
      <c r="I878" s="217"/>
      <c r="J878" s="306"/>
      <c r="K878" s="306"/>
      <c r="L878" s="306"/>
      <c r="M878" s="306"/>
      <c r="N878" s="306"/>
      <c r="O878" s="5"/>
      <c r="P878" s="5"/>
      <c r="Q878" s="5"/>
      <c r="R878" s="5"/>
      <c r="S878" s="5"/>
      <c r="T878" s="5"/>
      <c r="U878" s="5"/>
      <c r="V878" s="5"/>
      <c r="W878" s="5"/>
      <c r="X878" s="5"/>
      <c r="Y878" s="5"/>
      <c r="Z878" s="5"/>
      <c r="AA878" s="5"/>
      <c r="AB878" s="5"/>
    </row>
    <row r="879" spans="1:28" ht="12.75" customHeight="1">
      <c r="A879" s="5"/>
      <c r="B879" s="5"/>
      <c r="C879" s="5"/>
      <c r="D879" s="5"/>
      <c r="E879" s="217"/>
      <c r="F879" s="198"/>
      <c r="G879" s="198"/>
      <c r="H879" s="888"/>
      <c r="I879" s="217"/>
      <c r="J879" s="306"/>
      <c r="K879" s="306"/>
      <c r="L879" s="306"/>
      <c r="M879" s="306"/>
      <c r="N879" s="306"/>
      <c r="O879" s="5"/>
      <c r="P879" s="5"/>
      <c r="Q879" s="5"/>
      <c r="R879" s="5"/>
      <c r="S879" s="5"/>
      <c r="T879" s="5"/>
      <c r="U879" s="5"/>
      <c r="V879" s="5"/>
      <c r="W879" s="5"/>
      <c r="X879" s="5"/>
      <c r="Y879" s="5"/>
      <c r="Z879" s="5"/>
      <c r="AA879" s="5"/>
      <c r="AB879" s="5"/>
    </row>
    <row r="880" spans="1:28" ht="12.75" customHeight="1">
      <c r="A880" s="5"/>
      <c r="B880" s="5"/>
      <c r="C880" s="5"/>
      <c r="D880" s="5"/>
      <c r="E880" s="217"/>
      <c r="F880" s="198"/>
      <c r="G880" s="198"/>
      <c r="H880" s="888"/>
      <c r="I880" s="217"/>
      <c r="J880" s="306"/>
      <c r="K880" s="306"/>
      <c r="L880" s="306"/>
      <c r="M880" s="306"/>
      <c r="N880" s="306"/>
      <c r="O880" s="5"/>
      <c r="P880" s="5"/>
      <c r="Q880" s="5"/>
      <c r="R880" s="5"/>
      <c r="S880" s="5"/>
      <c r="T880" s="5"/>
      <c r="U880" s="5"/>
      <c r="V880" s="5"/>
      <c r="W880" s="5"/>
      <c r="X880" s="5"/>
      <c r="Y880" s="5"/>
      <c r="Z880" s="5"/>
      <c r="AA880" s="5"/>
      <c r="AB880" s="5"/>
    </row>
    <row r="881" spans="1:28" ht="12.75" customHeight="1">
      <c r="A881" s="5"/>
      <c r="B881" s="5"/>
      <c r="C881" s="5"/>
      <c r="D881" s="5"/>
      <c r="E881" s="217"/>
      <c r="F881" s="198"/>
      <c r="G881" s="198"/>
      <c r="H881" s="888"/>
      <c r="I881" s="217"/>
      <c r="J881" s="306"/>
      <c r="K881" s="306"/>
      <c r="L881" s="306"/>
      <c r="M881" s="306"/>
      <c r="N881" s="306"/>
      <c r="O881" s="5"/>
      <c r="P881" s="5"/>
      <c r="Q881" s="5"/>
      <c r="R881" s="5"/>
      <c r="S881" s="5"/>
      <c r="T881" s="5"/>
      <c r="U881" s="5"/>
      <c r="V881" s="5"/>
      <c r="W881" s="5"/>
      <c r="X881" s="5"/>
      <c r="Y881" s="5"/>
      <c r="Z881" s="5"/>
      <c r="AA881" s="5"/>
      <c r="AB881" s="5"/>
    </row>
    <row r="882" spans="1:28" ht="12.75" customHeight="1">
      <c r="A882" s="5"/>
      <c r="B882" s="5"/>
      <c r="C882" s="5"/>
      <c r="D882" s="5"/>
      <c r="E882" s="217"/>
      <c r="F882" s="198"/>
      <c r="G882" s="198"/>
      <c r="H882" s="888"/>
      <c r="I882" s="217"/>
      <c r="J882" s="306"/>
      <c r="K882" s="306"/>
      <c r="L882" s="306"/>
      <c r="M882" s="306"/>
      <c r="N882" s="306"/>
      <c r="O882" s="5"/>
      <c r="P882" s="5"/>
      <c r="Q882" s="5"/>
      <c r="R882" s="5"/>
      <c r="S882" s="5"/>
      <c r="T882" s="5"/>
      <c r="U882" s="5"/>
      <c r="V882" s="5"/>
      <c r="W882" s="5"/>
      <c r="X882" s="5"/>
      <c r="Y882" s="5"/>
      <c r="Z882" s="5"/>
      <c r="AA882" s="5"/>
      <c r="AB882" s="5"/>
    </row>
    <row r="883" spans="1:28" ht="12.75" customHeight="1">
      <c r="A883" s="5"/>
      <c r="B883" s="5"/>
      <c r="C883" s="5"/>
      <c r="D883" s="5"/>
      <c r="E883" s="217"/>
      <c r="F883" s="198"/>
      <c r="G883" s="198"/>
      <c r="H883" s="888"/>
      <c r="I883" s="217"/>
      <c r="J883" s="306"/>
      <c r="K883" s="306"/>
      <c r="L883" s="306"/>
      <c r="M883" s="306"/>
      <c r="N883" s="306"/>
      <c r="O883" s="5"/>
      <c r="P883" s="5"/>
      <c r="Q883" s="5"/>
      <c r="R883" s="5"/>
      <c r="S883" s="5"/>
      <c r="T883" s="5"/>
      <c r="U883" s="5"/>
      <c r="V883" s="5"/>
      <c r="W883" s="5"/>
      <c r="X883" s="5"/>
      <c r="Y883" s="5"/>
      <c r="Z883" s="5"/>
      <c r="AA883" s="5"/>
      <c r="AB883" s="5"/>
    </row>
    <row r="884" spans="1:28" ht="12.75" customHeight="1">
      <c r="A884" s="5"/>
      <c r="B884" s="5"/>
      <c r="C884" s="5"/>
      <c r="D884" s="5"/>
      <c r="E884" s="217"/>
      <c r="F884" s="198"/>
      <c r="G884" s="198"/>
      <c r="H884" s="888"/>
      <c r="I884" s="217"/>
      <c r="J884" s="306"/>
      <c r="K884" s="306"/>
      <c r="L884" s="306"/>
      <c r="M884" s="306"/>
      <c r="N884" s="306"/>
      <c r="O884" s="5"/>
      <c r="P884" s="5"/>
      <c r="Q884" s="5"/>
      <c r="R884" s="5"/>
      <c r="S884" s="5"/>
      <c r="T884" s="5"/>
      <c r="U884" s="5"/>
      <c r="V884" s="5"/>
      <c r="W884" s="5"/>
      <c r="X884" s="5"/>
      <c r="Y884" s="5"/>
      <c r="Z884" s="5"/>
      <c r="AA884" s="5"/>
      <c r="AB884" s="5"/>
    </row>
    <row r="885" spans="1:28" ht="12.75" customHeight="1">
      <c r="A885" s="5"/>
      <c r="B885" s="5"/>
      <c r="C885" s="5"/>
      <c r="D885" s="5"/>
      <c r="E885" s="217"/>
      <c r="F885" s="198"/>
      <c r="G885" s="198"/>
      <c r="H885" s="888"/>
      <c r="I885" s="217"/>
      <c r="J885" s="306"/>
      <c r="K885" s="306"/>
      <c r="L885" s="306"/>
      <c r="M885" s="306"/>
      <c r="N885" s="306"/>
      <c r="O885" s="5"/>
      <c r="P885" s="5"/>
      <c r="Q885" s="5"/>
      <c r="R885" s="5"/>
      <c r="S885" s="5"/>
      <c r="T885" s="5"/>
      <c r="U885" s="5"/>
      <c r="V885" s="5"/>
      <c r="W885" s="5"/>
      <c r="X885" s="5"/>
      <c r="Y885" s="5"/>
      <c r="Z885" s="5"/>
      <c r="AA885" s="5"/>
      <c r="AB885" s="5"/>
    </row>
    <row r="886" spans="1:28" ht="12.75" customHeight="1">
      <c r="A886" s="5"/>
      <c r="B886" s="5"/>
      <c r="C886" s="5"/>
      <c r="D886" s="5"/>
      <c r="E886" s="217"/>
      <c r="F886" s="198"/>
      <c r="G886" s="198"/>
      <c r="H886" s="888"/>
      <c r="I886" s="217"/>
      <c r="J886" s="306"/>
      <c r="K886" s="306"/>
      <c r="L886" s="306"/>
      <c r="M886" s="306"/>
      <c r="N886" s="306"/>
      <c r="O886" s="5"/>
      <c r="P886" s="5"/>
      <c r="Q886" s="5"/>
      <c r="R886" s="5"/>
      <c r="S886" s="5"/>
      <c r="T886" s="5"/>
      <c r="U886" s="5"/>
      <c r="V886" s="5"/>
      <c r="W886" s="5"/>
      <c r="X886" s="5"/>
      <c r="Y886" s="5"/>
      <c r="Z886" s="5"/>
      <c r="AA886" s="5"/>
      <c r="AB886" s="5"/>
    </row>
    <row r="887" spans="1:28" ht="12.75" customHeight="1">
      <c r="A887" s="5"/>
      <c r="B887" s="5"/>
      <c r="C887" s="5"/>
      <c r="D887" s="5"/>
      <c r="E887" s="217"/>
      <c r="F887" s="198"/>
      <c r="G887" s="198"/>
      <c r="H887" s="888"/>
      <c r="I887" s="217"/>
      <c r="J887" s="306"/>
      <c r="K887" s="306"/>
      <c r="L887" s="306"/>
      <c r="M887" s="306"/>
      <c r="N887" s="306"/>
      <c r="O887" s="5"/>
      <c r="P887" s="5"/>
      <c r="Q887" s="5"/>
      <c r="R887" s="5"/>
      <c r="S887" s="5"/>
      <c r="T887" s="5"/>
      <c r="U887" s="5"/>
      <c r="V887" s="5"/>
      <c r="W887" s="5"/>
      <c r="X887" s="5"/>
      <c r="Y887" s="5"/>
      <c r="Z887" s="5"/>
      <c r="AA887" s="5"/>
      <c r="AB887" s="5"/>
    </row>
    <row r="888" spans="1:28" ht="12.75" customHeight="1">
      <c r="A888" s="5"/>
      <c r="B888" s="5"/>
      <c r="C888" s="5"/>
      <c r="D888" s="5"/>
      <c r="E888" s="217"/>
      <c r="F888" s="198"/>
      <c r="G888" s="198"/>
      <c r="H888" s="888"/>
      <c r="I888" s="217"/>
      <c r="J888" s="306"/>
      <c r="K888" s="306"/>
      <c r="L888" s="306"/>
      <c r="M888" s="306"/>
      <c r="N888" s="306"/>
      <c r="O888" s="5"/>
      <c r="P888" s="5"/>
      <c r="Q888" s="5"/>
      <c r="R888" s="5"/>
      <c r="S888" s="5"/>
      <c r="T888" s="5"/>
      <c r="U888" s="5"/>
      <c r="V888" s="5"/>
      <c r="W888" s="5"/>
      <c r="X888" s="5"/>
      <c r="Y888" s="5"/>
      <c r="Z888" s="5"/>
      <c r="AA888" s="5"/>
      <c r="AB888" s="5"/>
    </row>
    <row r="889" spans="1:28" ht="12.75" customHeight="1">
      <c r="A889" s="5"/>
      <c r="B889" s="5"/>
      <c r="C889" s="5"/>
      <c r="D889" s="5"/>
      <c r="E889" s="217"/>
      <c r="F889" s="198"/>
      <c r="G889" s="198"/>
      <c r="H889" s="888"/>
      <c r="I889" s="217"/>
      <c r="J889" s="306"/>
      <c r="K889" s="306"/>
      <c r="L889" s="306"/>
      <c r="M889" s="306"/>
      <c r="N889" s="306"/>
      <c r="O889" s="5"/>
      <c r="P889" s="5"/>
      <c r="Q889" s="5"/>
      <c r="R889" s="5"/>
      <c r="S889" s="5"/>
      <c r="T889" s="5"/>
      <c r="U889" s="5"/>
      <c r="V889" s="5"/>
      <c r="W889" s="5"/>
      <c r="X889" s="5"/>
      <c r="Y889" s="5"/>
      <c r="Z889" s="5"/>
      <c r="AA889" s="5"/>
      <c r="AB889" s="5"/>
    </row>
    <row r="890" spans="1:28" ht="12.75" customHeight="1">
      <c r="A890" s="5"/>
      <c r="B890" s="5"/>
      <c r="C890" s="5"/>
      <c r="D890" s="5"/>
      <c r="E890" s="217"/>
      <c r="F890" s="198"/>
      <c r="G890" s="198"/>
      <c r="H890" s="888"/>
      <c r="I890" s="217"/>
      <c r="J890" s="306"/>
      <c r="K890" s="306"/>
      <c r="L890" s="306"/>
      <c r="M890" s="306"/>
      <c r="N890" s="306"/>
      <c r="O890" s="5"/>
      <c r="P890" s="5"/>
      <c r="Q890" s="5"/>
      <c r="R890" s="5"/>
      <c r="S890" s="5"/>
      <c r="T890" s="5"/>
      <c r="U890" s="5"/>
      <c r="V890" s="5"/>
      <c r="W890" s="5"/>
      <c r="X890" s="5"/>
      <c r="Y890" s="5"/>
      <c r="Z890" s="5"/>
      <c r="AA890" s="5"/>
      <c r="AB890" s="5"/>
    </row>
    <row r="891" spans="1:28" ht="12.75" customHeight="1">
      <c r="A891" s="5"/>
      <c r="B891" s="5"/>
      <c r="C891" s="5"/>
      <c r="D891" s="5"/>
      <c r="E891" s="217"/>
      <c r="F891" s="198"/>
      <c r="G891" s="198"/>
      <c r="H891" s="888"/>
      <c r="I891" s="217"/>
      <c r="J891" s="306"/>
      <c r="K891" s="306"/>
      <c r="L891" s="306"/>
      <c r="M891" s="306"/>
      <c r="N891" s="306"/>
      <c r="O891" s="5"/>
      <c r="P891" s="5"/>
      <c r="Q891" s="5"/>
      <c r="R891" s="5"/>
      <c r="S891" s="5"/>
      <c r="T891" s="5"/>
      <c r="U891" s="5"/>
      <c r="V891" s="5"/>
      <c r="W891" s="5"/>
      <c r="X891" s="5"/>
      <c r="Y891" s="5"/>
      <c r="Z891" s="5"/>
      <c r="AA891" s="5"/>
      <c r="AB891" s="5"/>
    </row>
    <row r="892" spans="1:28" ht="12.75" customHeight="1">
      <c r="A892" s="5"/>
      <c r="B892" s="5"/>
      <c r="C892" s="5"/>
      <c r="D892" s="5"/>
      <c r="E892" s="217"/>
      <c r="F892" s="198"/>
      <c r="G892" s="198"/>
      <c r="H892" s="888"/>
      <c r="I892" s="217"/>
      <c r="J892" s="306"/>
      <c r="K892" s="306"/>
      <c r="L892" s="306"/>
      <c r="M892" s="306"/>
      <c r="N892" s="306"/>
      <c r="O892" s="5"/>
      <c r="P892" s="5"/>
      <c r="Q892" s="5"/>
      <c r="R892" s="5"/>
      <c r="S892" s="5"/>
      <c r="T892" s="5"/>
      <c r="U892" s="5"/>
      <c r="V892" s="5"/>
      <c r="W892" s="5"/>
      <c r="X892" s="5"/>
      <c r="Y892" s="5"/>
      <c r="Z892" s="5"/>
      <c r="AA892" s="5"/>
      <c r="AB892" s="5"/>
    </row>
    <row r="893" spans="1:28" ht="12.75" customHeight="1">
      <c r="A893" s="5"/>
      <c r="B893" s="5"/>
      <c r="C893" s="5"/>
      <c r="D893" s="5"/>
      <c r="E893" s="217"/>
      <c r="F893" s="198"/>
      <c r="G893" s="198"/>
      <c r="H893" s="888"/>
      <c r="I893" s="217"/>
      <c r="J893" s="306"/>
      <c r="K893" s="306"/>
      <c r="L893" s="306"/>
      <c r="M893" s="306"/>
      <c r="N893" s="306"/>
      <c r="O893" s="5"/>
      <c r="P893" s="5"/>
      <c r="Q893" s="5"/>
      <c r="R893" s="5"/>
      <c r="S893" s="5"/>
      <c r="T893" s="5"/>
      <c r="U893" s="5"/>
      <c r="V893" s="5"/>
      <c r="W893" s="5"/>
      <c r="X893" s="5"/>
      <c r="Y893" s="5"/>
      <c r="Z893" s="5"/>
      <c r="AA893" s="5"/>
      <c r="AB893" s="5"/>
    </row>
    <row r="894" spans="1:28" ht="12.75" customHeight="1">
      <c r="A894" s="5"/>
      <c r="B894" s="5"/>
      <c r="C894" s="5"/>
      <c r="D894" s="5"/>
      <c r="E894" s="217"/>
      <c r="F894" s="198"/>
      <c r="G894" s="198"/>
      <c r="H894" s="888"/>
      <c r="I894" s="217"/>
      <c r="J894" s="306"/>
      <c r="K894" s="306"/>
      <c r="L894" s="306"/>
      <c r="M894" s="306"/>
      <c r="N894" s="306"/>
      <c r="O894" s="5"/>
      <c r="P894" s="5"/>
      <c r="Q894" s="5"/>
      <c r="R894" s="5"/>
      <c r="S894" s="5"/>
      <c r="T894" s="5"/>
      <c r="U894" s="5"/>
      <c r="V894" s="5"/>
      <c r="W894" s="5"/>
      <c r="X894" s="5"/>
      <c r="Y894" s="5"/>
      <c r="Z894" s="5"/>
      <c r="AA894" s="5"/>
      <c r="AB894" s="5"/>
    </row>
    <row r="895" spans="1:28" ht="12.75" customHeight="1">
      <c r="A895" s="5"/>
      <c r="B895" s="5"/>
      <c r="C895" s="5"/>
      <c r="D895" s="5"/>
      <c r="E895" s="217"/>
      <c r="F895" s="198"/>
      <c r="G895" s="198"/>
      <c r="H895" s="888"/>
      <c r="I895" s="217"/>
      <c r="J895" s="306"/>
      <c r="K895" s="306"/>
      <c r="L895" s="306"/>
      <c r="M895" s="306"/>
      <c r="N895" s="306"/>
      <c r="O895" s="5"/>
      <c r="P895" s="5"/>
      <c r="Q895" s="5"/>
      <c r="R895" s="5"/>
      <c r="S895" s="5"/>
      <c r="T895" s="5"/>
      <c r="U895" s="5"/>
      <c r="V895" s="5"/>
      <c r="W895" s="5"/>
      <c r="X895" s="5"/>
      <c r="Y895" s="5"/>
      <c r="Z895" s="5"/>
      <c r="AA895" s="5"/>
      <c r="AB895" s="5"/>
    </row>
    <row r="896" spans="1:28" ht="12.75" customHeight="1">
      <c r="A896" s="5"/>
      <c r="B896" s="5"/>
      <c r="C896" s="5"/>
      <c r="D896" s="5"/>
      <c r="E896" s="217"/>
      <c r="F896" s="198"/>
      <c r="G896" s="198"/>
      <c r="H896" s="888"/>
      <c r="I896" s="217"/>
      <c r="J896" s="306"/>
      <c r="K896" s="306"/>
      <c r="L896" s="306"/>
      <c r="M896" s="306"/>
      <c r="N896" s="306"/>
      <c r="O896" s="5"/>
      <c r="P896" s="5"/>
      <c r="Q896" s="5"/>
      <c r="R896" s="5"/>
      <c r="S896" s="5"/>
      <c r="T896" s="5"/>
      <c r="U896" s="5"/>
      <c r="V896" s="5"/>
      <c r="W896" s="5"/>
      <c r="X896" s="5"/>
      <c r="Y896" s="5"/>
      <c r="Z896" s="5"/>
      <c r="AA896" s="5"/>
      <c r="AB896" s="5"/>
    </row>
    <row r="897" spans="1:28" ht="12.75" customHeight="1">
      <c r="A897" s="5"/>
      <c r="B897" s="5"/>
      <c r="C897" s="5"/>
      <c r="D897" s="5"/>
      <c r="E897" s="217"/>
      <c r="F897" s="198"/>
      <c r="G897" s="198"/>
      <c r="H897" s="888"/>
      <c r="I897" s="217"/>
      <c r="J897" s="306"/>
      <c r="K897" s="306"/>
      <c r="L897" s="306"/>
      <c r="M897" s="306"/>
      <c r="N897" s="306"/>
      <c r="O897" s="5"/>
      <c r="P897" s="5"/>
      <c r="Q897" s="5"/>
      <c r="R897" s="5"/>
      <c r="S897" s="5"/>
      <c r="T897" s="5"/>
      <c r="U897" s="5"/>
      <c r="V897" s="5"/>
      <c r="W897" s="5"/>
      <c r="X897" s="5"/>
      <c r="Y897" s="5"/>
      <c r="Z897" s="5"/>
      <c r="AA897" s="5"/>
      <c r="AB897" s="5"/>
    </row>
    <row r="898" spans="1:28" ht="12.75" customHeight="1">
      <c r="A898" s="5"/>
      <c r="B898" s="5"/>
      <c r="C898" s="5"/>
      <c r="D898" s="5"/>
      <c r="E898" s="217"/>
      <c r="F898" s="198"/>
      <c r="G898" s="198"/>
      <c r="H898" s="888"/>
      <c r="I898" s="217"/>
      <c r="J898" s="306"/>
      <c r="K898" s="306"/>
      <c r="L898" s="306"/>
      <c r="M898" s="306"/>
      <c r="N898" s="306"/>
      <c r="O898" s="5"/>
      <c r="P898" s="5"/>
      <c r="Q898" s="5"/>
      <c r="R898" s="5"/>
      <c r="S898" s="5"/>
      <c r="T898" s="5"/>
      <c r="U898" s="5"/>
      <c r="V898" s="5"/>
      <c r="W898" s="5"/>
      <c r="X898" s="5"/>
      <c r="Y898" s="5"/>
      <c r="Z898" s="5"/>
      <c r="AA898" s="5"/>
      <c r="AB898" s="5"/>
    </row>
    <row r="899" spans="1:28" ht="12.75" customHeight="1">
      <c r="A899" s="5"/>
      <c r="B899" s="5"/>
      <c r="C899" s="5"/>
      <c r="D899" s="5"/>
      <c r="E899" s="217"/>
      <c r="F899" s="198"/>
      <c r="G899" s="198"/>
      <c r="H899" s="888"/>
      <c r="I899" s="217"/>
      <c r="J899" s="306"/>
      <c r="K899" s="306"/>
      <c r="L899" s="306"/>
      <c r="M899" s="306"/>
      <c r="N899" s="306"/>
      <c r="O899" s="5"/>
      <c r="P899" s="5"/>
      <c r="Q899" s="5"/>
      <c r="R899" s="5"/>
      <c r="S899" s="5"/>
      <c r="T899" s="5"/>
      <c r="U899" s="5"/>
      <c r="V899" s="5"/>
      <c r="W899" s="5"/>
      <c r="X899" s="5"/>
      <c r="Y899" s="5"/>
      <c r="Z899" s="5"/>
      <c r="AA899" s="5"/>
      <c r="AB899" s="5"/>
    </row>
    <row r="900" spans="1:28" ht="12.75" customHeight="1">
      <c r="A900" s="5"/>
      <c r="B900" s="5"/>
      <c r="C900" s="5"/>
      <c r="D900" s="5"/>
      <c r="E900" s="217"/>
      <c r="F900" s="198"/>
      <c r="G900" s="198"/>
      <c r="H900" s="888"/>
      <c r="I900" s="217"/>
      <c r="J900" s="306"/>
      <c r="K900" s="306"/>
      <c r="L900" s="306"/>
      <c r="M900" s="306"/>
      <c r="N900" s="306"/>
      <c r="O900" s="5"/>
      <c r="P900" s="5"/>
      <c r="Q900" s="5"/>
      <c r="R900" s="5"/>
      <c r="S900" s="5"/>
      <c r="T900" s="5"/>
      <c r="U900" s="5"/>
      <c r="V900" s="5"/>
      <c r="W900" s="5"/>
      <c r="X900" s="5"/>
      <c r="Y900" s="5"/>
      <c r="Z900" s="5"/>
      <c r="AA900" s="5"/>
      <c r="AB900" s="5"/>
    </row>
    <row r="901" spans="1:28" ht="12.75" customHeight="1">
      <c r="A901" s="5"/>
      <c r="B901" s="5"/>
      <c r="C901" s="5"/>
      <c r="D901" s="5"/>
      <c r="E901" s="217"/>
      <c r="F901" s="198"/>
      <c r="G901" s="198"/>
      <c r="H901" s="888"/>
      <c r="I901" s="217"/>
      <c r="J901" s="306"/>
      <c r="K901" s="306"/>
      <c r="L901" s="306"/>
      <c r="M901" s="306"/>
      <c r="N901" s="306"/>
      <c r="O901" s="5"/>
      <c r="P901" s="5"/>
      <c r="Q901" s="5"/>
      <c r="R901" s="5"/>
      <c r="S901" s="5"/>
      <c r="T901" s="5"/>
      <c r="U901" s="5"/>
      <c r="V901" s="5"/>
      <c r="W901" s="5"/>
      <c r="X901" s="5"/>
      <c r="Y901" s="5"/>
      <c r="Z901" s="5"/>
      <c r="AA901" s="5"/>
      <c r="AB901" s="5"/>
    </row>
    <row r="902" spans="1:28" ht="12.75" customHeight="1">
      <c r="A902" s="5"/>
      <c r="B902" s="5"/>
      <c r="C902" s="5"/>
      <c r="D902" s="5"/>
      <c r="E902" s="217"/>
      <c r="F902" s="198"/>
      <c r="G902" s="198"/>
      <c r="H902" s="888"/>
      <c r="I902" s="217"/>
      <c r="J902" s="306"/>
      <c r="K902" s="306"/>
      <c r="L902" s="306"/>
      <c r="M902" s="306"/>
      <c r="N902" s="306"/>
      <c r="O902" s="5"/>
      <c r="P902" s="5"/>
      <c r="Q902" s="5"/>
      <c r="R902" s="5"/>
      <c r="S902" s="5"/>
      <c r="T902" s="5"/>
      <c r="U902" s="5"/>
      <c r="V902" s="5"/>
      <c r="W902" s="5"/>
      <c r="X902" s="5"/>
      <c r="Y902" s="5"/>
      <c r="Z902" s="5"/>
      <c r="AA902" s="5"/>
      <c r="AB902" s="5"/>
    </row>
    <row r="903" spans="1:28" ht="12.75" customHeight="1">
      <c r="A903" s="5"/>
      <c r="B903" s="5"/>
      <c r="C903" s="5"/>
      <c r="D903" s="5"/>
      <c r="E903" s="217"/>
      <c r="F903" s="198"/>
      <c r="G903" s="198"/>
      <c r="H903" s="888"/>
      <c r="I903" s="217"/>
      <c r="J903" s="306"/>
      <c r="K903" s="306"/>
      <c r="L903" s="306"/>
      <c r="M903" s="306"/>
      <c r="N903" s="306"/>
      <c r="O903" s="5"/>
      <c r="P903" s="5"/>
      <c r="Q903" s="5"/>
      <c r="R903" s="5"/>
      <c r="S903" s="5"/>
      <c r="T903" s="5"/>
      <c r="U903" s="5"/>
      <c r="V903" s="5"/>
      <c r="W903" s="5"/>
      <c r="X903" s="5"/>
      <c r="Y903" s="5"/>
      <c r="Z903" s="5"/>
      <c r="AA903" s="5"/>
      <c r="AB903" s="5"/>
    </row>
    <row r="904" spans="1:28" ht="12.75" customHeight="1">
      <c r="A904" s="5"/>
      <c r="B904" s="5"/>
      <c r="C904" s="5"/>
      <c r="D904" s="5"/>
      <c r="E904" s="217"/>
      <c r="F904" s="198"/>
      <c r="G904" s="198"/>
      <c r="H904" s="888"/>
      <c r="I904" s="217"/>
      <c r="J904" s="306"/>
      <c r="K904" s="306"/>
      <c r="L904" s="306"/>
      <c r="M904" s="306"/>
      <c r="N904" s="306"/>
      <c r="O904" s="5"/>
      <c r="P904" s="5"/>
      <c r="Q904" s="5"/>
      <c r="R904" s="5"/>
      <c r="S904" s="5"/>
      <c r="T904" s="5"/>
      <c r="U904" s="5"/>
      <c r="V904" s="5"/>
      <c r="W904" s="5"/>
      <c r="X904" s="5"/>
      <c r="Y904" s="5"/>
      <c r="Z904" s="5"/>
      <c r="AA904" s="5"/>
      <c r="AB904" s="5"/>
    </row>
    <row r="905" spans="1:28" ht="12.75" customHeight="1">
      <c r="A905" s="5"/>
      <c r="B905" s="5"/>
      <c r="C905" s="5"/>
      <c r="D905" s="5"/>
      <c r="E905" s="217"/>
      <c r="F905" s="198"/>
      <c r="G905" s="198"/>
      <c r="H905" s="888"/>
      <c r="I905" s="217"/>
      <c r="J905" s="306"/>
      <c r="K905" s="306"/>
      <c r="L905" s="306"/>
      <c r="M905" s="306"/>
      <c r="N905" s="306"/>
      <c r="O905" s="5"/>
      <c r="P905" s="5"/>
      <c r="Q905" s="5"/>
      <c r="R905" s="5"/>
      <c r="S905" s="5"/>
      <c r="T905" s="5"/>
      <c r="U905" s="5"/>
      <c r="V905" s="5"/>
      <c r="W905" s="5"/>
      <c r="X905" s="5"/>
      <c r="Y905" s="5"/>
      <c r="Z905" s="5"/>
      <c r="AA905" s="5"/>
      <c r="AB905" s="5"/>
    </row>
    <row r="906" spans="1:28" ht="12.75" customHeight="1">
      <c r="A906" s="5"/>
      <c r="B906" s="5"/>
      <c r="C906" s="5"/>
      <c r="D906" s="5"/>
      <c r="E906" s="217"/>
      <c r="F906" s="198"/>
      <c r="G906" s="198"/>
      <c r="H906" s="888"/>
      <c r="I906" s="217"/>
      <c r="J906" s="306"/>
      <c r="K906" s="306"/>
      <c r="L906" s="306"/>
      <c r="M906" s="306"/>
      <c r="N906" s="306"/>
      <c r="O906" s="5"/>
      <c r="P906" s="5"/>
      <c r="Q906" s="5"/>
      <c r="R906" s="5"/>
      <c r="S906" s="5"/>
      <c r="T906" s="5"/>
      <c r="U906" s="5"/>
      <c r="V906" s="5"/>
      <c r="W906" s="5"/>
      <c r="X906" s="5"/>
      <c r="Y906" s="5"/>
      <c r="Z906" s="5"/>
      <c r="AA906" s="5"/>
      <c r="AB906" s="5"/>
    </row>
    <row r="907" spans="1:28" ht="12.75" customHeight="1">
      <c r="A907" s="5"/>
      <c r="B907" s="5"/>
      <c r="C907" s="5"/>
      <c r="D907" s="5"/>
      <c r="E907" s="217"/>
      <c r="F907" s="198"/>
      <c r="G907" s="198"/>
      <c r="H907" s="888"/>
      <c r="I907" s="217"/>
      <c r="J907" s="306"/>
      <c r="K907" s="306"/>
      <c r="L907" s="306"/>
      <c r="M907" s="306"/>
      <c r="N907" s="306"/>
      <c r="O907" s="5"/>
      <c r="P907" s="5"/>
      <c r="Q907" s="5"/>
      <c r="R907" s="5"/>
      <c r="S907" s="5"/>
      <c r="T907" s="5"/>
      <c r="U907" s="5"/>
      <c r="V907" s="5"/>
      <c r="W907" s="5"/>
      <c r="X907" s="5"/>
      <c r="Y907" s="5"/>
      <c r="Z907" s="5"/>
      <c r="AA907" s="5"/>
      <c r="AB907" s="5"/>
    </row>
    <row r="908" spans="1:28" ht="12.75" customHeight="1">
      <c r="A908" s="5"/>
      <c r="B908" s="5"/>
      <c r="C908" s="5"/>
      <c r="D908" s="5"/>
      <c r="E908" s="217"/>
      <c r="F908" s="198"/>
      <c r="G908" s="198"/>
      <c r="H908" s="888"/>
      <c r="I908" s="217"/>
      <c r="J908" s="306"/>
      <c r="K908" s="306"/>
      <c r="L908" s="306"/>
      <c r="M908" s="306"/>
      <c r="N908" s="306"/>
      <c r="O908" s="5"/>
      <c r="P908" s="5"/>
      <c r="Q908" s="5"/>
      <c r="R908" s="5"/>
      <c r="S908" s="5"/>
      <c r="T908" s="5"/>
      <c r="U908" s="5"/>
      <c r="V908" s="5"/>
      <c r="W908" s="5"/>
      <c r="X908" s="5"/>
      <c r="Y908" s="5"/>
      <c r="Z908" s="5"/>
      <c r="AA908" s="5"/>
      <c r="AB908" s="5"/>
    </row>
    <row r="909" spans="1:28" ht="12.75" customHeight="1">
      <c r="A909" s="5"/>
      <c r="B909" s="5"/>
      <c r="C909" s="5"/>
      <c r="D909" s="5"/>
      <c r="E909" s="217"/>
      <c r="F909" s="198"/>
      <c r="G909" s="198"/>
      <c r="H909" s="888"/>
      <c r="I909" s="217"/>
      <c r="J909" s="306"/>
      <c r="K909" s="306"/>
      <c r="L909" s="306"/>
      <c r="M909" s="306"/>
      <c r="N909" s="306"/>
      <c r="O909" s="5"/>
      <c r="P909" s="5"/>
      <c r="Q909" s="5"/>
      <c r="R909" s="5"/>
      <c r="S909" s="5"/>
      <c r="T909" s="5"/>
      <c r="U909" s="5"/>
      <c r="V909" s="5"/>
      <c r="W909" s="5"/>
      <c r="X909" s="5"/>
      <c r="Y909" s="5"/>
      <c r="Z909" s="5"/>
      <c r="AA909" s="5"/>
      <c r="AB909" s="5"/>
    </row>
    <row r="910" spans="1:28" ht="12.75" customHeight="1">
      <c r="A910" s="5"/>
      <c r="B910" s="5"/>
      <c r="C910" s="5"/>
      <c r="D910" s="5"/>
      <c r="E910" s="217"/>
      <c r="F910" s="198"/>
      <c r="G910" s="198"/>
      <c r="H910" s="888"/>
      <c r="I910" s="217"/>
      <c r="J910" s="306"/>
      <c r="K910" s="306"/>
      <c r="L910" s="306"/>
      <c r="M910" s="306"/>
      <c r="N910" s="306"/>
      <c r="O910" s="5"/>
      <c r="P910" s="5"/>
      <c r="Q910" s="5"/>
      <c r="R910" s="5"/>
      <c r="S910" s="5"/>
      <c r="T910" s="5"/>
      <c r="U910" s="5"/>
      <c r="V910" s="5"/>
      <c r="W910" s="5"/>
      <c r="X910" s="5"/>
      <c r="Y910" s="5"/>
      <c r="Z910" s="5"/>
      <c r="AA910" s="5"/>
      <c r="AB910" s="5"/>
    </row>
    <row r="911" spans="1:28" ht="12.75" customHeight="1">
      <c r="A911" s="5"/>
      <c r="B911" s="5"/>
      <c r="C911" s="5"/>
      <c r="D911" s="5"/>
      <c r="E911" s="217"/>
      <c r="F911" s="198"/>
      <c r="G911" s="198"/>
      <c r="H911" s="888"/>
      <c r="I911" s="217"/>
      <c r="J911" s="306"/>
      <c r="K911" s="306"/>
      <c r="L911" s="306"/>
      <c r="M911" s="306"/>
      <c r="N911" s="306"/>
      <c r="O911" s="5"/>
      <c r="P911" s="5"/>
      <c r="Q911" s="5"/>
      <c r="R911" s="5"/>
      <c r="S911" s="5"/>
      <c r="T911" s="5"/>
      <c r="U911" s="5"/>
      <c r="V911" s="5"/>
      <c r="W911" s="5"/>
      <c r="X911" s="5"/>
      <c r="Y911" s="5"/>
      <c r="Z911" s="5"/>
      <c r="AA911" s="5"/>
      <c r="AB911" s="5"/>
    </row>
    <row r="912" spans="1:28" ht="12.75" customHeight="1">
      <c r="A912" s="5"/>
      <c r="B912" s="5"/>
      <c r="C912" s="5"/>
      <c r="D912" s="5"/>
      <c r="E912" s="217"/>
      <c r="F912" s="198"/>
      <c r="G912" s="198"/>
      <c r="H912" s="888"/>
      <c r="I912" s="217"/>
      <c r="J912" s="306"/>
      <c r="K912" s="306"/>
      <c r="L912" s="306"/>
      <c r="M912" s="306"/>
      <c r="N912" s="306"/>
      <c r="O912" s="5"/>
      <c r="P912" s="5"/>
      <c r="Q912" s="5"/>
      <c r="R912" s="5"/>
      <c r="S912" s="5"/>
      <c r="T912" s="5"/>
      <c r="U912" s="5"/>
      <c r="V912" s="5"/>
      <c r="W912" s="5"/>
      <c r="X912" s="5"/>
      <c r="Y912" s="5"/>
      <c r="Z912" s="5"/>
      <c r="AA912" s="5"/>
      <c r="AB912" s="5"/>
    </row>
    <row r="913" spans="1:28" ht="12.75" customHeight="1">
      <c r="A913" s="5"/>
      <c r="B913" s="5"/>
      <c r="C913" s="5"/>
      <c r="D913" s="5"/>
      <c r="E913" s="217"/>
      <c r="F913" s="198"/>
      <c r="G913" s="198"/>
      <c r="H913" s="888"/>
      <c r="I913" s="217"/>
      <c r="J913" s="306"/>
      <c r="K913" s="306"/>
      <c r="L913" s="306"/>
      <c r="M913" s="306"/>
      <c r="N913" s="306"/>
      <c r="O913" s="5"/>
      <c r="P913" s="5"/>
      <c r="Q913" s="5"/>
      <c r="R913" s="5"/>
      <c r="S913" s="5"/>
      <c r="T913" s="5"/>
      <c r="U913" s="5"/>
      <c r="V913" s="5"/>
      <c r="W913" s="5"/>
      <c r="X913" s="5"/>
      <c r="Y913" s="5"/>
      <c r="Z913" s="5"/>
      <c r="AA913" s="5"/>
      <c r="AB913" s="5"/>
    </row>
    <row r="914" spans="1:28" ht="12.75" customHeight="1">
      <c r="A914" s="5"/>
      <c r="B914" s="5"/>
      <c r="C914" s="5"/>
      <c r="D914" s="5"/>
      <c r="E914" s="217"/>
      <c r="F914" s="198"/>
      <c r="G914" s="198"/>
      <c r="H914" s="888"/>
      <c r="I914" s="217"/>
      <c r="J914" s="306"/>
      <c r="K914" s="306"/>
      <c r="L914" s="306"/>
      <c r="M914" s="306"/>
      <c r="N914" s="306"/>
      <c r="O914" s="5"/>
      <c r="P914" s="5"/>
      <c r="Q914" s="5"/>
      <c r="R914" s="5"/>
      <c r="S914" s="5"/>
      <c r="T914" s="5"/>
      <c r="U914" s="5"/>
      <c r="V914" s="5"/>
      <c r="W914" s="5"/>
      <c r="X914" s="5"/>
      <c r="Y914" s="5"/>
      <c r="Z914" s="5"/>
      <c r="AA914" s="5"/>
      <c r="AB914" s="5"/>
    </row>
    <row r="915" spans="1:28" ht="12.75" customHeight="1">
      <c r="A915" s="5"/>
      <c r="B915" s="5"/>
      <c r="C915" s="5"/>
      <c r="D915" s="5"/>
      <c r="E915" s="217"/>
      <c r="F915" s="198"/>
      <c r="G915" s="198"/>
      <c r="H915" s="888"/>
      <c r="I915" s="217"/>
      <c r="J915" s="306"/>
      <c r="K915" s="306"/>
      <c r="L915" s="306"/>
      <c r="M915" s="306"/>
      <c r="N915" s="306"/>
      <c r="O915" s="5"/>
      <c r="P915" s="5"/>
      <c r="Q915" s="5"/>
      <c r="R915" s="5"/>
      <c r="S915" s="5"/>
      <c r="T915" s="5"/>
      <c r="U915" s="5"/>
      <c r="V915" s="5"/>
      <c r="W915" s="5"/>
      <c r="X915" s="5"/>
      <c r="Y915" s="5"/>
      <c r="Z915" s="5"/>
      <c r="AA915" s="5"/>
      <c r="AB915" s="5"/>
    </row>
    <row r="916" spans="1:28" ht="12.75" customHeight="1">
      <c r="A916" s="5"/>
      <c r="B916" s="5"/>
      <c r="C916" s="5"/>
      <c r="D916" s="5"/>
      <c r="E916" s="217"/>
      <c r="F916" s="198"/>
      <c r="G916" s="198"/>
      <c r="H916" s="888"/>
      <c r="I916" s="217"/>
      <c r="J916" s="306"/>
      <c r="K916" s="306"/>
      <c r="L916" s="306"/>
      <c r="M916" s="306"/>
      <c r="N916" s="306"/>
      <c r="O916" s="5"/>
      <c r="P916" s="5"/>
      <c r="Q916" s="5"/>
      <c r="R916" s="5"/>
      <c r="S916" s="5"/>
      <c r="T916" s="5"/>
      <c r="U916" s="5"/>
      <c r="V916" s="5"/>
      <c r="W916" s="5"/>
      <c r="X916" s="5"/>
      <c r="Y916" s="5"/>
      <c r="Z916" s="5"/>
      <c r="AA916" s="5"/>
      <c r="AB916" s="5"/>
    </row>
    <row r="917" spans="1:28" ht="12.75" customHeight="1">
      <c r="A917" s="5"/>
      <c r="B917" s="5"/>
      <c r="C917" s="5"/>
      <c r="D917" s="5"/>
      <c r="E917" s="217"/>
      <c r="F917" s="198"/>
      <c r="G917" s="198"/>
      <c r="H917" s="888"/>
      <c r="I917" s="217"/>
      <c r="J917" s="306"/>
      <c r="K917" s="306"/>
      <c r="L917" s="306"/>
      <c r="M917" s="306"/>
      <c r="N917" s="306"/>
      <c r="O917" s="5"/>
      <c r="P917" s="5"/>
      <c r="Q917" s="5"/>
      <c r="R917" s="5"/>
      <c r="S917" s="5"/>
      <c r="T917" s="5"/>
      <c r="U917" s="5"/>
      <c r="V917" s="5"/>
      <c r="W917" s="5"/>
      <c r="X917" s="5"/>
      <c r="Y917" s="5"/>
      <c r="Z917" s="5"/>
      <c r="AA917" s="5"/>
      <c r="AB917" s="5"/>
    </row>
    <row r="918" spans="1:28" ht="12.75" customHeight="1">
      <c r="A918" s="5"/>
      <c r="B918" s="5"/>
      <c r="C918" s="5"/>
      <c r="D918" s="5"/>
      <c r="E918" s="217"/>
      <c r="F918" s="198"/>
      <c r="G918" s="198"/>
      <c r="H918" s="888"/>
      <c r="I918" s="217"/>
      <c r="J918" s="306"/>
      <c r="K918" s="306"/>
      <c r="L918" s="306"/>
      <c r="M918" s="306"/>
      <c r="N918" s="306"/>
      <c r="O918" s="5"/>
      <c r="P918" s="5"/>
      <c r="Q918" s="5"/>
      <c r="R918" s="5"/>
      <c r="S918" s="5"/>
      <c r="T918" s="5"/>
      <c r="U918" s="5"/>
      <c r="V918" s="5"/>
      <c r="W918" s="5"/>
      <c r="X918" s="5"/>
      <c r="Y918" s="5"/>
      <c r="Z918" s="5"/>
      <c r="AA918" s="5"/>
      <c r="AB918" s="5"/>
    </row>
    <row r="919" spans="1:28" ht="12.75" customHeight="1">
      <c r="A919" s="5"/>
      <c r="B919" s="5"/>
      <c r="C919" s="5"/>
      <c r="D919" s="5"/>
      <c r="E919" s="217"/>
      <c r="F919" s="198"/>
      <c r="G919" s="198"/>
      <c r="H919" s="888"/>
      <c r="I919" s="217"/>
      <c r="J919" s="306"/>
      <c r="K919" s="306"/>
      <c r="L919" s="306"/>
      <c r="M919" s="306"/>
      <c r="N919" s="306"/>
      <c r="O919" s="5"/>
      <c r="P919" s="5"/>
      <c r="Q919" s="5"/>
      <c r="R919" s="5"/>
      <c r="S919" s="5"/>
      <c r="T919" s="5"/>
      <c r="U919" s="5"/>
      <c r="V919" s="5"/>
      <c r="W919" s="5"/>
      <c r="X919" s="5"/>
      <c r="Y919" s="5"/>
      <c r="Z919" s="5"/>
      <c r="AA919" s="5"/>
      <c r="AB919" s="5"/>
    </row>
    <row r="920" spans="1:28" ht="12.75" customHeight="1">
      <c r="A920" s="5"/>
      <c r="B920" s="5"/>
      <c r="C920" s="5"/>
      <c r="D920" s="5"/>
      <c r="E920" s="217"/>
      <c r="F920" s="198"/>
      <c r="G920" s="198"/>
      <c r="H920" s="888"/>
      <c r="I920" s="217"/>
      <c r="J920" s="306"/>
      <c r="K920" s="306"/>
      <c r="L920" s="306"/>
      <c r="M920" s="306"/>
      <c r="N920" s="306"/>
      <c r="O920" s="5"/>
      <c r="P920" s="5"/>
      <c r="Q920" s="5"/>
      <c r="R920" s="5"/>
      <c r="S920" s="5"/>
      <c r="T920" s="5"/>
      <c r="U920" s="5"/>
      <c r="V920" s="5"/>
      <c r="W920" s="5"/>
      <c r="X920" s="5"/>
      <c r="Y920" s="5"/>
      <c r="Z920" s="5"/>
      <c r="AA920" s="5"/>
      <c r="AB920" s="5"/>
    </row>
    <row r="921" spans="1:28" ht="12.75" customHeight="1">
      <c r="A921" s="5"/>
      <c r="B921" s="5"/>
      <c r="C921" s="5"/>
      <c r="D921" s="5"/>
      <c r="E921" s="217"/>
      <c r="F921" s="198"/>
      <c r="G921" s="198"/>
      <c r="H921" s="888"/>
      <c r="I921" s="217"/>
      <c r="J921" s="306"/>
      <c r="K921" s="306"/>
      <c r="L921" s="306"/>
      <c r="M921" s="306"/>
      <c r="N921" s="306"/>
      <c r="O921" s="5"/>
      <c r="P921" s="5"/>
      <c r="Q921" s="5"/>
      <c r="R921" s="5"/>
      <c r="S921" s="5"/>
      <c r="T921" s="5"/>
      <c r="U921" s="5"/>
      <c r="V921" s="5"/>
      <c r="W921" s="5"/>
      <c r="X921" s="5"/>
      <c r="Y921" s="5"/>
      <c r="Z921" s="5"/>
      <c r="AA921" s="5"/>
      <c r="AB921" s="5"/>
    </row>
    <row r="922" spans="1:28" ht="12.75" customHeight="1">
      <c r="A922" s="5"/>
      <c r="B922" s="5"/>
      <c r="C922" s="5"/>
      <c r="D922" s="5"/>
      <c r="E922" s="217"/>
      <c r="F922" s="198"/>
      <c r="G922" s="198"/>
      <c r="H922" s="888"/>
      <c r="I922" s="217"/>
      <c r="J922" s="306"/>
      <c r="K922" s="306"/>
      <c r="L922" s="306"/>
      <c r="M922" s="306"/>
      <c r="N922" s="306"/>
      <c r="O922" s="5"/>
      <c r="P922" s="5"/>
      <c r="Q922" s="5"/>
      <c r="R922" s="5"/>
      <c r="S922" s="5"/>
      <c r="T922" s="5"/>
      <c r="U922" s="5"/>
      <c r="V922" s="5"/>
      <c r="W922" s="5"/>
      <c r="X922" s="5"/>
      <c r="Y922" s="5"/>
      <c r="Z922" s="5"/>
      <c r="AA922" s="5"/>
      <c r="AB922" s="5"/>
    </row>
    <row r="923" spans="1:28" ht="12.75" customHeight="1">
      <c r="A923" s="5"/>
      <c r="B923" s="5"/>
      <c r="C923" s="5"/>
      <c r="D923" s="5"/>
      <c r="E923" s="217"/>
      <c r="F923" s="198"/>
      <c r="G923" s="198"/>
      <c r="H923" s="888"/>
      <c r="I923" s="217"/>
      <c r="J923" s="306"/>
      <c r="K923" s="306"/>
      <c r="L923" s="306"/>
      <c r="M923" s="306"/>
      <c r="N923" s="306"/>
      <c r="O923" s="5"/>
      <c r="P923" s="5"/>
      <c r="Q923" s="5"/>
      <c r="R923" s="5"/>
      <c r="S923" s="5"/>
      <c r="T923" s="5"/>
      <c r="U923" s="5"/>
      <c r="V923" s="5"/>
      <c r="W923" s="5"/>
      <c r="X923" s="5"/>
      <c r="Y923" s="5"/>
      <c r="Z923" s="5"/>
      <c r="AA923" s="5"/>
      <c r="AB923" s="5"/>
    </row>
    <row r="924" spans="1:28" ht="12.75" customHeight="1">
      <c r="A924" s="5"/>
      <c r="B924" s="5"/>
      <c r="C924" s="5"/>
      <c r="D924" s="5"/>
      <c r="E924" s="217"/>
      <c r="F924" s="198"/>
      <c r="G924" s="198"/>
      <c r="H924" s="888"/>
      <c r="I924" s="217"/>
      <c r="J924" s="306"/>
      <c r="K924" s="306"/>
      <c r="L924" s="306"/>
      <c r="M924" s="306"/>
      <c r="N924" s="306"/>
      <c r="O924" s="5"/>
      <c r="P924" s="5"/>
      <c r="Q924" s="5"/>
      <c r="R924" s="5"/>
      <c r="S924" s="5"/>
      <c r="T924" s="5"/>
      <c r="U924" s="5"/>
      <c r="V924" s="5"/>
      <c r="W924" s="5"/>
      <c r="X924" s="5"/>
      <c r="Y924" s="5"/>
      <c r="Z924" s="5"/>
      <c r="AA924" s="5"/>
      <c r="AB924" s="5"/>
    </row>
    <row r="925" spans="1:28" ht="12.75" customHeight="1">
      <c r="A925" s="5"/>
      <c r="B925" s="5"/>
      <c r="C925" s="5"/>
      <c r="D925" s="5"/>
      <c r="E925" s="217"/>
      <c r="F925" s="198"/>
      <c r="G925" s="198"/>
      <c r="H925" s="888"/>
      <c r="I925" s="217"/>
      <c r="J925" s="306"/>
      <c r="K925" s="306"/>
      <c r="L925" s="306"/>
      <c r="M925" s="306"/>
      <c r="N925" s="306"/>
      <c r="O925" s="5"/>
      <c r="P925" s="5"/>
      <c r="Q925" s="5"/>
      <c r="R925" s="5"/>
      <c r="S925" s="5"/>
      <c r="T925" s="5"/>
      <c r="U925" s="5"/>
      <c r="V925" s="5"/>
      <c r="W925" s="5"/>
      <c r="X925" s="5"/>
      <c r="Y925" s="5"/>
      <c r="Z925" s="5"/>
      <c r="AA925" s="5"/>
      <c r="AB925" s="5"/>
    </row>
    <row r="926" spans="1:28" ht="12.75" customHeight="1">
      <c r="A926" s="5"/>
      <c r="B926" s="5"/>
      <c r="C926" s="5"/>
      <c r="D926" s="5"/>
      <c r="E926" s="217"/>
      <c r="F926" s="198"/>
      <c r="G926" s="198"/>
      <c r="H926" s="888"/>
      <c r="I926" s="217"/>
      <c r="J926" s="306"/>
      <c r="K926" s="306"/>
      <c r="L926" s="306"/>
      <c r="M926" s="306"/>
      <c r="N926" s="306"/>
      <c r="O926" s="5"/>
      <c r="P926" s="5"/>
      <c r="Q926" s="5"/>
      <c r="R926" s="5"/>
      <c r="S926" s="5"/>
      <c r="T926" s="5"/>
      <c r="U926" s="5"/>
      <c r="V926" s="5"/>
      <c r="W926" s="5"/>
      <c r="X926" s="5"/>
      <c r="Y926" s="5"/>
      <c r="Z926" s="5"/>
      <c r="AA926" s="5"/>
      <c r="AB926" s="5"/>
    </row>
    <row r="927" spans="1:28" ht="12.75" customHeight="1">
      <c r="A927" s="5"/>
      <c r="B927" s="5"/>
      <c r="C927" s="5"/>
      <c r="D927" s="5"/>
      <c r="E927" s="217"/>
      <c r="F927" s="198"/>
      <c r="G927" s="198"/>
      <c r="H927" s="888"/>
      <c r="I927" s="217"/>
      <c r="J927" s="306"/>
      <c r="K927" s="306"/>
      <c r="L927" s="306"/>
      <c r="M927" s="306"/>
      <c r="N927" s="306"/>
      <c r="O927" s="5"/>
      <c r="P927" s="5"/>
      <c r="Q927" s="5"/>
      <c r="R927" s="5"/>
      <c r="S927" s="5"/>
      <c r="T927" s="5"/>
      <c r="U927" s="5"/>
      <c r="V927" s="5"/>
      <c r="W927" s="5"/>
      <c r="X927" s="5"/>
      <c r="Y927" s="5"/>
      <c r="Z927" s="5"/>
      <c r="AA927" s="5"/>
      <c r="AB927" s="5"/>
    </row>
    <row r="928" spans="1:28" ht="12.75" customHeight="1">
      <c r="A928" s="5"/>
      <c r="B928" s="5"/>
      <c r="C928" s="5"/>
      <c r="D928" s="5"/>
      <c r="E928" s="217"/>
      <c r="F928" s="198"/>
      <c r="G928" s="198"/>
      <c r="H928" s="888"/>
      <c r="I928" s="217"/>
      <c r="J928" s="306"/>
      <c r="K928" s="306"/>
      <c r="L928" s="306"/>
      <c r="M928" s="306"/>
      <c r="N928" s="306"/>
      <c r="O928" s="5"/>
      <c r="P928" s="5"/>
      <c r="Q928" s="5"/>
      <c r="R928" s="5"/>
      <c r="S928" s="5"/>
      <c r="T928" s="5"/>
      <c r="U928" s="5"/>
      <c r="V928" s="5"/>
      <c r="W928" s="5"/>
      <c r="X928" s="5"/>
      <c r="Y928" s="5"/>
      <c r="Z928" s="5"/>
      <c r="AA928" s="5"/>
      <c r="AB928" s="5"/>
    </row>
    <row r="929" spans="1:28" ht="12.75" customHeight="1">
      <c r="A929" s="5"/>
      <c r="B929" s="5"/>
      <c r="C929" s="5"/>
      <c r="D929" s="5"/>
      <c r="E929" s="217"/>
      <c r="F929" s="198"/>
      <c r="G929" s="198"/>
      <c r="H929" s="888"/>
      <c r="I929" s="217"/>
      <c r="J929" s="306"/>
      <c r="K929" s="306"/>
      <c r="L929" s="306"/>
      <c r="M929" s="306"/>
      <c r="N929" s="306"/>
      <c r="O929" s="5"/>
      <c r="P929" s="5"/>
      <c r="Q929" s="5"/>
      <c r="R929" s="5"/>
      <c r="S929" s="5"/>
      <c r="T929" s="5"/>
      <c r="U929" s="5"/>
      <c r="V929" s="5"/>
      <c r="W929" s="5"/>
      <c r="X929" s="5"/>
      <c r="Y929" s="5"/>
      <c r="Z929" s="5"/>
      <c r="AA929" s="5"/>
      <c r="AB929" s="5"/>
    </row>
    <row r="930" spans="1:28" ht="12.75" customHeight="1">
      <c r="A930" s="5"/>
      <c r="B930" s="5"/>
      <c r="C930" s="5"/>
      <c r="D930" s="5"/>
      <c r="E930" s="217"/>
      <c r="F930" s="198"/>
      <c r="G930" s="198"/>
      <c r="H930" s="888"/>
      <c r="I930" s="217"/>
      <c r="J930" s="306"/>
      <c r="K930" s="306"/>
      <c r="L930" s="306"/>
      <c r="M930" s="306"/>
      <c r="N930" s="306"/>
      <c r="O930" s="5"/>
      <c r="P930" s="5"/>
      <c r="Q930" s="5"/>
      <c r="R930" s="5"/>
      <c r="S930" s="5"/>
      <c r="T930" s="5"/>
      <c r="U930" s="5"/>
      <c r="V930" s="5"/>
      <c r="W930" s="5"/>
      <c r="X930" s="5"/>
      <c r="Y930" s="5"/>
      <c r="Z930" s="5"/>
      <c r="AA930" s="5"/>
      <c r="AB930" s="5"/>
    </row>
    <row r="931" spans="1:28" ht="12.75" customHeight="1">
      <c r="A931" s="5"/>
      <c r="B931" s="5"/>
      <c r="C931" s="5"/>
      <c r="D931" s="5"/>
      <c r="E931" s="217"/>
      <c r="F931" s="198"/>
      <c r="G931" s="198"/>
      <c r="H931" s="888"/>
      <c r="I931" s="217"/>
      <c r="J931" s="306"/>
      <c r="K931" s="306"/>
      <c r="L931" s="306"/>
      <c r="M931" s="306"/>
      <c r="N931" s="306"/>
      <c r="O931" s="5"/>
      <c r="P931" s="5"/>
      <c r="Q931" s="5"/>
      <c r="R931" s="5"/>
      <c r="S931" s="5"/>
      <c r="T931" s="5"/>
      <c r="U931" s="5"/>
      <c r="V931" s="5"/>
      <c r="W931" s="5"/>
      <c r="X931" s="5"/>
      <c r="Y931" s="5"/>
      <c r="Z931" s="5"/>
      <c r="AA931" s="5"/>
      <c r="AB931" s="5"/>
    </row>
    <row r="932" spans="1:28" ht="12.75" customHeight="1">
      <c r="A932" s="5"/>
      <c r="B932" s="5"/>
      <c r="C932" s="5"/>
      <c r="D932" s="5"/>
      <c r="E932" s="217"/>
      <c r="F932" s="198"/>
      <c r="G932" s="198"/>
      <c r="H932" s="888"/>
      <c r="I932" s="217"/>
      <c r="J932" s="306"/>
      <c r="K932" s="306"/>
      <c r="L932" s="306"/>
      <c r="M932" s="306"/>
      <c r="N932" s="306"/>
      <c r="O932" s="5"/>
      <c r="P932" s="5"/>
      <c r="Q932" s="5"/>
      <c r="R932" s="5"/>
      <c r="S932" s="5"/>
      <c r="T932" s="5"/>
      <c r="U932" s="5"/>
      <c r="V932" s="5"/>
      <c r="W932" s="5"/>
      <c r="X932" s="5"/>
      <c r="Y932" s="5"/>
      <c r="Z932" s="5"/>
      <c r="AA932" s="5"/>
      <c r="AB932" s="5"/>
    </row>
    <row r="933" spans="1:28" ht="12.75" customHeight="1">
      <c r="A933" s="5"/>
      <c r="B933" s="5"/>
      <c r="C933" s="5"/>
      <c r="D933" s="5"/>
      <c r="E933" s="217"/>
      <c r="F933" s="198"/>
      <c r="G933" s="198"/>
      <c r="H933" s="888"/>
      <c r="I933" s="217"/>
      <c r="J933" s="306"/>
      <c r="K933" s="306"/>
      <c r="L933" s="306"/>
      <c r="M933" s="306"/>
      <c r="N933" s="306"/>
      <c r="O933" s="5"/>
      <c r="P933" s="5"/>
      <c r="Q933" s="5"/>
      <c r="R933" s="5"/>
      <c r="S933" s="5"/>
      <c r="T933" s="5"/>
      <c r="U933" s="5"/>
      <c r="V933" s="5"/>
      <c r="W933" s="5"/>
      <c r="X933" s="5"/>
      <c r="Y933" s="5"/>
      <c r="Z933" s="5"/>
      <c r="AA933" s="5"/>
      <c r="AB933" s="5"/>
    </row>
    <row r="934" spans="1:28" ht="12.75" customHeight="1">
      <c r="A934" s="5"/>
      <c r="B934" s="5"/>
      <c r="C934" s="5"/>
      <c r="D934" s="5"/>
      <c r="E934" s="217"/>
      <c r="F934" s="198"/>
      <c r="G934" s="198"/>
      <c r="H934" s="888"/>
      <c r="I934" s="217"/>
      <c r="J934" s="306"/>
      <c r="K934" s="306"/>
      <c r="L934" s="306"/>
      <c r="M934" s="306"/>
      <c r="N934" s="306"/>
      <c r="O934" s="5"/>
      <c r="P934" s="5"/>
      <c r="Q934" s="5"/>
      <c r="R934" s="5"/>
      <c r="S934" s="5"/>
      <c r="T934" s="5"/>
      <c r="U934" s="5"/>
      <c r="V934" s="5"/>
      <c r="W934" s="5"/>
      <c r="X934" s="5"/>
      <c r="Y934" s="5"/>
      <c r="Z934" s="5"/>
      <c r="AA934" s="5"/>
      <c r="AB934" s="5"/>
    </row>
    <row r="935" spans="1:28" ht="12.75" customHeight="1">
      <c r="A935" s="5"/>
      <c r="B935" s="5"/>
      <c r="C935" s="5"/>
      <c r="D935" s="5"/>
      <c r="E935" s="217"/>
      <c r="F935" s="198"/>
      <c r="G935" s="198"/>
      <c r="H935" s="888"/>
      <c r="I935" s="217"/>
      <c r="J935" s="306"/>
      <c r="K935" s="306"/>
      <c r="L935" s="306"/>
      <c r="M935" s="306"/>
      <c r="N935" s="306"/>
      <c r="O935" s="5"/>
      <c r="P935" s="5"/>
      <c r="Q935" s="5"/>
      <c r="R935" s="5"/>
      <c r="S935" s="5"/>
      <c r="T935" s="5"/>
      <c r="U935" s="5"/>
      <c r="V935" s="5"/>
      <c r="W935" s="5"/>
      <c r="X935" s="5"/>
      <c r="Y935" s="5"/>
      <c r="Z935" s="5"/>
      <c r="AA935" s="5"/>
      <c r="AB935" s="5"/>
    </row>
    <row r="936" spans="1:28" ht="12.75" customHeight="1">
      <c r="A936" s="5"/>
      <c r="B936" s="5"/>
      <c r="C936" s="5"/>
      <c r="D936" s="5"/>
      <c r="E936" s="217"/>
      <c r="F936" s="198"/>
      <c r="G936" s="198"/>
      <c r="H936" s="888"/>
      <c r="I936" s="217"/>
      <c r="J936" s="306"/>
      <c r="K936" s="306"/>
      <c r="L936" s="306"/>
      <c r="M936" s="306"/>
      <c r="N936" s="306"/>
      <c r="O936" s="5"/>
      <c r="P936" s="5"/>
      <c r="Q936" s="5"/>
      <c r="R936" s="5"/>
      <c r="S936" s="5"/>
      <c r="T936" s="5"/>
      <c r="U936" s="5"/>
      <c r="V936" s="5"/>
      <c r="W936" s="5"/>
      <c r="X936" s="5"/>
      <c r="Y936" s="5"/>
      <c r="Z936" s="5"/>
      <c r="AA936" s="5"/>
      <c r="AB936" s="5"/>
    </row>
    <row r="937" spans="1:28" ht="12.75" customHeight="1">
      <c r="A937" s="5"/>
      <c r="B937" s="5"/>
      <c r="C937" s="5"/>
      <c r="D937" s="5"/>
      <c r="E937" s="217"/>
      <c r="F937" s="198"/>
      <c r="G937" s="198"/>
      <c r="H937" s="888"/>
      <c r="I937" s="217"/>
      <c r="J937" s="306"/>
      <c r="K937" s="306"/>
      <c r="L937" s="306"/>
      <c r="M937" s="306"/>
      <c r="N937" s="306"/>
      <c r="O937" s="5"/>
      <c r="P937" s="5"/>
      <c r="Q937" s="5"/>
      <c r="R937" s="5"/>
      <c r="S937" s="5"/>
      <c r="T937" s="5"/>
      <c r="U937" s="5"/>
      <c r="V937" s="5"/>
      <c r="W937" s="5"/>
      <c r="X937" s="5"/>
      <c r="Y937" s="5"/>
      <c r="Z937" s="5"/>
      <c r="AA937" s="5"/>
      <c r="AB937" s="5"/>
    </row>
    <row r="938" spans="1:28" ht="12.75" customHeight="1">
      <c r="A938" s="5"/>
      <c r="B938" s="5"/>
      <c r="C938" s="5"/>
      <c r="D938" s="5"/>
      <c r="E938" s="217"/>
      <c r="F938" s="198"/>
      <c r="G938" s="198"/>
      <c r="H938" s="888"/>
      <c r="I938" s="217"/>
      <c r="J938" s="306"/>
      <c r="K938" s="306"/>
      <c r="L938" s="306"/>
      <c r="M938" s="306"/>
      <c r="N938" s="306"/>
      <c r="O938" s="5"/>
      <c r="P938" s="5"/>
      <c r="Q938" s="5"/>
      <c r="R938" s="5"/>
      <c r="S938" s="5"/>
      <c r="T938" s="5"/>
      <c r="U938" s="5"/>
      <c r="V938" s="5"/>
      <c r="W938" s="5"/>
      <c r="X938" s="5"/>
      <c r="Y938" s="5"/>
      <c r="Z938" s="5"/>
      <c r="AA938" s="5"/>
      <c r="AB938" s="5"/>
    </row>
    <row r="939" spans="1:28" ht="12.75" customHeight="1">
      <c r="A939" s="5"/>
      <c r="B939" s="5"/>
      <c r="C939" s="5"/>
      <c r="D939" s="5"/>
      <c r="E939" s="217"/>
      <c r="F939" s="198"/>
      <c r="G939" s="198"/>
      <c r="H939" s="888"/>
      <c r="I939" s="217"/>
      <c r="J939" s="306"/>
      <c r="K939" s="306"/>
      <c r="L939" s="306"/>
      <c r="M939" s="306"/>
      <c r="N939" s="306"/>
      <c r="O939" s="5"/>
      <c r="P939" s="5"/>
      <c r="Q939" s="5"/>
      <c r="R939" s="5"/>
      <c r="S939" s="5"/>
      <c r="T939" s="5"/>
      <c r="U939" s="5"/>
      <c r="V939" s="5"/>
      <c r="W939" s="5"/>
      <c r="X939" s="5"/>
      <c r="Y939" s="5"/>
      <c r="Z939" s="5"/>
      <c r="AA939" s="5"/>
      <c r="AB939" s="5"/>
    </row>
    <row r="940" spans="1:28" ht="12.75" customHeight="1">
      <c r="A940" s="5"/>
      <c r="B940" s="5"/>
      <c r="C940" s="5"/>
      <c r="D940" s="5"/>
      <c r="E940" s="217"/>
      <c r="F940" s="198"/>
      <c r="G940" s="198"/>
      <c r="H940" s="888"/>
      <c r="I940" s="217"/>
      <c r="J940" s="306"/>
      <c r="K940" s="306"/>
      <c r="L940" s="306"/>
      <c r="M940" s="306"/>
      <c r="N940" s="306"/>
      <c r="O940" s="5"/>
      <c r="P940" s="5"/>
      <c r="Q940" s="5"/>
      <c r="R940" s="5"/>
      <c r="S940" s="5"/>
      <c r="T940" s="5"/>
      <c r="U940" s="5"/>
      <c r="V940" s="5"/>
      <c r="W940" s="5"/>
      <c r="X940" s="5"/>
      <c r="Y940" s="5"/>
      <c r="Z940" s="5"/>
      <c r="AA940" s="5"/>
      <c r="AB940" s="5"/>
    </row>
    <row r="941" spans="1:28" ht="12.75" customHeight="1">
      <c r="A941" s="5"/>
      <c r="B941" s="5"/>
      <c r="C941" s="5"/>
      <c r="D941" s="5"/>
      <c r="E941" s="217"/>
      <c r="F941" s="198"/>
      <c r="G941" s="198"/>
      <c r="H941" s="888"/>
      <c r="I941" s="217"/>
      <c r="J941" s="306"/>
      <c r="K941" s="306"/>
      <c r="L941" s="306"/>
      <c r="M941" s="306"/>
      <c r="N941" s="306"/>
      <c r="O941" s="5"/>
      <c r="P941" s="5"/>
      <c r="Q941" s="5"/>
      <c r="R941" s="5"/>
      <c r="S941" s="5"/>
      <c r="T941" s="5"/>
      <c r="U941" s="5"/>
      <c r="V941" s="5"/>
      <c r="W941" s="5"/>
      <c r="X941" s="5"/>
      <c r="Y941" s="5"/>
      <c r="Z941" s="5"/>
      <c r="AA941" s="5"/>
      <c r="AB941" s="5"/>
    </row>
    <row r="942" spans="1:28" ht="12.75" customHeight="1">
      <c r="A942" s="5"/>
      <c r="B942" s="5"/>
      <c r="C942" s="5"/>
      <c r="D942" s="5"/>
      <c r="E942" s="217"/>
      <c r="F942" s="198"/>
      <c r="G942" s="198"/>
      <c r="H942" s="888"/>
      <c r="I942" s="217"/>
      <c r="J942" s="306"/>
      <c r="K942" s="306"/>
      <c r="L942" s="306"/>
      <c r="M942" s="306"/>
      <c r="N942" s="306"/>
      <c r="O942" s="5"/>
      <c r="P942" s="5"/>
      <c r="Q942" s="5"/>
      <c r="R942" s="5"/>
      <c r="S942" s="5"/>
      <c r="T942" s="5"/>
      <c r="U942" s="5"/>
      <c r="V942" s="5"/>
      <c r="W942" s="5"/>
      <c r="X942" s="5"/>
      <c r="Y942" s="5"/>
      <c r="Z942" s="5"/>
      <c r="AA942" s="5"/>
      <c r="AB942" s="5"/>
    </row>
    <row r="943" spans="1:28" ht="12.75" customHeight="1">
      <c r="A943" s="5"/>
      <c r="B943" s="5"/>
      <c r="C943" s="5"/>
      <c r="D943" s="5"/>
      <c r="E943" s="217"/>
      <c r="F943" s="198"/>
      <c r="G943" s="198"/>
      <c r="H943" s="888"/>
      <c r="I943" s="217"/>
      <c r="J943" s="306"/>
      <c r="K943" s="306"/>
      <c r="L943" s="306"/>
      <c r="M943" s="306"/>
      <c r="N943" s="306"/>
      <c r="O943" s="5"/>
      <c r="P943" s="5"/>
      <c r="Q943" s="5"/>
      <c r="R943" s="5"/>
      <c r="S943" s="5"/>
      <c r="T943" s="5"/>
      <c r="U943" s="5"/>
      <c r="V943" s="5"/>
      <c r="W943" s="5"/>
      <c r="X943" s="5"/>
      <c r="Y943" s="5"/>
      <c r="Z943" s="5"/>
      <c r="AA943" s="5"/>
      <c r="AB943" s="5"/>
    </row>
    <row r="944" spans="1:28" ht="12.75" customHeight="1">
      <c r="A944" s="5"/>
      <c r="B944" s="5"/>
      <c r="C944" s="5"/>
      <c r="D944" s="5"/>
      <c r="E944" s="217"/>
      <c r="F944" s="198"/>
      <c r="G944" s="198"/>
      <c r="H944" s="888"/>
      <c r="I944" s="217"/>
      <c r="J944" s="306"/>
      <c r="K944" s="306"/>
      <c r="L944" s="306"/>
      <c r="M944" s="306"/>
      <c r="N944" s="306"/>
      <c r="O944" s="5"/>
      <c r="P944" s="5"/>
      <c r="Q944" s="5"/>
      <c r="R944" s="5"/>
      <c r="S944" s="5"/>
      <c r="T944" s="5"/>
      <c r="U944" s="5"/>
      <c r="V944" s="5"/>
      <c r="W944" s="5"/>
      <c r="X944" s="5"/>
      <c r="Y944" s="5"/>
      <c r="Z944" s="5"/>
      <c r="AA944" s="5"/>
      <c r="AB944" s="5"/>
    </row>
    <row r="945" spans="1:28" ht="12.75" customHeight="1">
      <c r="A945" s="5"/>
      <c r="B945" s="5"/>
      <c r="C945" s="5"/>
      <c r="D945" s="5"/>
      <c r="E945" s="217"/>
      <c r="F945" s="198"/>
      <c r="G945" s="198"/>
      <c r="H945" s="888"/>
      <c r="I945" s="217"/>
      <c r="J945" s="306"/>
      <c r="K945" s="306"/>
      <c r="L945" s="306"/>
      <c r="M945" s="306"/>
      <c r="N945" s="306"/>
      <c r="O945" s="5"/>
      <c r="P945" s="5"/>
      <c r="Q945" s="5"/>
      <c r="R945" s="5"/>
      <c r="S945" s="5"/>
      <c r="T945" s="5"/>
      <c r="U945" s="5"/>
      <c r="V945" s="5"/>
      <c r="W945" s="5"/>
      <c r="X945" s="5"/>
      <c r="Y945" s="5"/>
      <c r="Z945" s="5"/>
      <c r="AA945" s="5"/>
      <c r="AB945" s="5"/>
    </row>
    <row r="946" spans="1:28" ht="12.75" customHeight="1">
      <c r="A946" s="5"/>
      <c r="B946" s="5"/>
      <c r="C946" s="5"/>
      <c r="D946" s="5"/>
      <c r="E946" s="217"/>
      <c r="F946" s="198"/>
      <c r="G946" s="198"/>
      <c r="H946" s="888"/>
      <c r="I946" s="217"/>
      <c r="J946" s="306"/>
      <c r="K946" s="306"/>
      <c r="L946" s="306"/>
      <c r="M946" s="306"/>
      <c r="N946" s="306"/>
      <c r="O946" s="5"/>
      <c r="P946" s="5"/>
      <c r="Q946" s="5"/>
      <c r="R946" s="5"/>
      <c r="S946" s="5"/>
      <c r="T946" s="5"/>
      <c r="U946" s="5"/>
      <c r="V946" s="5"/>
      <c r="W946" s="5"/>
      <c r="X946" s="5"/>
      <c r="Y946" s="5"/>
      <c r="Z946" s="5"/>
      <c r="AA946" s="5"/>
      <c r="AB946" s="5"/>
    </row>
    <row r="947" spans="1:28" ht="12.75" customHeight="1">
      <c r="A947" s="5"/>
      <c r="B947" s="5"/>
      <c r="C947" s="5"/>
      <c r="D947" s="5"/>
      <c r="E947" s="217"/>
      <c r="F947" s="198"/>
      <c r="G947" s="198"/>
      <c r="H947" s="888"/>
      <c r="I947" s="217"/>
      <c r="J947" s="306"/>
      <c r="K947" s="306"/>
      <c r="L947" s="306"/>
      <c r="M947" s="306"/>
      <c r="N947" s="306"/>
      <c r="O947" s="5"/>
      <c r="P947" s="5"/>
      <c r="Q947" s="5"/>
      <c r="R947" s="5"/>
      <c r="S947" s="5"/>
      <c r="T947" s="5"/>
      <c r="U947" s="5"/>
      <c r="V947" s="5"/>
      <c r="W947" s="5"/>
      <c r="X947" s="5"/>
      <c r="Y947" s="5"/>
      <c r="Z947" s="5"/>
      <c r="AA947" s="5"/>
      <c r="AB947" s="5"/>
    </row>
    <row r="948" spans="1:28" ht="12.75" customHeight="1">
      <c r="A948" s="5"/>
      <c r="B948" s="5"/>
      <c r="C948" s="5"/>
      <c r="D948" s="5"/>
      <c r="E948" s="217"/>
      <c r="F948" s="198"/>
      <c r="G948" s="198"/>
      <c r="H948" s="888"/>
      <c r="I948" s="217"/>
      <c r="J948" s="306"/>
      <c r="K948" s="306"/>
      <c r="L948" s="306"/>
      <c r="M948" s="306"/>
      <c r="N948" s="306"/>
      <c r="O948" s="5"/>
      <c r="P948" s="5"/>
      <c r="Q948" s="5"/>
      <c r="R948" s="5"/>
      <c r="S948" s="5"/>
      <c r="T948" s="5"/>
      <c r="U948" s="5"/>
      <c r="V948" s="5"/>
      <c r="W948" s="5"/>
      <c r="X948" s="5"/>
      <c r="Y948" s="5"/>
      <c r="Z948" s="5"/>
      <c r="AA948" s="5"/>
      <c r="AB948" s="5"/>
    </row>
    <row r="949" spans="1:28" ht="12.75" customHeight="1">
      <c r="A949" s="5"/>
      <c r="B949" s="5"/>
      <c r="C949" s="5"/>
      <c r="D949" s="5"/>
      <c r="E949" s="217"/>
      <c r="F949" s="198"/>
      <c r="G949" s="198"/>
      <c r="H949" s="888"/>
      <c r="I949" s="217"/>
      <c r="J949" s="306"/>
      <c r="K949" s="306"/>
      <c r="L949" s="306"/>
      <c r="M949" s="306"/>
      <c r="N949" s="306"/>
      <c r="O949" s="5"/>
      <c r="P949" s="5"/>
      <c r="Q949" s="5"/>
      <c r="R949" s="5"/>
      <c r="S949" s="5"/>
      <c r="T949" s="5"/>
      <c r="U949" s="5"/>
      <c r="V949" s="5"/>
      <c r="W949" s="5"/>
      <c r="X949" s="5"/>
      <c r="Y949" s="5"/>
      <c r="Z949" s="5"/>
      <c r="AA949" s="5"/>
      <c r="AB949" s="5"/>
    </row>
    <row r="950" spans="1:28" ht="12.75" customHeight="1">
      <c r="A950" s="5"/>
      <c r="B950" s="5"/>
      <c r="C950" s="5"/>
      <c r="D950" s="5"/>
      <c r="E950" s="217"/>
      <c r="F950" s="198"/>
      <c r="G950" s="198"/>
      <c r="H950" s="888"/>
      <c r="I950" s="217"/>
      <c r="J950" s="306"/>
      <c r="K950" s="306"/>
      <c r="L950" s="306"/>
      <c r="M950" s="306"/>
      <c r="N950" s="306"/>
      <c r="O950" s="5"/>
      <c r="P950" s="5"/>
      <c r="Q950" s="5"/>
      <c r="R950" s="5"/>
      <c r="S950" s="5"/>
      <c r="T950" s="5"/>
      <c r="U950" s="5"/>
      <c r="V950" s="5"/>
      <c r="W950" s="5"/>
      <c r="X950" s="5"/>
      <c r="Y950" s="5"/>
      <c r="Z950" s="5"/>
      <c r="AA950" s="5"/>
      <c r="AB950" s="5"/>
    </row>
    <row r="951" spans="1:28" ht="12.75" customHeight="1">
      <c r="A951" s="5"/>
      <c r="B951" s="5"/>
      <c r="C951" s="5"/>
      <c r="D951" s="5"/>
      <c r="E951" s="217"/>
      <c r="F951" s="198"/>
      <c r="G951" s="198"/>
      <c r="H951" s="888"/>
      <c r="I951" s="217"/>
      <c r="J951" s="306"/>
      <c r="K951" s="306"/>
      <c r="L951" s="306"/>
      <c r="M951" s="306"/>
      <c r="N951" s="306"/>
      <c r="O951" s="5"/>
      <c r="P951" s="5"/>
      <c r="Q951" s="5"/>
      <c r="R951" s="5"/>
      <c r="S951" s="5"/>
      <c r="T951" s="5"/>
      <c r="U951" s="5"/>
      <c r="V951" s="5"/>
      <c r="W951" s="5"/>
      <c r="X951" s="5"/>
      <c r="Y951" s="5"/>
      <c r="Z951" s="5"/>
      <c r="AA951" s="5"/>
      <c r="AB951" s="5"/>
    </row>
    <row r="952" spans="1:28" ht="12.75" customHeight="1">
      <c r="A952" s="5"/>
      <c r="B952" s="5"/>
      <c r="C952" s="5"/>
      <c r="D952" s="5"/>
      <c r="E952" s="217"/>
      <c r="F952" s="198"/>
      <c r="G952" s="198"/>
      <c r="H952" s="888"/>
      <c r="I952" s="217"/>
      <c r="J952" s="306"/>
      <c r="K952" s="306"/>
      <c r="L952" s="306"/>
      <c r="M952" s="306"/>
      <c r="N952" s="306"/>
      <c r="O952" s="5"/>
      <c r="P952" s="5"/>
      <c r="Q952" s="5"/>
      <c r="R952" s="5"/>
      <c r="S952" s="5"/>
      <c r="T952" s="5"/>
      <c r="U952" s="5"/>
      <c r="V952" s="5"/>
      <c r="W952" s="5"/>
      <c r="X952" s="5"/>
      <c r="Y952" s="5"/>
      <c r="Z952" s="5"/>
      <c r="AA952" s="5"/>
      <c r="AB952" s="5"/>
    </row>
    <row r="953" spans="1:28" ht="12.75" customHeight="1">
      <c r="A953" s="5"/>
      <c r="B953" s="5"/>
      <c r="C953" s="5"/>
      <c r="D953" s="5"/>
      <c r="E953" s="217"/>
      <c r="F953" s="198"/>
      <c r="G953" s="198"/>
      <c r="H953" s="888"/>
      <c r="I953" s="217"/>
      <c r="J953" s="306"/>
      <c r="K953" s="306"/>
      <c r="L953" s="306"/>
      <c r="M953" s="306"/>
      <c r="N953" s="306"/>
      <c r="O953" s="5"/>
      <c r="P953" s="5"/>
      <c r="Q953" s="5"/>
      <c r="R953" s="5"/>
      <c r="S953" s="5"/>
      <c r="T953" s="5"/>
      <c r="U953" s="5"/>
      <c r="V953" s="5"/>
      <c r="W953" s="5"/>
      <c r="X953" s="5"/>
      <c r="Y953" s="5"/>
      <c r="Z953" s="5"/>
      <c r="AA953" s="5"/>
      <c r="AB953" s="5"/>
    </row>
    <row r="954" spans="1:28" ht="12.75" customHeight="1">
      <c r="A954" s="5"/>
      <c r="B954" s="5"/>
      <c r="C954" s="5"/>
      <c r="D954" s="5"/>
      <c r="E954" s="217"/>
      <c r="F954" s="198"/>
      <c r="G954" s="198"/>
      <c r="H954" s="888"/>
      <c r="I954" s="217"/>
      <c r="J954" s="306"/>
      <c r="K954" s="306"/>
      <c r="L954" s="306"/>
      <c r="M954" s="306"/>
      <c r="N954" s="306"/>
      <c r="O954" s="5"/>
      <c r="P954" s="5"/>
      <c r="Q954" s="5"/>
      <c r="R954" s="5"/>
      <c r="S954" s="5"/>
      <c r="T954" s="5"/>
      <c r="U954" s="5"/>
      <c r="V954" s="5"/>
      <c r="W954" s="5"/>
      <c r="X954" s="5"/>
      <c r="Y954" s="5"/>
      <c r="Z954" s="5"/>
      <c r="AA954" s="5"/>
      <c r="AB954" s="5"/>
    </row>
    <row r="955" spans="1:28" ht="12.75" customHeight="1">
      <c r="A955" s="5"/>
      <c r="B955" s="5"/>
      <c r="C955" s="5"/>
      <c r="D955" s="5"/>
      <c r="E955" s="217"/>
      <c r="F955" s="198"/>
      <c r="G955" s="198"/>
      <c r="H955" s="888"/>
      <c r="I955" s="217"/>
      <c r="J955" s="306"/>
      <c r="K955" s="306"/>
      <c r="L955" s="306"/>
      <c r="M955" s="306"/>
      <c r="N955" s="306"/>
      <c r="O955" s="5"/>
      <c r="P955" s="5"/>
      <c r="Q955" s="5"/>
      <c r="R955" s="5"/>
      <c r="S955" s="5"/>
      <c r="T955" s="5"/>
      <c r="U955" s="5"/>
      <c r="V955" s="5"/>
      <c r="W955" s="5"/>
      <c r="X955" s="5"/>
      <c r="Y955" s="5"/>
      <c r="Z955" s="5"/>
      <c r="AA955" s="5"/>
      <c r="AB955" s="5"/>
    </row>
    <row r="956" spans="1:28" ht="12.75" customHeight="1">
      <c r="A956" s="5"/>
      <c r="B956" s="5"/>
      <c r="C956" s="5"/>
      <c r="D956" s="5"/>
      <c r="E956" s="217"/>
      <c r="F956" s="198"/>
      <c r="G956" s="198"/>
      <c r="H956" s="888"/>
      <c r="I956" s="217"/>
      <c r="J956" s="306"/>
      <c r="K956" s="306"/>
      <c r="L956" s="306"/>
      <c r="M956" s="306"/>
      <c r="N956" s="306"/>
      <c r="O956" s="5"/>
      <c r="P956" s="5"/>
      <c r="Q956" s="5"/>
      <c r="R956" s="5"/>
      <c r="S956" s="5"/>
      <c r="T956" s="5"/>
      <c r="U956" s="5"/>
      <c r="V956" s="5"/>
      <c r="W956" s="5"/>
      <c r="X956" s="5"/>
      <c r="Y956" s="5"/>
      <c r="Z956" s="5"/>
      <c r="AA956" s="5"/>
      <c r="AB956" s="5"/>
    </row>
    <row r="957" spans="1:28" ht="12.75" customHeight="1">
      <c r="A957" s="5"/>
      <c r="B957" s="5"/>
      <c r="C957" s="5"/>
      <c r="D957" s="5"/>
      <c r="E957" s="217"/>
      <c r="F957" s="198"/>
      <c r="G957" s="198"/>
      <c r="H957" s="888"/>
      <c r="I957" s="217"/>
      <c r="J957" s="306"/>
      <c r="K957" s="306"/>
      <c r="L957" s="306"/>
      <c r="M957" s="306"/>
      <c r="N957" s="306"/>
      <c r="O957" s="5"/>
      <c r="P957" s="5"/>
      <c r="Q957" s="5"/>
      <c r="R957" s="5"/>
      <c r="S957" s="5"/>
      <c r="T957" s="5"/>
      <c r="U957" s="5"/>
      <c r="V957" s="5"/>
      <c r="W957" s="5"/>
      <c r="X957" s="5"/>
      <c r="Y957" s="5"/>
      <c r="Z957" s="5"/>
      <c r="AA957" s="5"/>
      <c r="AB957" s="5"/>
    </row>
    <row r="958" spans="1:28" ht="12.75" customHeight="1">
      <c r="A958" s="5"/>
      <c r="B958" s="5"/>
      <c r="C958" s="5"/>
      <c r="D958" s="5"/>
      <c r="E958" s="217"/>
      <c r="F958" s="198"/>
      <c r="G958" s="198"/>
      <c r="H958" s="888"/>
      <c r="I958" s="217"/>
      <c r="J958" s="306"/>
      <c r="K958" s="306"/>
      <c r="L958" s="306"/>
      <c r="M958" s="306"/>
      <c r="N958" s="306"/>
      <c r="O958" s="5"/>
      <c r="P958" s="5"/>
      <c r="Q958" s="5"/>
      <c r="R958" s="5"/>
      <c r="S958" s="5"/>
      <c r="T958" s="5"/>
      <c r="U958" s="5"/>
      <c r="V958" s="5"/>
      <c r="W958" s="5"/>
      <c r="X958" s="5"/>
      <c r="Y958" s="5"/>
      <c r="Z958" s="5"/>
      <c r="AA958" s="5"/>
      <c r="AB958" s="5"/>
    </row>
    <row r="959" spans="1:28" ht="12.75" customHeight="1">
      <c r="A959" s="5"/>
      <c r="B959" s="5"/>
      <c r="C959" s="5"/>
      <c r="D959" s="5"/>
      <c r="E959" s="217"/>
      <c r="F959" s="198"/>
      <c r="G959" s="198"/>
      <c r="H959" s="888"/>
      <c r="I959" s="217"/>
      <c r="J959" s="306"/>
      <c r="K959" s="306"/>
      <c r="L959" s="306"/>
      <c r="M959" s="306"/>
      <c r="N959" s="306"/>
      <c r="O959" s="5"/>
      <c r="P959" s="5"/>
      <c r="Q959" s="5"/>
      <c r="R959" s="5"/>
      <c r="S959" s="5"/>
      <c r="T959" s="5"/>
      <c r="U959" s="5"/>
      <c r="V959" s="5"/>
      <c r="W959" s="5"/>
      <c r="X959" s="5"/>
      <c r="Y959" s="5"/>
      <c r="Z959" s="5"/>
      <c r="AA959" s="5"/>
      <c r="AB959" s="5"/>
    </row>
    <row r="960" spans="1:28" ht="12.75" customHeight="1">
      <c r="A960" s="5"/>
      <c r="B960" s="5"/>
      <c r="C960" s="5"/>
      <c r="D960" s="5"/>
      <c r="E960" s="217"/>
      <c r="F960" s="198"/>
      <c r="G960" s="198"/>
      <c r="H960" s="888"/>
      <c r="I960" s="217"/>
      <c r="J960" s="306"/>
      <c r="K960" s="306"/>
      <c r="L960" s="306"/>
      <c r="M960" s="306"/>
      <c r="N960" s="306"/>
      <c r="O960" s="5"/>
      <c r="P960" s="5"/>
      <c r="Q960" s="5"/>
      <c r="R960" s="5"/>
      <c r="S960" s="5"/>
      <c r="T960" s="5"/>
      <c r="U960" s="5"/>
      <c r="V960" s="5"/>
      <c r="W960" s="5"/>
      <c r="X960" s="5"/>
      <c r="Y960" s="5"/>
      <c r="Z960" s="5"/>
      <c r="AA960" s="5"/>
      <c r="AB960" s="5"/>
    </row>
    <row r="961" spans="1:28" ht="12.75" customHeight="1">
      <c r="A961" s="5"/>
      <c r="B961" s="5"/>
      <c r="C961" s="5"/>
      <c r="D961" s="5"/>
      <c r="E961" s="217"/>
      <c r="F961" s="198"/>
      <c r="G961" s="198"/>
      <c r="H961" s="888"/>
      <c r="I961" s="217"/>
      <c r="J961" s="306"/>
      <c r="K961" s="306"/>
      <c r="L961" s="306"/>
      <c r="M961" s="306"/>
      <c r="N961" s="306"/>
      <c r="O961" s="5"/>
      <c r="P961" s="5"/>
      <c r="Q961" s="5"/>
      <c r="R961" s="5"/>
      <c r="S961" s="5"/>
      <c r="T961" s="5"/>
      <c r="U961" s="5"/>
      <c r="V961" s="5"/>
      <c r="W961" s="5"/>
      <c r="X961" s="5"/>
      <c r="Y961" s="5"/>
      <c r="Z961" s="5"/>
      <c r="AA961" s="5"/>
      <c r="AB961" s="5"/>
    </row>
    <row r="962" spans="1:28" ht="12.75" customHeight="1">
      <c r="A962" s="5"/>
      <c r="B962" s="5"/>
      <c r="C962" s="5"/>
      <c r="D962" s="5"/>
      <c r="E962" s="217"/>
      <c r="F962" s="198"/>
      <c r="G962" s="198"/>
      <c r="H962" s="888"/>
      <c r="I962" s="217"/>
      <c r="J962" s="306"/>
      <c r="K962" s="306"/>
      <c r="L962" s="306"/>
      <c r="M962" s="306"/>
      <c r="N962" s="306"/>
      <c r="O962" s="5"/>
      <c r="P962" s="5"/>
      <c r="Q962" s="5"/>
      <c r="R962" s="5"/>
      <c r="S962" s="5"/>
      <c r="T962" s="5"/>
      <c r="U962" s="5"/>
      <c r="V962" s="5"/>
      <c r="W962" s="5"/>
      <c r="X962" s="5"/>
      <c r="Y962" s="5"/>
      <c r="Z962" s="5"/>
      <c r="AA962" s="5"/>
      <c r="AB962" s="5"/>
    </row>
    <row r="963" spans="1:28" ht="12.75" customHeight="1">
      <c r="A963" s="5"/>
      <c r="B963" s="5"/>
      <c r="C963" s="5"/>
      <c r="D963" s="5"/>
      <c r="E963" s="217"/>
      <c r="F963" s="198"/>
      <c r="G963" s="198"/>
      <c r="H963" s="888"/>
      <c r="I963" s="217"/>
      <c r="J963" s="306"/>
      <c r="K963" s="306"/>
      <c r="L963" s="306"/>
      <c r="M963" s="306"/>
      <c r="N963" s="306"/>
      <c r="O963" s="5"/>
      <c r="P963" s="5"/>
      <c r="Q963" s="5"/>
      <c r="R963" s="5"/>
      <c r="S963" s="5"/>
      <c r="T963" s="5"/>
      <c r="U963" s="5"/>
      <c r="V963" s="5"/>
      <c r="W963" s="5"/>
      <c r="X963" s="5"/>
      <c r="Y963" s="5"/>
      <c r="Z963" s="5"/>
      <c r="AA963" s="5"/>
      <c r="AB963" s="5"/>
    </row>
    <row r="964" spans="1:28" ht="12.75" customHeight="1">
      <c r="A964" s="5"/>
      <c r="B964" s="5"/>
      <c r="C964" s="5"/>
      <c r="D964" s="5"/>
      <c r="E964" s="217"/>
      <c r="F964" s="198"/>
      <c r="G964" s="198"/>
      <c r="H964" s="888"/>
      <c r="I964" s="217"/>
      <c r="J964" s="306"/>
      <c r="K964" s="306"/>
      <c r="L964" s="306"/>
      <c r="M964" s="306"/>
      <c r="N964" s="306"/>
      <c r="O964" s="5"/>
      <c r="P964" s="5"/>
      <c r="Q964" s="5"/>
      <c r="R964" s="5"/>
      <c r="S964" s="5"/>
      <c r="T964" s="5"/>
      <c r="U964" s="5"/>
      <c r="V964" s="5"/>
      <c r="W964" s="5"/>
      <c r="X964" s="5"/>
      <c r="Y964" s="5"/>
      <c r="Z964" s="5"/>
      <c r="AA964" s="5"/>
      <c r="AB964" s="5"/>
    </row>
    <row r="965" spans="1:28" ht="12.75" customHeight="1">
      <c r="A965" s="5"/>
      <c r="B965" s="5"/>
      <c r="C965" s="5"/>
      <c r="D965" s="5"/>
      <c r="E965" s="217"/>
      <c r="F965" s="198"/>
      <c r="G965" s="198"/>
      <c r="H965" s="888"/>
      <c r="I965" s="217"/>
      <c r="J965" s="306"/>
      <c r="K965" s="306"/>
      <c r="L965" s="306"/>
      <c r="M965" s="306"/>
      <c r="N965" s="306"/>
      <c r="O965" s="5"/>
      <c r="P965" s="5"/>
      <c r="Q965" s="5"/>
      <c r="R965" s="5"/>
      <c r="S965" s="5"/>
      <c r="T965" s="5"/>
      <c r="U965" s="5"/>
      <c r="V965" s="5"/>
      <c r="W965" s="5"/>
      <c r="X965" s="5"/>
      <c r="Y965" s="5"/>
      <c r="Z965" s="5"/>
      <c r="AA965" s="5"/>
      <c r="AB965" s="5"/>
    </row>
    <row r="966" spans="1:28" ht="12.75" customHeight="1">
      <c r="A966" s="5"/>
      <c r="B966" s="5"/>
      <c r="C966" s="5"/>
      <c r="D966" s="5"/>
      <c r="E966" s="217"/>
      <c r="F966" s="198"/>
      <c r="G966" s="198"/>
      <c r="H966" s="888"/>
      <c r="I966" s="217"/>
      <c r="J966" s="306"/>
      <c r="K966" s="306"/>
      <c r="L966" s="306"/>
      <c r="M966" s="306"/>
      <c r="N966" s="306"/>
      <c r="O966" s="5"/>
      <c r="P966" s="5"/>
      <c r="Q966" s="5"/>
      <c r="R966" s="5"/>
      <c r="S966" s="5"/>
      <c r="T966" s="5"/>
      <c r="U966" s="5"/>
      <c r="V966" s="5"/>
      <c r="W966" s="5"/>
      <c r="X966" s="5"/>
      <c r="Y966" s="5"/>
      <c r="Z966" s="5"/>
      <c r="AA966" s="5"/>
      <c r="AB966" s="5"/>
    </row>
    <row r="967" spans="1:28" ht="12.75" customHeight="1">
      <c r="A967" s="5"/>
      <c r="B967" s="5"/>
      <c r="C967" s="5"/>
      <c r="D967" s="5"/>
      <c r="E967" s="217"/>
      <c r="F967" s="198"/>
      <c r="G967" s="198"/>
      <c r="H967" s="888"/>
      <c r="I967" s="217"/>
      <c r="J967" s="306"/>
      <c r="K967" s="306"/>
      <c r="L967" s="306"/>
      <c r="M967" s="306"/>
      <c r="N967" s="306"/>
      <c r="O967" s="5"/>
      <c r="P967" s="5"/>
      <c r="Q967" s="5"/>
      <c r="R967" s="5"/>
      <c r="S967" s="5"/>
      <c r="T967" s="5"/>
      <c r="U967" s="5"/>
      <c r="V967" s="5"/>
      <c r="W967" s="5"/>
      <c r="X967" s="5"/>
      <c r="Y967" s="5"/>
      <c r="Z967" s="5"/>
      <c r="AA967" s="5"/>
      <c r="AB967" s="5"/>
    </row>
    <row r="968" spans="1:28" ht="12.75" customHeight="1">
      <c r="A968" s="5"/>
      <c r="B968" s="5"/>
      <c r="C968" s="5"/>
      <c r="D968" s="5"/>
      <c r="E968" s="217"/>
      <c r="F968" s="198"/>
      <c r="G968" s="198"/>
      <c r="H968" s="888"/>
      <c r="I968" s="217"/>
      <c r="J968" s="306"/>
      <c r="K968" s="306"/>
      <c r="L968" s="306"/>
      <c r="M968" s="306"/>
      <c r="N968" s="306"/>
      <c r="O968" s="5"/>
      <c r="P968" s="5"/>
      <c r="Q968" s="5"/>
      <c r="R968" s="5"/>
      <c r="S968" s="5"/>
      <c r="T968" s="5"/>
      <c r="U968" s="5"/>
      <c r="V968" s="5"/>
      <c r="W968" s="5"/>
      <c r="X968" s="5"/>
      <c r="Y968" s="5"/>
      <c r="Z968" s="5"/>
      <c r="AA968" s="5"/>
      <c r="AB968" s="5"/>
    </row>
    <row r="969" spans="1:28" ht="12.75" customHeight="1">
      <c r="A969" s="5"/>
      <c r="B969" s="5"/>
      <c r="C969" s="5"/>
      <c r="D969" s="5"/>
      <c r="E969" s="217"/>
      <c r="F969" s="198"/>
      <c r="G969" s="198"/>
      <c r="H969" s="888"/>
      <c r="I969" s="217"/>
      <c r="J969" s="306"/>
      <c r="K969" s="306"/>
      <c r="L969" s="306"/>
      <c r="M969" s="306"/>
      <c r="N969" s="306"/>
      <c r="O969" s="5"/>
      <c r="P969" s="5"/>
      <c r="Q969" s="5"/>
      <c r="R969" s="5"/>
      <c r="S969" s="5"/>
      <c r="T969" s="5"/>
      <c r="U969" s="5"/>
      <c r="V969" s="5"/>
      <c r="W969" s="5"/>
      <c r="X969" s="5"/>
      <c r="Y969" s="5"/>
      <c r="Z969" s="5"/>
      <c r="AA969" s="5"/>
      <c r="AB969" s="5"/>
    </row>
    <row r="970" spans="1:28" ht="12.75" customHeight="1">
      <c r="A970" s="5"/>
      <c r="B970" s="5"/>
      <c r="C970" s="5"/>
      <c r="D970" s="5"/>
      <c r="E970" s="217"/>
      <c r="F970" s="198"/>
      <c r="G970" s="198"/>
      <c r="H970" s="888"/>
      <c r="I970" s="217"/>
      <c r="J970" s="306"/>
      <c r="K970" s="306"/>
      <c r="L970" s="306"/>
      <c r="M970" s="306"/>
      <c r="N970" s="306"/>
      <c r="O970" s="5"/>
      <c r="P970" s="5"/>
      <c r="Q970" s="5"/>
      <c r="R970" s="5"/>
      <c r="S970" s="5"/>
      <c r="T970" s="5"/>
      <c r="U970" s="5"/>
      <c r="V970" s="5"/>
      <c r="W970" s="5"/>
      <c r="X970" s="5"/>
      <c r="Y970" s="5"/>
      <c r="Z970" s="5"/>
      <c r="AA970" s="5"/>
      <c r="AB970" s="5"/>
    </row>
    <row r="971" spans="1:28" ht="12.75" customHeight="1">
      <c r="A971" s="5"/>
      <c r="B971" s="5"/>
      <c r="C971" s="5"/>
      <c r="D971" s="5"/>
      <c r="E971" s="217"/>
      <c r="F971" s="198"/>
      <c r="G971" s="198"/>
      <c r="H971" s="888"/>
      <c r="I971" s="217"/>
      <c r="J971" s="306"/>
      <c r="K971" s="306"/>
      <c r="L971" s="306"/>
      <c r="M971" s="306"/>
      <c r="N971" s="306"/>
      <c r="O971" s="5"/>
      <c r="P971" s="5"/>
      <c r="Q971" s="5"/>
      <c r="R971" s="5"/>
      <c r="S971" s="5"/>
      <c r="T971" s="5"/>
      <c r="U971" s="5"/>
      <c r="V971" s="5"/>
      <c r="W971" s="5"/>
      <c r="X971" s="5"/>
      <c r="Y971" s="5"/>
      <c r="Z971" s="5"/>
      <c r="AA971" s="5"/>
      <c r="AB971" s="5"/>
    </row>
    <row r="972" spans="1:28" ht="12.75" customHeight="1">
      <c r="A972" s="5"/>
      <c r="B972" s="5"/>
      <c r="C972" s="5"/>
      <c r="D972" s="5"/>
      <c r="E972" s="217"/>
      <c r="F972" s="198"/>
      <c r="G972" s="198"/>
      <c r="H972" s="888"/>
      <c r="I972" s="217"/>
      <c r="J972" s="306"/>
      <c r="K972" s="306"/>
      <c r="L972" s="306"/>
      <c r="M972" s="306"/>
      <c r="N972" s="306"/>
      <c r="O972" s="5"/>
      <c r="P972" s="5"/>
      <c r="Q972" s="5"/>
      <c r="R972" s="5"/>
      <c r="S972" s="5"/>
      <c r="T972" s="5"/>
      <c r="U972" s="5"/>
      <c r="V972" s="5"/>
      <c r="W972" s="5"/>
      <c r="X972" s="5"/>
      <c r="Y972" s="5"/>
      <c r="Z972" s="5"/>
      <c r="AA972" s="5"/>
      <c r="AB972" s="5"/>
    </row>
    <row r="973" spans="1:28" ht="12.75" customHeight="1">
      <c r="A973" s="5"/>
      <c r="B973" s="5"/>
      <c r="C973" s="5"/>
      <c r="D973" s="5"/>
      <c r="E973" s="217"/>
      <c r="F973" s="198"/>
      <c r="G973" s="198"/>
      <c r="H973" s="888"/>
      <c r="I973" s="217"/>
      <c r="J973" s="306"/>
      <c r="K973" s="306"/>
      <c r="L973" s="306"/>
      <c r="M973" s="306"/>
      <c r="N973" s="306"/>
      <c r="O973" s="5"/>
      <c r="P973" s="5"/>
      <c r="Q973" s="5"/>
      <c r="R973" s="5"/>
      <c r="S973" s="5"/>
      <c r="T973" s="5"/>
      <c r="U973" s="5"/>
      <c r="V973" s="5"/>
      <c r="W973" s="5"/>
      <c r="X973" s="5"/>
      <c r="Y973" s="5"/>
      <c r="Z973" s="5"/>
      <c r="AA973" s="5"/>
      <c r="AB973" s="5"/>
    </row>
    <row r="974" spans="1:28" ht="12.75" customHeight="1">
      <c r="A974" s="5"/>
      <c r="B974" s="5"/>
      <c r="C974" s="5"/>
      <c r="D974" s="5"/>
      <c r="E974" s="217"/>
      <c r="F974" s="198"/>
      <c r="G974" s="198"/>
      <c r="H974" s="888"/>
      <c r="I974" s="217"/>
      <c r="J974" s="306"/>
      <c r="K974" s="306"/>
      <c r="L974" s="306"/>
      <c r="M974" s="306"/>
      <c r="N974" s="306"/>
      <c r="O974" s="5"/>
      <c r="P974" s="5"/>
      <c r="Q974" s="5"/>
      <c r="R974" s="5"/>
      <c r="S974" s="5"/>
      <c r="T974" s="5"/>
      <c r="U974" s="5"/>
      <c r="V974" s="5"/>
      <c r="W974" s="5"/>
      <c r="X974" s="5"/>
      <c r="Y974" s="5"/>
      <c r="Z974" s="5"/>
      <c r="AA974" s="5"/>
      <c r="AB974" s="5"/>
    </row>
    <row r="975" spans="1:28" ht="12.75" customHeight="1">
      <c r="A975" s="5"/>
      <c r="B975" s="5"/>
      <c r="C975" s="5"/>
      <c r="D975" s="5"/>
      <c r="E975" s="217"/>
      <c r="F975" s="198"/>
      <c r="G975" s="198"/>
      <c r="H975" s="888"/>
      <c r="I975" s="217"/>
      <c r="J975" s="306"/>
      <c r="K975" s="306"/>
      <c r="L975" s="306"/>
      <c r="M975" s="306"/>
      <c r="N975" s="306"/>
      <c r="O975" s="5"/>
      <c r="P975" s="5"/>
      <c r="Q975" s="5"/>
      <c r="R975" s="5"/>
      <c r="S975" s="5"/>
      <c r="T975" s="5"/>
      <c r="U975" s="5"/>
      <c r="V975" s="5"/>
      <c r="W975" s="5"/>
      <c r="X975" s="5"/>
      <c r="Y975" s="5"/>
      <c r="Z975" s="5"/>
      <c r="AA975" s="5"/>
      <c r="AB975" s="5"/>
    </row>
    <row r="976" spans="1:28" ht="12.75" customHeight="1">
      <c r="A976" s="5"/>
      <c r="B976" s="5"/>
      <c r="C976" s="5"/>
      <c r="D976" s="5"/>
      <c r="E976" s="217"/>
      <c r="F976" s="198"/>
      <c r="G976" s="198"/>
      <c r="H976" s="888"/>
      <c r="I976" s="217"/>
      <c r="J976" s="306"/>
      <c r="K976" s="306"/>
      <c r="L976" s="306"/>
      <c r="M976" s="306"/>
      <c r="N976" s="306"/>
      <c r="O976" s="5"/>
      <c r="P976" s="5"/>
      <c r="Q976" s="5"/>
      <c r="R976" s="5"/>
      <c r="S976" s="5"/>
      <c r="T976" s="5"/>
      <c r="U976" s="5"/>
      <c r="V976" s="5"/>
      <c r="W976" s="5"/>
      <c r="X976" s="5"/>
      <c r="Y976" s="5"/>
      <c r="Z976" s="5"/>
      <c r="AA976" s="5"/>
      <c r="AB976" s="5"/>
    </row>
    <row r="977" spans="1:28" ht="12.75" customHeight="1">
      <c r="A977" s="5"/>
      <c r="B977" s="5"/>
      <c r="C977" s="5"/>
      <c r="D977" s="5"/>
      <c r="E977" s="217"/>
      <c r="F977" s="198"/>
      <c r="G977" s="198"/>
      <c r="H977" s="888"/>
      <c r="I977" s="217"/>
      <c r="J977" s="306"/>
      <c r="K977" s="306"/>
      <c r="L977" s="306"/>
      <c r="M977" s="306"/>
      <c r="N977" s="306"/>
      <c r="O977" s="5"/>
      <c r="P977" s="5"/>
      <c r="Q977" s="5"/>
      <c r="R977" s="5"/>
      <c r="S977" s="5"/>
      <c r="T977" s="5"/>
      <c r="U977" s="5"/>
      <c r="V977" s="5"/>
      <c r="W977" s="5"/>
      <c r="X977" s="5"/>
      <c r="Y977" s="5"/>
      <c r="Z977" s="5"/>
      <c r="AA977" s="5"/>
      <c r="AB977" s="5"/>
    </row>
    <row r="978" spans="1:28" ht="12.75" customHeight="1">
      <c r="A978" s="5"/>
      <c r="B978" s="5"/>
      <c r="C978" s="5"/>
      <c r="D978" s="5"/>
      <c r="E978" s="217"/>
      <c r="F978" s="198"/>
      <c r="G978" s="198"/>
      <c r="H978" s="888"/>
      <c r="I978" s="217"/>
      <c r="J978" s="306"/>
      <c r="K978" s="306"/>
      <c r="L978" s="306"/>
      <c r="M978" s="306"/>
      <c r="N978" s="306"/>
      <c r="O978" s="5"/>
      <c r="P978" s="5"/>
      <c r="Q978" s="5"/>
      <c r="R978" s="5"/>
      <c r="S978" s="5"/>
      <c r="T978" s="5"/>
      <c r="U978" s="5"/>
      <c r="V978" s="5"/>
      <c r="W978" s="5"/>
      <c r="X978" s="5"/>
      <c r="Y978" s="5"/>
      <c r="Z978" s="5"/>
      <c r="AA978" s="5"/>
      <c r="AB978" s="5"/>
    </row>
    <row r="979" spans="1:28" ht="12.75" customHeight="1">
      <c r="A979" s="5"/>
      <c r="B979" s="5"/>
      <c r="C979" s="5"/>
      <c r="D979" s="5"/>
      <c r="E979" s="217"/>
      <c r="F979" s="198"/>
      <c r="G979" s="198"/>
      <c r="H979" s="888"/>
      <c r="I979" s="217"/>
      <c r="J979" s="306"/>
      <c r="K979" s="306"/>
      <c r="L979" s="306"/>
      <c r="M979" s="306"/>
      <c r="N979" s="306"/>
      <c r="O979" s="5"/>
      <c r="P979" s="5"/>
      <c r="Q979" s="5"/>
      <c r="R979" s="5"/>
      <c r="S979" s="5"/>
      <c r="T979" s="5"/>
      <c r="U979" s="5"/>
      <c r="V979" s="5"/>
      <c r="W979" s="5"/>
      <c r="X979" s="5"/>
      <c r="Y979" s="5"/>
      <c r="Z979" s="5"/>
      <c r="AA979" s="5"/>
      <c r="AB979" s="5"/>
    </row>
    <row r="980" spans="1:28" ht="12.75" customHeight="1">
      <c r="A980" s="5"/>
      <c r="B980" s="5"/>
      <c r="C980" s="5"/>
      <c r="D980" s="5"/>
      <c r="E980" s="217"/>
      <c r="F980" s="198"/>
      <c r="G980" s="198"/>
      <c r="H980" s="888"/>
      <c r="I980" s="217"/>
      <c r="J980" s="306"/>
      <c r="K980" s="306"/>
      <c r="L980" s="306"/>
      <c r="M980" s="306"/>
      <c r="N980" s="306"/>
      <c r="O980" s="5"/>
      <c r="P980" s="5"/>
      <c r="Q980" s="5"/>
      <c r="R980" s="5"/>
      <c r="S980" s="5"/>
      <c r="T980" s="5"/>
      <c r="U980" s="5"/>
      <c r="V980" s="5"/>
      <c r="W980" s="5"/>
      <c r="X980" s="5"/>
      <c r="Y980" s="5"/>
      <c r="Z980" s="5"/>
      <c r="AA980" s="5"/>
      <c r="AB980" s="5"/>
    </row>
    <row r="981" spans="1:28" ht="12.75" customHeight="1">
      <c r="A981" s="5"/>
      <c r="B981" s="5"/>
      <c r="C981" s="5"/>
      <c r="D981" s="5"/>
      <c r="E981" s="217"/>
      <c r="F981" s="198"/>
      <c r="G981" s="198"/>
      <c r="H981" s="888"/>
      <c r="I981" s="217"/>
      <c r="J981" s="306"/>
      <c r="K981" s="306"/>
      <c r="L981" s="306"/>
      <c r="M981" s="306"/>
      <c r="N981" s="306"/>
      <c r="O981" s="5"/>
      <c r="P981" s="5"/>
      <c r="Q981" s="5"/>
      <c r="R981" s="5"/>
      <c r="S981" s="5"/>
      <c r="T981" s="5"/>
      <c r="U981" s="5"/>
      <c r="V981" s="5"/>
      <c r="W981" s="5"/>
      <c r="X981" s="5"/>
      <c r="Y981" s="5"/>
      <c r="Z981" s="5"/>
      <c r="AA981" s="5"/>
      <c r="AB981" s="5"/>
    </row>
    <row r="982" spans="1:28" ht="12.75" customHeight="1">
      <c r="A982" s="5"/>
      <c r="B982" s="5"/>
      <c r="C982" s="5"/>
      <c r="D982" s="5"/>
      <c r="E982" s="217"/>
      <c r="F982" s="198"/>
      <c r="G982" s="198"/>
      <c r="H982" s="888"/>
      <c r="I982" s="217"/>
      <c r="J982" s="306"/>
      <c r="K982" s="306"/>
      <c r="L982" s="306"/>
      <c r="M982" s="306"/>
      <c r="N982" s="306"/>
      <c r="O982" s="5"/>
      <c r="P982" s="5"/>
      <c r="Q982" s="5"/>
      <c r="R982" s="5"/>
      <c r="S982" s="5"/>
      <c r="T982" s="5"/>
      <c r="U982" s="5"/>
      <c r="V982" s="5"/>
      <c r="W982" s="5"/>
      <c r="X982" s="5"/>
      <c r="Y982" s="5"/>
      <c r="Z982" s="5"/>
      <c r="AA982" s="5"/>
      <c r="AB982" s="5"/>
    </row>
    <row r="983" spans="1:28" ht="12.75" customHeight="1">
      <c r="A983" s="5"/>
      <c r="B983" s="5"/>
      <c r="C983" s="5"/>
      <c r="D983" s="5"/>
      <c r="E983" s="217"/>
      <c r="F983" s="198"/>
      <c r="G983" s="198"/>
      <c r="H983" s="888"/>
      <c r="I983" s="217"/>
      <c r="J983" s="306"/>
      <c r="K983" s="306"/>
      <c r="L983" s="306"/>
      <c r="M983" s="306"/>
      <c r="N983" s="306"/>
      <c r="O983" s="5"/>
      <c r="P983" s="5"/>
      <c r="Q983" s="5"/>
      <c r="R983" s="5"/>
      <c r="S983" s="5"/>
      <c r="T983" s="5"/>
      <c r="U983" s="5"/>
      <c r="V983" s="5"/>
      <c r="W983" s="5"/>
      <c r="X983" s="5"/>
      <c r="Y983" s="5"/>
      <c r="Z983" s="5"/>
      <c r="AA983" s="5"/>
      <c r="AB983" s="5"/>
    </row>
    <row r="984" spans="1:28" ht="12.75" customHeight="1">
      <c r="A984" s="5"/>
      <c r="B984" s="5"/>
      <c r="C984" s="5"/>
      <c r="D984" s="5"/>
      <c r="E984" s="217"/>
      <c r="F984" s="198"/>
      <c r="G984" s="198"/>
      <c r="H984" s="888"/>
      <c r="I984" s="217"/>
      <c r="J984" s="306"/>
      <c r="K984" s="306"/>
      <c r="L984" s="306"/>
      <c r="M984" s="306"/>
      <c r="N984" s="306"/>
      <c r="O984" s="5"/>
      <c r="P984" s="5"/>
      <c r="Q984" s="5"/>
      <c r="R984" s="5"/>
      <c r="S984" s="5"/>
      <c r="T984" s="5"/>
      <c r="U984" s="5"/>
      <c r="V984" s="5"/>
      <c r="W984" s="5"/>
      <c r="X984" s="5"/>
      <c r="Y984" s="5"/>
      <c r="Z984" s="5"/>
      <c r="AA984" s="5"/>
      <c r="AB984" s="5"/>
    </row>
    <row r="985" spans="1:28" ht="12.75" customHeight="1">
      <c r="A985" s="5"/>
      <c r="B985" s="5"/>
      <c r="C985" s="5"/>
      <c r="D985" s="5"/>
      <c r="E985" s="217"/>
      <c r="F985" s="198"/>
      <c r="G985" s="198"/>
      <c r="H985" s="888"/>
      <c r="I985" s="217"/>
      <c r="J985" s="306"/>
      <c r="K985" s="306"/>
      <c r="L985" s="306"/>
      <c r="M985" s="306"/>
      <c r="N985" s="306"/>
      <c r="O985" s="5"/>
      <c r="P985" s="5"/>
      <c r="Q985" s="5"/>
      <c r="R985" s="5"/>
      <c r="S985" s="5"/>
      <c r="T985" s="5"/>
      <c r="U985" s="5"/>
      <c r="V985" s="5"/>
      <c r="W985" s="5"/>
      <c r="X985" s="5"/>
      <c r="Y985" s="5"/>
      <c r="Z985" s="5"/>
      <c r="AA985" s="5"/>
      <c r="AB985" s="5"/>
    </row>
    <row r="986" spans="1:28" ht="12.75" customHeight="1">
      <c r="A986" s="5"/>
      <c r="B986" s="5"/>
      <c r="C986" s="5"/>
      <c r="D986" s="5"/>
      <c r="E986" s="217"/>
      <c r="F986" s="198"/>
      <c r="G986" s="198"/>
      <c r="H986" s="888"/>
      <c r="I986" s="217"/>
      <c r="J986" s="306"/>
      <c r="K986" s="306"/>
      <c r="L986" s="306"/>
      <c r="M986" s="306"/>
      <c r="N986" s="306"/>
      <c r="O986" s="5"/>
      <c r="P986" s="5"/>
      <c r="Q986" s="5"/>
      <c r="R986" s="5"/>
      <c r="S986" s="5"/>
      <c r="T986" s="5"/>
      <c r="U986" s="5"/>
      <c r="V986" s="5"/>
      <c r="W986" s="5"/>
      <c r="X986" s="5"/>
      <c r="Y986" s="5"/>
      <c r="Z986" s="5"/>
      <c r="AA986" s="5"/>
      <c r="AB986" s="5"/>
    </row>
    <row r="987" spans="1:28" ht="12.75" customHeight="1">
      <c r="A987" s="5"/>
      <c r="B987" s="5"/>
      <c r="C987" s="5"/>
      <c r="D987" s="5"/>
      <c r="E987" s="217"/>
      <c r="F987" s="198"/>
      <c r="G987" s="198"/>
      <c r="H987" s="888"/>
      <c r="I987" s="217"/>
      <c r="J987" s="306"/>
      <c r="K987" s="306"/>
      <c r="L987" s="306"/>
      <c r="M987" s="306"/>
      <c r="N987" s="306"/>
      <c r="O987" s="5"/>
      <c r="P987" s="5"/>
      <c r="Q987" s="5"/>
      <c r="R987" s="5"/>
      <c r="S987" s="5"/>
      <c r="T987" s="5"/>
      <c r="U987" s="5"/>
      <c r="V987" s="5"/>
      <c r="W987" s="5"/>
      <c r="X987" s="5"/>
      <c r="Y987" s="5"/>
      <c r="Z987" s="5"/>
      <c r="AA987" s="5"/>
      <c r="AB987" s="5"/>
    </row>
    <row r="988" spans="1:28" ht="12.75" customHeight="1">
      <c r="A988" s="5"/>
      <c r="B988" s="5"/>
      <c r="C988" s="5"/>
      <c r="D988" s="5"/>
      <c r="E988" s="217"/>
      <c r="F988" s="198"/>
      <c r="G988" s="198"/>
      <c r="H988" s="888"/>
      <c r="I988" s="217"/>
      <c r="J988" s="306"/>
      <c r="K988" s="306"/>
      <c r="L988" s="306"/>
      <c r="M988" s="306"/>
      <c r="N988" s="306"/>
      <c r="O988" s="5"/>
      <c r="P988" s="5"/>
      <c r="Q988" s="5"/>
      <c r="R988" s="5"/>
      <c r="S988" s="5"/>
      <c r="T988" s="5"/>
      <c r="U988" s="5"/>
      <c r="V988" s="5"/>
      <c r="W988" s="5"/>
      <c r="X988" s="5"/>
      <c r="Y988" s="5"/>
      <c r="Z988" s="5"/>
      <c r="AA988" s="5"/>
      <c r="AB988" s="5"/>
    </row>
    <row r="989" spans="1:28" ht="12.75" customHeight="1">
      <c r="A989" s="5"/>
      <c r="B989" s="5"/>
      <c r="C989" s="5"/>
      <c r="D989" s="5"/>
      <c r="E989" s="217"/>
      <c r="F989" s="198"/>
      <c r="G989" s="198"/>
      <c r="H989" s="888"/>
      <c r="I989" s="217"/>
      <c r="J989" s="306"/>
      <c r="K989" s="306"/>
      <c r="L989" s="306"/>
      <c r="M989" s="306"/>
      <c r="N989" s="306"/>
      <c r="O989" s="5"/>
      <c r="P989" s="5"/>
      <c r="Q989" s="5"/>
      <c r="R989" s="5"/>
      <c r="S989" s="5"/>
      <c r="T989" s="5"/>
      <c r="U989" s="5"/>
      <c r="V989" s="5"/>
      <c r="W989" s="5"/>
      <c r="X989" s="5"/>
      <c r="Y989" s="5"/>
      <c r="Z989" s="5"/>
      <c r="AA989" s="5"/>
      <c r="AB989" s="5"/>
    </row>
    <row r="990" spans="1:28" ht="12.75" customHeight="1">
      <c r="A990" s="5"/>
      <c r="B990" s="5"/>
      <c r="C990" s="5"/>
      <c r="D990" s="5"/>
      <c r="E990" s="217"/>
      <c r="F990" s="198"/>
      <c r="G990" s="198"/>
      <c r="H990" s="888"/>
      <c r="I990" s="217"/>
      <c r="J990" s="306"/>
      <c r="K990" s="306"/>
      <c r="L990" s="306"/>
      <c r="M990" s="306"/>
      <c r="N990" s="306"/>
      <c r="O990" s="5"/>
      <c r="P990" s="5"/>
      <c r="Q990" s="5"/>
      <c r="R990" s="5"/>
      <c r="S990" s="5"/>
      <c r="T990" s="5"/>
      <c r="U990" s="5"/>
      <c r="V990" s="5"/>
      <c r="W990" s="5"/>
      <c r="X990" s="5"/>
      <c r="Y990" s="5"/>
      <c r="Z990" s="5"/>
      <c r="AA990" s="5"/>
      <c r="AB990" s="5"/>
    </row>
    <row r="991" spans="1:28" ht="12.75" customHeight="1">
      <c r="A991" s="5"/>
      <c r="B991" s="5"/>
      <c r="C991" s="5"/>
      <c r="D991" s="5"/>
      <c r="E991" s="217"/>
      <c r="F991" s="198"/>
      <c r="G991" s="198"/>
      <c r="H991" s="888"/>
      <c r="I991" s="217"/>
      <c r="J991" s="306"/>
      <c r="K991" s="306"/>
      <c r="L991" s="306"/>
      <c r="M991" s="306"/>
      <c r="N991" s="306"/>
      <c r="O991" s="5"/>
      <c r="P991" s="5"/>
      <c r="Q991" s="5"/>
      <c r="R991" s="5"/>
      <c r="S991" s="5"/>
      <c r="T991" s="5"/>
      <c r="U991" s="5"/>
      <c r="V991" s="5"/>
      <c r="W991" s="5"/>
      <c r="X991" s="5"/>
      <c r="Y991" s="5"/>
      <c r="Z991" s="5"/>
      <c r="AA991" s="5"/>
      <c r="AB991" s="5"/>
    </row>
    <row r="992" spans="1:28" ht="12.75" customHeight="1">
      <c r="A992" s="5"/>
      <c r="B992" s="5"/>
      <c r="C992" s="5"/>
      <c r="D992" s="5"/>
      <c r="E992" s="217"/>
      <c r="F992" s="198"/>
      <c r="G992" s="198"/>
      <c r="H992" s="888"/>
      <c r="I992" s="217"/>
      <c r="J992" s="306"/>
      <c r="K992" s="306"/>
      <c r="L992" s="306"/>
      <c r="M992" s="306"/>
      <c r="N992" s="306"/>
      <c r="O992" s="5"/>
      <c r="P992" s="5"/>
      <c r="Q992" s="5"/>
      <c r="R992" s="5"/>
      <c r="S992" s="5"/>
      <c r="T992" s="5"/>
      <c r="U992" s="5"/>
      <c r="V992" s="5"/>
      <c r="W992" s="5"/>
      <c r="X992" s="5"/>
      <c r="Y992" s="5"/>
      <c r="Z992" s="5"/>
      <c r="AA992" s="5"/>
      <c r="AB992" s="5"/>
    </row>
    <row r="993" spans="1:28" ht="12.75" customHeight="1">
      <c r="A993" s="5"/>
      <c r="B993" s="5"/>
      <c r="C993" s="5"/>
      <c r="D993" s="5"/>
      <c r="E993" s="217"/>
      <c r="F993" s="198"/>
      <c r="G993" s="198"/>
      <c r="H993" s="888"/>
      <c r="I993" s="217"/>
      <c r="J993" s="306"/>
      <c r="K993" s="306"/>
      <c r="L993" s="306"/>
      <c r="M993" s="306"/>
      <c r="N993" s="306"/>
      <c r="O993" s="5"/>
      <c r="P993" s="5"/>
      <c r="Q993" s="5"/>
      <c r="R993" s="5"/>
      <c r="S993" s="5"/>
      <c r="T993" s="5"/>
      <c r="U993" s="5"/>
      <c r="V993" s="5"/>
      <c r="W993" s="5"/>
      <c r="X993" s="5"/>
      <c r="Y993" s="5"/>
      <c r="Z993" s="5"/>
      <c r="AA993" s="5"/>
      <c r="AB993" s="5"/>
    </row>
    <row r="994" spans="1:28" ht="12.75" customHeight="1">
      <c r="A994" s="5"/>
      <c r="B994" s="5"/>
      <c r="C994" s="5"/>
      <c r="D994" s="5"/>
      <c r="E994" s="217"/>
      <c r="F994" s="198"/>
      <c r="G994" s="198"/>
      <c r="H994" s="888"/>
      <c r="I994" s="217"/>
      <c r="J994" s="306"/>
      <c r="K994" s="306"/>
      <c r="L994" s="306"/>
      <c r="M994" s="306"/>
      <c r="N994" s="306"/>
      <c r="O994" s="5"/>
      <c r="P994" s="5"/>
      <c r="Q994" s="5"/>
      <c r="R994" s="5"/>
      <c r="S994" s="5"/>
      <c r="T994" s="5"/>
      <c r="U994" s="5"/>
      <c r="V994" s="5"/>
      <c r="W994" s="5"/>
      <c r="X994" s="5"/>
      <c r="Y994" s="5"/>
      <c r="Z994" s="5"/>
      <c r="AA994" s="5"/>
      <c r="AB994" s="5"/>
    </row>
    <row r="995" spans="1:28" ht="12.75" customHeight="1">
      <c r="A995" s="5"/>
      <c r="B995" s="5"/>
      <c r="C995" s="5"/>
      <c r="D995" s="5"/>
      <c r="E995" s="217"/>
      <c r="F995" s="198"/>
      <c r="G995" s="198"/>
      <c r="H995" s="888"/>
      <c r="I995" s="217"/>
      <c r="J995" s="306"/>
      <c r="K995" s="306"/>
      <c r="L995" s="306"/>
      <c r="M995" s="306"/>
      <c r="N995" s="306"/>
      <c r="O995" s="5"/>
      <c r="P995" s="5"/>
      <c r="Q995" s="5"/>
      <c r="R995" s="5"/>
      <c r="S995" s="5"/>
      <c r="T995" s="5"/>
      <c r="U995" s="5"/>
      <c r="V995" s="5"/>
      <c r="W995" s="5"/>
      <c r="X995" s="5"/>
      <c r="Y995" s="5"/>
      <c r="Z995" s="5"/>
      <c r="AA995" s="5"/>
      <c r="AB995" s="5"/>
    </row>
    <row r="996" spans="1:28" ht="12.75" customHeight="1">
      <c r="A996" s="5"/>
      <c r="B996" s="5"/>
      <c r="C996" s="5"/>
      <c r="D996" s="5"/>
      <c r="E996" s="217"/>
      <c r="F996" s="198"/>
      <c r="G996" s="198"/>
      <c r="H996" s="888"/>
      <c r="I996" s="217"/>
      <c r="J996" s="306"/>
      <c r="K996" s="306"/>
      <c r="L996" s="306"/>
      <c r="M996" s="306"/>
      <c r="N996" s="306"/>
      <c r="O996" s="5"/>
      <c r="P996" s="5"/>
      <c r="Q996" s="5"/>
      <c r="R996" s="5"/>
      <c r="S996" s="5"/>
      <c r="T996" s="5"/>
      <c r="U996" s="5"/>
      <c r="V996" s="5"/>
      <c r="W996" s="5"/>
      <c r="X996" s="5"/>
      <c r="Y996" s="5"/>
      <c r="Z996" s="5"/>
      <c r="AA996" s="5"/>
      <c r="AB996" s="5"/>
    </row>
    <row r="997" spans="1:28" ht="12.75" customHeight="1">
      <c r="A997" s="5"/>
      <c r="B997" s="5"/>
      <c r="C997" s="5"/>
      <c r="D997" s="5"/>
      <c r="E997" s="217"/>
      <c r="F997" s="198"/>
      <c r="G997" s="198"/>
      <c r="H997" s="888"/>
      <c r="I997" s="217"/>
      <c r="J997" s="306"/>
      <c r="K997" s="306"/>
      <c r="L997" s="306"/>
      <c r="M997" s="306"/>
      <c r="N997" s="306"/>
      <c r="O997" s="5"/>
      <c r="P997" s="5"/>
      <c r="Q997" s="5"/>
      <c r="R997" s="5"/>
      <c r="S997" s="5"/>
      <c r="T997" s="5"/>
      <c r="U997" s="5"/>
      <c r="V997" s="5"/>
      <c r="W997" s="5"/>
      <c r="X997" s="5"/>
      <c r="Y997" s="5"/>
      <c r="Z997" s="5"/>
      <c r="AA997" s="5"/>
      <c r="AB997" s="5"/>
    </row>
    <row r="998" spans="1:28" ht="12.75" customHeight="1">
      <c r="A998" s="5"/>
      <c r="B998" s="5"/>
      <c r="C998" s="5"/>
      <c r="D998" s="5"/>
      <c r="E998" s="217"/>
      <c r="F998" s="198"/>
      <c r="G998" s="198"/>
      <c r="H998" s="888"/>
      <c r="I998" s="217"/>
      <c r="J998" s="306"/>
      <c r="K998" s="306"/>
      <c r="L998" s="306"/>
      <c r="M998" s="306"/>
      <c r="N998" s="306"/>
      <c r="O998" s="5"/>
      <c r="P998" s="5"/>
      <c r="Q998" s="5"/>
      <c r="R998" s="5"/>
      <c r="S998" s="5"/>
      <c r="T998" s="5"/>
      <c r="U998" s="5"/>
      <c r="V998" s="5"/>
      <c r="W998" s="5"/>
      <c r="X998" s="5"/>
      <c r="Y998" s="5"/>
      <c r="Z998" s="5"/>
      <c r="AA998" s="5"/>
      <c r="AB998" s="5"/>
    </row>
    <row r="999" spans="1:28" ht="12.75" customHeight="1">
      <c r="A999" s="5"/>
      <c r="B999" s="5"/>
      <c r="C999" s="5"/>
      <c r="D999" s="5"/>
      <c r="E999" s="217"/>
      <c r="F999" s="198"/>
      <c r="G999" s="198"/>
      <c r="H999" s="888"/>
      <c r="I999" s="217"/>
      <c r="J999" s="306"/>
      <c r="K999" s="306"/>
      <c r="L999" s="306"/>
      <c r="M999" s="306"/>
      <c r="N999" s="306"/>
      <c r="O999" s="5"/>
      <c r="P999" s="5"/>
      <c r="Q999" s="5"/>
      <c r="R999" s="5"/>
      <c r="S999" s="5"/>
      <c r="T999" s="5"/>
      <c r="U999" s="5"/>
      <c r="V999" s="5"/>
      <c r="W999" s="5"/>
      <c r="X999" s="5"/>
      <c r="Y999" s="5"/>
      <c r="Z999" s="5"/>
      <c r="AA999" s="5"/>
      <c r="AB999" s="5"/>
    </row>
    <row r="1000" spans="1:28" ht="12.75" customHeight="1">
      <c r="A1000" s="5"/>
      <c r="B1000" s="5"/>
      <c r="C1000" s="5"/>
      <c r="D1000" s="5"/>
      <c r="E1000" s="217"/>
      <c r="F1000" s="198"/>
      <c r="G1000" s="198"/>
      <c r="H1000" s="888"/>
      <c r="I1000" s="217"/>
      <c r="J1000" s="306"/>
      <c r="K1000" s="306"/>
      <c r="L1000" s="306"/>
      <c r="M1000" s="306"/>
      <c r="N1000" s="306"/>
      <c r="O1000" s="5"/>
      <c r="P1000" s="5"/>
      <c r="Q1000" s="5"/>
      <c r="R1000" s="5"/>
      <c r="S1000" s="5"/>
      <c r="T1000" s="5"/>
      <c r="U1000" s="5"/>
      <c r="V1000" s="5"/>
      <c r="W1000" s="5"/>
      <c r="X1000" s="5"/>
      <c r="Y1000" s="5"/>
      <c r="Z1000" s="5"/>
      <c r="AA1000" s="5"/>
      <c r="AB1000" s="5"/>
    </row>
    <row r="1001" spans="1:28" ht="12.75" customHeight="1">
      <c r="A1001" s="5"/>
      <c r="B1001" s="5"/>
      <c r="C1001" s="5"/>
      <c r="D1001" s="5"/>
      <c r="E1001" s="217"/>
      <c r="F1001" s="198"/>
      <c r="G1001" s="198"/>
      <c r="H1001" s="888"/>
      <c r="I1001" s="217"/>
      <c r="J1001" s="306"/>
      <c r="K1001" s="306"/>
      <c r="L1001" s="306"/>
      <c r="M1001" s="306"/>
      <c r="N1001" s="306"/>
      <c r="O1001" s="5"/>
      <c r="P1001" s="5"/>
      <c r="Q1001" s="5"/>
      <c r="R1001" s="5"/>
      <c r="S1001" s="5"/>
      <c r="T1001" s="5"/>
      <c r="U1001" s="5"/>
      <c r="V1001" s="5"/>
      <c r="W1001" s="5"/>
      <c r="X1001" s="5"/>
      <c r="Y1001" s="5"/>
      <c r="Z1001" s="5"/>
      <c r="AA1001" s="5"/>
      <c r="AB1001" s="5"/>
    </row>
    <row r="1002" spans="1:28" ht="12.75" customHeight="1">
      <c r="A1002" s="5"/>
      <c r="B1002" s="5"/>
      <c r="C1002" s="5"/>
      <c r="D1002" s="5"/>
      <c r="E1002" s="217"/>
      <c r="F1002" s="198"/>
      <c r="G1002" s="198"/>
      <c r="H1002" s="888"/>
      <c r="I1002" s="217"/>
      <c r="J1002" s="306"/>
      <c r="K1002" s="306"/>
      <c r="L1002" s="306"/>
      <c r="M1002" s="306"/>
      <c r="N1002" s="306"/>
      <c r="O1002" s="5"/>
      <c r="P1002" s="5"/>
      <c r="Q1002" s="5"/>
      <c r="R1002" s="5"/>
      <c r="S1002" s="5"/>
      <c r="T1002" s="5"/>
      <c r="U1002" s="5"/>
      <c r="V1002" s="5"/>
      <c r="W1002" s="5"/>
      <c r="X1002" s="5"/>
      <c r="Y1002" s="5"/>
      <c r="Z1002" s="5"/>
      <c r="AA1002" s="5"/>
      <c r="AB1002" s="5"/>
    </row>
    <row r="1003" spans="1:28" ht="12.75" customHeight="1">
      <c r="A1003" s="5"/>
      <c r="B1003" s="5"/>
      <c r="C1003" s="5"/>
      <c r="D1003" s="5"/>
      <c r="E1003" s="217"/>
      <c r="F1003" s="198"/>
      <c r="G1003" s="198"/>
      <c r="H1003" s="888"/>
      <c r="I1003" s="217"/>
      <c r="J1003" s="306"/>
      <c r="K1003" s="306"/>
      <c r="L1003" s="306"/>
      <c r="M1003" s="306"/>
      <c r="N1003" s="306"/>
      <c r="O1003" s="5"/>
      <c r="P1003" s="5"/>
      <c r="Q1003" s="5"/>
      <c r="R1003" s="5"/>
      <c r="S1003" s="5"/>
      <c r="T1003" s="5"/>
      <c r="U1003" s="5"/>
      <c r="V1003" s="5"/>
      <c r="W1003" s="5"/>
      <c r="X1003" s="5"/>
      <c r="Y1003" s="5"/>
      <c r="Z1003" s="5"/>
      <c r="AA1003" s="5"/>
      <c r="AB1003" s="5"/>
    </row>
    <row r="1004" spans="1:28" ht="12.75" customHeight="1">
      <c r="A1004" s="5"/>
      <c r="B1004" s="5"/>
      <c r="C1004" s="5"/>
      <c r="D1004" s="5"/>
      <c r="E1004" s="217"/>
      <c r="F1004" s="198"/>
      <c r="G1004" s="198"/>
      <c r="H1004" s="888"/>
      <c r="I1004" s="217"/>
      <c r="J1004" s="306"/>
      <c r="K1004" s="306"/>
      <c r="L1004" s="306"/>
      <c r="M1004" s="306"/>
      <c r="N1004" s="306"/>
      <c r="O1004" s="5"/>
      <c r="P1004" s="5"/>
      <c r="Q1004" s="5"/>
      <c r="R1004" s="5"/>
      <c r="S1004" s="5"/>
      <c r="T1004" s="5"/>
      <c r="U1004" s="5"/>
      <c r="V1004" s="5"/>
      <c r="W1004" s="5"/>
      <c r="X1004" s="5"/>
      <c r="Y1004" s="5"/>
      <c r="Z1004" s="5"/>
      <c r="AA1004" s="5"/>
      <c r="AB1004" s="5"/>
    </row>
    <row r="1005" spans="1:28" ht="12.75" customHeight="1">
      <c r="A1005" s="5"/>
      <c r="B1005" s="5"/>
      <c r="C1005" s="5"/>
      <c r="D1005" s="5"/>
      <c r="E1005" s="217"/>
      <c r="F1005" s="198"/>
      <c r="G1005" s="198"/>
      <c r="H1005" s="888"/>
      <c r="I1005" s="217"/>
      <c r="J1005" s="306"/>
      <c r="K1005" s="306"/>
      <c r="L1005" s="306"/>
      <c r="M1005" s="306"/>
      <c r="N1005" s="306"/>
      <c r="O1005" s="5"/>
      <c r="P1005" s="5"/>
      <c r="Q1005" s="5"/>
      <c r="R1005" s="5"/>
      <c r="S1005" s="5"/>
      <c r="T1005" s="5"/>
      <c r="U1005" s="5"/>
      <c r="V1005" s="5"/>
      <c r="W1005" s="5"/>
      <c r="X1005" s="5"/>
      <c r="Y1005" s="5"/>
      <c r="Z1005" s="5"/>
      <c r="AA1005" s="5"/>
      <c r="AB1005" s="5"/>
    </row>
    <row r="1006" spans="1:28" ht="12.75" customHeight="1">
      <c r="A1006" s="5"/>
      <c r="B1006" s="5"/>
      <c r="C1006" s="5"/>
      <c r="D1006" s="5"/>
      <c r="E1006" s="217"/>
      <c r="F1006" s="198"/>
      <c r="G1006" s="198"/>
      <c r="H1006" s="888"/>
      <c r="I1006" s="217"/>
      <c r="J1006" s="306"/>
      <c r="K1006" s="306"/>
      <c r="L1006" s="306"/>
      <c r="M1006" s="306"/>
      <c r="N1006" s="306"/>
      <c r="O1006" s="5"/>
      <c r="P1006" s="5"/>
      <c r="Q1006" s="5"/>
      <c r="R1006" s="5"/>
      <c r="S1006" s="5"/>
      <c r="T1006" s="5"/>
      <c r="U1006" s="5"/>
      <c r="V1006" s="5"/>
      <c r="W1006" s="5"/>
      <c r="X1006" s="5"/>
      <c r="Y1006" s="5"/>
      <c r="Z1006" s="5"/>
      <c r="AA1006" s="5"/>
      <c r="AB1006" s="5"/>
    </row>
    <row r="1007" spans="1:28" ht="12.75" customHeight="1">
      <c r="A1007" s="5"/>
      <c r="B1007" s="5"/>
      <c r="C1007" s="5"/>
      <c r="D1007" s="5"/>
      <c r="E1007" s="217"/>
      <c r="F1007" s="198"/>
      <c r="G1007" s="198"/>
      <c r="H1007" s="888"/>
      <c r="I1007" s="217"/>
      <c r="J1007" s="306"/>
      <c r="K1007" s="306"/>
      <c r="L1007" s="306"/>
      <c r="M1007" s="306"/>
      <c r="N1007" s="306"/>
      <c r="O1007" s="5"/>
      <c r="P1007" s="5"/>
      <c r="Q1007" s="5"/>
      <c r="R1007" s="5"/>
      <c r="S1007" s="5"/>
      <c r="T1007" s="5"/>
      <c r="U1007" s="5"/>
      <c r="V1007" s="5"/>
      <c r="W1007" s="5"/>
      <c r="X1007" s="5"/>
      <c r="Y1007" s="5"/>
      <c r="Z1007" s="5"/>
      <c r="AA1007" s="5"/>
      <c r="AB1007" s="5"/>
    </row>
    <row r="1008" spans="1:28" ht="12.75" customHeight="1">
      <c r="A1008" s="5"/>
      <c r="B1008" s="5"/>
      <c r="C1008" s="5"/>
      <c r="D1008" s="5"/>
      <c r="E1008" s="217"/>
      <c r="F1008" s="198"/>
      <c r="G1008" s="198"/>
      <c r="H1008" s="888"/>
      <c r="I1008" s="217"/>
      <c r="J1008" s="306"/>
      <c r="K1008" s="306"/>
      <c r="L1008" s="306"/>
      <c r="M1008" s="306"/>
      <c r="N1008" s="306"/>
      <c r="O1008" s="5"/>
      <c r="P1008" s="5"/>
      <c r="Q1008" s="5"/>
      <c r="R1008" s="5"/>
      <c r="S1008" s="5"/>
      <c r="T1008" s="5"/>
      <c r="U1008" s="5"/>
      <c r="V1008" s="5"/>
      <c r="W1008" s="5"/>
      <c r="X1008" s="5"/>
      <c r="Y1008" s="5"/>
      <c r="Z1008" s="5"/>
      <c r="AA1008" s="5"/>
      <c r="AB1008" s="5"/>
    </row>
    <row r="1009" spans="1:28" ht="12.75" customHeight="1">
      <c r="A1009" s="5"/>
      <c r="B1009" s="5"/>
      <c r="C1009" s="5"/>
      <c r="D1009" s="5"/>
      <c r="E1009" s="217"/>
      <c r="F1009" s="198"/>
      <c r="G1009" s="198"/>
      <c r="H1009" s="888"/>
      <c r="I1009" s="217"/>
      <c r="J1009" s="306"/>
      <c r="K1009" s="306"/>
      <c r="L1009" s="306"/>
      <c r="M1009" s="306"/>
      <c r="N1009" s="306"/>
      <c r="O1009" s="5"/>
      <c r="P1009" s="5"/>
      <c r="Q1009" s="5"/>
      <c r="R1009" s="5"/>
      <c r="S1009" s="5"/>
      <c r="T1009" s="5"/>
      <c r="U1009" s="5"/>
      <c r="V1009" s="5"/>
      <c r="W1009" s="5"/>
      <c r="X1009" s="5"/>
      <c r="Y1009" s="5"/>
      <c r="Z1009" s="5"/>
      <c r="AA1009" s="5"/>
      <c r="AB1009" s="5"/>
    </row>
    <row r="1010" spans="1:28" ht="12.75" customHeight="1">
      <c r="A1010" s="5"/>
      <c r="B1010" s="5"/>
      <c r="C1010" s="5"/>
      <c r="D1010" s="5"/>
      <c r="E1010" s="217"/>
      <c r="F1010" s="198"/>
      <c r="G1010" s="198"/>
      <c r="H1010" s="888"/>
      <c r="I1010" s="217"/>
      <c r="J1010" s="306"/>
      <c r="K1010" s="306"/>
      <c r="L1010" s="306"/>
      <c r="M1010" s="306"/>
      <c r="N1010" s="306"/>
      <c r="O1010" s="5"/>
      <c r="P1010" s="5"/>
      <c r="Q1010" s="5"/>
      <c r="R1010" s="5"/>
      <c r="S1010" s="5"/>
      <c r="T1010" s="5"/>
      <c r="U1010" s="5"/>
      <c r="V1010" s="5"/>
      <c r="W1010" s="5"/>
      <c r="X1010" s="5"/>
      <c r="Y1010" s="5"/>
      <c r="Z1010" s="5"/>
      <c r="AA1010" s="5"/>
      <c r="AB1010" s="5"/>
    </row>
    <row r="1011" spans="1:28" ht="12.75" customHeight="1">
      <c r="A1011" s="5"/>
      <c r="B1011" s="5"/>
      <c r="C1011" s="5"/>
      <c r="D1011" s="5"/>
      <c r="E1011" s="217"/>
      <c r="F1011" s="198"/>
      <c r="G1011" s="198"/>
      <c r="H1011" s="888"/>
      <c r="I1011" s="217"/>
      <c r="J1011" s="306"/>
      <c r="K1011" s="306"/>
      <c r="L1011" s="306"/>
      <c r="M1011" s="306"/>
      <c r="N1011" s="306"/>
      <c r="O1011" s="5"/>
      <c r="P1011" s="5"/>
      <c r="Q1011" s="5"/>
      <c r="R1011" s="5"/>
      <c r="S1011" s="5"/>
      <c r="T1011" s="5"/>
      <c r="U1011" s="5"/>
      <c r="V1011" s="5"/>
      <c r="W1011" s="5"/>
      <c r="X1011" s="5"/>
      <c r="Y1011" s="5"/>
      <c r="Z1011" s="5"/>
      <c r="AA1011" s="5"/>
      <c r="AB1011" s="5"/>
    </row>
    <row r="1012" spans="1:28" ht="12.75" customHeight="1">
      <c r="A1012" s="5"/>
      <c r="B1012" s="5"/>
      <c r="C1012" s="5"/>
      <c r="D1012" s="5"/>
      <c r="E1012" s="217"/>
      <c r="F1012" s="198"/>
      <c r="G1012" s="198"/>
      <c r="H1012" s="888"/>
      <c r="I1012" s="217"/>
      <c r="J1012" s="306"/>
      <c r="K1012" s="306"/>
      <c r="L1012" s="306"/>
      <c r="M1012" s="306"/>
      <c r="N1012" s="306"/>
      <c r="O1012" s="5"/>
      <c r="P1012" s="5"/>
      <c r="Q1012" s="5"/>
      <c r="R1012" s="5"/>
      <c r="S1012" s="5"/>
      <c r="T1012" s="5"/>
      <c r="U1012" s="5"/>
      <c r="V1012" s="5"/>
      <c r="W1012" s="5"/>
      <c r="X1012" s="5"/>
      <c r="Y1012" s="5"/>
      <c r="Z1012" s="5"/>
      <c r="AA1012" s="5"/>
      <c r="AB1012" s="5"/>
    </row>
    <row r="1013" spans="1:28" ht="12.75" customHeight="1">
      <c r="A1013" s="5"/>
      <c r="B1013" s="5"/>
      <c r="C1013" s="5"/>
      <c r="D1013" s="5"/>
      <c r="E1013" s="217"/>
      <c r="F1013" s="198"/>
      <c r="G1013" s="198"/>
      <c r="H1013" s="888"/>
      <c r="I1013" s="217"/>
      <c r="J1013" s="306"/>
      <c r="K1013" s="306"/>
      <c r="L1013" s="306"/>
      <c r="M1013" s="306"/>
      <c r="N1013" s="306"/>
      <c r="O1013" s="5"/>
      <c r="P1013" s="5"/>
      <c r="Q1013" s="5"/>
      <c r="R1013" s="5"/>
      <c r="S1013" s="5"/>
      <c r="T1013" s="5"/>
      <c r="U1013" s="5"/>
      <c r="V1013" s="5"/>
      <c r="W1013" s="5"/>
      <c r="X1013" s="5"/>
      <c r="Y1013" s="5"/>
      <c r="Z1013" s="5"/>
      <c r="AA1013" s="5"/>
      <c r="AB1013" s="5"/>
    </row>
    <row r="1014" spans="1:28" ht="12.75" customHeight="1">
      <c r="A1014" s="5"/>
      <c r="B1014" s="5"/>
      <c r="C1014" s="5"/>
      <c r="D1014" s="5"/>
      <c r="E1014" s="217"/>
      <c r="F1014" s="198"/>
      <c r="G1014" s="198"/>
      <c r="H1014" s="888"/>
      <c r="I1014" s="217"/>
      <c r="J1014" s="306"/>
      <c r="K1014" s="306"/>
      <c r="L1014" s="306"/>
      <c r="M1014" s="306"/>
      <c r="N1014" s="306"/>
      <c r="O1014" s="5"/>
      <c r="P1014" s="5"/>
      <c r="Q1014" s="5"/>
      <c r="R1014" s="5"/>
      <c r="S1014" s="5"/>
      <c r="T1014" s="5"/>
      <c r="U1014" s="5"/>
      <c r="V1014" s="5"/>
      <c r="W1014" s="5"/>
      <c r="X1014" s="5"/>
      <c r="Y1014" s="5"/>
      <c r="Z1014" s="5"/>
      <c r="AA1014" s="5"/>
      <c r="AB1014" s="5"/>
    </row>
    <row r="1015" spans="1:28" ht="12.75" customHeight="1">
      <c r="A1015" s="5"/>
      <c r="B1015" s="5"/>
      <c r="C1015" s="5"/>
      <c r="D1015" s="5"/>
      <c r="E1015" s="217"/>
      <c r="F1015" s="198"/>
      <c r="G1015" s="198"/>
      <c r="H1015" s="888"/>
      <c r="I1015" s="217"/>
      <c r="J1015" s="306"/>
      <c r="K1015" s="306"/>
      <c r="L1015" s="306"/>
      <c r="M1015" s="306"/>
      <c r="N1015" s="306"/>
      <c r="O1015" s="5"/>
      <c r="P1015" s="5"/>
      <c r="Q1015" s="5"/>
      <c r="R1015" s="5"/>
      <c r="S1015" s="5"/>
      <c r="T1015" s="5"/>
      <c r="U1015" s="5"/>
      <c r="V1015" s="5"/>
      <c r="W1015" s="5"/>
      <c r="X1015" s="5"/>
      <c r="Y1015" s="5"/>
      <c r="Z1015" s="5"/>
      <c r="AA1015" s="5"/>
      <c r="AB1015" s="5"/>
    </row>
    <row r="1016" spans="1:28" ht="12.75" customHeight="1">
      <c r="A1016" s="5"/>
      <c r="B1016" s="5"/>
      <c r="C1016" s="5"/>
      <c r="D1016" s="5"/>
      <c r="E1016" s="217"/>
      <c r="F1016" s="198"/>
      <c r="G1016" s="198"/>
      <c r="H1016" s="888"/>
      <c r="I1016" s="217"/>
      <c r="J1016" s="306"/>
      <c r="K1016" s="306"/>
      <c r="L1016" s="306"/>
      <c r="M1016" s="306"/>
      <c r="N1016" s="306"/>
      <c r="O1016" s="5"/>
      <c r="P1016" s="5"/>
      <c r="Q1016" s="5"/>
      <c r="R1016" s="5"/>
      <c r="S1016" s="5"/>
      <c r="T1016" s="5"/>
      <c r="U1016" s="5"/>
      <c r="V1016" s="5"/>
      <c r="W1016" s="5"/>
      <c r="X1016" s="5"/>
      <c r="Y1016" s="5"/>
      <c r="Z1016" s="5"/>
      <c r="AA1016" s="5"/>
      <c r="AB1016" s="5"/>
    </row>
    <row r="1017" spans="1:28" ht="12.75" customHeight="1">
      <c r="A1017" s="5"/>
      <c r="B1017" s="5"/>
      <c r="C1017" s="5"/>
      <c r="D1017" s="5"/>
      <c r="E1017" s="217"/>
      <c r="F1017" s="198"/>
      <c r="G1017" s="198"/>
      <c r="H1017" s="888"/>
      <c r="I1017" s="217"/>
      <c r="J1017" s="306"/>
      <c r="K1017" s="306"/>
      <c r="L1017" s="306"/>
      <c r="M1017" s="306"/>
      <c r="N1017" s="306"/>
      <c r="O1017" s="5"/>
      <c r="P1017" s="5"/>
      <c r="Q1017" s="5"/>
      <c r="R1017" s="5"/>
      <c r="S1017" s="5"/>
      <c r="T1017" s="5"/>
      <c r="U1017" s="5"/>
      <c r="V1017" s="5"/>
      <c r="W1017" s="5"/>
      <c r="X1017" s="5"/>
      <c r="Y1017" s="5"/>
      <c r="Z1017" s="5"/>
      <c r="AA1017" s="5"/>
      <c r="AB1017" s="5"/>
    </row>
    <row r="1018" spans="1:28" ht="12.75" customHeight="1">
      <c r="A1018" s="5"/>
      <c r="B1018" s="5"/>
      <c r="C1018" s="5"/>
      <c r="D1018" s="5"/>
      <c r="E1018" s="217"/>
      <c r="F1018" s="198"/>
      <c r="G1018" s="198"/>
      <c r="H1018" s="888"/>
      <c r="I1018" s="217"/>
      <c r="J1018" s="306"/>
      <c r="K1018" s="306"/>
      <c r="L1018" s="306"/>
      <c r="M1018" s="306"/>
      <c r="N1018" s="306"/>
      <c r="O1018" s="5"/>
      <c r="P1018" s="5"/>
      <c r="Q1018" s="5"/>
      <c r="R1018" s="5"/>
      <c r="S1018" s="5"/>
      <c r="T1018" s="5"/>
      <c r="U1018" s="5"/>
      <c r="V1018" s="5"/>
      <c r="W1018" s="5"/>
      <c r="X1018" s="5"/>
      <c r="Y1018" s="5"/>
      <c r="Z1018" s="5"/>
      <c r="AA1018" s="5"/>
      <c r="AB1018" s="5"/>
    </row>
    <row r="1019" spans="1:28" ht="12.75" customHeight="1">
      <c r="A1019" s="5"/>
      <c r="B1019" s="5"/>
      <c r="C1019" s="5"/>
      <c r="D1019" s="5"/>
      <c r="E1019" s="217"/>
      <c r="F1019" s="198"/>
      <c r="G1019" s="198"/>
      <c r="H1019" s="888"/>
      <c r="I1019" s="217"/>
      <c r="J1019" s="306"/>
      <c r="K1019" s="306"/>
      <c r="L1019" s="306"/>
      <c r="M1019" s="306"/>
      <c r="N1019" s="306"/>
      <c r="O1019" s="5"/>
      <c r="P1019" s="5"/>
      <c r="Q1019" s="5"/>
      <c r="R1019" s="5"/>
      <c r="S1019" s="5"/>
      <c r="T1019" s="5"/>
      <c r="U1019" s="5"/>
      <c r="V1019" s="5"/>
      <c r="W1019" s="5"/>
      <c r="X1019" s="5"/>
      <c r="Y1019" s="5"/>
      <c r="Z1019" s="5"/>
      <c r="AA1019" s="5"/>
      <c r="AB1019" s="5"/>
    </row>
    <row r="1020" spans="1:28" ht="12.75" customHeight="1">
      <c r="A1020" s="5"/>
      <c r="B1020" s="5"/>
      <c r="C1020" s="5"/>
      <c r="D1020" s="5"/>
      <c r="E1020" s="217"/>
      <c r="F1020" s="198"/>
      <c r="G1020" s="198"/>
      <c r="H1020" s="888"/>
      <c r="I1020" s="217"/>
      <c r="J1020" s="306"/>
      <c r="K1020" s="306"/>
      <c r="L1020" s="306"/>
      <c r="M1020" s="306"/>
      <c r="N1020" s="306"/>
      <c r="O1020" s="5"/>
      <c r="P1020" s="5"/>
      <c r="Q1020" s="5"/>
      <c r="R1020" s="5"/>
      <c r="S1020" s="5"/>
      <c r="T1020" s="5"/>
      <c r="U1020" s="5"/>
      <c r="V1020" s="5"/>
      <c r="W1020" s="5"/>
      <c r="X1020" s="5"/>
      <c r="Y1020" s="5"/>
      <c r="Z1020" s="5"/>
      <c r="AA1020" s="5"/>
      <c r="AB1020" s="5"/>
    </row>
    <row r="1021" spans="1:28" ht="12.75" customHeight="1">
      <c r="A1021" s="5"/>
      <c r="B1021" s="5"/>
      <c r="C1021" s="5"/>
      <c r="D1021" s="5"/>
      <c r="E1021" s="217"/>
      <c r="F1021" s="198"/>
      <c r="G1021" s="198"/>
      <c r="H1021" s="888"/>
      <c r="I1021" s="217"/>
      <c r="J1021" s="306"/>
      <c r="K1021" s="306"/>
      <c r="L1021" s="306"/>
      <c r="M1021" s="306"/>
      <c r="N1021" s="306"/>
      <c r="O1021" s="5"/>
      <c r="P1021" s="5"/>
      <c r="Q1021" s="5"/>
      <c r="R1021" s="5"/>
      <c r="S1021" s="5"/>
      <c r="T1021" s="5"/>
      <c r="U1021" s="5"/>
      <c r="V1021" s="5"/>
      <c r="W1021" s="5"/>
      <c r="X1021" s="5"/>
      <c r="Y1021" s="5"/>
      <c r="Z1021" s="5"/>
      <c r="AA1021" s="5"/>
      <c r="AB1021" s="5"/>
    </row>
    <row r="1022" spans="1:28" ht="12.75" customHeight="1">
      <c r="A1022" s="5"/>
      <c r="B1022" s="5"/>
      <c r="C1022" s="5"/>
      <c r="D1022" s="5"/>
      <c r="E1022" s="217"/>
      <c r="F1022" s="198"/>
      <c r="G1022" s="198"/>
      <c r="H1022" s="888"/>
      <c r="I1022" s="217"/>
      <c r="J1022" s="306"/>
      <c r="K1022" s="306"/>
      <c r="L1022" s="306"/>
      <c r="M1022" s="306"/>
      <c r="N1022" s="306"/>
      <c r="O1022" s="5"/>
      <c r="P1022" s="5"/>
      <c r="Q1022" s="5"/>
      <c r="R1022" s="5"/>
      <c r="S1022" s="5"/>
      <c r="T1022" s="5"/>
      <c r="U1022" s="5"/>
      <c r="V1022" s="5"/>
      <c r="W1022" s="5"/>
      <c r="X1022" s="5"/>
      <c r="Y1022" s="5"/>
      <c r="Z1022" s="5"/>
      <c r="AA1022" s="5"/>
      <c r="AB1022" s="5"/>
    </row>
    <row r="1023" spans="1:28" ht="12.75" customHeight="1">
      <c r="A1023" s="5"/>
      <c r="B1023" s="5"/>
      <c r="C1023" s="5"/>
      <c r="D1023" s="5"/>
      <c r="E1023" s="217"/>
      <c r="F1023" s="198"/>
      <c r="G1023" s="198"/>
      <c r="H1023" s="888"/>
      <c r="I1023" s="217"/>
      <c r="J1023" s="306"/>
      <c r="K1023" s="306"/>
      <c r="L1023" s="306"/>
      <c r="M1023" s="306"/>
      <c r="N1023" s="306"/>
      <c r="O1023" s="5"/>
      <c r="P1023" s="5"/>
      <c r="Q1023" s="5"/>
      <c r="R1023" s="5"/>
      <c r="S1023" s="5"/>
      <c r="T1023" s="5"/>
      <c r="U1023" s="5"/>
      <c r="V1023" s="5"/>
      <c r="W1023" s="5"/>
      <c r="X1023" s="5"/>
      <c r="Y1023" s="5"/>
      <c r="Z1023" s="5"/>
      <c r="AA1023" s="5"/>
      <c r="AB1023" s="5"/>
    </row>
    <row r="1024" spans="1:28" ht="12.75" customHeight="1">
      <c r="A1024" s="5"/>
      <c r="B1024" s="5"/>
      <c r="C1024" s="5"/>
      <c r="D1024" s="5"/>
      <c r="E1024" s="217"/>
      <c r="F1024" s="198"/>
      <c r="G1024" s="198"/>
      <c r="H1024" s="888"/>
      <c r="I1024" s="217"/>
      <c r="J1024" s="306"/>
      <c r="K1024" s="306"/>
      <c r="L1024" s="306"/>
      <c r="M1024" s="306"/>
      <c r="N1024" s="306"/>
      <c r="O1024" s="5"/>
      <c r="P1024" s="5"/>
      <c r="Q1024" s="5"/>
      <c r="R1024" s="5"/>
      <c r="S1024" s="5"/>
      <c r="T1024" s="5"/>
      <c r="U1024" s="5"/>
      <c r="V1024" s="5"/>
      <c r="W1024" s="5"/>
      <c r="X1024" s="5"/>
      <c r="Y1024" s="5"/>
      <c r="Z1024" s="5"/>
      <c r="AA1024" s="5"/>
      <c r="AB1024" s="5"/>
    </row>
    <row r="1025" spans="1:28" ht="12.75" customHeight="1">
      <c r="A1025" s="5"/>
      <c r="B1025" s="5"/>
      <c r="C1025" s="5"/>
      <c r="D1025" s="5"/>
      <c r="E1025" s="217"/>
      <c r="F1025" s="198"/>
      <c r="G1025" s="198"/>
      <c r="H1025" s="888"/>
      <c r="I1025" s="217"/>
      <c r="J1025" s="306"/>
      <c r="K1025" s="306"/>
      <c r="L1025" s="306"/>
      <c r="M1025" s="306"/>
      <c r="N1025" s="306"/>
      <c r="O1025" s="5"/>
      <c r="P1025" s="5"/>
      <c r="Q1025" s="5"/>
      <c r="R1025" s="5"/>
      <c r="S1025" s="5"/>
      <c r="T1025" s="5"/>
      <c r="U1025" s="5"/>
      <c r="V1025" s="5"/>
      <c r="W1025" s="5"/>
      <c r="X1025" s="5"/>
      <c r="Y1025" s="5"/>
      <c r="Z1025" s="5"/>
      <c r="AA1025" s="5"/>
      <c r="AB1025" s="5"/>
    </row>
    <row r="1026" spans="1:28" ht="12.75" customHeight="1">
      <c r="A1026" s="5"/>
      <c r="B1026" s="5"/>
      <c r="C1026" s="5"/>
      <c r="D1026" s="5"/>
      <c r="E1026" s="217"/>
      <c r="F1026" s="198"/>
      <c r="G1026" s="198"/>
      <c r="H1026" s="888"/>
      <c r="I1026" s="217"/>
      <c r="J1026" s="306"/>
      <c r="K1026" s="306"/>
      <c r="L1026" s="306"/>
      <c r="M1026" s="306"/>
      <c r="N1026" s="306"/>
      <c r="O1026" s="5"/>
      <c r="P1026" s="5"/>
      <c r="Q1026" s="5"/>
      <c r="R1026" s="5"/>
      <c r="S1026" s="5"/>
      <c r="T1026" s="5"/>
      <c r="U1026" s="5"/>
      <c r="V1026" s="5"/>
      <c r="W1026" s="5"/>
      <c r="X1026" s="5"/>
      <c r="Y1026" s="5"/>
      <c r="Z1026" s="5"/>
      <c r="AA1026" s="5"/>
      <c r="AB1026" s="5"/>
    </row>
    <row r="1027" spans="1:28" ht="12.75" customHeight="1">
      <c r="A1027" s="5"/>
      <c r="B1027" s="5"/>
      <c r="C1027" s="5"/>
      <c r="D1027" s="5"/>
      <c r="E1027" s="217"/>
      <c r="F1027" s="198"/>
      <c r="G1027" s="198"/>
      <c r="H1027" s="888"/>
      <c r="I1027" s="217"/>
      <c r="J1027" s="306"/>
      <c r="K1027" s="306"/>
      <c r="L1027" s="306"/>
      <c r="M1027" s="306"/>
      <c r="N1027" s="306"/>
      <c r="O1027" s="5"/>
      <c r="P1027" s="5"/>
      <c r="Q1027" s="5"/>
      <c r="R1027" s="5"/>
      <c r="S1027" s="5"/>
      <c r="T1027" s="5"/>
      <c r="U1027" s="5"/>
      <c r="V1027" s="5"/>
      <c r="W1027" s="5"/>
      <c r="X1027" s="5"/>
      <c r="Y1027" s="5"/>
      <c r="Z1027" s="5"/>
      <c r="AA1027" s="5"/>
      <c r="AB1027" s="5"/>
    </row>
    <row r="1028" spans="1:28" ht="12.75" customHeight="1">
      <c r="A1028" s="5"/>
      <c r="B1028" s="5"/>
      <c r="C1028" s="5"/>
      <c r="D1028" s="5"/>
      <c r="E1028" s="217"/>
      <c r="F1028" s="198"/>
      <c r="G1028" s="198"/>
      <c r="H1028" s="888"/>
      <c r="I1028" s="217"/>
      <c r="J1028" s="306"/>
      <c r="K1028" s="306"/>
      <c r="L1028" s="306"/>
      <c r="M1028" s="306"/>
      <c r="N1028" s="306"/>
      <c r="O1028" s="5"/>
      <c r="P1028" s="5"/>
      <c r="Q1028" s="5"/>
      <c r="R1028" s="5"/>
      <c r="S1028" s="5"/>
      <c r="T1028" s="5"/>
      <c r="U1028" s="5"/>
      <c r="V1028" s="5"/>
      <c r="W1028" s="5"/>
      <c r="X1028" s="5"/>
      <c r="Y1028" s="5"/>
      <c r="Z1028" s="5"/>
      <c r="AA1028" s="5"/>
      <c r="AB1028" s="5"/>
    </row>
    <row r="1029" spans="1:28" ht="12.75" customHeight="1">
      <c r="A1029" s="5"/>
      <c r="B1029" s="5"/>
      <c r="C1029" s="5"/>
      <c r="D1029" s="5"/>
      <c r="E1029" s="217"/>
      <c r="F1029" s="198"/>
      <c r="G1029" s="198"/>
      <c r="H1029" s="888"/>
      <c r="I1029" s="217"/>
      <c r="J1029" s="306"/>
      <c r="K1029" s="306"/>
      <c r="L1029" s="306"/>
      <c r="M1029" s="306"/>
      <c r="N1029" s="306"/>
      <c r="O1029" s="5"/>
      <c r="P1029" s="5"/>
      <c r="Q1029" s="5"/>
      <c r="R1029" s="5"/>
      <c r="S1029" s="5"/>
      <c r="T1029" s="5"/>
      <c r="U1029" s="5"/>
      <c r="V1029" s="5"/>
      <c r="W1029" s="5"/>
      <c r="X1029" s="5"/>
      <c r="Y1029" s="5"/>
      <c r="Z1029" s="5"/>
      <c r="AA1029" s="5"/>
      <c r="AB1029" s="5"/>
    </row>
    <row r="1030" spans="1:28" ht="12.75" customHeight="1">
      <c r="A1030" s="5"/>
      <c r="B1030" s="5"/>
      <c r="C1030" s="5"/>
      <c r="D1030" s="5"/>
      <c r="E1030" s="217"/>
      <c r="F1030" s="198"/>
      <c r="G1030" s="198"/>
      <c r="H1030" s="888"/>
      <c r="I1030" s="217"/>
      <c r="J1030" s="306"/>
      <c r="K1030" s="306"/>
      <c r="L1030" s="306"/>
      <c r="M1030" s="306"/>
      <c r="N1030" s="306"/>
      <c r="O1030" s="5"/>
      <c r="P1030" s="5"/>
      <c r="Q1030" s="5"/>
      <c r="R1030" s="5"/>
      <c r="S1030" s="5"/>
      <c r="T1030" s="5"/>
      <c r="U1030" s="5"/>
      <c r="V1030" s="5"/>
      <c r="W1030" s="5"/>
      <c r="X1030" s="5"/>
      <c r="Y1030" s="5"/>
      <c r="Z1030" s="5"/>
      <c r="AA1030" s="5"/>
      <c r="AB1030" s="5"/>
    </row>
    <row r="1031" spans="1:28" ht="12.75" customHeight="1">
      <c r="A1031" s="5"/>
      <c r="B1031" s="5"/>
      <c r="C1031" s="5"/>
      <c r="D1031" s="5"/>
      <c r="E1031" s="217"/>
      <c r="F1031" s="198"/>
      <c r="G1031" s="198"/>
      <c r="H1031" s="888"/>
      <c r="I1031" s="217"/>
      <c r="J1031" s="306"/>
      <c r="K1031" s="306"/>
      <c r="L1031" s="306"/>
      <c r="M1031" s="306"/>
      <c r="N1031" s="306"/>
      <c r="O1031" s="5"/>
      <c r="P1031" s="5"/>
      <c r="Q1031" s="5"/>
      <c r="R1031" s="5"/>
      <c r="S1031" s="5"/>
      <c r="T1031" s="5"/>
      <c r="U1031" s="5"/>
      <c r="V1031" s="5"/>
      <c r="W1031" s="5"/>
      <c r="X1031" s="5"/>
      <c r="Y1031" s="5"/>
      <c r="Z1031" s="5"/>
      <c r="AA1031" s="5"/>
      <c r="AB1031" s="5"/>
    </row>
    <row r="1032" spans="1:28" ht="12.75" customHeight="1">
      <c r="A1032" s="5"/>
      <c r="B1032" s="5"/>
      <c r="C1032" s="5"/>
      <c r="D1032" s="5"/>
      <c r="E1032" s="217"/>
      <c r="F1032" s="198"/>
      <c r="G1032" s="198"/>
      <c r="H1032" s="888"/>
      <c r="I1032" s="217"/>
      <c r="J1032" s="306"/>
      <c r="K1032" s="306"/>
      <c r="L1032" s="306"/>
      <c r="M1032" s="306"/>
      <c r="N1032" s="306"/>
      <c r="O1032" s="5"/>
      <c r="P1032" s="5"/>
      <c r="Q1032" s="5"/>
      <c r="R1032" s="5"/>
      <c r="S1032" s="5"/>
      <c r="T1032" s="5"/>
      <c r="U1032" s="5"/>
      <c r="V1032" s="5"/>
      <c r="W1032" s="5"/>
      <c r="X1032" s="5"/>
      <c r="Y1032" s="5"/>
      <c r="Z1032" s="5"/>
      <c r="AA1032" s="5"/>
      <c r="AB1032" s="5"/>
    </row>
    <row r="1033" spans="1:28" ht="12.75" customHeight="1">
      <c r="A1033" s="5"/>
      <c r="B1033" s="5"/>
      <c r="C1033" s="5"/>
      <c r="D1033" s="5"/>
      <c r="E1033" s="217"/>
      <c r="F1033" s="198"/>
      <c r="G1033" s="198"/>
      <c r="H1033" s="888"/>
      <c r="I1033" s="217"/>
      <c r="J1033" s="306"/>
      <c r="K1033" s="306"/>
      <c r="L1033" s="306"/>
      <c r="M1033" s="306"/>
      <c r="N1033" s="306"/>
      <c r="O1033" s="5"/>
      <c r="P1033" s="5"/>
      <c r="Q1033" s="5"/>
      <c r="R1033" s="5"/>
      <c r="S1033" s="5"/>
      <c r="T1033" s="5"/>
      <c r="U1033" s="5"/>
      <c r="V1033" s="5"/>
      <c r="W1033" s="5"/>
      <c r="X1033" s="5"/>
      <c r="Y1033" s="5"/>
      <c r="Z1033" s="5"/>
      <c r="AA1033" s="5"/>
      <c r="AB1033" s="5"/>
    </row>
    <row r="1034" spans="1:28" ht="12.75" customHeight="1">
      <c r="A1034" s="5"/>
      <c r="B1034" s="5"/>
      <c r="C1034" s="5"/>
      <c r="D1034" s="5"/>
      <c r="E1034" s="217"/>
      <c r="F1034" s="198"/>
      <c r="G1034" s="198"/>
      <c r="H1034" s="888"/>
      <c r="I1034" s="217"/>
      <c r="J1034" s="306"/>
      <c r="K1034" s="306"/>
      <c r="L1034" s="306"/>
      <c r="M1034" s="306"/>
      <c r="N1034" s="306"/>
      <c r="O1034" s="5"/>
      <c r="P1034" s="5"/>
      <c r="Q1034" s="5"/>
      <c r="R1034" s="5"/>
      <c r="S1034" s="5"/>
      <c r="T1034" s="5"/>
      <c r="U1034" s="5"/>
      <c r="V1034" s="5"/>
      <c r="W1034" s="5"/>
      <c r="X1034" s="5"/>
      <c r="Y1034" s="5"/>
      <c r="Z1034" s="5"/>
      <c r="AA1034" s="5"/>
      <c r="AB1034" s="5"/>
    </row>
    <row r="1035" spans="1:28" ht="12.75" customHeight="1">
      <c r="A1035" s="5"/>
      <c r="B1035" s="5"/>
      <c r="C1035" s="5"/>
      <c r="D1035" s="5"/>
      <c r="E1035" s="217"/>
      <c r="F1035" s="198"/>
      <c r="G1035" s="198"/>
      <c r="H1035" s="888"/>
      <c r="I1035" s="217"/>
      <c r="J1035" s="306"/>
      <c r="K1035" s="306"/>
      <c r="L1035" s="306"/>
      <c r="M1035" s="306"/>
      <c r="N1035" s="306"/>
      <c r="O1035" s="5"/>
      <c r="P1035" s="5"/>
      <c r="Q1035" s="5"/>
      <c r="R1035" s="5"/>
      <c r="S1035" s="5"/>
      <c r="T1035" s="5"/>
      <c r="U1035" s="5"/>
      <c r="V1035" s="5"/>
      <c r="W1035" s="5"/>
      <c r="X1035" s="5"/>
      <c r="Y1035" s="5"/>
      <c r="Z1035" s="5"/>
      <c r="AA1035" s="5"/>
      <c r="AB1035" s="5"/>
    </row>
    <row r="1036" spans="1:28" ht="12.75" customHeight="1">
      <c r="A1036" s="5"/>
      <c r="B1036" s="5"/>
      <c r="C1036" s="5"/>
      <c r="D1036" s="5"/>
      <c r="E1036" s="217"/>
      <c r="F1036" s="198"/>
      <c r="G1036" s="198"/>
      <c r="H1036" s="888"/>
      <c r="I1036" s="217"/>
      <c r="J1036" s="306"/>
      <c r="K1036" s="306"/>
      <c r="L1036" s="306"/>
      <c r="M1036" s="306"/>
      <c r="N1036" s="306"/>
      <c r="O1036" s="5"/>
      <c r="P1036" s="5"/>
      <c r="Q1036" s="5"/>
      <c r="R1036" s="5"/>
      <c r="S1036" s="5"/>
      <c r="T1036" s="5"/>
      <c r="U1036" s="5"/>
      <c r="V1036" s="5"/>
      <c r="W1036" s="5"/>
      <c r="X1036" s="5"/>
      <c r="Y1036" s="5"/>
      <c r="Z1036" s="5"/>
      <c r="AA1036" s="5"/>
      <c r="AB1036" s="5"/>
    </row>
    <row r="1037" spans="1:28" ht="12.75" customHeight="1">
      <c r="A1037" s="5"/>
      <c r="B1037" s="5"/>
      <c r="C1037" s="5"/>
      <c r="D1037" s="5"/>
      <c r="E1037" s="217"/>
      <c r="F1037" s="198"/>
      <c r="G1037" s="198"/>
      <c r="H1037" s="888"/>
      <c r="I1037" s="217"/>
      <c r="J1037" s="306"/>
      <c r="K1037" s="306"/>
      <c r="L1037" s="306"/>
      <c r="M1037" s="306"/>
      <c r="N1037" s="306"/>
      <c r="O1037" s="5"/>
      <c r="P1037" s="5"/>
      <c r="Q1037" s="5"/>
      <c r="R1037" s="5"/>
      <c r="S1037" s="5"/>
      <c r="T1037" s="5"/>
      <c r="U1037" s="5"/>
      <c r="V1037" s="5"/>
      <c r="W1037" s="5"/>
      <c r="X1037" s="5"/>
      <c r="Y1037" s="5"/>
      <c r="Z1037" s="5"/>
      <c r="AA1037" s="5"/>
      <c r="AB1037" s="5"/>
    </row>
    <row r="1038" spans="1:28" ht="12.75" customHeight="1">
      <c r="A1038" s="5"/>
      <c r="B1038" s="5"/>
      <c r="C1038" s="5"/>
      <c r="D1038" s="5"/>
      <c r="E1038" s="217"/>
      <c r="F1038" s="198"/>
      <c r="G1038" s="198"/>
      <c r="H1038" s="888"/>
      <c r="I1038" s="217"/>
      <c r="J1038" s="306"/>
      <c r="K1038" s="306"/>
      <c r="L1038" s="306"/>
      <c r="M1038" s="306"/>
      <c r="N1038" s="306"/>
      <c r="O1038" s="5"/>
      <c r="P1038" s="5"/>
      <c r="Q1038" s="5"/>
      <c r="R1038" s="5"/>
      <c r="S1038" s="5"/>
      <c r="T1038" s="5"/>
      <c r="U1038" s="5"/>
      <c r="V1038" s="5"/>
      <c r="W1038" s="5"/>
      <c r="X1038" s="5"/>
      <c r="Y1038" s="5"/>
      <c r="Z1038" s="5"/>
      <c r="AA1038" s="5"/>
      <c r="AB1038" s="5"/>
    </row>
    <row r="1039" spans="1:28" ht="12.75" customHeight="1">
      <c r="A1039" s="5"/>
      <c r="B1039" s="5"/>
      <c r="C1039" s="5"/>
      <c r="D1039" s="5"/>
      <c r="E1039" s="217"/>
      <c r="F1039" s="198"/>
      <c r="G1039" s="198"/>
      <c r="H1039" s="888"/>
      <c r="I1039" s="217"/>
      <c r="J1039" s="306"/>
      <c r="K1039" s="306"/>
      <c r="L1039" s="306"/>
      <c r="M1039" s="306"/>
      <c r="N1039" s="306"/>
      <c r="O1039" s="5"/>
      <c r="P1039" s="5"/>
      <c r="Q1039" s="5"/>
      <c r="R1039" s="5"/>
      <c r="S1039" s="5"/>
      <c r="T1039" s="5"/>
      <c r="U1039" s="5"/>
      <c r="V1039" s="5"/>
      <c r="W1039" s="5"/>
      <c r="X1039" s="5"/>
      <c r="Y1039" s="5"/>
      <c r="Z1039" s="5"/>
      <c r="AA1039" s="5"/>
      <c r="AB1039" s="5"/>
    </row>
    <row r="1040" spans="1:28" ht="12.75" customHeight="1">
      <c r="A1040" s="5"/>
      <c r="B1040" s="5"/>
      <c r="C1040" s="5"/>
      <c r="D1040" s="5"/>
      <c r="E1040" s="217"/>
      <c r="F1040" s="198"/>
      <c r="G1040" s="198"/>
      <c r="H1040" s="888"/>
      <c r="I1040" s="217"/>
      <c r="J1040" s="306"/>
      <c r="K1040" s="306"/>
      <c r="L1040" s="306"/>
      <c r="M1040" s="306"/>
      <c r="N1040" s="306"/>
      <c r="O1040" s="5"/>
      <c r="P1040" s="5"/>
      <c r="Q1040" s="5"/>
      <c r="R1040" s="5"/>
      <c r="S1040" s="5"/>
      <c r="T1040" s="5"/>
      <c r="U1040" s="5"/>
      <c r="V1040" s="5"/>
      <c r="W1040" s="5"/>
      <c r="X1040" s="5"/>
      <c r="Y1040" s="5"/>
      <c r="Z1040" s="5"/>
      <c r="AA1040" s="5"/>
      <c r="AB1040" s="5"/>
    </row>
    <row r="1041" spans="1:28" ht="12.75" customHeight="1">
      <c r="A1041" s="5"/>
      <c r="B1041" s="5"/>
      <c r="C1041" s="5"/>
      <c r="D1041" s="5"/>
      <c r="E1041" s="217"/>
      <c r="F1041" s="198"/>
      <c r="G1041" s="198"/>
      <c r="H1041" s="888"/>
      <c r="I1041" s="217"/>
      <c r="J1041" s="306"/>
      <c r="K1041" s="306"/>
      <c r="L1041" s="306"/>
      <c r="M1041" s="306"/>
      <c r="N1041" s="306"/>
      <c r="O1041" s="5"/>
      <c r="P1041" s="5"/>
      <c r="Q1041" s="5"/>
      <c r="R1041" s="5"/>
      <c r="S1041" s="5"/>
      <c r="T1041" s="5"/>
      <c r="U1041" s="5"/>
      <c r="V1041" s="5"/>
      <c r="W1041" s="5"/>
      <c r="X1041" s="5"/>
      <c r="Y1041" s="5"/>
      <c r="Z1041" s="5"/>
      <c r="AA1041" s="5"/>
      <c r="AB1041" s="5"/>
    </row>
    <row r="1042" spans="1:28" ht="12.75" customHeight="1">
      <c r="A1042" s="5"/>
      <c r="B1042" s="5"/>
      <c r="C1042" s="5"/>
      <c r="D1042" s="5"/>
      <c r="E1042" s="217"/>
      <c r="F1042" s="198"/>
      <c r="G1042" s="198"/>
      <c r="H1042" s="888"/>
      <c r="I1042" s="217"/>
      <c r="J1042" s="306"/>
      <c r="K1042" s="306"/>
      <c r="L1042" s="306"/>
      <c r="M1042" s="306"/>
      <c r="N1042" s="306"/>
      <c r="O1042" s="5"/>
      <c r="P1042" s="5"/>
      <c r="Q1042" s="5"/>
      <c r="R1042" s="5"/>
      <c r="S1042" s="5"/>
      <c r="T1042" s="5"/>
      <c r="U1042" s="5"/>
      <c r="V1042" s="5"/>
      <c r="W1042" s="5"/>
      <c r="X1042" s="5"/>
      <c r="Y1042" s="5"/>
      <c r="Z1042" s="5"/>
      <c r="AA1042" s="5"/>
      <c r="AB1042" s="5"/>
    </row>
    <row r="1043" spans="1:28" ht="12.75" customHeight="1">
      <c r="A1043" s="5"/>
      <c r="B1043" s="5"/>
      <c r="C1043" s="5"/>
      <c r="D1043" s="5"/>
      <c r="E1043" s="217"/>
      <c r="F1043" s="198"/>
      <c r="G1043" s="198"/>
      <c r="H1043" s="888"/>
      <c r="I1043" s="217"/>
      <c r="J1043" s="306"/>
      <c r="K1043" s="306"/>
      <c r="L1043" s="306"/>
      <c r="M1043" s="306"/>
      <c r="N1043" s="306"/>
      <c r="O1043" s="5"/>
      <c r="P1043" s="5"/>
      <c r="Q1043" s="5"/>
      <c r="R1043" s="5"/>
      <c r="S1043" s="5"/>
      <c r="T1043" s="5"/>
      <c r="U1043" s="5"/>
      <c r="V1043" s="5"/>
      <c r="W1043" s="5"/>
      <c r="X1043" s="5"/>
      <c r="Y1043" s="5"/>
      <c r="Z1043" s="5"/>
      <c r="AA1043" s="5"/>
      <c r="AB1043" s="5"/>
    </row>
    <row r="1044" spans="1:28" ht="12.75" customHeight="1">
      <c r="A1044" s="5"/>
      <c r="B1044" s="5"/>
      <c r="C1044" s="5"/>
      <c r="D1044" s="5"/>
      <c r="E1044" s="217"/>
      <c r="F1044" s="198"/>
      <c r="G1044" s="198"/>
      <c r="H1044" s="888"/>
      <c r="I1044" s="217"/>
      <c r="J1044" s="306"/>
      <c r="K1044" s="306"/>
      <c r="L1044" s="306"/>
      <c r="M1044" s="306"/>
      <c r="N1044" s="306"/>
      <c r="O1044" s="5"/>
      <c r="P1044" s="5"/>
      <c r="Q1044" s="5"/>
      <c r="R1044" s="5"/>
      <c r="S1044" s="5"/>
      <c r="T1044" s="5"/>
      <c r="U1044" s="5"/>
      <c r="V1044" s="5"/>
      <c r="W1044" s="5"/>
      <c r="X1044" s="5"/>
      <c r="Y1044" s="5"/>
      <c r="Z1044" s="5"/>
      <c r="AA1044" s="5"/>
      <c r="AB1044" s="5"/>
    </row>
    <row r="1045" spans="1:28" ht="12.75" customHeight="1">
      <c r="A1045" s="5"/>
      <c r="B1045" s="5"/>
      <c r="C1045" s="5"/>
      <c r="D1045" s="5"/>
      <c r="E1045" s="217"/>
      <c r="F1045" s="198"/>
      <c r="G1045" s="198"/>
      <c r="H1045" s="888"/>
      <c r="I1045" s="217"/>
      <c r="J1045" s="306"/>
      <c r="K1045" s="306"/>
      <c r="L1045" s="306"/>
      <c r="M1045" s="306"/>
      <c r="N1045" s="306"/>
      <c r="O1045" s="5"/>
      <c r="P1045" s="5"/>
      <c r="Q1045" s="5"/>
      <c r="R1045" s="5"/>
      <c r="S1045" s="5"/>
      <c r="T1045" s="5"/>
      <c r="U1045" s="5"/>
      <c r="V1045" s="5"/>
      <c r="W1045" s="5"/>
      <c r="X1045" s="5"/>
      <c r="Y1045" s="5"/>
      <c r="Z1045" s="5"/>
      <c r="AA1045" s="5"/>
      <c r="AB1045" s="5"/>
    </row>
    <row r="1046" spans="1:28" ht="12.75" customHeight="1">
      <c r="A1046" s="5"/>
      <c r="B1046" s="5"/>
      <c r="C1046" s="5"/>
      <c r="D1046" s="5"/>
      <c r="E1046" s="217"/>
      <c r="F1046" s="198"/>
      <c r="G1046" s="198"/>
      <c r="H1046" s="888"/>
      <c r="I1046" s="217"/>
      <c r="J1046" s="306"/>
      <c r="K1046" s="306"/>
      <c r="L1046" s="306"/>
      <c r="M1046" s="306"/>
      <c r="N1046" s="306"/>
      <c r="O1046" s="5"/>
      <c r="P1046" s="5"/>
      <c r="Q1046" s="5"/>
      <c r="R1046" s="5"/>
      <c r="S1046" s="5"/>
      <c r="T1046" s="5"/>
      <c r="U1046" s="5"/>
      <c r="V1046" s="5"/>
      <c r="W1046" s="5"/>
      <c r="X1046" s="5"/>
      <c r="Y1046" s="5"/>
      <c r="Z1046" s="5"/>
      <c r="AA1046" s="5"/>
      <c r="AB1046" s="5"/>
    </row>
    <row r="1047" spans="1:28" ht="12.75" customHeight="1">
      <c r="A1047" s="5"/>
      <c r="B1047" s="5"/>
      <c r="C1047" s="5"/>
      <c r="D1047" s="5"/>
      <c r="E1047" s="217"/>
      <c r="F1047" s="198"/>
      <c r="G1047" s="198"/>
      <c r="H1047" s="888"/>
      <c r="I1047" s="217"/>
      <c r="J1047" s="306"/>
      <c r="K1047" s="306"/>
      <c r="L1047" s="306"/>
      <c r="M1047" s="306"/>
      <c r="N1047" s="306"/>
      <c r="O1047" s="5"/>
      <c r="P1047" s="5"/>
      <c r="Q1047" s="5"/>
      <c r="R1047" s="5"/>
      <c r="S1047" s="5"/>
      <c r="T1047" s="5"/>
      <c r="U1047" s="5"/>
      <c r="V1047" s="5"/>
      <c r="W1047" s="5"/>
      <c r="X1047" s="5"/>
      <c r="Y1047" s="5"/>
      <c r="Z1047" s="5"/>
      <c r="AA1047" s="5"/>
      <c r="AB1047" s="5"/>
    </row>
    <row r="1048" spans="1:28" ht="12.75" customHeight="1">
      <c r="A1048" s="5"/>
      <c r="B1048" s="5"/>
      <c r="C1048" s="5"/>
      <c r="D1048" s="5"/>
      <c r="E1048" s="217"/>
      <c r="F1048" s="198"/>
      <c r="G1048" s="198"/>
      <c r="H1048" s="888"/>
      <c r="I1048" s="217"/>
      <c r="J1048" s="306"/>
      <c r="K1048" s="306"/>
      <c r="L1048" s="306"/>
      <c r="M1048" s="306"/>
      <c r="N1048" s="306"/>
      <c r="O1048" s="5"/>
      <c r="P1048" s="5"/>
      <c r="Q1048" s="5"/>
      <c r="R1048" s="5"/>
      <c r="S1048" s="5"/>
      <c r="T1048" s="5"/>
      <c r="U1048" s="5"/>
      <c r="V1048" s="5"/>
      <c r="W1048" s="5"/>
      <c r="X1048" s="5"/>
      <c r="Y1048" s="5"/>
      <c r="Z1048" s="5"/>
      <c r="AA1048" s="5"/>
      <c r="AB1048" s="5"/>
    </row>
    <row r="1049" spans="1:28" ht="12.75" customHeight="1">
      <c r="A1049" s="5"/>
      <c r="B1049" s="5"/>
      <c r="C1049" s="5"/>
      <c r="D1049" s="5"/>
      <c r="E1049" s="217"/>
      <c r="F1049" s="198"/>
      <c r="G1049" s="198"/>
      <c r="H1049" s="888"/>
      <c r="I1049" s="217"/>
      <c r="J1049" s="306"/>
      <c r="K1049" s="306"/>
      <c r="L1049" s="306"/>
      <c r="M1049" s="306"/>
      <c r="N1049" s="306"/>
      <c r="O1049" s="5"/>
      <c r="P1049" s="5"/>
      <c r="Q1049" s="5"/>
      <c r="R1049" s="5"/>
      <c r="S1049" s="5"/>
      <c r="T1049" s="5"/>
      <c r="U1049" s="5"/>
      <c r="V1049" s="5"/>
      <c r="W1049" s="5"/>
      <c r="X1049" s="5"/>
      <c r="Y1049" s="5"/>
      <c r="Z1049" s="5"/>
      <c r="AA1049" s="5"/>
      <c r="AB1049" s="5"/>
    </row>
    <row r="1050" spans="1:28" ht="12.75" customHeight="1">
      <c r="A1050" s="5"/>
      <c r="B1050" s="5"/>
      <c r="C1050" s="5"/>
      <c r="D1050" s="5"/>
      <c r="E1050" s="217"/>
      <c r="F1050" s="198"/>
      <c r="G1050" s="198"/>
      <c r="H1050" s="888"/>
      <c r="I1050" s="217"/>
      <c r="J1050" s="306"/>
      <c r="K1050" s="306"/>
      <c r="L1050" s="306"/>
      <c r="M1050" s="306"/>
      <c r="N1050" s="306"/>
      <c r="O1050" s="5"/>
      <c r="P1050" s="5"/>
      <c r="Q1050" s="5"/>
      <c r="R1050" s="5"/>
      <c r="S1050" s="5"/>
      <c r="T1050" s="5"/>
      <c r="U1050" s="5"/>
      <c r="V1050" s="5"/>
      <c r="W1050" s="5"/>
      <c r="X1050" s="5"/>
      <c r="Y1050" s="5"/>
      <c r="Z1050" s="5"/>
      <c r="AA1050" s="5"/>
      <c r="AB1050" s="5"/>
    </row>
    <row r="1051" spans="1:28" ht="12.75" customHeight="1">
      <c r="A1051" s="5"/>
      <c r="B1051" s="5"/>
      <c r="C1051" s="5"/>
      <c r="D1051" s="5"/>
      <c r="E1051" s="217"/>
      <c r="F1051" s="198"/>
      <c r="G1051" s="198"/>
      <c r="H1051" s="888"/>
      <c r="I1051" s="217"/>
      <c r="J1051" s="306"/>
      <c r="K1051" s="306"/>
      <c r="L1051" s="306"/>
      <c r="M1051" s="306"/>
      <c r="N1051" s="306"/>
      <c r="O1051" s="5"/>
      <c r="P1051" s="5"/>
      <c r="Q1051" s="5"/>
      <c r="R1051" s="5"/>
      <c r="S1051" s="5"/>
      <c r="T1051" s="5"/>
      <c r="U1051" s="5"/>
      <c r="V1051" s="5"/>
      <c r="W1051" s="5"/>
      <c r="X1051" s="5"/>
      <c r="Y1051" s="5"/>
      <c r="Z1051" s="5"/>
      <c r="AA1051" s="5"/>
      <c r="AB1051" s="5"/>
    </row>
    <row r="1052" spans="1:28" ht="12.75" customHeight="1">
      <c r="A1052" s="5"/>
      <c r="B1052" s="5"/>
      <c r="C1052" s="5"/>
      <c r="D1052" s="5"/>
      <c r="E1052" s="217"/>
      <c r="F1052" s="198"/>
      <c r="G1052" s="198"/>
      <c r="H1052" s="888"/>
      <c r="I1052" s="217"/>
      <c r="J1052" s="306"/>
      <c r="K1052" s="306"/>
      <c r="L1052" s="306"/>
      <c r="M1052" s="306"/>
      <c r="N1052" s="306"/>
      <c r="O1052" s="5"/>
      <c r="P1052" s="5"/>
      <c r="Q1052" s="5"/>
      <c r="R1052" s="5"/>
      <c r="S1052" s="5"/>
      <c r="T1052" s="5"/>
      <c r="U1052" s="5"/>
      <c r="V1052" s="5"/>
      <c r="W1052" s="5"/>
      <c r="X1052" s="5"/>
      <c r="Y1052" s="5"/>
      <c r="Z1052" s="5"/>
      <c r="AA1052" s="5"/>
      <c r="AB1052" s="5"/>
    </row>
    <row r="1053" spans="1:28" ht="12.75" customHeight="1">
      <c r="A1053" s="5"/>
      <c r="B1053" s="5"/>
      <c r="C1053" s="5"/>
      <c r="D1053" s="5"/>
      <c r="E1053" s="217"/>
      <c r="F1053" s="198"/>
      <c r="G1053" s="198"/>
      <c r="H1053" s="888"/>
      <c r="I1053" s="217"/>
      <c r="J1053" s="306"/>
      <c r="K1053" s="306"/>
      <c r="L1053" s="306"/>
      <c r="M1053" s="306"/>
      <c r="N1053" s="306"/>
      <c r="O1053" s="5"/>
      <c r="P1053" s="5"/>
      <c r="Q1053" s="5"/>
      <c r="R1053" s="5"/>
      <c r="S1053" s="5"/>
      <c r="T1053" s="5"/>
      <c r="U1053" s="5"/>
      <c r="V1053" s="5"/>
      <c r="W1053" s="5"/>
      <c r="X1053" s="5"/>
      <c r="Y1053" s="5"/>
      <c r="Z1053" s="5"/>
      <c r="AA1053" s="5"/>
      <c r="AB1053" s="5"/>
    </row>
    <row r="1054" spans="1:28" ht="12.75" customHeight="1">
      <c r="A1054" s="5"/>
      <c r="B1054" s="5"/>
      <c r="C1054" s="5"/>
      <c r="D1054" s="5"/>
      <c r="E1054" s="217"/>
      <c r="F1054" s="198"/>
      <c r="G1054" s="198"/>
      <c r="H1054" s="888"/>
      <c r="I1054" s="217"/>
      <c r="J1054" s="306"/>
      <c r="K1054" s="306"/>
      <c r="L1054" s="306"/>
      <c r="M1054" s="306"/>
      <c r="N1054" s="306"/>
      <c r="O1054" s="5"/>
      <c r="P1054" s="5"/>
      <c r="Q1054" s="5"/>
      <c r="R1054" s="5"/>
      <c r="S1054" s="5"/>
      <c r="T1054" s="5"/>
      <c r="U1054" s="5"/>
      <c r="V1054" s="5"/>
      <c r="W1054" s="5"/>
      <c r="X1054" s="5"/>
      <c r="Y1054" s="5"/>
      <c r="Z1054" s="5"/>
      <c r="AA1054" s="5"/>
      <c r="AB1054" s="5"/>
    </row>
    <row r="1055" spans="1:28" ht="12.75" customHeight="1">
      <c r="A1055" s="5"/>
      <c r="B1055" s="5"/>
      <c r="C1055" s="5"/>
      <c r="D1055" s="5"/>
      <c r="E1055" s="217"/>
      <c r="F1055" s="198"/>
      <c r="G1055" s="198"/>
      <c r="H1055" s="888"/>
      <c r="I1055" s="217"/>
      <c r="J1055" s="306"/>
      <c r="K1055" s="306"/>
      <c r="L1055" s="306"/>
      <c r="M1055" s="306"/>
      <c r="N1055" s="306"/>
      <c r="O1055" s="5"/>
      <c r="P1055" s="5"/>
      <c r="Q1055" s="5"/>
      <c r="R1055" s="5"/>
      <c r="S1055" s="5"/>
      <c r="T1055" s="5"/>
      <c r="U1055" s="5"/>
      <c r="V1055" s="5"/>
      <c r="W1055" s="5"/>
      <c r="X1055" s="5"/>
      <c r="Y1055" s="5"/>
      <c r="Z1055" s="5"/>
      <c r="AA1055" s="5"/>
      <c r="AB1055" s="5"/>
    </row>
    <row r="1056" spans="1:28" ht="12.75" customHeight="1">
      <c r="A1056" s="5"/>
      <c r="B1056" s="5"/>
      <c r="C1056" s="5"/>
      <c r="D1056" s="5"/>
      <c r="E1056" s="217"/>
      <c r="F1056" s="198"/>
      <c r="G1056" s="198"/>
      <c r="H1056" s="888"/>
      <c r="I1056" s="217"/>
      <c r="J1056" s="306"/>
      <c r="K1056" s="306"/>
      <c r="L1056" s="306"/>
      <c r="M1056" s="306"/>
      <c r="N1056" s="306"/>
      <c r="O1056" s="5"/>
      <c r="P1056" s="5"/>
      <c r="Q1056" s="5"/>
      <c r="R1056" s="5"/>
      <c r="S1056" s="5"/>
      <c r="T1056" s="5"/>
      <c r="U1056" s="5"/>
      <c r="V1056" s="5"/>
      <c r="W1056" s="5"/>
      <c r="X1056" s="5"/>
      <c r="Y1056" s="5"/>
      <c r="Z1056" s="5"/>
      <c r="AA1056" s="5"/>
      <c r="AB1056" s="5"/>
    </row>
    <row r="1057" spans="1:28" ht="12.75" customHeight="1">
      <c r="A1057" s="5"/>
      <c r="B1057" s="5"/>
      <c r="C1057" s="5"/>
      <c r="D1057" s="5"/>
      <c r="E1057" s="217"/>
      <c r="F1057" s="198"/>
      <c r="G1057" s="198"/>
      <c r="H1057" s="888"/>
      <c r="I1057" s="217"/>
      <c r="J1057" s="306"/>
      <c r="K1057" s="306"/>
      <c r="L1057" s="306"/>
      <c r="M1057" s="306"/>
      <c r="N1057" s="306"/>
      <c r="O1057" s="5"/>
      <c r="P1057" s="5"/>
      <c r="Q1057" s="5"/>
      <c r="R1057" s="5"/>
      <c r="S1057" s="5"/>
      <c r="T1057" s="5"/>
      <c r="U1057" s="5"/>
      <c r="V1057" s="5"/>
      <c r="W1057" s="5"/>
      <c r="X1057" s="5"/>
      <c r="Y1057" s="5"/>
      <c r="Z1057" s="5"/>
      <c r="AA1057" s="5"/>
      <c r="AB1057" s="5"/>
    </row>
    <row r="1058" spans="1:28" ht="12.75" customHeight="1">
      <c r="A1058" s="5"/>
      <c r="B1058" s="5"/>
      <c r="C1058" s="5"/>
      <c r="D1058" s="5"/>
      <c r="E1058" s="217"/>
      <c r="F1058" s="198"/>
      <c r="G1058" s="198"/>
      <c r="H1058" s="888"/>
      <c r="I1058" s="217"/>
      <c r="J1058" s="306"/>
      <c r="K1058" s="306"/>
      <c r="L1058" s="306"/>
      <c r="M1058" s="306"/>
      <c r="N1058" s="306"/>
      <c r="O1058" s="5"/>
      <c r="P1058" s="5"/>
      <c r="Q1058" s="5"/>
      <c r="R1058" s="5"/>
      <c r="S1058" s="5"/>
      <c r="T1058" s="5"/>
      <c r="U1058" s="5"/>
      <c r="V1058" s="5"/>
      <c r="W1058" s="5"/>
      <c r="X1058" s="5"/>
      <c r="Y1058" s="5"/>
      <c r="Z1058" s="5"/>
      <c r="AA1058" s="5"/>
      <c r="AB1058" s="5"/>
    </row>
    <row r="1059" spans="1:28" ht="12.75" customHeight="1">
      <c r="A1059" s="5"/>
      <c r="B1059" s="5"/>
      <c r="C1059" s="5"/>
      <c r="D1059" s="5"/>
      <c r="E1059" s="217"/>
      <c r="F1059" s="198"/>
      <c r="G1059" s="198"/>
      <c r="H1059" s="888"/>
      <c r="I1059" s="217"/>
      <c r="J1059" s="306"/>
      <c r="K1059" s="306"/>
      <c r="L1059" s="306"/>
      <c r="M1059" s="306"/>
      <c r="N1059" s="306"/>
      <c r="O1059" s="5"/>
      <c r="P1059" s="5"/>
      <c r="Q1059" s="5"/>
      <c r="R1059" s="5"/>
      <c r="S1059" s="5"/>
      <c r="T1059" s="5"/>
      <c r="U1059" s="5"/>
      <c r="V1059" s="5"/>
      <c r="W1059" s="5"/>
      <c r="X1059" s="5"/>
      <c r="Y1059" s="5"/>
      <c r="Z1059" s="5"/>
      <c r="AA1059" s="5"/>
      <c r="AB1059" s="5"/>
    </row>
    <row r="1060" spans="1:28" ht="12.75" customHeight="1">
      <c r="A1060" s="5"/>
      <c r="B1060" s="5"/>
      <c r="C1060" s="5"/>
      <c r="D1060" s="5"/>
      <c r="E1060" s="217"/>
      <c r="F1060" s="198"/>
      <c r="G1060" s="198"/>
      <c r="H1060" s="888"/>
      <c r="I1060" s="217"/>
      <c r="J1060" s="306"/>
      <c r="K1060" s="306"/>
      <c r="L1060" s="306"/>
      <c r="M1060" s="306"/>
      <c r="N1060" s="306"/>
      <c r="O1060" s="5"/>
      <c r="P1060" s="5"/>
      <c r="Q1060" s="5"/>
      <c r="R1060" s="5"/>
      <c r="S1060" s="5"/>
      <c r="T1060" s="5"/>
      <c r="U1060" s="5"/>
      <c r="V1060" s="5"/>
      <c r="W1060" s="5"/>
      <c r="X1060" s="5"/>
      <c r="Y1060" s="5"/>
      <c r="Z1060" s="5"/>
      <c r="AA1060" s="5"/>
      <c r="AB1060" s="5"/>
    </row>
    <row r="1061" spans="1:28" ht="12.75" customHeight="1">
      <c r="A1061" s="5"/>
      <c r="B1061" s="5"/>
      <c r="C1061" s="5"/>
      <c r="D1061" s="5"/>
      <c r="E1061" s="217"/>
      <c r="F1061" s="198"/>
      <c r="G1061" s="198"/>
      <c r="H1061" s="888"/>
      <c r="I1061" s="217"/>
      <c r="J1061" s="306"/>
      <c r="K1061" s="306"/>
      <c r="L1061" s="306"/>
      <c r="M1061" s="306"/>
      <c r="N1061" s="306"/>
      <c r="O1061" s="5"/>
      <c r="P1061" s="5"/>
      <c r="Q1061" s="5"/>
      <c r="R1061" s="5"/>
      <c r="S1061" s="5"/>
      <c r="T1061" s="5"/>
      <c r="U1061" s="5"/>
      <c r="V1061" s="5"/>
      <c r="W1061" s="5"/>
      <c r="X1061" s="5"/>
      <c r="Y1061" s="5"/>
      <c r="Z1061" s="5"/>
      <c r="AA1061" s="5"/>
      <c r="AB1061" s="5"/>
    </row>
    <row r="1062" spans="1:28" ht="12.75" customHeight="1">
      <c r="A1062" s="5"/>
      <c r="B1062" s="5"/>
      <c r="C1062" s="5"/>
      <c r="D1062" s="5"/>
      <c r="E1062" s="217"/>
      <c r="F1062" s="198"/>
      <c r="G1062" s="198"/>
      <c r="H1062" s="888"/>
      <c r="I1062" s="217"/>
      <c r="J1062" s="306"/>
      <c r="K1062" s="306"/>
      <c r="L1062" s="306"/>
      <c r="M1062" s="306"/>
      <c r="N1062" s="306"/>
      <c r="O1062" s="5"/>
      <c r="P1062" s="5"/>
      <c r="Q1062" s="5"/>
      <c r="R1062" s="5"/>
      <c r="S1062" s="5"/>
      <c r="T1062" s="5"/>
      <c r="U1062" s="5"/>
      <c r="V1062" s="5"/>
      <c r="W1062" s="5"/>
      <c r="X1062" s="5"/>
      <c r="Y1062" s="5"/>
      <c r="Z1062" s="5"/>
      <c r="AA1062" s="5"/>
      <c r="AB1062" s="5"/>
    </row>
    <row r="1063" spans="1:28" ht="12.75" customHeight="1">
      <c r="A1063" s="5"/>
      <c r="B1063" s="5"/>
      <c r="C1063" s="5"/>
      <c r="D1063" s="5"/>
      <c r="E1063" s="217"/>
      <c r="F1063" s="198"/>
      <c r="G1063" s="198"/>
      <c r="H1063" s="888"/>
      <c r="I1063" s="217"/>
      <c r="J1063" s="306"/>
      <c r="K1063" s="306"/>
      <c r="L1063" s="306"/>
      <c r="M1063" s="306"/>
      <c r="N1063" s="306"/>
      <c r="O1063" s="5"/>
      <c r="P1063" s="5"/>
      <c r="Q1063" s="5"/>
      <c r="R1063" s="5"/>
      <c r="S1063" s="5"/>
      <c r="T1063" s="5"/>
      <c r="U1063" s="5"/>
      <c r="V1063" s="5"/>
      <c r="W1063" s="5"/>
      <c r="X1063" s="5"/>
      <c r="Y1063" s="5"/>
      <c r="Z1063" s="5"/>
      <c r="AA1063" s="5"/>
      <c r="AB1063" s="5"/>
    </row>
    <row r="1064" spans="1:28" ht="12.75" customHeight="1">
      <c r="A1064" s="5"/>
      <c r="B1064" s="5"/>
      <c r="C1064" s="5"/>
      <c r="D1064" s="5"/>
      <c r="E1064" s="217"/>
      <c r="F1064" s="198"/>
      <c r="G1064" s="198"/>
      <c r="H1064" s="888"/>
      <c r="I1064" s="217"/>
      <c r="J1064" s="306"/>
      <c r="K1064" s="306"/>
      <c r="L1064" s="306"/>
      <c r="M1064" s="306"/>
      <c r="N1064" s="306"/>
      <c r="O1064" s="5"/>
      <c r="P1064" s="5"/>
      <c r="Q1064" s="5"/>
      <c r="R1064" s="5"/>
      <c r="S1064" s="5"/>
      <c r="T1064" s="5"/>
      <c r="U1064" s="5"/>
      <c r="V1064" s="5"/>
      <c r="W1064" s="5"/>
      <c r="X1064" s="5"/>
      <c r="Y1064" s="5"/>
      <c r="Z1064" s="5"/>
      <c r="AA1064" s="5"/>
      <c r="AB1064" s="5"/>
    </row>
  </sheetData>
  <mergeCells count="17">
    <mergeCell ref="C397:E397"/>
    <mergeCell ref="F432:G432"/>
    <mergeCell ref="H432:I432"/>
    <mergeCell ref="B432:C432"/>
    <mergeCell ref="D432:E432"/>
    <mergeCell ref="C382:D382"/>
    <mergeCell ref="C383:D383"/>
    <mergeCell ref="H383:I383"/>
    <mergeCell ref="C396:F396"/>
    <mergeCell ref="C388:D388"/>
    <mergeCell ref="C389:D389"/>
    <mergeCell ref="C390:D390"/>
    <mergeCell ref="I359:J359"/>
    <mergeCell ref="O2:P2"/>
    <mergeCell ref="H375:M375"/>
    <mergeCell ref="C379:D379"/>
    <mergeCell ref="C380:D380"/>
  </mergeCells>
  <hyperlinks>
    <hyperlink ref="C397:E397" r:id="rId1" location="overview" display="S&amp;P 500 monthly Returns" xr:uid="{417D9FF5-99C3-4612-BB2F-0F80657A62EC}"/>
  </hyperlinks>
  <pageMargins left="0.7" right="0.7" top="0.75" bottom="0.75" header="0.3" footer="0.3"/>
  <pageSetup orientation="portrait" horizontalDpi="1200" verticalDpi="1200" r:id="rId2"/>
  <ignoredErrors>
    <ignoredError sqref="H279" formula="1"/>
  </ignoredErrors>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G779"/>
  <sheetViews>
    <sheetView workbookViewId="0">
      <selection activeCell="I22" sqref="I22"/>
    </sheetView>
  </sheetViews>
  <sheetFormatPr defaultColWidth="14.28515625" defaultRowHeight="15" customHeight="1"/>
  <cols>
    <col min="1" max="1" width="5.7109375" customWidth="1"/>
    <col min="2" max="2" width="6.28515625" bestFit="1" customWidth="1"/>
    <col min="3" max="3" width="28.28515625" bestFit="1" customWidth="1"/>
    <col min="4" max="4" width="21.7109375" customWidth="1"/>
    <col min="5" max="5" width="13.7109375" customWidth="1"/>
    <col min="6" max="6" width="19.28515625" bestFit="1" customWidth="1"/>
    <col min="7" max="7" width="13.7109375" customWidth="1"/>
    <col min="8" max="9" width="15" customWidth="1"/>
    <col min="10" max="10" width="28.28515625" bestFit="1" customWidth="1"/>
    <col min="11" max="11" width="24" customWidth="1"/>
    <col min="12" max="12" width="22.28515625" customWidth="1"/>
    <col min="13" max="13" width="17.28515625" customWidth="1"/>
    <col min="14" max="14" width="16.28515625" customWidth="1"/>
    <col min="15" max="15" width="13.28515625" customWidth="1"/>
    <col min="16" max="16" width="12.28515625" bestFit="1" customWidth="1"/>
    <col min="17" max="17" width="10.7109375" customWidth="1"/>
    <col min="18" max="18" width="15.28515625" customWidth="1"/>
    <col min="19" max="19" width="4.28515625" customWidth="1"/>
    <col min="20" max="20" width="13" customWidth="1"/>
    <col min="21" max="21" width="13.28515625" customWidth="1"/>
    <col min="22" max="22" width="20.28515625" customWidth="1"/>
    <col min="23" max="24" width="21.7109375" customWidth="1"/>
    <col min="25" max="25" width="21.28515625" customWidth="1"/>
    <col min="26" max="26" width="23.7109375" customWidth="1"/>
    <col min="27" max="27" width="20.28515625" customWidth="1"/>
    <col min="28" max="28" width="24.28515625" customWidth="1"/>
    <col min="29" max="33" width="9.28515625" customWidth="1"/>
  </cols>
  <sheetData>
    <row r="1" spans="1:33" s="431" customFormat="1" ht="12.75" customHeight="1">
      <c r="C1" s="451"/>
      <c r="D1" s="179"/>
      <c r="E1" s="180"/>
      <c r="F1" s="181"/>
      <c r="G1" s="182"/>
      <c r="H1" s="420"/>
      <c r="I1" s="432"/>
      <c r="J1" s="185"/>
      <c r="K1" s="433"/>
      <c r="L1" s="421"/>
      <c r="M1" s="421"/>
      <c r="N1" s="434"/>
      <c r="O1" s="422"/>
      <c r="P1" s="471"/>
      <c r="Q1" s="189"/>
      <c r="R1" s="187"/>
      <c r="S1" s="890"/>
      <c r="T1" s="472"/>
      <c r="U1" s="472"/>
      <c r="V1" s="472"/>
      <c r="W1" s="472"/>
      <c r="X1" s="472"/>
      <c r="Y1" s="472"/>
      <c r="Z1" s="472"/>
      <c r="AA1" s="472"/>
      <c r="AB1" s="472"/>
      <c r="AC1" s="359"/>
      <c r="AD1" s="359"/>
      <c r="AE1" s="359"/>
      <c r="AF1" s="359"/>
      <c r="AG1" s="359"/>
    </row>
    <row r="2" spans="1:33" s="431" customFormat="1" ht="12.75" customHeight="1">
      <c r="C2" s="890"/>
      <c r="D2" s="179"/>
      <c r="E2" s="180"/>
      <c r="F2" s="181"/>
      <c r="G2" s="182"/>
      <c r="H2" s="420"/>
      <c r="I2" s="432"/>
      <c r="J2" s="185"/>
      <c r="K2" s="433"/>
      <c r="L2" s="421"/>
      <c r="M2" s="189"/>
      <c r="N2" s="182"/>
      <c r="O2" s="189"/>
      <c r="P2" s="182"/>
      <c r="Q2" s="189"/>
      <c r="R2" s="189"/>
      <c r="S2" s="473"/>
      <c r="T2" s="2094"/>
      <c r="U2" s="1985"/>
      <c r="V2" s="190"/>
      <c r="W2" s="472"/>
      <c r="X2" s="472"/>
      <c r="Y2" s="472"/>
      <c r="Z2" s="472"/>
      <c r="AA2" s="472"/>
      <c r="AB2" s="472"/>
      <c r="AC2" s="359"/>
      <c r="AD2" s="359"/>
      <c r="AE2" s="359"/>
      <c r="AF2" s="359"/>
      <c r="AG2" s="359"/>
    </row>
    <row r="3" spans="1:33" s="446" customFormat="1" ht="12.75" customHeight="1" thickBot="1">
      <c r="C3" s="452"/>
      <c r="D3" s="436"/>
      <c r="E3" s="437"/>
      <c r="F3" s="438"/>
      <c r="G3" s="439"/>
      <c r="H3" s="440"/>
      <c r="I3" s="441"/>
      <c r="J3" s="442"/>
      <c r="K3" s="443"/>
      <c r="L3" s="444"/>
      <c r="M3" s="445"/>
      <c r="N3" s="439"/>
      <c r="O3" s="445"/>
      <c r="P3" s="439"/>
      <c r="Q3" s="445"/>
      <c r="R3" s="445"/>
      <c r="S3" s="474"/>
      <c r="T3" s="452"/>
      <c r="U3" s="452"/>
      <c r="V3" s="475"/>
      <c r="W3" s="452"/>
      <c r="X3" s="452"/>
      <c r="Y3" s="476"/>
      <c r="Z3" s="476"/>
      <c r="AA3" s="476"/>
      <c r="AB3" s="476"/>
      <c r="AC3" s="477"/>
      <c r="AD3" s="477"/>
      <c r="AE3" s="477"/>
      <c r="AF3" s="477"/>
      <c r="AG3" s="477"/>
    </row>
    <row r="4" spans="1:33" s="431" customFormat="1" ht="12.75" customHeight="1" thickBot="1">
      <c r="C4" s="423"/>
      <c r="D4" s="447"/>
      <c r="E4" s="424"/>
      <c r="F4" s="483"/>
      <c r="G4" s="425"/>
      <c r="H4" s="426"/>
      <c r="I4" s="427"/>
      <c r="J4" s="428"/>
      <c r="K4" s="186"/>
      <c r="L4" s="429"/>
      <c r="M4" s="429"/>
      <c r="N4" s="430"/>
      <c r="O4" s="429"/>
      <c r="P4" s="430"/>
      <c r="Q4" s="478"/>
      <c r="R4" s="479"/>
      <c r="S4" s="472"/>
      <c r="T4" s="472"/>
      <c r="U4" s="472"/>
      <c r="V4" s="479"/>
      <c r="W4" s="472"/>
      <c r="X4" s="472"/>
      <c r="Y4" s="472"/>
      <c r="Z4" s="472"/>
      <c r="AA4" s="472"/>
      <c r="AB4" s="472"/>
      <c r="AC4" s="359"/>
      <c r="AD4" s="359"/>
      <c r="AE4" s="359"/>
      <c r="AF4" s="359"/>
      <c r="AG4" s="359"/>
    </row>
    <row r="5" spans="1:33" ht="12.75" customHeight="1" thickBot="1">
      <c r="C5" s="448" t="s">
        <v>1199</v>
      </c>
      <c r="D5" s="454">
        <v>2022</v>
      </c>
      <c r="E5" s="484" t="s">
        <v>1200</v>
      </c>
      <c r="F5" s="485" t="s">
        <v>1201</v>
      </c>
      <c r="G5" s="193"/>
      <c r="H5" s="183"/>
      <c r="I5" s="184"/>
      <c r="J5" s="185"/>
      <c r="K5" s="193"/>
      <c r="L5" s="216"/>
      <c r="M5" s="216"/>
      <c r="N5" s="216"/>
      <c r="O5" s="185"/>
      <c r="P5" s="216"/>
      <c r="Q5" s="185"/>
      <c r="R5" s="194"/>
      <c r="S5" s="194"/>
      <c r="T5" s="195"/>
      <c r="U5" s="195"/>
      <c r="V5" s="187"/>
      <c r="W5" s="194"/>
      <c r="X5" s="194"/>
      <c r="Y5" s="194"/>
      <c r="Z5" s="194"/>
      <c r="AA5" s="194"/>
      <c r="AB5" s="194"/>
      <c r="AC5" s="5"/>
      <c r="AD5" s="5"/>
      <c r="AE5" s="5"/>
      <c r="AF5" s="5"/>
      <c r="AG5" s="5"/>
    </row>
    <row r="6" spans="1:33" ht="12.75" customHeight="1">
      <c r="C6" s="448"/>
      <c r="D6" s="453"/>
      <c r="E6" s="449"/>
      <c r="F6" s="192"/>
      <c r="G6" s="193"/>
      <c r="H6" s="427"/>
      <c r="I6" s="184"/>
      <c r="J6" s="450"/>
      <c r="K6" s="193"/>
      <c r="L6" s="216"/>
      <c r="M6" s="216"/>
      <c r="N6" s="216"/>
      <c r="O6" s="450"/>
      <c r="P6" s="216"/>
      <c r="Q6" s="450"/>
      <c r="R6" s="194"/>
      <c r="S6" s="194"/>
      <c r="T6" s="195"/>
      <c r="U6" s="195"/>
      <c r="V6" s="890"/>
      <c r="W6" s="194"/>
      <c r="X6" s="194"/>
      <c r="Y6" s="194"/>
      <c r="Z6" s="194"/>
      <c r="AA6" s="194"/>
      <c r="AB6" s="194"/>
      <c r="AC6" s="5"/>
      <c r="AD6" s="5"/>
      <c r="AE6" s="5"/>
      <c r="AF6" s="5"/>
      <c r="AG6" s="5"/>
    </row>
    <row r="7" spans="1:33" ht="12.75" customHeight="1">
      <c r="A7" s="455" t="s">
        <v>1202</v>
      </c>
      <c r="B7" s="455" t="s">
        <v>1203</v>
      </c>
      <c r="C7" s="462" t="s">
        <v>508</v>
      </c>
      <c r="D7" s="463" t="s">
        <v>1204</v>
      </c>
      <c r="E7" s="463" t="s">
        <v>1205</v>
      </c>
      <c r="F7" s="464" t="s">
        <v>1206</v>
      </c>
      <c r="G7" s="464" t="s">
        <v>1207</v>
      </c>
      <c r="H7" s="184"/>
      <c r="I7" s="184"/>
      <c r="J7" s="218"/>
      <c r="K7" s="219" t="s">
        <v>1125</v>
      </c>
      <c r="L7" s="220" t="s">
        <v>67</v>
      </c>
      <c r="M7" s="216"/>
      <c r="N7" s="216"/>
      <c r="O7" s="216"/>
      <c r="P7" s="216"/>
      <c r="Q7" s="216"/>
      <c r="R7" s="194"/>
      <c r="S7" s="194"/>
      <c r="T7" s="195"/>
      <c r="U7" s="195"/>
      <c r="V7" s="194"/>
      <c r="W7" s="194"/>
      <c r="X7" s="194"/>
      <c r="Y7" s="194"/>
      <c r="Z7" s="194"/>
      <c r="AA7" s="194"/>
      <c r="AB7" s="194"/>
      <c r="AC7" s="5"/>
      <c r="AD7" s="5"/>
      <c r="AE7" s="5"/>
      <c r="AF7" s="5"/>
      <c r="AG7" s="5"/>
    </row>
    <row r="8" spans="1:33" ht="12.75" customHeight="1">
      <c r="A8">
        <f t="shared" ref="A8:A67" si="0">IF(B8=12,A9+1,A9)</f>
        <v>5</v>
      </c>
      <c r="B8">
        <f>IF(B9=1,12,B9-1)</f>
        <v>1</v>
      </c>
      <c r="C8" s="467">
        <f t="shared" ref="C8:C39" si="1">DATE($D$5-A8,B8,1)</f>
        <v>42736</v>
      </c>
      <c r="D8" s="468">
        <f>INDEX('Monthly Returns'!$B$160:$M$352,MATCH(Tables_annual!C8,'Monthly Returns'!$A$160:$A$352,0),7)</f>
        <v>1.4002888761122483E-2</v>
      </c>
      <c r="E8" s="469">
        <f>INDEX('Monthly Returns'!$M$160:$M$352,MATCH(Tables_annual!C8,'Monthly Returns'!$A$160:$A$352,0),1)</f>
        <v>1.557315334945672E-2</v>
      </c>
      <c r="F8" s="470">
        <f>D8+1</f>
        <v>1.0140028887611225</v>
      </c>
      <c r="G8" s="470">
        <f>E8+1</f>
        <v>1.0155731533494567</v>
      </c>
      <c r="H8" s="184"/>
      <c r="I8" s="184"/>
      <c r="J8" s="220" t="s">
        <v>1143</v>
      </c>
      <c r="K8" s="2070" t="s">
        <v>1144</v>
      </c>
      <c r="L8" s="2071"/>
      <c r="M8" s="216"/>
      <c r="N8" s="216"/>
      <c r="O8" s="216"/>
      <c r="P8" s="216"/>
      <c r="Q8" s="216"/>
      <c r="R8" s="194"/>
      <c r="S8" s="194"/>
      <c r="T8" s="195"/>
      <c r="U8" s="195"/>
      <c r="V8" s="194"/>
      <c r="W8" s="194"/>
      <c r="X8" s="194"/>
      <c r="Y8" s="194"/>
      <c r="Z8" s="194"/>
      <c r="AA8" s="194"/>
      <c r="AB8" s="194"/>
      <c r="AC8" s="5"/>
      <c r="AD8" s="5"/>
      <c r="AE8" s="5"/>
      <c r="AF8" s="5"/>
      <c r="AG8" s="5"/>
    </row>
    <row r="9" spans="1:33" ht="12.75" customHeight="1">
      <c r="A9">
        <f t="shared" si="0"/>
        <v>5</v>
      </c>
      <c r="B9">
        <f t="shared" ref="B9:B65" si="2">IF(B10=1,12,B10-1)</f>
        <v>2</v>
      </c>
      <c r="C9" s="467">
        <f t="shared" si="1"/>
        <v>42767</v>
      </c>
      <c r="D9" s="468">
        <f>INDEX('Monthly Returns'!$B$160:$M$352,MATCH(Tables_annual!C9,'Monthly Returns'!$A$160:$A$352,0),7)</f>
        <v>3.1021531757764557E-2</v>
      </c>
      <c r="E9" s="469">
        <f>INDEX('Monthly Returns'!$M$160:$M$352,MATCH(Tables_annual!C9,'Monthly Returns'!$A$160:$A$352,0),1)</f>
        <v>3.3104737682334483E-2</v>
      </c>
      <c r="F9" s="470">
        <f t="shared" ref="F9:F18" si="3">D9+1</f>
        <v>1.0310215317577645</v>
      </c>
      <c r="G9" s="470">
        <f t="shared" ref="G9:G72" si="4">E9+1</f>
        <v>1.0331047376823346</v>
      </c>
      <c r="H9" s="184"/>
      <c r="I9" s="184"/>
      <c r="J9" s="465">
        <f>IF($F$5="Dec.",$D$5-4,5)</f>
        <v>2018</v>
      </c>
      <c r="K9" s="343">
        <f>PRODUCT(F20:F31)-1</f>
        <v>-3.0088596280520075E-2</v>
      </c>
      <c r="L9" s="343">
        <f>PRODUCT(G20:G31)-1</f>
        <v>-3.3180237695751846E-2</v>
      </c>
      <c r="M9" s="216"/>
      <c r="N9" s="216"/>
      <c r="O9" s="216"/>
      <c r="P9" s="216"/>
      <c r="Q9" s="216"/>
      <c r="R9" s="194"/>
      <c r="S9" s="194"/>
      <c r="T9" s="195"/>
      <c r="U9" s="195"/>
      <c r="V9" s="194"/>
      <c r="W9" s="194"/>
      <c r="X9" s="194"/>
      <c r="Y9" s="194"/>
      <c r="Z9" s="194"/>
      <c r="AA9" s="194"/>
      <c r="AB9" s="194"/>
      <c r="AC9" s="5"/>
      <c r="AD9" s="5"/>
      <c r="AE9" s="5"/>
      <c r="AF9" s="5"/>
      <c r="AG9" s="5"/>
    </row>
    <row r="10" spans="1:33" ht="12.75" customHeight="1">
      <c r="A10">
        <f t="shared" si="0"/>
        <v>5</v>
      </c>
      <c r="B10">
        <f t="shared" si="2"/>
        <v>3</v>
      </c>
      <c r="C10" s="467">
        <f t="shared" si="1"/>
        <v>42795</v>
      </c>
      <c r="D10" s="468">
        <f>INDEX('Monthly Returns'!$B$160:$M$352,MATCH(Tables_annual!C10,'Monthly Returns'!$A$160:$A$352,0),7)</f>
        <v>2.8338336481693463E-3</v>
      </c>
      <c r="E10" s="469">
        <f>INDEX('Monthly Returns'!$M$160:$M$352,MATCH(Tables_annual!C10,'Monthly Returns'!$A$160:$A$352,0),1)</f>
        <v>8.3318055830200011E-4</v>
      </c>
      <c r="F10" s="470">
        <f t="shared" si="3"/>
        <v>1.0028338336481692</v>
      </c>
      <c r="G10" s="470">
        <f t="shared" si="4"/>
        <v>1.0008331805583019</v>
      </c>
      <c r="H10" s="184"/>
      <c r="I10" s="184"/>
      <c r="J10" s="465">
        <f>IF($F$5="Dec.",$D$5-3,4)</f>
        <v>2019</v>
      </c>
      <c r="K10" s="343">
        <f>PRODUCT(F32:F43)-1</f>
        <v>0.30591570092800024</v>
      </c>
      <c r="L10" s="343">
        <f>PRODUCT(G32:G43)-1</f>
        <v>0.26818593298059556</v>
      </c>
      <c r="M10" s="216"/>
      <c r="N10" s="216"/>
      <c r="O10" s="216"/>
      <c r="P10" s="216"/>
      <c r="Q10" s="216"/>
      <c r="R10" s="194"/>
      <c r="S10" s="194"/>
      <c r="T10" s="195"/>
      <c r="U10" s="195"/>
      <c r="V10" s="194"/>
      <c r="W10" s="194"/>
      <c r="X10" s="194"/>
      <c r="Y10" s="194"/>
      <c r="Z10" s="194"/>
      <c r="AA10" s="194"/>
      <c r="AB10" s="194"/>
      <c r="AC10" s="5"/>
      <c r="AD10" s="5"/>
      <c r="AE10" s="5"/>
      <c r="AF10" s="5"/>
      <c r="AG10" s="5"/>
    </row>
    <row r="11" spans="1:33" ht="12.75" customHeight="1">
      <c r="A11">
        <f t="shared" si="0"/>
        <v>5</v>
      </c>
      <c r="B11">
        <f t="shared" si="2"/>
        <v>4</v>
      </c>
      <c r="C11" s="467">
        <f t="shared" si="1"/>
        <v>42826</v>
      </c>
      <c r="D11" s="468">
        <f>INDEX('Monthly Returns'!$B$160:$M$352,MATCH(Tables_annual!C11,'Monthly Returns'!$A$160:$A$352,0),7)</f>
        <v>6.9056093127425541E-3</v>
      </c>
      <c r="E11" s="469">
        <f>INDEX('Monthly Returns'!$M$160:$M$352,MATCH(Tables_annual!C11,'Monthly Returns'!$A$160:$A$352,0),1)</f>
        <v>9.755932669678561E-3</v>
      </c>
      <c r="F11" s="470">
        <f t="shared" si="3"/>
        <v>1.0069056093127426</v>
      </c>
      <c r="G11" s="470">
        <f t="shared" si="4"/>
        <v>1.0097559326696786</v>
      </c>
      <c r="H11" s="184"/>
      <c r="I11" s="184"/>
      <c r="J11" s="465">
        <f>IF($F$5="Dec.",$D$5-2,3)</f>
        <v>2020</v>
      </c>
      <c r="K11" s="343">
        <f>PRODUCT(F44:F55)-1</f>
        <v>0.19958518229933064</v>
      </c>
      <c r="L11" s="343">
        <f>PRODUCT(G44:G55)-1</f>
        <v>0.16688046137360479</v>
      </c>
      <c r="M11" s="216"/>
      <c r="N11" s="216"/>
      <c r="O11" s="216"/>
      <c r="P11" s="216"/>
      <c r="Q11" s="216"/>
      <c r="R11" s="194"/>
      <c r="S11" s="194"/>
      <c r="T11" s="195"/>
      <c r="U11" s="195"/>
      <c r="V11" s="194"/>
      <c r="W11" s="194"/>
      <c r="X11" s="194"/>
      <c r="Y11" s="194"/>
      <c r="Z11" s="194"/>
      <c r="AA11" s="194"/>
      <c r="AB11" s="194"/>
      <c r="AC11" s="5"/>
      <c r="AD11" s="5"/>
      <c r="AE11" s="5"/>
      <c r="AF11" s="5"/>
      <c r="AG11" s="5"/>
    </row>
    <row r="12" spans="1:33" ht="12.75" customHeight="1">
      <c r="A12">
        <f t="shared" si="0"/>
        <v>5</v>
      </c>
      <c r="B12">
        <f t="shared" si="2"/>
        <v>5</v>
      </c>
      <c r="C12" s="467">
        <f t="shared" si="1"/>
        <v>42856</v>
      </c>
      <c r="D12" s="468">
        <f>INDEX('Monthly Returns'!$B$160:$M$352,MATCH(Tables_annual!C12,'Monthly Returns'!$A$160:$A$352,0),7)</f>
        <v>6.2006622614215632E-3</v>
      </c>
      <c r="E12" s="469">
        <f>INDEX('Monthly Returns'!$M$160:$M$352,MATCH(Tables_annual!C12,'Monthly Returns'!$A$160:$A$352,0),1)</f>
        <v>1.2798240340337601E-2</v>
      </c>
      <c r="F12" s="470">
        <f t="shared" si="3"/>
        <v>1.0062006622614215</v>
      </c>
      <c r="G12" s="470">
        <f t="shared" si="4"/>
        <v>1.0127982403403375</v>
      </c>
      <c r="H12" s="184"/>
      <c r="I12" s="184"/>
      <c r="J12" s="465">
        <f>IF($F$5="Dec.",$D$5-1,2)</f>
        <v>2021</v>
      </c>
      <c r="K12" s="343">
        <f>PRODUCT(F56:F67)-1</f>
        <v>0.24648212484825827</v>
      </c>
      <c r="L12" s="343">
        <f>PRODUCT(G56:G67)-1</f>
        <v>0.22158570458474602</v>
      </c>
      <c r="M12" s="216"/>
      <c r="N12" s="216"/>
      <c r="O12" s="216"/>
      <c r="P12" s="216"/>
      <c r="Q12" s="216"/>
      <c r="R12" s="194"/>
      <c r="S12" s="194"/>
      <c r="T12" s="195"/>
      <c r="U12" s="195"/>
      <c r="V12" s="216"/>
      <c r="W12" s="194"/>
      <c r="X12" s="194"/>
      <c r="Y12" s="194"/>
      <c r="Z12" s="194"/>
      <c r="AA12" s="194"/>
      <c r="AB12" s="194"/>
      <c r="AC12" s="5"/>
      <c r="AD12" s="5"/>
      <c r="AE12" s="5"/>
      <c r="AF12" s="5"/>
      <c r="AG12" s="5"/>
    </row>
    <row r="13" spans="1:33" ht="12.75" customHeight="1">
      <c r="A13">
        <f t="shared" si="0"/>
        <v>5</v>
      </c>
      <c r="B13">
        <f t="shared" si="2"/>
        <v>6</v>
      </c>
      <c r="C13" s="467">
        <f t="shared" si="1"/>
        <v>42887</v>
      </c>
      <c r="D13" s="468">
        <f>INDEX('Monthly Returns'!$B$160:$M$352,MATCH(Tables_annual!C13,'Monthly Returns'!$A$160:$A$352,0),7)</f>
        <v>6.2069037232117038E-3</v>
      </c>
      <c r="E13" s="469">
        <f>INDEX('Monthly Returns'!$M$160:$M$352,MATCH(Tables_annual!C13,'Monthly Returns'!$A$160:$A$352,0),1)</f>
        <v>4.7932265850920003E-3</v>
      </c>
      <c r="F13" s="470">
        <f t="shared" si="3"/>
        <v>1.0062069037232118</v>
      </c>
      <c r="G13" s="470">
        <f t="shared" si="4"/>
        <v>1.0047932265850921</v>
      </c>
      <c r="H13" s="184"/>
      <c r="I13" s="184"/>
      <c r="J13" s="465">
        <f>IF(F5="Dec.",D5,1)</f>
        <v>2022</v>
      </c>
      <c r="K13" s="343">
        <f>PRODUCT(F68:F79)-1</f>
        <v>-0.18038843101664359</v>
      </c>
      <c r="L13" s="343">
        <f>PRODUCT(G68:G79)-1</f>
        <v>-0.17109915828085553</v>
      </c>
      <c r="M13" s="216"/>
      <c r="N13" s="216"/>
      <c r="O13" s="216"/>
      <c r="P13" s="216"/>
      <c r="Q13" s="216"/>
      <c r="R13" s="194"/>
      <c r="S13" s="194"/>
      <c r="T13" s="195"/>
      <c r="U13" s="195"/>
      <c r="V13" s="216"/>
      <c r="W13" s="194"/>
      <c r="X13" s="194"/>
      <c r="Y13" s="194"/>
      <c r="Z13" s="194"/>
      <c r="AA13" s="194"/>
      <c r="AB13" s="194"/>
      <c r="AC13" s="5"/>
      <c r="AD13" s="5"/>
      <c r="AE13" s="5"/>
      <c r="AF13" s="5"/>
      <c r="AG13" s="5"/>
    </row>
    <row r="14" spans="1:33" ht="12.75" customHeight="1">
      <c r="A14">
        <f t="shared" si="0"/>
        <v>5</v>
      </c>
      <c r="B14">
        <f t="shared" si="2"/>
        <v>7</v>
      </c>
      <c r="C14" s="467">
        <f t="shared" si="1"/>
        <v>42917</v>
      </c>
      <c r="D14" s="468">
        <f>INDEX('Monthly Returns'!$B$160:$M$352,MATCH(Tables_annual!C14,'Monthly Returns'!$A$160:$A$352,0),7)</f>
        <v>2.0480766325204899E-2</v>
      </c>
      <c r="E14" s="469">
        <f>INDEX('Monthly Returns'!$M$160:$M$352,MATCH(Tables_annual!C14,'Monthly Returns'!$A$160:$A$352,0),1)</f>
        <v>1.7310145099333679E-2</v>
      </c>
      <c r="F14" s="470">
        <f t="shared" si="3"/>
        <v>1.0204807663252049</v>
      </c>
      <c r="G14" s="470">
        <f t="shared" si="4"/>
        <v>1.0173101450993336</v>
      </c>
      <c r="H14" s="184"/>
      <c r="I14" s="184"/>
      <c r="J14" s="220"/>
      <c r="K14" s="221"/>
      <c r="L14" s="220"/>
      <c r="M14" s="216"/>
      <c r="N14" s="216"/>
      <c r="O14" s="216"/>
      <c r="P14" s="216"/>
      <c r="Q14" s="216"/>
      <c r="R14" s="194"/>
      <c r="S14" s="194"/>
      <c r="T14" s="195"/>
      <c r="U14" s="195"/>
      <c r="V14" s="216"/>
      <c r="W14" s="194"/>
      <c r="X14" s="194"/>
      <c r="Y14" s="194"/>
      <c r="Z14" s="194"/>
      <c r="AA14" s="194"/>
      <c r="AB14" s="194"/>
      <c r="AC14" s="5"/>
      <c r="AD14" s="5"/>
      <c r="AE14" s="5"/>
      <c r="AF14" s="5"/>
      <c r="AG14" s="5"/>
    </row>
    <row r="15" spans="1:33" ht="12.75" customHeight="1">
      <c r="A15">
        <f t="shared" si="0"/>
        <v>5</v>
      </c>
      <c r="B15">
        <f t="shared" si="2"/>
        <v>8</v>
      </c>
      <c r="C15" s="467">
        <f t="shared" si="1"/>
        <v>42948</v>
      </c>
      <c r="D15" s="468">
        <f>INDEX('Monthly Returns'!$B$160:$M$352,MATCH(Tables_annual!C15,'Monthly Returns'!$A$160:$A$352,0),7)</f>
        <v>1.3628709087770126E-2</v>
      </c>
      <c r="E15" s="469">
        <f>INDEX('Monthly Returns'!$M$160:$M$352,MATCH(Tables_annual!C15,'Monthly Returns'!$A$160:$A$352,0),1)</f>
        <v>4.2489707324896396E-3</v>
      </c>
      <c r="F15" s="470">
        <f t="shared" si="3"/>
        <v>1.01362870908777</v>
      </c>
      <c r="G15" s="470">
        <f t="shared" si="4"/>
        <v>1.0042489707324895</v>
      </c>
      <c r="H15" s="184"/>
      <c r="I15" s="184"/>
      <c r="J15" s="220" t="s">
        <v>1146</v>
      </c>
      <c r="K15" s="343" cm="1">
        <f t="array" ref="K15">SUMPRODUCT(GEOMEAN(K11:K13+1))-1</f>
        <v>7.014282117648607E-2</v>
      </c>
      <c r="L15" s="343" cm="1">
        <f t="array" ref="L15">SUMPRODUCT(GEOMEAN(L11:L13+1))-1</f>
        <v>5.7184929414148433E-2</v>
      </c>
      <c r="M15" s="216"/>
      <c r="N15" s="216"/>
      <c r="O15" s="216"/>
      <c r="P15" s="216"/>
      <c r="Q15" s="216"/>
      <c r="R15" s="194"/>
      <c r="S15" s="194"/>
      <c r="T15" s="195"/>
      <c r="U15" s="195"/>
      <c r="V15" s="216"/>
      <c r="W15" s="194"/>
      <c r="X15" s="194"/>
      <c r="Y15" s="194"/>
      <c r="Z15" s="194"/>
      <c r="AA15" s="194"/>
      <c r="AB15" s="194"/>
      <c r="AC15" s="5"/>
      <c r="AD15" s="5"/>
      <c r="AE15" s="5"/>
      <c r="AF15" s="5"/>
      <c r="AG15" s="5"/>
    </row>
    <row r="16" spans="1:33" ht="12.75" customHeight="1">
      <c r="A16">
        <f t="shared" si="0"/>
        <v>5</v>
      </c>
      <c r="B16">
        <f t="shared" si="2"/>
        <v>9</v>
      </c>
      <c r="C16" s="467">
        <f t="shared" si="1"/>
        <v>42979</v>
      </c>
      <c r="D16" s="468">
        <f>INDEX('Monthly Returns'!$B$160:$M$352,MATCH(Tables_annual!C16,'Monthly Returns'!$A$160:$A$352,0),7)</f>
        <v>7.2097759745532661E-3</v>
      </c>
      <c r="E16" s="469">
        <f>INDEX('Monthly Returns'!$M$160:$M$352,MATCH(Tables_annual!C16,'Monthly Returns'!$A$160:$A$352,0),1)</f>
        <v>1.5542520310541694E-2</v>
      </c>
      <c r="F16" s="470">
        <f t="shared" si="3"/>
        <v>1.0072097759745533</v>
      </c>
      <c r="G16" s="470">
        <f t="shared" si="4"/>
        <v>1.0155425203105417</v>
      </c>
      <c r="H16" s="427"/>
      <c r="I16" s="427"/>
      <c r="J16" s="220" t="s">
        <v>1147</v>
      </c>
      <c r="K16" s="343" cm="1">
        <f t="array" ref="K16">SUMPRODUCT(GEOMEAN(1+K9:K13))-1</f>
        <v>9.1929218527713408E-2</v>
      </c>
      <c r="L16" s="343">
        <f>SUMPRODUCT(GEOMEAN(1+L9:L13))-1</f>
        <v>7.6951804292463066E-2</v>
      </c>
      <c r="M16" s="216"/>
      <c r="N16" s="450"/>
      <c r="O16" s="450"/>
      <c r="P16" s="450"/>
      <c r="Q16" s="450"/>
      <c r="R16" s="890"/>
      <c r="S16" s="890"/>
      <c r="T16" s="1486"/>
      <c r="U16" s="1486"/>
      <c r="V16" s="450"/>
      <c r="W16" s="890"/>
      <c r="X16" s="890"/>
      <c r="Y16" s="890"/>
      <c r="Z16" s="890"/>
      <c r="AA16" s="890"/>
      <c r="AB16" s="890"/>
      <c r="AC16" s="359"/>
      <c r="AD16" s="359"/>
      <c r="AE16" s="359"/>
      <c r="AF16" s="359"/>
      <c r="AG16" s="359"/>
    </row>
    <row r="17" spans="1:33" ht="12.75" customHeight="1">
      <c r="A17">
        <f t="shared" si="0"/>
        <v>5</v>
      </c>
      <c r="B17">
        <f t="shared" si="2"/>
        <v>10</v>
      </c>
      <c r="C17" s="467">
        <f t="shared" si="1"/>
        <v>43009</v>
      </c>
      <c r="D17" s="468">
        <f>INDEX('Monthly Returns'!$B$160:$M$352,MATCH(Tables_annual!C17,'Monthly Returns'!$A$160:$A$352,0),7)</f>
        <v>2.4379499631937054E-2</v>
      </c>
      <c r="E17" s="469">
        <f>INDEX('Monthly Returns'!$M$160:$M$352,MATCH(Tables_annual!C17,'Monthly Returns'!$A$160:$A$352,0),1)</f>
        <v>1.8788320456594638E-2</v>
      </c>
      <c r="F17" s="470">
        <f t="shared" si="3"/>
        <v>1.0243794996319371</v>
      </c>
      <c r="G17" s="470">
        <f t="shared" si="4"/>
        <v>1.0187883204565946</v>
      </c>
      <c r="H17" s="184"/>
      <c r="I17" s="184"/>
      <c r="J17" s="216"/>
      <c r="K17" s="216"/>
      <c r="L17" s="216"/>
      <c r="M17" s="216"/>
      <c r="N17" s="216"/>
      <c r="O17" s="216"/>
      <c r="P17" s="216"/>
      <c r="Q17" s="216"/>
      <c r="R17" s="216"/>
      <c r="S17" s="216"/>
      <c r="T17" s="195"/>
      <c r="U17" s="195"/>
      <c r="V17" s="216"/>
      <c r="W17" s="216"/>
      <c r="X17" s="216"/>
      <c r="Y17" s="194"/>
      <c r="Z17" s="194"/>
      <c r="AA17" s="194"/>
      <c r="AB17" s="194"/>
      <c r="AC17" s="5"/>
      <c r="AD17" s="5"/>
      <c r="AE17" s="5"/>
      <c r="AF17" s="5"/>
      <c r="AG17" s="5"/>
    </row>
    <row r="18" spans="1:33" ht="12.75" customHeight="1">
      <c r="A18">
        <f t="shared" si="0"/>
        <v>5</v>
      </c>
      <c r="B18">
        <f t="shared" si="2"/>
        <v>11</v>
      </c>
      <c r="C18" s="467">
        <f t="shared" si="1"/>
        <v>43040</v>
      </c>
      <c r="D18" s="468">
        <f>INDEX('Monthly Returns'!$B$160:$M$352,MATCH(Tables_annual!C18,'Monthly Returns'!$A$160:$A$352,0),7)</f>
        <v>3.1911380286724488E-2</v>
      </c>
      <c r="E18" s="469">
        <f>INDEX('Monthly Returns'!$M$160:$M$352,MATCH(Tables_annual!C18,'Monthly Returns'!$A$160:$A$352,0),1)</f>
        <v>2.4300000000000002E-2</v>
      </c>
      <c r="F18" s="470">
        <f t="shared" si="3"/>
        <v>1.0319113802867246</v>
      </c>
      <c r="G18" s="470">
        <f t="shared" si="4"/>
        <v>1.0243</v>
      </c>
      <c r="H18" s="184"/>
      <c r="I18" s="184"/>
      <c r="J18" s="216"/>
      <c r="K18" s="216"/>
      <c r="L18" s="216"/>
      <c r="M18" s="216"/>
      <c r="N18" s="216"/>
      <c r="O18" s="216"/>
      <c r="P18" s="216"/>
      <c r="Q18" s="216"/>
      <c r="R18" s="216"/>
      <c r="S18" s="216"/>
      <c r="T18" s="195"/>
      <c r="U18" s="195"/>
      <c r="V18" s="216"/>
      <c r="W18" s="216"/>
      <c r="X18" s="216"/>
      <c r="Y18" s="194"/>
      <c r="Z18" s="194"/>
      <c r="AA18" s="194"/>
      <c r="AB18" s="194"/>
      <c r="AC18" s="5"/>
      <c r="AD18" s="5"/>
      <c r="AE18" s="5"/>
      <c r="AF18" s="5"/>
      <c r="AG18" s="5"/>
    </row>
    <row r="19" spans="1:33" ht="12.75" customHeight="1">
      <c r="A19">
        <f t="shared" si="0"/>
        <v>5</v>
      </c>
      <c r="B19">
        <f t="shared" si="2"/>
        <v>12</v>
      </c>
      <c r="C19" s="467">
        <f t="shared" si="1"/>
        <v>43070</v>
      </c>
      <c r="D19" s="468">
        <f>INDEX('Monthly Returns'!$B$160:$M$352,MATCH(Tables_annual!C19,'Monthly Returns'!$A$160:$A$352,0),7)</f>
        <v>6.1563573603473642E-3</v>
      </c>
      <c r="E19" s="469">
        <f>INDEX('Monthly Returns'!$M$160:$M$352,MATCH(Tables_annual!C19,'Monthly Returns'!$A$160:$A$352,0),1)</f>
        <v>9.8000000000000014E-3</v>
      </c>
      <c r="F19" s="470">
        <f>D19+1</f>
        <v>1.0061563573603474</v>
      </c>
      <c r="G19" s="470">
        <f t="shared" si="4"/>
        <v>1.0098</v>
      </c>
      <c r="H19" s="184"/>
      <c r="I19" s="184"/>
      <c r="J19" s="191"/>
      <c r="K19" s="222"/>
      <c r="L19" s="184" t="s">
        <v>1125</v>
      </c>
      <c r="M19" s="216" t="s">
        <v>67</v>
      </c>
      <c r="N19" s="216"/>
      <c r="O19" s="216"/>
      <c r="P19" s="216"/>
      <c r="Q19" s="216"/>
      <c r="R19" s="216"/>
      <c r="S19" s="216"/>
      <c r="T19" s="195"/>
      <c r="U19" s="195"/>
      <c r="V19" s="216"/>
      <c r="W19" s="216"/>
      <c r="X19" s="216"/>
      <c r="Y19" s="194"/>
      <c r="Z19" s="194"/>
      <c r="AA19" s="194"/>
      <c r="AB19" s="194"/>
      <c r="AC19" s="5"/>
      <c r="AD19" s="5"/>
      <c r="AE19" s="5"/>
      <c r="AF19" s="5"/>
      <c r="AG19" s="5"/>
    </row>
    <row r="20" spans="1:33" ht="12.75" customHeight="1">
      <c r="A20">
        <f t="shared" si="0"/>
        <v>4</v>
      </c>
      <c r="B20">
        <f t="shared" si="2"/>
        <v>1</v>
      </c>
      <c r="C20" s="467">
        <f t="shared" si="1"/>
        <v>43101</v>
      </c>
      <c r="D20" s="468">
        <f>INDEX('Monthly Returns'!$B$160:$M$352,MATCH(Tables_annual!C20,'Monthly Returns'!$A$160:$A$352,0),7)</f>
        <v>4.6094899400379516E-2</v>
      </c>
      <c r="E20" s="469">
        <f>INDEX('Monthly Returns'!$M$160:$M$352,MATCH(Tables_annual!C20,'Monthly Returns'!$A$160:$A$352,0),1)</f>
        <v>4.3539999999999995E-2</v>
      </c>
      <c r="F20" s="470">
        <f t="shared" ref="F20:G79" si="5">D20+1</f>
        <v>1.0460948994003796</v>
      </c>
      <c r="G20" s="470">
        <f t="shared" si="4"/>
        <v>1.0435399999999999</v>
      </c>
      <c r="H20" s="184"/>
      <c r="I20" s="184"/>
      <c r="J20" s="225"/>
      <c r="K20" s="226" t="s">
        <v>1149</v>
      </c>
      <c r="L20" s="1474">
        <f>K13</f>
        <v>-0.18038843101664359</v>
      </c>
      <c r="M20" s="227">
        <f>L13</f>
        <v>-0.17109915828085553</v>
      </c>
      <c r="N20" s="216"/>
      <c r="O20" s="216"/>
      <c r="P20" s="216"/>
      <c r="Q20" s="216"/>
      <c r="R20" s="216"/>
      <c r="S20" s="216"/>
      <c r="T20" s="195"/>
      <c r="U20" s="195"/>
      <c r="V20" s="216"/>
      <c r="W20" s="216"/>
      <c r="X20" s="216"/>
      <c r="Y20" s="194"/>
      <c r="Z20" s="194"/>
      <c r="AA20" s="194"/>
      <c r="AB20" s="194"/>
      <c r="AC20" s="5"/>
      <c r="AD20" s="5"/>
      <c r="AE20" s="5"/>
      <c r="AF20" s="5"/>
      <c r="AG20" s="5"/>
    </row>
    <row r="21" spans="1:33" ht="12.75" customHeight="1">
      <c r="A21">
        <f t="shared" si="0"/>
        <v>4</v>
      </c>
      <c r="B21">
        <f t="shared" si="2"/>
        <v>2</v>
      </c>
      <c r="C21" s="467">
        <f t="shared" si="1"/>
        <v>43132</v>
      </c>
      <c r="D21" s="468">
        <f>INDEX('Monthly Returns'!$B$160:$M$352,MATCH(Tables_annual!C21,'Monthly Returns'!$A$160:$A$352,0),7)</f>
        <v>-3.1480684218293739E-2</v>
      </c>
      <c r="E21" s="469">
        <f>INDEX('Monthly Returns'!$M$160:$M$352,MATCH(Tables_annual!C21,'Monthly Returns'!$A$160:$A$352,0),1)</f>
        <v>-3.1420000000000003E-2</v>
      </c>
      <c r="F21" s="470">
        <f t="shared" si="5"/>
        <v>0.96851931578170625</v>
      </c>
      <c r="G21" s="470">
        <f t="shared" si="4"/>
        <v>0.96858</v>
      </c>
      <c r="H21" s="184"/>
      <c r="I21" s="184"/>
      <c r="J21" s="232"/>
      <c r="K21" s="1475" t="s">
        <v>1152</v>
      </c>
      <c r="L21" s="233">
        <f>STDEV(D68:D79)*12^0.5</f>
        <v>0.2111758440506977</v>
      </c>
      <c r="M21" s="233">
        <f>STDEV(E68:E79)*12^0.5</f>
        <v>0.19529107386443353</v>
      </c>
      <c r="N21" s="216"/>
      <c r="O21" s="216"/>
      <c r="P21" s="216"/>
      <c r="Q21" s="216"/>
      <c r="R21" s="216"/>
      <c r="S21" s="216"/>
      <c r="T21" s="195"/>
      <c r="U21" s="195"/>
      <c r="V21" s="216"/>
      <c r="W21" s="216"/>
      <c r="X21" s="216"/>
      <c r="Y21" s="194"/>
      <c r="Z21" s="194"/>
      <c r="AA21" s="194"/>
      <c r="AB21" s="194"/>
      <c r="AC21" s="5"/>
      <c r="AD21" s="5"/>
      <c r="AE21" s="5"/>
      <c r="AF21" s="5"/>
      <c r="AG21" s="5"/>
    </row>
    <row r="22" spans="1:33" ht="12.75" customHeight="1">
      <c r="A22">
        <f t="shared" si="0"/>
        <v>4</v>
      </c>
      <c r="B22">
        <f t="shared" si="2"/>
        <v>3</v>
      </c>
      <c r="C22" s="467">
        <f t="shared" si="1"/>
        <v>43160</v>
      </c>
      <c r="D22" s="468">
        <f>INDEX('Monthly Returns'!$B$160:$M$352,MATCH(Tables_annual!C22,'Monthly Returns'!$A$160:$A$352,0),7)</f>
        <v>-2.6585518468125846E-2</v>
      </c>
      <c r="E22" s="469">
        <f>INDEX('Monthly Returns'!$M$160:$M$352,MATCH(Tables_annual!C22,'Monthly Returns'!$A$160:$A$352,0),1)</f>
        <v>-1.9040000000000001E-2</v>
      </c>
      <c r="F22" s="470">
        <f t="shared" si="5"/>
        <v>0.97341448153187415</v>
      </c>
      <c r="G22" s="470">
        <f t="shared" si="4"/>
        <v>0.98096000000000005</v>
      </c>
      <c r="H22" s="184"/>
      <c r="I22" s="184"/>
      <c r="J22" s="225"/>
      <c r="K22" s="235" t="s">
        <v>1153</v>
      </c>
      <c r="L22" s="493">
        <f>SLOPE(D68:D79,E68:E79)</f>
        <v>1.0764335122611903</v>
      </c>
      <c r="M22" s="236">
        <v>1</v>
      </c>
      <c r="N22" s="216"/>
      <c r="O22" s="216"/>
      <c r="P22" s="216"/>
      <c r="Q22" s="216"/>
      <c r="R22" s="216"/>
      <c r="S22" s="216"/>
      <c r="T22" s="195"/>
      <c r="U22" s="195"/>
      <c r="V22" s="216"/>
      <c r="W22" s="216"/>
      <c r="X22" s="216"/>
      <c r="Y22" s="194"/>
      <c r="Z22" s="194"/>
      <c r="AA22" s="194"/>
      <c r="AB22" s="194"/>
      <c r="AC22" s="5"/>
      <c r="AD22" s="5"/>
      <c r="AE22" s="5"/>
      <c r="AF22" s="5"/>
      <c r="AG22" s="5"/>
    </row>
    <row r="23" spans="1:33" ht="12.75" customHeight="1">
      <c r="A23">
        <f t="shared" si="0"/>
        <v>4</v>
      </c>
      <c r="B23">
        <f t="shared" si="2"/>
        <v>4</v>
      </c>
      <c r="C23" s="467">
        <f t="shared" si="1"/>
        <v>43191</v>
      </c>
      <c r="D23" s="468">
        <f>INDEX('Monthly Returns'!$B$160:$M$352,MATCH(Tables_annual!C23,'Monthly Returns'!$A$160:$A$352,0),7)</f>
        <v>6.6306097338258039E-3</v>
      </c>
      <c r="E23" s="469">
        <f>INDEX('Monthly Returns'!$M$160:$M$352,MATCH(Tables_annual!C23,'Monthly Returns'!$A$160:$A$352,0),1)</f>
        <v>1.56E-3</v>
      </c>
      <c r="F23" s="470">
        <f t="shared" si="5"/>
        <v>1.0066306097338258</v>
      </c>
      <c r="G23" s="470">
        <f t="shared" si="4"/>
        <v>1.00156</v>
      </c>
      <c r="H23" s="184"/>
      <c r="I23" s="184"/>
      <c r="J23" s="2075" t="s">
        <v>1155</v>
      </c>
      <c r="K23" s="2071"/>
      <c r="L23" s="233">
        <f>K15</f>
        <v>7.014282117648607E-2</v>
      </c>
      <c r="M23" s="233">
        <f>L15</f>
        <v>5.7184929414148433E-2</v>
      </c>
      <c r="N23" s="224"/>
      <c r="O23" s="216"/>
      <c r="P23" s="216"/>
      <c r="Q23" s="216"/>
      <c r="R23" s="216"/>
      <c r="S23" s="216"/>
      <c r="T23" s="195"/>
      <c r="U23" s="195"/>
      <c r="V23" s="216"/>
      <c r="W23" s="216"/>
      <c r="X23" s="216"/>
      <c r="Y23" s="194"/>
      <c r="Z23" s="194"/>
      <c r="AA23" s="194"/>
      <c r="AB23" s="194"/>
      <c r="AC23" s="5"/>
      <c r="AD23" s="5"/>
      <c r="AE23" s="5"/>
      <c r="AF23" s="5"/>
      <c r="AG23" s="5"/>
    </row>
    <row r="24" spans="1:33" ht="12.75" customHeight="1">
      <c r="A24">
        <f t="shared" si="0"/>
        <v>4</v>
      </c>
      <c r="B24">
        <f t="shared" si="2"/>
        <v>5</v>
      </c>
      <c r="C24" s="467">
        <f t="shared" si="1"/>
        <v>43221</v>
      </c>
      <c r="D24" s="468">
        <f>INDEX('Monthly Returns'!$B$160:$M$352,MATCH(Tables_annual!C24,'Monthly Returns'!$A$160:$A$352,0),7)</f>
        <v>1.5957080379876473E-2</v>
      </c>
      <c r="E24" s="469">
        <f>INDEX('Monthly Returns'!$M$160:$M$352,MATCH(Tables_annual!C24,'Monthly Returns'!$A$160:$A$352,0),1)</f>
        <v>2.0700000000000003E-2</v>
      </c>
      <c r="F24" s="470">
        <f t="shared" si="5"/>
        <v>1.0159570803798765</v>
      </c>
      <c r="G24" s="470">
        <f t="shared" si="4"/>
        <v>1.0206999999999999</v>
      </c>
      <c r="H24" s="184"/>
      <c r="I24" s="184"/>
      <c r="J24" s="2075" t="s">
        <v>1157</v>
      </c>
      <c r="K24" s="2071"/>
      <c r="L24" s="233">
        <f>STDEV(D44:D79)*12^0.5</f>
        <v>0.19092241590189662</v>
      </c>
      <c r="M24" s="233">
        <f>STDEV(E44:E79)*12^0.5</f>
        <v>0.17542828928450035</v>
      </c>
      <c r="N24" s="224"/>
      <c r="O24" s="216"/>
      <c r="P24" s="216"/>
      <c r="Q24" s="216"/>
      <c r="R24" s="216"/>
      <c r="S24" s="216"/>
      <c r="T24" s="195"/>
      <c r="U24" s="195"/>
      <c r="V24" s="216"/>
      <c r="W24" s="216"/>
      <c r="X24" s="216"/>
      <c r="Y24" s="194"/>
      <c r="Z24" s="194"/>
      <c r="AA24" s="194"/>
      <c r="AB24" s="194"/>
      <c r="AC24" s="5"/>
      <c r="AD24" s="5"/>
      <c r="AE24" s="5"/>
      <c r="AF24" s="5"/>
      <c r="AG24" s="5"/>
    </row>
    <row r="25" spans="1:33" ht="12.75" customHeight="1">
      <c r="A25">
        <f t="shared" si="0"/>
        <v>4</v>
      </c>
      <c r="B25">
        <f t="shared" si="2"/>
        <v>6</v>
      </c>
      <c r="C25" s="467">
        <f t="shared" si="1"/>
        <v>43252</v>
      </c>
      <c r="D25" s="468">
        <f>INDEX('Monthly Returns'!$B$160:$M$352,MATCH(Tables_annual!C25,'Monthly Returns'!$A$160:$A$352,0),7)</f>
        <v>1.4296240980612319E-2</v>
      </c>
      <c r="E25" s="469">
        <f>INDEX('Monthly Returns'!$M$160:$M$352,MATCH(Tables_annual!C25,'Monthly Returns'!$A$160:$A$352,0),1)</f>
        <v>4.7200000000000002E-3</v>
      </c>
      <c r="F25" s="470">
        <f t="shared" si="5"/>
        <v>1.0142962409806122</v>
      </c>
      <c r="G25" s="470">
        <f t="shared" si="4"/>
        <v>1.0047200000000001</v>
      </c>
      <c r="H25" s="184"/>
      <c r="I25" s="184"/>
      <c r="J25" s="237"/>
      <c r="K25" s="237" t="s">
        <v>1158</v>
      </c>
      <c r="L25" s="236">
        <f>SLOPE(D44:D79,E44:E79)</f>
        <v>1.0756912463959563</v>
      </c>
      <c r="M25" s="236">
        <v>1</v>
      </c>
      <c r="N25" s="224"/>
      <c r="O25" s="216"/>
      <c r="P25" s="216"/>
      <c r="Q25" s="216"/>
      <c r="R25" s="216"/>
      <c r="S25" s="216"/>
      <c r="T25" s="195"/>
      <c r="U25" s="195"/>
      <c r="V25" s="216"/>
      <c r="W25" s="216"/>
      <c r="X25" s="216"/>
      <c r="Y25" s="194"/>
      <c r="Z25" s="194"/>
      <c r="AA25" s="194"/>
      <c r="AB25" s="194"/>
      <c r="AC25" s="5"/>
      <c r="AD25" s="5"/>
      <c r="AE25" s="5"/>
      <c r="AF25" s="5"/>
      <c r="AG25" s="5"/>
    </row>
    <row r="26" spans="1:33" ht="12.75" customHeight="1">
      <c r="A26">
        <f t="shared" si="0"/>
        <v>4</v>
      </c>
      <c r="B26">
        <f t="shared" si="2"/>
        <v>7</v>
      </c>
      <c r="C26" s="467">
        <f t="shared" si="1"/>
        <v>43282</v>
      </c>
      <c r="D26" s="468">
        <f>INDEX('Monthly Returns'!$B$160:$M$352,MATCH(Tables_annual!C26,'Monthly Returns'!$A$160:$A$352,0),7)</f>
        <v>2.8369920943364504E-2</v>
      </c>
      <c r="E26" s="469">
        <f>INDEX('Monthly Returns'!$M$160:$M$352,MATCH(Tables_annual!C26,'Monthly Returns'!$A$160:$A$352,0),1)</f>
        <v>2.9799999999999997E-2</v>
      </c>
      <c r="F26" s="470">
        <f t="shared" si="5"/>
        <v>1.0283699209433645</v>
      </c>
      <c r="G26" s="470">
        <f t="shared" si="4"/>
        <v>1.0298</v>
      </c>
      <c r="H26" s="184"/>
      <c r="I26" s="184"/>
      <c r="J26" s="2075" t="s">
        <v>1160</v>
      </c>
      <c r="K26" s="2071"/>
      <c r="L26" s="233">
        <f>K16</f>
        <v>9.1929218527713408E-2</v>
      </c>
      <c r="M26" s="233">
        <f>L16</f>
        <v>7.6951804292463066E-2</v>
      </c>
      <c r="N26" s="224"/>
      <c r="O26" s="216"/>
      <c r="P26" s="216"/>
      <c r="Q26" s="216"/>
      <c r="R26" s="216"/>
      <c r="S26" s="216"/>
      <c r="T26" s="195"/>
      <c r="U26" s="195"/>
      <c r="V26" s="216"/>
      <c r="W26" s="216"/>
      <c r="X26" s="216"/>
      <c r="Y26" s="194"/>
      <c r="Z26" s="194"/>
      <c r="AA26" s="194"/>
      <c r="AB26" s="194"/>
      <c r="AC26" s="5"/>
      <c r="AD26" s="5"/>
      <c r="AE26" s="5"/>
      <c r="AF26" s="5"/>
      <c r="AG26" s="5"/>
    </row>
    <row r="27" spans="1:33" ht="12.75" customHeight="1">
      <c r="A27">
        <f t="shared" si="0"/>
        <v>4</v>
      </c>
      <c r="B27">
        <f t="shared" si="2"/>
        <v>8</v>
      </c>
      <c r="C27" s="467">
        <f t="shared" si="1"/>
        <v>43313</v>
      </c>
      <c r="D27" s="468">
        <f>INDEX('Monthly Returns'!$B$160:$M$352,MATCH(Tables_annual!C27,'Monthly Returns'!$A$160:$A$352,0),7)</f>
        <v>2.8880584616423979E-2</v>
      </c>
      <c r="E27" s="469">
        <f>INDEX('Monthly Returns'!$M$160:$M$352,MATCH(Tables_annual!C27,'Monthly Returns'!$A$160:$A$352,0),1)</f>
        <v>2.7359999999999999E-2</v>
      </c>
      <c r="F27" s="470">
        <f t="shared" si="5"/>
        <v>1.028880584616424</v>
      </c>
      <c r="G27" s="470">
        <f t="shared" si="4"/>
        <v>1.0273600000000001</v>
      </c>
      <c r="H27" s="184"/>
      <c r="I27" s="184"/>
      <c r="J27" s="2075" t="s">
        <v>1161</v>
      </c>
      <c r="K27" s="2071"/>
      <c r="L27" s="233">
        <f>STDEV(D20:D79)*12^0.5</f>
        <v>0.16749355213133499</v>
      </c>
      <c r="M27" s="233">
        <f>STDEV(E20:E79)*12^0.5</f>
        <v>0.15343523147675733</v>
      </c>
      <c r="N27" s="224"/>
      <c r="O27" s="216"/>
      <c r="P27" s="216"/>
      <c r="Q27" s="216"/>
      <c r="R27" s="216"/>
      <c r="S27" s="216"/>
      <c r="T27" s="195"/>
      <c r="U27" s="195"/>
      <c r="V27" s="216"/>
      <c r="W27" s="216"/>
      <c r="X27" s="216"/>
      <c r="Y27" s="194"/>
      <c r="Z27" s="194"/>
      <c r="AA27" s="194"/>
      <c r="AB27" s="194"/>
      <c r="AC27" s="5"/>
      <c r="AD27" s="5"/>
      <c r="AE27" s="5"/>
      <c r="AF27" s="5"/>
      <c r="AG27" s="5"/>
    </row>
    <row r="28" spans="1:33" ht="12.75" customHeight="1">
      <c r="A28">
        <f t="shared" si="0"/>
        <v>4</v>
      </c>
      <c r="B28">
        <f t="shared" si="2"/>
        <v>9</v>
      </c>
      <c r="C28" s="467">
        <f t="shared" si="1"/>
        <v>43344</v>
      </c>
      <c r="D28" s="468">
        <f>INDEX('Monthly Returns'!$B$160:$M$352,MATCH(Tables_annual!C28,'Monthly Returns'!$A$160:$A$352,0),7)</f>
        <v>5.1300602170193579E-3</v>
      </c>
      <c r="E28" s="469">
        <f>INDEX('Monthly Returns'!$M$160:$M$352,MATCH(Tables_annual!C28,'Monthly Returns'!$A$160:$A$352,0),1)</f>
        <v>3.2800000000000008E-3</v>
      </c>
      <c r="F28" s="470">
        <f t="shared" si="5"/>
        <v>1.0051300602170194</v>
      </c>
      <c r="G28" s="470">
        <f t="shared" si="4"/>
        <v>1.0032799999999999</v>
      </c>
      <c r="H28" s="427"/>
      <c r="I28" s="427"/>
      <c r="J28" s="237"/>
      <c r="K28" s="238" t="s">
        <v>1162</v>
      </c>
      <c r="L28" s="236">
        <f>SLOPE(D20:D79,E20:E79)</f>
        <v>1.0779973164011061</v>
      </c>
      <c r="M28" s="236">
        <v>1</v>
      </c>
      <c r="N28" s="224"/>
      <c r="O28" s="450"/>
      <c r="P28" s="450"/>
      <c r="Q28" s="450"/>
      <c r="R28" s="450"/>
      <c r="S28" s="450"/>
      <c r="T28" s="1486"/>
      <c r="U28" s="1486"/>
      <c r="V28" s="450"/>
      <c r="W28" s="450"/>
      <c r="X28" s="450"/>
      <c r="Y28" s="890"/>
      <c r="Z28" s="890"/>
      <c r="AA28" s="890"/>
      <c r="AB28" s="890"/>
      <c r="AC28" s="359"/>
      <c r="AD28" s="359"/>
      <c r="AE28" s="359"/>
      <c r="AF28" s="359"/>
      <c r="AG28" s="359"/>
    </row>
    <row r="29" spans="1:33" ht="12.75" customHeight="1">
      <c r="A29">
        <f t="shared" si="0"/>
        <v>4</v>
      </c>
      <c r="B29">
        <f t="shared" si="2"/>
        <v>10</v>
      </c>
      <c r="C29" s="467">
        <f t="shared" si="1"/>
        <v>43374</v>
      </c>
      <c r="D29" s="468">
        <f>INDEX('Monthly Returns'!$B$160:$M$352,MATCH(Tables_annual!C29,'Monthly Returns'!$A$160:$A$352,0),7)</f>
        <v>-5.9410049770761392E-2</v>
      </c>
      <c r="E29" s="469">
        <f>INDEX('Monthly Returns'!$M$160:$M$352,MATCH(Tables_annual!C29,'Monthly Returns'!$A$160:$A$352,0),1)</f>
        <v>-5.6300000000000003E-2</v>
      </c>
      <c r="F29" s="470">
        <f t="shared" si="5"/>
        <v>0.94058995022923864</v>
      </c>
      <c r="G29" s="470">
        <f t="shared" si="4"/>
        <v>0.94369999999999998</v>
      </c>
      <c r="H29" s="184"/>
      <c r="I29" s="184"/>
      <c r="J29" s="887"/>
      <c r="K29" s="1476" t="s">
        <v>1163</v>
      </c>
      <c r="L29" s="239">
        <f>L20/L22</f>
        <v>-0.16757972411850494</v>
      </c>
      <c r="M29" s="239">
        <f>M20/M22</f>
        <v>-0.17109915828085553</v>
      </c>
      <c r="N29" s="224" t="s">
        <v>1164</v>
      </c>
      <c r="O29" s="216"/>
      <c r="P29" s="216"/>
      <c r="Q29" s="216"/>
      <c r="R29" s="216"/>
      <c r="S29" s="216"/>
      <c r="T29" s="195"/>
      <c r="U29" s="195"/>
      <c r="V29" s="216"/>
      <c r="W29" s="216"/>
      <c r="X29" s="216"/>
      <c r="Y29" s="194"/>
      <c r="Z29" s="194"/>
      <c r="AA29" s="194"/>
      <c r="AB29" s="194"/>
      <c r="AC29" s="5"/>
      <c r="AD29" s="5"/>
      <c r="AE29" s="5"/>
      <c r="AF29" s="5"/>
      <c r="AG29" s="5"/>
    </row>
    <row r="30" spans="1:33" ht="12.75" customHeight="1">
      <c r="A30">
        <f t="shared" si="0"/>
        <v>4</v>
      </c>
      <c r="B30">
        <f t="shared" si="2"/>
        <v>11</v>
      </c>
      <c r="C30" s="467">
        <f t="shared" si="1"/>
        <v>43405</v>
      </c>
      <c r="D30" s="468">
        <f>INDEX('Monthly Returns'!$B$160:$M$352,MATCH(Tables_annual!C30,'Monthly Returns'!$A$160:$A$352,0),7)</f>
        <v>3.23887872747304E-2</v>
      </c>
      <c r="E30" s="469">
        <f>INDEX('Monthly Returns'!$M$160:$M$352,MATCH(Tables_annual!C30,'Monthly Returns'!$A$160:$A$352,0),1)</f>
        <v>1.7520000000000001E-2</v>
      </c>
      <c r="F30" s="470">
        <f t="shared" si="5"/>
        <v>1.0323887872747304</v>
      </c>
      <c r="G30" s="470">
        <f t="shared" si="4"/>
        <v>1.01752</v>
      </c>
      <c r="H30" s="184"/>
      <c r="I30" s="184"/>
      <c r="J30" s="887"/>
      <c r="K30" s="1476" t="s">
        <v>1166</v>
      </c>
      <c r="L30" s="239">
        <f>L23/L25</f>
        <v>6.5207206446548385E-2</v>
      </c>
      <c r="M30" s="239">
        <f>M23/M25</f>
        <v>5.7184929414148433E-2</v>
      </c>
      <c r="N30" s="224" t="s">
        <v>1167</v>
      </c>
      <c r="O30" s="216"/>
      <c r="P30" s="216"/>
      <c r="Q30" s="216"/>
      <c r="R30" s="216"/>
      <c r="S30" s="216"/>
      <c r="T30" s="195"/>
      <c r="U30" s="195"/>
      <c r="V30" s="216"/>
      <c r="W30" s="216"/>
      <c r="X30" s="216"/>
      <c r="Y30" s="194"/>
      <c r="Z30" s="194"/>
      <c r="AA30" s="194"/>
      <c r="AB30" s="194"/>
      <c r="AC30" s="5"/>
      <c r="AD30" s="5"/>
      <c r="AE30" s="5"/>
      <c r="AF30" s="5"/>
      <c r="AG30" s="5"/>
    </row>
    <row r="31" spans="1:33" ht="12.75" customHeight="1">
      <c r="A31">
        <f t="shared" si="0"/>
        <v>4</v>
      </c>
      <c r="B31">
        <f t="shared" si="2"/>
        <v>12</v>
      </c>
      <c r="C31" s="467">
        <f t="shared" si="1"/>
        <v>43435</v>
      </c>
      <c r="D31" s="468">
        <f>INDEX('Monthly Returns'!$B$160:$M$352,MATCH(Tables_annual!C31,'Monthly Returns'!$A$160:$A$352,0),7)</f>
        <v>-8.1954154272298921E-2</v>
      </c>
      <c r="E31" s="469">
        <f>INDEX('Monthly Returns'!$M$160:$M$352,MATCH(Tables_annual!C31,'Monthly Returns'!$A$160:$A$352,0),1)</f>
        <v>-6.856000000000001E-2</v>
      </c>
      <c r="F31" s="470">
        <f t="shared" si="5"/>
        <v>0.91804584572770109</v>
      </c>
      <c r="G31" s="470">
        <f t="shared" si="4"/>
        <v>0.93144000000000005</v>
      </c>
      <c r="H31" s="184"/>
      <c r="I31" s="184"/>
      <c r="J31" s="887"/>
      <c r="K31" s="1476" t="s">
        <v>1168</v>
      </c>
      <c r="L31" s="239">
        <f>L26/L28</f>
        <v>8.5277780500065709E-2</v>
      </c>
      <c r="M31" s="233">
        <f>M26/M28</f>
        <v>7.6951804292463066E-2</v>
      </c>
      <c r="N31" s="224" t="s">
        <v>1169</v>
      </c>
      <c r="O31" s="216"/>
      <c r="P31" s="216"/>
      <c r="Q31" s="216"/>
      <c r="R31" s="216"/>
      <c r="S31" s="216"/>
      <c r="T31" s="195"/>
      <c r="U31" s="195"/>
      <c r="V31" s="216"/>
      <c r="W31" s="216"/>
      <c r="X31" s="216"/>
      <c r="Y31" s="194"/>
      <c r="Z31" s="194"/>
      <c r="AA31" s="194"/>
      <c r="AB31" s="194"/>
      <c r="AC31" s="5"/>
      <c r="AD31" s="5"/>
      <c r="AE31" s="5"/>
      <c r="AF31" s="5"/>
      <c r="AG31" s="5"/>
    </row>
    <row r="32" spans="1:33" ht="12.75" customHeight="1">
      <c r="A32">
        <f t="shared" si="0"/>
        <v>3</v>
      </c>
      <c r="B32">
        <f t="shared" si="2"/>
        <v>1</v>
      </c>
      <c r="C32" s="467">
        <f t="shared" si="1"/>
        <v>43466</v>
      </c>
      <c r="D32" s="468">
        <f>INDEX('Monthly Returns'!$B$160:$M$352,MATCH(Tables_annual!C32,'Monthly Returns'!$A$160:$A$352,0),7)</f>
        <v>7.7395782381974254E-2</v>
      </c>
      <c r="E32" s="469">
        <f>INDEX('Monthly Returns'!$M$160:$M$352,MATCH(Tables_annual!C32,'Monthly Returns'!$A$160:$A$352,0),1)</f>
        <v>6.6200000000000009E-2</v>
      </c>
      <c r="F32" s="470">
        <f t="shared" si="5"/>
        <v>1.0773957823819742</v>
      </c>
      <c r="G32" s="470">
        <f t="shared" si="4"/>
        <v>1.0662</v>
      </c>
      <c r="H32" s="184"/>
      <c r="I32" s="184"/>
      <c r="J32" s="2075" t="s">
        <v>1170</v>
      </c>
      <c r="K32" s="2071"/>
      <c r="L32" s="240">
        <f>L20/L21</f>
        <v>-0.85420958930007695</v>
      </c>
      <c r="M32" s="240">
        <f>M20/M21</f>
        <v>-0.87612380276852053</v>
      </c>
      <c r="N32" s="224"/>
      <c r="O32" s="216"/>
      <c r="P32" s="216"/>
      <c r="Q32" s="216"/>
      <c r="R32" s="216"/>
      <c r="S32" s="216"/>
      <c r="T32" s="195"/>
      <c r="U32" s="195"/>
      <c r="V32" s="216"/>
      <c r="W32" s="216"/>
      <c r="X32" s="216"/>
      <c r="Y32" s="194"/>
      <c r="Z32" s="194"/>
      <c r="AA32" s="194"/>
      <c r="AB32" s="194"/>
      <c r="AC32" s="5"/>
      <c r="AD32" s="5"/>
      <c r="AE32" s="5"/>
      <c r="AF32" s="5"/>
      <c r="AG32" s="5"/>
    </row>
    <row r="33" spans="1:33" ht="12.75" customHeight="1">
      <c r="A33">
        <f t="shared" si="0"/>
        <v>3</v>
      </c>
      <c r="B33">
        <f t="shared" si="2"/>
        <v>2</v>
      </c>
      <c r="C33" s="467">
        <f t="shared" si="1"/>
        <v>43497</v>
      </c>
      <c r="D33" s="468">
        <f>INDEX('Monthly Returns'!$B$160:$M$352,MATCH(Tables_annual!C33,'Monthly Returns'!$A$160:$A$352,0),7)</f>
        <v>1.5212798612274231E-2</v>
      </c>
      <c r="E33" s="469">
        <f>INDEX('Monthly Returns'!$M$160:$M$352,MATCH(Tables_annual!C33,'Monthly Returns'!$A$160:$A$352,0),1)</f>
        <v>2.5559999999999999E-2</v>
      </c>
      <c r="F33" s="470">
        <f t="shared" si="5"/>
        <v>1.0152127986122743</v>
      </c>
      <c r="G33" s="470">
        <f t="shared" si="4"/>
        <v>1.02556</v>
      </c>
      <c r="H33" s="184"/>
      <c r="I33" s="184"/>
      <c r="J33" s="2075" t="s">
        <v>1171</v>
      </c>
      <c r="K33" s="2071"/>
      <c r="L33" s="241">
        <f>L23/L24</f>
        <v>0.36738913471809503</v>
      </c>
      <c r="M33" s="241">
        <f>M23/M24</f>
        <v>0.32597324894053392</v>
      </c>
      <c r="N33" s="191" t="s">
        <v>1172</v>
      </c>
      <c r="O33" s="216"/>
      <c r="P33" s="216"/>
      <c r="Q33" s="216"/>
      <c r="R33" s="216"/>
      <c r="S33" s="216"/>
      <c r="T33" s="195"/>
      <c r="U33" s="195"/>
      <c r="V33" s="216"/>
      <c r="W33" s="216"/>
      <c r="X33" s="216"/>
      <c r="Y33" s="194"/>
      <c r="Z33" s="194"/>
      <c r="AA33" s="194"/>
      <c r="AB33" s="194"/>
      <c r="AC33" s="5"/>
      <c r="AD33" s="5"/>
      <c r="AE33" s="5"/>
      <c r="AF33" s="5"/>
      <c r="AG33" s="5"/>
    </row>
    <row r="34" spans="1:33" ht="12.75" customHeight="1">
      <c r="A34">
        <f t="shared" si="0"/>
        <v>3</v>
      </c>
      <c r="B34">
        <f t="shared" si="2"/>
        <v>3</v>
      </c>
      <c r="C34" s="467">
        <f t="shared" si="1"/>
        <v>43525</v>
      </c>
      <c r="D34" s="468">
        <f>INDEX('Monthly Returns'!$B$160:$M$352,MATCH(Tables_annual!C34,'Monthly Returns'!$A$160:$A$352,0),7)</f>
        <v>2.9557462642795997E-2</v>
      </c>
      <c r="E34" s="469">
        <f>INDEX('Monthly Returns'!$M$160:$M$352,MATCH(Tables_annual!C34,'Monthly Returns'!$A$160:$A$352,0),1)</f>
        <v>1.9360000000000002E-2</v>
      </c>
      <c r="F34" s="470">
        <f t="shared" si="5"/>
        <v>1.0295574626427959</v>
      </c>
      <c r="G34" s="470">
        <f t="shared" si="4"/>
        <v>1.01936</v>
      </c>
      <c r="H34" s="184"/>
      <c r="I34" s="184"/>
      <c r="J34" s="2075" t="s">
        <v>1173</v>
      </c>
      <c r="K34" s="2071"/>
      <c r="L34" s="241">
        <f>L26/L27</f>
        <v>0.54885228331434455</v>
      </c>
      <c r="M34" s="241">
        <f>M26/M27</f>
        <v>0.50152630234810103</v>
      </c>
      <c r="N34" s="191" t="s">
        <v>1174</v>
      </c>
      <c r="O34" s="216"/>
      <c r="P34" s="216"/>
      <c r="Q34" s="216"/>
      <c r="R34" s="216"/>
      <c r="S34" s="216"/>
      <c r="T34" s="195"/>
      <c r="U34" s="195"/>
      <c r="V34" s="216"/>
      <c r="W34" s="216"/>
      <c r="X34" s="216"/>
      <c r="Y34" s="194"/>
      <c r="Z34" s="194"/>
      <c r="AA34" s="194"/>
      <c r="AB34" s="194"/>
      <c r="AC34" s="5"/>
      <c r="AD34" s="5"/>
      <c r="AE34" s="5"/>
      <c r="AF34" s="5"/>
      <c r="AG34" s="5"/>
    </row>
    <row r="35" spans="1:33" ht="12.75" customHeight="1">
      <c r="A35">
        <f t="shared" si="0"/>
        <v>3</v>
      </c>
      <c r="B35">
        <f t="shared" si="2"/>
        <v>4</v>
      </c>
      <c r="C35" s="467">
        <f t="shared" si="1"/>
        <v>43556</v>
      </c>
      <c r="D35" s="468">
        <f>INDEX('Monthly Returns'!$B$160:$M$352,MATCH(Tables_annual!C35,'Monthly Returns'!$A$160:$A$352,0),7)</f>
        <v>3.9116875675583071E-2</v>
      </c>
      <c r="E35" s="469">
        <f>INDEX('Monthly Returns'!$M$160:$M$352,MATCH(Tables_annual!C35,'Monthly Returns'!$A$160:$A$352,0),1)</f>
        <v>3.2460000000000003E-2</v>
      </c>
      <c r="F35" s="470">
        <f t="shared" si="5"/>
        <v>1.0391168756755831</v>
      </c>
      <c r="G35" s="470">
        <f t="shared" si="4"/>
        <v>1.0324599999999999</v>
      </c>
      <c r="H35" s="184"/>
      <c r="I35" s="184"/>
      <c r="J35" s="887"/>
      <c r="K35" s="235" t="s">
        <v>1175</v>
      </c>
      <c r="L35" s="233">
        <f>INTERCEPT(D68:D79,E68:E79)</f>
        <v>3.9878060461865338E-4</v>
      </c>
      <c r="M35" s="233">
        <f>INTERCEPT(E68:E79,E68:E79)</f>
        <v>0</v>
      </c>
      <c r="N35" s="191"/>
      <c r="O35" s="216"/>
      <c r="P35" s="216"/>
      <c r="Q35" s="216"/>
      <c r="R35" s="216"/>
      <c r="S35" s="216"/>
      <c r="T35" s="195"/>
      <c r="U35" s="195"/>
      <c r="V35" s="216"/>
      <c r="W35" s="216"/>
      <c r="X35" s="216"/>
      <c r="Y35" s="194"/>
      <c r="Z35" s="194"/>
      <c r="AA35" s="194"/>
      <c r="AB35" s="194"/>
      <c r="AC35" s="5"/>
      <c r="AD35" s="5"/>
      <c r="AE35" s="5"/>
      <c r="AF35" s="5"/>
      <c r="AG35" s="5"/>
    </row>
    <row r="36" spans="1:33" ht="12.75" customHeight="1">
      <c r="A36">
        <f t="shared" si="0"/>
        <v>3</v>
      </c>
      <c r="B36">
        <f t="shared" si="2"/>
        <v>5</v>
      </c>
      <c r="C36" s="467">
        <f t="shared" si="1"/>
        <v>43586</v>
      </c>
      <c r="D36" s="468">
        <f>INDEX('Monthly Returns'!$B$160:$M$352,MATCH(Tables_annual!C36,'Monthly Returns'!$A$160:$A$352,0),7)</f>
        <v>-4.3224637999701068E-2</v>
      </c>
      <c r="E36" s="469">
        <f>INDEX('Monthly Returns'!$M$160:$M$352,MATCH(Tables_annual!C36,'Monthly Returns'!$A$160:$A$352,0),1)</f>
        <v>-4.7240000000000004E-2</v>
      </c>
      <c r="F36" s="470">
        <f t="shared" si="5"/>
        <v>0.95677536200029889</v>
      </c>
      <c r="G36" s="470">
        <f t="shared" si="4"/>
        <v>0.95276000000000005</v>
      </c>
      <c r="H36" s="184"/>
      <c r="I36" s="184"/>
      <c r="J36" s="887"/>
      <c r="K36" s="235" t="s">
        <v>1176</v>
      </c>
      <c r="L36" s="233">
        <f>INTERCEPT(D44:D79,E44:E79)</f>
        <v>8.0127463262216758E-4</v>
      </c>
      <c r="M36" s="233">
        <f>INTERCEPT(E44:E79,E44:E79)</f>
        <v>0</v>
      </c>
      <c r="N36" s="191"/>
      <c r="O36" s="216"/>
      <c r="P36" s="216"/>
      <c r="Q36" s="216"/>
      <c r="R36" s="216"/>
      <c r="S36" s="216"/>
      <c r="T36" s="195"/>
      <c r="U36" s="195"/>
      <c r="V36" s="216"/>
      <c r="W36" s="216"/>
      <c r="X36" s="216"/>
      <c r="Y36" s="194"/>
      <c r="Z36" s="194"/>
      <c r="AA36" s="194"/>
      <c r="AB36" s="194"/>
      <c r="AC36" s="5"/>
      <c r="AD36" s="5"/>
      <c r="AE36" s="5"/>
      <c r="AF36" s="5"/>
      <c r="AG36" s="5"/>
    </row>
    <row r="37" spans="1:33" ht="12.75" customHeight="1">
      <c r="A37">
        <f t="shared" si="0"/>
        <v>3</v>
      </c>
      <c r="B37">
        <f t="shared" si="2"/>
        <v>6</v>
      </c>
      <c r="C37" s="467">
        <f t="shared" si="1"/>
        <v>43617</v>
      </c>
      <c r="D37" s="468">
        <f>INDEX('Monthly Returns'!$B$160:$M$352,MATCH(Tables_annual!C37,'Monthly Returns'!$A$160:$A$352,0),7)</f>
        <v>5.6907972833987762E-2</v>
      </c>
      <c r="E37" s="469">
        <f>INDEX('Monthly Returns'!$M$160:$M$352,MATCH(Tables_annual!C37,'Monthly Returns'!$A$160:$A$352,0),1)</f>
        <v>5.892E-2</v>
      </c>
      <c r="F37" s="470">
        <f t="shared" si="5"/>
        <v>1.0569079728339879</v>
      </c>
      <c r="G37" s="470">
        <f t="shared" si="4"/>
        <v>1.0589200000000001</v>
      </c>
      <c r="H37" s="184"/>
      <c r="I37" s="184"/>
      <c r="J37" s="242"/>
      <c r="K37" s="1477" t="s">
        <v>1177</v>
      </c>
      <c r="L37" s="1478">
        <f>INTERCEPT(D20:D79,E20:E79)</f>
        <v>7.840132828192967E-4</v>
      </c>
      <c r="M37" s="233">
        <f>INTERCEPT(E20:E79,E20:E79)</f>
        <v>0</v>
      </c>
      <c r="N37" s="191"/>
      <c r="O37" s="216"/>
      <c r="P37" s="216"/>
      <c r="Q37" s="216"/>
      <c r="R37" s="216"/>
      <c r="S37" s="216"/>
      <c r="T37" s="195"/>
      <c r="U37" s="195"/>
      <c r="V37" s="216"/>
      <c r="W37" s="216"/>
      <c r="X37" s="216"/>
      <c r="Y37" s="194"/>
      <c r="Z37" s="194"/>
      <c r="AA37" s="194"/>
      <c r="AB37" s="194"/>
      <c r="AC37" s="5"/>
      <c r="AD37" s="5"/>
      <c r="AE37" s="5"/>
      <c r="AF37" s="5"/>
      <c r="AG37" s="5"/>
    </row>
    <row r="38" spans="1:33" ht="12.75" customHeight="1">
      <c r="A38">
        <f t="shared" si="0"/>
        <v>3</v>
      </c>
      <c r="B38">
        <f t="shared" si="2"/>
        <v>7</v>
      </c>
      <c r="C38" s="467">
        <f t="shared" si="1"/>
        <v>43647</v>
      </c>
      <c r="D38" s="468">
        <f>INDEX('Monthly Returns'!$B$160:$M$352,MATCH(Tables_annual!C38,'Monthly Returns'!$A$160:$A$352,0),7)</f>
        <v>1.3353708952768552E-2</v>
      </c>
      <c r="E38" s="469">
        <f>INDEX('Monthly Returns'!$M$160:$M$352,MATCH(Tables_annual!C38,'Monthly Returns'!$A$160:$A$352,0),1)</f>
        <v>1.196E-2</v>
      </c>
      <c r="F38" s="470">
        <f t="shared" si="5"/>
        <v>1.0133537089527687</v>
      </c>
      <c r="G38" s="470">
        <f t="shared" si="4"/>
        <v>1.01196</v>
      </c>
      <c r="H38" s="184"/>
      <c r="I38" s="184"/>
      <c r="J38" s="216"/>
      <c r="K38" s="216"/>
      <c r="L38" s="216"/>
      <c r="M38" s="216"/>
      <c r="N38" s="216"/>
      <c r="O38" s="216"/>
      <c r="P38" s="216"/>
      <c r="Q38" s="216"/>
      <c r="R38" s="216"/>
      <c r="S38" s="216"/>
      <c r="T38" s="195"/>
      <c r="U38" s="195"/>
      <c r="V38" s="216"/>
      <c r="W38" s="216"/>
      <c r="X38" s="216"/>
      <c r="Y38" s="194"/>
      <c r="Z38" s="194"/>
      <c r="AA38" s="194"/>
      <c r="AB38" s="194"/>
      <c r="AC38" s="5"/>
      <c r="AD38" s="5"/>
      <c r="AE38" s="5"/>
      <c r="AF38" s="5"/>
      <c r="AG38" s="5"/>
    </row>
    <row r="39" spans="1:33" ht="12.75" customHeight="1">
      <c r="A39">
        <f t="shared" si="0"/>
        <v>3</v>
      </c>
      <c r="B39">
        <f t="shared" si="2"/>
        <v>8</v>
      </c>
      <c r="C39" s="467">
        <f t="shared" si="1"/>
        <v>43678</v>
      </c>
      <c r="D39" s="468">
        <f>INDEX('Monthly Returns'!$B$160:$M$352,MATCH(Tables_annual!C39,'Monthly Returns'!$A$160:$A$352,0),7)</f>
        <v>-1.1548336051412101E-2</v>
      </c>
      <c r="E39" s="469">
        <f>INDEX('Monthly Returns'!$M$160:$M$352,MATCH(Tables_annual!C39,'Monthly Returns'!$A$160:$A$352,0),1)</f>
        <v>-7.4600000000000014E-3</v>
      </c>
      <c r="F39" s="470">
        <f t="shared" si="5"/>
        <v>0.98845166394858786</v>
      </c>
      <c r="G39" s="470">
        <f t="shared" si="4"/>
        <v>0.99253999999999998</v>
      </c>
      <c r="H39" s="184"/>
      <c r="I39" s="184"/>
      <c r="J39" s="2073" t="s">
        <v>1148</v>
      </c>
      <c r="K39" s="2074"/>
      <c r="L39" s="2074"/>
      <c r="M39" s="2074"/>
      <c r="N39" s="2074"/>
      <c r="O39" s="2071"/>
      <c r="P39" s="216"/>
      <c r="Q39" s="216"/>
      <c r="R39" s="216"/>
      <c r="S39" s="216"/>
      <c r="T39" s="195"/>
      <c r="U39" s="195"/>
      <c r="V39" s="216"/>
      <c r="W39" s="216"/>
      <c r="X39" s="216"/>
      <c r="Y39" s="194"/>
      <c r="Z39" s="194"/>
      <c r="AA39" s="194"/>
      <c r="AB39" s="194"/>
      <c r="AC39" s="5"/>
      <c r="AD39" s="5"/>
      <c r="AE39" s="5"/>
      <c r="AF39" s="5"/>
      <c r="AG39" s="5"/>
    </row>
    <row r="40" spans="1:33" ht="12.75" customHeight="1">
      <c r="A40">
        <f t="shared" si="0"/>
        <v>3</v>
      </c>
      <c r="B40">
        <f t="shared" si="2"/>
        <v>9</v>
      </c>
      <c r="C40" s="467">
        <f t="shared" ref="C40:C79" si="6">DATE($D$5-A40,B40,1)</f>
        <v>43709</v>
      </c>
      <c r="D40" s="468">
        <f>INDEX('Monthly Returns'!$B$160:$M$352,MATCH(Tables_annual!C40,'Monthly Returns'!$A$160:$A$352,0),7)</f>
        <v>8.2645720232310486E-3</v>
      </c>
      <c r="E40" s="469">
        <f>INDEX('Monthly Returns'!$M$160:$M$352,MATCH(Tables_annual!C40,'Monthly Returns'!$A$160:$A$352,0),1)</f>
        <v>1.3900000000000001E-2</v>
      </c>
      <c r="F40" s="470">
        <f t="shared" si="5"/>
        <v>1.0082645720232311</v>
      </c>
      <c r="G40" s="470">
        <f t="shared" si="4"/>
        <v>1.0139</v>
      </c>
      <c r="H40" s="427"/>
      <c r="I40" s="427"/>
      <c r="J40" s="228"/>
      <c r="K40" s="229" t="s">
        <v>1125</v>
      </c>
      <c r="L40" s="229" t="s">
        <v>67</v>
      </c>
      <c r="M40" s="229" t="s">
        <v>1150</v>
      </c>
      <c r="N40" s="230" t="s">
        <v>67</v>
      </c>
      <c r="O40" s="231" t="s">
        <v>1151</v>
      </c>
      <c r="P40" s="450"/>
      <c r="Q40" s="450"/>
      <c r="R40" s="450"/>
      <c r="S40" s="450"/>
      <c r="T40" s="1486"/>
      <c r="U40" s="1486"/>
      <c r="V40" s="450"/>
      <c r="W40" s="450"/>
      <c r="X40" s="450"/>
      <c r="Y40" s="890"/>
      <c r="Z40" s="890"/>
      <c r="AA40" s="890"/>
      <c r="AB40" s="890"/>
      <c r="AC40" s="359"/>
      <c r="AD40" s="359"/>
      <c r="AE40" s="359"/>
      <c r="AF40" s="359"/>
      <c r="AG40" s="359"/>
    </row>
    <row r="41" spans="1:33" ht="12.75" customHeight="1">
      <c r="A41">
        <f t="shared" si="0"/>
        <v>3</v>
      </c>
      <c r="B41">
        <f t="shared" si="2"/>
        <v>10</v>
      </c>
      <c r="C41" s="467">
        <f t="shared" si="6"/>
        <v>43739</v>
      </c>
      <c r="D41" s="468">
        <f>INDEX('Monthly Returns'!$B$160:$M$352,MATCH(Tables_annual!C41,'Monthly Returns'!$A$160:$A$352,0),7)</f>
        <v>2.6139422019205376E-2</v>
      </c>
      <c r="E41" s="469">
        <f>INDEX('Monthly Returns'!$M$160:$M$352,MATCH(Tables_annual!C41,'Monthly Returns'!$A$160:$A$352,0),1)</f>
        <v>1.796E-2</v>
      </c>
      <c r="F41" s="470">
        <f t="shared" si="5"/>
        <v>1.0261394220192053</v>
      </c>
      <c r="G41" s="470">
        <f t="shared" si="4"/>
        <v>1.01796</v>
      </c>
      <c r="H41" s="184"/>
      <c r="I41" s="184"/>
      <c r="J41" s="234" t="s">
        <v>1154</v>
      </c>
      <c r="K41" s="342">
        <f>PRODUCT(1+L20)-1</f>
        <v>-0.18038843101664359</v>
      </c>
      <c r="L41" s="342">
        <f>M20</f>
        <v>-0.17109915828085553</v>
      </c>
      <c r="M41" s="2084" t="s">
        <v>1208</v>
      </c>
      <c r="N41" s="2085"/>
      <c r="O41" s="2086"/>
      <c r="P41" s="216"/>
      <c r="Q41" s="216"/>
      <c r="R41" s="216"/>
      <c r="S41" s="216"/>
      <c r="T41" s="195"/>
      <c r="U41" s="195"/>
      <c r="V41" s="216"/>
      <c r="W41" s="216"/>
      <c r="X41" s="216"/>
      <c r="Y41" s="194"/>
      <c r="Z41" s="194"/>
      <c r="AA41" s="194"/>
      <c r="AB41" s="194"/>
      <c r="AC41" s="5"/>
      <c r="AD41" s="5"/>
      <c r="AE41" s="5"/>
      <c r="AF41" s="5"/>
      <c r="AG41" s="5"/>
    </row>
    <row r="42" spans="1:33" ht="12.75" customHeight="1">
      <c r="A42">
        <f t="shared" si="0"/>
        <v>3</v>
      </c>
      <c r="B42">
        <f t="shared" si="2"/>
        <v>11</v>
      </c>
      <c r="C42" s="467">
        <f t="shared" si="6"/>
        <v>43770</v>
      </c>
      <c r="D42" s="468">
        <f>INDEX('Monthly Returns'!$B$160:$M$352,MATCH(Tables_annual!C42,'Monthly Returns'!$A$160:$A$352,0),7)</f>
        <v>3.2041655150882926E-2</v>
      </c>
      <c r="E42" s="469">
        <f>INDEX('Monthly Returns'!$M$160:$M$352,MATCH(Tables_annual!C42,'Monthly Returns'!$A$160:$A$352,0),1)</f>
        <v>2.894E-2</v>
      </c>
      <c r="F42" s="470">
        <f t="shared" si="5"/>
        <v>1.0320416551508829</v>
      </c>
      <c r="G42" s="470">
        <f t="shared" si="4"/>
        <v>1.02894</v>
      </c>
      <c r="H42" s="184"/>
      <c r="I42" s="184"/>
      <c r="J42" s="234" t="s">
        <v>1156</v>
      </c>
      <c r="K42" s="342">
        <f>L23</f>
        <v>7.014282117648607E-2</v>
      </c>
      <c r="L42" s="342">
        <f>M23</f>
        <v>5.7184929414148433E-2</v>
      </c>
      <c r="M42" s="2087"/>
      <c r="N42" s="2088"/>
      <c r="O42" s="2089"/>
      <c r="P42" s="216"/>
      <c r="Q42" s="216"/>
      <c r="R42" s="216"/>
      <c r="S42" s="216"/>
      <c r="T42" s="195"/>
      <c r="U42" s="195"/>
      <c r="V42" s="216"/>
      <c r="W42" s="216"/>
      <c r="X42" s="216"/>
      <c r="Y42" s="194"/>
      <c r="Z42" s="194"/>
      <c r="AA42" s="194"/>
      <c r="AB42" s="194"/>
      <c r="AC42" s="5"/>
      <c r="AD42" s="5"/>
      <c r="AE42" s="5"/>
      <c r="AF42" s="5"/>
      <c r="AG42" s="5"/>
    </row>
    <row r="43" spans="1:33" ht="12.75" customHeight="1">
      <c r="A43">
        <f t="shared" si="0"/>
        <v>3</v>
      </c>
      <c r="B43">
        <f t="shared" si="2"/>
        <v>12</v>
      </c>
      <c r="C43" s="467">
        <f t="shared" si="6"/>
        <v>43800</v>
      </c>
      <c r="D43" s="468">
        <f>INDEX('Monthly Returns'!$B$160:$M$352,MATCH(Tables_annual!C43,'Monthly Returns'!$A$160:$A$352,0),7)</f>
        <v>3.1872497042072963E-2</v>
      </c>
      <c r="E43" s="469">
        <f>INDEX('Monthly Returns'!$M$160:$M$352,MATCH(Tables_annual!C43,'Monthly Returns'!$A$160:$A$352,0),1)</f>
        <v>2.402E-2</v>
      </c>
      <c r="F43" s="470">
        <f t="shared" si="5"/>
        <v>1.031872497042073</v>
      </c>
      <c r="G43" s="470">
        <f t="shared" si="4"/>
        <v>1.0240199999999999</v>
      </c>
      <c r="H43" s="184"/>
      <c r="I43" s="184"/>
      <c r="J43" s="498" t="s">
        <v>75</v>
      </c>
      <c r="K43" s="499">
        <f>L26</f>
        <v>9.1929218527713408E-2</v>
      </c>
      <c r="L43" s="499">
        <f>M26</f>
        <v>7.6951804292463066E-2</v>
      </c>
      <c r="M43" s="2090"/>
      <c r="N43" s="2091"/>
      <c r="O43" s="2092"/>
      <c r="P43" s="216"/>
      <c r="Q43" s="216"/>
      <c r="R43" s="216"/>
      <c r="S43" s="216"/>
      <c r="T43" s="195"/>
      <c r="U43" s="195"/>
      <c r="V43" s="216"/>
      <c r="W43" s="216"/>
      <c r="X43" s="216"/>
      <c r="Y43" s="194"/>
      <c r="Z43" s="194"/>
      <c r="AA43" s="194"/>
      <c r="AB43" s="194"/>
      <c r="AC43" s="5"/>
      <c r="AD43" s="5"/>
      <c r="AE43" s="5"/>
      <c r="AF43" s="5"/>
      <c r="AG43" s="5"/>
    </row>
    <row r="44" spans="1:33" ht="12.75" customHeight="1">
      <c r="A44">
        <f t="shared" si="0"/>
        <v>2</v>
      </c>
      <c r="B44">
        <f t="shared" si="2"/>
        <v>1</v>
      </c>
      <c r="C44" s="467">
        <f t="shared" si="6"/>
        <v>43831</v>
      </c>
      <c r="D44" s="468">
        <f>INDEX('Monthly Returns'!$B$160:$M$352,MATCH(Tables_annual!C44,'Monthly Returns'!$A$160:$A$352,0),7)</f>
        <v>4.1062218264967792E-3</v>
      </c>
      <c r="E44" s="469">
        <f>INDEX('Monthly Returns'!$M$160:$M$352,MATCH(Tables_annual!C44,'Monthly Returns'!$A$160:$A$352,0),1)</f>
        <v>3.5199999999999997E-3</v>
      </c>
      <c r="F44" s="470">
        <f t="shared" si="5"/>
        <v>1.0041062218264967</v>
      </c>
      <c r="G44" s="470">
        <f t="shared" si="4"/>
        <v>1.00352</v>
      </c>
      <c r="H44" s="184"/>
      <c r="I44" s="184"/>
      <c r="J44" s="361"/>
      <c r="K44" s="496"/>
      <c r="L44" s="496"/>
      <c r="M44" s="357"/>
      <c r="N44" s="497"/>
      <c r="O44" s="357"/>
      <c r="P44" s="216"/>
      <c r="Q44" s="216"/>
      <c r="R44" s="216"/>
      <c r="S44" s="216"/>
      <c r="T44" s="195"/>
      <c r="U44" s="195"/>
      <c r="V44" s="216"/>
      <c r="W44" s="216"/>
      <c r="X44" s="216"/>
      <c r="Y44" s="194"/>
      <c r="Z44" s="194"/>
      <c r="AA44" s="194"/>
      <c r="AB44" s="194"/>
      <c r="AC44" s="5"/>
      <c r="AD44" s="5"/>
      <c r="AE44" s="5"/>
      <c r="AF44" s="5"/>
      <c r="AG44" s="5"/>
    </row>
    <row r="45" spans="1:33" ht="12.75">
      <c r="A45">
        <f t="shared" si="0"/>
        <v>2</v>
      </c>
      <c r="B45">
        <f t="shared" si="2"/>
        <v>2</v>
      </c>
      <c r="C45" s="467">
        <f t="shared" si="6"/>
        <v>43862</v>
      </c>
      <c r="D45" s="468">
        <f>INDEX('Monthly Returns'!$B$160:$M$352,MATCH(Tables_annual!C45,'Monthly Returns'!$A$160:$A$352,0),7)</f>
        <v>-6.9430653049387378E-2</v>
      </c>
      <c r="E45" s="469">
        <f>INDEX('Monthly Returns'!$M$160:$M$352,MATCH(Tables_annual!C45,'Monthly Returns'!$A$160:$A$352,0),1)</f>
        <v>-6.2239999999999997E-2</v>
      </c>
      <c r="F45" s="470">
        <f t="shared" si="5"/>
        <v>0.93056934695061266</v>
      </c>
      <c r="G45" s="470">
        <f t="shared" si="4"/>
        <v>0.93776000000000004</v>
      </c>
      <c r="H45" s="184"/>
      <c r="I45" s="184"/>
      <c r="P45" s="216"/>
      <c r="Q45" s="216"/>
      <c r="R45" s="216"/>
      <c r="S45" s="216"/>
      <c r="T45" s="195"/>
      <c r="U45" s="195"/>
      <c r="V45" s="216"/>
      <c r="W45" s="216"/>
      <c r="X45" s="216"/>
      <c r="Y45" s="194"/>
      <c r="Z45" s="194"/>
      <c r="AA45" s="194"/>
      <c r="AB45" s="194"/>
      <c r="AC45" s="5"/>
      <c r="AD45" s="5"/>
      <c r="AE45" s="5"/>
      <c r="AF45" s="5"/>
      <c r="AG45" s="5"/>
    </row>
    <row r="46" spans="1:33" ht="12.75" customHeight="1">
      <c r="A46">
        <f t="shared" si="0"/>
        <v>2</v>
      </c>
      <c r="B46">
        <f t="shared" si="2"/>
        <v>3</v>
      </c>
      <c r="C46" s="467">
        <f t="shared" si="6"/>
        <v>43891</v>
      </c>
      <c r="D46" s="468">
        <f>INDEX('Monthly Returns'!$B$160:$M$352,MATCH(Tables_annual!C46,'Monthly Returns'!$A$160:$A$352,0),7)</f>
        <v>-9.1787095640454855E-2</v>
      </c>
      <c r="E46" s="469">
        <f>INDEX('Monthly Returns'!$M$160:$M$352,MATCH(Tables_annual!C46,'Monthly Returns'!$A$160:$A$352,0),1)</f>
        <v>-9.9979999999999999E-2</v>
      </c>
      <c r="F46" s="470">
        <f t="shared" si="5"/>
        <v>0.90821290435954516</v>
      </c>
      <c r="G46" s="470">
        <f t="shared" si="4"/>
        <v>0.90002000000000004</v>
      </c>
      <c r="H46" s="184"/>
      <c r="I46" s="184"/>
      <c r="J46" s="216"/>
      <c r="K46" s="216"/>
      <c r="L46" s="216"/>
      <c r="M46" s="216"/>
      <c r="N46" s="216"/>
      <c r="O46" s="216"/>
      <c r="P46" s="216"/>
      <c r="Q46" s="216"/>
      <c r="R46" s="216"/>
      <c r="S46" s="216"/>
      <c r="T46" s="195"/>
      <c r="U46" s="195"/>
      <c r="V46" s="216"/>
      <c r="W46" s="216"/>
      <c r="X46" s="216"/>
      <c r="Y46" s="194"/>
      <c r="Z46" s="194"/>
      <c r="AA46" s="194"/>
      <c r="AB46" s="194"/>
      <c r="AC46" s="5"/>
      <c r="AD46" s="5"/>
      <c r="AE46" s="5"/>
      <c r="AF46" s="5"/>
      <c r="AG46" s="5"/>
    </row>
    <row r="47" spans="1:33" ht="12.75" customHeight="1">
      <c r="A47">
        <f t="shared" si="0"/>
        <v>2</v>
      </c>
      <c r="B47">
        <f t="shared" si="2"/>
        <v>4</v>
      </c>
      <c r="C47" s="467">
        <f t="shared" si="6"/>
        <v>43922</v>
      </c>
      <c r="D47" s="468">
        <f>INDEX('Monthly Returns'!$B$160:$M$352,MATCH(Tables_annual!C47,'Monthly Returns'!$A$160:$A$352,0),7)</f>
        <v>0.12212537917886067</v>
      </c>
      <c r="E47" s="469">
        <f>INDEX('Monthly Returns'!$M$160:$M$352,MATCH(Tables_annual!C47,'Monthly Returns'!$A$160:$A$352,0),1)</f>
        <v>0.10612000000000001</v>
      </c>
      <c r="F47" s="470">
        <f t="shared" si="5"/>
        <v>1.1221253791788606</v>
      </c>
      <c r="G47" s="470">
        <f t="shared" si="4"/>
        <v>1.10612</v>
      </c>
      <c r="H47" s="184"/>
      <c r="I47" s="184"/>
      <c r="J47" s="245" t="s">
        <v>1180</v>
      </c>
      <c r="K47" s="2082" t="s">
        <v>1181</v>
      </c>
      <c r="L47" s="2083"/>
      <c r="M47" s="2083"/>
      <c r="N47" s="2083"/>
      <c r="O47" s="216"/>
      <c r="P47" s="216"/>
      <c r="Q47" s="216"/>
      <c r="R47" s="216"/>
      <c r="S47" s="216"/>
      <c r="T47" s="195"/>
      <c r="U47" s="195"/>
      <c r="V47" s="216"/>
      <c r="W47" s="216"/>
      <c r="X47" s="216"/>
      <c r="Y47" s="194"/>
      <c r="Z47" s="194"/>
      <c r="AA47" s="194"/>
      <c r="AB47" s="194"/>
      <c r="AC47" s="5"/>
      <c r="AD47" s="5"/>
      <c r="AE47" s="5"/>
      <c r="AF47" s="5"/>
      <c r="AG47" s="5"/>
    </row>
    <row r="48" spans="1:33" ht="12.75" customHeight="1">
      <c r="A48">
        <f t="shared" si="0"/>
        <v>2</v>
      </c>
      <c r="B48">
        <f t="shared" si="2"/>
        <v>5</v>
      </c>
      <c r="C48" s="467">
        <f t="shared" si="6"/>
        <v>43952</v>
      </c>
      <c r="D48" s="468">
        <f>INDEX('Monthly Returns'!$B$160:$M$352,MATCH(Tables_annual!C48,'Monthly Returns'!$A$160:$A$352,0),7)</f>
        <v>4.012284244832439E-2</v>
      </c>
      <c r="E48" s="469">
        <f>INDEX('Monthly Returns'!$M$160:$M$352,MATCH(Tables_annual!C48,'Monthly Returns'!$A$160:$A$352,0),1)</f>
        <v>3.9020000000000006E-2</v>
      </c>
      <c r="F48" s="470">
        <f t="shared" si="5"/>
        <v>1.0401228424483244</v>
      </c>
      <c r="G48" s="470">
        <f t="shared" si="4"/>
        <v>1.0390200000000001</v>
      </c>
      <c r="H48" s="184"/>
      <c r="I48" s="184"/>
      <c r="J48" s="245" t="s">
        <v>1182</v>
      </c>
      <c r="K48" s="2082" t="s">
        <v>1183</v>
      </c>
      <c r="L48" s="2083"/>
      <c r="M48" s="2083"/>
      <c r="N48" s="2083"/>
      <c r="O48" s="216"/>
      <c r="P48" s="216"/>
      <c r="Q48" s="216"/>
      <c r="R48" s="216"/>
      <c r="S48" s="216"/>
      <c r="T48" s="195"/>
      <c r="U48" s="195"/>
      <c r="V48" s="216"/>
      <c r="W48" s="216"/>
      <c r="X48" s="216"/>
      <c r="Y48" s="194"/>
      <c r="Z48" s="194"/>
      <c r="AA48" s="194"/>
      <c r="AB48" s="194"/>
      <c r="AC48" s="5"/>
      <c r="AD48" s="5"/>
      <c r="AE48" s="5"/>
      <c r="AF48" s="5"/>
      <c r="AG48" s="5"/>
    </row>
    <row r="49" spans="1:33" ht="12.75" customHeight="1">
      <c r="A49">
        <f t="shared" si="0"/>
        <v>2</v>
      </c>
      <c r="B49">
        <f t="shared" si="2"/>
        <v>6</v>
      </c>
      <c r="C49" s="467">
        <f t="shared" si="6"/>
        <v>43983</v>
      </c>
      <c r="D49" s="468">
        <f>INDEX('Monthly Returns'!$B$160:$M$352,MATCH(Tables_annual!C49,'Monthly Returns'!$A$160:$A$352,0),7)</f>
        <v>2.5038886005059303E-2</v>
      </c>
      <c r="E49" s="469">
        <f>INDEX('Monthly Returns'!$M$160:$M$352,MATCH(Tables_annual!C49,'Monthly Returns'!$A$160:$A$352,0),1)</f>
        <v>1.7180000000000001E-2</v>
      </c>
      <c r="F49" s="470">
        <f t="shared" si="5"/>
        <v>1.0250388860050592</v>
      </c>
      <c r="G49" s="470">
        <f t="shared" si="4"/>
        <v>1.01718</v>
      </c>
      <c r="H49" s="184"/>
      <c r="I49" s="184"/>
      <c r="J49" s="245" t="s">
        <v>1184</v>
      </c>
      <c r="K49" s="2082" t="s">
        <v>1185</v>
      </c>
      <c r="L49" s="2083"/>
      <c r="M49" s="2083"/>
      <c r="N49" s="197"/>
      <c r="O49" s="216"/>
      <c r="P49" s="216"/>
      <c r="Q49" s="216"/>
      <c r="R49" s="216"/>
      <c r="S49" s="216"/>
      <c r="T49" s="195"/>
      <c r="U49" s="195"/>
      <c r="V49" s="216"/>
      <c r="W49" s="216"/>
      <c r="X49" s="216"/>
      <c r="Y49" s="194"/>
      <c r="Z49" s="194"/>
      <c r="AA49" s="194"/>
      <c r="AB49" s="194"/>
      <c r="AC49" s="5"/>
      <c r="AD49" s="5"/>
      <c r="AE49" s="5"/>
      <c r="AF49" s="5"/>
      <c r="AG49" s="5"/>
    </row>
    <row r="50" spans="1:33" ht="12.75" customHeight="1">
      <c r="A50">
        <f t="shared" si="0"/>
        <v>2</v>
      </c>
      <c r="B50">
        <f t="shared" si="2"/>
        <v>7</v>
      </c>
      <c r="C50" s="467">
        <f t="shared" si="6"/>
        <v>44013</v>
      </c>
      <c r="D50" s="468">
        <f>INDEX('Monthly Returns'!$B$160:$M$352,MATCH(Tables_annual!C50,'Monthly Returns'!$A$160:$A$352,0),7)</f>
        <v>6.1033432693888924E-2</v>
      </c>
      <c r="E50" s="469">
        <f>INDEX('Monthly Returns'!$M$160:$M$352,MATCH(Tables_annual!C50,'Monthly Returns'!$A$160:$A$352,0),1)</f>
        <v>4.8120000000000003E-2</v>
      </c>
      <c r="F50" s="470">
        <f t="shared" si="5"/>
        <v>1.0610334326938888</v>
      </c>
      <c r="G50" s="470">
        <f t="shared" si="4"/>
        <v>1.0481199999999999</v>
      </c>
      <c r="H50" s="184"/>
      <c r="I50" s="184"/>
      <c r="J50" s="216"/>
      <c r="K50" s="216"/>
      <c r="L50" s="216"/>
      <c r="M50" s="216"/>
      <c r="N50" s="216"/>
      <c r="O50" s="216"/>
      <c r="P50" s="216"/>
      <c r="Q50" s="216"/>
      <c r="R50" s="216"/>
      <c r="S50" s="216"/>
      <c r="T50" s="195"/>
      <c r="U50" s="195"/>
      <c r="V50" s="216"/>
      <c r="W50" s="216"/>
      <c r="X50" s="216"/>
      <c r="Y50" s="194"/>
      <c r="Z50" s="194"/>
      <c r="AA50" s="194"/>
      <c r="AB50" s="194"/>
      <c r="AC50" s="5"/>
      <c r="AD50" s="5"/>
      <c r="AE50" s="5"/>
      <c r="AF50" s="5"/>
      <c r="AG50" s="5"/>
    </row>
    <row r="51" spans="1:33" ht="12.75" customHeight="1">
      <c r="A51">
        <f t="shared" si="0"/>
        <v>2</v>
      </c>
      <c r="B51">
        <f t="shared" si="2"/>
        <v>8</v>
      </c>
      <c r="C51" s="467">
        <f t="shared" si="6"/>
        <v>44044</v>
      </c>
      <c r="D51" s="468">
        <f>INDEX('Monthly Returns'!$B$160:$M$352,MATCH(Tables_annual!C51,'Monthly Returns'!$A$160:$A$352,0),7)</f>
        <v>6.976152667563304E-2</v>
      </c>
      <c r="E51" s="469">
        <f>INDEX('Monthly Returns'!$M$160:$M$352,MATCH(Tables_annual!C51,'Monthly Returns'!$A$160:$A$352,0),1)</f>
        <v>5.5900000000000005E-2</v>
      </c>
      <c r="F51" s="470">
        <f t="shared" si="5"/>
        <v>1.0697615266756331</v>
      </c>
      <c r="G51" s="470">
        <f t="shared" si="4"/>
        <v>1.0559000000000001</v>
      </c>
      <c r="H51" s="184"/>
      <c r="I51" s="184"/>
      <c r="J51" s="250"/>
      <c r="K51" s="2080" t="s">
        <v>5</v>
      </c>
      <c r="L51" s="2071"/>
      <c r="M51" s="2080" t="s">
        <v>1187</v>
      </c>
      <c r="N51" s="2071"/>
      <c r="O51" s="2080" t="s">
        <v>1188</v>
      </c>
      <c r="P51" s="2071"/>
      <c r="Q51" s="2080" t="s">
        <v>1189</v>
      </c>
      <c r="R51" s="2071"/>
      <c r="S51" s="216"/>
      <c r="T51" s="195"/>
      <c r="U51" s="195"/>
      <c r="V51" s="216"/>
      <c r="W51" s="216"/>
      <c r="X51" s="216"/>
      <c r="Y51" s="194"/>
      <c r="Z51" s="194"/>
      <c r="AA51" s="194"/>
      <c r="AB51" s="194"/>
      <c r="AC51" s="5"/>
      <c r="AD51" s="5"/>
      <c r="AE51" s="5"/>
      <c r="AF51" s="5"/>
      <c r="AG51" s="5"/>
    </row>
    <row r="52" spans="1:33" ht="12.75" customHeight="1">
      <c r="A52">
        <f t="shared" si="0"/>
        <v>2</v>
      </c>
      <c r="B52">
        <f t="shared" si="2"/>
        <v>9</v>
      </c>
      <c r="C52" s="467">
        <f t="shared" si="6"/>
        <v>44075</v>
      </c>
      <c r="D52" s="468">
        <f>INDEX('Monthly Returns'!$B$160:$M$352,MATCH(Tables_annual!C52,'Monthly Returns'!$A$160:$A$352,0),7)</f>
        <v>-3.2377535375649524E-2</v>
      </c>
      <c r="E52" s="469">
        <f>INDEX('Monthly Returns'!$M$160:$M$352,MATCH(Tables_annual!C52,'Monthly Returns'!$A$160:$A$352,0),1)</f>
        <v>-3.0519999999999999E-2</v>
      </c>
      <c r="F52" s="470">
        <f t="shared" si="5"/>
        <v>0.96762246462435053</v>
      </c>
      <c r="G52" s="470">
        <f t="shared" si="4"/>
        <v>0.96948000000000001</v>
      </c>
      <c r="H52" s="427"/>
      <c r="I52" s="427"/>
      <c r="J52" s="250"/>
      <c r="K52" s="251" t="s">
        <v>1125</v>
      </c>
      <c r="L52" s="251" t="s">
        <v>1190</v>
      </c>
      <c r="M52" s="251" t="s">
        <v>1191</v>
      </c>
      <c r="N52" s="251" t="s">
        <v>1190</v>
      </c>
      <c r="O52" s="251" t="s">
        <v>1125</v>
      </c>
      <c r="P52" s="251" t="s">
        <v>1190</v>
      </c>
      <c r="Q52" s="251" t="s">
        <v>1125</v>
      </c>
      <c r="R52" s="251" t="s">
        <v>1190</v>
      </c>
      <c r="S52" s="450"/>
      <c r="T52" s="1486"/>
      <c r="U52" s="1486"/>
      <c r="V52" s="450"/>
      <c r="W52" s="450"/>
      <c r="X52" s="450"/>
      <c r="Y52" s="890"/>
      <c r="Z52" s="890"/>
      <c r="AA52" s="890"/>
      <c r="AB52" s="890"/>
      <c r="AC52" s="359"/>
      <c r="AD52" s="359"/>
      <c r="AE52" s="359"/>
      <c r="AF52" s="359"/>
      <c r="AG52" s="359"/>
    </row>
    <row r="53" spans="1:33" ht="12.75" customHeight="1">
      <c r="A53">
        <f t="shared" si="0"/>
        <v>2</v>
      </c>
      <c r="B53">
        <f t="shared" si="2"/>
        <v>10</v>
      </c>
      <c r="C53" s="467">
        <f t="shared" si="6"/>
        <v>44105</v>
      </c>
      <c r="D53" s="468">
        <f>INDEX('Monthly Returns'!$B$160:$M$352,MATCH(Tables_annual!C53,'Monthly Returns'!$A$160:$A$352,0),7)</f>
        <v>-3.6660091488585518E-2</v>
      </c>
      <c r="E53" s="469">
        <f>INDEX('Monthly Returns'!$M$160:$M$352,MATCH(Tables_annual!C53,'Monthly Returns'!$A$160:$A$352,0),1)</f>
        <v>-2.2180000000000002E-2</v>
      </c>
      <c r="F53" s="470">
        <f t="shared" si="5"/>
        <v>0.96333990851141449</v>
      </c>
      <c r="G53" s="470">
        <f t="shared" si="4"/>
        <v>0.97782000000000002</v>
      </c>
      <c r="H53" s="184"/>
      <c r="I53" s="184"/>
      <c r="J53" s="252" t="s">
        <v>1192</v>
      </c>
      <c r="K53" s="253">
        <f>M92</f>
        <v>-0.18038843101664359</v>
      </c>
      <c r="L53" s="253">
        <f>N92</f>
        <v>0.16221137595255636</v>
      </c>
      <c r="M53" s="253">
        <f>K41</f>
        <v>-0.18038843101664359</v>
      </c>
      <c r="N53" s="253">
        <f>M20</f>
        <v>-0.17109915828085553</v>
      </c>
      <c r="O53" s="253">
        <f>K15</f>
        <v>7.014282117648607E-2</v>
      </c>
      <c r="P53" s="253">
        <f>L15</f>
        <v>5.7184929414148433E-2</v>
      </c>
      <c r="Q53" s="253">
        <f>L26</f>
        <v>9.1929218527713408E-2</v>
      </c>
      <c r="R53" s="253">
        <f>M26</f>
        <v>7.6951804292463066E-2</v>
      </c>
      <c r="S53" s="216"/>
      <c r="T53" s="195"/>
      <c r="U53" s="195"/>
      <c r="V53" s="216"/>
      <c r="W53" s="216"/>
      <c r="X53" s="216"/>
      <c r="Y53" s="194"/>
      <c r="Z53" s="194"/>
      <c r="AA53" s="194"/>
      <c r="AB53" s="194"/>
      <c r="AC53" s="5"/>
      <c r="AD53" s="5"/>
      <c r="AE53" s="5"/>
      <c r="AF53" s="5"/>
      <c r="AG53" s="5"/>
    </row>
    <row r="54" spans="1:33" ht="12.75" customHeight="1">
      <c r="A54">
        <f t="shared" si="0"/>
        <v>2</v>
      </c>
      <c r="B54">
        <f t="shared" si="2"/>
        <v>11</v>
      </c>
      <c r="C54" s="467">
        <f t="shared" si="6"/>
        <v>44136</v>
      </c>
      <c r="D54" s="468">
        <f>INDEX('Monthly Returns'!$B$160:$M$352,MATCH(Tables_annual!C54,'Monthly Returns'!$A$160:$A$352,0),7)</f>
        <v>7.5809146490881149E-2</v>
      </c>
      <c r="E54" s="469">
        <f>INDEX('Monthly Returns'!$M$160:$M$352,MATCH(Tables_annual!C54,'Monthly Returns'!$A$160:$A$352,0),1)</f>
        <v>8.9580000000000007E-2</v>
      </c>
      <c r="F54" s="470">
        <f t="shared" si="5"/>
        <v>1.0758091464908812</v>
      </c>
      <c r="G54" s="470">
        <f t="shared" si="4"/>
        <v>1.08958</v>
      </c>
      <c r="H54" s="184"/>
      <c r="I54" s="184"/>
      <c r="J54" s="510" t="s">
        <v>1193</v>
      </c>
      <c r="K54" s="254">
        <f>100*(K53+1)</f>
        <v>81.961156898335645</v>
      </c>
      <c r="L54" s="254">
        <f>100*(L53+1)</f>
        <v>116.22113759525563</v>
      </c>
      <c r="M54" s="254">
        <f>100*(M53+1)</f>
        <v>81.961156898335645</v>
      </c>
      <c r="N54" s="254">
        <f>100*(N53+1)</f>
        <v>82.890084171914452</v>
      </c>
      <c r="O54" s="254">
        <f>100*(O53+1)^3</f>
        <v>122.55336133750119</v>
      </c>
      <c r="P54" s="254">
        <f>100*(P53+1)^3</f>
        <v>118.15521380600826</v>
      </c>
      <c r="Q54" s="254">
        <f>100*(Q53+1)^5</f>
        <v>155.22884867407544</v>
      </c>
      <c r="R54" s="254">
        <f>100*(R53+1)^5</f>
        <v>144.8709609978076</v>
      </c>
      <c r="S54" s="216"/>
      <c r="T54" s="195"/>
      <c r="U54" s="195"/>
      <c r="V54" s="216"/>
      <c r="W54" s="216"/>
      <c r="X54" s="216"/>
      <c r="Y54" s="194"/>
      <c r="Z54" s="194"/>
      <c r="AA54" s="194"/>
      <c r="AB54" s="194"/>
      <c r="AC54" s="5"/>
      <c r="AD54" s="5"/>
      <c r="AE54" s="5"/>
      <c r="AF54" s="5"/>
      <c r="AG54" s="5"/>
    </row>
    <row r="55" spans="1:33" ht="12.75" customHeight="1">
      <c r="A55">
        <f t="shared" si="0"/>
        <v>2</v>
      </c>
      <c r="B55">
        <f t="shared" si="2"/>
        <v>12</v>
      </c>
      <c r="C55" s="467">
        <f t="shared" si="6"/>
        <v>44166</v>
      </c>
      <c r="D55" s="468">
        <f>INDEX('Monthly Returns'!$B$160:$M$352,MATCH(Tables_annual!C55,'Monthly Returns'!$A$160:$A$352,0),7)</f>
        <v>3.8034750656348794E-2</v>
      </c>
      <c r="E55" s="469">
        <f>INDEX('Monthly Returns'!$M$160:$M$352,MATCH(Tables_annual!C55,'Monthly Returns'!$A$160:$A$352,0),1)</f>
        <v>3.0959999999999998E-2</v>
      </c>
      <c r="F55" s="470">
        <f t="shared" si="5"/>
        <v>1.0380347506563488</v>
      </c>
      <c r="G55" s="470">
        <f t="shared" si="4"/>
        <v>1.0309600000000001</v>
      </c>
      <c r="H55" s="184"/>
      <c r="I55" s="184"/>
      <c r="J55" s="255" t="s">
        <v>1194</v>
      </c>
      <c r="K55" s="256"/>
      <c r="L55" s="256"/>
      <c r="M55" s="256"/>
      <c r="N55" s="256"/>
      <c r="O55" s="256"/>
      <c r="P55" s="256"/>
      <c r="Q55" s="256"/>
      <c r="R55" s="256"/>
      <c r="S55" s="216"/>
      <c r="T55" s="195"/>
      <c r="U55" s="195"/>
      <c r="V55" s="216"/>
      <c r="W55" s="216"/>
      <c r="X55" s="216"/>
      <c r="Y55" s="194"/>
      <c r="Z55" s="194"/>
      <c r="AA55" s="194"/>
      <c r="AB55" s="194"/>
      <c r="AC55" s="5"/>
      <c r="AD55" s="5"/>
      <c r="AE55" s="5"/>
      <c r="AF55" s="5"/>
      <c r="AG55" s="5"/>
    </row>
    <row r="56" spans="1:33" ht="12.75" customHeight="1">
      <c r="A56">
        <f t="shared" si="0"/>
        <v>1</v>
      </c>
      <c r="B56">
        <f t="shared" si="2"/>
        <v>1</v>
      </c>
      <c r="C56" s="467">
        <f t="shared" si="6"/>
        <v>44197</v>
      </c>
      <c r="D56" s="468">
        <f>INDEX('Monthly Returns'!$B$160:$M$352,MATCH(Tables_annual!C56,'Monthly Returns'!$A$160:$A$352,0),7)</f>
        <v>-1.8184073001300004E-2</v>
      </c>
      <c r="E56" s="469">
        <f>INDEX('Monthly Returns'!$M$160:$M$352,MATCH(Tables_annual!C56,'Monthly Returns'!$A$160:$A$352,0),1)</f>
        <v>-9.5200000000000007E-3</v>
      </c>
      <c r="F56" s="470">
        <f t="shared" si="5"/>
        <v>0.98181592699870002</v>
      </c>
      <c r="G56" s="470">
        <f t="shared" si="4"/>
        <v>0.99048000000000003</v>
      </c>
      <c r="H56" s="184"/>
      <c r="I56" s="184"/>
      <c r="J56" s="252" t="s">
        <v>1195</v>
      </c>
      <c r="K56" s="253">
        <f>M93</f>
        <v>0.2111758440506977</v>
      </c>
      <c r="L56" s="253">
        <f>N93</f>
        <v>0.19529107386443353</v>
      </c>
      <c r="M56" s="253">
        <f>L21</f>
        <v>0.2111758440506977</v>
      </c>
      <c r="N56" s="253">
        <f>M21</f>
        <v>0.19529107386443353</v>
      </c>
      <c r="O56" s="253">
        <f>L24</f>
        <v>0.19092241590189662</v>
      </c>
      <c r="P56" s="253">
        <f>M24</f>
        <v>0.17542828928450035</v>
      </c>
      <c r="Q56" s="253">
        <f>L27</f>
        <v>0.16749355213133499</v>
      </c>
      <c r="R56" s="253">
        <f>M27</f>
        <v>0.15343523147675733</v>
      </c>
      <c r="S56" s="216"/>
      <c r="T56" s="195"/>
      <c r="U56" s="195"/>
      <c r="V56" s="216"/>
      <c r="W56" s="216"/>
      <c r="X56" s="216"/>
      <c r="Y56" s="194"/>
      <c r="Z56" s="194"/>
      <c r="AA56" s="194"/>
      <c r="AB56" s="194"/>
      <c r="AC56" s="5"/>
      <c r="AD56" s="5"/>
      <c r="AE56" s="5"/>
      <c r="AF56" s="5"/>
      <c r="AG56" s="5"/>
    </row>
    <row r="57" spans="1:33" ht="12.75" customHeight="1">
      <c r="A57">
        <f t="shared" si="0"/>
        <v>1</v>
      </c>
      <c r="B57">
        <f t="shared" si="2"/>
        <v>2</v>
      </c>
      <c r="C57" s="467">
        <f t="shared" si="6"/>
        <v>44228</v>
      </c>
      <c r="D57" s="468">
        <f>INDEX('Monthly Returns'!$B$160:$M$352,MATCH(Tables_annual!C57,'Monthly Returns'!$A$160:$A$352,0),7)</f>
        <v>2.2277386675491204E-2</v>
      </c>
      <c r="E57" s="469">
        <f>INDEX('Monthly Returns'!$M$160:$M$352,MATCH(Tables_annual!C57,'Monthly Returns'!$A$160:$A$352,0),1)</f>
        <v>1.9200000000000002E-2</v>
      </c>
      <c r="F57" s="470">
        <f t="shared" si="5"/>
        <v>1.0222773866754913</v>
      </c>
      <c r="G57" s="470">
        <f t="shared" si="4"/>
        <v>1.0192000000000001</v>
      </c>
      <c r="H57" s="184"/>
      <c r="I57" s="184"/>
      <c r="J57" s="252" t="s">
        <v>1196</v>
      </c>
      <c r="K57" s="257">
        <f>M94</f>
        <v>1.0764335122611899</v>
      </c>
      <c r="L57" s="257">
        <f>N94</f>
        <v>1</v>
      </c>
      <c r="M57" s="257">
        <f>L22</f>
        <v>1.0764335122611903</v>
      </c>
      <c r="N57" s="257">
        <f>M22</f>
        <v>1</v>
      </c>
      <c r="O57" s="257">
        <f>L25</f>
        <v>1.0756912463959563</v>
      </c>
      <c r="P57" s="257">
        <f>M25</f>
        <v>1</v>
      </c>
      <c r="Q57" s="257">
        <f>L28</f>
        <v>1.0779973164011061</v>
      </c>
      <c r="R57" s="257">
        <f>M28</f>
        <v>1</v>
      </c>
      <c r="S57" s="216"/>
      <c r="T57" s="195"/>
      <c r="U57" s="195"/>
      <c r="V57" s="216"/>
      <c r="W57" s="216"/>
      <c r="X57" s="216"/>
      <c r="Y57" s="194"/>
      <c r="Z57" s="194"/>
      <c r="AA57" s="194"/>
      <c r="AB57" s="194"/>
      <c r="AC57" s="5"/>
      <c r="AD57" s="5"/>
      <c r="AE57" s="5"/>
      <c r="AF57" s="5"/>
      <c r="AG57" s="5"/>
    </row>
    <row r="58" spans="1:33" ht="12.75" customHeight="1">
      <c r="A58">
        <f t="shared" si="0"/>
        <v>1</v>
      </c>
      <c r="B58">
        <f t="shared" si="2"/>
        <v>3</v>
      </c>
      <c r="C58" s="467">
        <f t="shared" si="6"/>
        <v>44256</v>
      </c>
      <c r="D58" s="468">
        <f>INDEX('Monthly Returns'!$B$160:$M$352,MATCH(Tables_annual!C58,'Monthly Returns'!$A$160:$A$352,0),7)</f>
        <v>1.931340752874677E-2</v>
      </c>
      <c r="E58" s="469">
        <f>INDEX('Monthly Returns'!$M$160:$M$352,MATCH(Tables_annual!C58,'Monthly Returns'!$A$160:$A$352,0),1)</f>
        <v>3.2539999999999999E-2</v>
      </c>
      <c r="F58" s="470">
        <f t="shared" si="5"/>
        <v>1.0193134075287467</v>
      </c>
      <c r="G58" s="470">
        <f t="shared" si="4"/>
        <v>1.03254</v>
      </c>
      <c r="H58" s="184"/>
      <c r="I58" s="184"/>
      <c r="J58" s="255" t="s">
        <v>1197</v>
      </c>
      <c r="K58" s="256"/>
      <c r="L58" s="256"/>
      <c r="M58" s="256"/>
      <c r="N58" s="256"/>
      <c r="O58" s="256"/>
      <c r="P58" s="256"/>
      <c r="Q58" s="256"/>
      <c r="R58" s="256"/>
      <c r="S58" s="216"/>
      <c r="T58" s="195"/>
      <c r="U58" s="195"/>
      <c r="V58" s="216"/>
      <c r="W58" s="216"/>
      <c r="X58" s="216"/>
      <c r="Y58" s="194"/>
      <c r="Z58" s="194"/>
      <c r="AA58" s="194"/>
      <c r="AB58" s="194"/>
      <c r="AC58" s="5"/>
      <c r="AD58" s="5"/>
      <c r="AE58" s="5"/>
      <c r="AF58" s="5"/>
      <c r="AG58" s="5"/>
    </row>
    <row r="59" spans="1:33" ht="12.75" customHeight="1">
      <c r="A59">
        <f t="shared" si="0"/>
        <v>1</v>
      </c>
      <c r="B59">
        <f t="shared" si="2"/>
        <v>4</v>
      </c>
      <c r="C59" s="467">
        <f t="shared" si="6"/>
        <v>44287</v>
      </c>
      <c r="D59" s="468">
        <f>INDEX('Monthly Returns'!$B$160:$M$352,MATCH(Tables_annual!C59,'Monthly Returns'!$A$160:$A$352,0),7)</f>
        <v>5.7384526444917698E-2</v>
      </c>
      <c r="E59" s="469">
        <f>INDEX('Monthly Returns'!$M$160:$M$352,MATCH(Tables_annual!C59,'Monthly Returns'!$A$160:$A$352,0),1)</f>
        <v>4.4300000000000006E-2</v>
      </c>
      <c r="F59" s="470">
        <f t="shared" si="5"/>
        <v>1.0573845264449178</v>
      </c>
      <c r="G59" s="470">
        <f t="shared" si="4"/>
        <v>1.0443</v>
      </c>
      <c r="H59" s="184"/>
      <c r="I59" s="184"/>
      <c r="J59" s="252" t="s">
        <v>1172</v>
      </c>
      <c r="K59" s="257">
        <f>$K$53/$K$56</f>
        <v>-0.85420958930007695</v>
      </c>
      <c r="L59" s="257">
        <f>$L$53/L56</f>
        <v>0.83061336467000879</v>
      </c>
      <c r="M59" s="257">
        <f>$L$20/$L$21</f>
        <v>-0.85420958930007695</v>
      </c>
      <c r="N59" s="257">
        <f>$M$20/$M$21</f>
        <v>-0.87612380276852053</v>
      </c>
      <c r="O59" s="257">
        <f>$L$23/$L$24</f>
        <v>0.36738913471809503</v>
      </c>
      <c r="P59" s="257">
        <f>$M$23/$M$24</f>
        <v>0.32597324894053392</v>
      </c>
      <c r="Q59" s="257">
        <f>$L$26/$L$27</f>
        <v>0.54885228331434455</v>
      </c>
      <c r="R59" s="257">
        <f>$M$26/$M$27</f>
        <v>0.50152630234810103</v>
      </c>
      <c r="S59" s="216"/>
      <c r="T59" s="195"/>
      <c r="U59" s="195"/>
      <c r="V59" s="216"/>
      <c r="W59" s="216"/>
      <c r="X59" s="216"/>
      <c r="Y59" s="194"/>
      <c r="Z59" s="194"/>
      <c r="AA59" s="194"/>
      <c r="AB59" s="194"/>
      <c r="AC59" s="5"/>
      <c r="AD59" s="5"/>
      <c r="AE59" s="5"/>
      <c r="AF59" s="5"/>
      <c r="AG59" s="5"/>
    </row>
    <row r="60" spans="1:33" ht="12.75" customHeight="1">
      <c r="A60">
        <f t="shared" si="0"/>
        <v>1</v>
      </c>
      <c r="B60">
        <f t="shared" si="2"/>
        <v>5</v>
      </c>
      <c r="C60" s="467">
        <f t="shared" si="6"/>
        <v>44317</v>
      </c>
      <c r="D60" s="468">
        <f>INDEX('Monthly Returns'!$B$160:$M$352,MATCH(Tables_annual!C60,'Monthly Returns'!$A$160:$A$352,0),7)</f>
        <v>3.0656218020506743E-3</v>
      </c>
      <c r="E60" s="469">
        <f>INDEX('Monthly Returns'!$M$160:$M$352,MATCH(Tables_annual!C60,'Monthly Returns'!$A$160:$A$352,0),1)</f>
        <v>6.2600000000000008E-3</v>
      </c>
      <c r="F60" s="470">
        <f t="shared" si="5"/>
        <v>1.0030656218020506</v>
      </c>
      <c r="G60" s="470">
        <f t="shared" si="4"/>
        <v>1.0062599999999999</v>
      </c>
      <c r="H60" s="184"/>
      <c r="I60" s="184"/>
      <c r="J60" s="252" t="s">
        <v>1198</v>
      </c>
      <c r="K60" s="253">
        <f>$K$53/$K$57</f>
        <v>-0.16757972411850502</v>
      </c>
      <c r="L60" s="253">
        <f>$L$53/$L$57</f>
        <v>0.16221137595255636</v>
      </c>
      <c r="M60" s="258">
        <f>$M$53/$M$57</f>
        <v>-0.16757972411850494</v>
      </c>
      <c r="N60" s="253">
        <f>$N$53/$N$57</f>
        <v>-0.17109915828085553</v>
      </c>
      <c r="O60" s="258">
        <f>$O$53/$O$57</f>
        <v>6.5207206446548385E-2</v>
      </c>
      <c r="P60" s="258">
        <f>$P$53/$P$57</f>
        <v>5.7184929414148433E-2</v>
      </c>
      <c r="Q60" s="258">
        <f>$Q$53/$Q$57</f>
        <v>8.5277780500065709E-2</v>
      </c>
      <c r="R60" s="253">
        <f>$R$53/$R$57</f>
        <v>7.6951804292463066E-2</v>
      </c>
      <c r="S60" s="216"/>
      <c r="T60" s="195"/>
      <c r="U60" s="195"/>
      <c r="V60" s="216"/>
      <c r="W60" s="216"/>
      <c r="X60" s="216"/>
      <c r="Y60" s="194"/>
      <c r="Z60" s="194"/>
      <c r="AA60" s="194"/>
      <c r="AB60" s="194"/>
      <c r="AC60" s="5"/>
      <c r="AD60" s="5"/>
      <c r="AE60" s="5"/>
      <c r="AF60" s="5"/>
      <c r="AG60" s="5"/>
    </row>
    <row r="61" spans="1:33" ht="12.75" customHeight="1">
      <c r="A61">
        <f t="shared" si="0"/>
        <v>1</v>
      </c>
      <c r="B61">
        <f t="shared" si="2"/>
        <v>6</v>
      </c>
      <c r="C61" s="467">
        <f t="shared" si="6"/>
        <v>44348</v>
      </c>
      <c r="D61" s="468">
        <f>INDEX('Monthly Returns'!$B$160:$M$352,MATCH(Tables_annual!C61,'Monthly Returns'!$A$160:$A$352,0),7)</f>
        <v>3.4944016090898304E-2</v>
      </c>
      <c r="E61" s="469">
        <f>INDEX('Monthly Returns'!$M$160:$M$352,MATCH(Tables_annual!C61,'Monthly Returns'!$A$160:$A$352,0),1)</f>
        <v>2.0040000000000002E-2</v>
      </c>
      <c r="F61" s="470">
        <f t="shared" si="5"/>
        <v>1.0349440160908983</v>
      </c>
      <c r="G61" s="470">
        <f t="shared" si="4"/>
        <v>1.0200400000000001</v>
      </c>
      <c r="H61" s="184"/>
      <c r="I61" s="184"/>
      <c r="J61" s="216"/>
      <c r="K61" s="216"/>
      <c r="L61" s="216"/>
      <c r="M61" s="216"/>
      <c r="N61" s="216"/>
      <c r="O61" s="216"/>
      <c r="P61" s="216"/>
      <c r="Q61" s="216"/>
      <c r="R61" s="216"/>
      <c r="S61" s="216"/>
      <c r="T61" s="195"/>
      <c r="U61" s="195"/>
      <c r="V61" s="216"/>
      <c r="W61" s="216"/>
      <c r="X61" s="216"/>
      <c r="Y61" s="194"/>
      <c r="Z61" s="194"/>
      <c r="AA61" s="194"/>
      <c r="AB61" s="194"/>
      <c r="AC61" s="5"/>
      <c r="AD61" s="5"/>
      <c r="AE61" s="5"/>
      <c r="AF61" s="5"/>
      <c r="AG61" s="5"/>
    </row>
    <row r="62" spans="1:33" ht="12.75" customHeight="1">
      <c r="A62">
        <f t="shared" si="0"/>
        <v>1</v>
      </c>
      <c r="B62">
        <f t="shared" si="2"/>
        <v>7</v>
      </c>
      <c r="C62" s="467">
        <f t="shared" si="6"/>
        <v>44378</v>
      </c>
      <c r="D62" s="468">
        <f>INDEX('Monthly Returns'!$B$160:$M$352,MATCH(Tables_annual!C62,'Monthly Returns'!$A$160:$A$352,0),7)</f>
        <v>2.0609698617223532E-2</v>
      </c>
      <c r="E62" s="469">
        <f>INDEX('Monthly Returns'!$M$160:$M$352,MATCH(Tables_annual!C62,'Monthly Returns'!$A$160:$A$352,0),1)</f>
        <v>2.1243924477603839E-2</v>
      </c>
      <c r="F62" s="470">
        <f t="shared" si="5"/>
        <v>1.0206096986172235</v>
      </c>
      <c r="G62" s="470">
        <f t="shared" si="4"/>
        <v>1.0212439244776039</v>
      </c>
      <c r="H62" s="184"/>
      <c r="I62" s="184"/>
      <c r="J62" s="250"/>
      <c r="K62" s="2080" t="s">
        <v>1187</v>
      </c>
      <c r="L62" s="2071"/>
      <c r="M62" s="2080" t="s">
        <v>1188</v>
      </c>
      <c r="N62" s="2071"/>
      <c r="O62" s="2080" t="s">
        <v>1189</v>
      </c>
      <c r="P62" s="2071"/>
      <c r="Q62" s="216"/>
      <c r="R62" s="195"/>
      <c r="S62" s="195"/>
      <c r="T62" s="216"/>
      <c r="U62" s="216"/>
      <c r="V62" s="216"/>
      <c r="W62" s="194"/>
      <c r="X62" s="194"/>
      <c r="Y62" s="194"/>
      <c r="Z62" s="194"/>
      <c r="AA62" s="5"/>
      <c r="AB62" s="5"/>
      <c r="AC62" s="5"/>
      <c r="AD62" s="5"/>
      <c r="AE62" s="5"/>
    </row>
    <row r="63" spans="1:33" ht="12.75" customHeight="1">
      <c r="A63">
        <f t="shared" si="0"/>
        <v>1</v>
      </c>
      <c r="B63">
        <f t="shared" si="2"/>
        <v>8</v>
      </c>
      <c r="C63" s="467">
        <f t="shared" si="6"/>
        <v>44409</v>
      </c>
      <c r="D63" s="468">
        <f>INDEX('Monthly Returns'!$B$160:$M$352,MATCH(Tables_annual!C63,'Monthly Returns'!$A$160:$A$352,0),7)</f>
        <v>3.0089100532879359E-2</v>
      </c>
      <c r="E63" s="469">
        <f>INDEX('Monthly Returns'!$M$160:$M$352,MATCH(Tables_annual!C63,'Monthly Returns'!$A$160:$A$352,0),1)</f>
        <v>2.3940000000000003E-2</v>
      </c>
      <c r="F63" s="470">
        <f t="shared" si="5"/>
        <v>1.0300891005328794</v>
      </c>
      <c r="G63" s="470">
        <f t="shared" si="4"/>
        <v>1.0239400000000001</v>
      </c>
      <c r="H63" s="184"/>
      <c r="I63" s="184"/>
      <c r="J63" s="250"/>
      <c r="K63" s="251" t="s">
        <v>1191</v>
      </c>
      <c r="L63" s="251" t="s">
        <v>1190</v>
      </c>
      <c r="M63" s="251" t="s">
        <v>1125</v>
      </c>
      <c r="N63" s="251" t="s">
        <v>1190</v>
      </c>
      <c r="O63" s="251" t="s">
        <v>1125</v>
      </c>
      <c r="P63" s="251" t="s">
        <v>1190</v>
      </c>
      <c r="Q63" s="216"/>
      <c r="R63" s="195"/>
      <c r="S63" s="195"/>
      <c r="T63" s="216"/>
      <c r="U63" s="216"/>
      <c r="V63" s="216"/>
      <c r="W63" s="194"/>
      <c r="X63" s="194"/>
      <c r="Y63" s="194"/>
      <c r="Z63" s="194"/>
      <c r="AA63" s="5"/>
      <c r="AB63" s="5"/>
      <c r="AC63" s="5"/>
      <c r="AD63" s="5"/>
      <c r="AE63" s="5"/>
    </row>
    <row r="64" spans="1:33" ht="12.75" customHeight="1">
      <c r="A64">
        <f t="shared" si="0"/>
        <v>1</v>
      </c>
      <c r="B64">
        <f t="shared" si="2"/>
        <v>9</v>
      </c>
      <c r="C64" s="467">
        <f t="shared" si="6"/>
        <v>44440</v>
      </c>
      <c r="D64" s="468">
        <f>INDEX('Monthly Returns'!$B$160:$M$352,MATCH(Tables_annual!C64,'Monthly Returns'!$A$160:$A$352,0),7)</f>
        <v>-5.356404172396776E-2</v>
      </c>
      <c r="E64" s="469">
        <f>INDEX('Monthly Returns'!$M$160:$M$352,MATCH(Tables_annual!C64,'Monthly Returns'!$A$160:$A$352,0),1)</f>
        <v>-3.8940000000000002E-2</v>
      </c>
      <c r="F64" s="470">
        <f t="shared" si="5"/>
        <v>0.94643595827603222</v>
      </c>
      <c r="G64" s="470">
        <f t="shared" si="4"/>
        <v>0.96106000000000003</v>
      </c>
      <c r="H64" s="427"/>
      <c r="I64" s="427"/>
      <c r="J64" s="252" t="s">
        <v>1192</v>
      </c>
      <c r="K64" s="253">
        <f>L20</f>
        <v>-0.18038843101664359</v>
      </c>
      <c r="L64" s="253">
        <f>M20</f>
        <v>-0.17109915828085553</v>
      </c>
      <c r="M64" s="253">
        <f>L23</f>
        <v>7.014282117648607E-2</v>
      </c>
      <c r="N64" s="253">
        <f>M23</f>
        <v>5.7184929414148433E-2</v>
      </c>
      <c r="O64" s="253">
        <f>L26</f>
        <v>9.1929218527713408E-2</v>
      </c>
      <c r="P64" s="253">
        <f>M26</f>
        <v>7.6951804292463066E-2</v>
      </c>
      <c r="Q64" s="450"/>
      <c r="R64" s="1486"/>
      <c r="S64" s="1486"/>
      <c r="T64" s="450"/>
      <c r="U64" s="450"/>
      <c r="V64" s="450"/>
      <c r="W64" s="890"/>
      <c r="X64" s="890"/>
      <c r="Y64" s="890"/>
      <c r="Z64" s="890"/>
      <c r="AA64" s="359"/>
      <c r="AB64" s="359"/>
      <c r="AC64" s="359"/>
      <c r="AD64" s="359"/>
      <c r="AE64" s="359"/>
    </row>
    <row r="65" spans="1:33" ht="12.75" customHeight="1">
      <c r="A65">
        <f t="shared" si="0"/>
        <v>1</v>
      </c>
      <c r="B65">
        <f t="shared" si="2"/>
        <v>10</v>
      </c>
      <c r="C65" s="467">
        <f t="shared" si="6"/>
        <v>44470</v>
      </c>
      <c r="D65" s="468">
        <f>INDEX('Monthly Returns'!$B$160:$M$352,MATCH(Tables_annual!C65,'Monthly Returns'!$A$160:$A$352,0),7)</f>
        <v>6.8442716310707238E-2</v>
      </c>
      <c r="E65" s="469">
        <f>INDEX('Monthly Returns'!$M$160:$M$352,MATCH(Tables_annual!C65,'Monthly Returns'!$A$160:$A$352,0),1)</f>
        <v>5.602E-2</v>
      </c>
      <c r="F65" s="470">
        <f t="shared" si="5"/>
        <v>1.0684427163107073</v>
      </c>
      <c r="G65" s="470">
        <f t="shared" si="4"/>
        <v>1.05602</v>
      </c>
      <c r="H65" s="184"/>
      <c r="I65" s="184"/>
      <c r="J65" s="510" t="s">
        <v>1193</v>
      </c>
      <c r="K65" s="254">
        <f>100*(K64+1)</f>
        <v>81.961156898335645</v>
      </c>
      <c r="L65" s="254">
        <f>100*(L64+1)</f>
        <v>82.890084171914452</v>
      </c>
      <c r="M65" s="254">
        <f>100*(M64+1)^3</f>
        <v>122.55336133750119</v>
      </c>
      <c r="N65" s="254">
        <f>100*(N64+1)^3</f>
        <v>118.15521380600826</v>
      </c>
      <c r="O65" s="254">
        <f>100*(O64+1)^5</f>
        <v>155.22884867407544</v>
      </c>
      <c r="P65" s="254">
        <f>100*(P64+1)^5</f>
        <v>144.8709609978076</v>
      </c>
      <c r="Q65" s="216"/>
      <c r="R65" s="195"/>
      <c r="S65" s="195"/>
      <c r="T65" s="216"/>
      <c r="U65" s="216"/>
      <c r="V65" s="216"/>
      <c r="W65" s="194"/>
      <c r="X65" s="194"/>
      <c r="Y65" s="194"/>
      <c r="Z65" s="194"/>
      <c r="AA65" s="5"/>
      <c r="AB65" s="5"/>
      <c r="AC65" s="5"/>
      <c r="AD65" s="5"/>
      <c r="AE65" s="5"/>
    </row>
    <row r="66" spans="1:33" ht="12.75" customHeight="1">
      <c r="A66">
        <f t="shared" si="0"/>
        <v>1</v>
      </c>
      <c r="B66">
        <f>IF(B67=1,12,B67-1)</f>
        <v>11</v>
      </c>
      <c r="C66" s="467">
        <f t="shared" si="6"/>
        <v>44501</v>
      </c>
      <c r="D66" s="468">
        <f>INDEX('Monthly Returns'!$B$160:$M$352,MATCH(Tables_annual!C66,'Monthly Returns'!$A$160:$A$352,0),7)</f>
        <v>5.9340278850688426E-3</v>
      </c>
      <c r="E66" s="469">
        <f>INDEX('Monthly Returns'!$M$160:$M$352,MATCH(Tables_annual!C66,'Monthly Returns'!$A$160:$A$352,0),1)</f>
        <v>-4.9200000000000008E-3</v>
      </c>
      <c r="F66" s="470">
        <f t="shared" si="5"/>
        <v>1.0059340278850688</v>
      </c>
      <c r="G66" s="470">
        <f t="shared" si="4"/>
        <v>0.99507999999999996</v>
      </c>
      <c r="H66" s="184"/>
      <c r="I66" s="184"/>
      <c r="J66" s="255" t="s">
        <v>1194</v>
      </c>
      <c r="K66" s="256"/>
      <c r="L66" s="256"/>
      <c r="M66" s="256"/>
      <c r="N66" s="256"/>
      <c r="O66" s="256"/>
      <c r="P66" s="256"/>
      <c r="Q66" s="216"/>
      <c r="R66" s="195"/>
      <c r="S66" s="195"/>
      <c r="T66" s="216"/>
      <c r="U66" s="216"/>
      <c r="V66" s="216"/>
      <c r="W66" s="194"/>
      <c r="X66" s="194"/>
      <c r="Y66" s="194"/>
      <c r="Z66" s="194"/>
      <c r="AA66" s="5"/>
      <c r="AB66" s="5"/>
      <c r="AC66" s="5"/>
      <c r="AD66" s="5"/>
      <c r="AE66" s="5"/>
    </row>
    <row r="67" spans="1:33" ht="12.75" customHeight="1">
      <c r="A67">
        <f t="shared" si="0"/>
        <v>1</v>
      </c>
      <c r="B67" s="482">
        <f>INDEX(B81:B92,MATCH(F5,A81:A92,0),1)</f>
        <v>12</v>
      </c>
      <c r="C67" s="467">
        <f>DATE($D$5-A67,B67,1)</f>
        <v>44531</v>
      </c>
      <c r="D67" s="468">
        <f>INDEX('Monthly Returns'!$B$160:$M$352,MATCH(Tables_annual!C67,'Monthly Returns'!$A$160:$A$352,0),7)</f>
        <v>3.7896098118905881E-2</v>
      </c>
      <c r="E67" s="469">
        <f>INDEX('Monthly Returns'!$M$160:$M$352,MATCH(Tables_annual!C67,'Monthly Returns'!$A$160:$A$352,0),1)</f>
        <v>3.5320000000000004E-2</v>
      </c>
      <c r="F67" s="470">
        <f t="shared" si="5"/>
        <v>1.0378960981189058</v>
      </c>
      <c r="G67" s="470">
        <f t="shared" si="4"/>
        <v>1.03532</v>
      </c>
      <c r="H67" s="184"/>
      <c r="I67" s="184"/>
      <c r="J67" s="252" t="s">
        <v>1195</v>
      </c>
      <c r="K67" s="253">
        <f>M56</f>
        <v>0.2111758440506977</v>
      </c>
      <c r="L67" s="253">
        <f t="shared" ref="K67:P68" si="7">N56</f>
        <v>0.19529107386443353</v>
      </c>
      <c r="M67" s="253">
        <f t="shared" si="7"/>
        <v>0.19092241590189662</v>
      </c>
      <c r="N67" s="253">
        <f t="shared" si="7"/>
        <v>0.17542828928450035</v>
      </c>
      <c r="O67" s="253">
        <f t="shared" si="7"/>
        <v>0.16749355213133499</v>
      </c>
      <c r="P67" s="253">
        <f t="shared" si="7"/>
        <v>0.15343523147675733</v>
      </c>
      <c r="Q67" s="216"/>
      <c r="R67" s="195"/>
      <c r="S67" s="195"/>
      <c r="T67" s="216"/>
      <c r="U67" s="216"/>
      <c r="V67" s="216"/>
      <c r="W67" s="194"/>
      <c r="X67" s="194"/>
      <c r="Y67" s="194"/>
      <c r="Z67" s="194"/>
      <c r="AA67" s="5"/>
      <c r="AB67" s="5"/>
      <c r="AC67" s="5"/>
      <c r="AD67" s="5"/>
      <c r="AE67" s="5"/>
    </row>
    <row r="68" spans="1:33" ht="12.75" customHeight="1">
      <c r="A68">
        <v>0</v>
      </c>
      <c r="B68">
        <v>1</v>
      </c>
      <c r="C68" s="467">
        <f t="shared" si="6"/>
        <v>44562</v>
      </c>
      <c r="D68" s="468">
        <f>INDEX('Monthly Returns'!$B$160:$M$352,MATCH(Tables_annual!C68,'Monthly Returns'!$A$160:$A$352,0),7)</f>
        <v>-5.2888450644536782E-2</v>
      </c>
      <c r="E68" s="469">
        <f>INDEX('Monthly Returns'!$M$160:$M$352,MATCH(Tables_annual!C68,'Monthly Returns'!$A$160:$A$352,0),1)</f>
        <v>-4.5668800000000009E-2</v>
      </c>
      <c r="F68" s="470">
        <f t="shared" si="5"/>
        <v>0.94711154935546327</v>
      </c>
      <c r="G68" s="470">
        <f t="shared" si="4"/>
        <v>0.95433119999999994</v>
      </c>
      <c r="H68" s="184"/>
      <c r="I68" s="184"/>
      <c r="J68" s="252" t="s">
        <v>1196</v>
      </c>
      <c r="K68" s="253">
        <f t="shared" si="7"/>
        <v>1.0764335122611903</v>
      </c>
      <c r="L68" s="253">
        <f t="shared" si="7"/>
        <v>1</v>
      </c>
      <c r="M68" s="253">
        <f t="shared" si="7"/>
        <v>1.0756912463959563</v>
      </c>
      <c r="N68" s="253">
        <f t="shared" si="7"/>
        <v>1</v>
      </c>
      <c r="O68" s="253">
        <f t="shared" si="7"/>
        <v>1.0779973164011061</v>
      </c>
      <c r="P68" s="253">
        <f t="shared" si="7"/>
        <v>1</v>
      </c>
      <c r="Q68" s="216"/>
      <c r="R68" s="195"/>
      <c r="S68" s="195"/>
      <c r="T68" s="216"/>
      <c r="U68" s="216"/>
      <c r="V68" s="216"/>
      <c r="W68" s="194"/>
      <c r="X68" s="194"/>
      <c r="Y68" s="194"/>
      <c r="Z68" s="194"/>
      <c r="AA68" s="5"/>
      <c r="AB68" s="5"/>
      <c r="AC68" s="5"/>
      <c r="AD68" s="5"/>
      <c r="AE68" s="5"/>
    </row>
    <row r="69" spans="1:33" ht="12.75" customHeight="1">
      <c r="A69">
        <v>0</v>
      </c>
      <c r="B69">
        <v>2</v>
      </c>
      <c r="C69" s="467">
        <f t="shared" si="6"/>
        <v>44593</v>
      </c>
      <c r="D69" s="468">
        <f>INDEX('Monthly Returns'!$B$160:$M$352,MATCH(Tables_annual!C69,'Monthly Returns'!$A$160:$A$352,0),7)</f>
        <v>-1.8031477300879548E-2</v>
      </c>
      <c r="E69" s="469">
        <f>INDEX('Monthly Returns'!$M$160:$M$352,MATCH(Tables_annual!C69,'Monthly Returns'!$A$160:$A$352,0),1)</f>
        <v>-2.6151400000000002E-2</v>
      </c>
      <c r="F69" s="470">
        <f t="shared" si="5"/>
        <v>0.98196852269912049</v>
      </c>
      <c r="G69" s="470">
        <f t="shared" si="4"/>
        <v>0.97384859999999995</v>
      </c>
      <c r="H69" s="184"/>
      <c r="I69" s="184"/>
      <c r="J69" s="255" t="s">
        <v>1197</v>
      </c>
      <c r="K69" s="256"/>
      <c r="L69" s="256"/>
      <c r="M69" s="256"/>
      <c r="N69" s="256"/>
      <c r="O69" s="256"/>
      <c r="P69" s="256"/>
      <c r="Q69" s="216"/>
      <c r="R69" s="195"/>
      <c r="S69" s="195"/>
      <c r="T69" s="216"/>
      <c r="U69" s="216"/>
      <c r="V69" s="216"/>
      <c r="W69" s="194"/>
      <c r="X69" s="194"/>
      <c r="Y69" s="194"/>
      <c r="Z69" s="194"/>
      <c r="AA69" s="5"/>
      <c r="AB69" s="5"/>
      <c r="AC69" s="5"/>
      <c r="AD69" s="5"/>
      <c r="AE69" s="5"/>
    </row>
    <row r="70" spans="1:33" ht="12.75" customHeight="1">
      <c r="A70">
        <v>0</v>
      </c>
      <c r="B70">
        <v>3</v>
      </c>
      <c r="C70" s="467">
        <f t="shared" si="6"/>
        <v>44621</v>
      </c>
      <c r="D70" s="468">
        <f>INDEX('Monthly Returns'!$B$160:$M$352,MATCH(Tables_annual!C70,'Monthly Returns'!$A$160:$A$352,0),7)</f>
        <v>3.1077128387478056E-2</v>
      </c>
      <c r="E70" s="469">
        <f>INDEX('Monthly Returns'!$M$160:$M$352,MATCH(Tables_annual!C70,'Monthly Returns'!$A$160:$A$352,0),1)</f>
        <v>2.4123200000000001E-2</v>
      </c>
      <c r="F70" s="470">
        <f t="shared" si="5"/>
        <v>1.031077128387478</v>
      </c>
      <c r="G70" s="470">
        <f t="shared" si="4"/>
        <v>1.0241232</v>
      </c>
      <c r="H70" s="184"/>
      <c r="I70" s="184"/>
      <c r="J70" s="252" t="s">
        <v>1172</v>
      </c>
      <c r="K70" s="253">
        <f>M59</f>
        <v>-0.85420958930007695</v>
      </c>
      <c r="L70" s="253">
        <f t="shared" ref="L70:P71" si="8">N59</f>
        <v>-0.87612380276852053</v>
      </c>
      <c r="M70" s="253">
        <f t="shared" si="8"/>
        <v>0.36738913471809503</v>
      </c>
      <c r="N70" s="253">
        <f t="shared" si="8"/>
        <v>0.32597324894053392</v>
      </c>
      <c r="O70" s="253">
        <f t="shared" si="8"/>
        <v>0.54885228331434455</v>
      </c>
      <c r="P70" s="253">
        <f t="shared" si="8"/>
        <v>0.50152630234810103</v>
      </c>
      <c r="Q70" s="216"/>
      <c r="R70" s="195"/>
      <c r="S70" s="195"/>
      <c r="T70" s="216"/>
      <c r="U70" s="216"/>
      <c r="V70" s="216"/>
      <c r="W70" s="194"/>
      <c r="X70" s="194"/>
      <c r="Y70" s="194"/>
      <c r="Z70" s="194"/>
      <c r="AA70" s="5"/>
      <c r="AB70" s="5"/>
      <c r="AC70" s="5"/>
      <c r="AD70" s="5"/>
      <c r="AE70" s="5"/>
    </row>
    <row r="71" spans="1:33" ht="12.75" customHeight="1">
      <c r="A71">
        <v>0</v>
      </c>
      <c r="B71">
        <v>4</v>
      </c>
      <c r="C71" s="467">
        <f t="shared" si="6"/>
        <v>44652</v>
      </c>
      <c r="D71" s="468">
        <f>INDEX('Monthly Returns'!$B$160:$M$352,MATCH(Tables_annual!C71,'Monthly Returns'!$A$160:$A$352,0),7)</f>
        <v>-8.8381308472974013E-2</v>
      </c>
      <c r="E71" s="469">
        <f>INDEX('Monthly Returns'!$M$160:$M$352,MATCH(Tables_annual!C71,'Monthly Returns'!$A$160:$A$352,0),1)</f>
        <v>-7.7349600000000004E-2</v>
      </c>
      <c r="F71" s="470">
        <f t="shared" si="5"/>
        <v>0.91161869152702601</v>
      </c>
      <c r="G71" s="470">
        <f t="shared" si="4"/>
        <v>0.92265039999999998</v>
      </c>
      <c r="H71" s="184"/>
      <c r="I71" s="184"/>
      <c r="J71" s="252" t="s">
        <v>1198</v>
      </c>
      <c r="K71" s="253">
        <f>M60</f>
        <v>-0.16757972411850494</v>
      </c>
      <c r="L71" s="253">
        <f t="shared" si="8"/>
        <v>-0.17109915828085553</v>
      </c>
      <c r="M71" s="253">
        <f t="shared" si="8"/>
        <v>6.5207206446548385E-2</v>
      </c>
      <c r="N71" s="253">
        <f t="shared" si="8"/>
        <v>5.7184929414148433E-2</v>
      </c>
      <c r="O71" s="253">
        <f t="shared" si="8"/>
        <v>8.5277780500065709E-2</v>
      </c>
      <c r="P71" s="253">
        <f t="shared" si="8"/>
        <v>7.6951804292463066E-2</v>
      </c>
      <c r="Q71" s="216"/>
      <c r="R71" s="195"/>
      <c r="S71" s="195"/>
      <c r="T71" s="216"/>
      <c r="U71" s="216"/>
      <c r="V71" s="216"/>
      <c r="W71" s="194"/>
      <c r="X71" s="194"/>
      <c r="Y71" s="194"/>
      <c r="Z71" s="194"/>
      <c r="AA71" s="5"/>
      <c r="AB71" s="5"/>
      <c r="AC71" s="5"/>
      <c r="AD71" s="5"/>
      <c r="AE71" s="5"/>
    </row>
    <row r="72" spans="1:33" ht="12.75" customHeight="1">
      <c r="A72">
        <v>0</v>
      </c>
      <c r="B72">
        <v>5</v>
      </c>
      <c r="C72" s="467">
        <f t="shared" si="6"/>
        <v>44682</v>
      </c>
      <c r="D72" s="468">
        <f>INDEX('Monthly Returns'!$B$160:$M$352,MATCH(Tables_annual!C72,'Monthly Returns'!$A$160:$A$352,0),7)</f>
        <v>-2.6417375528779746E-3</v>
      </c>
      <c r="E72" s="469">
        <f>INDEX('Monthly Returns'!$M$160:$M$352,MATCH(Tables_annual!C72,'Monthly Returns'!$A$160:$A$352,0),1)</f>
        <v>1.5060000000000008E-4</v>
      </c>
      <c r="F72" s="470">
        <f t="shared" si="5"/>
        <v>0.997358262447122</v>
      </c>
      <c r="G72" s="470">
        <f t="shared" si="4"/>
        <v>1.0001506</v>
      </c>
      <c r="H72" s="198"/>
      <c r="I72" s="198"/>
      <c r="J72" s="888"/>
      <c r="K72" s="217"/>
      <c r="L72" s="306"/>
      <c r="M72" s="306"/>
      <c r="N72" s="888"/>
      <c r="O72" s="306"/>
      <c r="P72" s="306"/>
      <c r="Q72" s="215"/>
      <c r="R72" s="5"/>
      <c r="S72" s="5"/>
      <c r="T72" s="5"/>
      <c r="U72" s="5"/>
      <c r="V72" s="5"/>
      <c r="W72" s="5"/>
      <c r="X72" s="5"/>
      <c r="Y72" s="5"/>
      <c r="Z72" s="5"/>
      <c r="AA72" s="5"/>
      <c r="AB72" s="191"/>
      <c r="AC72" s="191"/>
      <c r="AD72" s="5"/>
      <c r="AE72" s="5"/>
      <c r="AF72" s="5"/>
      <c r="AG72" s="5"/>
    </row>
    <row r="73" spans="1:33" ht="12.75" customHeight="1">
      <c r="A73">
        <v>0</v>
      </c>
      <c r="B73">
        <v>6</v>
      </c>
      <c r="C73" s="467">
        <f t="shared" si="6"/>
        <v>44713</v>
      </c>
      <c r="D73" s="468">
        <f>INDEX('Monthly Returns'!$B$160:$M$352,MATCH(Tables_annual!C73,'Monthly Returns'!$A$160:$A$352,0),7)</f>
        <v>-6.686817689545678E-2</v>
      </c>
      <c r="E73" s="469">
        <f>INDEX('Monthly Returns'!$M$160:$M$352,MATCH(Tables_annual!C73,'Monthly Returns'!$A$160:$A$352,0),1)</f>
        <v>-6.9137400000000002E-2</v>
      </c>
      <c r="F73" s="470">
        <f t="shared" si="5"/>
        <v>0.93313182310454323</v>
      </c>
      <c r="G73" s="470">
        <f t="shared" si="5"/>
        <v>0.93086259999999998</v>
      </c>
      <c r="H73" s="198"/>
      <c r="I73" s="198"/>
      <c r="M73" s="306"/>
      <c r="N73" s="888"/>
      <c r="O73" s="306"/>
      <c r="P73" s="306"/>
      <c r="Q73" s="215"/>
      <c r="R73" s="5"/>
      <c r="S73" s="5"/>
      <c r="T73" s="5"/>
      <c r="U73" s="5"/>
      <c r="V73" s="5"/>
      <c r="W73" s="5"/>
      <c r="X73" s="5"/>
      <c r="Y73" s="5"/>
      <c r="Z73" s="5"/>
      <c r="AA73" s="5"/>
      <c r="AB73" s="191"/>
      <c r="AC73" s="191"/>
      <c r="AD73" s="5"/>
      <c r="AE73" s="5"/>
      <c r="AF73" s="5"/>
      <c r="AG73" s="5"/>
    </row>
    <row r="74" spans="1:33" ht="12.75" customHeight="1">
      <c r="A74">
        <v>0</v>
      </c>
      <c r="B74">
        <v>7</v>
      </c>
      <c r="C74" s="467">
        <f t="shared" si="6"/>
        <v>44743</v>
      </c>
      <c r="D74" s="468">
        <f>INDEX('Monthly Returns'!$B$160:$M$352,MATCH(Tables_annual!C74,'Monthly Returns'!$A$160:$A$352,0),7)</f>
        <v>8.2932911448164184E-2</v>
      </c>
      <c r="E74" s="469">
        <f>INDEX('Monthly Returns'!$M$160:$M$352,MATCH(Tables_annual!C74,'Monthly Returns'!$A$160:$A$352,0),1)</f>
        <v>7.8646800000000003E-2</v>
      </c>
      <c r="F74" s="470">
        <f t="shared" si="5"/>
        <v>1.0829329114481643</v>
      </c>
      <c r="G74" s="470">
        <f t="shared" si="5"/>
        <v>1.0786468</v>
      </c>
      <c r="H74" s="198"/>
      <c r="I74" s="198"/>
      <c r="M74" s="306"/>
      <c r="N74" s="888"/>
      <c r="O74" s="306"/>
      <c r="P74" s="306"/>
      <c r="Q74" s="215"/>
      <c r="R74" s="5"/>
      <c r="S74" s="5"/>
      <c r="T74" s="5"/>
      <c r="U74" s="5"/>
      <c r="V74" s="5"/>
      <c r="W74" s="5"/>
      <c r="X74" s="5"/>
      <c r="Y74" s="5"/>
      <c r="Z74" s="5"/>
      <c r="AA74" s="5"/>
      <c r="AB74" s="191"/>
      <c r="AC74" s="191"/>
      <c r="AD74" s="5"/>
      <c r="AE74" s="5"/>
      <c r="AF74" s="5"/>
      <c r="AG74" s="5"/>
    </row>
    <row r="75" spans="1:33" ht="12.75" customHeight="1">
      <c r="A75">
        <v>0</v>
      </c>
      <c r="B75">
        <v>8</v>
      </c>
      <c r="C75" s="467">
        <f t="shared" si="6"/>
        <v>44774</v>
      </c>
      <c r="D75" s="468">
        <f>INDEX('Monthly Returns'!$B$160:$M$352,MATCH(Tables_annual!C75,'Monthly Returns'!$A$160:$A$352,0),7)</f>
        <v>-4.0304845869031908E-2</v>
      </c>
      <c r="E75" s="469">
        <f>INDEX('Monthly Returns'!$M$160:$M$352,MATCH(Tables_annual!C75,'Monthly Returns'!$A$160:$A$352,0),1)</f>
        <v>-3.8290600000000001E-2</v>
      </c>
      <c r="F75" s="470">
        <f t="shared" si="5"/>
        <v>0.95969515413096806</v>
      </c>
      <c r="G75" s="470">
        <f t="shared" si="5"/>
        <v>0.96170940000000005</v>
      </c>
      <c r="H75" s="198"/>
      <c r="I75" s="198"/>
      <c r="M75" s="306"/>
      <c r="N75" s="888"/>
      <c r="O75" s="306"/>
      <c r="P75" s="306"/>
      <c r="Q75" s="215"/>
      <c r="R75" s="5"/>
      <c r="S75" s="5"/>
      <c r="T75" s="5"/>
      <c r="U75" s="5"/>
      <c r="V75" s="5"/>
      <c r="W75" s="5"/>
      <c r="X75" s="5"/>
      <c r="Y75" s="5"/>
      <c r="Z75" s="5"/>
      <c r="AA75" s="5"/>
      <c r="AB75" s="191"/>
      <c r="AC75" s="191"/>
      <c r="AD75" s="5"/>
      <c r="AE75" s="5"/>
      <c r="AF75" s="5"/>
      <c r="AG75" s="5"/>
    </row>
    <row r="76" spans="1:33" ht="12.75" customHeight="1">
      <c r="A76">
        <v>0</v>
      </c>
      <c r="B76">
        <v>9</v>
      </c>
      <c r="C76" s="467">
        <f t="shared" si="6"/>
        <v>44805</v>
      </c>
      <c r="D76" s="468">
        <f>INDEX('Monthly Returns'!$B$160:$M$352,MATCH(Tables_annual!C76,'Monthly Returns'!$A$160:$A$352,0),7)</f>
        <v>-8.7720875295130632E-2</v>
      </c>
      <c r="E76" s="469">
        <f>INDEX('Monthly Returns'!$M$160:$M$352,MATCH(Tables_annual!C76,'Monthly Returns'!$A$160:$A$352,0),1)</f>
        <v>-8.2321800000000014E-2</v>
      </c>
      <c r="F76" s="470">
        <f t="shared" si="5"/>
        <v>0.91227912470486938</v>
      </c>
      <c r="G76" s="470">
        <f t="shared" si="5"/>
        <v>0.9176782</v>
      </c>
      <c r="H76" s="198"/>
      <c r="I76" s="198"/>
      <c r="M76" s="306"/>
      <c r="N76" s="888"/>
      <c r="O76" s="306"/>
      <c r="P76" s="306"/>
      <c r="Q76" s="215"/>
      <c r="R76" s="5"/>
      <c r="S76" s="5"/>
      <c r="T76" s="5"/>
      <c r="U76" s="5"/>
      <c r="V76" s="5"/>
      <c r="W76" s="5"/>
      <c r="X76" s="5"/>
      <c r="Y76" s="5"/>
      <c r="Z76" s="5"/>
      <c r="AA76" s="5"/>
      <c r="AB76" s="191"/>
      <c r="AC76" s="191"/>
      <c r="AD76" s="5"/>
      <c r="AE76" s="5"/>
      <c r="AF76" s="5"/>
      <c r="AG76" s="5"/>
    </row>
    <row r="77" spans="1:33" ht="12.75" customHeight="1">
      <c r="A77">
        <v>0</v>
      </c>
      <c r="B77">
        <v>10</v>
      </c>
      <c r="C77" s="467">
        <f t="shared" si="6"/>
        <v>44835</v>
      </c>
      <c r="D77" s="468">
        <f>INDEX('Monthly Returns'!$B$160:$M$352,MATCH(Tables_annual!C77,'Monthly Returns'!$A$160:$A$352,0),7)</f>
        <v>7.3677200215162497E-2</v>
      </c>
      <c r="E77" s="469">
        <f>INDEX('Monthly Returns'!$M$160:$M$352,MATCH(Tables_annual!C77,'Monthly Returns'!$A$160:$A$352,0),1)</f>
        <v>6.2209400000000012E-2</v>
      </c>
      <c r="F77" s="470">
        <f t="shared" si="5"/>
        <v>1.0736772002151624</v>
      </c>
      <c r="G77" s="470">
        <f t="shared" si="5"/>
        <v>1.0622094</v>
      </c>
      <c r="H77" s="198"/>
      <c r="I77" s="198"/>
      <c r="J77" s="2093" t="s">
        <v>5</v>
      </c>
      <c r="K77" s="2093"/>
      <c r="L77" s="2093"/>
      <c r="M77" s="2093"/>
      <c r="N77" s="2093"/>
      <c r="O77" s="2093"/>
      <c r="P77" s="306"/>
      <c r="Q77" s="215"/>
      <c r="R77" s="5"/>
      <c r="S77" s="5"/>
      <c r="T77" s="5"/>
      <c r="U77" s="5"/>
      <c r="V77" s="5"/>
      <c r="W77" s="5"/>
      <c r="X77" s="5"/>
      <c r="Y77" s="5"/>
      <c r="Z77" s="5"/>
      <c r="AA77" s="5"/>
      <c r="AB77" s="191"/>
      <c r="AC77" s="191"/>
      <c r="AD77" s="5"/>
      <c r="AE77" s="5"/>
      <c r="AF77" s="5"/>
      <c r="AG77" s="5"/>
    </row>
    <row r="78" spans="1:33" ht="12.75" customHeight="1">
      <c r="A78">
        <v>0</v>
      </c>
      <c r="B78">
        <v>11</v>
      </c>
      <c r="C78" s="467">
        <f t="shared" si="6"/>
        <v>44866</v>
      </c>
      <c r="D78" s="468">
        <f>INDEX('Monthly Returns'!$B$160:$M$352,MATCH(Tables_annual!C78,'Monthly Returns'!$A$160:$A$352,0),7)</f>
        <v>4.8380303465367348E-2</v>
      </c>
      <c r="E78" s="469">
        <f>INDEX('Monthly Returns'!$M$160:$M$352,MATCH(Tables_annual!C78,'Monthly Returns'!$A$160:$A$352,0),1)</f>
        <v>5.2075200000000002E-2</v>
      </c>
      <c r="F78" s="470">
        <f t="shared" si="5"/>
        <v>1.0483803034653674</v>
      </c>
      <c r="G78" s="470">
        <f t="shared" si="5"/>
        <v>1.0520752</v>
      </c>
      <c r="H78" s="198"/>
      <c r="I78" s="198"/>
      <c r="J78" s="517"/>
      <c r="K78" s="517" t="s">
        <v>1125</v>
      </c>
      <c r="L78" s="517" t="s">
        <v>67</v>
      </c>
      <c r="M78" s="518" t="s">
        <v>1206</v>
      </c>
      <c r="N78" s="519" t="s">
        <v>1207</v>
      </c>
      <c r="O78" s="306"/>
      <c r="P78" s="306"/>
      <c r="Q78" s="215"/>
      <c r="R78" s="5"/>
      <c r="S78" s="5"/>
      <c r="T78" s="5"/>
      <c r="U78" s="5"/>
      <c r="V78" s="5"/>
      <c r="W78" s="5"/>
      <c r="X78" s="5"/>
      <c r="Y78" s="5"/>
      <c r="Z78" s="5"/>
      <c r="AA78" s="5"/>
      <c r="AB78" s="191"/>
      <c r="AC78" s="191"/>
      <c r="AD78" s="5"/>
      <c r="AE78" s="5"/>
      <c r="AF78" s="5"/>
      <c r="AG78" s="5"/>
    </row>
    <row r="79" spans="1:33" ht="12.75" customHeight="1">
      <c r="A79">
        <v>0</v>
      </c>
      <c r="B79">
        <v>12</v>
      </c>
      <c r="C79" s="467">
        <f t="shared" si="6"/>
        <v>44896</v>
      </c>
      <c r="D79" s="468">
        <f>INDEX('Monthly Returns'!$B$160:$M$352,MATCH(Tables_annual!C79,'Monthly Returns'!$A$160:$A$352,0),7)</f>
        <v>-5.6035547300976839E-2</v>
      </c>
      <c r="E79" s="469">
        <f>INDEX('Monthly Returns'!$M$160:$M$352,MATCH(Tables_annual!C79,'Monthly Returns'!$A$160:$A$352,0),1)</f>
        <v>-4.6981800000000004E-2</v>
      </c>
      <c r="F79" s="470">
        <f t="shared" si="5"/>
        <v>0.94396445269902318</v>
      </c>
      <c r="G79" s="470">
        <f t="shared" si="5"/>
        <v>0.95301820000000004</v>
      </c>
      <c r="H79" s="198"/>
      <c r="I79" s="198"/>
      <c r="J79" s="512">
        <v>1</v>
      </c>
      <c r="K79" s="513">
        <f>IF(A68=0,D68,"")</f>
        <v>-5.2888450644536782E-2</v>
      </c>
      <c r="L79" s="514">
        <f>IF(A68=0,E68,"")</f>
        <v>-4.5668800000000009E-2</v>
      </c>
      <c r="M79" s="515">
        <f>IF(K79="","",K79+1)</f>
        <v>0.94711154935546327</v>
      </c>
      <c r="N79" s="515">
        <f>IF(L79="","",L79+1)</f>
        <v>0.95433119999999994</v>
      </c>
      <c r="O79" s="306"/>
      <c r="P79" s="306"/>
      <c r="Q79" s="215"/>
      <c r="R79" s="5"/>
      <c r="S79" s="5"/>
      <c r="T79" s="5"/>
      <c r="U79" s="5"/>
      <c r="V79" s="5"/>
      <c r="W79" s="5"/>
      <c r="X79" s="5"/>
      <c r="Y79" s="5"/>
      <c r="Z79" s="5"/>
      <c r="AA79" s="5"/>
      <c r="AB79" s="191"/>
      <c r="AC79" s="191"/>
      <c r="AD79" s="5"/>
      <c r="AE79" s="5"/>
      <c r="AF79" s="5"/>
      <c r="AG79" s="5"/>
    </row>
    <row r="80" spans="1:33" ht="12.75" customHeight="1">
      <c r="C80" s="5"/>
      <c r="D80" s="5"/>
      <c r="E80" s="5"/>
      <c r="F80" s="5"/>
      <c r="G80" s="217"/>
      <c r="H80" s="198"/>
      <c r="I80" s="198"/>
      <c r="J80" s="512">
        <v>2</v>
      </c>
      <c r="K80" s="513">
        <f>IF(A69=0,D69,"")</f>
        <v>-1.8031477300879548E-2</v>
      </c>
      <c r="L80" s="514">
        <f>IF(A69=0,E69,"")</f>
        <v>-2.6151400000000002E-2</v>
      </c>
      <c r="M80" s="515">
        <f t="shared" ref="M80:N90" si="9">IF(K80="","",K80+1)</f>
        <v>0.98196852269912049</v>
      </c>
      <c r="N80" s="515">
        <f t="shared" si="9"/>
        <v>0.97384859999999995</v>
      </c>
      <c r="O80" s="306"/>
      <c r="P80" s="306"/>
      <c r="Q80" s="215"/>
      <c r="R80" s="5"/>
      <c r="S80" s="5"/>
      <c r="T80" s="5"/>
      <c r="U80" s="5"/>
      <c r="V80" s="5"/>
      <c r="W80" s="5"/>
      <c r="X80" s="5"/>
      <c r="Y80" s="5"/>
      <c r="Z80" s="5"/>
      <c r="AA80" s="5"/>
      <c r="AB80" s="191"/>
      <c r="AC80" s="191"/>
      <c r="AD80" s="5"/>
      <c r="AE80" s="5"/>
      <c r="AF80" s="5"/>
      <c r="AG80" s="5"/>
    </row>
    <row r="81" spans="1:33" ht="12.75" customHeight="1">
      <c r="A81" s="509" t="s">
        <v>1209</v>
      </c>
      <c r="B81" s="509">
        <v>1</v>
      </c>
      <c r="C81" s="5"/>
      <c r="D81" s="5"/>
      <c r="E81" s="5"/>
      <c r="F81" s="5"/>
      <c r="G81" s="217"/>
      <c r="H81" s="198"/>
      <c r="I81" s="198"/>
      <c r="J81" s="512">
        <v>3</v>
      </c>
      <c r="K81" s="513">
        <f t="shared" ref="K81:K89" si="10">IF(A70=0,D70,"")</f>
        <v>3.1077128387478056E-2</v>
      </c>
      <c r="L81" s="514">
        <f t="shared" ref="L81:L90" si="11">IF(A70=0,E70,"")</f>
        <v>2.4123200000000001E-2</v>
      </c>
      <c r="M81" s="515">
        <f t="shared" si="9"/>
        <v>1.031077128387478</v>
      </c>
      <c r="N81" s="515">
        <f t="shared" si="9"/>
        <v>1.0241232</v>
      </c>
      <c r="O81" s="306"/>
      <c r="P81" s="306"/>
      <c r="Q81" s="215"/>
      <c r="R81" s="5"/>
      <c r="S81" s="5"/>
      <c r="T81" s="5"/>
      <c r="U81" s="5"/>
      <c r="V81" s="5"/>
      <c r="W81" s="5"/>
      <c r="X81" s="5"/>
      <c r="Y81" s="5"/>
      <c r="Z81" s="5"/>
      <c r="AA81" s="5"/>
      <c r="AB81" s="191"/>
      <c r="AC81" s="191"/>
      <c r="AD81" s="5"/>
      <c r="AE81" s="5"/>
      <c r="AF81" s="5"/>
      <c r="AG81" s="5"/>
    </row>
    <row r="82" spans="1:33" ht="12.75" customHeight="1">
      <c r="A82" s="509" t="s">
        <v>1210</v>
      </c>
      <c r="B82" s="509">
        <v>2</v>
      </c>
      <c r="C82" s="5"/>
      <c r="D82" s="5"/>
      <c r="E82" s="5"/>
      <c r="F82" s="5"/>
      <c r="G82" s="217"/>
      <c r="H82" s="198"/>
      <c r="I82" s="198"/>
      <c r="J82" s="512">
        <v>4</v>
      </c>
      <c r="K82" s="513">
        <f t="shared" si="10"/>
        <v>-8.8381308472974013E-2</v>
      </c>
      <c r="L82" s="514">
        <f t="shared" si="11"/>
        <v>-7.7349600000000004E-2</v>
      </c>
      <c r="M82" s="515">
        <f t="shared" si="9"/>
        <v>0.91161869152702601</v>
      </c>
      <c r="N82" s="515">
        <f t="shared" si="9"/>
        <v>0.92265039999999998</v>
      </c>
      <c r="O82" s="306"/>
      <c r="P82" s="306"/>
      <c r="Q82" s="215"/>
      <c r="R82" s="5"/>
      <c r="S82" s="5"/>
      <c r="T82" s="5"/>
      <c r="U82" s="5"/>
      <c r="V82" s="5"/>
      <c r="W82" s="5"/>
      <c r="X82" s="5"/>
      <c r="Y82" s="5"/>
      <c r="Z82" s="5"/>
      <c r="AA82" s="5"/>
      <c r="AB82" s="191"/>
      <c r="AC82" s="191"/>
      <c r="AD82" s="5"/>
      <c r="AE82" s="5"/>
      <c r="AF82" s="5"/>
      <c r="AG82" s="5"/>
    </row>
    <row r="83" spans="1:33" ht="12.75" customHeight="1">
      <c r="A83" s="509" t="s">
        <v>1211</v>
      </c>
      <c r="B83" s="509">
        <v>3</v>
      </c>
      <c r="C83" s="5"/>
      <c r="D83" s="5"/>
      <c r="E83" s="5"/>
      <c r="F83" s="5"/>
      <c r="G83" s="217"/>
      <c r="H83" s="198"/>
      <c r="I83" s="198"/>
      <c r="J83" s="516">
        <v>5</v>
      </c>
      <c r="K83" s="513">
        <f t="shared" si="10"/>
        <v>-2.6417375528779746E-3</v>
      </c>
      <c r="L83" s="514">
        <f t="shared" si="11"/>
        <v>1.5060000000000008E-4</v>
      </c>
      <c r="M83" s="515">
        <f t="shared" si="9"/>
        <v>0.997358262447122</v>
      </c>
      <c r="N83" s="515">
        <f t="shared" si="9"/>
        <v>1.0001506</v>
      </c>
      <c r="O83" s="306"/>
      <c r="P83" s="306"/>
      <c r="Q83" s="215"/>
      <c r="R83" s="5"/>
      <c r="S83" s="5"/>
      <c r="T83" s="5"/>
      <c r="U83" s="5"/>
      <c r="V83" s="5"/>
      <c r="W83" s="5"/>
      <c r="X83" s="5"/>
      <c r="Y83" s="5"/>
      <c r="Z83" s="5"/>
      <c r="AA83" s="5"/>
      <c r="AB83" s="191"/>
      <c r="AC83" s="191"/>
      <c r="AD83" s="5"/>
      <c r="AE83" s="5"/>
      <c r="AF83" s="5"/>
      <c r="AG83" s="5"/>
    </row>
    <row r="84" spans="1:33" ht="12.75" customHeight="1">
      <c r="A84" s="509" t="s">
        <v>1212</v>
      </c>
      <c r="B84" s="509">
        <v>4</v>
      </c>
      <c r="C84" s="5"/>
      <c r="D84" s="5"/>
      <c r="E84" s="5"/>
      <c r="F84" s="5"/>
      <c r="G84" s="217"/>
      <c r="H84" s="198"/>
      <c r="I84" s="198"/>
      <c r="J84" s="516">
        <v>6</v>
      </c>
      <c r="K84" s="513">
        <f t="shared" si="10"/>
        <v>-6.686817689545678E-2</v>
      </c>
      <c r="L84" s="514">
        <f t="shared" si="11"/>
        <v>-6.9137400000000002E-2</v>
      </c>
      <c r="M84" s="515">
        <f t="shared" si="9"/>
        <v>0.93313182310454323</v>
      </c>
      <c r="N84" s="515">
        <f t="shared" si="9"/>
        <v>0.93086259999999998</v>
      </c>
      <c r="O84" s="306"/>
      <c r="P84" s="306"/>
      <c r="Q84" s="215"/>
      <c r="R84" s="5"/>
      <c r="S84" s="5"/>
      <c r="T84" s="5"/>
      <c r="U84" s="5"/>
      <c r="V84" s="5"/>
      <c r="W84" s="5"/>
      <c r="X84" s="5"/>
      <c r="Y84" s="5"/>
      <c r="Z84" s="5"/>
      <c r="AA84" s="5"/>
      <c r="AB84" s="191"/>
      <c r="AC84" s="5"/>
      <c r="AD84" s="5"/>
      <c r="AE84" s="5"/>
      <c r="AF84" s="5"/>
      <c r="AG84" s="5"/>
    </row>
    <row r="85" spans="1:33" ht="12.75" customHeight="1">
      <c r="A85" s="509" t="s">
        <v>1213</v>
      </c>
      <c r="B85" s="509">
        <v>5</v>
      </c>
      <c r="C85" s="5"/>
      <c r="D85" s="5"/>
      <c r="E85" s="5"/>
      <c r="F85" s="5"/>
      <c r="G85" s="217"/>
      <c r="H85" s="198"/>
      <c r="I85" s="198"/>
      <c r="J85" s="516">
        <v>7</v>
      </c>
      <c r="K85" s="513">
        <f t="shared" si="10"/>
        <v>8.2932911448164184E-2</v>
      </c>
      <c r="L85" s="514">
        <f t="shared" si="11"/>
        <v>7.8646800000000003E-2</v>
      </c>
      <c r="M85" s="515">
        <f t="shared" si="9"/>
        <v>1.0829329114481643</v>
      </c>
      <c r="N85" s="515">
        <f t="shared" si="9"/>
        <v>1.0786468</v>
      </c>
      <c r="O85" s="306"/>
      <c r="P85" s="306"/>
      <c r="Q85" s="215"/>
      <c r="R85" s="5"/>
      <c r="S85" s="5"/>
      <c r="T85" s="5"/>
      <c r="U85" s="5"/>
      <c r="V85" s="5"/>
      <c r="W85" s="5"/>
      <c r="X85" s="5"/>
      <c r="Y85" s="5"/>
      <c r="Z85" s="5"/>
      <c r="AA85" s="5"/>
      <c r="AB85" s="191"/>
      <c r="AC85" s="5"/>
      <c r="AD85" s="5"/>
      <c r="AE85" s="5"/>
      <c r="AF85" s="5"/>
      <c r="AG85" s="5"/>
    </row>
    <row r="86" spans="1:33" ht="12.75" customHeight="1">
      <c r="A86" s="509" t="s">
        <v>1214</v>
      </c>
      <c r="B86" s="509">
        <v>6</v>
      </c>
      <c r="C86" s="5"/>
      <c r="D86" s="5"/>
      <c r="E86" s="5"/>
      <c r="F86" s="5"/>
      <c r="G86" s="217"/>
      <c r="H86" s="198"/>
      <c r="I86" s="198"/>
      <c r="J86" s="516">
        <v>8</v>
      </c>
      <c r="K86" s="513">
        <f t="shared" si="10"/>
        <v>-4.0304845869031908E-2</v>
      </c>
      <c r="L86" s="514">
        <f t="shared" si="11"/>
        <v>-3.8290600000000001E-2</v>
      </c>
      <c r="M86" s="515">
        <f t="shared" si="9"/>
        <v>0.95969515413096806</v>
      </c>
      <c r="N86" s="515">
        <f t="shared" si="9"/>
        <v>0.96170940000000005</v>
      </c>
      <c r="O86" s="306"/>
      <c r="P86" s="306"/>
      <c r="Q86" s="215"/>
      <c r="R86" s="5"/>
      <c r="S86" s="5"/>
      <c r="T86" s="5"/>
      <c r="U86" s="5"/>
      <c r="V86" s="5"/>
      <c r="W86" s="5"/>
      <c r="X86" s="5"/>
      <c r="Y86" s="5"/>
      <c r="Z86" s="5"/>
      <c r="AA86" s="5"/>
      <c r="AB86" s="191"/>
      <c r="AC86" s="5"/>
      <c r="AD86" s="5"/>
      <c r="AE86" s="5"/>
      <c r="AF86" s="5"/>
      <c r="AG86" s="5"/>
    </row>
    <row r="87" spans="1:33" ht="12.75" customHeight="1">
      <c r="A87" s="509" t="s">
        <v>1215</v>
      </c>
      <c r="B87" s="509">
        <v>7</v>
      </c>
      <c r="C87" s="5"/>
      <c r="D87" s="5"/>
      <c r="E87" s="5"/>
      <c r="F87" s="5"/>
      <c r="G87" s="217"/>
      <c r="H87" s="198"/>
      <c r="I87" s="198"/>
      <c r="J87" s="516">
        <v>9</v>
      </c>
      <c r="K87" s="513">
        <f t="shared" si="10"/>
        <v>-8.7720875295130632E-2</v>
      </c>
      <c r="L87" s="514">
        <f t="shared" si="11"/>
        <v>-8.2321800000000014E-2</v>
      </c>
      <c r="M87" s="515">
        <f t="shared" si="9"/>
        <v>0.91227912470486938</v>
      </c>
      <c r="N87" s="515">
        <f t="shared" si="9"/>
        <v>0.9176782</v>
      </c>
      <c r="O87" s="306"/>
      <c r="P87" s="306"/>
      <c r="Q87" s="215"/>
      <c r="R87" s="5"/>
      <c r="S87" s="5"/>
      <c r="T87" s="5"/>
      <c r="U87" s="5"/>
      <c r="V87" s="5"/>
      <c r="W87" s="5"/>
      <c r="X87" s="5"/>
      <c r="Y87" s="5"/>
      <c r="Z87" s="5"/>
      <c r="AA87" s="5"/>
      <c r="AB87" s="191"/>
      <c r="AC87" s="5"/>
      <c r="AD87" s="5"/>
      <c r="AE87" s="5"/>
      <c r="AF87" s="5"/>
      <c r="AG87" s="5"/>
    </row>
    <row r="88" spans="1:33" ht="12.75" customHeight="1">
      <c r="A88" s="509" t="s">
        <v>1216</v>
      </c>
      <c r="B88" s="509">
        <v>8</v>
      </c>
      <c r="C88" s="5"/>
      <c r="D88" s="5"/>
      <c r="E88" s="5"/>
      <c r="F88" s="5"/>
      <c r="G88" s="217"/>
      <c r="H88" s="198"/>
      <c r="I88" s="198"/>
      <c r="J88" s="516">
        <v>10</v>
      </c>
      <c r="K88" s="513">
        <f t="shared" si="10"/>
        <v>7.3677200215162497E-2</v>
      </c>
      <c r="L88" s="514">
        <f t="shared" si="11"/>
        <v>6.2209400000000012E-2</v>
      </c>
      <c r="M88" s="515">
        <f t="shared" si="9"/>
        <v>1.0736772002151624</v>
      </c>
      <c r="N88" s="515">
        <f t="shared" si="9"/>
        <v>1.0622094</v>
      </c>
      <c r="O88" s="306"/>
      <c r="P88" s="306"/>
      <c r="Q88" s="215"/>
      <c r="R88" s="5"/>
      <c r="S88" s="5"/>
      <c r="T88" s="5"/>
      <c r="U88" s="5"/>
      <c r="V88" s="5"/>
      <c r="W88" s="5"/>
      <c r="X88" s="5"/>
      <c r="Y88" s="5"/>
      <c r="Z88" s="5"/>
      <c r="AA88" s="5"/>
      <c r="AB88" s="191"/>
      <c r="AC88" s="5"/>
      <c r="AD88" s="5"/>
      <c r="AE88" s="5"/>
      <c r="AF88" s="5"/>
      <c r="AG88" s="5"/>
    </row>
    <row r="89" spans="1:33" ht="12.75" customHeight="1">
      <c r="A89" s="509" t="s">
        <v>1217</v>
      </c>
      <c r="B89" s="509">
        <v>9</v>
      </c>
      <c r="C89" s="5"/>
      <c r="D89" s="5"/>
      <c r="E89" s="5"/>
      <c r="F89" s="5"/>
      <c r="G89" s="217"/>
      <c r="H89" s="198"/>
      <c r="I89" s="198"/>
      <c r="J89" s="516">
        <v>11</v>
      </c>
      <c r="K89" s="513">
        <f t="shared" si="10"/>
        <v>4.8380303465367348E-2</v>
      </c>
      <c r="L89" s="514">
        <f t="shared" si="11"/>
        <v>5.2075200000000002E-2</v>
      </c>
      <c r="M89" s="515">
        <f t="shared" si="9"/>
        <v>1.0483803034653674</v>
      </c>
      <c r="N89" s="515">
        <f t="shared" si="9"/>
        <v>1.0520752</v>
      </c>
      <c r="O89" s="306"/>
      <c r="P89" s="306"/>
      <c r="Q89" s="215"/>
      <c r="R89" s="5"/>
      <c r="S89" s="5"/>
      <c r="T89" s="5"/>
      <c r="U89" s="5"/>
      <c r="V89" s="5"/>
      <c r="W89" s="5"/>
      <c r="X89" s="5"/>
      <c r="Y89" s="5"/>
      <c r="Z89" s="5"/>
      <c r="AA89" s="5"/>
      <c r="AB89" s="191"/>
      <c r="AC89" s="5"/>
      <c r="AD89" s="5"/>
      <c r="AE89" s="5"/>
      <c r="AF89" s="5"/>
      <c r="AG89" s="5"/>
    </row>
    <row r="90" spans="1:33" ht="12.75" customHeight="1">
      <c r="A90" s="509" t="s">
        <v>1218</v>
      </c>
      <c r="B90" s="509">
        <v>10</v>
      </c>
      <c r="C90" s="5"/>
      <c r="D90" s="5"/>
      <c r="E90" s="5"/>
      <c r="F90" s="5"/>
      <c r="G90" s="217"/>
      <c r="H90" s="198"/>
      <c r="I90" s="198"/>
      <c r="J90" s="516">
        <v>12</v>
      </c>
      <c r="K90" s="513">
        <f>IF(A79=0,D79,"")</f>
        <v>-5.6035547300976839E-2</v>
      </c>
      <c r="L90" s="514">
        <f t="shared" si="11"/>
        <v>-4.6981800000000004E-2</v>
      </c>
      <c r="M90" s="515">
        <f t="shared" si="9"/>
        <v>0.94396445269902318</v>
      </c>
      <c r="N90" s="515">
        <f t="shared" si="9"/>
        <v>0.95301820000000004</v>
      </c>
      <c r="O90" s="306"/>
      <c r="P90" s="306"/>
      <c r="Q90" s="215"/>
      <c r="R90" s="5"/>
      <c r="S90" s="5"/>
      <c r="T90" s="5"/>
      <c r="U90" s="5"/>
      <c r="V90" s="5"/>
      <c r="W90" s="5"/>
      <c r="X90" s="5"/>
      <c r="Y90" s="5"/>
      <c r="Z90" s="5"/>
      <c r="AA90" s="5"/>
      <c r="AB90" s="191"/>
      <c r="AC90" s="5"/>
      <c r="AD90" s="5"/>
      <c r="AE90" s="5"/>
      <c r="AF90" s="5"/>
      <c r="AG90" s="5"/>
    </row>
    <row r="91" spans="1:33" ht="12.75" customHeight="1">
      <c r="A91" s="509" t="s">
        <v>1219</v>
      </c>
      <c r="B91" s="509">
        <v>11</v>
      </c>
      <c r="C91" s="5"/>
      <c r="D91" s="5"/>
      <c r="E91" s="5"/>
      <c r="F91" s="5"/>
      <c r="G91" s="217"/>
      <c r="H91" s="198"/>
      <c r="I91" s="198"/>
      <c r="J91" s="888"/>
      <c r="K91" s="217"/>
      <c r="L91" s="306"/>
      <c r="M91" s="306"/>
      <c r="N91" s="306"/>
      <c r="O91" s="306"/>
      <c r="P91" s="306"/>
      <c r="Q91" s="215"/>
      <c r="R91" s="5"/>
      <c r="S91" s="5"/>
      <c r="T91" s="5"/>
      <c r="U91" s="5"/>
      <c r="V91" s="5"/>
      <c r="W91" s="5"/>
      <c r="X91" s="5"/>
      <c r="Y91" s="5"/>
      <c r="Z91" s="5"/>
      <c r="AA91" s="5"/>
      <c r="AB91" s="191"/>
      <c r="AC91" s="5"/>
      <c r="AD91" s="5"/>
      <c r="AE91" s="5"/>
      <c r="AF91" s="5"/>
      <c r="AG91" s="5"/>
    </row>
    <row r="92" spans="1:33" ht="12.75" customHeight="1">
      <c r="A92" s="509" t="s">
        <v>1201</v>
      </c>
      <c r="B92" s="509">
        <v>12</v>
      </c>
      <c r="C92" s="178"/>
      <c r="D92" s="5"/>
      <c r="E92" s="191"/>
      <c r="F92" s="5"/>
      <c r="G92" s="222"/>
      <c r="H92" s="197"/>
      <c r="I92" s="197"/>
      <c r="J92" s="216"/>
      <c r="K92" s="216"/>
      <c r="L92" s="888" t="s">
        <v>1220</v>
      </c>
      <c r="M92" s="522">
        <f>PRODUCT(M79:M90)-1</f>
        <v>-0.18038843101664359</v>
      </c>
      <c r="N92" s="522">
        <f>'2020'!M84</f>
        <v>0.16221137595255636</v>
      </c>
      <c r="O92" s="306"/>
      <c r="P92" s="306"/>
      <c r="Q92" s="191"/>
      <c r="R92" s="191"/>
      <c r="S92" s="191"/>
      <c r="T92" s="191"/>
      <c r="U92" s="191"/>
      <c r="V92" s="191"/>
      <c r="W92" s="191"/>
      <c r="X92" s="191"/>
      <c r="Y92" s="191"/>
      <c r="Z92" s="191"/>
      <c r="AA92" s="191"/>
      <c r="AB92" s="191"/>
      <c r="AC92" s="5"/>
      <c r="AD92" s="5"/>
      <c r="AE92" s="5"/>
      <c r="AF92" s="5"/>
      <c r="AG92" s="5"/>
    </row>
    <row r="93" spans="1:33" ht="12.75" customHeight="1">
      <c r="C93" s="223"/>
      <c r="D93" s="191"/>
      <c r="J93">
        <f>COUNT(K78:K90)</f>
        <v>12</v>
      </c>
      <c r="L93" s="523" t="s">
        <v>1221</v>
      </c>
      <c r="M93" s="524">
        <f>STDEV(M79:M90)*12^0.5</f>
        <v>0.2111758440506977</v>
      </c>
      <c r="N93" s="524">
        <f>STDEV(N79:N90)*12^0.5</f>
        <v>0.19529107386443353</v>
      </c>
      <c r="P93" s="306"/>
      <c r="Q93" s="215"/>
      <c r="R93" s="5"/>
      <c r="S93" s="5"/>
      <c r="T93" s="191"/>
      <c r="U93" s="191"/>
      <c r="V93" s="191"/>
      <c r="W93" s="191"/>
      <c r="X93" s="224"/>
      <c r="Y93" s="191"/>
      <c r="Z93" s="191"/>
      <c r="AA93" s="191"/>
      <c r="AB93" s="191"/>
      <c r="AC93" s="5"/>
      <c r="AD93" s="5"/>
      <c r="AE93" s="5"/>
      <c r="AF93" s="5"/>
      <c r="AG93" s="5"/>
    </row>
    <row r="94" spans="1:33" ht="12.75" customHeight="1">
      <c r="C94" s="191"/>
      <c r="D94" s="191"/>
      <c r="L94" s="523" t="s">
        <v>1196</v>
      </c>
      <c r="M94" s="525">
        <f>SLOPE(M79:M90,N79:N90)</f>
        <v>1.0764335122611899</v>
      </c>
      <c r="N94" s="525">
        <f>SLOPE(N79:N90,N79:N90)</f>
        <v>1</v>
      </c>
      <c r="P94" s="306"/>
      <c r="Q94" s="215"/>
      <c r="R94" s="5"/>
      <c r="S94" s="5"/>
      <c r="T94" s="191"/>
      <c r="U94" s="191"/>
      <c r="V94" s="191"/>
      <c r="W94" s="191"/>
      <c r="X94" s="224"/>
      <c r="Y94" s="191"/>
      <c r="Z94" s="191"/>
      <c r="AA94" s="191"/>
      <c r="AB94" s="191"/>
      <c r="AC94" s="5"/>
      <c r="AD94" s="5"/>
      <c r="AE94" s="5"/>
      <c r="AF94" s="5"/>
      <c r="AG94" s="5"/>
    </row>
    <row r="95" spans="1:33" ht="12.75" customHeight="1">
      <c r="C95" s="191"/>
      <c r="D95" s="191"/>
      <c r="L95" s="523" t="s">
        <v>1222</v>
      </c>
      <c r="M95" s="526">
        <f>(M92-$M$98)/M93</f>
        <v>-0.9664383345267813</v>
      </c>
      <c r="N95" s="526">
        <f>(N92-$M$98)/N93</f>
        <v>0.70925605155260552</v>
      </c>
      <c r="P95" s="306"/>
      <c r="Q95" s="215"/>
      <c r="R95" s="5"/>
      <c r="S95" s="5"/>
      <c r="T95" s="191"/>
      <c r="U95" s="191"/>
      <c r="V95" s="191"/>
      <c r="W95" s="191"/>
      <c r="X95" s="224"/>
      <c r="Y95" s="191"/>
      <c r="Z95" s="191"/>
      <c r="AA95" s="191"/>
      <c r="AB95" s="191"/>
      <c r="AC95" s="5"/>
      <c r="AD95" s="5"/>
      <c r="AE95" s="5"/>
      <c r="AF95" s="5"/>
      <c r="AG95" s="5"/>
    </row>
    <row r="96" spans="1:33" ht="12.75" customHeight="1">
      <c r="C96" s="191"/>
      <c r="D96" s="191"/>
      <c r="L96" s="523" t="s">
        <v>1174</v>
      </c>
      <c r="M96" s="524">
        <f>(M92-$M$98)/M94</f>
        <v>-0.18959687587942989</v>
      </c>
      <c r="N96" s="524">
        <f>(N92-$M$98)/N94</f>
        <v>0.13851137595255636</v>
      </c>
      <c r="P96" s="306"/>
      <c r="Q96" s="215"/>
      <c r="R96" s="5"/>
      <c r="S96" s="5"/>
      <c r="T96" s="191"/>
      <c r="U96" s="191"/>
      <c r="V96" s="191"/>
      <c r="W96" s="191"/>
      <c r="X96" s="224"/>
      <c r="Y96" s="191"/>
      <c r="Z96" s="191"/>
      <c r="AA96" s="191"/>
      <c r="AB96" s="191"/>
      <c r="AC96" s="5"/>
      <c r="AD96" s="5"/>
      <c r="AE96" s="5"/>
      <c r="AF96" s="5"/>
      <c r="AG96" s="5"/>
    </row>
    <row r="97" spans="3:33" ht="12.75" customHeight="1">
      <c r="C97" s="191"/>
      <c r="D97" s="80"/>
      <c r="L97" s="511"/>
      <c r="P97" s="306"/>
      <c r="Q97" s="215"/>
      <c r="R97" s="5"/>
      <c r="S97" s="5"/>
      <c r="T97" s="191"/>
      <c r="U97" s="191"/>
      <c r="V97" s="191"/>
      <c r="W97" s="191"/>
      <c r="X97" s="224"/>
      <c r="Y97" s="191"/>
      <c r="Z97" s="191"/>
      <c r="AA97" s="191"/>
      <c r="AB97" s="191"/>
      <c r="AC97" s="5"/>
      <c r="AD97" s="5"/>
      <c r="AE97" s="5"/>
      <c r="AF97" s="5"/>
      <c r="AG97" s="5"/>
    </row>
    <row r="98" spans="3:33" ht="12.75" customHeight="1">
      <c r="C98" s="191"/>
      <c r="D98" s="80"/>
      <c r="L98" s="542" t="s">
        <v>1223</v>
      </c>
      <c r="M98" s="543">
        <v>2.3699999999999999E-2</v>
      </c>
      <c r="P98" s="306"/>
      <c r="Q98" s="215"/>
      <c r="R98" s="5"/>
      <c r="S98" s="5"/>
      <c r="T98" s="191"/>
      <c r="U98" s="191"/>
      <c r="V98" s="191"/>
      <c r="W98" s="191"/>
      <c r="X98" s="191"/>
      <c r="Y98" s="191"/>
      <c r="Z98" s="191"/>
      <c r="AA98" s="191"/>
      <c r="AB98" s="191"/>
      <c r="AC98" s="5"/>
      <c r="AD98" s="5"/>
      <c r="AE98" s="5"/>
      <c r="AF98" s="5"/>
      <c r="AG98" s="5"/>
    </row>
    <row r="99" spans="3:33" ht="12.75" customHeight="1">
      <c r="C99" s="191"/>
      <c r="D99" s="80"/>
      <c r="J99" s="359"/>
      <c r="K99" s="359"/>
      <c r="L99" s="520"/>
      <c r="N99" s="359"/>
      <c r="O99" s="359"/>
      <c r="P99" s="500"/>
      <c r="Q99" s="501"/>
      <c r="R99" s="359"/>
      <c r="S99" s="359"/>
      <c r="T99" s="472"/>
      <c r="U99" s="472"/>
      <c r="V99" s="472"/>
      <c r="W99" s="472"/>
      <c r="X99" s="472"/>
      <c r="Y99" s="191"/>
      <c r="Z99" s="191"/>
      <c r="AA99" s="191"/>
      <c r="AB99" s="191"/>
      <c r="AC99" s="5"/>
      <c r="AD99" s="5"/>
      <c r="AE99" s="5"/>
      <c r="AF99" s="5"/>
      <c r="AG99" s="5"/>
    </row>
    <row r="100" spans="3:33" ht="12.75" customHeight="1">
      <c r="C100" s="191"/>
      <c r="D100" s="80"/>
      <c r="J100" s="450"/>
      <c r="K100" s="502"/>
      <c r="L100" s="520"/>
      <c r="N100" s="500"/>
      <c r="O100" s="500"/>
      <c r="P100" s="500"/>
      <c r="Q100" s="501"/>
      <c r="R100" s="359"/>
      <c r="S100" s="359"/>
      <c r="T100" s="472"/>
      <c r="U100" s="472"/>
      <c r="V100" s="472"/>
      <c r="W100" s="472"/>
      <c r="X100" s="472"/>
      <c r="Y100" s="191"/>
      <c r="Z100" s="191"/>
      <c r="AA100" s="191"/>
      <c r="AB100" s="191"/>
      <c r="AC100" s="5"/>
      <c r="AD100" s="5"/>
      <c r="AE100" s="5"/>
      <c r="AF100" s="5"/>
      <c r="AG100" s="5"/>
    </row>
    <row r="101" spans="3:33" ht="12.75" customHeight="1">
      <c r="D101" s="80"/>
      <c r="J101" s="2081"/>
      <c r="K101" s="1985"/>
      <c r="L101" s="520"/>
      <c r="N101" s="500"/>
      <c r="O101" s="500"/>
      <c r="P101" s="500"/>
      <c r="Q101" s="501"/>
      <c r="R101" s="359"/>
      <c r="S101" s="359"/>
      <c r="T101" s="472"/>
      <c r="U101" s="472"/>
      <c r="V101" s="472"/>
      <c r="W101" s="472"/>
      <c r="X101" s="472"/>
      <c r="Y101" s="191"/>
      <c r="Z101" s="191"/>
      <c r="AA101" s="191"/>
      <c r="AB101" s="191"/>
      <c r="AC101" s="5"/>
      <c r="AD101" s="5"/>
      <c r="AE101" s="5"/>
      <c r="AF101" s="5"/>
      <c r="AG101" s="5"/>
    </row>
    <row r="102" spans="3:33" ht="12.75" customHeight="1">
      <c r="C102" s="191"/>
      <c r="D102" s="80"/>
      <c r="J102" s="503"/>
      <c r="K102" s="502"/>
      <c r="L102" s="521"/>
      <c r="N102" s="504"/>
      <c r="O102" s="504"/>
      <c r="P102" s="504"/>
      <c r="Q102" s="501"/>
      <c r="R102" s="359"/>
      <c r="S102" s="359"/>
      <c r="T102" s="472"/>
      <c r="U102" s="472"/>
      <c r="V102" s="472"/>
      <c r="W102" s="472"/>
      <c r="X102" s="472"/>
      <c r="Y102" s="191"/>
      <c r="Z102" s="191"/>
      <c r="AA102" s="191"/>
      <c r="AB102" s="191"/>
      <c r="AC102" s="5"/>
      <c r="AD102" s="5"/>
      <c r="AE102" s="5"/>
      <c r="AF102" s="5"/>
      <c r="AG102" s="5"/>
    </row>
    <row r="103" spans="3:33" ht="12.75" customHeight="1">
      <c r="C103" s="191"/>
      <c r="D103" s="80"/>
      <c r="J103" s="503"/>
      <c r="K103" s="504"/>
      <c r="L103" s="521"/>
      <c r="N103" s="504"/>
      <c r="O103" s="504"/>
      <c r="P103" s="504"/>
      <c r="Q103" s="501"/>
      <c r="R103" s="359"/>
      <c r="S103" s="359"/>
      <c r="T103" s="472"/>
      <c r="U103" s="472"/>
      <c r="V103" s="472"/>
      <c r="W103" s="472"/>
      <c r="X103" s="472"/>
      <c r="Y103" s="191"/>
      <c r="Z103" s="191"/>
      <c r="AA103" s="191"/>
      <c r="AB103" s="191"/>
      <c r="AC103" s="5"/>
      <c r="AD103" s="5"/>
      <c r="AE103" s="5"/>
      <c r="AF103" s="5"/>
      <c r="AG103" s="5"/>
    </row>
    <row r="104" spans="3:33" ht="12.75" customHeight="1">
      <c r="C104" s="191"/>
      <c r="D104" s="80"/>
      <c r="J104" s="503"/>
      <c r="K104" s="504"/>
      <c r="L104" s="521"/>
      <c r="N104" s="504"/>
      <c r="O104" s="504"/>
      <c r="P104" s="504"/>
      <c r="Q104" s="501"/>
      <c r="R104" s="359"/>
      <c r="S104" s="359"/>
      <c r="T104" s="472"/>
      <c r="U104" s="472"/>
      <c r="V104" s="472"/>
      <c r="W104" s="472"/>
      <c r="X104" s="472"/>
      <c r="Y104" s="191"/>
      <c r="Z104" s="191"/>
      <c r="AA104" s="191"/>
      <c r="AB104" s="191"/>
      <c r="AC104" s="5"/>
      <c r="AD104" s="5"/>
      <c r="AE104" s="5"/>
      <c r="AF104" s="5"/>
      <c r="AG104" s="5"/>
    </row>
    <row r="105" spans="3:33" ht="12.75" customHeight="1">
      <c r="C105" s="191"/>
      <c r="D105" s="80"/>
      <c r="J105" s="505"/>
      <c r="K105" s="502"/>
      <c r="L105" s="472"/>
      <c r="M105" s="504"/>
      <c r="N105" s="504"/>
      <c r="O105" s="504"/>
      <c r="P105" s="504"/>
      <c r="Q105" s="501"/>
      <c r="R105" s="359"/>
      <c r="S105" s="359"/>
      <c r="T105" s="472"/>
      <c r="U105" s="472"/>
      <c r="V105" s="472"/>
      <c r="W105" s="472"/>
      <c r="X105" s="472"/>
      <c r="Y105" s="191"/>
      <c r="Z105" s="191"/>
      <c r="AA105" s="191"/>
      <c r="AB105" s="191"/>
      <c r="AC105" s="5"/>
      <c r="AD105" s="5"/>
      <c r="AE105" s="5"/>
      <c r="AF105" s="5"/>
      <c r="AG105" s="5"/>
    </row>
    <row r="106" spans="3:33" ht="12.75" customHeight="1">
      <c r="C106" s="191"/>
      <c r="D106" s="80"/>
      <c r="J106" s="503"/>
      <c r="K106" s="502"/>
      <c r="L106" s="472"/>
      <c r="M106" s="504"/>
      <c r="N106" s="504"/>
      <c r="O106" s="504"/>
      <c r="P106" s="504"/>
      <c r="Q106" s="501"/>
      <c r="R106" s="359"/>
      <c r="S106" s="359"/>
      <c r="T106" s="472"/>
      <c r="U106" s="472"/>
      <c r="V106" s="472"/>
      <c r="W106" s="472"/>
      <c r="X106" s="472"/>
      <c r="Y106" s="191"/>
      <c r="Z106" s="191"/>
      <c r="AA106" s="191"/>
      <c r="AB106" s="5"/>
      <c r="AC106" s="5"/>
      <c r="AD106" s="5"/>
      <c r="AE106" s="5"/>
      <c r="AF106" s="5"/>
      <c r="AG106" s="5"/>
    </row>
    <row r="107" spans="3:33" ht="12.75" customHeight="1">
      <c r="C107" s="191"/>
      <c r="D107" s="80"/>
      <c r="J107" s="505"/>
      <c r="K107" s="502"/>
      <c r="L107" s="500"/>
      <c r="M107" s="500"/>
      <c r="N107" s="500"/>
      <c r="O107" s="500"/>
      <c r="P107" s="500"/>
      <c r="Q107" s="501"/>
      <c r="R107" s="472"/>
      <c r="S107" s="472"/>
      <c r="T107" s="472"/>
      <c r="U107" s="472"/>
      <c r="V107" s="472"/>
      <c r="W107" s="472"/>
      <c r="X107" s="472"/>
      <c r="Y107" s="191"/>
      <c r="Z107" s="191"/>
      <c r="AA107" s="191"/>
      <c r="AB107" s="5"/>
      <c r="AC107" s="5"/>
      <c r="AD107" s="5"/>
      <c r="AE107" s="5"/>
      <c r="AF107" s="5"/>
      <c r="AG107" s="5"/>
    </row>
    <row r="108" spans="3:33" ht="12.75" customHeight="1">
      <c r="C108" s="191"/>
      <c r="D108" s="80"/>
      <c r="J108" s="503"/>
      <c r="K108" s="504"/>
      <c r="L108" s="500"/>
      <c r="M108" s="500"/>
      <c r="N108" s="500"/>
      <c r="O108" s="500"/>
      <c r="P108" s="500"/>
      <c r="Q108" s="473"/>
      <c r="R108" s="472"/>
      <c r="S108" s="506"/>
      <c r="T108" s="472"/>
      <c r="U108" s="472"/>
      <c r="V108" s="472"/>
      <c r="W108" s="472"/>
      <c r="X108" s="472"/>
      <c r="Y108" s="191"/>
      <c r="Z108" s="191"/>
      <c r="AA108" s="191"/>
      <c r="AB108" s="5"/>
      <c r="AC108" s="5"/>
      <c r="AD108" s="5"/>
      <c r="AE108" s="5"/>
      <c r="AF108" s="5"/>
      <c r="AG108" s="5"/>
    </row>
    <row r="109" spans="3:33" ht="12.75" customHeight="1">
      <c r="C109" s="191"/>
      <c r="D109" s="80"/>
      <c r="J109" s="503"/>
      <c r="K109" s="502"/>
      <c r="L109" s="500"/>
      <c r="M109" s="500"/>
      <c r="N109" s="500"/>
      <c r="O109" s="500"/>
      <c r="P109" s="500"/>
      <c r="Q109" s="473"/>
      <c r="R109" s="472"/>
      <c r="S109" s="506"/>
      <c r="T109" s="472"/>
      <c r="U109" s="472"/>
      <c r="V109" s="472"/>
      <c r="W109" s="472"/>
      <c r="X109" s="472"/>
      <c r="Y109" s="191"/>
      <c r="Z109" s="191"/>
      <c r="AA109" s="191"/>
      <c r="AB109" s="5"/>
      <c r="AC109" s="5"/>
      <c r="AD109" s="5"/>
      <c r="AE109" s="5"/>
      <c r="AF109" s="5"/>
      <c r="AG109" s="5"/>
    </row>
    <row r="110" spans="3:33" ht="12.75" customHeight="1">
      <c r="C110" s="191"/>
      <c r="D110" s="80"/>
      <c r="J110" s="503"/>
      <c r="K110" s="502"/>
      <c r="L110" s="500"/>
      <c r="M110" s="500"/>
      <c r="N110" s="500"/>
      <c r="O110" s="500"/>
      <c r="P110" s="500"/>
      <c r="Q110" s="473"/>
      <c r="R110" s="472"/>
      <c r="S110" s="506"/>
      <c r="T110" s="472"/>
      <c r="U110" s="472"/>
      <c r="V110" s="472"/>
      <c r="W110" s="472"/>
      <c r="X110" s="472"/>
      <c r="Y110" s="191"/>
      <c r="Z110" s="191"/>
      <c r="AA110" s="191"/>
      <c r="AB110" s="5"/>
      <c r="AC110" s="5"/>
      <c r="AD110" s="5"/>
      <c r="AE110" s="5"/>
      <c r="AF110" s="5"/>
      <c r="AG110" s="5"/>
    </row>
    <row r="111" spans="3:33" ht="12.75" customHeight="1">
      <c r="C111" s="191"/>
      <c r="D111" s="80"/>
      <c r="J111" s="503"/>
      <c r="K111" s="502"/>
      <c r="L111" s="500"/>
      <c r="M111" s="500"/>
      <c r="N111" s="500"/>
      <c r="O111" s="500"/>
      <c r="P111" s="500"/>
      <c r="Q111" s="473"/>
      <c r="R111" s="472"/>
      <c r="S111" s="506"/>
      <c r="T111" s="472"/>
      <c r="U111" s="472"/>
      <c r="V111" s="472"/>
      <c r="W111" s="472"/>
      <c r="X111" s="472"/>
      <c r="Y111" s="191"/>
      <c r="Z111" s="191"/>
      <c r="AA111" s="191"/>
      <c r="AB111" s="5"/>
      <c r="AC111" s="5"/>
      <c r="AD111" s="5"/>
      <c r="AE111" s="5"/>
      <c r="AF111" s="5"/>
      <c r="AG111" s="5"/>
    </row>
    <row r="112" spans="3:33" ht="12.75" customHeight="1">
      <c r="C112" s="191"/>
      <c r="D112" s="80"/>
      <c r="E112" s="191"/>
      <c r="F112" s="191"/>
      <c r="G112" s="222"/>
      <c r="H112" s="197"/>
      <c r="I112" s="197"/>
      <c r="J112" s="503"/>
      <c r="K112" s="432"/>
      <c r="L112" s="890"/>
      <c r="M112" s="890"/>
      <c r="N112" s="890"/>
      <c r="O112" s="890"/>
      <c r="P112" s="890"/>
      <c r="Q112" s="890"/>
      <c r="R112" s="890"/>
      <c r="S112" s="472"/>
      <c r="T112" s="472"/>
      <c r="U112" s="472"/>
      <c r="V112" s="472"/>
      <c r="W112" s="472"/>
      <c r="X112" s="472"/>
      <c r="Y112" s="191"/>
      <c r="Z112" s="191"/>
      <c r="AA112" s="191"/>
      <c r="AB112" s="5"/>
      <c r="AC112" s="5"/>
      <c r="AD112" s="5"/>
      <c r="AE112" s="5"/>
      <c r="AF112" s="5"/>
      <c r="AG112" s="5"/>
    </row>
    <row r="113" spans="3:33" ht="12.75" customHeight="1">
      <c r="C113" s="191"/>
      <c r="D113" s="191"/>
      <c r="E113" s="191"/>
      <c r="F113" s="5"/>
      <c r="G113" s="222"/>
      <c r="H113" s="197"/>
      <c r="I113" s="197"/>
      <c r="J113" s="503"/>
      <c r="K113" s="502"/>
      <c r="L113" s="500"/>
      <c r="M113" s="450"/>
      <c r="N113" s="450"/>
      <c r="O113" s="450"/>
      <c r="P113" s="450"/>
      <c r="Q113" s="450"/>
      <c r="R113" s="473"/>
      <c r="S113" s="472"/>
      <c r="T113" s="472"/>
      <c r="U113" s="472"/>
      <c r="V113" s="472"/>
      <c r="W113" s="472"/>
      <c r="X113" s="472"/>
      <c r="Y113" s="191"/>
      <c r="Z113" s="191"/>
      <c r="AA113" s="191"/>
      <c r="AB113" s="5"/>
      <c r="AC113" s="5"/>
      <c r="AD113" s="5"/>
      <c r="AE113" s="5"/>
      <c r="AF113" s="5"/>
      <c r="AG113" s="5"/>
    </row>
    <row r="114" spans="3:33" ht="12.75" customHeight="1">
      <c r="C114" s="5"/>
      <c r="I114" s="197"/>
      <c r="J114" s="503"/>
      <c r="K114" s="473"/>
      <c r="L114" s="890"/>
      <c r="M114" s="889"/>
      <c r="N114" s="500"/>
      <c r="O114" s="500"/>
      <c r="P114" s="450"/>
      <c r="Q114" s="450"/>
      <c r="R114" s="450"/>
      <c r="S114" s="472"/>
      <c r="T114" s="472"/>
      <c r="U114" s="472"/>
      <c r="V114" s="472"/>
      <c r="W114" s="472"/>
      <c r="X114" s="472"/>
      <c r="Y114" s="191"/>
      <c r="Z114" s="191"/>
      <c r="AA114" s="191"/>
      <c r="AB114" s="5"/>
      <c r="AC114" s="5"/>
      <c r="AD114" s="5"/>
      <c r="AE114" s="5"/>
      <c r="AF114" s="5"/>
      <c r="AG114" s="5"/>
    </row>
    <row r="115" spans="3:33" ht="12.75" customHeight="1">
      <c r="C115" s="5"/>
      <c r="I115" s="197"/>
      <c r="J115" s="450"/>
      <c r="K115" s="473"/>
      <c r="L115" s="890"/>
      <c r="M115" s="450"/>
      <c r="N115" s="450"/>
      <c r="O115" s="450"/>
      <c r="P115" s="450"/>
      <c r="Q115" s="450"/>
      <c r="R115" s="450"/>
      <c r="S115" s="472"/>
      <c r="T115" s="472"/>
      <c r="U115" s="504"/>
      <c r="V115" s="504"/>
      <c r="W115" s="472"/>
      <c r="X115" s="472"/>
      <c r="Y115" s="191"/>
      <c r="Z115" s="191"/>
      <c r="AA115" s="191"/>
      <c r="AB115" s="5"/>
      <c r="AC115" s="5"/>
      <c r="AD115" s="5"/>
      <c r="AE115" s="5"/>
      <c r="AF115" s="5"/>
      <c r="AG115" s="5"/>
    </row>
    <row r="116" spans="3:33" ht="12.75" customHeight="1">
      <c r="C116" s="5"/>
      <c r="I116" s="197"/>
      <c r="J116" s="450"/>
      <c r="K116" s="473"/>
      <c r="L116" s="890"/>
      <c r="M116" s="450"/>
      <c r="N116" s="450"/>
      <c r="O116" s="450"/>
      <c r="P116" s="450"/>
      <c r="Q116" s="450"/>
      <c r="R116" s="450"/>
      <c r="S116" s="472"/>
      <c r="T116" s="472"/>
      <c r="U116" s="504"/>
      <c r="V116" s="504"/>
      <c r="W116" s="472"/>
      <c r="X116" s="472"/>
      <c r="Y116" s="191"/>
      <c r="Z116" s="191"/>
      <c r="AA116" s="191"/>
      <c r="AB116" s="5"/>
      <c r="AC116" s="5"/>
      <c r="AD116" s="5"/>
      <c r="AE116" s="5"/>
      <c r="AF116" s="5"/>
      <c r="AG116" s="5"/>
    </row>
    <row r="117" spans="3:33" ht="12.75" customHeight="1">
      <c r="C117" s="191"/>
      <c r="D117" s="191"/>
      <c r="E117" s="191"/>
      <c r="F117" s="191"/>
      <c r="G117" s="222"/>
      <c r="H117" s="197"/>
      <c r="I117" s="197"/>
      <c r="J117" s="450"/>
      <c r="K117" s="473"/>
      <c r="L117" s="890"/>
      <c r="M117" s="450"/>
      <c r="N117" s="450"/>
      <c r="O117" s="450"/>
      <c r="P117" s="450"/>
      <c r="Q117" s="450"/>
      <c r="R117" s="450"/>
      <c r="S117" s="472"/>
      <c r="T117" s="472"/>
      <c r="U117" s="504"/>
      <c r="V117" s="504"/>
      <c r="W117" s="472"/>
      <c r="X117" s="472"/>
      <c r="Y117" s="191"/>
      <c r="Z117" s="191"/>
      <c r="AA117" s="191"/>
      <c r="AB117" s="5"/>
      <c r="AC117" s="5"/>
      <c r="AD117" s="5"/>
      <c r="AE117" s="5"/>
      <c r="AF117" s="5"/>
      <c r="AG117" s="5"/>
    </row>
    <row r="118" spans="3:33" ht="12.75" customHeight="1">
      <c r="C118" s="191"/>
      <c r="D118" s="191"/>
      <c r="E118" s="191"/>
      <c r="F118" s="191"/>
      <c r="G118" s="222"/>
      <c r="H118" s="197"/>
      <c r="I118" s="197"/>
      <c r="J118" s="450"/>
      <c r="K118" s="473"/>
      <c r="L118" s="890"/>
      <c r="M118" s="450"/>
      <c r="N118" s="450"/>
      <c r="O118" s="450"/>
      <c r="P118" s="450"/>
      <c r="Q118" s="450"/>
      <c r="R118" s="450"/>
      <c r="S118" s="472"/>
      <c r="T118" s="472"/>
      <c r="U118" s="504"/>
      <c r="V118" s="504"/>
      <c r="W118" s="472"/>
      <c r="X118" s="472"/>
      <c r="Y118" s="191"/>
      <c r="Z118" s="191"/>
      <c r="AA118" s="191"/>
      <c r="AB118" s="5"/>
      <c r="AC118" s="5"/>
      <c r="AD118" s="5"/>
      <c r="AE118" s="5"/>
      <c r="AF118" s="5"/>
      <c r="AG118" s="5"/>
    </row>
    <row r="119" spans="3:33" ht="12.75" customHeight="1">
      <c r="C119" s="191"/>
      <c r="D119" s="191"/>
      <c r="E119" s="191"/>
      <c r="F119" s="191"/>
      <c r="G119" s="222"/>
      <c r="H119" s="197"/>
      <c r="I119" s="197"/>
      <c r="J119" s="450"/>
      <c r="K119" s="473"/>
      <c r="L119" s="890"/>
      <c r="M119" s="450"/>
      <c r="N119" s="450"/>
      <c r="O119" s="450"/>
      <c r="P119" s="450"/>
      <c r="Q119" s="450"/>
      <c r="R119" s="450"/>
      <c r="S119" s="472"/>
      <c r="T119" s="472"/>
      <c r="U119" s="504"/>
      <c r="V119" s="504"/>
      <c r="W119" s="472"/>
      <c r="X119" s="472"/>
      <c r="Y119" s="191"/>
      <c r="Z119" s="191"/>
      <c r="AA119" s="191"/>
      <c r="AB119" s="5"/>
      <c r="AC119" s="5"/>
      <c r="AD119" s="5"/>
      <c r="AE119" s="5"/>
      <c r="AF119" s="5"/>
      <c r="AG119" s="5"/>
    </row>
    <row r="120" spans="3:33" ht="12.75" customHeight="1">
      <c r="C120" s="191"/>
      <c r="D120" s="191"/>
      <c r="E120" s="191"/>
      <c r="F120" s="191"/>
      <c r="G120" s="222"/>
      <c r="H120" s="197"/>
      <c r="I120" s="197"/>
      <c r="J120" s="450"/>
      <c r="K120" s="473"/>
      <c r="L120" s="890"/>
      <c r="M120" s="450"/>
      <c r="N120" s="450"/>
      <c r="O120" s="450"/>
      <c r="P120" s="450"/>
      <c r="Q120" s="450"/>
      <c r="R120" s="450"/>
      <c r="S120" s="472"/>
      <c r="T120" s="472"/>
      <c r="U120" s="504"/>
      <c r="V120" s="504"/>
      <c r="W120" s="472"/>
      <c r="X120" s="472"/>
      <c r="Y120" s="191"/>
      <c r="Z120" s="191"/>
      <c r="AA120" s="191"/>
      <c r="AB120" s="5"/>
      <c r="AC120" s="5"/>
      <c r="AD120" s="5"/>
      <c r="AE120" s="5"/>
      <c r="AF120" s="5"/>
      <c r="AG120" s="5"/>
    </row>
    <row r="121" spans="3:33" ht="12.75" customHeight="1">
      <c r="C121" s="191"/>
      <c r="D121" s="191"/>
      <c r="E121" s="191"/>
      <c r="F121" s="191"/>
      <c r="G121" s="222"/>
      <c r="H121" s="197"/>
      <c r="I121" s="197"/>
      <c r="J121" s="450"/>
      <c r="K121" s="473"/>
      <c r="L121" s="890"/>
      <c r="M121" s="450"/>
      <c r="N121" s="450"/>
      <c r="O121" s="450"/>
      <c r="P121" s="450"/>
      <c r="Q121" s="450"/>
      <c r="R121" s="450"/>
      <c r="S121" s="472"/>
      <c r="T121" s="472"/>
      <c r="U121" s="504"/>
      <c r="V121" s="504"/>
      <c r="W121" s="472"/>
      <c r="X121" s="472"/>
      <c r="Y121" s="191"/>
      <c r="Z121" s="191"/>
      <c r="AA121" s="191"/>
      <c r="AB121" s="5"/>
      <c r="AC121" s="5"/>
      <c r="AD121" s="5"/>
      <c r="AE121" s="5"/>
      <c r="AF121" s="5"/>
      <c r="AG121" s="5"/>
    </row>
    <row r="122" spans="3:33" ht="12.75" customHeight="1">
      <c r="C122" s="191"/>
      <c r="D122" s="191"/>
      <c r="E122" s="191"/>
      <c r="F122" s="191"/>
      <c r="G122" s="222"/>
      <c r="H122" s="197"/>
      <c r="I122" s="197"/>
      <c r="J122" s="450"/>
      <c r="K122" s="473"/>
      <c r="L122" s="890"/>
      <c r="M122" s="450"/>
      <c r="N122" s="450"/>
      <c r="O122" s="450"/>
      <c r="P122" s="450"/>
      <c r="Q122" s="450"/>
      <c r="R122" s="450"/>
      <c r="S122" s="472"/>
      <c r="T122" s="472"/>
      <c r="U122" s="504"/>
      <c r="V122" s="504"/>
      <c r="W122" s="472"/>
      <c r="X122" s="472"/>
      <c r="Y122" s="191"/>
      <c r="Z122" s="191"/>
      <c r="AA122" s="191"/>
      <c r="AB122" s="5"/>
      <c r="AC122" s="5"/>
      <c r="AD122" s="5"/>
      <c r="AE122" s="5"/>
      <c r="AF122" s="5"/>
      <c r="AG122" s="5"/>
    </row>
    <row r="123" spans="3:33" ht="12.75" customHeight="1">
      <c r="C123" s="191"/>
      <c r="D123" s="191"/>
      <c r="E123" s="191"/>
      <c r="F123" s="191"/>
      <c r="G123" s="222"/>
      <c r="H123" s="197"/>
      <c r="I123" s="197"/>
      <c r="J123" s="450"/>
      <c r="K123" s="473"/>
      <c r="L123" s="890"/>
      <c r="M123" s="450"/>
      <c r="N123" s="450"/>
      <c r="O123" s="450"/>
      <c r="P123" s="450"/>
      <c r="Q123" s="450"/>
      <c r="R123" s="450"/>
      <c r="S123" s="472"/>
      <c r="T123" s="472"/>
      <c r="U123" s="504"/>
      <c r="V123" s="504"/>
      <c r="W123" s="472"/>
      <c r="X123" s="472"/>
      <c r="Y123" s="191"/>
      <c r="Z123" s="191"/>
      <c r="AA123" s="191"/>
      <c r="AB123" s="5"/>
      <c r="AC123" s="5"/>
      <c r="AD123" s="5"/>
      <c r="AE123" s="5"/>
      <c r="AF123" s="5"/>
      <c r="AG123" s="5"/>
    </row>
    <row r="124" spans="3:33" ht="12.75" customHeight="1">
      <c r="C124" s="191"/>
      <c r="D124" s="191"/>
      <c r="E124" s="191"/>
      <c r="F124" s="191"/>
      <c r="G124" s="222"/>
      <c r="H124" s="197"/>
      <c r="I124" s="197"/>
      <c r="J124" s="450"/>
      <c r="K124" s="473"/>
      <c r="L124" s="890"/>
      <c r="M124" s="450"/>
      <c r="N124" s="450"/>
      <c r="O124" s="450"/>
      <c r="P124" s="450"/>
      <c r="Q124" s="450"/>
      <c r="R124" s="450"/>
      <c r="S124" s="472"/>
      <c r="T124" s="472"/>
      <c r="U124" s="504"/>
      <c r="V124" s="504"/>
      <c r="W124" s="472"/>
      <c r="X124" s="472"/>
      <c r="Y124" s="191"/>
      <c r="Z124" s="191"/>
      <c r="AA124" s="191"/>
      <c r="AB124" s="5"/>
      <c r="AC124" s="5"/>
      <c r="AD124" s="5"/>
      <c r="AE124" s="5"/>
      <c r="AF124" s="5"/>
      <c r="AG124" s="5"/>
    </row>
    <row r="125" spans="3:33" ht="12.75" customHeight="1">
      <c r="C125" s="191"/>
      <c r="D125" s="191"/>
      <c r="E125" s="191"/>
      <c r="F125" s="191"/>
      <c r="G125" s="222"/>
      <c r="H125" s="197"/>
      <c r="I125" s="197"/>
      <c r="J125" s="450"/>
      <c r="K125" s="473"/>
      <c r="L125" s="890"/>
      <c r="M125" s="450"/>
      <c r="N125" s="450"/>
      <c r="O125" s="450"/>
      <c r="P125" s="450"/>
      <c r="Q125" s="450"/>
      <c r="R125" s="450"/>
      <c r="S125" s="472"/>
      <c r="T125" s="472"/>
      <c r="U125" s="504"/>
      <c r="V125" s="504"/>
      <c r="W125" s="472"/>
      <c r="X125" s="472"/>
      <c r="Y125" s="191"/>
      <c r="Z125" s="191"/>
      <c r="AA125" s="191"/>
      <c r="AB125" s="5"/>
      <c r="AC125" s="5"/>
      <c r="AD125" s="5"/>
      <c r="AE125" s="5"/>
      <c r="AF125" s="5"/>
      <c r="AG125" s="5"/>
    </row>
    <row r="126" spans="3:33" ht="12.75" customHeight="1">
      <c r="C126" s="191"/>
      <c r="D126" s="191"/>
      <c r="E126" s="191"/>
      <c r="F126" s="191"/>
      <c r="G126" s="222"/>
      <c r="H126" s="197"/>
      <c r="I126" s="197"/>
      <c r="J126" s="450"/>
      <c r="K126" s="473"/>
      <c r="L126" s="890"/>
      <c r="M126" s="450"/>
      <c r="N126" s="450"/>
      <c r="O126" s="450"/>
      <c r="P126" s="450"/>
      <c r="Q126" s="450"/>
      <c r="R126" s="450"/>
      <c r="S126" s="472"/>
      <c r="T126" s="472"/>
      <c r="U126" s="504"/>
      <c r="V126" s="504"/>
      <c r="W126" s="472"/>
      <c r="X126" s="472"/>
      <c r="Y126" s="191"/>
      <c r="Z126" s="191"/>
      <c r="AA126" s="191"/>
      <c r="AB126" s="5"/>
      <c r="AC126" s="5"/>
      <c r="AD126" s="5"/>
      <c r="AE126" s="5"/>
      <c r="AF126" s="5"/>
      <c r="AG126" s="5"/>
    </row>
    <row r="127" spans="3:33" ht="12.75" customHeight="1">
      <c r="C127" s="191"/>
      <c r="D127" s="191"/>
      <c r="E127" s="191"/>
      <c r="F127" s="191"/>
      <c r="G127" s="222"/>
      <c r="H127" s="197"/>
      <c r="I127" s="197"/>
      <c r="J127" s="450"/>
      <c r="K127" s="473"/>
      <c r="L127" s="890"/>
      <c r="M127" s="450"/>
      <c r="N127" s="450"/>
      <c r="O127" s="450"/>
      <c r="P127" s="450"/>
      <c r="Q127" s="450"/>
      <c r="R127" s="450"/>
      <c r="S127" s="472"/>
      <c r="T127" s="472"/>
      <c r="U127" s="504"/>
      <c r="V127" s="504"/>
      <c r="W127" s="472"/>
      <c r="X127" s="472"/>
      <c r="Y127" s="191"/>
      <c r="Z127" s="191"/>
      <c r="AA127" s="191"/>
      <c r="AB127" s="5"/>
      <c r="AC127" s="5"/>
      <c r="AD127" s="5"/>
      <c r="AE127" s="5"/>
      <c r="AF127" s="5"/>
      <c r="AG127" s="5"/>
    </row>
    <row r="128" spans="3:33" ht="12.75" customHeight="1">
      <c r="C128" s="191"/>
      <c r="D128" s="191"/>
      <c r="E128" s="191"/>
      <c r="F128" s="191"/>
      <c r="G128" s="222"/>
      <c r="H128" s="197"/>
      <c r="I128" s="197"/>
      <c r="J128" s="450"/>
      <c r="K128" s="473"/>
      <c r="L128" s="890"/>
      <c r="M128" s="450"/>
      <c r="N128" s="450"/>
      <c r="O128" s="450"/>
      <c r="P128" s="450"/>
      <c r="Q128" s="450"/>
      <c r="R128" s="450"/>
      <c r="S128" s="472"/>
      <c r="T128" s="472"/>
      <c r="U128" s="504"/>
      <c r="V128" s="504"/>
      <c r="W128" s="472"/>
      <c r="X128" s="472"/>
      <c r="Y128" s="191"/>
      <c r="Z128" s="191"/>
      <c r="AA128" s="191"/>
      <c r="AB128" s="5"/>
      <c r="AC128" s="5"/>
      <c r="AD128" s="5"/>
      <c r="AE128" s="5"/>
      <c r="AF128" s="5"/>
      <c r="AG128" s="5"/>
    </row>
    <row r="129" spans="3:33" ht="12.75" customHeight="1">
      <c r="C129" s="191"/>
      <c r="D129" s="191"/>
      <c r="E129" s="191"/>
      <c r="F129" s="191"/>
      <c r="G129" s="222"/>
      <c r="H129" s="197"/>
      <c r="I129" s="197"/>
      <c r="J129" s="450"/>
      <c r="K129" s="473"/>
      <c r="L129" s="890"/>
      <c r="M129" s="450"/>
      <c r="N129" s="450"/>
      <c r="O129" s="450"/>
      <c r="P129" s="450"/>
      <c r="Q129" s="450"/>
      <c r="R129" s="450"/>
      <c r="S129" s="472"/>
      <c r="T129" s="472"/>
      <c r="U129" s="504"/>
      <c r="V129" s="504"/>
      <c r="W129" s="472"/>
      <c r="X129" s="472"/>
      <c r="Y129" s="191"/>
      <c r="Z129" s="191"/>
      <c r="AA129" s="191"/>
      <c r="AB129" s="5"/>
      <c r="AC129" s="5"/>
      <c r="AD129" s="5"/>
      <c r="AE129" s="5"/>
      <c r="AF129" s="5"/>
      <c r="AG129" s="5"/>
    </row>
    <row r="130" spans="3:33" ht="12.75" customHeight="1">
      <c r="C130" s="191"/>
      <c r="D130" s="191"/>
      <c r="E130" s="191"/>
      <c r="F130" s="191"/>
      <c r="G130" s="222"/>
      <c r="H130" s="197"/>
      <c r="I130" s="197"/>
      <c r="J130" s="450"/>
      <c r="K130" s="473"/>
      <c r="L130" s="890"/>
      <c r="M130" s="889"/>
      <c r="N130" s="450"/>
      <c r="O130" s="450"/>
      <c r="P130" s="450"/>
      <c r="Q130" s="889"/>
      <c r="R130" s="450"/>
      <c r="S130" s="472"/>
      <c r="T130" s="472"/>
      <c r="U130" s="504"/>
      <c r="V130" s="472"/>
      <c r="W130" s="472"/>
      <c r="X130" s="472"/>
      <c r="Y130" s="191"/>
      <c r="Z130" s="191"/>
      <c r="AA130" s="191"/>
      <c r="AB130" s="5"/>
      <c r="AC130" s="5"/>
      <c r="AD130" s="5"/>
      <c r="AE130" s="5"/>
      <c r="AF130" s="5"/>
      <c r="AG130" s="5"/>
    </row>
    <row r="131" spans="3:33" ht="12.75" customHeight="1">
      <c r="C131" s="191"/>
      <c r="D131" s="191"/>
      <c r="E131" s="191"/>
      <c r="F131" s="191"/>
      <c r="G131" s="222"/>
      <c r="H131" s="197"/>
      <c r="I131" s="197"/>
      <c r="J131" s="450"/>
      <c r="K131" s="473"/>
      <c r="L131" s="890"/>
      <c r="M131" s="889"/>
      <c r="N131" s="450"/>
      <c r="O131" s="450"/>
      <c r="P131" s="450"/>
      <c r="Q131" s="889"/>
      <c r="R131" s="450"/>
      <c r="S131" s="472"/>
      <c r="T131" s="472"/>
      <c r="U131" s="504"/>
      <c r="V131" s="504"/>
      <c r="W131" s="472"/>
      <c r="X131" s="472"/>
      <c r="Y131" s="191"/>
      <c r="Z131" s="191"/>
      <c r="AA131" s="191"/>
      <c r="AB131" s="5"/>
      <c r="AC131" s="5"/>
      <c r="AD131" s="5"/>
      <c r="AE131" s="5"/>
      <c r="AF131" s="5"/>
      <c r="AG131" s="5"/>
    </row>
    <row r="132" spans="3:33" ht="12.75" customHeight="1">
      <c r="C132" s="191"/>
      <c r="D132" s="191"/>
      <c r="E132" s="191"/>
      <c r="F132" s="191"/>
      <c r="G132" s="222"/>
      <c r="H132" s="197"/>
      <c r="I132" s="197"/>
      <c r="J132" s="450"/>
      <c r="K132" s="473"/>
      <c r="L132" s="890"/>
      <c r="M132" s="889"/>
      <c r="N132" s="450"/>
      <c r="O132" s="450"/>
      <c r="P132" s="450"/>
      <c r="Q132" s="889"/>
      <c r="R132" s="450"/>
      <c r="S132" s="472"/>
      <c r="T132" s="472"/>
      <c r="U132" s="504"/>
      <c r="V132" s="504"/>
      <c r="W132" s="472"/>
      <c r="X132" s="472"/>
      <c r="Y132" s="191"/>
      <c r="Z132" s="191"/>
      <c r="AA132" s="191"/>
      <c r="AB132" s="5"/>
      <c r="AC132" s="5"/>
      <c r="AD132" s="5"/>
      <c r="AE132" s="5"/>
      <c r="AF132" s="5"/>
      <c r="AG132" s="5"/>
    </row>
    <row r="133" spans="3:33" ht="12.75" customHeight="1">
      <c r="C133" s="191"/>
      <c r="D133" s="191"/>
      <c r="E133" s="191"/>
      <c r="F133" s="191"/>
      <c r="G133" s="222"/>
      <c r="H133" s="197"/>
      <c r="I133" s="197"/>
      <c r="J133" s="450"/>
      <c r="K133" s="473"/>
      <c r="L133" s="890"/>
      <c r="M133" s="889"/>
      <c r="N133" s="450"/>
      <c r="O133" s="890"/>
      <c r="P133" s="450"/>
      <c r="Q133" s="889"/>
      <c r="R133" s="450"/>
      <c r="S133" s="472"/>
      <c r="T133" s="472"/>
      <c r="U133" s="472"/>
      <c r="V133" s="472"/>
      <c r="W133" s="472"/>
      <c r="X133" s="472"/>
      <c r="Y133" s="191"/>
      <c r="Z133" s="191"/>
      <c r="AA133" s="191"/>
      <c r="AB133" s="5"/>
      <c r="AC133" s="5"/>
      <c r="AD133" s="5"/>
      <c r="AE133" s="5"/>
      <c r="AF133" s="5"/>
      <c r="AG133" s="5"/>
    </row>
    <row r="134" spans="3:33" ht="12.75" customHeight="1">
      <c r="C134" s="191"/>
      <c r="D134" s="191"/>
      <c r="E134" s="191"/>
      <c r="F134" s="191"/>
      <c r="G134" s="222"/>
      <c r="H134" s="197"/>
      <c r="I134" s="197"/>
      <c r="J134" s="450"/>
      <c r="K134" s="473"/>
      <c r="L134" s="890"/>
      <c r="M134" s="889"/>
      <c r="N134" s="450"/>
      <c r="O134" s="890"/>
      <c r="P134" s="450"/>
      <c r="Q134" s="889"/>
      <c r="R134" s="450"/>
      <c r="S134" s="472"/>
      <c r="T134" s="472"/>
      <c r="U134" s="472"/>
      <c r="V134" s="472"/>
      <c r="W134" s="472"/>
      <c r="X134" s="472"/>
      <c r="Y134" s="191"/>
      <c r="Z134" s="191"/>
      <c r="AA134" s="191"/>
      <c r="AB134" s="5"/>
      <c r="AC134" s="5"/>
      <c r="AD134" s="5"/>
      <c r="AE134" s="5"/>
      <c r="AF134" s="5"/>
      <c r="AG134" s="5"/>
    </row>
    <row r="135" spans="3:33" ht="12.75" customHeight="1">
      <c r="C135" s="191"/>
      <c r="D135" s="191"/>
      <c r="E135" s="191"/>
      <c r="F135" s="191"/>
      <c r="G135" s="222"/>
      <c r="H135" s="197"/>
      <c r="I135" s="197"/>
      <c r="J135" s="450"/>
      <c r="K135" s="473"/>
      <c r="L135" s="890"/>
      <c r="M135" s="889"/>
      <c r="N135" s="450"/>
      <c r="O135" s="890"/>
      <c r="P135" s="450"/>
      <c r="Q135" s="889"/>
      <c r="R135" s="450"/>
      <c r="S135" s="472"/>
      <c r="T135" s="472"/>
      <c r="U135" s="472"/>
      <c r="V135" s="472"/>
      <c r="W135" s="472"/>
      <c r="X135" s="472"/>
      <c r="Y135" s="191"/>
      <c r="Z135" s="191"/>
      <c r="AA135" s="191"/>
      <c r="AB135" s="5"/>
      <c r="AC135" s="5"/>
      <c r="AD135" s="5"/>
      <c r="AE135" s="5"/>
      <c r="AF135" s="5"/>
      <c r="AG135" s="5"/>
    </row>
    <row r="136" spans="3:33" ht="12.75" customHeight="1">
      <c r="C136" s="191"/>
      <c r="D136" s="191"/>
      <c r="E136" s="191"/>
      <c r="F136" s="191"/>
      <c r="G136" s="222"/>
      <c r="H136" s="197"/>
      <c r="I136" s="197"/>
      <c r="J136" s="450"/>
      <c r="K136" s="502"/>
      <c r="L136" s="890"/>
      <c r="M136" s="889"/>
      <c r="N136" s="450"/>
      <c r="O136" s="890"/>
      <c r="P136" s="450"/>
      <c r="Q136" s="889"/>
      <c r="R136" s="450"/>
      <c r="S136" s="472"/>
      <c r="T136" s="472"/>
      <c r="U136" s="472"/>
      <c r="V136" s="472"/>
      <c r="W136" s="472"/>
      <c r="X136" s="472"/>
      <c r="Y136" s="191"/>
      <c r="Z136" s="191"/>
      <c r="AA136" s="191"/>
      <c r="AB136" s="5"/>
      <c r="AC136" s="5"/>
      <c r="AD136" s="5"/>
      <c r="AE136" s="5"/>
      <c r="AF136" s="5"/>
      <c r="AG136" s="5"/>
    </row>
    <row r="137" spans="3:33" ht="12.75" customHeight="1">
      <c r="C137" s="191"/>
      <c r="D137" s="191"/>
      <c r="E137" s="191"/>
      <c r="F137" s="191"/>
      <c r="G137" s="222"/>
      <c r="H137" s="197"/>
      <c r="I137" s="197"/>
      <c r="J137" s="450"/>
      <c r="K137" s="502"/>
      <c r="L137" s="890"/>
      <c r="M137" s="889"/>
      <c r="N137" s="450"/>
      <c r="O137" s="890"/>
      <c r="P137" s="450"/>
      <c r="Q137" s="889"/>
      <c r="R137" s="450"/>
      <c r="S137" s="472"/>
      <c r="T137" s="472"/>
      <c r="U137" s="472"/>
      <c r="V137" s="472"/>
      <c r="W137" s="472"/>
      <c r="X137" s="472"/>
      <c r="Y137" s="191"/>
      <c r="Z137" s="191"/>
      <c r="AA137" s="191"/>
      <c r="AB137" s="5"/>
      <c r="AC137" s="5"/>
      <c r="AD137" s="5"/>
      <c r="AE137" s="5"/>
      <c r="AF137" s="5"/>
      <c r="AG137" s="5"/>
    </row>
    <row r="138" spans="3:33" ht="12.75" customHeight="1">
      <c r="C138" s="191"/>
      <c r="D138" s="191"/>
      <c r="E138" s="191"/>
      <c r="F138" s="191"/>
      <c r="G138" s="222"/>
      <c r="H138" s="197"/>
      <c r="I138" s="197"/>
      <c r="J138" s="450"/>
      <c r="K138" s="502"/>
      <c r="L138" s="890"/>
      <c r="M138" s="450"/>
      <c r="N138" s="450"/>
      <c r="O138" s="450"/>
      <c r="P138" s="450"/>
      <c r="Q138" s="473"/>
      <c r="R138" s="472"/>
      <c r="S138" s="472"/>
      <c r="T138" s="472"/>
      <c r="U138" s="472"/>
      <c r="V138" s="472"/>
      <c r="W138" s="472"/>
      <c r="X138" s="472"/>
      <c r="Y138" s="191"/>
      <c r="Z138" s="191"/>
      <c r="AA138" s="191"/>
      <c r="AB138" s="5"/>
      <c r="AC138" s="5"/>
      <c r="AD138" s="5"/>
      <c r="AE138" s="5"/>
      <c r="AF138" s="5"/>
      <c r="AG138" s="5"/>
    </row>
    <row r="139" spans="3:33" ht="12.75" customHeight="1">
      <c r="C139" s="191"/>
      <c r="D139" s="191"/>
      <c r="E139" s="246"/>
      <c r="F139" s="246"/>
      <c r="G139" s="246"/>
      <c r="H139" s="197"/>
      <c r="I139" s="197"/>
      <c r="J139" s="450"/>
      <c r="K139" s="502"/>
      <c r="L139" s="890"/>
      <c r="M139" s="450"/>
      <c r="N139" s="450"/>
      <c r="O139" s="450"/>
      <c r="P139" s="450"/>
      <c r="Q139" s="473"/>
      <c r="R139" s="472"/>
      <c r="S139" s="472"/>
      <c r="T139" s="472"/>
      <c r="U139" s="472"/>
      <c r="V139" s="472"/>
      <c r="W139" s="472"/>
      <c r="X139" s="472"/>
      <c r="Y139" s="191"/>
      <c r="Z139" s="191"/>
      <c r="AA139" s="191"/>
      <c r="AB139" s="5"/>
      <c r="AC139" s="5"/>
      <c r="AD139" s="5"/>
      <c r="AE139" s="5"/>
      <c r="AF139" s="5"/>
      <c r="AG139" s="5"/>
    </row>
    <row r="140" spans="3:33" ht="12.75" customHeight="1">
      <c r="C140" s="191"/>
      <c r="D140" s="191"/>
      <c r="E140" s="191"/>
      <c r="F140" s="191"/>
      <c r="G140" s="222"/>
      <c r="H140" s="197"/>
      <c r="I140" s="197"/>
      <c r="J140" s="450"/>
      <c r="K140" s="502"/>
      <c r="L140" s="890"/>
      <c r="M140" s="890"/>
      <c r="N140" s="890"/>
      <c r="O140" s="890"/>
      <c r="P140" s="890"/>
      <c r="Q140" s="473"/>
      <c r="R140" s="472"/>
      <c r="S140" s="472"/>
      <c r="T140" s="472"/>
      <c r="U140" s="472"/>
      <c r="V140" s="472"/>
      <c r="W140" s="472"/>
      <c r="X140" s="472"/>
      <c r="Y140" s="191"/>
      <c r="Z140" s="191"/>
      <c r="AA140" s="191"/>
      <c r="AB140" s="5"/>
      <c r="AC140" s="5"/>
      <c r="AD140" s="5"/>
      <c r="AE140" s="5"/>
      <c r="AF140" s="5"/>
      <c r="AG140" s="5"/>
    </row>
    <row r="141" spans="3:33" ht="12.75" customHeight="1">
      <c r="C141" s="191"/>
      <c r="D141" s="191"/>
      <c r="E141" s="247"/>
      <c r="F141" s="191"/>
      <c r="G141" s="222"/>
      <c r="H141" s="197"/>
      <c r="I141" s="197"/>
      <c r="J141" s="450"/>
      <c r="K141" s="507"/>
      <c r="L141" s="890"/>
      <c r="M141" s="450"/>
      <c r="N141" s="890"/>
      <c r="O141" s="890"/>
      <c r="P141" s="890"/>
      <c r="Q141" s="450"/>
      <c r="R141" s="472"/>
      <c r="S141" s="472"/>
      <c r="T141" s="472"/>
      <c r="U141" s="890"/>
      <c r="V141" s="472"/>
      <c r="W141" s="890"/>
      <c r="X141" s="472"/>
      <c r="Y141" s="191"/>
      <c r="Z141" s="191"/>
      <c r="AA141" s="191"/>
      <c r="AB141" s="5"/>
      <c r="AC141" s="5"/>
      <c r="AD141" s="5"/>
      <c r="AE141" s="5"/>
      <c r="AF141" s="5"/>
      <c r="AG141" s="5"/>
    </row>
    <row r="142" spans="3:33" ht="12.75" customHeight="1">
      <c r="C142" s="191"/>
      <c r="D142" s="191"/>
      <c r="E142" s="191"/>
      <c r="F142" s="191"/>
      <c r="G142" s="222"/>
      <c r="H142" s="197"/>
      <c r="I142" s="197"/>
      <c r="J142" s="450"/>
      <c r="K142" s="502"/>
      <c r="L142" s="890"/>
      <c r="M142" s="450"/>
      <c r="N142" s="890"/>
      <c r="O142" s="890"/>
      <c r="P142" s="890"/>
      <c r="Q142" s="450"/>
      <c r="R142" s="472"/>
      <c r="S142" s="472"/>
      <c r="T142" s="359"/>
      <c r="U142" s="450"/>
      <c r="V142" s="450"/>
      <c r="W142" s="450"/>
      <c r="X142" s="359"/>
      <c r="Y142" s="191"/>
      <c r="Z142" s="191"/>
      <c r="AA142" s="191"/>
      <c r="AB142" s="5"/>
      <c r="AC142" s="5"/>
      <c r="AD142" s="5"/>
      <c r="AE142" s="5"/>
      <c r="AF142" s="5"/>
      <c r="AG142" s="5"/>
    </row>
    <row r="143" spans="3:33" ht="12.75" customHeight="1">
      <c r="C143" s="191"/>
      <c r="D143" s="191"/>
      <c r="E143" s="191"/>
      <c r="F143" s="191"/>
      <c r="G143" s="222"/>
      <c r="H143" s="197"/>
      <c r="I143" s="197"/>
      <c r="J143" s="450"/>
      <c r="K143" s="502"/>
      <c r="L143" s="508"/>
      <c r="M143" s="450"/>
      <c r="N143" s="890"/>
      <c r="O143" s="890"/>
      <c r="P143" s="450"/>
      <c r="Q143" s="473"/>
      <c r="R143" s="472"/>
      <c r="S143" s="472"/>
      <c r="T143" s="359"/>
      <c r="U143" s="450"/>
      <c r="V143" s="450"/>
      <c r="W143" s="450"/>
      <c r="X143" s="450"/>
      <c r="Y143" s="191"/>
      <c r="Z143" s="191"/>
      <c r="AA143" s="191"/>
      <c r="AB143" s="5"/>
      <c r="AC143" s="5"/>
      <c r="AD143" s="5"/>
      <c r="AE143" s="5"/>
      <c r="AF143" s="5"/>
      <c r="AG143" s="5"/>
    </row>
    <row r="144" spans="3:33" ht="12.75" customHeight="1">
      <c r="C144" s="191"/>
      <c r="D144" s="191"/>
      <c r="E144" s="191"/>
      <c r="F144" s="191"/>
      <c r="G144" s="222"/>
      <c r="H144" s="197"/>
      <c r="I144" s="197"/>
      <c r="J144" s="450"/>
      <c r="K144" s="502"/>
      <c r="L144" s="890"/>
      <c r="M144" s="890"/>
      <c r="N144" s="890"/>
      <c r="O144" s="890"/>
      <c r="P144" s="890"/>
      <c r="Q144" s="473"/>
      <c r="R144" s="472"/>
      <c r="S144" s="472"/>
      <c r="T144" s="359"/>
      <c r="U144" s="450"/>
      <c r="V144" s="450"/>
      <c r="W144" s="450"/>
      <c r="X144" s="450"/>
      <c r="Y144" s="191"/>
      <c r="Z144" s="191"/>
      <c r="AA144" s="191"/>
      <c r="AB144" s="5"/>
      <c r="AC144" s="5"/>
      <c r="AD144" s="5"/>
      <c r="AE144" s="5"/>
      <c r="AF144" s="5"/>
      <c r="AG144" s="5"/>
    </row>
    <row r="145" spans="3:33" ht="12.75" customHeight="1">
      <c r="C145" s="191"/>
      <c r="D145" s="191"/>
      <c r="E145" s="191"/>
      <c r="F145" s="191"/>
      <c r="G145" s="222"/>
      <c r="H145" s="197"/>
      <c r="I145" s="197"/>
      <c r="J145" s="450"/>
      <c r="K145" s="502"/>
      <c r="L145" s="890"/>
      <c r="M145" s="890"/>
      <c r="N145" s="890"/>
      <c r="O145" s="890"/>
      <c r="P145" s="890"/>
      <c r="Q145" s="473"/>
      <c r="R145" s="472"/>
      <c r="S145" s="472"/>
      <c r="T145" s="359"/>
      <c r="U145" s="450"/>
      <c r="V145" s="450"/>
      <c r="W145" s="450"/>
      <c r="X145" s="450"/>
      <c r="Y145" s="191"/>
      <c r="Z145" s="191"/>
      <c r="AA145" s="191"/>
      <c r="AB145" s="5"/>
      <c r="AC145" s="5"/>
      <c r="AD145" s="5"/>
      <c r="AE145" s="5"/>
      <c r="AF145" s="5"/>
      <c r="AG145" s="5"/>
    </row>
    <row r="146" spans="3:33" ht="12.75" customHeight="1">
      <c r="C146" s="191"/>
      <c r="D146" s="191"/>
      <c r="E146" s="191"/>
      <c r="F146" s="191"/>
      <c r="G146" s="222"/>
      <c r="H146" s="197"/>
      <c r="I146" s="197"/>
      <c r="J146" s="450"/>
      <c r="K146" s="502"/>
      <c r="L146" s="890"/>
      <c r="M146" s="890"/>
      <c r="N146" s="890"/>
      <c r="O146" s="890"/>
      <c r="P146" s="890"/>
      <c r="Q146" s="889"/>
      <c r="R146" s="472"/>
      <c r="S146" s="472"/>
      <c r="T146" s="359"/>
      <c r="U146" s="450"/>
      <c r="V146" s="450"/>
      <c r="W146" s="450"/>
      <c r="X146" s="450"/>
      <c r="Y146" s="191"/>
      <c r="Z146" s="191"/>
      <c r="AA146" s="191"/>
      <c r="AB146" s="5"/>
      <c r="AC146" s="5"/>
      <c r="AD146" s="5"/>
      <c r="AE146" s="5"/>
      <c r="AF146" s="5"/>
      <c r="AG146" s="5"/>
    </row>
    <row r="147" spans="3:33" ht="12.75" customHeight="1">
      <c r="J147" s="359"/>
      <c r="K147" s="359"/>
      <c r="L147" s="890"/>
      <c r="M147" s="450"/>
      <c r="N147" s="890"/>
      <c r="O147" s="890"/>
      <c r="P147" s="890"/>
      <c r="Q147" s="450"/>
      <c r="R147" s="472"/>
      <c r="S147" s="472"/>
      <c r="T147" s="359"/>
      <c r="U147" s="450"/>
      <c r="V147" s="450"/>
      <c r="W147" s="450"/>
      <c r="X147" s="450"/>
      <c r="Y147" s="191"/>
      <c r="Z147" s="191"/>
      <c r="AA147" s="191"/>
      <c r="AB147" s="5"/>
      <c r="AC147" s="5"/>
      <c r="AD147" s="5"/>
      <c r="AE147" s="5"/>
      <c r="AF147" s="5"/>
      <c r="AG147" s="5"/>
    </row>
    <row r="148" spans="3:33" ht="12.75" customHeight="1">
      <c r="J148" s="359"/>
      <c r="K148" s="359"/>
      <c r="L148" s="890"/>
      <c r="M148" s="889"/>
      <c r="N148" s="890"/>
      <c r="O148" s="890"/>
      <c r="P148" s="890"/>
      <c r="Q148" s="473"/>
      <c r="R148" s="472"/>
      <c r="S148" s="472"/>
      <c r="T148" s="359"/>
      <c r="U148" s="450"/>
      <c r="V148" s="450"/>
      <c r="W148" s="450"/>
      <c r="X148" s="450"/>
      <c r="Y148" s="191"/>
      <c r="Z148" s="191"/>
      <c r="AA148" s="191"/>
      <c r="AB148" s="5"/>
      <c r="AC148" s="5"/>
      <c r="AD148" s="5"/>
      <c r="AE148" s="5"/>
      <c r="AF148" s="5"/>
      <c r="AG148" s="5"/>
    </row>
    <row r="149" spans="3:33" ht="12.75" customHeight="1">
      <c r="J149" s="359"/>
      <c r="K149" s="359"/>
      <c r="L149" s="890"/>
      <c r="M149" s="890"/>
      <c r="N149" s="890"/>
      <c r="O149" s="890"/>
      <c r="P149" s="890"/>
      <c r="Q149" s="473"/>
      <c r="R149" s="472"/>
      <c r="S149" s="450"/>
      <c r="T149" s="450"/>
      <c r="U149" s="450"/>
      <c r="V149" s="450"/>
      <c r="W149" s="472"/>
      <c r="X149" s="472"/>
      <c r="Y149" s="191"/>
      <c r="Z149" s="5"/>
      <c r="AA149" s="5"/>
      <c r="AB149" s="5"/>
      <c r="AC149" s="5"/>
      <c r="AD149" s="5"/>
      <c r="AE149" s="5"/>
      <c r="AF149" s="5"/>
      <c r="AG149" s="5"/>
    </row>
    <row r="150" spans="3:33" ht="12.75" customHeight="1">
      <c r="J150" s="359"/>
      <c r="K150" s="359"/>
      <c r="L150" s="890"/>
      <c r="M150" s="890"/>
      <c r="N150" s="890"/>
      <c r="O150" s="890"/>
      <c r="P150" s="890"/>
      <c r="Q150" s="473"/>
      <c r="R150" s="472"/>
      <c r="S150" s="450"/>
      <c r="T150" s="450"/>
      <c r="U150" s="450"/>
      <c r="V150" s="450"/>
      <c r="W150" s="472"/>
      <c r="X150" s="472"/>
      <c r="Y150" s="191"/>
      <c r="Z150" s="5"/>
      <c r="AA150" s="5"/>
      <c r="AB150" s="5"/>
      <c r="AC150" s="5"/>
      <c r="AD150" s="5"/>
      <c r="AE150" s="5"/>
      <c r="AF150" s="5"/>
      <c r="AG150" s="5"/>
    </row>
    <row r="151" spans="3:33" ht="12.75" customHeight="1">
      <c r="J151" s="359"/>
      <c r="K151" s="359"/>
      <c r="L151" s="890"/>
      <c r="M151" s="890"/>
      <c r="N151" s="890"/>
      <c r="O151" s="473"/>
      <c r="P151" s="472"/>
      <c r="Q151" s="472"/>
      <c r="R151" s="359"/>
      <c r="S151" s="450"/>
      <c r="T151" s="450"/>
      <c r="U151" s="450"/>
      <c r="V151" s="450"/>
      <c r="W151" s="472"/>
      <c r="X151" s="472"/>
      <c r="Y151" s="191"/>
      <c r="Z151" s="5"/>
      <c r="AA151" s="5"/>
      <c r="AB151" s="5"/>
      <c r="AC151" s="5"/>
      <c r="AD151" s="5"/>
      <c r="AE151" s="5"/>
      <c r="AF151" s="5"/>
      <c r="AG151" s="5"/>
    </row>
    <row r="152" spans="3:33" ht="12.75" customHeight="1">
      <c r="J152" s="359"/>
      <c r="K152" s="359"/>
      <c r="L152" s="890"/>
      <c r="M152" s="890"/>
      <c r="N152" s="890"/>
      <c r="O152" s="473"/>
      <c r="P152" s="472"/>
      <c r="Q152" s="472"/>
      <c r="R152" s="359"/>
      <c r="S152" s="450"/>
      <c r="T152" s="450"/>
      <c r="U152" s="450"/>
      <c r="V152" s="450"/>
      <c r="W152" s="472"/>
      <c r="X152" s="472"/>
      <c r="Y152" s="191"/>
      <c r="Z152" s="5"/>
      <c r="AA152" s="5"/>
      <c r="AB152" s="5"/>
      <c r="AC152" s="5"/>
      <c r="AD152" s="5"/>
      <c r="AE152" s="5"/>
      <c r="AF152" s="5"/>
      <c r="AG152" s="5"/>
    </row>
    <row r="153" spans="3:33" ht="12.75" customHeight="1">
      <c r="J153" s="359"/>
      <c r="K153" s="359"/>
      <c r="L153" s="890"/>
      <c r="M153" s="890"/>
      <c r="N153" s="890"/>
      <c r="O153" s="473"/>
      <c r="P153" s="472"/>
      <c r="Q153" s="472"/>
      <c r="R153" s="359"/>
      <c r="S153" s="450"/>
      <c r="T153" s="450"/>
      <c r="U153" s="450"/>
      <c r="V153" s="450"/>
      <c r="W153" s="472"/>
      <c r="X153" s="472"/>
      <c r="Y153" s="191"/>
      <c r="Z153" s="5"/>
      <c r="AA153" s="5"/>
      <c r="AB153" s="5"/>
      <c r="AC153" s="5"/>
      <c r="AD153" s="5"/>
      <c r="AE153" s="5"/>
      <c r="AF153" s="5"/>
      <c r="AG153" s="5"/>
    </row>
    <row r="154" spans="3:33" ht="12.75" customHeight="1">
      <c r="L154" s="194"/>
      <c r="M154" s="194"/>
      <c r="N154" s="194"/>
      <c r="O154" s="193"/>
      <c r="P154" s="191"/>
      <c r="Q154" s="191"/>
      <c r="R154" s="5"/>
      <c r="S154" s="191"/>
      <c r="T154" s="191"/>
      <c r="U154" s="191"/>
      <c r="V154" s="191"/>
      <c r="W154" s="191"/>
      <c r="X154" s="191"/>
      <c r="Y154" s="191"/>
      <c r="Z154" s="5"/>
      <c r="AA154" s="5"/>
      <c r="AB154" s="5"/>
      <c r="AC154" s="5"/>
      <c r="AD154" s="5"/>
      <c r="AE154" s="5"/>
      <c r="AF154" s="5"/>
      <c r="AG154" s="5"/>
    </row>
    <row r="155" spans="3:33" ht="12.75" customHeight="1">
      <c r="L155" s="194"/>
      <c r="M155" s="194"/>
      <c r="N155" s="194"/>
      <c r="O155" s="193"/>
      <c r="P155" s="191"/>
      <c r="Q155" s="191"/>
      <c r="R155" s="5"/>
      <c r="S155" s="5"/>
      <c r="T155" s="5"/>
      <c r="U155" s="5"/>
      <c r="V155" s="5"/>
      <c r="W155" s="5"/>
      <c r="X155" s="5"/>
      <c r="Y155" s="5"/>
      <c r="Z155" s="5"/>
      <c r="AA155" s="5"/>
      <c r="AB155" s="5"/>
      <c r="AC155" s="5"/>
      <c r="AD155" s="5"/>
      <c r="AE155" s="5"/>
      <c r="AF155" s="5"/>
      <c r="AG155" s="5"/>
    </row>
    <row r="156" spans="3:33" ht="12.75" customHeight="1">
      <c r="L156" s="194"/>
      <c r="M156" s="194"/>
      <c r="N156" s="194"/>
      <c r="O156" s="193"/>
      <c r="P156" s="191"/>
      <c r="Q156" s="191"/>
      <c r="R156" s="191"/>
      <c r="S156" s="5"/>
      <c r="T156" s="5"/>
      <c r="U156" s="5"/>
      <c r="V156" s="5"/>
      <c r="W156" s="5"/>
      <c r="X156" s="5"/>
      <c r="Y156" s="5"/>
      <c r="Z156" s="5"/>
      <c r="AA156" s="5"/>
      <c r="AB156" s="5"/>
      <c r="AC156" s="5"/>
      <c r="AD156" s="5"/>
      <c r="AE156" s="5"/>
      <c r="AF156" s="5"/>
      <c r="AG156" s="5"/>
    </row>
    <row r="157" spans="3:33" ht="12.75" customHeight="1">
      <c r="C157" s="5"/>
      <c r="D157" s="5"/>
      <c r="E157" s="5"/>
      <c r="F157" s="5"/>
      <c r="G157" s="217"/>
      <c r="H157" s="198"/>
      <c r="I157" s="198"/>
      <c r="J157" s="888"/>
      <c r="K157" s="217"/>
      <c r="L157" s="306"/>
      <c r="M157" s="306"/>
      <c r="N157" s="306"/>
      <c r="O157" s="215"/>
      <c r="P157" s="5"/>
      <c r="Q157" s="5"/>
      <c r="R157" s="5"/>
      <c r="S157" s="5"/>
      <c r="T157" s="5"/>
      <c r="U157" s="5"/>
      <c r="V157" s="5"/>
      <c r="W157" s="5"/>
      <c r="X157" s="5"/>
      <c r="Y157" s="5"/>
      <c r="Z157" s="5"/>
      <c r="AA157" s="5"/>
      <c r="AB157" s="5"/>
      <c r="AC157" s="5"/>
      <c r="AD157" s="5"/>
      <c r="AE157" s="5"/>
      <c r="AF157" s="5"/>
      <c r="AG157" s="5"/>
    </row>
    <row r="158" spans="3:33" ht="12.75" customHeight="1">
      <c r="C158" s="5"/>
      <c r="D158" s="5"/>
      <c r="E158" s="5"/>
      <c r="F158" s="5"/>
      <c r="G158" s="217"/>
      <c r="H158" s="198"/>
      <c r="I158" s="198"/>
      <c r="J158" s="888"/>
      <c r="K158" s="217"/>
      <c r="L158" s="306"/>
      <c r="M158" s="306"/>
      <c r="N158" s="306"/>
      <c r="O158" s="306"/>
      <c r="P158" s="306"/>
      <c r="Q158" s="215"/>
      <c r="R158" s="5"/>
      <c r="S158" s="5"/>
      <c r="T158" s="5"/>
      <c r="U158" s="5"/>
      <c r="V158" s="5"/>
      <c r="W158" s="5"/>
      <c r="X158" s="5"/>
      <c r="Y158" s="5"/>
      <c r="Z158" s="5"/>
      <c r="AA158" s="5"/>
      <c r="AB158" s="5"/>
      <c r="AC158" s="5"/>
      <c r="AD158" s="5"/>
      <c r="AE158" s="5"/>
      <c r="AF158" s="5"/>
      <c r="AG158" s="5"/>
    </row>
    <row r="159" spans="3:33" ht="12.75" customHeight="1">
      <c r="C159" s="5"/>
      <c r="D159" s="5"/>
      <c r="E159" s="5"/>
      <c r="F159" s="5"/>
      <c r="G159" s="217"/>
      <c r="H159" s="198"/>
      <c r="I159" s="198"/>
      <c r="J159" s="888"/>
      <c r="K159" s="217"/>
      <c r="L159" s="306"/>
      <c r="M159" s="306"/>
      <c r="N159" s="306"/>
      <c r="O159" s="306"/>
      <c r="P159" s="306"/>
      <c r="Q159" s="215"/>
      <c r="R159" s="5"/>
      <c r="S159" s="5"/>
      <c r="T159" s="5"/>
      <c r="U159" s="5"/>
      <c r="V159" s="5"/>
      <c r="W159" s="5"/>
      <c r="X159" s="5"/>
      <c r="Y159" s="5"/>
      <c r="Z159" s="5"/>
      <c r="AA159" s="5"/>
      <c r="AB159" s="5"/>
      <c r="AC159" s="5"/>
      <c r="AD159" s="5"/>
      <c r="AE159" s="5"/>
      <c r="AF159" s="5"/>
      <c r="AG159" s="5"/>
    </row>
    <row r="160" spans="3:33" ht="12.75" customHeight="1">
      <c r="C160" s="5"/>
      <c r="D160" s="5"/>
      <c r="E160" s="5"/>
      <c r="F160" s="5"/>
      <c r="G160" s="217"/>
      <c r="H160" s="198"/>
      <c r="I160" s="198"/>
      <c r="J160" s="888"/>
      <c r="K160" s="217"/>
      <c r="L160" s="306"/>
      <c r="M160" s="306"/>
      <c r="N160" s="306"/>
      <c r="O160" s="306"/>
      <c r="P160" s="306"/>
      <c r="Q160" s="215"/>
      <c r="R160" s="5"/>
      <c r="S160" s="5"/>
      <c r="T160" s="5"/>
      <c r="U160" s="5"/>
      <c r="V160" s="5"/>
      <c r="W160" s="5"/>
      <c r="X160" s="5"/>
      <c r="Y160" s="5"/>
      <c r="Z160" s="5"/>
      <c r="AA160" s="5"/>
      <c r="AB160" s="5"/>
      <c r="AC160" s="5"/>
      <c r="AD160" s="5"/>
      <c r="AE160" s="5"/>
      <c r="AF160" s="5"/>
      <c r="AG160" s="5"/>
    </row>
    <row r="161" spans="3:33" ht="12.75" customHeight="1">
      <c r="C161" s="5"/>
      <c r="D161" s="5"/>
      <c r="E161" s="5"/>
      <c r="F161" s="5"/>
      <c r="G161" s="217"/>
      <c r="H161" s="198"/>
      <c r="I161" s="198"/>
      <c r="J161" s="888"/>
      <c r="K161" s="217"/>
      <c r="L161" s="306"/>
      <c r="M161" s="306"/>
      <c r="N161" s="306"/>
      <c r="O161" s="306"/>
      <c r="P161" s="306"/>
      <c r="Q161" s="215"/>
      <c r="R161" s="5"/>
      <c r="S161" s="5"/>
      <c r="T161" s="5"/>
      <c r="U161" s="5"/>
      <c r="V161" s="5"/>
      <c r="W161" s="5"/>
      <c r="X161" s="5"/>
      <c r="Y161" s="5"/>
      <c r="Z161" s="5"/>
      <c r="AA161" s="5"/>
      <c r="AB161" s="5"/>
      <c r="AC161" s="5"/>
      <c r="AD161" s="5"/>
      <c r="AE161" s="5"/>
      <c r="AF161" s="5"/>
      <c r="AG161" s="5"/>
    </row>
    <row r="162" spans="3:33" ht="12.75" customHeight="1">
      <c r="C162" s="5"/>
      <c r="D162" s="5"/>
      <c r="E162" s="5"/>
      <c r="F162" s="5"/>
      <c r="G162" s="217"/>
      <c r="H162" s="198"/>
      <c r="I162" s="198"/>
      <c r="J162" s="888"/>
      <c r="K162" s="217"/>
      <c r="L162" s="306"/>
      <c r="M162" s="306"/>
      <c r="N162" s="306"/>
      <c r="O162" s="306"/>
      <c r="P162" s="306"/>
      <c r="Q162" s="215"/>
      <c r="R162" s="5"/>
      <c r="S162" s="5"/>
      <c r="T162" s="5"/>
      <c r="U162" s="5"/>
      <c r="V162" s="5"/>
      <c r="W162" s="5"/>
      <c r="X162" s="5"/>
      <c r="Y162" s="5"/>
      <c r="Z162" s="5"/>
      <c r="AA162" s="5"/>
      <c r="AB162" s="5"/>
      <c r="AC162" s="5"/>
      <c r="AD162" s="5"/>
      <c r="AE162" s="5"/>
      <c r="AF162" s="5"/>
      <c r="AG162" s="5"/>
    </row>
    <row r="163" spans="3:33" ht="12.75" customHeight="1">
      <c r="C163" s="5"/>
      <c r="D163" s="5"/>
      <c r="E163" s="5"/>
      <c r="F163" s="5"/>
      <c r="G163" s="217"/>
      <c r="H163" s="198"/>
      <c r="I163" s="198"/>
      <c r="J163" s="888"/>
      <c r="K163" s="217"/>
      <c r="L163" s="306"/>
      <c r="M163" s="306"/>
      <c r="N163" s="306"/>
      <c r="O163" s="306"/>
      <c r="P163" s="306"/>
      <c r="Q163" s="215"/>
      <c r="R163" s="5"/>
      <c r="S163" s="5"/>
      <c r="T163" s="5"/>
      <c r="U163" s="5"/>
      <c r="V163" s="5"/>
      <c r="W163" s="5"/>
      <c r="X163" s="5"/>
      <c r="Y163" s="5"/>
      <c r="Z163" s="5"/>
      <c r="AA163" s="5"/>
      <c r="AB163" s="5"/>
      <c r="AC163" s="5"/>
      <c r="AD163" s="5"/>
      <c r="AE163" s="5"/>
      <c r="AF163" s="5"/>
      <c r="AG163" s="5"/>
    </row>
    <row r="164" spans="3:33" ht="12.75" customHeight="1">
      <c r="C164" s="5"/>
      <c r="D164" s="5"/>
      <c r="E164" s="5"/>
      <c r="F164" s="5"/>
      <c r="G164" s="217"/>
      <c r="H164" s="198"/>
      <c r="I164" s="198"/>
      <c r="J164" s="888"/>
      <c r="K164" s="217"/>
      <c r="L164" s="306"/>
      <c r="M164" s="306"/>
      <c r="N164" s="306"/>
      <c r="O164" s="306"/>
      <c r="P164" s="306"/>
      <c r="Q164" s="215"/>
      <c r="R164" s="5"/>
      <c r="S164" s="5"/>
      <c r="T164" s="5"/>
      <c r="U164" s="5"/>
      <c r="V164" s="5"/>
      <c r="W164" s="5"/>
      <c r="X164" s="5"/>
      <c r="Y164" s="5"/>
      <c r="Z164" s="5"/>
      <c r="AA164" s="5"/>
      <c r="AB164" s="5"/>
      <c r="AC164" s="5"/>
      <c r="AD164" s="5"/>
      <c r="AE164" s="5"/>
      <c r="AF164" s="5"/>
      <c r="AG164" s="5"/>
    </row>
    <row r="165" spans="3:33" ht="12.75" customHeight="1">
      <c r="C165" s="5"/>
      <c r="D165" s="5"/>
      <c r="E165" s="5"/>
      <c r="F165" s="5"/>
      <c r="G165" s="217"/>
      <c r="H165" s="198"/>
      <c r="I165" s="198"/>
      <c r="J165" s="888"/>
      <c r="K165" s="217"/>
      <c r="L165" s="306"/>
      <c r="M165" s="306"/>
      <c r="N165" s="306"/>
      <c r="O165" s="306"/>
      <c r="P165" s="306"/>
      <c r="Q165" s="215"/>
      <c r="R165" s="5"/>
      <c r="S165" s="5"/>
      <c r="T165" s="5"/>
      <c r="U165" s="5"/>
      <c r="V165" s="5"/>
      <c r="W165" s="5"/>
      <c r="X165" s="5"/>
      <c r="Y165" s="5"/>
      <c r="Z165" s="5"/>
      <c r="AA165" s="5"/>
      <c r="AB165" s="5"/>
      <c r="AC165" s="5"/>
      <c r="AD165" s="5"/>
      <c r="AE165" s="5"/>
      <c r="AF165" s="5"/>
      <c r="AG165" s="5"/>
    </row>
    <row r="166" spans="3:33" ht="12.75" customHeight="1">
      <c r="C166" s="5"/>
      <c r="D166" s="5"/>
      <c r="E166" s="5"/>
      <c r="F166" s="5"/>
      <c r="G166" s="217"/>
      <c r="H166" s="198"/>
      <c r="I166" s="198"/>
      <c r="J166" s="888"/>
      <c r="K166" s="217"/>
      <c r="L166" s="306"/>
      <c r="M166" s="306"/>
      <c r="N166" s="306"/>
      <c r="O166" s="306"/>
      <c r="P166" s="306"/>
      <c r="Q166" s="215"/>
      <c r="R166" s="5"/>
      <c r="S166" s="5"/>
      <c r="T166" s="5"/>
      <c r="U166" s="5"/>
      <c r="V166" s="5"/>
      <c r="W166" s="5"/>
      <c r="X166" s="5"/>
      <c r="Y166" s="5"/>
      <c r="Z166" s="5"/>
      <c r="AA166" s="5"/>
      <c r="AB166" s="5"/>
      <c r="AC166" s="5"/>
      <c r="AD166" s="5"/>
      <c r="AE166" s="5"/>
      <c r="AF166" s="5"/>
      <c r="AG166" s="5"/>
    </row>
    <row r="167" spans="3:33" ht="12.75" customHeight="1">
      <c r="C167" s="5"/>
      <c r="D167" s="5"/>
      <c r="E167" s="5"/>
      <c r="F167" s="5"/>
      <c r="G167" s="217"/>
      <c r="H167" s="198"/>
      <c r="I167" s="198"/>
      <c r="J167" s="888"/>
      <c r="K167" s="217"/>
      <c r="L167" s="306"/>
      <c r="M167" s="306"/>
      <c r="N167" s="306"/>
      <c r="O167" s="306"/>
      <c r="P167" s="306"/>
      <c r="Q167" s="215"/>
      <c r="R167" s="5"/>
      <c r="S167" s="5"/>
      <c r="T167" s="5"/>
      <c r="U167" s="5"/>
      <c r="V167" s="5"/>
      <c r="W167" s="5"/>
      <c r="X167" s="5"/>
      <c r="Y167" s="5"/>
      <c r="Z167" s="5"/>
      <c r="AA167" s="5"/>
      <c r="AB167" s="5"/>
      <c r="AC167" s="5"/>
      <c r="AD167" s="5"/>
      <c r="AE167" s="5"/>
      <c r="AF167" s="5"/>
      <c r="AG167" s="5"/>
    </row>
    <row r="168" spans="3:33" ht="12.75" customHeight="1">
      <c r="C168" s="5"/>
      <c r="D168" s="5"/>
      <c r="E168" s="5"/>
      <c r="F168" s="5"/>
      <c r="G168" s="217"/>
      <c r="H168" s="198"/>
      <c r="I168" s="198"/>
      <c r="J168" s="888"/>
      <c r="K168" s="217"/>
      <c r="L168" s="306"/>
      <c r="M168" s="306"/>
      <c r="N168" s="306"/>
      <c r="O168" s="306"/>
      <c r="P168" s="306"/>
      <c r="Q168" s="215"/>
      <c r="R168" s="5"/>
      <c r="S168" s="5"/>
      <c r="T168" s="5"/>
      <c r="U168" s="5"/>
      <c r="V168" s="5"/>
      <c r="W168" s="5"/>
      <c r="X168" s="5"/>
      <c r="Y168" s="5"/>
      <c r="Z168" s="5"/>
      <c r="AA168" s="5"/>
      <c r="AB168" s="5"/>
      <c r="AC168" s="5"/>
      <c r="AD168" s="5"/>
      <c r="AE168" s="5"/>
      <c r="AF168" s="5"/>
      <c r="AG168" s="5"/>
    </row>
    <row r="169" spans="3:33" ht="12.75" customHeight="1">
      <c r="C169" s="5"/>
      <c r="D169" s="5"/>
      <c r="E169" s="5"/>
      <c r="F169" s="5"/>
      <c r="G169" s="217"/>
      <c r="H169" s="198"/>
      <c r="I169" s="198"/>
      <c r="J169" s="888"/>
      <c r="K169" s="217"/>
      <c r="L169" s="306"/>
      <c r="M169" s="306"/>
      <c r="N169" s="306"/>
      <c r="O169" s="306"/>
      <c r="P169" s="306"/>
      <c r="Q169" s="215"/>
      <c r="R169" s="5"/>
      <c r="S169" s="5"/>
      <c r="T169" s="5"/>
      <c r="U169" s="5"/>
      <c r="V169" s="5"/>
      <c r="W169" s="5"/>
      <c r="X169" s="5"/>
      <c r="Y169" s="5"/>
      <c r="Z169" s="5"/>
      <c r="AA169" s="5"/>
      <c r="AB169" s="5"/>
      <c r="AC169" s="5"/>
      <c r="AD169" s="5"/>
      <c r="AE169" s="5"/>
      <c r="AF169" s="5"/>
      <c r="AG169" s="5"/>
    </row>
    <row r="170" spans="3:33" ht="12.75" customHeight="1">
      <c r="C170" s="5"/>
      <c r="D170" s="5"/>
      <c r="E170" s="5"/>
      <c r="F170" s="5"/>
      <c r="G170" s="217"/>
      <c r="H170" s="198"/>
      <c r="I170" s="198"/>
      <c r="J170" s="888"/>
      <c r="K170" s="217"/>
      <c r="L170" s="306"/>
      <c r="M170" s="306"/>
      <c r="N170" s="306"/>
      <c r="O170" s="306"/>
      <c r="P170" s="306"/>
      <c r="Q170" s="215"/>
      <c r="R170" s="5"/>
      <c r="S170" s="5"/>
      <c r="T170" s="5"/>
      <c r="U170" s="5"/>
      <c r="V170" s="5"/>
      <c r="W170" s="5"/>
      <c r="X170" s="5"/>
      <c r="Y170" s="5"/>
      <c r="Z170" s="5"/>
      <c r="AA170" s="5"/>
      <c r="AB170" s="5"/>
      <c r="AC170" s="5"/>
      <c r="AD170" s="5"/>
      <c r="AE170" s="5"/>
      <c r="AF170" s="5"/>
      <c r="AG170" s="5"/>
    </row>
    <row r="171" spans="3:33" ht="12.75" customHeight="1">
      <c r="C171" s="5"/>
      <c r="D171" s="5"/>
      <c r="E171" s="5"/>
      <c r="F171" s="5"/>
      <c r="G171" s="217"/>
      <c r="H171" s="198"/>
      <c r="I171" s="198"/>
      <c r="J171" s="888"/>
      <c r="K171" s="217"/>
      <c r="L171" s="306"/>
      <c r="M171" s="306"/>
      <c r="N171" s="306"/>
      <c r="O171" s="306"/>
      <c r="P171" s="306"/>
      <c r="Q171" s="215"/>
      <c r="R171" s="5"/>
      <c r="S171" s="5"/>
      <c r="T171" s="5"/>
      <c r="U171" s="5"/>
      <c r="V171" s="5"/>
      <c r="W171" s="5"/>
      <c r="X171" s="5"/>
      <c r="Y171" s="5"/>
      <c r="Z171" s="5"/>
      <c r="AA171" s="5"/>
      <c r="AB171" s="5"/>
      <c r="AC171" s="5"/>
      <c r="AD171" s="5"/>
      <c r="AE171" s="5"/>
      <c r="AF171" s="5"/>
      <c r="AG171" s="5"/>
    </row>
    <row r="172" spans="3:33" ht="12.75" customHeight="1">
      <c r="C172" s="5"/>
      <c r="D172" s="5"/>
      <c r="E172" s="5"/>
      <c r="F172" s="5"/>
      <c r="G172" s="217"/>
      <c r="H172" s="198"/>
      <c r="I172" s="198"/>
      <c r="J172" s="888"/>
      <c r="K172" s="217"/>
      <c r="L172" s="306"/>
      <c r="M172" s="306"/>
      <c r="N172" s="306"/>
      <c r="O172" s="306"/>
      <c r="P172" s="306"/>
      <c r="Q172" s="215"/>
      <c r="R172" s="5"/>
      <c r="S172" s="5"/>
      <c r="T172" s="5"/>
      <c r="U172" s="5"/>
      <c r="V172" s="5"/>
      <c r="W172" s="5"/>
      <c r="X172" s="5"/>
      <c r="Y172" s="5"/>
      <c r="Z172" s="5"/>
      <c r="AA172" s="5"/>
      <c r="AB172" s="5"/>
      <c r="AC172" s="5"/>
      <c r="AD172" s="5"/>
      <c r="AE172" s="5"/>
      <c r="AF172" s="5"/>
      <c r="AG172" s="5"/>
    </row>
    <row r="173" spans="3:33" ht="12.75" customHeight="1">
      <c r="C173" s="5"/>
      <c r="D173" s="5"/>
      <c r="E173" s="5"/>
      <c r="F173" s="5"/>
      <c r="G173" s="217"/>
      <c r="H173" s="198"/>
      <c r="I173" s="198"/>
      <c r="J173" s="888"/>
      <c r="K173" s="217"/>
      <c r="L173" s="306"/>
      <c r="M173" s="306"/>
      <c r="N173" s="306"/>
      <c r="O173" s="306"/>
      <c r="P173" s="306"/>
      <c r="Q173" s="215"/>
      <c r="R173" s="5"/>
      <c r="S173" s="5"/>
      <c r="T173" s="5"/>
      <c r="U173" s="5"/>
      <c r="V173" s="5"/>
      <c r="W173" s="5"/>
      <c r="X173" s="5"/>
      <c r="Y173" s="5"/>
      <c r="Z173" s="5"/>
      <c r="AA173" s="5"/>
      <c r="AB173" s="5"/>
      <c r="AC173" s="5"/>
      <c r="AD173" s="5"/>
      <c r="AE173" s="5"/>
      <c r="AF173" s="5"/>
      <c r="AG173" s="5"/>
    </row>
    <row r="174" spans="3:33" ht="12.75" customHeight="1">
      <c r="C174" s="5"/>
      <c r="D174" s="5"/>
      <c r="E174" s="5"/>
      <c r="F174" s="5"/>
      <c r="G174" s="217"/>
      <c r="H174" s="198"/>
      <c r="I174" s="198"/>
      <c r="J174" s="888"/>
      <c r="K174" s="217"/>
      <c r="L174" s="306"/>
      <c r="M174" s="306"/>
      <c r="N174" s="306"/>
      <c r="O174" s="306"/>
      <c r="P174" s="306"/>
      <c r="Q174" s="215"/>
      <c r="R174" s="5"/>
      <c r="S174" s="5"/>
      <c r="T174" s="5"/>
      <c r="U174" s="5"/>
      <c r="V174" s="5"/>
      <c r="W174" s="5"/>
      <c r="X174" s="5"/>
      <c r="Y174" s="5"/>
      <c r="Z174" s="5"/>
      <c r="AA174" s="5"/>
      <c r="AB174" s="5"/>
      <c r="AC174" s="5"/>
      <c r="AD174" s="5"/>
      <c r="AE174" s="5"/>
      <c r="AF174" s="5"/>
      <c r="AG174" s="5"/>
    </row>
    <row r="175" spans="3:33" ht="12.75" customHeight="1">
      <c r="C175" s="5"/>
      <c r="D175" s="5"/>
      <c r="E175" s="5"/>
      <c r="F175" s="5"/>
      <c r="G175" s="217"/>
      <c r="H175" s="198"/>
      <c r="I175" s="198"/>
      <c r="J175" s="888"/>
      <c r="K175" s="217"/>
      <c r="L175" s="306"/>
      <c r="M175" s="306"/>
      <c r="N175" s="306"/>
      <c r="O175" s="306"/>
      <c r="P175" s="306"/>
      <c r="Q175" s="215"/>
      <c r="R175" s="5"/>
      <c r="S175" s="5"/>
      <c r="T175" s="5"/>
      <c r="U175" s="5"/>
      <c r="V175" s="5"/>
      <c r="W175" s="5"/>
      <c r="X175" s="5"/>
      <c r="Y175" s="5"/>
      <c r="Z175" s="5"/>
      <c r="AA175" s="5"/>
      <c r="AB175" s="5"/>
      <c r="AC175" s="5"/>
      <c r="AD175" s="5"/>
      <c r="AE175" s="5"/>
      <c r="AF175" s="5"/>
      <c r="AG175" s="5"/>
    </row>
    <row r="176" spans="3:33" ht="12.75" customHeight="1">
      <c r="C176" s="5"/>
      <c r="D176" s="5"/>
      <c r="E176" s="5"/>
      <c r="F176" s="5"/>
      <c r="G176" s="217"/>
      <c r="H176" s="198"/>
      <c r="I176" s="198"/>
      <c r="J176" s="888"/>
      <c r="K176" s="217"/>
      <c r="L176" s="306"/>
      <c r="M176" s="306"/>
      <c r="N176" s="306"/>
      <c r="O176" s="306"/>
      <c r="P176" s="306"/>
      <c r="Q176" s="215"/>
      <c r="R176" s="5"/>
      <c r="S176" s="5"/>
      <c r="T176" s="5"/>
      <c r="U176" s="5"/>
      <c r="V176" s="5"/>
      <c r="W176" s="5"/>
      <c r="X176" s="5"/>
      <c r="Y176" s="5"/>
      <c r="Z176" s="5"/>
      <c r="AA176" s="5"/>
      <c r="AB176" s="5"/>
      <c r="AC176" s="5"/>
      <c r="AD176" s="5"/>
      <c r="AE176" s="5"/>
      <c r="AF176" s="5"/>
      <c r="AG176" s="5"/>
    </row>
    <row r="177" spans="3:33" ht="12.75" customHeight="1">
      <c r="C177" s="5"/>
      <c r="D177" s="5"/>
      <c r="E177" s="5"/>
      <c r="F177" s="5"/>
      <c r="G177" s="217"/>
      <c r="H177" s="198"/>
      <c r="I177" s="198"/>
      <c r="J177" s="888"/>
      <c r="K177" s="217"/>
      <c r="L177" s="306"/>
      <c r="M177" s="306"/>
      <c r="N177" s="306"/>
      <c r="O177" s="306"/>
      <c r="P177" s="306"/>
      <c r="Q177" s="215"/>
      <c r="R177" s="5"/>
      <c r="S177" s="5"/>
      <c r="T177" s="5"/>
      <c r="U177" s="5"/>
      <c r="V177" s="5"/>
      <c r="W177" s="5"/>
      <c r="X177" s="5"/>
      <c r="Y177" s="5"/>
      <c r="Z177" s="5"/>
      <c r="AA177" s="5"/>
      <c r="AB177" s="5"/>
      <c r="AC177" s="5"/>
      <c r="AD177" s="5"/>
      <c r="AE177" s="5"/>
      <c r="AF177" s="5"/>
      <c r="AG177" s="5"/>
    </row>
    <row r="178" spans="3:33" ht="12.75" customHeight="1">
      <c r="C178" s="5"/>
      <c r="D178" s="5"/>
      <c r="E178" s="5"/>
      <c r="F178" s="5"/>
      <c r="G178" s="217"/>
      <c r="H178" s="198"/>
      <c r="I178" s="198"/>
      <c r="J178" s="888"/>
      <c r="K178" s="217"/>
      <c r="L178" s="306"/>
      <c r="M178" s="306"/>
      <c r="N178" s="306"/>
      <c r="O178" s="306"/>
      <c r="P178" s="306"/>
      <c r="Q178" s="215"/>
      <c r="R178" s="5"/>
      <c r="S178" s="5"/>
      <c r="T178" s="5"/>
      <c r="U178" s="5"/>
      <c r="V178" s="5"/>
      <c r="W178" s="5"/>
      <c r="X178" s="5"/>
      <c r="Y178" s="5"/>
      <c r="Z178" s="5"/>
      <c r="AA178" s="5"/>
      <c r="AB178" s="5"/>
      <c r="AC178" s="5"/>
      <c r="AD178" s="5"/>
      <c r="AE178" s="5"/>
      <c r="AF178" s="5"/>
      <c r="AG178" s="5"/>
    </row>
    <row r="179" spans="3:33" ht="12.75" customHeight="1">
      <c r="C179" s="5"/>
      <c r="D179" s="5"/>
      <c r="E179" s="5"/>
      <c r="F179" s="5"/>
      <c r="G179" s="217"/>
      <c r="H179" s="198"/>
      <c r="I179" s="198"/>
      <c r="J179" s="888"/>
      <c r="K179" s="217"/>
      <c r="L179" s="306"/>
      <c r="M179" s="306"/>
      <c r="N179" s="306"/>
      <c r="O179" s="306"/>
      <c r="P179" s="306"/>
      <c r="Q179" s="215"/>
      <c r="R179" s="5"/>
      <c r="S179" s="5"/>
      <c r="T179" s="5"/>
      <c r="U179" s="5"/>
      <c r="V179" s="5"/>
      <c r="W179" s="5"/>
      <c r="X179" s="5"/>
      <c r="Y179" s="5"/>
      <c r="Z179" s="5"/>
      <c r="AA179" s="5"/>
      <c r="AB179" s="5"/>
      <c r="AC179" s="5"/>
      <c r="AD179" s="5"/>
      <c r="AE179" s="5"/>
      <c r="AF179" s="5"/>
      <c r="AG179" s="5"/>
    </row>
    <row r="180" spans="3:33" ht="12.75" customHeight="1">
      <c r="C180" s="5"/>
      <c r="D180" s="5"/>
      <c r="E180" s="5"/>
      <c r="F180" s="5"/>
      <c r="G180" s="217"/>
      <c r="H180" s="198"/>
      <c r="I180" s="198"/>
      <c r="J180" s="888"/>
      <c r="K180" s="217"/>
      <c r="L180" s="306"/>
      <c r="M180" s="306"/>
      <c r="N180" s="306"/>
      <c r="O180" s="306"/>
      <c r="P180" s="306"/>
      <c r="Q180" s="215"/>
      <c r="R180" s="5"/>
      <c r="S180" s="5"/>
      <c r="T180" s="5"/>
      <c r="U180" s="5"/>
      <c r="V180" s="5"/>
      <c r="W180" s="5"/>
      <c r="X180" s="5"/>
      <c r="Y180" s="5"/>
      <c r="Z180" s="5"/>
      <c r="AA180" s="5"/>
      <c r="AB180" s="5"/>
      <c r="AC180" s="5"/>
      <c r="AD180" s="5"/>
      <c r="AE180" s="5"/>
      <c r="AF180" s="5"/>
      <c r="AG180" s="5"/>
    </row>
    <row r="181" spans="3:33" ht="12.75" customHeight="1">
      <c r="C181" s="5"/>
      <c r="D181" s="5"/>
      <c r="E181" s="5"/>
      <c r="F181" s="5"/>
      <c r="G181" s="217"/>
      <c r="H181" s="198"/>
      <c r="I181" s="198"/>
      <c r="J181" s="888"/>
      <c r="K181" s="217"/>
      <c r="L181" s="306"/>
      <c r="M181" s="306"/>
      <c r="N181" s="306"/>
      <c r="O181" s="306"/>
      <c r="P181" s="306"/>
      <c r="Q181" s="215"/>
      <c r="R181" s="5"/>
      <c r="S181" s="5"/>
      <c r="T181" s="5"/>
      <c r="U181" s="5"/>
      <c r="V181" s="5"/>
      <c r="W181" s="5"/>
      <c r="X181" s="5"/>
      <c r="Y181" s="5"/>
      <c r="Z181" s="5"/>
      <c r="AA181" s="5"/>
      <c r="AB181" s="5"/>
      <c r="AC181" s="5"/>
      <c r="AD181" s="5"/>
      <c r="AE181" s="5"/>
      <c r="AF181" s="5"/>
      <c r="AG181" s="5"/>
    </row>
    <row r="182" spans="3:33" ht="12.75" customHeight="1">
      <c r="C182" s="5"/>
      <c r="D182" s="5"/>
      <c r="E182" s="5"/>
      <c r="F182" s="5"/>
      <c r="G182" s="217"/>
      <c r="H182" s="198"/>
      <c r="I182" s="198"/>
      <c r="J182" s="888"/>
      <c r="K182" s="217"/>
      <c r="L182" s="306"/>
      <c r="M182" s="306"/>
      <c r="N182" s="306"/>
      <c r="O182" s="306"/>
      <c r="P182" s="306"/>
      <c r="Q182" s="215"/>
      <c r="R182" s="5"/>
      <c r="S182" s="5"/>
      <c r="T182" s="5"/>
      <c r="U182" s="5"/>
      <c r="V182" s="5"/>
      <c r="W182" s="5"/>
      <c r="X182" s="5"/>
      <c r="Y182" s="5"/>
      <c r="Z182" s="5"/>
      <c r="AA182" s="5"/>
      <c r="AB182" s="5"/>
      <c r="AC182" s="5"/>
      <c r="AD182" s="5"/>
      <c r="AE182" s="5"/>
      <c r="AF182" s="5"/>
      <c r="AG182" s="5"/>
    </row>
    <row r="183" spans="3:33" ht="12.75" customHeight="1">
      <c r="C183" s="5"/>
      <c r="D183" s="5"/>
      <c r="E183" s="5"/>
      <c r="F183" s="5"/>
      <c r="G183" s="217"/>
      <c r="H183" s="198"/>
      <c r="I183" s="198"/>
      <c r="J183" s="888"/>
      <c r="K183" s="217"/>
      <c r="L183" s="306"/>
      <c r="M183" s="306"/>
      <c r="N183" s="306"/>
      <c r="O183" s="306"/>
      <c r="P183" s="306"/>
      <c r="Q183" s="215"/>
      <c r="R183" s="5"/>
      <c r="S183" s="5"/>
      <c r="T183" s="5"/>
      <c r="U183" s="5"/>
      <c r="V183" s="5"/>
      <c r="W183" s="5"/>
      <c r="X183" s="5"/>
      <c r="Y183" s="5"/>
      <c r="Z183" s="5"/>
      <c r="AA183" s="5"/>
      <c r="AB183" s="5"/>
      <c r="AC183" s="5"/>
      <c r="AD183" s="5"/>
      <c r="AE183" s="5"/>
      <c r="AF183" s="5"/>
      <c r="AG183" s="5"/>
    </row>
    <row r="184" spans="3:33" ht="12.75" customHeight="1">
      <c r="C184" s="5"/>
      <c r="D184" s="5"/>
      <c r="E184" s="5"/>
      <c r="F184" s="5"/>
      <c r="G184" s="217"/>
      <c r="H184" s="198"/>
      <c r="I184" s="198"/>
      <c r="J184" s="888"/>
      <c r="K184" s="217"/>
      <c r="L184" s="306"/>
      <c r="M184" s="306"/>
      <c r="N184" s="306"/>
      <c r="O184" s="306"/>
      <c r="P184" s="306"/>
      <c r="Q184" s="215"/>
      <c r="R184" s="5"/>
      <c r="S184" s="5"/>
      <c r="T184" s="5"/>
      <c r="U184" s="5"/>
      <c r="V184" s="5"/>
      <c r="W184" s="5"/>
      <c r="X184" s="5"/>
      <c r="Y184" s="5"/>
      <c r="Z184" s="5"/>
      <c r="AA184" s="5"/>
      <c r="AB184" s="5"/>
      <c r="AC184" s="5"/>
      <c r="AD184" s="5"/>
      <c r="AE184" s="5"/>
      <c r="AF184" s="5"/>
      <c r="AG184" s="5"/>
    </row>
    <row r="185" spans="3:33" ht="12.75" customHeight="1">
      <c r="C185" s="5"/>
      <c r="D185" s="5"/>
      <c r="E185" s="5"/>
      <c r="F185" s="5"/>
      <c r="G185" s="217"/>
      <c r="H185" s="198"/>
      <c r="I185" s="198"/>
      <c r="J185" s="888"/>
      <c r="K185" s="217"/>
      <c r="L185" s="306"/>
      <c r="M185" s="306"/>
      <c r="N185" s="306"/>
      <c r="O185" s="306"/>
      <c r="P185" s="306"/>
      <c r="Q185" s="215"/>
      <c r="R185" s="5"/>
      <c r="S185" s="5"/>
      <c r="T185" s="5"/>
      <c r="U185" s="5"/>
      <c r="V185" s="5"/>
      <c r="W185" s="5"/>
      <c r="X185" s="5"/>
      <c r="Y185" s="5"/>
      <c r="Z185" s="5"/>
      <c r="AA185" s="5"/>
      <c r="AB185" s="5"/>
      <c r="AC185" s="5"/>
      <c r="AD185" s="5"/>
      <c r="AE185" s="5"/>
      <c r="AF185" s="5"/>
      <c r="AG185" s="5"/>
    </row>
    <row r="186" spans="3:33" ht="12.75" customHeight="1">
      <c r="C186" s="5"/>
      <c r="D186" s="5"/>
      <c r="E186" s="5"/>
      <c r="F186" s="5"/>
      <c r="G186" s="217"/>
      <c r="H186" s="198"/>
      <c r="I186" s="198"/>
      <c r="J186" s="888"/>
      <c r="K186" s="217"/>
      <c r="L186" s="306"/>
      <c r="M186" s="306"/>
      <c r="N186" s="306"/>
      <c r="O186" s="306"/>
      <c r="P186" s="306"/>
      <c r="Q186" s="215"/>
      <c r="R186" s="5"/>
      <c r="S186" s="5"/>
      <c r="T186" s="5"/>
      <c r="U186" s="5"/>
      <c r="V186" s="5"/>
      <c r="W186" s="5"/>
      <c r="X186" s="5"/>
      <c r="Y186" s="5"/>
      <c r="Z186" s="5"/>
      <c r="AA186" s="5"/>
      <c r="AB186" s="5"/>
      <c r="AC186" s="5"/>
      <c r="AD186" s="5"/>
      <c r="AE186" s="5"/>
      <c r="AF186" s="5"/>
      <c r="AG186" s="5"/>
    </row>
    <row r="187" spans="3:33" ht="12.75" customHeight="1">
      <c r="C187" s="5"/>
      <c r="D187" s="5"/>
      <c r="E187" s="5"/>
      <c r="F187" s="5"/>
      <c r="G187" s="217"/>
      <c r="H187" s="198"/>
      <c r="I187" s="198"/>
      <c r="J187" s="888"/>
      <c r="K187" s="217"/>
      <c r="L187" s="306"/>
      <c r="M187" s="306"/>
      <c r="N187" s="306"/>
      <c r="O187" s="306"/>
      <c r="P187" s="306"/>
      <c r="Q187" s="215"/>
      <c r="R187" s="5"/>
      <c r="S187" s="5"/>
      <c r="T187" s="5"/>
      <c r="U187" s="5"/>
      <c r="V187" s="5"/>
      <c r="W187" s="5"/>
      <c r="X187" s="5"/>
      <c r="Y187" s="5"/>
      <c r="Z187" s="5"/>
      <c r="AA187" s="5"/>
      <c r="AB187" s="5"/>
      <c r="AC187" s="5"/>
      <c r="AD187" s="5"/>
      <c r="AE187" s="5"/>
      <c r="AF187" s="5"/>
      <c r="AG187" s="5"/>
    </row>
    <row r="188" spans="3:33" ht="12.75" customHeight="1">
      <c r="C188" s="5"/>
      <c r="D188" s="5"/>
      <c r="E188" s="5"/>
      <c r="F188" s="5"/>
      <c r="G188" s="217"/>
      <c r="H188" s="198"/>
      <c r="I188" s="198"/>
      <c r="J188" s="888"/>
      <c r="K188" s="217"/>
      <c r="L188" s="306"/>
      <c r="M188" s="306"/>
      <c r="N188" s="306"/>
      <c r="O188" s="306"/>
      <c r="P188" s="306"/>
      <c r="Q188" s="215"/>
      <c r="R188" s="5"/>
      <c r="S188" s="5"/>
      <c r="T188" s="5"/>
      <c r="U188" s="5"/>
      <c r="V188" s="5"/>
      <c r="W188" s="5"/>
      <c r="X188" s="5"/>
      <c r="Y188" s="5"/>
      <c r="Z188" s="5"/>
      <c r="AA188" s="5"/>
      <c r="AB188" s="5"/>
      <c r="AC188" s="5"/>
      <c r="AD188" s="5"/>
      <c r="AE188" s="5"/>
      <c r="AF188" s="5"/>
      <c r="AG188" s="5"/>
    </row>
    <row r="189" spans="3:33" ht="12.75" customHeight="1">
      <c r="C189" s="5"/>
      <c r="D189" s="5"/>
      <c r="E189" s="5"/>
      <c r="F189" s="5"/>
      <c r="G189" s="217"/>
      <c r="H189" s="198"/>
      <c r="I189" s="198"/>
      <c r="J189" s="888"/>
      <c r="K189" s="217"/>
      <c r="L189" s="306"/>
      <c r="M189" s="306"/>
      <c r="N189" s="306"/>
      <c r="O189" s="306"/>
      <c r="P189" s="306"/>
      <c r="Q189" s="215"/>
      <c r="R189" s="5"/>
      <c r="S189" s="5"/>
      <c r="T189" s="5"/>
      <c r="U189" s="5"/>
      <c r="V189" s="5"/>
      <c r="W189" s="5"/>
      <c r="X189" s="5"/>
      <c r="Y189" s="5"/>
      <c r="Z189" s="5"/>
      <c r="AA189" s="5"/>
      <c r="AB189" s="5"/>
      <c r="AC189" s="5"/>
      <c r="AD189" s="5"/>
      <c r="AE189" s="5"/>
      <c r="AF189" s="5"/>
      <c r="AG189" s="5"/>
    </row>
    <row r="190" spans="3:33" ht="12.75" customHeight="1">
      <c r="C190" s="5"/>
      <c r="D190" s="5"/>
      <c r="E190" s="5"/>
      <c r="F190" s="5"/>
      <c r="G190" s="217"/>
      <c r="H190" s="198"/>
      <c r="I190" s="198"/>
      <c r="J190" s="888"/>
      <c r="K190" s="217"/>
      <c r="L190" s="306"/>
      <c r="M190" s="306"/>
      <c r="N190" s="306"/>
      <c r="O190" s="306"/>
      <c r="P190" s="306"/>
      <c r="Q190" s="215"/>
      <c r="R190" s="5"/>
      <c r="S190" s="5"/>
      <c r="T190" s="5"/>
      <c r="U190" s="5"/>
      <c r="V190" s="5"/>
      <c r="W190" s="5"/>
      <c r="X190" s="5"/>
      <c r="Y190" s="5"/>
      <c r="Z190" s="5"/>
      <c r="AA190" s="5"/>
      <c r="AB190" s="5"/>
      <c r="AC190" s="5"/>
      <c r="AD190" s="5"/>
      <c r="AE190" s="5"/>
      <c r="AF190" s="5"/>
      <c r="AG190" s="5"/>
    </row>
    <row r="191" spans="3:33" ht="12.75" customHeight="1">
      <c r="C191" s="5"/>
      <c r="D191" s="5"/>
      <c r="E191" s="5"/>
      <c r="F191" s="5"/>
      <c r="G191" s="217"/>
      <c r="H191" s="198"/>
      <c r="I191" s="198"/>
      <c r="J191" s="888"/>
      <c r="K191" s="217"/>
      <c r="L191" s="306"/>
      <c r="M191" s="306"/>
      <c r="N191" s="306"/>
      <c r="O191" s="306"/>
      <c r="P191" s="306"/>
      <c r="Q191" s="215"/>
      <c r="R191" s="5"/>
      <c r="S191" s="5"/>
      <c r="T191" s="5"/>
      <c r="U191" s="5"/>
      <c r="V191" s="5"/>
      <c r="W191" s="5"/>
      <c r="X191" s="5"/>
      <c r="Y191" s="5"/>
      <c r="Z191" s="5"/>
      <c r="AA191" s="5"/>
      <c r="AB191" s="5"/>
      <c r="AC191" s="5"/>
      <c r="AD191" s="5"/>
      <c r="AE191" s="5"/>
      <c r="AF191" s="5"/>
      <c r="AG191" s="5"/>
    </row>
    <row r="192" spans="3:33" ht="12.75" customHeight="1">
      <c r="C192" s="5"/>
      <c r="D192" s="5"/>
      <c r="E192" s="5"/>
      <c r="F192" s="5"/>
      <c r="G192" s="217"/>
      <c r="H192" s="198"/>
      <c r="I192" s="198"/>
      <c r="J192" s="888"/>
      <c r="K192" s="217"/>
      <c r="L192" s="306"/>
      <c r="M192" s="306"/>
      <c r="N192" s="306"/>
      <c r="O192" s="306"/>
      <c r="P192" s="306"/>
      <c r="Q192" s="215"/>
      <c r="R192" s="5"/>
      <c r="S192" s="5"/>
      <c r="T192" s="5"/>
      <c r="U192" s="5"/>
      <c r="V192" s="5"/>
      <c r="W192" s="5"/>
      <c r="X192" s="5"/>
      <c r="Y192" s="5"/>
      <c r="Z192" s="5"/>
      <c r="AA192" s="5"/>
      <c r="AB192" s="5"/>
      <c r="AC192" s="5"/>
      <c r="AD192" s="5"/>
      <c r="AE192" s="5"/>
      <c r="AF192" s="5"/>
      <c r="AG192" s="5"/>
    </row>
    <row r="193" spans="3:33" ht="12.75" customHeight="1">
      <c r="C193" s="5"/>
      <c r="D193" s="5"/>
      <c r="E193" s="5"/>
      <c r="F193" s="5"/>
      <c r="G193" s="217"/>
      <c r="H193" s="198"/>
      <c r="I193" s="198"/>
      <c r="J193" s="888"/>
      <c r="K193" s="217"/>
      <c r="L193" s="306"/>
      <c r="M193" s="306"/>
      <c r="N193" s="306"/>
      <c r="O193" s="306"/>
      <c r="P193" s="306"/>
      <c r="Q193" s="215"/>
      <c r="R193" s="5"/>
      <c r="S193" s="5"/>
      <c r="T193" s="5"/>
      <c r="U193" s="5"/>
      <c r="V193" s="5"/>
      <c r="W193" s="5"/>
      <c r="X193" s="5"/>
      <c r="Y193" s="5"/>
      <c r="Z193" s="5"/>
      <c r="AA193" s="5"/>
      <c r="AB193" s="5"/>
      <c r="AC193" s="5"/>
      <c r="AD193" s="5"/>
      <c r="AE193" s="5"/>
      <c r="AF193" s="5"/>
      <c r="AG193" s="5"/>
    </row>
    <row r="194" spans="3:33" ht="12.75" customHeight="1">
      <c r="C194" s="5"/>
      <c r="D194" s="5"/>
      <c r="E194" s="5"/>
      <c r="F194" s="5"/>
      <c r="G194" s="217"/>
      <c r="H194" s="198"/>
      <c r="I194" s="198"/>
      <c r="J194" s="888"/>
      <c r="K194" s="217"/>
      <c r="L194" s="306"/>
      <c r="M194" s="306"/>
      <c r="N194" s="306"/>
      <c r="O194" s="306"/>
      <c r="P194" s="306"/>
      <c r="Q194" s="215"/>
      <c r="R194" s="5"/>
      <c r="S194" s="5"/>
      <c r="T194" s="5"/>
      <c r="U194" s="5"/>
      <c r="V194" s="5"/>
      <c r="W194" s="5"/>
      <c r="X194" s="5"/>
      <c r="Y194" s="5"/>
      <c r="Z194" s="5"/>
      <c r="AA194" s="5"/>
      <c r="AB194" s="5"/>
      <c r="AC194" s="5"/>
      <c r="AD194" s="5"/>
      <c r="AE194" s="5"/>
      <c r="AF194" s="5"/>
      <c r="AG194" s="5"/>
    </row>
    <row r="195" spans="3:33" ht="12.75" customHeight="1">
      <c r="C195" s="5"/>
      <c r="D195" s="5"/>
      <c r="E195" s="5"/>
      <c r="F195" s="5"/>
      <c r="G195" s="217"/>
      <c r="H195" s="198"/>
      <c r="I195" s="198"/>
      <c r="J195" s="888"/>
      <c r="K195" s="217"/>
      <c r="L195" s="306"/>
      <c r="M195" s="306"/>
      <c r="N195" s="306"/>
      <c r="O195" s="306"/>
      <c r="P195" s="306"/>
      <c r="Q195" s="215"/>
      <c r="R195" s="5"/>
      <c r="S195" s="5"/>
      <c r="T195" s="5"/>
      <c r="U195" s="5"/>
      <c r="V195" s="5"/>
      <c r="W195" s="5"/>
      <c r="X195" s="5"/>
      <c r="Y195" s="5"/>
      <c r="Z195" s="5"/>
      <c r="AA195" s="5"/>
      <c r="AB195" s="5"/>
      <c r="AC195" s="5"/>
      <c r="AD195" s="5"/>
      <c r="AE195" s="5"/>
      <c r="AF195" s="5"/>
      <c r="AG195" s="5"/>
    </row>
    <row r="196" spans="3:33" ht="12.75" customHeight="1">
      <c r="C196" s="5"/>
      <c r="D196" s="5"/>
      <c r="E196" s="5"/>
      <c r="F196" s="5"/>
      <c r="G196" s="217"/>
      <c r="H196" s="198"/>
      <c r="I196" s="198"/>
      <c r="J196" s="888"/>
      <c r="K196" s="217"/>
      <c r="L196" s="306"/>
      <c r="M196" s="306"/>
      <c r="N196" s="306"/>
      <c r="O196" s="306"/>
      <c r="P196" s="306"/>
      <c r="Q196" s="215"/>
      <c r="R196" s="5"/>
      <c r="S196" s="5"/>
      <c r="T196" s="5"/>
      <c r="U196" s="5"/>
      <c r="V196" s="5"/>
      <c r="W196" s="5"/>
      <c r="X196" s="5"/>
      <c r="Y196" s="5"/>
      <c r="Z196" s="5"/>
      <c r="AA196" s="5"/>
      <c r="AB196" s="5"/>
      <c r="AC196" s="5"/>
      <c r="AD196" s="5"/>
      <c r="AE196" s="5"/>
      <c r="AF196" s="5"/>
      <c r="AG196" s="5"/>
    </row>
    <row r="197" spans="3:33" ht="12.75" customHeight="1">
      <c r="C197" s="5"/>
      <c r="D197" s="5"/>
      <c r="E197" s="5"/>
      <c r="F197" s="5"/>
      <c r="G197" s="217"/>
      <c r="H197" s="198"/>
      <c r="I197" s="198"/>
      <c r="J197" s="888"/>
      <c r="K197" s="217"/>
      <c r="L197" s="306"/>
      <c r="M197" s="306"/>
      <c r="N197" s="306"/>
      <c r="O197" s="306"/>
      <c r="P197" s="306"/>
      <c r="Q197" s="215"/>
      <c r="R197" s="5"/>
      <c r="S197" s="5"/>
      <c r="T197" s="5"/>
      <c r="U197" s="5"/>
      <c r="V197" s="5"/>
      <c r="W197" s="5"/>
      <c r="X197" s="5"/>
      <c r="Y197" s="5"/>
      <c r="Z197" s="5"/>
      <c r="AA197" s="5"/>
      <c r="AB197" s="5"/>
      <c r="AC197" s="5"/>
      <c r="AD197" s="5"/>
      <c r="AE197" s="5"/>
      <c r="AF197" s="5"/>
      <c r="AG197" s="5"/>
    </row>
    <row r="198" spans="3:33" ht="12.75" customHeight="1">
      <c r="C198" s="5"/>
      <c r="D198" s="5"/>
      <c r="E198" s="5"/>
      <c r="F198" s="5"/>
      <c r="G198" s="217"/>
      <c r="H198" s="198"/>
      <c r="I198" s="198"/>
      <c r="J198" s="888"/>
      <c r="K198" s="217"/>
      <c r="L198" s="306"/>
      <c r="M198" s="306"/>
      <c r="N198" s="306"/>
      <c r="O198" s="306"/>
      <c r="P198" s="306"/>
      <c r="Q198" s="215"/>
      <c r="R198" s="5"/>
      <c r="S198" s="5"/>
      <c r="T198" s="5"/>
      <c r="U198" s="5"/>
      <c r="V198" s="5"/>
      <c r="W198" s="5"/>
      <c r="X198" s="5"/>
      <c r="Y198" s="5"/>
      <c r="Z198" s="5"/>
      <c r="AA198" s="5"/>
      <c r="AB198" s="5"/>
      <c r="AC198" s="5"/>
      <c r="AD198" s="5"/>
      <c r="AE198" s="5"/>
      <c r="AF198" s="5"/>
      <c r="AG198" s="5"/>
    </row>
    <row r="199" spans="3:33" ht="12.75" customHeight="1">
      <c r="C199" s="5"/>
      <c r="D199" s="5"/>
      <c r="E199" s="5"/>
      <c r="F199" s="5"/>
      <c r="G199" s="217"/>
      <c r="H199" s="198"/>
      <c r="I199" s="198"/>
      <c r="J199" s="888"/>
      <c r="K199" s="217"/>
      <c r="L199" s="306"/>
      <c r="M199" s="306"/>
      <c r="N199" s="306"/>
      <c r="O199" s="306"/>
      <c r="P199" s="306"/>
      <c r="Q199" s="215"/>
      <c r="R199" s="5"/>
      <c r="S199" s="5"/>
      <c r="T199" s="5"/>
      <c r="U199" s="5"/>
      <c r="V199" s="5"/>
      <c r="W199" s="5"/>
      <c r="X199" s="5"/>
      <c r="Y199" s="5"/>
      <c r="Z199" s="5"/>
      <c r="AA199" s="5"/>
      <c r="AB199" s="5"/>
      <c r="AC199" s="5"/>
      <c r="AD199" s="5"/>
      <c r="AE199" s="5"/>
      <c r="AF199" s="5"/>
      <c r="AG199" s="5"/>
    </row>
    <row r="200" spans="3:33" ht="12.75" customHeight="1">
      <c r="C200" s="5"/>
      <c r="D200" s="5"/>
      <c r="E200" s="5"/>
      <c r="F200" s="5"/>
      <c r="G200" s="217"/>
      <c r="H200" s="198"/>
      <c r="I200" s="198"/>
      <c r="J200" s="888"/>
      <c r="K200" s="217"/>
      <c r="L200" s="306"/>
      <c r="M200" s="306"/>
      <c r="N200" s="306"/>
      <c r="O200" s="306"/>
      <c r="P200" s="306"/>
      <c r="Q200" s="215"/>
      <c r="R200" s="5"/>
      <c r="S200" s="5"/>
      <c r="T200" s="5"/>
      <c r="U200" s="5"/>
      <c r="V200" s="5"/>
      <c r="W200" s="5"/>
      <c r="X200" s="5"/>
      <c r="Y200" s="5"/>
      <c r="Z200" s="5"/>
      <c r="AA200" s="5"/>
      <c r="AB200" s="5"/>
      <c r="AC200" s="5"/>
      <c r="AD200" s="5"/>
      <c r="AE200" s="5"/>
      <c r="AF200" s="5"/>
      <c r="AG200" s="5"/>
    </row>
    <row r="201" spans="3:33" ht="12.75" customHeight="1">
      <c r="C201" s="5"/>
      <c r="D201" s="5"/>
      <c r="E201" s="5"/>
      <c r="F201" s="5"/>
      <c r="G201" s="217"/>
      <c r="H201" s="198"/>
      <c r="I201" s="198"/>
      <c r="J201" s="888"/>
      <c r="K201" s="217"/>
      <c r="L201" s="306"/>
      <c r="M201" s="306"/>
      <c r="N201" s="306"/>
      <c r="O201" s="306"/>
      <c r="P201" s="306"/>
      <c r="Q201" s="215"/>
      <c r="R201" s="5"/>
      <c r="S201" s="5"/>
      <c r="T201" s="5"/>
      <c r="U201" s="5"/>
      <c r="V201" s="5"/>
      <c r="W201" s="5"/>
      <c r="X201" s="5"/>
      <c r="Y201" s="5"/>
      <c r="Z201" s="5"/>
      <c r="AA201" s="5"/>
      <c r="AB201" s="5"/>
      <c r="AC201" s="5"/>
      <c r="AD201" s="5"/>
      <c r="AE201" s="5"/>
      <c r="AF201" s="5"/>
      <c r="AG201" s="5"/>
    </row>
    <row r="202" spans="3:33" ht="12.75" customHeight="1">
      <c r="C202" s="5"/>
      <c r="D202" s="5"/>
      <c r="E202" s="5"/>
      <c r="F202" s="5"/>
      <c r="G202" s="217"/>
      <c r="H202" s="198"/>
      <c r="I202" s="198"/>
      <c r="J202" s="888"/>
      <c r="K202" s="217"/>
      <c r="L202" s="306"/>
      <c r="M202" s="306"/>
      <c r="N202" s="306"/>
      <c r="O202" s="306"/>
      <c r="P202" s="306"/>
      <c r="Q202" s="215"/>
      <c r="R202" s="5"/>
      <c r="S202" s="5"/>
      <c r="T202" s="5"/>
      <c r="U202" s="5"/>
      <c r="V202" s="5"/>
      <c r="W202" s="5"/>
      <c r="X202" s="5"/>
      <c r="Y202" s="5"/>
      <c r="Z202" s="5"/>
      <c r="AA202" s="5"/>
      <c r="AB202" s="5"/>
      <c r="AC202" s="5"/>
      <c r="AD202" s="5"/>
      <c r="AE202" s="5"/>
      <c r="AF202" s="5"/>
      <c r="AG202" s="5"/>
    </row>
    <row r="203" spans="3:33" ht="12.75" customHeight="1">
      <c r="C203" s="5"/>
      <c r="D203" s="5"/>
      <c r="E203" s="5"/>
      <c r="F203" s="5"/>
      <c r="G203" s="217"/>
      <c r="H203" s="198"/>
      <c r="I203" s="198"/>
      <c r="J203" s="888"/>
      <c r="K203" s="217"/>
      <c r="L203" s="306"/>
      <c r="M203" s="306"/>
      <c r="N203" s="306"/>
      <c r="O203" s="306"/>
      <c r="P203" s="306"/>
      <c r="Q203" s="215"/>
      <c r="R203" s="5"/>
      <c r="S203" s="5"/>
      <c r="T203" s="5"/>
      <c r="U203" s="5"/>
      <c r="V203" s="5"/>
      <c r="W203" s="5"/>
      <c r="X203" s="5"/>
      <c r="Y203" s="5"/>
      <c r="Z203" s="5"/>
      <c r="AA203" s="5"/>
      <c r="AB203" s="5"/>
      <c r="AC203" s="5"/>
      <c r="AD203" s="5"/>
      <c r="AE203" s="5"/>
      <c r="AF203" s="5"/>
      <c r="AG203" s="5"/>
    </row>
    <row r="204" spans="3:33" ht="12.75" customHeight="1">
      <c r="C204" s="5"/>
      <c r="D204" s="5"/>
      <c r="E204" s="5"/>
      <c r="F204" s="5"/>
      <c r="G204" s="217"/>
      <c r="H204" s="198"/>
      <c r="I204" s="198"/>
      <c r="J204" s="888"/>
      <c r="K204" s="217"/>
      <c r="L204" s="306"/>
      <c r="M204" s="306"/>
      <c r="N204" s="306"/>
      <c r="O204" s="306"/>
      <c r="P204" s="306"/>
      <c r="Q204" s="215"/>
      <c r="R204" s="5"/>
      <c r="S204" s="5"/>
      <c r="T204" s="5"/>
      <c r="U204" s="5"/>
      <c r="V204" s="5"/>
      <c r="W204" s="5"/>
      <c r="X204" s="5"/>
      <c r="Y204" s="5"/>
      <c r="Z204" s="5"/>
      <c r="AA204" s="5"/>
      <c r="AB204" s="5"/>
      <c r="AC204" s="5"/>
      <c r="AD204" s="5"/>
      <c r="AE204" s="5"/>
      <c r="AF204" s="5"/>
      <c r="AG204" s="5"/>
    </row>
    <row r="205" spans="3:33" ht="12.75" customHeight="1">
      <c r="C205" s="5"/>
      <c r="D205" s="5"/>
      <c r="E205" s="5"/>
      <c r="F205" s="5"/>
      <c r="G205" s="217"/>
      <c r="H205" s="198"/>
      <c r="I205" s="198"/>
      <c r="J205" s="888"/>
      <c r="K205" s="217"/>
      <c r="L205" s="306"/>
      <c r="M205" s="306"/>
      <c r="N205" s="306"/>
      <c r="O205" s="306"/>
      <c r="P205" s="306"/>
      <c r="Q205" s="215"/>
      <c r="R205" s="5"/>
      <c r="S205" s="5"/>
      <c r="T205" s="5"/>
      <c r="U205" s="5"/>
      <c r="V205" s="5"/>
      <c r="W205" s="5"/>
      <c r="X205" s="5"/>
      <c r="Y205" s="5"/>
      <c r="Z205" s="5"/>
      <c r="AA205" s="5"/>
      <c r="AB205" s="5"/>
      <c r="AC205" s="5"/>
      <c r="AD205" s="5"/>
      <c r="AE205" s="5"/>
      <c r="AF205" s="5"/>
      <c r="AG205" s="5"/>
    </row>
    <row r="206" spans="3:33" ht="12.75" customHeight="1">
      <c r="C206" s="5"/>
      <c r="D206" s="5"/>
      <c r="E206" s="5"/>
      <c r="F206" s="5"/>
      <c r="G206" s="217"/>
      <c r="H206" s="198"/>
      <c r="I206" s="198"/>
      <c r="J206" s="888"/>
      <c r="K206" s="217"/>
      <c r="L206" s="306"/>
      <c r="M206" s="306"/>
      <c r="N206" s="306"/>
      <c r="O206" s="306"/>
      <c r="P206" s="306"/>
      <c r="Q206" s="215"/>
      <c r="R206" s="5"/>
      <c r="S206" s="5"/>
      <c r="T206" s="5"/>
      <c r="U206" s="5"/>
      <c r="V206" s="5"/>
      <c r="W206" s="5"/>
      <c r="X206" s="5"/>
      <c r="Y206" s="5"/>
      <c r="Z206" s="5"/>
      <c r="AA206" s="5"/>
      <c r="AB206" s="5"/>
      <c r="AC206" s="5"/>
      <c r="AD206" s="5"/>
      <c r="AE206" s="5"/>
      <c r="AF206" s="5"/>
      <c r="AG206" s="5"/>
    </row>
    <row r="207" spans="3:33" ht="12.75" customHeight="1">
      <c r="C207" s="5"/>
      <c r="D207" s="5"/>
      <c r="E207" s="5"/>
      <c r="F207" s="5"/>
      <c r="G207" s="217"/>
      <c r="H207" s="198"/>
      <c r="I207" s="198"/>
      <c r="J207" s="888"/>
      <c r="K207" s="217"/>
      <c r="L207" s="306"/>
      <c r="M207" s="306"/>
      <c r="N207" s="306"/>
      <c r="O207" s="306"/>
      <c r="P207" s="306"/>
      <c r="Q207" s="215"/>
      <c r="R207" s="5"/>
      <c r="S207" s="5"/>
      <c r="T207" s="5"/>
      <c r="U207" s="5"/>
      <c r="V207" s="5"/>
      <c r="W207" s="5"/>
      <c r="X207" s="5"/>
      <c r="Y207" s="5"/>
      <c r="Z207" s="5"/>
      <c r="AA207" s="5"/>
      <c r="AB207" s="5"/>
      <c r="AC207" s="5"/>
      <c r="AD207" s="5"/>
      <c r="AE207" s="5"/>
      <c r="AF207" s="5"/>
      <c r="AG207" s="5"/>
    </row>
    <row r="208" spans="3:33" ht="12.75" customHeight="1">
      <c r="C208" s="5"/>
      <c r="D208" s="5"/>
      <c r="E208" s="5"/>
      <c r="F208" s="5"/>
      <c r="G208" s="217"/>
      <c r="H208" s="198"/>
      <c r="I208" s="198"/>
      <c r="J208" s="888"/>
      <c r="K208" s="217"/>
      <c r="L208" s="306"/>
      <c r="M208" s="306"/>
      <c r="N208" s="306"/>
      <c r="O208" s="306"/>
      <c r="P208" s="306"/>
      <c r="Q208" s="215"/>
      <c r="R208" s="5"/>
      <c r="S208" s="5"/>
      <c r="T208" s="5"/>
      <c r="U208" s="5"/>
      <c r="V208" s="5"/>
      <c r="W208" s="5"/>
      <c r="X208" s="5"/>
      <c r="Y208" s="5"/>
      <c r="Z208" s="5"/>
      <c r="AA208" s="5"/>
      <c r="AB208" s="5"/>
      <c r="AC208" s="5"/>
      <c r="AD208" s="5"/>
      <c r="AE208" s="5"/>
      <c r="AF208" s="5"/>
      <c r="AG208" s="5"/>
    </row>
    <row r="209" spans="3:33" ht="12.75" customHeight="1">
      <c r="C209" s="5"/>
      <c r="D209" s="5"/>
      <c r="E209" s="5"/>
      <c r="F209" s="5"/>
      <c r="G209" s="217"/>
      <c r="H209" s="198"/>
      <c r="I209" s="198"/>
      <c r="J209" s="888"/>
      <c r="K209" s="217"/>
      <c r="L209" s="306"/>
      <c r="M209" s="306"/>
      <c r="N209" s="306"/>
      <c r="O209" s="306"/>
      <c r="P209" s="306"/>
      <c r="Q209" s="215"/>
      <c r="R209" s="5"/>
      <c r="S209" s="5"/>
      <c r="T209" s="5"/>
      <c r="U209" s="5"/>
      <c r="V209" s="5"/>
      <c r="W209" s="5"/>
      <c r="X209" s="5"/>
      <c r="Y209" s="5"/>
      <c r="Z209" s="5"/>
      <c r="AA209" s="5"/>
      <c r="AB209" s="5"/>
      <c r="AC209" s="5"/>
      <c r="AD209" s="5"/>
      <c r="AE209" s="5"/>
      <c r="AF209" s="5"/>
      <c r="AG209" s="5"/>
    </row>
    <row r="210" spans="3:33" ht="12.75" customHeight="1">
      <c r="C210" s="5"/>
      <c r="D210" s="5"/>
      <c r="E210" s="5"/>
      <c r="F210" s="5"/>
      <c r="G210" s="217"/>
      <c r="H210" s="198"/>
      <c r="I210" s="198"/>
      <c r="J210" s="888"/>
      <c r="K210" s="217"/>
      <c r="L210" s="306"/>
      <c r="M210" s="306"/>
      <c r="N210" s="306"/>
      <c r="O210" s="306"/>
      <c r="P210" s="306"/>
      <c r="Q210" s="215"/>
      <c r="R210" s="5"/>
      <c r="S210" s="5"/>
      <c r="T210" s="5"/>
      <c r="U210" s="5"/>
      <c r="V210" s="5"/>
      <c r="W210" s="5"/>
      <c r="X210" s="5"/>
      <c r="Y210" s="5"/>
      <c r="Z210" s="5"/>
      <c r="AA210" s="5"/>
      <c r="AB210" s="5"/>
      <c r="AC210" s="5"/>
      <c r="AD210" s="5"/>
      <c r="AE210" s="5"/>
      <c r="AF210" s="5"/>
      <c r="AG210" s="5"/>
    </row>
    <row r="211" spans="3:33" ht="12.75" customHeight="1">
      <c r="C211" s="5"/>
      <c r="D211" s="5"/>
      <c r="E211" s="5"/>
      <c r="F211" s="5"/>
      <c r="G211" s="217"/>
      <c r="H211" s="198"/>
      <c r="I211" s="198"/>
      <c r="J211" s="888"/>
      <c r="K211" s="217"/>
      <c r="L211" s="306"/>
      <c r="M211" s="306"/>
      <c r="N211" s="306"/>
      <c r="O211" s="306"/>
      <c r="P211" s="306"/>
      <c r="Q211" s="215"/>
      <c r="R211" s="5"/>
      <c r="S211" s="5"/>
      <c r="T211" s="5"/>
      <c r="U211" s="5"/>
      <c r="V211" s="5"/>
      <c r="W211" s="5"/>
      <c r="X211" s="5"/>
      <c r="Y211" s="5"/>
      <c r="Z211" s="5"/>
      <c r="AA211" s="5"/>
      <c r="AB211" s="5"/>
      <c r="AC211" s="5"/>
      <c r="AD211" s="5"/>
      <c r="AE211" s="5"/>
      <c r="AF211" s="5"/>
      <c r="AG211" s="5"/>
    </row>
    <row r="212" spans="3:33" ht="12.75" customHeight="1">
      <c r="C212" s="5"/>
      <c r="D212" s="5"/>
      <c r="E212" s="5"/>
      <c r="F212" s="5"/>
      <c r="G212" s="217"/>
      <c r="H212" s="198"/>
      <c r="I212" s="198"/>
      <c r="J212" s="888"/>
      <c r="K212" s="217"/>
      <c r="L212" s="306"/>
      <c r="M212" s="306"/>
      <c r="N212" s="306"/>
      <c r="O212" s="306"/>
      <c r="P212" s="306"/>
      <c r="Q212" s="215"/>
      <c r="R212" s="5"/>
      <c r="S212" s="5"/>
      <c r="T212" s="5"/>
      <c r="U212" s="5"/>
      <c r="V212" s="5"/>
      <c r="W212" s="5"/>
      <c r="X212" s="5"/>
      <c r="Y212" s="5"/>
      <c r="Z212" s="5"/>
      <c r="AA212" s="5"/>
      <c r="AB212" s="5"/>
      <c r="AC212" s="5"/>
      <c r="AD212" s="5"/>
      <c r="AE212" s="5"/>
      <c r="AF212" s="5"/>
      <c r="AG212" s="5"/>
    </row>
    <row r="213" spans="3:33" ht="12.75" customHeight="1">
      <c r="C213" s="5"/>
      <c r="D213" s="5"/>
      <c r="E213" s="5"/>
      <c r="F213" s="5"/>
      <c r="G213" s="217"/>
      <c r="H213" s="198"/>
      <c r="I213" s="198"/>
      <c r="J213" s="888"/>
      <c r="K213" s="217"/>
      <c r="L213" s="306"/>
      <c r="M213" s="306"/>
      <c r="N213" s="306"/>
      <c r="O213" s="306"/>
      <c r="P213" s="306"/>
      <c r="Q213" s="215"/>
      <c r="R213" s="5"/>
      <c r="S213" s="5"/>
      <c r="T213" s="5"/>
      <c r="U213" s="5"/>
      <c r="V213" s="5"/>
      <c r="W213" s="5"/>
      <c r="X213" s="5"/>
      <c r="Y213" s="5"/>
      <c r="Z213" s="5"/>
      <c r="AA213" s="5"/>
      <c r="AB213" s="5"/>
      <c r="AC213" s="5"/>
      <c r="AD213" s="5"/>
      <c r="AE213" s="5"/>
      <c r="AF213" s="5"/>
      <c r="AG213" s="5"/>
    </row>
    <row r="214" spans="3:33" ht="12.75" customHeight="1">
      <c r="C214" s="5"/>
      <c r="D214" s="5"/>
      <c r="E214" s="5"/>
      <c r="F214" s="5"/>
      <c r="G214" s="217"/>
      <c r="H214" s="198"/>
      <c r="I214" s="198"/>
      <c r="J214" s="888"/>
      <c r="K214" s="217"/>
      <c r="L214" s="306"/>
      <c r="M214" s="306"/>
      <c r="N214" s="306"/>
      <c r="O214" s="306"/>
      <c r="P214" s="306"/>
      <c r="Q214" s="215"/>
      <c r="R214" s="5"/>
      <c r="S214" s="5"/>
      <c r="T214" s="5"/>
      <c r="U214" s="5"/>
      <c r="V214" s="5"/>
      <c r="W214" s="5"/>
      <c r="X214" s="5"/>
      <c r="Y214" s="5"/>
      <c r="Z214" s="5"/>
      <c r="AA214" s="5"/>
      <c r="AB214" s="5"/>
      <c r="AC214" s="5"/>
      <c r="AD214" s="5"/>
      <c r="AE214" s="5"/>
      <c r="AF214" s="5"/>
      <c r="AG214" s="5"/>
    </row>
    <row r="215" spans="3:33" ht="12.75" customHeight="1">
      <c r="C215" s="5"/>
      <c r="D215" s="5"/>
      <c r="E215" s="5"/>
      <c r="F215" s="5"/>
      <c r="G215" s="217"/>
      <c r="H215" s="198"/>
      <c r="I215" s="198"/>
      <c r="J215" s="888"/>
      <c r="K215" s="217"/>
      <c r="L215" s="306"/>
      <c r="M215" s="306"/>
      <c r="N215" s="306"/>
      <c r="O215" s="306"/>
      <c r="P215" s="306"/>
      <c r="Q215" s="215"/>
      <c r="R215" s="5"/>
      <c r="S215" s="5"/>
      <c r="T215" s="5"/>
      <c r="U215" s="5"/>
      <c r="V215" s="5"/>
      <c r="W215" s="5"/>
      <c r="X215" s="5"/>
      <c r="Y215" s="5"/>
      <c r="Z215" s="5"/>
      <c r="AA215" s="5"/>
      <c r="AB215" s="5"/>
      <c r="AC215" s="5"/>
      <c r="AD215" s="5"/>
      <c r="AE215" s="5"/>
      <c r="AF215" s="5"/>
      <c r="AG215" s="5"/>
    </row>
    <row r="216" spans="3:33" ht="12.75" customHeight="1">
      <c r="C216" s="5"/>
      <c r="D216" s="5"/>
      <c r="E216" s="5"/>
      <c r="F216" s="5"/>
      <c r="G216" s="217"/>
      <c r="H216" s="198"/>
      <c r="I216" s="198"/>
      <c r="J216" s="888"/>
      <c r="K216" s="217"/>
      <c r="L216" s="306"/>
      <c r="M216" s="306"/>
      <c r="N216" s="306"/>
      <c r="O216" s="306"/>
      <c r="P216" s="306"/>
      <c r="Q216" s="215"/>
      <c r="R216" s="5"/>
      <c r="S216" s="5"/>
      <c r="T216" s="5"/>
      <c r="U216" s="5"/>
      <c r="V216" s="5"/>
      <c r="W216" s="5"/>
      <c r="X216" s="5"/>
      <c r="Y216" s="5"/>
      <c r="Z216" s="5"/>
      <c r="AA216" s="5"/>
      <c r="AB216" s="5"/>
      <c r="AC216" s="5"/>
      <c r="AD216" s="5"/>
      <c r="AE216" s="5"/>
      <c r="AF216" s="5"/>
      <c r="AG216" s="5"/>
    </row>
    <row r="217" spans="3:33" ht="12.75" customHeight="1">
      <c r="C217" s="5"/>
      <c r="D217" s="5"/>
      <c r="E217" s="5"/>
      <c r="F217" s="5"/>
      <c r="G217" s="217"/>
      <c r="H217" s="198"/>
      <c r="I217" s="198"/>
      <c r="J217" s="888"/>
      <c r="K217" s="217"/>
      <c r="L217" s="306"/>
      <c r="M217" s="306"/>
      <c r="N217" s="306"/>
      <c r="O217" s="306"/>
      <c r="P217" s="306"/>
      <c r="Q217" s="215"/>
      <c r="R217" s="5"/>
      <c r="S217" s="5"/>
      <c r="T217" s="5"/>
      <c r="U217" s="5"/>
      <c r="V217" s="5"/>
      <c r="W217" s="5"/>
      <c r="X217" s="5"/>
      <c r="Y217" s="5"/>
      <c r="Z217" s="5"/>
      <c r="AA217" s="5"/>
      <c r="AB217" s="5"/>
      <c r="AC217" s="5"/>
      <c r="AD217" s="5"/>
      <c r="AE217" s="5"/>
      <c r="AF217" s="5"/>
      <c r="AG217" s="5"/>
    </row>
    <row r="218" spans="3:33" ht="12.75" customHeight="1">
      <c r="C218" s="5"/>
      <c r="D218" s="5"/>
      <c r="E218" s="5"/>
      <c r="F218" s="5"/>
      <c r="G218" s="217"/>
      <c r="H218" s="198"/>
      <c r="I218" s="198"/>
      <c r="J218" s="888"/>
      <c r="K218" s="217"/>
      <c r="L218" s="306"/>
      <c r="M218" s="306"/>
      <c r="N218" s="306"/>
      <c r="O218" s="306"/>
      <c r="P218" s="306"/>
      <c r="Q218" s="215"/>
      <c r="R218" s="5"/>
      <c r="S218" s="5"/>
      <c r="T218" s="5"/>
      <c r="U218" s="5"/>
      <c r="V218" s="5"/>
      <c r="W218" s="5"/>
      <c r="X218" s="5"/>
      <c r="Y218" s="5"/>
      <c r="Z218" s="5"/>
      <c r="AA218" s="5"/>
      <c r="AB218" s="5"/>
      <c r="AC218" s="5"/>
      <c r="AD218" s="5"/>
      <c r="AE218" s="5"/>
      <c r="AF218" s="5"/>
      <c r="AG218" s="5"/>
    </row>
    <row r="219" spans="3:33" ht="12.75" customHeight="1">
      <c r="C219" s="5"/>
      <c r="D219" s="5"/>
      <c r="E219" s="5"/>
      <c r="F219" s="5"/>
      <c r="G219" s="217"/>
      <c r="H219" s="198"/>
      <c r="I219" s="198"/>
      <c r="J219" s="888"/>
      <c r="K219" s="217"/>
      <c r="L219" s="306"/>
      <c r="M219" s="306"/>
      <c r="N219" s="306"/>
      <c r="O219" s="306"/>
      <c r="P219" s="306"/>
      <c r="Q219" s="215"/>
      <c r="R219" s="5"/>
      <c r="S219" s="5"/>
      <c r="T219" s="5"/>
      <c r="U219" s="5"/>
      <c r="V219" s="5"/>
      <c r="W219" s="5"/>
      <c r="X219" s="5"/>
      <c r="Y219" s="5"/>
      <c r="Z219" s="5"/>
      <c r="AA219" s="5"/>
      <c r="AB219" s="5"/>
      <c r="AC219" s="5"/>
      <c r="AD219" s="5"/>
      <c r="AE219" s="5"/>
      <c r="AF219" s="5"/>
      <c r="AG219" s="5"/>
    </row>
    <row r="220" spans="3:33" ht="12.75" customHeight="1">
      <c r="C220" s="5"/>
      <c r="D220" s="5"/>
      <c r="E220" s="5"/>
      <c r="F220" s="5"/>
      <c r="G220" s="217"/>
      <c r="H220" s="198"/>
      <c r="I220" s="198"/>
      <c r="J220" s="888"/>
      <c r="K220" s="217"/>
      <c r="L220" s="306"/>
      <c r="M220" s="306"/>
      <c r="N220" s="306"/>
      <c r="O220" s="306"/>
      <c r="P220" s="306"/>
      <c r="Q220" s="215"/>
      <c r="R220" s="5"/>
      <c r="S220" s="5"/>
      <c r="T220" s="5"/>
      <c r="U220" s="5"/>
      <c r="V220" s="5"/>
      <c r="W220" s="5"/>
      <c r="X220" s="5"/>
      <c r="Y220" s="5"/>
      <c r="Z220" s="5"/>
      <c r="AA220" s="5"/>
      <c r="AB220" s="5"/>
      <c r="AC220" s="5"/>
      <c r="AD220" s="5"/>
      <c r="AE220" s="5"/>
      <c r="AF220" s="5"/>
      <c r="AG220" s="5"/>
    </row>
    <row r="221" spans="3:33" ht="12.75" customHeight="1">
      <c r="C221" s="5"/>
      <c r="D221" s="5"/>
      <c r="E221" s="5"/>
      <c r="F221" s="5"/>
      <c r="G221" s="217"/>
      <c r="H221" s="198"/>
      <c r="I221" s="198"/>
      <c r="J221" s="888"/>
      <c r="K221" s="217"/>
      <c r="L221" s="306"/>
      <c r="M221" s="306"/>
      <c r="N221" s="306"/>
      <c r="O221" s="306"/>
      <c r="P221" s="306"/>
      <c r="Q221" s="215"/>
      <c r="R221" s="5"/>
      <c r="S221" s="5"/>
      <c r="T221" s="5"/>
      <c r="U221" s="5"/>
      <c r="V221" s="5"/>
      <c r="W221" s="5"/>
      <c r="X221" s="5"/>
      <c r="Y221" s="5"/>
      <c r="Z221" s="5"/>
      <c r="AA221" s="5"/>
      <c r="AB221" s="5"/>
      <c r="AC221" s="5"/>
      <c r="AD221" s="5"/>
      <c r="AE221" s="5"/>
      <c r="AF221" s="5"/>
      <c r="AG221" s="5"/>
    </row>
    <row r="222" spans="3:33" ht="12.75" customHeight="1">
      <c r="C222" s="5"/>
      <c r="D222" s="5"/>
      <c r="E222" s="5"/>
      <c r="F222" s="5"/>
      <c r="G222" s="217"/>
      <c r="H222" s="198"/>
      <c r="I222" s="198"/>
      <c r="J222" s="888"/>
      <c r="K222" s="217"/>
      <c r="L222" s="306"/>
      <c r="M222" s="306"/>
      <c r="N222" s="306"/>
      <c r="O222" s="306"/>
      <c r="P222" s="306"/>
      <c r="Q222" s="215"/>
      <c r="R222" s="5"/>
      <c r="S222" s="5"/>
      <c r="T222" s="5"/>
      <c r="U222" s="5"/>
      <c r="V222" s="5"/>
      <c r="W222" s="5"/>
      <c r="X222" s="5"/>
      <c r="Y222" s="5"/>
      <c r="Z222" s="5"/>
      <c r="AA222" s="5"/>
      <c r="AB222" s="5"/>
      <c r="AC222" s="5"/>
      <c r="AD222" s="5"/>
      <c r="AE222" s="5"/>
      <c r="AF222" s="5"/>
      <c r="AG222" s="5"/>
    </row>
    <row r="223" spans="3:33" ht="12.75" customHeight="1">
      <c r="C223" s="5"/>
      <c r="D223" s="5"/>
      <c r="E223" s="5"/>
      <c r="F223" s="5"/>
      <c r="G223" s="217"/>
      <c r="H223" s="198"/>
      <c r="I223" s="198"/>
      <c r="J223" s="888"/>
      <c r="K223" s="217"/>
      <c r="L223" s="306"/>
      <c r="M223" s="306"/>
      <c r="N223" s="306"/>
      <c r="O223" s="306"/>
      <c r="P223" s="306"/>
      <c r="Q223" s="215"/>
      <c r="R223" s="5"/>
      <c r="S223" s="5"/>
      <c r="T223" s="5"/>
      <c r="U223" s="5"/>
      <c r="V223" s="5"/>
      <c r="W223" s="5"/>
      <c r="X223" s="5"/>
      <c r="Y223" s="5"/>
      <c r="Z223" s="5"/>
      <c r="AA223" s="5"/>
      <c r="AB223" s="5"/>
      <c r="AC223" s="5"/>
      <c r="AD223" s="5"/>
      <c r="AE223" s="5"/>
      <c r="AF223" s="5"/>
      <c r="AG223" s="5"/>
    </row>
    <row r="224" spans="3:33" ht="12.75" customHeight="1">
      <c r="C224" s="5"/>
      <c r="D224" s="5"/>
      <c r="E224" s="5"/>
      <c r="F224" s="5"/>
      <c r="G224" s="217"/>
      <c r="H224" s="198"/>
      <c r="I224" s="198"/>
      <c r="J224" s="888"/>
      <c r="K224" s="217"/>
      <c r="L224" s="306"/>
      <c r="M224" s="306"/>
      <c r="N224" s="306"/>
      <c r="O224" s="306"/>
      <c r="P224" s="306"/>
      <c r="Q224" s="215"/>
      <c r="R224" s="5"/>
      <c r="S224" s="5"/>
      <c r="T224" s="5"/>
      <c r="U224" s="5"/>
      <c r="V224" s="5"/>
      <c r="W224" s="5"/>
      <c r="X224" s="5"/>
      <c r="Y224" s="5"/>
      <c r="Z224" s="5"/>
      <c r="AA224" s="5"/>
      <c r="AB224" s="5"/>
      <c r="AC224" s="5"/>
      <c r="AD224" s="5"/>
      <c r="AE224" s="5"/>
      <c r="AF224" s="5"/>
      <c r="AG224" s="5"/>
    </row>
    <row r="225" spans="3:33" ht="12.75" customHeight="1">
      <c r="C225" s="5"/>
      <c r="D225" s="5"/>
      <c r="E225" s="5"/>
      <c r="F225" s="5"/>
      <c r="G225" s="217"/>
      <c r="H225" s="198"/>
      <c r="I225" s="198"/>
      <c r="J225" s="888"/>
      <c r="K225" s="217"/>
      <c r="L225" s="306"/>
      <c r="M225" s="306"/>
      <c r="N225" s="306"/>
      <c r="O225" s="306"/>
      <c r="P225" s="306"/>
      <c r="Q225" s="215"/>
      <c r="R225" s="5"/>
      <c r="S225" s="5"/>
      <c r="T225" s="5"/>
      <c r="U225" s="5"/>
      <c r="V225" s="5"/>
      <c r="W225" s="5"/>
      <c r="X225" s="5"/>
      <c r="Y225" s="5"/>
      <c r="Z225" s="5"/>
      <c r="AA225" s="5"/>
      <c r="AB225" s="5"/>
      <c r="AC225" s="5"/>
      <c r="AD225" s="5"/>
      <c r="AE225" s="5"/>
      <c r="AF225" s="5"/>
      <c r="AG225" s="5"/>
    </row>
    <row r="226" spans="3:33" ht="12.75" customHeight="1">
      <c r="C226" s="5"/>
      <c r="D226" s="5"/>
      <c r="E226" s="5"/>
      <c r="F226" s="5"/>
      <c r="G226" s="217"/>
      <c r="H226" s="198"/>
      <c r="I226" s="198"/>
      <c r="J226" s="888"/>
      <c r="K226" s="217"/>
      <c r="L226" s="306"/>
      <c r="M226" s="306"/>
      <c r="N226" s="306"/>
      <c r="O226" s="306"/>
      <c r="P226" s="306"/>
      <c r="Q226" s="215"/>
      <c r="R226" s="5"/>
      <c r="S226" s="5"/>
      <c r="T226" s="5"/>
      <c r="U226" s="5"/>
      <c r="V226" s="5"/>
      <c r="W226" s="5"/>
      <c r="X226" s="5"/>
      <c r="Y226" s="5"/>
      <c r="Z226" s="5"/>
      <c r="AA226" s="5"/>
      <c r="AB226" s="5"/>
      <c r="AC226" s="5"/>
      <c r="AD226" s="5"/>
      <c r="AE226" s="5"/>
      <c r="AF226" s="5"/>
      <c r="AG226" s="5"/>
    </row>
    <row r="227" spans="3:33" ht="12.75" customHeight="1">
      <c r="C227" s="5"/>
      <c r="D227" s="5"/>
      <c r="E227" s="5"/>
      <c r="F227" s="5"/>
      <c r="G227" s="217"/>
      <c r="H227" s="198"/>
      <c r="I227" s="198"/>
      <c r="J227" s="888"/>
      <c r="K227" s="217"/>
      <c r="L227" s="306"/>
      <c r="M227" s="306"/>
      <c r="N227" s="306"/>
      <c r="O227" s="306"/>
      <c r="P227" s="306"/>
      <c r="Q227" s="215"/>
      <c r="R227" s="5"/>
      <c r="S227" s="5"/>
      <c r="T227" s="5"/>
      <c r="U227" s="5"/>
      <c r="V227" s="5"/>
      <c r="W227" s="5"/>
      <c r="X227" s="5"/>
      <c r="Y227" s="5"/>
      <c r="Z227" s="5"/>
      <c r="AA227" s="5"/>
      <c r="AB227" s="5"/>
      <c r="AC227" s="5"/>
      <c r="AD227" s="5"/>
      <c r="AE227" s="5"/>
      <c r="AF227" s="5"/>
      <c r="AG227" s="5"/>
    </row>
    <row r="228" spans="3:33" ht="12.75" customHeight="1">
      <c r="C228" s="5"/>
      <c r="D228" s="5"/>
      <c r="E228" s="5"/>
      <c r="F228" s="5"/>
      <c r="G228" s="217"/>
      <c r="H228" s="198"/>
      <c r="I228" s="198"/>
      <c r="J228" s="888"/>
      <c r="K228" s="217"/>
      <c r="L228" s="306"/>
      <c r="M228" s="306"/>
      <c r="N228" s="306"/>
      <c r="O228" s="306"/>
      <c r="P228" s="306"/>
      <c r="Q228" s="215"/>
      <c r="R228" s="5"/>
      <c r="S228" s="5"/>
      <c r="T228" s="5"/>
      <c r="U228" s="5"/>
      <c r="V228" s="5"/>
      <c r="W228" s="5"/>
      <c r="X228" s="5"/>
      <c r="Y228" s="5"/>
      <c r="Z228" s="5"/>
      <c r="AA228" s="5"/>
      <c r="AB228" s="5"/>
      <c r="AC228" s="5"/>
      <c r="AD228" s="5"/>
      <c r="AE228" s="5"/>
      <c r="AF228" s="5"/>
      <c r="AG228" s="5"/>
    </row>
    <row r="229" spans="3:33" ht="12.75" customHeight="1">
      <c r="C229" s="5"/>
      <c r="D229" s="5"/>
      <c r="E229" s="5"/>
      <c r="F229" s="5"/>
      <c r="G229" s="217"/>
      <c r="H229" s="198"/>
      <c r="I229" s="198"/>
      <c r="J229" s="888"/>
      <c r="K229" s="217"/>
      <c r="L229" s="306"/>
      <c r="M229" s="306"/>
      <c r="N229" s="306"/>
      <c r="O229" s="306"/>
      <c r="P229" s="306"/>
      <c r="Q229" s="215"/>
      <c r="R229" s="5"/>
      <c r="S229" s="5"/>
      <c r="T229" s="5"/>
      <c r="U229" s="5"/>
      <c r="V229" s="5"/>
      <c r="W229" s="5"/>
      <c r="X229" s="5"/>
      <c r="Y229" s="5"/>
      <c r="Z229" s="5"/>
      <c r="AA229" s="5"/>
      <c r="AB229" s="5"/>
      <c r="AC229" s="5"/>
      <c r="AD229" s="5"/>
      <c r="AE229" s="5"/>
      <c r="AF229" s="5"/>
      <c r="AG229" s="5"/>
    </row>
    <row r="230" spans="3:33" ht="12.75" customHeight="1">
      <c r="C230" s="5"/>
      <c r="D230" s="5"/>
      <c r="E230" s="5"/>
      <c r="F230" s="5"/>
      <c r="G230" s="217"/>
      <c r="H230" s="198"/>
      <c r="I230" s="198"/>
      <c r="J230" s="888"/>
      <c r="K230" s="217"/>
      <c r="L230" s="306"/>
      <c r="M230" s="306"/>
      <c r="N230" s="306"/>
      <c r="O230" s="306"/>
      <c r="P230" s="306"/>
      <c r="Q230" s="215"/>
      <c r="R230" s="5"/>
      <c r="S230" s="5"/>
      <c r="T230" s="5"/>
      <c r="U230" s="5"/>
      <c r="V230" s="5"/>
      <c r="W230" s="5"/>
      <c r="X230" s="5"/>
      <c r="Y230" s="5"/>
      <c r="Z230" s="5"/>
      <c r="AA230" s="5"/>
      <c r="AB230" s="5"/>
      <c r="AC230" s="5"/>
      <c r="AD230" s="5"/>
      <c r="AE230" s="5"/>
      <c r="AF230" s="5"/>
      <c r="AG230" s="5"/>
    </row>
    <row r="231" spans="3:33" ht="12.75" customHeight="1">
      <c r="C231" s="5"/>
      <c r="D231" s="5"/>
      <c r="E231" s="5"/>
      <c r="F231" s="5"/>
      <c r="G231" s="217"/>
      <c r="H231" s="198"/>
      <c r="I231" s="198"/>
      <c r="J231" s="888"/>
      <c r="K231" s="217"/>
      <c r="L231" s="306"/>
      <c r="M231" s="306"/>
      <c r="N231" s="306"/>
      <c r="O231" s="306"/>
      <c r="P231" s="306"/>
      <c r="Q231" s="215"/>
      <c r="R231" s="5"/>
      <c r="S231" s="5"/>
      <c r="T231" s="5"/>
      <c r="U231" s="5"/>
      <c r="V231" s="5"/>
      <c r="W231" s="5"/>
      <c r="X231" s="5"/>
      <c r="Y231" s="5"/>
      <c r="Z231" s="5"/>
      <c r="AA231" s="5"/>
      <c r="AB231" s="5"/>
      <c r="AC231" s="5"/>
      <c r="AD231" s="5"/>
      <c r="AE231" s="5"/>
      <c r="AF231" s="5"/>
      <c r="AG231" s="5"/>
    </row>
    <row r="232" spans="3:33" ht="12.75" customHeight="1">
      <c r="C232" s="5"/>
      <c r="D232" s="5"/>
      <c r="E232" s="5"/>
      <c r="F232" s="5"/>
      <c r="G232" s="217"/>
      <c r="H232" s="198"/>
      <c r="I232" s="198"/>
      <c r="J232" s="888"/>
      <c r="K232" s="217"/>
      <c r="L232" s="306"/>
      <c r="M232" s="306"/>
      <c r="N232" s="306"/>
      <c r="O232" s="306"/>
      <c r="P232" s="306"/>
      <c r="Q232" s="215"/>
      <c r="R232" s="5"/>
      <c r="S232" s="5"/>
      <c r="T232" s="5"/>
      <c r="U232" s="5"/>
      <c r="V232" s="5"/>
      <c r="W232" s="5"/>
      <c r="X232" s="5"/>
      <c r="Y232" s="5"/>
      <c r="Z232" s="5"/>
      <c r="AA232" s="5"/>
      <c r="AB232" s="5"/>
      <c r="AC232" s="5"/>
      <c r="AD232" s="5"/>
      <c r="AE232" s="5"/>
      <c r="AF232" s="5"/>
      <c r="AG232" s="5"/>
    </row>
    <row r="233" spans="3:33" ht="12.75" customHeight="1">
      <c r="C233" s="5"/>
      <c r="D233" s="5"/>
      <c r="E233" s="5"/>
      <c r="F233" s="5"/>
      <c r="G233" s="217"/>
      <c r="H233" s="198"/>
      <c r="I233" s="198"/>
      <c r="J233" s="888"/>
      <c r="K233" s="217"/>
      <c r="L233" s="306"/>
      <c r="M233" s="306"/>
      <c r="N233" s="306"/>
      <c r="O233" s="306"/>
      <c r="P233" s="306"/>
      <c r="Q233" s="215"/>
      <c r="R233" s="5"/>
      <c r="S233" s="5"/>
      <c r="T233" s="5"/>
      <c r="U233" s="5"/>
      <c r="V233" s="5"/>
      <c r="W233" s="5"/>
      <c r="X233" s="5"/>
      <c r="Y233" s="5"/>
      <c r="Z233" s="5"/>
      <c r="AA233" s="5"/>
      <c r="AB233" s="5"/>
      <c r="AC233" s="5"/>
      <c r="AD233" s="5"/>
      <c r="AE233" s="5"/>
      <c r="AF233" s="5"/>
      <c r="AG233" s="5"/>
    </row>
    <row r="234" spans="3:33" ht="12.75" customHeight="1">
      <c r="C234" s="5"/>
      <c r="D234" s="5"/>
      <c r="E234" s="5"/>
      <c r="F234" s="5"/>
      <c r="G234" s="217"/>
      <c r="H234" s="198"/>
      <c r="I234" s="198"/>
      <c r="J234" s="888"/>
      <c r="K234" s="217"/>
      <c r="L234" s="306"/>
      <c r="M234" s="306"/>
      <c r="N234" s="306"/>
      <c r="O234" s="306"/>
      <c r="P234" s="306"/>
      <c r="Q234" s="215"/>
      <c r="R234" s="5"/>
      <c r="S234" s="5"/>
      <c r="T234" s="5"/>
      <c r="U234" s="5"/>
      <c r="V234" s="5"/>
      <c r="W234" s="5"/>
      <c r="X234" s="5"/>
      <c r="Y234" s="5"/>
      <c r="Z234" s="5"/>
      <c r="AA234" s="5"/>
      <c r="AB234" s="5"/>
      <c r="AC234" s="5"/>
      <c r="AD234" s="5"/>
      <c r="AE234" s="5"/>
      <c r="AF234" s="5"/>
      <c r="AG234" s="5"/>
    </row>
    <row r="235" spans="3:33" ht="12.75" customHeight="1">
      <c r="C235" s="5"/>
      <c r="D235" s="5"/>
      <c r="E235" s="5"/>
      <c r="F235" s="5"/>
      <c r="G235" s="217"/>
      <c r="H235" s="198"/>
      <c r="I235" s="198"/>
      <c r="J235" s="888"/>
      <c r="K235" s="217"/>
      <c r="L235" s="306"/>
      <c r="M235" s="306"/>
      <c r="N235" s="306"/>
      <c r="O235" s="306"/>
      <c r="P235" s="306"/>
      <c r="Q235" s="215"/>
      <c r="R235" s="5"/>
      <c r="S235" s="5"/>
      <c r="T235" s="5"/>
      <c r="U235" s="5"/>
      <c r="V235" s="5"/>
      <c r="W235" s="5"/>
      <c r="X235" s="5"/>
      <c r="Y235" s="5"/>
      <c r="Z235" s="5"/>
      <c r="AA235" s="5"/>
      <c r="AB235" s="5"/>
      <c r="AC235" s="5"/>
      <c r="AD235" s="5"/>
      <c r="AE235" s="5"/>
      <c r="AF235" s="5"/>
      <c r="AG235" s="5"/>
    </row>
    <row r="236" spans="3:33" ht="12.75" customHeight="1">
      <c r="C236" s="5"/>
      <c r="D236" s="5"/>
      <c r="E236" s="5"/>
      <c r="F236" s="5"/>
      <c r="G236" s="217"/>
      <c r="H236" s="198"/>
      <c r="I236" s="198"/>
      <c r="J236" s="888"/>
      <c r="K236" s="217"/>
      <c r="L236" s="306"/>
      <c r="M236" s="306"/>
      <c r="N236" s="306"/>
      <c r="O236" s="306"/>
      <c r="P236" s="306"/>
      <c r="Q236" s="215"/>
      <c r="R236" s="5"/>
      <c r="S236" s="5"/>
      <c r="T236" s="5"/>
      <c r="U236" s="5"/>
      <c r="V236" s="5"/>
      <c r="W236" s="5"/>
      <c r="X236" s="5"/>
      <c r="Y236" s="5"/>
      <c r="Z236" s="5"/>
      <c r="AA236" s="5"/>
      <c r="AB236" s="5"/>
      <c r="AC236" s="5"/>
      <c r="AD236" s="5"/>
      <c r="AE236" s="5"/>
      <c r="AF236" s="5"/>
      <c r="AG236" s="5"/>
    </row>
    <row r="237" spans="3:33" ht="12.75" customHeight="1">
      <c r="C237" s="5"/>
      <c r="D237" s="5"/>
      <c r="E237" s="5"/>
      <c r="F237" s="5"/>
      <c r="G237" s="217"/>
      <c r="H237" s="198"/>
      <c r="I237" s="198"/>
      <c r="J237" s="888"/>
      <c r="K237" s="217"/>
      <c r="L237" s="306"/>
      <c r="M237" s="306"/>
      <c r="N237" s="306"/>
      <c r="O237" s="306"/>
      <c r="P237" s="306"/>
      <c r="Q237" s="215"/>
      <c r="R237" s="5"/>
      <c r="S237" s="5"/>
      <c r="T237" s="5"/>
      <c r="U237" s="5"/>
      <c r="V237" s="5"/>
      <c r="W237" s="5"/>
      <c r="X237" s="5"/>
      <c r="Y237" s="5"/>
      <c r="Z237" s="5"/>
      <c r="AA237" s="5"/>
      <c r="AB237" s="5"/>
      <c r="AC237" s="5"/>
      <c r="AD237" s="5"/>
      <c r="AE237" s="5"/>
      <c r="AF237" s="5"/>
      <c r="AG237" s="5"/>
    </row>
    <row r="238" spans="3:33" ht="12.75" customHeight="1">
      <c r="C238" s="5"/>
      <c r="D238" s="5"/>
      <c r="E238" s="5"/>
      <c r="F238" s="5"/>
      <c r="G238" s="217"/>
      <c r="H238" s="198"/>
      <c r="I238" s="198"/>
      <c r="J238" s="888"/>
      <c r="K238" s="217"/>
      <c r="L238" s="306"/>
      <c r="M238" s="306"/>
      <c r="N238" s="306"/>
      <c r="O238" s="306"/>
      <c r="P238" s="306"/>
      <c r="Q238" s="215"/>
      <c r="R238" s="5"/>
      <c r="S238" s="5"/>
      <c r="T238" s="5"/>
      <c r="U238" s="5"/>
      <c r="V238" s="5"/>
      <c r="W238" s="5"/>
      <c r="X238" s="5"/>
      <c r="Y238" s="5"/>
      <c r="Z238" s="5"/>
      <c r="AA238" s="5"/>
      <c r="AB238" s="5"/>
      <c r="AC238" s="5"/>
      <c r="AD238" s="5"/>
      <c r="AE238" s="5"/>
      <c r="AF238" s="5"/>
      <c r="AG238" s="5"/>
    </row>
    <row r="239" spans="3:33" ht="12.75" customHeight="1">
      <c r="C239" s="5"/>
      <c r="D239" s="5"/>
      <c r="E239" s="5"/>
      <c r="F239" s="5"/>
      <c r="G239" s="217"/>
      <c r="H239" s="198"/>
      <c r="I239" s="198"/>
      <c r="J239" s="888"/>
      <c r="K239" s="217"/>
      <c r="L239" s="306"/>
      <c r="M239" s="306"/>
      <c r="N239" s="306"/>
      <c r="O239" s="306"/>
      <c r="P239" s="306"/>
      <c r="Q239" s="215"/>
      <c r="R239" s="5"/>
      <c r="S239" s="5"/>
      <c r="T239" s="5"/>
      <c r="U239" s="5"/>
      <c r="V239" s="5"/>
      <c r="W239" s="5"/>
      <c r="X239" s="5"/>
      <c r="Y239" s="5"/>
      <c r="Z239" s="5"/>
      <c r="AA239" s="5"/>
      <c r="AB239" s="5"/>
      <c r="AC239" s="5"/>
      <c r="AD239" s="5"/>
      <c r="AE239" s="5"/>
      <c r="AF239" s="5"/>
      <c r="AG239" s="5"/>
    </row>
    <row r="240" spans="3:33" ht="12.75" customHeight="1">
      <c r="C240" s="5"/>
      <c r="D240" s="5"/>
      <c r="E240" s="5"/>
      <c r="F240" s="5"/>
      <c r="G240" s="217"/>
      <c r="H240" s="198"/>
      <c r="I240" s="198"/>
      <c r="J240" s="888"/>
      <c r="K240" s="217"/>
      <c r="L240" s="306"/>
      <c r="M240" s="306"/>
      <c r="N240" s="306"/>
      <c r="O240" s="306"/>
      <c r="P240" s="306"/>
      <c r="Q240" s="215"/>
      <c r="R240" s="5"/>
      <c r="S240" s="5"/>
      <c r="T240" s="5"/>
      <c r="U240" s="5"/>
      <c r="V240" s="5"/>
      <c r="W240" s="5"/>
      <c r="X240" s="5"/>
      <c r="Y240" s="5"/>
      <c r="Z240" s="5"/>
      <c r="AA240" s="5"/>
      <c r="AB240" s="5"/>
      <c r="AC240" s="5"/>
      <c r="AD240" s="5"/>
      <c r="AE240" s="5"/>
      <c r="AF240" s="5"/>
      <c r="AG240" s="5"/>
    </row>
    <row r="241" spans="3:33" ht="12.75" customHeight="1">
      <c r="C241" s="5"/>
      <c r="D241" s="5"/>
      <c r="E241" s="5"/>
      <c r="F241" s="5"/>
      <c r="G241" s="217"/>
      <c r="H241" s="198"/>
      <c r="I241" s="198"/>
      <c r="J241" s="888"/>
      <c r="K241" s="217"/>
      <c r="L241" s="306"/>
      <c r="M241" s="306"/>
      <c r="N241" s="306"/>
      <c r="O241" s="306"/>
      <c r="P241" s="306"/>
      <c r="Q241" s="215"/>
      <c r="R241" s="5"/>
      <c r="S241" s="5"/>
      <c r="T241" s="5"/>
      <c r="U241" s="5"/>
      <c r="V241" s="5"/>
      <c r="W241" s="5"/>
      <c r="X241" s="5"/>
      <c r="Y241" s="5"/>
      <c r="Z241" s="5"/>
      <c r="AA241" s="5"/>
      <c r="AB241" s="5"/>
      <c r="AC241" s="5"/>
      <c r="AD241" s="5"/>
      <c r="AE241" s="5"/>
      <c r="AF241" s="5"/>
      <c r="AG241" s="5"/>
    </row>
    <row r="242" spans="3:33" ht="12.75" customHeight="1">
      <c r="C242" s="5"/>
      <c r="D242" s="5"/>
      <c r="E242" s="5"/>
      <c r="F242" s="5"/>
      <c r="G242" s="217"/>
      <c r="H242" s="198"/>
      <c r="I242" s="198"/>
      <c r="J242" s="888"/>
      <c r="K242" s="217"/>
      <c r="L242" s="306"/>
      <c r="M242" s="306"/>
      <c r="N242" s="306"/>
      <c r="O242" s="306"/>
      <c r="P242" s="306"/>
      <c r="Q242" s="215"/>
      <c r="R242" s="5"/>
      <c r="S242" s="5"/>
      <c r="T242" s="5"/>
      <c r="U242" s="5"/>
      <c r="V242" s="5"/>
      <c r="W242" s="5"/>
      <c r="X242" s="5"/>
      <c r="Y242" s="5"/>
      <c r="Z242" s="5"/>
      <c r="AA242" s="5"/>
      <c r="AB242" s="5"/>
      <c r="AC242" s="5"/>
      <c r="AD242" s="5"/>
      <c r="AE242" s="5"/>
      <c r="AF242" s="5"/>
      <c r="AG242" s="5"/>
    </row>
    <row r="243" spans="3:33" ht="12.75" customHeight="1">
      <c r="C243" s="5"/>
      <c r="D243" s="5"/>
      <c r="E243" s="5"/>
      <c r="F243" s="5"/>
      <c r="G243" s="217"/>
      <c r="H243" s="198"/>
      <c r="I243" s="198"/>
      <c r="J243" s="888"/>
      <c r="K243" s="217"/>
      <c r="L243" s="306"/>
      <c r="M243" s="306"/>
      <c r="N243" s="306"/>
      <c r="O243" s="306"/>
      <c r="P243" s="306"/>
      <c r="Q243" s="215"/>
      <c r="R243" s="5"/>
      <c r="S243" s="5"/>
      <c r="T243" s="5"/>
      <c r="U243" s="5"/>
      <c r="V243" s="5"/>
      <c r="W243" s="5"/>
      <c r="X243" s="5"/>
      <c r="Y243" s="5"/>
      <c r="Z243" s="5"/>
      <c r="AA243" s="5"/>
      <c r="AB243" s="5"/>
      <c r="AC243" s="5"/>
      <c r="AD243" s="5"/>
      <c r="AE243" s="5"/>
      <c r="AF243" s="5"/>
      <c r="AG243" s="5"/>
    </row>
    <row r="244" spans="3:33" ht="12.75" customHeight="1">
      <c r="C244" s="5"/>
      <c r="D244" s="5"/>
      <c r="E244" s="5"/>
      <c r="F244" s="5"/>
      <c r="G244" s="217"/>
      <c r="H244" s="198"/>
      <c r="I244" s="198"/>
      <c r="J244" s="888"/>
      <c r="K244" s="217"/>
      <c r="L244" s="306"/>
      <c r="M244" s="306"/>
      <c r="N244" s="306"/>
      <c r="O244" s="306"/>
      <c r="P244" s="306"/>
      <c r="Q244" s="215"/>
      <c r="R244" s="5"/>
      <c r="S244" s="5"/>
      <c r="T244" s="5"/>
      <c r="U244" s="5"/>
      <c r="V244" s="5"/>
      <c r="W244" s="5"/>
      <c r="X244" s="5"/>
      <c r="Y244" s="5"/>
      <c r="Z244" s="5"/>
      <c r="AA244" s="5"/>
      <c r="AB244" s="5"/>
      <c r="AC244" s="5"/>
      <c r="AD244" s="5"/>
      <c r="AE244" s="5"/>
      <c r="AF244" s="5"/>
      <c r="AG244" s="5"/>
    </row>
    <row r="245" spans="3:33" ht="12.75" customHeight="1">
      <c r="C245" s="5"/>
      <c r="D245" s="5"/>
      <c r="E245" s="5"/>
      <c r="F245" s="5"/>
      <c r="G245" s="217"/>
      <c r="H245" s="198"/>
      <c r="I245" s="198"/>
      <c r="J245" s="888"/>
      <c r="K245" s="217"/>
      <c r="L245" s="306"/>
      <c r="M245" s="306"/>
      <c r="N245" s="306"/>
      <c r="O245" s="306"/>
      <c r="P245" s="306"/>
      <c r="Q245" s="215"/>
      <c r="R245" s="5"/>
      <c r="S245" s="5"/>
      <c r="T245" s="5"/>
      <c r="U245" s="5"/>
      <c r="V245" s="5"/>
      <c r="W245" s="5"/>
      <c r="X245" s="5"/>
      <c r="Y245" s="5"/>
      <c r="Z245" s="5"/>
      <c r="AA245" s="5"/>
      <c r="AB245" s="5"/>
      <c r="AC245" s="5"/>
      <c r="AD245" s="5"/>
      <c r="AE245" s="5"/>
      <c r="AF245" s="5"/>
      <c r="AG245" s="5"/>
    </row>
    <row r="246" spans="3:33" ht="12.75" customHeight="1">
      <c r="C246" s="5"/>
      <c r="D246" s="5"/>
      <c r="E246" s="5"/>
      <c r="F246" s="5"/>
      <c r="G246" s="217"/>
      <c r="H246" s="198"/>
      <c r="I246" s="198"/>
      <c r="J246" s="888"/>
      <c r="K246" s="217"/>
      <c r="L246" s="306"/>
      <c r="M246" s="306"/>
      <c r="N246" s="306"/>
      <c r="O246" s="306"/>
      <c r="P246" s="306"/>
      <c r="Q246" s="215"/>
      <c r="R246" s="5"/>
      <c r="S246" s="5"/>
      <c r="T246" s="5"/>
      <c r="U246" s="5"/>
      <c r="V246" s="5"/>
      <c r="W246" s="5"/>
      <c r="X246" s="5"/>
      <c r="Y246" s="5"/>
      <c r="Z246" s="5"/>
      <c r="AA246" s="5"/>
      <c r="AB246" s="5"/>
      <c r="AC246" s="5"/>
      <c r="AD246" s="5"/>
      <c r="AE246" s="5"/>
      <c r="AF246" s="5"/>
      <c r="AG246" s="5"/>
    </row>
    <row r="247" spans="3:33" ht="12.75" customHeight="1">
      <c r="C247" s="5"/>
      <c r="D247" s="5"/>
      <c r="E247" s="5"/>
      <c r="F247" s="5"/>
      <c r="G247" s="217"/>
      <c r="H247" s="198"/>
      <c r="I247" s="198"/>
      <c r="J247" s="888"/>
      <c r="K247" s="217"/>
      <c r="L247" s="306"/>
      <c r="M247" s="306"/>
      <c r="N247" s="306"/>
      <c r="O247" s="306"/>
      <c r="P247" s="306"/>
      <c r="Q247" s="215"/>
      <c r="R247" s="5"/>
      <c r="S247" s="5"/>
      <c r="T247" s="5"/>
      <c r="U247" s="5"/>
      <c r="V247" s="5"/>
      <c r="W247" s="5"/>
      <c r="X247" s="5"/>
      <c r="Y247" s="5"/>
      <c r="Z247" s="5"/>
      <c r="AA247" s="5"/>
      <c r="AB247" s="5"/>
      <c r="AC247" s="5"/>
      <c r="AD247" s="5"/>
      <c r="AE247" s="5"/>
      <c r="AF247" s="5"/>
      <c r="AG247" s="5"/>
    </row>
    <row r="248" spans="3:33" ht="12.75" customHeight="1">
      <c r="C248" s="5"/>
      <c r="D248" s="5"/>
      <c r="E248" s="5"/>
      <c r="F248" s="5"/>
      <c r="G248" s="217"/>
      <c r="H248" s="198"/>
      <c r="I248" s="198"/>
      <c r="J248" s="888"/>
      <c r="K248" s="217"/>
      <c r="L248" s="306"/>
      <c r="M248" s="306"/>
      <c r="N248" s="306"/>
      <c r="O248" s="306"/>
      <c r="P248" s="306"/>
      <c r="Q248" s="215"/>
      <c r="R248" s="5"/>
      <c r="S248" s="5"/>
      <c r="T248" s="5"/>
      <c r="U248" s="5"/>
      <c r="V248" s="5"/>
      <c r="W248" s="5"/>
      <c r="X248" s="5"/>
      <c r="Y248" s="5"/>
      <c r="Z248" s="5"/>
      <c r="AA248" s="5"/>
      <c r="AB248" s="5"/>
      <c r="AC248" s="5"/>
      <c r="AD248" s="5"/>
      <c r="AE248" s="5"/>
      <c r="AF248" s="5"/>
      <c r="AG248" s="5"/>
    </row>
    <row r="249" spans="3:33" ht="12.75" customHeight="1">
      <c r="C249" s="5"/>
      <c r="D249" s="5"/>
      <c r="E249" s="5"/>
      <c r="F249" s="5"/>
      <c r="G249" s="217"/>
      <c r="H249" s="198"/>
      <c r="I249" s="198"/>
      <c r="J249" s="888"/>
      <c r="K249" s="217"/>
      <c r="L249" s="306"/>
      <c r="M249" s="306"/>
      <c r="N249" s="306"/>
      <c r="O249" s="306"/>
      <c r="P249" s="306"/>
      <c r="Q249" s="215"/>
      <c r="R249" s="5"/>
      <c r="S249" s="5"/>
      <c r="T249" s="5"/>
      <c r="U249" s="5"/>
      <c r="V249" s="5"/>
      <c r="W249" s="5"/>
      <c r="X249" s="5"/>
      <c r="Y249" s="5"/>
      <c r="Z249" s="5"/>
      <c r="AA249" s="5"/>
      <c r="AB249" s="5"/>
      <c r="AC249" s="5"/>
      <c r="AD249" s="5"/>
      <c r="AE249" s="5"/>
      <c r="AF249" s="5"/>
      <c r="AG249" s="5"/>
    </row>
    <row r="250" spans="3:33" ht="12.75" customHeight="1">
      <c r="C250" s="5"/>
      <c r="D250" s="5"/>
      <c r="E250" s="5"/>
      <c r="F250" s="5"/>
      <c r="G250" s="217"/>
      <c r="H250" s="198"/>
      <c r="I250" s="198"/>
      <c r="J250" s="888"/>
      <c r="K250" s="217"/>
      <c r="L250" s="306"/>
      <c r="M250" s="306"/>
      <c r="N250" s="306"/>
      <c r="O250" s="306"/>
      <c r="P250" s="306"/>
      <c r="Q250" s="215"/>
      <c r="R250" s="5"/>
      <c r="S250" s="5"/>
      <c r="T250" s="5"/>
      <c r="U250" s="5"/>
      <c r="V250" s="5"/>
      <c r="W250" s="5"/>
      <c r="X250" s="5"/>
      <c r="Y250" s="5"/>
      <c r="Z250" s="5"/>
      <c r="AA250" s="5"/>
      <c r="AB250" s="5"/>
      <c r="AC250" s="5"/>
      <c r="AD250" s="5"/>
      <c r="AE250" s="5"/>
      <c r="AF250" s="5"/>
      <c r="AG250" s="5"/>
    </row>
    <row r="251" spans="3:33" ht="12.75" customHeight="1">
      <c r="C251" s="5"/>
      <c r="D251" s="5"/>
      <c r="E251" s="5"/>
      <c r="F251" s="5"/>
      <c r="G251" s="217"/>
      <c r="H251" s="198"/>
      <c r="I251" s="198"/>
      <c r="J251" s="888"/>
      <c r="K251" s="217"/>
      <c r="L251" s="306"/>
      <c r="M251" s="306"/>
      <c r="N251" s="306"/>
      <c r="O251" s="306"/>
      <c r="P251" s="306"/>
      <c r="Q251" s="215"/>
      <c r="R251" s="5"/>
      <c r="S251" s="5"/>
      <c r="T251" s="5"/>
      <c r="U251" s="5"/>
      <c r="V251" s="5"/>
      <c r="W251" s="5"/>
      <c r="X251" s="5"/>
      <c r="Y251" s="5"/>
      <c r="Z251" s="5"/>
      <c r="AA251" s="5"/>
      <c r="AB251" s="5"/>
      <c r="AC251" s="5"/>
      <c r="AD251" s="5"/>
      <c r="AE251" s="5"/>
      <c r="AF251" s="5"/>
      <c r="AG251" s="5"/>
    </row>
    <row r="252" spans="3:33" ht="12.75" customHeight="1">
      <c r="C252" s="5"/>
      <c r="D252" s="5"/>
      <c r="E252" s="5"/>
      <c r="F252" s="5"/>
      <c r="G252" s="217"/>
      <c r="H252" s="198"/>
      <c r="I252" s="198"/>
      <c r="J252" s="888"/>
      <c r="K252" s="217"/>
      <c r="L252" s="306"/>
      <c r="M252" s="306"/>
      <c r="N252" s="306"/>
      <c r="O252" s="306"/>
      <c r="P252" s="306"/>
      <c r="Q252" s="215"/>
      <c r="R252" s="5"/>
      <c r="S252" s="5"/>
      <c r="T252" s="5"/>
      <c r="U252" s="5"/>
      <c r="V252" s="5"/>
      <c r="W252" s="5"/>
      <c r="X252" s="5"/>
      <c r="Y252" s="5"/>
      <c r="Z252" s="5"/>
      <c r="AA252" s="5"/>
      <c r="AB252" s="5"/>
      <c r="AC252" s="5"/>
      <c r="AD252" s="5"/>
      <c r="AE252" s="5"/>
      <c r="AF252" s="5"/>
      <c r="AG252" s="5"/>
    </row>
    <row r="253" spans="3:33" ht="12.75" customHeight="1">
      <c r="C253" s="5"/>
      <c r="D253" s="5"/>
      <c r="E253" s="5"/>
      <c r="F253" s="5"/>
      <c r="G253" s="217"/>
      <c r="H253" s="198"/>
      <c r="I253" s="198"/>
      <c r="J253" s="888"/>
      <c r="K253" s="217"/>
      <c r="L253" s="306"/>
      <c r="M253" s="306"/>
      <c r="N253" s="306"/>
      <c r="O253" s="306"/>
      <c r="P253" s="306"/>
      <c r="Q253" s="215"/>
      <c r="R253" s="5"/>
      <c r="S253" s="5"/>
      <c r="T253" s="5"/>
      <c r="U253" s="5"/>
      <c r="V253" s="5"/>
      <c r="W253" s="5"/>
      <c r="X253" s="5"/>
      <c r="Y253" s="5"/>
      <c r="Z253" s="5"/>
      <c r="AA253" s="5"/>
      <c r="AB253" s="5"/>
      <c r="AC253" s="5"/>
      <c r="AD253" s="5"/>
      <c r="AE253" s="5"/>
      <c r="AF253" s="5"/>
      <c r="AG253" s="5"/>
    </row>
    <row r="254" spans="3:33" ht="12.75" customHeight="1">
      <c r="C254" s="5"/>
      <c r="D254" s="5"/>
      <c r="E254" s="5"/>
      <c r="F254" s="5"/>
      <c r="G254" s="217"/>
      <c r="H254" s="198"/>
      <c r="I254" s="198"/>
      <c r="J254" s="888"/>
      <c r="K254" s="217"/>
      <c r="L254" s="306"/>
      <c r="M254" s="306"/>
      <c r="N254" s="306"/>
      <c r="O254" s="306"/>
      <c r="P254" s="306"/>
      <c r="Q254" s="215"/>
      <c r="R254" s="5"/>
      <c r="S254" s="5"/>
      <c r="T254" s="5"/>
      <c r="U254" s="5"/>
      <c r="V254" s="5"/>
      <c r="W254" s="5"/>
      <c r="X254" s="5"/>
      <c r="Y254" s="5"/>
      <c r="Z254" s="5"/>
      <c r="AA254" s="5"/>
      <c r="AB254" s="5"/>
      <c r="AC254" s="5"/>
      <c r="AD254" s="5"/>
      <c r="AE254" s="5"/>
      <c r="AF254" s="5"/>
      <c r="AG254" s="5"/>
    </row>
    <row r="255" spans="3:33" ht="12.75" customHeight="1">
      <c r="C255" s="5"/>
      <c r="D255" s="5"/>
      <c r="E255" s="5"/>
      <c r="F255" s="5"/>
      <c r="G255" s="217"/>
      <c r="H255" s="198"/>
      <c r="I255" s="198"/>
      <c r="J255" s="888"/>
      <c r="K255" s="217"/>
      <c r="L255" s="306"/>
      <c r="M255" s="306"/>
      <c r="N255" s="306"/>
      <c r="O255" s="306"/>
      <c r="P255" s="306"/>
      <c r="Q255" s="215"/>
      <c r="R255" s="5"/>
      <c r="S255" s="5"/>
      <c r="T255" s="5"/>
      <c r="U255" s="5"/>
      <c r="V255" s="5"/>
      <c r="W255" s="5"/>
      <c r="X255" s="5"/>
      <c r="Y255" s="5"/>
      <c r="Z255" s="5"/>
      <c r="AA255" s="5"/>
      <c r="AB255" s="5"/>
      <c r="AC255" s="5"/>
      <c r="AD255" s="5"/>
      <c r="AE255" s="5"/>
      <c r="AF255" s="5"/>
      <c r="AG255" s="5"/>
    </row>
    <row r="256" spans="3:33" ht="12.75" customHeight="1">
      <c r="C256" s="5"/>
      <c r="D256" s="5"/>
      <c r="E256" s="5"/>
      <c r="F256" s="5"/>
      <c r="G256" s="217"/>
      <c r="H256" s="198"/>
      <c r="I256" s="198"/>
      <c r="J256" s="888"/>
      <c r="K256" s="217"/>
      <c r="L256" s="306"/>
      <c r="M256" s="306"/>
      <c r="N256" s="306"/>
      <c r="O256" s="306"/>
      <c r="P256" s="306"/>
      <c r="Q256" s="215"/>
      <c r="R256" s="5"/>
      <c r="S256" s="5"/>
      <c r="T256" s="5"/>
      <c r="U256" s="5"/>
      <c r="V256" s="5"/>
      <c r="W256" s="5"/>
      <c r="X256" s="5"/>
      <c r="Y256" s="5"/>
      <c r="Z256" s="5"/>
      <c r="AA256" s="5"/>
      <c r="AB256" s="5"/>
      <c r="AC256" s="5"/>
      <c r="AD256" s="5"/>
      <c r="AE256" s="5"/>
      <c r="AF256" s="5"/>
      <c r="AG256" s="5"/>
    </row>
    <row r="257" spans="3:33" ht="12.75" customHeight="1">
      <c r="C257" s="5"/>
      <c r="D257" s="5"/>
      <c r="E257" s="5"/>
      <c r="F257" s="5"/>
      <c r="G257" s="217"/>
      <c r="H257" s="198"/>
      <c r="I257" s="198"/>
      <c r="J257" s="888"/>
      <c r="K257" s="217"/>
      <c r="L257" s="306"/>
      <c r="M257" s="306"/>
      <c r="N257" s="306"/>
      <c r="O257" s="306"/>
      <c r="P257" s="306"/>
      <c r="Q257" s="215"/>
      <c r="R257" s="5"/>
      <c r="S257" s="5"/>
      <c r="T257" s="5"/>
      <c r="U257" s="5"/>
      <c r="V257" s="5"/>
      <c r="W257" s="5"/>
      <c r="X257" s="5"/>
      <c r="Y257" s="5"/>
      <c r="Z257" s="5"/>
      <c r="AA257" s="5"/>
      <c r="AB257" s="5"/>
      <c r="AC257" s="5"/>
      <c r="AD257" s="5"/>
      <c r="AE257" s="5"/>
      <c r="AF257" s="5"/>
      <c r="AG257" s="5"/>
    </row>
    <row r="258" spans="3:33" ht="12.75" customHeight="1">
      <c r="C258" s="5"/>
      <c r="D258" s="5"/>
      <c r="E258" s="5"/>
      <c r="F258" s="5"/>
      <c r="G258" s="217"/>
      <c r="H258" s="198"/>
      <c r="I258" s="198"/>
      <c r="J258" s="888"/>
      <c r="K258" s="217"/>
      <c r="L258" s="306"/>
      <c r="M258" s="306"/>
      <c r="N258" s="306"/>
      <c r="O258" s="306"/>
      <c r="P258" s="306"/>
      <c r="Q258" s="215"/>
      <c r="R258" s="5"/>
      <c r="S258" s="5"/>
      <c r="T258" s="5"/>
      <c r="U258" s="5"/>
      <c r="V258" s="5"/>
      <c r="W258" s="5"/>
      <c r="X258" s="5"/>
      <c r="Y258" s="5"/>
      <c r="Z258" s="5"/>
      <c r="AA258" s="5"/>
      <c r="AB258" s="5"/>
      <c r="AC258" s="5"/>
      <c r="AD258" s="5"/>
      <c r="AE258" s="5"/>
      <c r="AF258" s="5"/>
      <c r="AG258" s="5"/>
    </row>
    <row r="259" spans="3:33" ht="12.75" customHeight="1">
      <c r="C259" s="5"/>
      <c r="D259" s="5"/>
      <c r="E259" s="5"/>
      <c r="F259" s="5"/>
      <c r="G259" s="217"/>
      <c r="H259" s="198"/>
      <c r="I259" s="198"/>
      <c r="J259" s="888"/>
      <c r="K259" s="217"/>
      <c r="L259" s="306"/>
      <c r="M259" s="306"/>
      <c r="N259" s="306"/>
      <c r="O259" s="306"/>
      <c r="P259" s="306"/>
      <c r="Q259" s="215"/>
      <c r="R259" s="5"/>
      <c r="S259" s="5"/>
      <c r="T259" s="5"/>
      <c r="U259" s="5"/>
      <c r="V259" s="5"/>
      <c r="W259" s="5"/>
      <c r="X259" s="5"/>
      <c r="Y259" s="5"/>
      <c r="Z259" s="5"/>
      <c r="AA259" s="5"/>
      <c r="AB259" s="5"/>
      <c r="AC259" s="5"/>
      <c r="AD259" s="5"/>
      <c r="AE259" s="5"/>
      <c r="AF259" s="5"/>
      <c r="AG259" s="5"/>
    </row>
    <row r="260" spans="3:33" ht="12.75" customHeight="1">
      <c r="C260" s="5"/>
      <c r="D260" s="5"/>
      <c r="E260" s="5"/>
      <c r="F260" s="5"/>
      <c r="G260" s="217"/>
      <c r="H260" s="198"/>
      <c r="I260" s="198"/>
      <c r="J260" s="888"/>
      <c r="K260" s="217"/>
      <c r="L260" s="306"/>
      <c r="M260" s="306"/>
      <c r="N260" s="306"/>
      <c r="O260" s="306"/>
      <c r="P260" s="306"/>
      <c r="Q260" s="215"/>
      <c r="R260" s="5"/>
      <c r="S260" s="5"/>
      <c r="T260" s="5"/>
      <c r="U260" s="5"/>
      <c r="V260" s="5"/>
      <c r="W260" s="5"/>
      <c r="X260" s="5"/>
      <c r="Y260" s="5"/>
      <c r="Z260" s="5"/>
      <c r="AA260" s="5"/>
      <c r="AB260" s="5"/>
      <c r="AC260" s="5"/>
      <c r="AD260" s="5"/>
      <c r="AE260" s="5"/>
      <c r="AF260" s="5"/>
      <c r="AG260" s="5"/>
    </row>
    <row r="261" spans="3:33" ht="12.75" customHeight="1">
      <c r="C261" s="5"/>
      <c r="D261" s="5"/>
      <c r="E261" s="5"/>
      <c r="F261" s="5"/>
      <c r="G261" s="217"/>
      <c r="H261" s="198"/>
      <c r="I261" s="198"/>
      <c r="J261" s="888"/>
      <c r="K261" s="217"/>
      <c r="L261" s="306"/>
      <c r="M261" s="306"/>
      <c r="N261" s="306"/>
      <c r="O261" s="306"/>
      <c r="P261" s="306"/>
      <c r="Q261" s="215"/>
      <c r="R261" s="5"/>
      <c r="S261" s="5"/>
      <c r="T261" s="5"/>
      <c r="U261" s="5"/>
      <c r="V261" s="5"/>
      <c r="W261" s="5"/>
      <c r="X261" s="5"/>
      <c r="Y261" s="5"/>
      <c r="Z261" s="5"/>
      <c r="AA261" s="5"/>
      <c r="AB261" s="5"/>
      <c r="AC261" s="5"/>
      <c r="AD261" s="5"/>
      <c r="AE261" s="5"/>
      <c r="AF261" s="5"/>
      <c r="AG261" s="5"/>
    </row>
    <row r="262" spans="3:33" ht="12.75" customHeight="1">
      <c r="C262" s="5"/>
      <c r="D262" s="5"/>
      <c r="E262" s="5"/>
      <c r="F262" s="5"/>
      <c r="G262" s="217"/>
      <c r="H262" s="198"/>
      <c r="I262" s="198"/>
      <c r="J262" s="888"/>
      <c r="K262" s="217"/>
      <c r="L262" s="306"/>
      <c r="M262" s="306"/>
      <c r="N262" s="306"/>
      <c r="O262" s="306"/>
      <c r="P262" s="306"/>
      <c r="Q262" s="215"/>
      <c r="R262" s="5"/>
      <c r="S262" s="5"/>
      <c r="T262" s="5"/>
      <c r="U262" s="5"/>
      <c r="V262" s="5"/>
      <c r="W262" s="5"/>
      <c r="X262" s="5"/>
      <c r="Y262" s="5"/>
      <c r="Z262" s="5"/>
      <c r="AA262" s="5"/>
      <c r="AB262" s="5"/>
      <c r="AC262" s="5"/>
      <c r="AD262" s="5"/>
      <c r="AE262" s="5"/>
      <c r="AF262" s="5"/>
      <c r="AG262" s="5"/>
    </row>
    <row r="263" spans="3:33" ht="12.75" customHeight="1">
      <c r="C263" s="5"/>
      <c r="D263" s="5"/>
      <c r="E263" s="5"/>
      <c r="F263" s="5"/>
      <c r="G263" s="217"/>
      <c r="H263" s="198"/>
      <c r="I263" s="198"/>
      <c r="J263" s="888"/>
      <c r="K263" s="217"/>
      <c r="L263" s="306"/>
      <c r="M263" s="306"/>
      <c r="N263" s="306"/>
      <c r="O263" s="306"/>
      <c r="P263" s="306"/>
      <c r="Q263" s="215"/>
      <c r="R263" s="5"/>
      <c r="S263" s="5"/>
      <c r="T263" s="5"/>
      <c r="U263" s="5"/>
      <c r="V263" s="5"/>
      <c r="W263" s="5"/>
      <c r="X263" s="5"/>
      <c r="Y263" s="5"/>
      <c r="Z263" s="5"/>
      <c r="AA263" s="5"/>
      <c r="AB263" s="5"/>
      <c r="AC263" s="5"/>
      <c r="AD263" s="5"/>
      <c r="AE263" s="5"/>
      <c r="AF263" s="5"/>
      <c r="AG263" s="5"/>
    </row>
    <row r="264" spans="3:33" ht="12.75" customHeight="1">
      <c r="C264" s="5"/>
      <c r="D264" s="5"/>
      <c r="E264" s="5"/>
      <c r="F264" s="5"/>
      <c r="G264" s="217"/>
      <c r="H264" s="198"/>
      <c r="I264" s="198"/>
      <c r="J264" s="888"/>
      <c r="K264" s="217"/>
      <c r="L264" s="306"/>
      <c r="M264" s="306"/>
      <c r="N264" s="306"/>
      <c r="O264" s="306"/>
      <c r="P264" s="306"/>
      <c r="Q264" s="215"/>
      <c r="R264" s="5"/>
      <c r="S264" s="5"/>
      <c r="T264" s="5"/>
      <c r="U264" s="5"/>
      <c r="V264" s="5"/>
      <c r="W264" s="5"/>
      <c r="X264" s="5"/>
      <c r="Y264" s="5"/>
      <c r="Z264" s="5"/>
      <c r="AA264" s="5"/>
      <c r="AB264" s="5"/>
      <c r="AC264" s="5"/>
      <c r="AD264" s="5"/>
      <c r="AE264" s="5"/>
      <c r="AF264" s="5"/>
      <c r="AG264" s="5"/>
    </row>
    <row r="265" spans="3:33" ht="12.75" customHeight="1">
      <c r="C265" s="5"/>
      <c r="D265" s="5"/>
      <c r="E265" s="5"/>
      <c r="F265" s="5"/>
      <c r="G265" s="217"/>
      <c r="H265" s="198"/>
      <c r="I265" s="198"/>
      <c r="J265" s="888"/>
      <c r="K265" s="217"/>
      <c r="L265" s="306"/>
      <c r="M265" s="306"/>
      <c r="N265" s="306"/>
      <c r="O265" s="306"/>
      <c r="P265" s="306"/>
      <c r="Q265" s="215"/>
      <c r="R265" s="5"/>
      <c r="S265" s="5"/>
      <c r="T265" s="5"/>
      <c r="U265" s="5"/>
      <c r="V265" s="5"/>
      <c r="W265" s="5"/>
      <c r="X265" s="5"/>
      <c r="Y265" s="5"/>
      <c r="Z265" s="5"/>
      <c r="AA265" s="5"/>
      <c r="AB265" s="5"/>
      <c r="AC265" s="5"/>
      <c r="AD265" s="5"/>
      <c r="AE265" s="5"/>
      <c r="AF265" s="5"/>
      <c r="AG265" s="5"/>
    </row>
    <row r="266" spans="3:33" ht="12.75" customHeight="1">
      <c r="C266" s="5"/>
      <c r="D266" s="5"/>
      <c r="E266" s="5"/>
      <c r="F266" s="5"/>
      <c r="G266" s="217"/>
      <c r="H266" s="198"/>
      <c r="I266" s="198"/>
      <c r="J266" s="888"/>
      <c r="K266" s="217"/>
      <c r="L266" s="306"/>
      <c r="M266" s="306"/>
      <c r="N266" s="306"/>
      <c r="O266" s="306"/>
      <c r="P266" s="306"/>
      <c r="Q266" s="215"/>
      <c r="R266" s="5"/>
      <c r="S266" s="5"/>
      <c r="T266" s="5"/>
      <c r="U266" s="5"/>
      <c r="V266" s="5"/>
      <c r="W266" s="5"/>
      <c r="X266" s="5"/>
      <c r="Y266" s="5"/>
      <c r="Z266" s="5"/>
      <c r="AA266" s="5"/>
      <c r="AB266" s="5"/>
      <c r="AC266" s="5"/>
      <c r="AD266" s="5"/>
      <c r="AE266" s="5"/>
      <c r="AF266" s="5"/>
      <c r="AG266" s="5"/>
    </row>
    <row r="267" spans="3:33" ht="12.75" customHeight="1">
      <c r="C267" s="5"/>
      <c r="D267" s="5"/>
      <c r="E267" s="5"/>
      <c r="F267" s="5"/>
      <c r="G267" s="217"/>
      <c r="H267" s="198"/>
      <c r="I267" s="198"/>
      <c r="J267" s="888"/>
      <c r="K267" s="217"/>
      <c r="L267" s="306"/>
      <c r="M267" s="306"/>
      <c r="N267" s="306"/>
      <c r="O267" s="306"/>
      <c r="P267" s="306"/>
      <c r="Q267" s="215"/>
      <c r="R267" s="5"/>
      <c r="S267" s="5"/>
      <c r="T267" s="5"/>
      <c r="U267" s="5"/>
      <c r="V267" s="5"/>
      <c r="W267" s="5"/>
      <c r="X267" s="5"/>
      <c r="Y267" s="5"/>
      <c r="Z267" s="5"/>
      <c r="AA267" s="5"/>
      <c r="AB267" s="5"/>
      <c r="AC267" s="5"/>
      <c r="AD267" s="5"/>
      <c r="AE267" s="5"/>
      <c r="AF267" s="5"/>
      <c r="AG267" s="5"/>
    </row>
    <row r="268" spans="3:33" ht="12.75" customHeight="1">
      <c r="C268" s="5"/>
      <c r="D268" s="5"/>
      <c r="E268" s="5"/>
      <c r="F268" s="5"/>
      <c r="G268" s="217"/>
      <c r="H268" s="198"/>
      <c r="I268" s="198"/>
      <c r="J268" s="888"/>
      <c r="K268" s="217"/>
      <c r="L268" s="306"/>
      <c r="M268" s="306"/>
      <c r="N268" s="306"/>
      <c r="O268" s="306"/>
      <c r="P268" s="306"/>
      <c r="Q268" s="215"/>
      <c r="R268" s="5"/>
      <c r="S268" s="5"/>
      <c r="T268" s="5"/>
      <c r="U268" s="5"/>
      <c r="V268" s="5"/>
      <c r="W268" s="5"/>
      <c r="X268" s="5"/>
      <c r="Y268" s="5"/>
      <c r="Z268" s="5"/>
      <c r="AA268" s="5"/>
      <c r="AB268" s="5"/>
      <c r="AC268" s="5"/>
      <c r="AD268" s="5"/>
      <c r="AE268" s="5"/>
      <c r="AF268" s="5"/>
      <c r="AG268" s="5"/>
    </row>
    <row r="269" spans="3:33" ht="12.75" customHeight="1">
      <c r="C269" s="5"/>
      <c r="D269" s="5"/>
      <c r="E269" s="5"/>
      <c r="F269" s="5"/>
      <c r="G269" s="217"/>
      <c r="H269" s="198"/>
      <c r="I269" s="198"/>
      <c r="J269" s="888"/>
      <c r="K269" s="217"/>
      <c r="L269" s="306"/>
      <c r="M269" s="306"/>
      <c r="N269" s="306"/>
      <c r="O269" s="306"/>
      <c r="P269" s="306"/>
      <c r="Q269" s="215"/>
      <c r="R269" s="5"/>
      <c r="S269" s="5"/>
      <c r="T269" s="5"/>
      <c r="U269" s="5"/>
      <c r="V269" s="5"/>
      <c r="W269" s="5"/>
      <c r="X269" s="5"/>
      <c r="Y269" s="5"/>
      <c r="Z269" s="5"/>
      <c r="AA269" s="5"/>
      <c r="AB269" s="5"/>
      <c r="AC269" s="5"/>
      <c r="AD269" s="5"/>
      <c r="AE269" s="5"/>
      <c r="AF269" s="5"/>
      <c r="AG269" s="5"/>
    </row>
    <row r="270" spans="3:33" ht="12.75" customHeight="1">
      <c r="C270" s="5"/>
      <c r="D270" s="5"/>
      <c r="E270" s="5"/>
      <c r="F270" s="5"/>
      <c r="G270" s="217"/>
      <c r="H270" s="198"/>
      <c r="I270" s="198"/>
      <c r="J270" s="888"/>
      <c r="K270" s="217"/>
      <c r="L270" s="306"/>
      <c r="M270" s="306"/>
      <c r="N270" s="306"/>
      <c r="O270" s="306"/>
      <c r="P270" s="306"/>
      <c r="Q270" s="215"/>
      <c r="R270" s="5"/>
      <c r="S270" s="5"/>
      <c r="T270" s="5"/>
      <c r="U270" s="5"/>
      <c r="V270" s="5"/>
      <c r="W270" s="5"/>
      <c r="X270" s="5"/>
      <c r="Y270" s="5"/>
      <c r="Z270" s="5"/>
      <c r="AA270" s="5"/>
      <c r="AB270" s="5"/>
      <c r="AC270" s="5"/>
      <c r="AD270" s="5"/>
      <c r="AE270" s="5"/>
      <c r="AF270" s="5"/>
      <c r="AG270" s="5"/>
    </row>
    <row r="271" spans="3:33" ht="12.75" customHeight="1">
      <c r="C271" s="5"/>
      <c r="D271" s="5"/>
      <c r="E271" s="5"/>
      <c r="F271" s="5"/>
      <c r="G271" s="217"/>
      <c r="H271" s="198"/>
      <c r="I271" s="198"/>
      <c r="J271" s="888"/>
      <c r="K271" s="217"/>
      <c r="L271" s="306"/>
      <c r="M271" s="306"/>
      <c r="N271" s="306"/>
      <c r="O271" s="306"/>
      <c r="P271" s="306"/>
      <c r="Q271" s="215"/>
      <c r="R271" s="5"/>
      <c r="S271" s="5"/>
      <c r="T271" s="5"/>
      <c r="U271" s="5"/>
      <c r="V271" s="5"/>
      <c r="W271" s="5"/>
      <c r="X271" s="5"/>
      <c r="Y271" s="5"/>
      <c r="Z271" s="5"/>
      <c r="AA271" s="5"/>
      <c r="AB271" s="5"/>
      <c r="AC271" s="5"/>
      <c r="AD271" s="5"/>
      <c r="AE271" s="5"/>
      <c r="AF271" s="5"/>
      <c r="AG271" s="5"/>
    </row>
    <row r="272" spans="3:33" ht="12.75" customHeight="1">
      <c r="C272" s="5"/>
      <c r="D272" s="5"/>
      <c r="E272" s="5"/>
      <c r="F272" s="5"/>
      <c r="G272" s="217"/>
      <c r="H272" s="198"/>
      <c r="I272" s="198"/>
      <c r="J272" s="888"/>
      <c r="K272" s="217"/>
      <c r="L272" s="306"/>
      <c r="M272" s="306"/>
      <c r="N272" s="306"/>
      <c r="O272" s="306"/>
      <c r="P272" s="306"/>
      <c r="Q272" s="215"/>
      <c r="R272" s="5"/>
      <c r="S272" s="5"/>
      <c r="T272" s="5"/>
      <c r="U272" s="5"/>
      <c r="V272" s="5"/>
      <c r="W272" s="5"/>
      <c r="X272" s="5"/>
      <c r="Y272" s="5"/>
      <c r="Z272" s="5"/>
      <c r="AA272" s="5"/>
      <c r="AB272" s="5"/>
      <c r="AC272" s="5"/>
      <c r="AD272" s="5"/>
      <c r="AE272" s="5"/>
      <c r="AF272" s="5"/>
      <c r="AG272" s="5"/>
    </row>
    <row r="273" spans="3:33" ht="12.75" customHeight="1">
      <c r="C273" s="5"/>
      <c r="D273" s="5"/>
      <c r="E273" s="5"/>
      <c r="F273" s="5"/>
      <c r="G273" s="217"/>
      <c r="H273" s="198"/>
      <c r="I273" s="198"/>
      <c r="J273" s="888"/>
      <c r="K273" s="217"/>
      <c r="L273" s="306"/>
      <c r="M273" s="306"/>
      <c r="N273" s="306"/>
      <c r="O273" s="306"/>
      <c r="P273" s="306"/>
      <c r="Q273" s="215"/>
      <c r="R273" s="5"/>
      <c r="S273" s="5"/>
      <c r="T273" s="5"/>
      <c r="U273" s="5"/>
      <c r="V273" s="5"/>
      <c r="W273" s="5"/>
      <c r="X273" s="5"/>
      <c r="Y273" s="5"/>
      <c r="Z273" s="5"/>
      <c r="AA273" s="5"/>
      <c r="AB273" s="5"/>
      <c r="AC273" s="5"/>
      <c r="AD273" s="5"/>
      <c r="AE273" s="5"/>
      <c r="AF273" s="5"/>
      <c r="AG273" s="5"/>
    </row>
    <row r="274" spans="3:33" ht="12.75" customHeight="1">
      <c r="C274" s="5"/>
      <c r="D274" s="5"/>
      <c r="E274" s="5"/>
      <c r="F274" s="5"/>
      <c r="G274" s="217"/>
      <c r="H274" s="198"/>
      <c r="I274" s="198"/>
      <c r="J274" s="888"/>
      <c r="K274" s="217"/>
      <c r="L274" s="306"/>
      <c r="M274" s="306"/>
      <c r="N274" s="306"/>
      <c r="O274" s="306"/>
      <c r="P274" s="306"/>
      <c r="Q274" s="215"/>
      <c r="R274" s="5"/>
      <c r="S274" s="5"/>
      <c r="T274" s="5"/>
      <c r="U274" s="5"/>
      <c r="V274" s="5"/>
      <c r="W274" s="5"/>
      <c r="X274" s="5"/>
      <c r="Y274" s="5"/>
      <c r="Z274" s="5"/>
      <c r="AA274" s="5"/>
      <c r="AB274" s="5"/>
      <c r="AC274" s="5"/>
      <c r="AD274" s="5"/>
      <c r="AE274" s="5"/>
      <c r="AF274" s="5"/>
      <c r="AG274" s="5"/>
    </row>
    <row r="275" spans="3:33" ht="12.75" customHeight="1">
      <c r="C275" s="5"/>
      <c r="D275" s="5"/>
      <c r="E275" s="5"/>
      <c r="F275" s="5"/>
      <c r="G275" s="217"/>
      <c r="H275" s="198"/>
      <c r="I275" s="198"/>
      <c r="J275" s="888"/>
      <c r="K275" s="217"/>
      <c r="L275" s="306"/>
      <c r="M275" s="306"/>
      <c r="N275" s="306"/>
      <c r="O275" s="306"/>
      <c r="P275" s="306"/>
      <c r="Q275" s="215"/>
      <c r="R275" s="5"/>
      <c r="S275" s="5"/>
      <c r="T275" s="5"/>
      <c r="U275" s="5"/>
      <c r="V275" s="5"/>
      <c r="W275" s="5"/>
      <c r="X275" s="5"/>
      <c r="Y275" s="5"/>
      <c r="Z275" s="5"/>
      <c r="AA275" s="5"/>
      <c r="AB275" s="5"/>
      <c r="AC275" s="5"/>
      <c r="AD275" s="5"/>
      <c r="AE275" s="5"/>
      <c r="AF275" s="5"/>
      <c r="AG275" s="5"/>
    </row>
    <row r="276" spans="3:33" ht="12.75" customHeight="1">
      <c r="C276" s="5"/>
      <c r="D276" s="5"/>
      <c r="E276" s="5"/>
      <c r="F276" s="5"/>
      <c r="G276" s="217"/>
      <c r="H276" s="198"/>
      <c r="I276" s="198"/>
      <c r="J276" s="888"/>
      <c r="K276" s="217"/>
      <c r="L276" s="306"/>
      <c r="M276" s="306"/>
      <c r="N276" s="306"/>
      <c r="O276" s="306"/>
      <c r="P276" s="306"/>
      <c r="Q276" s="215"/>
      <c r="R276" s="5"/>
      <c r="S276" s="5"/>
      <c r="T276" s="5"/>
      <c r="U276" s="5"/>
      <c r="V276" s="5"/>
      <c r="W276" s="5"/>
      <c r="X276" s="5"/>
      <c r="Y276" s="5"/>
      <c r="Z276" s="5"/>
      <c r="AA276" s="5"/>
      <c r="AB276" s="5"/>
      <c r="AC276" s="5"/>
      <c r="AD276" s="5"/>
      <c r="AE276" s="5"/>
      <c r="AF276" s="5"/>
      <c r="AG276" s="5"/>
    </row>
    <row r="277" spans="3:33" ht="12.75" customHeight="1">
      <c r="C277" s="5"/>
      <c r="D277" s="5"/>
      <c r="E277" s="5"/>
      <c r="F277" s="5"/>
      <c r="G277" s="217"/>
      <c r="H277" s="198"/>
      <c r="I277" s="198"/>
      <c r="J277" s="888"/>
      <c r="K277" s="217"/>
      <c r="L277" s="306"/>
      <c r="M277" s="306"/>
      <c r="N277" s="306"/>
      <c r="O277" s="306"/>
      <c r="P277" s="306"/>
      <c r="Q277" s="215"/>
      <c r="R277" s="5"/>
      <c r="S277" s="5"/>
      <c r="T277" s="5"/>
      <c r="U277" s="5"/>
      <c r="V277" s="5"/>
      <c r="W277" s="5"/>
      <c r="X277" s="5"/>
      <c r="Y277" s="5"/>
      <c r="Z277" s="5"/>
      <c r="AA277" s="5"/>
      <c r="AB277" s="5"/>
      <c r="AC277" s="5"/>
      <c r="AD277" s="5"/>
      <c r="AE277" s="5"/>
      <c r="AF277" s="5"/>
      <c r="AG277" s="5"/>
    </row>
    <row r="278" spans="3:33" ht="12.75" customHeight="1">
      <c r="C278" s="5"/>
      <c r="D278" s="5"/>
      <c r="E278" s="5"/>
      <c r="F278" s="5"/>
      <c r="G278" s="217"/>
      <c r="H278" s="198"/>
      <c r="I278" s="198"/>
      <c r="J278" s="888"/>
      <c r="K278" s="217"/>
      <c r="L278" s="306"/>
      <c r="M278" s="306"/>
      <c r="N278" s="306"/>
      <c r="O278" s="306"/>
      <c r="P278" s="306"/>
      <c r="Q278" s="215"/>
      <c r="R278" s="5"/>
      <c r="S278" s="5"/>
      <c r="T278" s="5"/>
      <c r="U278" s="5"/>
      <c r="V278" s="5"/>
      <c r="W278" s="5"/>
      <c r="X278" s="5"/>
      <c r="Y278" s="5"/>
      <c r="Z278" s="5"/>
      <c r="AA278" s="5"/>
      <c r="AB278" s="5"/>
      <c r="AC278" s="5"/>
      <c r="AD278" s="5"/>
      <c r="AE278" s="5"/>
      <c r="AF278" s="5"/>
      <c r="AG278" s="5"/>
    </row>
    <row r="279" spans="3:33" ht="12.75" customHeight="1">
      <c r="C279" s="5"/>
      <c r="D279" s="5"/>
      <c r="E279" s="5"/>
      <c r="F279" s="5"/>
      <c r="G279" s="217"/>
      <c r="H279" s="198"/>
      <c r="I279" s="198"/>
      <c r="J279" s="888"/>
      <c r="K279" s="217"/>
      <c r="L279" s="306"/>
      <c r="M279" s="306"/>
      <c r="N279" s="306"/>
      <c r="O279" s="306"/>
      <c r="P279" s="306"/>
      <c r="Q279" s="215"/>
      <c r="R279" s="5"/>
      <c r="S279" s="5"/>
      <c r="T279" s="5"/>
      <c r="U279" s="5"/>
      <c r="V279" s="5"/>
      <c r="W279" s="5"/>
      <c r="X279" s="5"/>
      <c r="Y279" s="5"/>
      <c r="Z279" s="5"/>
      <c r="AA279" s="5"/>
      <c r="AB279" s="5"/>
      <c r="AC279" s="5"/>
      <c r="AD279" s="5"/>
      <c r="AE279" s="5"/>
      <c r="AF279" s="5"/>
      <c r="AG279" s="5"/>
    </row>
    <row r="280" spans="3:33" ht="12.75" customHeight="1">
      <c r="C280" s="5"/>
      <c r="D280" s="5"/>
      <c r="E280" s="5"/>
      <c r="F280" s="5"/>
      <c r="G280" s="217"/>
      <c r="H280" s="198"/>
      <c r="I280" s="198"/>
      <c r="J280" s="888"/>
      <c r="K280" s="217"/>
      <c r="L280" s="306"/>
      <c r="M280" s="306"/>
      <c r="N280" s="306"/>
      <c r="O280" s="306"/>
      <c r="P280" s="306"/>
      <c r="Q280" s="215"/>
      <c r="R280" s="5"/>
      <c r="S280" s="5"/>
      <c r="T280" s="5"/>
      <c r="U280" s="5"/>
      <c r="V280" s="5"/>
      <c r="W280" s="5"/>
      <c r="X280" s="5"/>
      <c r="Y280" s="5"/>
      <c r="Z280" s="5"/>
      <c r="AA280" s="5"/>
      <c r="AB280" s="5"/>
      <c r="AC280" s="5"/>
      <c r="AD280" s="5"/>
      <c r="AE280" s="5"/>
      <c r="AF280" s="5"/>
      <c r="AG280" s="5"/>
    </row>
    <row r="281" spans="3:33" ht="12.75" customHeight="1">
      <c r="C281" s="5"/>
      <c r="D281" s="5"/>
      <c r="E281" s="5"/>
      <c r="F281" s="5"/>
      <c r="G281" s="217"/>
      <c r="H281" s="198"/>
      <c r="I281" s="198"/>
      <c r="J281" s="888"/>
      <c r="K281" s="217"/>
      <c r="L281" s="306"/>
      <c r="M281" s="306"/>
      <c r="N281" s="306"/>
      <c r="O281" s="306"/>
      <c r="P281" s="306"/>
      <c r="Q281" s="215"/>
      <c r="R281" s="5"/>
      <c r="S281" s="5"/>
      <c r="T281" s="5"/>
      <c r="U281" s="5"/>
      <c r="V281" s="5"/>
      <c r="W281" s="5"/>
      <c r="X281" s="5"/>
      <c r="Y281" s="5"/>
      <c r="Z281" s="5"/>
      <c r="AA281" s="5"/>
      <c r="AB281" s="5"/>
      <c r="AC281" s="5"/>
      <c r="AD281" s="5"/>
      <c r="AE281" s="5"/>
      <c r="AF281" s="5"/>
      <c r="AG281" s="5"/>
    </row>
    <row r="282" spans="3:33" ht="12.75" customHeight="1">
      <c r="C282" s="5"/>
      <c r="D282" s="5"/>
      <c r="E282" s="5"/>
      <c r="F282" s="5"/>
      <c r="G282" s="217"/>
      <c r="H282" s="198"/>
      <c r="I282" s="198"/>
      <c r="J282" s="888"/>
      <c r="K282" s="217"/>
      <c r="L282" s="306"/>
      <c r="M282" s="306"/>
      <c r="N282" s="306"/>
      <c r="O282" s="306"/>
      <c r="P282" s="306"/>
      <c r="Q282" s="215"/>
      <c r="R282" s="5"/>
      <c r="S282" s="5"/>
      <c r="T282" s="5"/>
      <c r="U282" s="5"/>
      <c r="V282" s="5"/>
      <c r="W282" s="5"/>
      <c r="X282" s="5"/>
      <c r="Y282" s="5"/>
      <c r="Z282" s="5"/>
      <c r="AA282" s="5"/>
      <c r="AB282" s="5"/>
      <c r="AC282" s="5"/>
      <c r="AD282" s="5"/>
      <c r="AE282" s="5"/>
      <c r="AF282" s="5"/>
      <c r="AG282" s="5"/>
    </row>
    <row r="283" spans="3:33" ht="12.75" customHeight="1">
      <c r="C283" s="5"/>
      <c r="D283" s="5"/>
      <c r="E283" s="5"/>
      <c r="F283" s="5"/>
      <c r="G283" s="217"/>
      <c r="H283" s="198"/>
      <c r="I283" s="198"/>
      <c r="J283" s="888"/>
      <c r="K283" s="217"/>
      <c r="L283" s="306"/>
      <c r="M283" s="306"/>
      <c r="N283" s="306"/>
      <c r="O283" s="306"/>
      <c r="P283" s="306"/>
      <c r="Q283" s="215"/>
      <c r="R283" s="5"/>
      <c r="S283" s="5"/>
      <c r="T283" s="5"/>
      <c r="U283" s="5"/>
      <c r="V283" s="5"/>
      <c r="W283" s="5"/>
      <c r="X283" s="5"/>
      <c r="Y283" s="5"/>
      <c r="Z283" s="5"/>
      <c r="AA283" s="5"/>
      <c r="AB283" s="5"/>
      <c r="AC283" s="5"/>
      <c r="AD283" s="5"/>
      <c r="AE283" s="5"/>
      <c r="AF283" s="5"/>
      <c r="AG283" s="5"/>
    </row>
    <row r="284" spans="3:33" ht="12.75" customHeight="1">
      <c r="C284" s="5"/>
      <c r="D284" s="5"/>
      <c r="E284" s="5"/>
      <c r="F284" s="5"/>
      <c r="G284" s="217"/>
      <c r="H284" s="198"/>
      <c r="I284" s="198"/>
      <c r="J284" s="888"/>
      <c r="K284" s="217"/>
      <c r="L284" s="306"/>
      <c r="M284" s="306"/>
      <c r="N284" s="306"/>
      <c r="O284" s="306"/>
      <c r="P284" s="306"/>
      <c r="Q284" s="215"/>
      <c r="R284" s="5"/>
      <c r="S284" s="5"/>
      <c r="T284" s="5"/>
      <c r="U284" s="5"/>
      <c r="V284" s="5"/>
      <c r="W284" s="5"/>
      <c r="X284" s="5"/>
      <c r="Y284" s="5"/>
      <c r="Z284" s="5"/>
      <c r="AA284" s="5"/>
      <c r="AB284" s="5"/>
      <c r="AC284" s="5"/>
      <c r="AD284" s="5"/>
      <c r="AE284" s="5"/>
      <c r="AF284" s="5"/>
      <c r="AG284" s="5"/>
    </row>
    <row r="285" spans="3:33" ht="12.75" customHeight="1">
      <c r="C285" s="5"/>
      <c r="D285" s="5"/>
      <c r="E285" s="5"/>
      <c r="F285" s="5"/>
      <c r="G285" s="217"/>
      <c r="H285" s="198"/>
      <c r="I285" s="198"/>
      <c r="J285" s="888"/>
      <c r="K285" s="217"/>
      <c r="L285" s="306"/>
      <c r="M285" s="306"/>
      <c r="N285" s="306"/>
      <c r="O285" s="306"/>
      <c r="P285" s="306"/>
      <c r="Q285" s="215"/>
      <c r="R285" s="5"/>
      <c r="S285" s="5"/>
      <c r="T285" s="5"/>
      <c r="U285" s="5"/>
      <c r="V285" s="5"/>
      <c r="W285" s="5"/>
      <c r="X285" s="5"/>
      <c r="Y285" s="5"/>
      <c r="Z285" s="5"/>
      <c r="AA285" s="5"/>
      <c r="AB285" s="5"/>
      <c r="AC285" s="5"/>
      <c r="AD285" s="5"/>
      <c r="AE285" s="5"/>
      <c r="AF285" s="5"/>
      <c r="AG285" s="5"/>
    </row>
    <row r="286" spans="3:33" ht="12.75" customHeight="1">
      <c r="C286" s="5"/>
      <c r="D286" s="5"/>
      <c r="E286" s="5"/>
      <c r="F286" s="5"/>
      <c r="G286" s="217"/>
      <c r="H286" s="198"/>
      <c r="I286" s="198"/>
      <c r="J286" s="888"/>
      <c r="K286" s="217"/>
      <c r="L286" s="306"/>
      <c r="M286" s="306"/>
      <c r="N286" s="306"/>
      <c r="O286" s="306"/>
      <c r="P286" s="306"/>
      <c r="Q286" s="215"/>
      <c r="R286" s="5"/>
      <c r="S286" s="5"/>
      <c r="T286" s="5"/>
      <c r="U286" s="5"/>
      <c r="V286" s="5"/>
      <c r="W286" s="5"/>
      <c r="X286" s="5"/>
      <c r="Y286" s="5"/>
      <c r="Z286" s="5"/>
      <c r="AA286" s="5"/>
      <c r="AB286" s="5"/>
      <c r="AC286" s="5"/>
      <c r="AD286" s="5"/>
      <c r="AE286" s="5"/>
      <c r="AF286" s="5"/>
      <c r="AG286" s="5"/>
    </row>
    <row r="287" spans="3:33" ht="12.75" customHeight="1">
      <c r="C287" s="5"/>
      <c r="D287" s="5"/>
      <c r="E287" s="5"/>
      <c r="F287" s="5"/>
      <c r="G287" s="217"/>
      <c r="H287" s="198"/>
      <c r="I287" s="198"/>
      <c r="J287" s="888"/>
      <c r="K287" s="217"/>
      <c r="L287" s="306"/>
      <c r="M287" s="306"/>
      <c r="N287" s="306"/>
      <c r="O287" s="306"/>
      <c r="P287" s="306"/>
      <c r="Q287" s="215"/>
      <c r="R287" s="5"/>
      <c r="S287" s="5"/>
      <c r="T287" s="5"/>
      <c r="U287" s="5"/>
      <c r="V287" s="5"/>
      <c r="W287" s="5"/>
      <c r="X287" s="5"/>
      <c r="Y287" s="5"/>
      <c r="Z287" s="5"/>
      <c r="AA287" s="5"/>
      <c r="AB287" s="5"/>
      <c r="AC287" s="5"/>
      <c r="AD287" s="5"/>
      <c r="AE287" s="5"/>
      <c r="AF287" s="5"/>
      <c r="AG287" s="5"/>
    </row>
    <row r="288" spans="3:33" ht="12.75" customHeight="1">
      <c r="C288" s="5"/>
      <c r="D288" s="5"/>
      <c r="E288" s="5"/>
      <c r="F288" s="5"/>
      <c r="G288" s="217"/>
      <c r="H288" s="198"/>
      <c r="I288" s="198"/>
      <c r="J288" s="888"/>
      <c r="K288" s="217"/>
      <c r="L288" s="306"/>
      <c r="M288" s="306"/>
      <c r="N288" s="306"/>
      <c r="O288" s="306"/>
      <c r="P288" s="306"/>
      <c r="Q288" s="215"/>
      <c r="R288" s="5"/>
      <c r="S288" s="5"/>
      <c r="T288" s="5"/>
      <c r="U288" s="5"/>
      <c r="V288" s="5"/>
      <c r="W288" s="5"/>
      <c r="X288" s="5"/>
      <c r="Y288" s="5"/>
      <c r="Z288" s="5"/>
      <c r="AA288" s="5"/>
      <c r="AB288" s="5"/>
      <c r="AC288" s="5"/>
      <c r="AD288" s="5"/>
      <c r="AE288" s="5"/>
      <c r="AF288" s="5"/>
      <c r="AG288" s="5"/>
    </row>
    <row r="289" spans="3:33" ht="12.75" customHeight="1">
      <c r="C289" s="5"/>
      <c r="D289" s="5"/>
      <c r="E289" s="5"/>
      <c r="F289" s="5"/>
      <c r="G289" s="217"/>
      <c r="H289" s="198"/>
      <c r="I289" s="198"/>
      <c r="J289" s="888"/>
      <c r="K289" s="217"/>
      <c r="L289" s="306"/>
      <c r="M289" s="306"/>
      <c r="N289" s="306"/>
      <c r="O289" s="306"/>
      <c r="P289" s="306"/>
      <c r="Q289" s="215"/>
      <c r="R289" s="5"/>
      <c r="S289" s="5"/>
      <c r="T289" s="5"/>
      <c r="U289" s="5"/>
      <c r="V289" s="5"/>
      <c r="W289" s="5"/>
      <c r="X289" s="5"/>
      <c r="Y289" s="5"/>
      <c r="Z289" s="5"/>
      <c r="AA289" s="5"/>
      <c r="AB289" s="5"/>
      <c r="AC289" s="5"/>
      <c r="AD289" s="5"/>
      <c r="AE289" s="5"/>
      <c r="AF289" s="5"/>
      <c r="AG289" s="5"/>
    </row>
    <row r="290" spans="3:33" ht="12.75" customHeight="1">
      <c r="C290" s="5"/>
      <c r="D290" s="5"/>
      <c r="E290" s="5"/>
      <c r="F290" s="5"/>
      <c r="G290" s="217"/>
      <c r="H290" s="198"/>
      <c r="I290" s="198"/>
      <c r="J290" s="888"/>
      <c r="K290" s="217"/>
      <c r="L290" s="306"/>
      <c r="M290" s="306"/>
      <c r="N290" s="306"/>
      <c r="O290" s="306"/>
      <c r="P290" s="306"/>
      <c r="Q290" s="215"/>
      <c r="R290" s="5"/>
      <c r="S290" s="5"/>
      <c r="T290" s="5"/>
      <c r="U290" s="5"/>
      <c r="V290" s="5"/>
      <c r="W290" s="5"/>
      <c r="X290" s="5"/>
      <c r="Y290" s="5"/>
      <c r="Z290" s="5"/>
      <c r="AA290" s="5"/>
      <c r="AB290" s="5"/>
      <c r="AC290" s="5"/>
      <c r="AD290" s="5"/>
      <c r="AE290" s="5"/>
      <c r="AF290" s="5"/>
      <c r="AG290" s="5"/>
    </row>
    <row r="291" spans="3:33" ht="12.75" customHeight="1">
      <c r="C291" s="5"/>
      <c r="D291" s="5"/>
      <c r="E291" s="5"/>
      <c r="F291" s="5"/>
      <c r="G291" s="217"/>
      <c r="H291" s="198"/>
      <c r="I291" s="198"/>
      <c r="J291" s="888"/>
      <c r="K291" s="217"/>
      <c r="L291" s="306"/>
      <c r="M291" s="306"/>
      <c r="N291" s="306"/>
      <c r="O291" s="306"/>
      <c r="P291" s="306"/>
      <c r="Q291" s="215"/>
      <c r="R291" s="5"/>
      <c r="S291" s="5"/>
      <c r="T291" s="5"/>
      <c r="U291" s="5"/>
      <c r="V291" s="5"/>
      <c r="W291" s="5"/>
      <c r="X291" s="5"/>
      <c r="Y291" s="5"/>
      <c r="Z291" s="5"/>
      <c r="AA291" s="5"/>
      <c r="AB291" s="5"/>
      <c r="AC291" s="5"/>
      <c r="AD291" s="5"/>
      <c r="AE291" s="5"/>
      <c r="AF291" s="5"/>
      <c r="AG291" s="5"/>
    </row>
    <row r="292" spans="3:33" ht="12.75" customHeight="1">
      <c r="C292" s="5"/>
      <c r="D292" s="5"/>
      <c r="E292" s="5"/>
      <c r="F292" s="5"/>
      <c r="G292" s="217"/>
      <c r="H292" s="198"/>
      <c r="I292" s="198"/>
      <c r="J292" s="888"/>
      <c r="K292" s="217"/>
      <c r="L292" s="306"/>
      <c r="M292" s="306"/>
      <c r="N292" s="306"/>
      <c r="O292" s="306"/>
      <c r="P292" s="306"/>
      <c r="Q292" s="215"/>
      <c r="R292" s="5"/>
      <c r="S292" s="5"/>
      <c r="T292" s="5"/>
      <c r="U292" s="5"/>
      <c r="V292" s="5"/>
      <c r="W292" s="5"/>
      <c r="X292" s="5"/>
      <c r="Y292" s="5"/>
      <c r="Z292" s="5"/>
      <c r="AA292" s="5"/>
      <c r="AB292" s="5"/>
      <c r="AC292" s="5"/>
      <c r="AD292" s="5"/>
      <c r="AE292" s="5"/>
      <c r="AF292" s="5"/>
      <c r="AG292" s="5"/>
    </row>
    <row r="293" spans="3:33" ht="12.75" customHeight="1">
      <c r="C293" s="5"/>
      <c r="D293" s="5"/>
      <c r="E293" s="5"/>
      <c r="F293" s="5"/>
      <c r="G293" s="217"/>
      <c r="H293" s="198"/>
      <c r="I293" s="198"/>
      <c r="J293" s="888"/>
      <c r="K293" s="217"/>
      <c r="L293" s="306"/>
      <c r="M293" s="306"/>
      <c r="N293" s="306"/>
      <c r="O293" s="306"/>
      <c r="P293" s="306"/>
      <c r="Q293" s="215"/>
      <c r="R293" s="5"/>
      <c r="S293" s="5"/>
      <c r="T293" s="5"/>
      <c r="U293" s="5"/>
      <c r="V293" s="5"/>
      <c r="W293" s="5"/>
      <c r="X293" s="5"/>
      <c r="Y293" s="5"/>
      <c r="Z293" s="5"/>
      <c r="AA293" s="5"/>
      <c r="AB293" s="5"/>
      <c r="AC293" s="5"/>
      <c r="AD293" s="5"/>
      <c r="AE293" s="5"/>
      <c r="AF293" s="5"/>
      <c r="AG293" s="5"/>
    </row>
    <row r="294" spans="3:33" ht="12.75" customHeight="1">
      <c r="C294" s="5"/>
      <c r="D294" s="5"/>
      <c r="E294" s="5"/>
      <c r="F294" s="5"/>
      <c r="G294" s="217"/>
      <c r="H294" s="198"/>
      <c r="I294" s="198"/>
      <c r="J294" s="888"/>
      <c r="K294" s="217"/>
      <c r="L294" s="306"/>
      <c r="M294" s="306"/>
      <c r="N294" s="306"/>
      <c r="O294" s="306"/>
      <c r="P294" s="306"/>
      <c r="Q294" s="215"/>
      <c r="R294" s="5"/>
      <c r="S294" s="5"/>
      <c r="T294" s="5"/>
      <c r="U294" s="5"/>
      <c r="V294" s="5"/>
      <c r="W294" s="5"/>
      <c r="X294" s="5"/>
      <c r="Y294" s="5"/>
      <c r="Z294" s="5"/>
      <c r="AA294" s="5"/>
      <c r="AB294" s="5"/>
      <c r="AC294" s="5"/>
      <c r="AD294" s="5"/>
      <c r="AE294" s="5"/>
      <c r="AF294" s="5"/>
      <c r="AG294" s="5"/>
    </row>
    <row r="295" spans="3:33" ht="12.75" customHeight="1">
      <c r="C295" s="5"/>
      <c r="D295" s="5"/>
      <c r="E295" s="5"/>
      <c r="F295" s="5"/>
      <c r="G295" s="217"/>
      <c r="H295" s="198"/>
      <c r="I295" s="198"/>
      <c r="J295" s="888"/>
      <c r="K295" s="217"/>
      <c r="L295" s="306"/>
      <c r="M295" s="306"/>
      <c r="N295" s="306"/>
      <c r="O295" s="306"/>
      <c r="P295" s="306"/>
      <c r="Q295" s="215"/>
      <c r="R295" s="5"/>
      <c r="S295" s="5"/>
      <c r="T295" s="5"/>
      <c r="U295" s="5"/>
      <c r="V295" s="5"/>
      <c r="W295" s="5"/>
      <c r="X295" s="5"/>
      <c r="Y295" s="5"/>
      <c r="Z295" s="5"/>
      <c r="AA295" s="5"/>
      <c r="AB295" s="5"/>
      <c r="AC295" s="5"/>
      <c r="AD295" s="5"/>
      <c r="AE295" s="5"/>
      <c r="AF295" s="5"/>
      <c r="AG295" s="5"/>
    </row>
    <row r="296" spans="3:33" ht="12.75" customHeight="1">
      <c r="C296" s="5"/>
      <c r="D296" s="5"/>
      <c r="E296" s="5"/>
      <c r="F296" s="5"/>
      <c r="G296" s="217"/>
      <c r="H296" s="198"/>
      <c r="I296" s="198"/>
      <c r="J296" s="888"/>
      <c r="K296" s="217"/>
      <c r="L296" s="306"/>
      <c r="M296" s="306"/>
      <c r="N296" s="306"/>
      <c r="O296" s="306"/>
      <c r="P296" s="306"/>
      <c r="Q296" s="215"/>
      <c r="R296" s="5"/>
      <c r="S296" s="5"/>
      <c r="T296" s="5"/>
      <c r="U296" s="5"/>
      <c r="V296" s="5"/>
      <c r="W296" s="5"/>
      <c r="X296" s="5"/>
      <c r="Y296" s="5"/>
      <c r="Z296" s="5"/>
      <c r="AA296" s="5"/>
      <c r="AB296" s="5"/>
      <c r="AC296" s="5"/>
      <c r="AD296" s="5"/>
      <c r="AE296" s="5"/>
      <c r="AF296" s="5"/>
      <c r="AG296" s="5"/>
    </row>
    <row r="297" spans="3:33" ht="12.75" customHeight="1">
      <c r="C297" s="5"/>
      <c r="D297" s="5"/>
      <c r="E297" s="5"/>
      <c r="F297" s="5"/>
      <c r="G297" s="217"/>
      <c r="H297" s="198"/>
      <c r="I297" s="198"/>
      <c r="J297" s="888"/>
      <c r="K297" s="217"/>
      <c r="L297" s="306"/>
      <c r="M297" s="306"/>
      <c r="N297" s="306"/>
      <c r="O297" s="306"/>
      <c r="P297" s="306"/>
      <c r="Q297" s="215"/>
      <c r="R297" s="5"/>
      <c r="S297" s="5"/>
      <c r="T297" s="5"/>
      <c r="U297" s="5"/>
      <c r="V297" s="5"/>
      <c r="W297" s="5"/>
      <c r="X297" s="5"/>
      <c r="Y297" s="5"/>
      <c r="Z297" s="5"/>
      <c r="AA297" s="5"/>
      <c r="AB297" s="5"/>
      <c r="AC297" s="5"/>
      <c r="AD297" s="5"/>
      <c r="AE297" s="5"/>
      <c r="AF297" s="5"/>
      <c r="AG297" s="5"/>
    </row>
    <row r="298" spans="3:33" ht="12.75" customHeight="1">
      <c r="C298" s="5"/>
      <c r="D298" s="5"/>
      <c r="E298" s="5"/>
      <c r="F298" s="5"/>
      <c r="G298" s="217"/>
      <c r="H298" s="198"/>
      <c r="I298" s="198"/>
      <c r="J298" s="888"/>
      <c r="K298" s="217"/>
      <c r="L298" s="306"/>
      <c r="M298" s="306"/>
      <c r="N298" s="306"/>
      <c r="O298" s="306"/>
      <c r="P298" s="306"/>
      <c r="Q298" s="215"/>
      <c r="R298" s="5"/>
      <c r="S298" s="5"/>
      <c r="T298" s="5"/>
      <c r="U298" s="5"/>
      <c r="V298" s="5"/>
      <c r="W298" s="5"/>
      <c r="X298" s="5"/>
      <c r="Y298" s="5"/>
      <c r="Z298" s="5"/>
      <c r="AA298" s="5"/>
      <c r="AB298" s="5"/>
      <c r="AC298" s="5"/>
      <c r="AD298" s="5"/>
      <c r="AE298" s="5"/>
      <c r="AF298" s="5"/>
      <c r="AG298" s="5"/>
    </row>
    <row r="299" spans="3:33" ht="12.75" customHeight="1">
      <c r="C299" s="5"/>
      <c r="D299" s="5"/>
      <c r="E299" s="5"/>
      <c r="F299" s="5"/>
      <c r="G299" s="217"/>
      <c r="H299" s="198"/>
      <c r="I299" s="198"/>
      <c r="J299" s="888"/>
      <c r="K299" s="217"/>
      <c r="L299" s="306"/>
      <c r="M299" s="306"/>
      <c r="N299" s="306"/>
      <c r="O299" s="306"/>
      <c r="P299" s="306"/>
      <c r="Q299" s="215"/>
      <c r="R299" s="5"/>
      <c r="S299" s="5"/>
      <c r="T299" s="5"/>
      <c r="U299" s="5"/>
      <c r="V299" s="5"/>
      <c r="W299" s="5"/>
      <c r="X299" s="5"/>
      <c r="Y299" s="5"/>
      <c r="Z299" s="5"/>
      <c r="AA299" s="5"/>
      <c r="AB299" s="5"/>
      <c r="AC299" s="5"/>
      <c r="AD299" s="5"/>
      <c r="AE299" s="5"/>
      <c r="AF299" s="5"/>
      <c r="AG299" s="5"/>
    </row>
    <row r="300" spans="3:33" ht="12.75" customHeight="1">
      <c r="C300" s="5"/>
      <c r="D300" s="5"/>
      <c r="E300" s="5"/>
      <c r="F300" s="5"/>
      <c r="G300" s="217"/>
      <c r="H300" s="198"/>
      <c r="I300" s="198"/>
      <c r="J300" s="888"/>
      <c r="K300" s="217"/>
      <c r="L300" s="306"/>
      <c r="M300" s="306"/>
      <c r="N300" s="306"/>
      <c r="O300" s="306"/>
      <c r="P300" s="306"/>
      <c r="Q300" s="215"/>
      <c r="R300" s="5"/>
      <c r="S300" s="5"/>
      <c r="T300" s="5"/>
      <c r="U300" s="5"/>
      <c r="V300" s="5"/>
      <c r="W300" s="5"/>
      <c r="X300" s="5"/>
      <c r="Y300" s="5"/>
      <c r="Z300" s="5"/>
      <c r="AA300" s="5"/>
      <c r="AB300" s="5"/>
      <c r="AC300" s="5"/>
      <c r="AD300" s="5"/>
      <c r="AE300" s="5"/>
      <c r="AF300" s="5"/>
      <c r="AG300" s="5"/>
    </row>
    <row r="301" spans="3:33" ht="12.75" customHeight="1">
      <c r="C301" s="5"/>
      <c r="D301" s="5"/>
      <c r="E301" s="5"/>
      <c r="F301" s="5"/>
      <c r="G301" s="217"/>
      <c r="H301" s="198"/>
      <c r="I301" s="198"/>
      <c r="J301" s="888"/>
      <c r="K301" s="217"/>
      <c r="L301" s="306"/>
      <c r="M301" s="306"/>
      <c r="N301" s="306"/>
      <c r="O301" s="306"/>
      <c r="P301" s="306"/>
      <c r="Q301" s="215"/>
      <c r="R301" s="5"/>
      <c r="S301" s="5"/>
      <c r="T301" s="5"/>
      <c r="U301" s="5"/>
      <c r="V301" s="5"/>
      <c r="W301" s="5"/>
      <c r="X301" s="5"/>
      <c r="Y301" s="5"/>
      <c r="Z301" s="5"/>
      <c r="AA301" s="5"/>
      <c r="AB301" s="5"/>
      <c r="AC301" s="5"/>
      <c r="AD301" s="5"/>
      <c r="AE301" s="5"/>
      <c r="AF301" s="5"/>
      <c r="AG301" s="5"/>
    </row>
    <row r="302" spans="3:33" ht="12.75" customHeight="1">
      <c r="C302" s="5"/>
      <c r="D302" s="5"/>
      <c r="E302" s="5"/>
      <c r="F302" s="5"/>
      <c r="G302" s="217"/>
      <c r="H302" s="198"/>
      <c r="I302" s="198"/>
      <c r="J302" s="888"/>
      <c r="K302" s="217"/>
      <c r="L302" s="306"/>
      <c r="M302" s="306"/>
      <c r="N302" s="306"/>
      <c r="O302" s="306"/>
      <c r="P302" s="306"/>
      <c r="Q302" s="215"/>
      <c r="R302" s="5"/>
      <c r="S302" s="5"/>
      <c r="T302" s="5"/>
      <c r="U302" s="5"/>
      <c r="V302" s="5"/>
      <c r="W302" s="5"/>
      <c r="X302" s="5"/>
      <c r="Y302" s="5"/>
      <c r="Z302" s="5"/>
      <c r="AA302" s="5"/>
      <c r="AB302" s="5"/>
      <c r="AC302" s="5"/>
      <c r="AD302" s="5"/>
      <c r="AE302" s="5"/>
      <c r="AF302" s="5"/>
      <c r="AG302" s="5"/>
    </row>
    <row r="303" spans="3:33" ht="12.75" customHeight="1">
      <c r="C303" s="5"/>
      <c r="D303" s="5"/>
      <c r="E303" s="5"/>
      <c r="F303" s="5"/>
      <c r="G303" s="217"/>
      <c r="H303" s="198"/>
      <c r="I303" s="198"/>
      <c r="J303" s="888"/>
      <c r="K303" s="217"/>
      <c r="L303" s="306"/>
      <c r="M303" s="306"/>
      <c r="N303" s="306"/>
      <c r="O303" s="306"/>
      <c r="P303" s="306"/>
      <c r="Q303" s="215"/>
      <c r="R303" s="5"/>
      <c r="S303" s="5"/>
      <c r="T303" s="5"/>
      <c r="U303" s="5"/>
      <c r="V303" s="5"/>
      <c r="W303" s="5"/>
      <c r="X303" s="5"/>
      <c r="Y303" s="5"/>
      <c r="Z303" s="5"/>
      <c r="AA303" s="5"/>
      <c r="AB303" s="5"/>
      <c r="AC303" s="5"/>
      <c r="AD303" s="5"/>
      <c r="AE303" s="5"/>
      <c r="AF303" s="5"/>
      <c r="AG303" s="5"/>
    </row>
    <row r="304" spans="3:33" ht="12.75" customHeight="1">
      <c r="C304" s="5"/>
      <c r="D304" s="5"/>
      <c r="E304" s="5"/>
      <c r="F304" s="5"/>
      <c r="G304" s="217"/>
      <c r="H304" s="198"/>
      <c r="I304" s="198"/>
      <c r="J304" s="888"/>
      <c r="K304" s="217"/>
      <c r="L304" s="306"/>
      <c r="M304" s="306"/>
      <c r="N304" s="306"/>
      <c r="O304" s="306"/>
      <c r="P304" s="306"/>
      <c r="Q304" s="215"/>
      <c r="R304" s="5"/>
      <c r="S304" s="5"/>
      <c r="T304" s="5"/>
      <c r="U304" s="5"/>
      <c r="V304" s="5"/>
      <c r="W304" s="5"/>
      <c r="X304" s="5"/>
      <c r="Y304" s="5"/>
      <c r="Z304" s="5"/>
      <c r="AA304" s="5"/>
      <c r="AB304" s="5"/>
      <c r="AC304" s="5"/>
      <c r="AD304" s="5"/>
      <c r="AE304" s="5"/>
      <c r="AF304" s="5"/>
      <c r="AG304" s="5"/>
    </row>
    <row r="305" spans="3:33" ht="12.75" customHeight="1">
      <c r="C305" s="5"/>
      <c r="D305" s="5"/>
      <c r="E305" s="5"/>
      <c r="F305" s="5"/>
      <c r="G305" s="217"/>
      <c r="H305" s="198"/>
      <c r="I305" s="198"/>
      <c r="J305" s="888"/>
      <c r="K305" s="217"/>
      <c r="L305" s="306"/>
      <c r="M305" s="306"/>
      <c r="N305" s="306"/>
      <c r="O305" s="306"/>
      <c r="P305" s="306"/>
      <c r="Q305" s="215"/>
      <c r="R305" s="5"/>
      <c r="S305" s="5"/>
      <c r="T305" s="5"/>
      <c r="U305" s="5"/>
      <c r="V305" s="5"/>
      <c r="W305" s="5"/>
      <c r="X305" s="5"/>
      <c r="Y305" s="5"/>
      <c r="Z305" s="5"/>
      <c r="AA305" s="5"/>
      <c r="AB305" s="5"/>
      <c r="AC305" s="5"/>
      <c r="AD305" s="5"/>
      <c r="AE305" s="5"/>
      <c r="AF305" s="5"/>
      <c r="AG305" s="5"/>
    </row>
    <row r="306" spans="3:33" ht="12.75" customHeight="1">
      <c r="C306" s="5"/>
      <c r="D306" s="5"/>
      <c r="E306" s="5"/>
      <c r="F306" s="5"/>
      <c r="G306" s="217"/>
      <c r="H306" s="198"/>
      <c r="I306" s="198"/>
      <c r="J306" s="888"/>
      <c r="K306" s="217"/>
      <c r="L306" s="306"/>
      <c r="M306" s="306"/>
      <c r="N306" s="306"/>
      <c r="O306" s="306"/>
      <c r="P306" s="306"/>
      <c r="Q306" s="215"/>
      <c r="R306" s="5"/>
      <c r="S306" s="5"/>
      <c r="T306" s="5"/>
      <c r="U306" s="5"/>
      <c r="V306" s="5"/>
      <c r="W306" s="5"/>
      <c r="X306" s="5"/>
      <c r="Y306" s="5"/>
      <c r="Z306" s="5"/>
      <c r="AA306" s="5"/>
      <c r="AB306" s="5"/>
      <c r="AC306" s="5"/>
      <c r="AD306" s="5"/>
      <c r="AE306" s="5"/>
      <c r="AF306" s="5"/>
      <c r="AG306" s="5"/>
    </row>
    <row r="307" spans="3:33" ht="12.75" customHeight="1">
      <c r="C307" s="5"/>
      <c r="D307" s="5"/>
      <c r="E307" s="5"/>
      <c r="F307" s="5"/>
      <c r="G307" s="217"/>
      <c r="H307" s="198"/>
      <c r="I307" s="198"/>
      <c r="J307" s="888"/>
      <c r="K307" s="217"/>
      <c r="L307" s="306"/>
      <c r="M307" s="306"/>
      <c r="N307" s="306"/>
      <c r="O307" s="306"/>
      <c r="P307" s="306"/>
      <c r="Q307" s="215"/>
      <c r="R307" s="5"/>
      <c r="S307" s="5"/>
      <c r="T307" s="5"/>
      <c r="U307" s="5"/>
      <c r="V307" s="5"/>
      <c r="W307" s="5"/>
      <c r="X307" s="5"/>
      <c r="Y307" s="5"/>
      <c r="Z307" s="5"/>
      <c r="AA307" s="5"/>
      <c r="AB307" s="5"/>
      <c r="AC307" s="5"/>
      <c r="AD307" s="5"/>
      <c r="AE307" s="5"/>
      <c r="AF307" s="5"/>
      <c r="AG307" s="5"/>
    </row>
    <row r="308" spans="3:33" ht="12.75" customHeight="1">
      <c r="C308" s="5"/>
      <c r="D308" s="5"/>
      <c r="E308" s="5"/>
      <c r="F308" s="5"/>
      <c r="G308" s="217"/>
      <c r="H308" s="198"/>
      <c r="I308" s="198"/>
      <c r="J308" s="888"/>
      <c r="K308" s="217"/>
      <c r="L308" s="306"/>
      <c r="M308" s="306"/>
      <c r="N308" s="306"/>
      <c r="O308" s="306"/>
      <c r="P308" s="306"/>
      <c r="Q308" s="215"/>
      <c r="R308" s="5"/>
      <c r="S308" s="5"/>
      <c r="T308" s="5"/>
      <c r="U308" s="5"/>
      <c r="V308" s="5"/>
      <c r="W308" s="5"/>
      <c r="X308" s="5"/>
      <c r="Y308" s="5"/>
      <c r="Z308" s="5"/>
      <c r="AA308" s="5"/>
      <c r="AB308" s="5"/>
      <c r="AC308" s="5"/>
      <c r="AD308" s="5"/>
      <c r="AE308" s="5"/>
      <c r="AF308" s="5"/>
      <c r="AG308" s="5"/>
    </row>
    <row r="309" spans="3:33" ht="12.75" customHeight="1">
      <c r="C309" s="5"/>
      <c r="D309" s="5"/>
      <c r="E309" s="5"/>
      <c r="F309" s="5"/>
      <c r="G309" s="217"/>
      <c r="H309" s="198"/>
      <c r="I309" s="198"/>
      <c r="J309" s="888"/>
      <c r="K309" s="217"/>
      <c r="L309" s="306"/>
      <c r="M309" s="306"/>
      <c r="N309" s="306"/>
      <c r="O309" s="306"/>
      <c r="P309" s="306"/>
      <c r="Q309" s="215"/>
      <c r="R309" s="5"/>
      <c r="S309" s="5"/>
      <c r="T309" s="5"/>
      <c r="U309" s="5"/>
      <c r="V309" s="5"/>
      <c r="W309" s="5"/>
      <c r="X309" s="5"/>
      <c r="Y309" s="5"/>
      <c r="Z309" s="5"/>
      <c r="AA309" s="5"/>
      <c r="AB309" s="5"/>
      <c r="AC309" s="5"/>
      <c r="AD309" s="5"/>
      <c r="AE309" s="5"/>
      <c r="AF309" s="5"/>
      <c r="AG309" s="5"/>
    </row>
    <row r="310" spans="3:33" ht="12.75" customHeight="1">
      <c r="C310" s="5"/>
      <c r="D310" s="5"/>
      <c r="E310" s="5"/>
      <c r="F310" s="5"/>
      <c r="G310" s="217"/>
      <c r="H310" s="198"/>
      <c r="I310" s="198"/>
      <c r="J310" s="888"/>
      <c r="K310" s="217"/>
      <c r="L310" s="306"/>
      <c r="M310" s="306"/>
      <c r="N310" s="306"/>
      <c r="O310" s="306"/>
      <c r="P310" s="306"/>
      <c r="Q310" s="215"/>
      <c r="R310" s="5"/>
      <c r="S310" s="5"/>
      <c r="T310" s="5"/>
      <c r="U310" s="5"/>
      <c r="V310" s="5"/>
      <c r="W310" s="5"/>
      <c r="X310" s="5"/>
      <c r="Y310" s="5"/>
      <c r="Z310" s="5"/>
      <c r="AA310" s="5"/>
      <c r="AB310" s="5"/>
      <c r="AC310" s="5"/>
      <c r="AD310" s="5"/>
      <c r="AE310" s="5"/>
      <c r="AF310" s="5"/>
      <c r="AG310" s="5"/>
    </row>
    <row r="311" spans="3:33" ht="12.75" customHeight="1">
      <c r="C311" s="5"/>
      <c r="D311" s="5"/>
      <c r="E311" s="5"/>
      <c r="F311" s="5"/>
      <c r="G311" s="217"/>
      <c r="H311" s="198"/>
      <c r="I311" s="198"/>
      <c r="J311" s="888"/>
      <c r="K311" s="217"/>
      <c r="L311" s="306"/>
      <c r="M311" s="306"/>
      <c r="N311" s="306"/>
      <c r="O311" s="306"/>
      <c r="P311" s="306"/>
      <c r="Q311" s="215"/>
      <c r="R311" s="5"/>
      <c r="S311" s="5"/>
      <c r="T311" s="5"/>
      <c r="U311" s="5"/>
      <c r="V311" s="5"/>
      <c r="W311" s="5"/>
      <c r="X311" s="5"/>
      <c r="Y311" s="5"/>
      <c r="Z311" s="5"/>
      <c r="AA311" s="5"/>
      <c r="AB311" s="5"/>
      <c r="AC311" s="5"/>
      <c r="AD311" s="5"/>
      <c r="AE311" s="5"/>
      <c r="AF311" s="5"/>
      <c r="AG311" s="5"/>
    </row>
    <row r="312" spans="3:33" ht="12.75" customHeight="1">
      <c r="C312" s="5"/>
      <c r="D312" s="5"/>
      <c r="E312" s="5"/>
      <c r="F312" s="5"/>
      <c r="G312" s="217"/>
      <c r="H312" s="198"/>
      <c r="I312" s="198"/>
      <c r="J312" s="888"/>
      <c r="K312" s="217"/>
      <c r="L312" s="306"/>
      <c r="M312" s="306"/>
      <c r="N312" s="306"/>
      <c r="O312" s="306"/>
      <c r="P312" s="306"/>
      <c r="Q312" s="215"/>
      <c r="R312" s="5"/>
      <c r="S312" s="5"/>
      <c r="T312" s="5"/>
      <c r="U312" s="5"/>
      <c r="V312" s="5"/>
      <c r="W312" s="5"/>
      <c r="X312" s="5"/>
      <c r="Y312" s="5"/>
      <c r="Z312" s="5"/>
      <c r="AA312" s="5"/>
      <c r="AB312" s="5"/>
      <c r="AC312" s="5"/>
      <c r="AD312" s="5"/>
      <c r="AE312" s="5"/>
      <c r="AF312" s="5"/>
      <c r="AG312" s="5"/>
    </row>
    <row r="313" spans="3:33" ht="12.75" customHeight="1">
      <c r="C313" s="5"/>
      <c r="D313" s="5"/>
      <c r="E313" s="5"/>
      <c r="F313" s="5"/>
      <c r="G313" s="217"/>
      <c r="H313" s="198"/>
      <c r="I313" s="198"/>
      <c r="J313" s="888"/>
      <c r="K313" s="217"/>
      <c r="L313" s="306"/>
      <c r="M313" s="306"/>
      <c r="N313" s="306"/>
      <c r="O313" s="306"/>
      <c r="P313" s="306"/>
      <c r="Q313" s="215"/>
      <c r="R313" s="5"/>
      <c r="S313" s="5"/>
      <c r="T313" s="5"/>
      <c r="U313" s="5"/>
      <c r="V313" s="5"/>
      <c r="W313" s="5"/>
      <c r="X313" s="5"/>
      <c r="Y313" s="5"/>
      <c r="Z313" s="5"/>
      <c r="AA313" s="5"/>
      <c r="AB313" s="5"/>
      <c r="AC313" s="5"/>
      <c r="AD313" s="5"/>
      <c r="AE313" s="5"/>
      <c r="AF313" s="5"/>
      <c r="AG313" s="5"/>
    </row>
    <row r="314" spans="3:33" ht="12.75" customHeight="1">
      <c r="C314" s="5"/>
      <c r="D314" s="5"/>
      <c r="E314" s="5"/>
      <c r="F314" s="5"/>
      <c r="G314" s="217"/>
      <c r="H314" s="198"/>
      <c r="I314" s="198"/>
      <c r="J314" s="888"/>
      <c r="K314" s="217"/>
      <c r="L314" s="306"/>
      <c r="M314" s="306"/>
      <c r="N314" s="306"/>
      <c r="O314" s="306"/>
      <c r="P314" s="306"/>
      <c r="Q314" s="215"/>
      <c r="R314" s="5"/>
      <c r="S314" s="5"/>
      <c r="T314" s="5"/>
      <c r="U314" s="5"/>
      <c r="V314" s="5"/>
      <c r="W314" s="5"/>
      <c r="X314" s="5"/>
      <c r="Y314" s="5"/>
      <c r="Z314" s="5"/>
      <c r="AA314" s="5"/>
      <c r="AB314" s="5"/>
      <c r="AC314" s="5"/>
      <c r="AD314" s="5"/>
      <c r="AE314" s="5"/>
      <c r="AF314" s="5"/>
      <c r="AG314" s="5"/>
    </row>
    <row r="315" spans="3:33" ht="12.75" customHeight="1">
      <c r="C315" s="5"/>
      <c r="D315" s="5"/>
      <c r="E315" s="5"/>
      <c r="F315" s="5"/>
      <c r="G315" s="217"/>
      <c r="H315" s="198"/>
      <c r="I315" s="198"/>
      <c r="J315" s="888"/>
      <c r="K315" s="217"/>
      <c r="L315" s="306"/>
      <c r="M315" s="306"/>
      <c r="N315" s="306"/>
      <c r="O315" s="306"/>
      <c r="P315" s="306"/>
      <c r="Q315" s="215"/>
      <c r="R315" s="5"/>
      <c r="S315" s="5"/>
      <c r="T315" s="5"/>
      <c r="U315" s="5"/>
      <c r="V315" s="5"/>
      <c r="W315" s="5"/>
      <c r="X315" s="5"/>
      <c r="Y315" s="5"/>
      <c r="Z315" s="5"/>
      <c r="AA315" s="5"/>
      <c r="AB315" s="5"/>
      <c r="AC315" s="5"/>
      <c r="AD315" s="5"/>
      <c r="AE315" s="5"/>
      <c r="AF315" s="5"/>
      <c r="AG315" s="5"/>
    </row>
    <row r="316" spans="3:33" ht="12.75" customHeight="1">
      <c r="C316" s="5"/>
      <c r="D316" s="5"/>
      <c r="E316" s="5"/>
      <c r="F316" s="5"/>
      <c r="G316" s="217"/>
      <c r="H316" s="198"/>
      <c r="I316" s="198"/>
      <c r="J316" s="888"/>
      <c r="K316" s="217"/>
      <c r="L316" s="306"/>
      <c r="M316" s="306"/>
      <c r="N316" s="306"/>
      <c r="O316" s="306"/>
      <c r="P316" s="306"/>
      <c r="Q316" s="215"/>
      <c r="R316" s="5"/>
      <c r="S316" s="5"/>
      <c r="T316" s="5"/>
      <c r="U316" s="5"/>
      <c r="V316" s="5"/>
      <c r="W316" s="5"/>
      <c r="X316" s="5"/>
      <c r="Y316" s="5"/>
      <c r="Z316" s="5"/>
      <c r="AA316" s="5"/>
      <c r="AB316" s="5"/>
      <c r="AC316" s="5"/>
      <c r="AD316" s="5"/>
      <c r="AE316" s="5"/>
      <c r="AF316" s="5"/>
      <c r="AG316" s="5"/>
    </row>
    <row r="317" spans="3:33" ht="12.75" customHeight="1">
      <c r="C317" s="5"/>
      <c r="D317" s="5"/>
      <c r="E317" s="5"/>
      <c r="F317" s="5"/>
      <c r="G317" s="217"/>
      <c r="H317" s="198"/>
      <c r="I317" s="198"/>
      <c r="J317" s="888"/>
      <c r="K317" s="217"/>
      <c r="L317" s="306"/>
      <c r="M317" s="306"/>
      <c r="N317" s="306"/>
      <c r="O317" s="306"/>
      <c r="P317" s="306"/>
      <c r="Q317" s="215"/>
      <c r="R317" s="5"/>
      <c r="S317" s="5"/>
      <c r="T317" s="5"/>
      <c r="U317" s="5"/>
      <c r="V317" s="5"/>
      <c r="W317" s="5"/>
      <c r="X317" s="5"/>
      <c r="Y317" s="5"/>
      <c r="Z317" s="5"/>
      <c r="AA317" s="5"/>
      <c r="AB317" s="5"/>
      <c r="AC317" s="5"/>
      <c r="AD317" s="5"/>
      <c r="AE317" s="5"/>
      <c r="AF317" s="5"/>
      <c r="AG317" s="5"/>
    </row>
    <row r="318" spans="3:33" ht="12.75" customHeight="1">
      <c r="C318" s="5"/>
      <c r="D318" s="5"/>
      <c r="E318" s="5"/>
      <c r="F318" s="5"/>
      <c r="G318" s="217"/>
      <c r="H318" s="198"/>
      <c r="I318" s="198"/>
      <c r="J318" s="888"/>
      <c r="K318" s="217"/>
      <c r="L318" s="306"/>
      <c r="M318" s="306"/>
      <c r="N318" s="306"/>
      <c r="O318" s="306"/>
      <c r="P318" s="306"/>
      <c r="Q318" s="215"/>
      <c r="R318" s="5"/>
      <c r="S318" s="5"/>
      <c r="T318" s="5"/>
      <c r="U318" s="5"/>
      <c r="V318" s="5"/>
      <c r="W318" s="5"/>
      <c r="X318" s="5"/>
      <c r="Y318" s="5"/>
      <c r="Z318" s="5"/>
      <c r="AA318" s="5"/>
      <c r="AB318" s="5"/>
      <c r="AC318" s="5"/>
      <c r="AD318" s="5"/>
      <c r="AE318" s="5"/>
      <c r="AF318" s="5"/>
      <c r="AG318" s="5"/>
    </row>
    <row r="319" spans="3:33" ht="12.75" customHeight="1">
      <c r="C319" s="5"/>
      <c r="D319" s="5"/>
      <c r="E319" s="5"/>
      <c r="F319" s="5"/>
      <c r="G319" s="217"/>
      <c r="H319" s="198"/>
      <c r="I319" s="198"/>
      <c r="J319" s="888"/>
      <c r="K319" s="217"/>
      <c r="L319" s="306"/>
      <c r="M319" s="306"/>
      <c r="N319" s="306"/>
      <c r="O319" s="306"/>
      <c r="P319" s="306"/>
      <c r="Q319" s="215"/>
      <c r="R319" s="5"/>
      <c r="S319" s="5"/>
      <c r="T319" s="5"/>
      <c r="U319" s="5"/>
      <c r="V319" s="5"/>
      <c r="W319" s="5"/>
      <c r="X319" s="5"/>
      <c r="Y319" s="5"/>
      <c r="Z319" s="5"/>
      <c r="AA319" s="5"/>
      <c r="AB319" s="5"/>
      <c r="AC319" s="5"/>
      <c r="AD319" s="5"/>
      <c r="AE319" s="5"/>
      <c r="AF319" s="5"/>
      <c r="AG319" s="5"/>
    </row>
    <row r="320" spans="3:33" ht="12.75" customHeight="1">
      <c r="C320" s="5"/>
      <c r="D320" s="5"/>
      <c r="E320" s="5"/>
      <c r="F320" s="5"/>
      <c r="G320" s="217"/>
      <c r="H320" s="198"/>
      <c r="I320" s="198"/>
      <c r="J320" s="888"/>
      <c r="K320" s="217"/>
      <c r="L320" s="306"/>
      <c r="M320" s="306"/>
      <c r="N320" s="306"/>
      <c r="O320" s="306"/>
      <c r="P320" s="306"/>
      <c r="Q320" s="215"/>
      <c r="R320" s="5"/>
      <c r="S320" s="5"/>
      <c r="T320" s="5"/>
      <c r="U320" s="5"/>
      <c r="V320" s="5"/>
      <c r="W320" s="5"/>
      <c r="X320" s="5"/>
      <c r="Y320" s="5"/>
      <c r="Z320" s="5"/>
      <c r="AA320" s="5"/>
      <c r="AB320" s="5"/>
      <c r="AC320" s="5"/>
      <c r="AD320" s="5"/>
      <c r="AE320" s="5"/>
      <c r="AF320" s="5"/>
      <c r="AG320" s="5"/>
    </row>
    <row r="321" spans="3:33" ht="12.75" customHeight="1">
      <c r="C321" s="5"/>
      <c r="D321" s="5"/>
      <c r="E321" s="5"/>
      <c r="F321" s="5"/>
      <c r="G321" s="217"/>
      <c r="H321" s="198"/>
      <c r="I321" s="198"/>
      <c r="J321" s="888"/>
      <c r="K321" s="217"/>
      <c r="L321" s="306"/>
      <c r="M321" s="306"/>
      <c r="N321" s="306"/>
      <c r="O321" s="306"/>
      <c r="P321" s="306"/>
      <c r="Q321" s="215"/>
      <c r="R321" s="5"/>
      <c r="S321" s="5"/>
      <c r="T321" s="5"/>
      <c r="U321" s="5"/>
      <c r="V321" s="5"/>
      <c r="W321" s="5"/>
      <c r="X321" s="5"/>
      <c r="Y321" s="5"/>
      <c r="Z321" s="5"/>
      <c r="AA321" s="5"/>
      <c r="AB321" s="5"/>
      <c r="AC321" s="5"/>
      <c r="AD321" s="5"/>
      <c r="AE321" s="5"/>
      <c r="AF321" s="5"/>
      <c r="AG321" s="5"/>
    </row>
    <row r="322" spans="3:33" ht="12.75" customHeight="1">
      <c r="C322" s="5"/>
      <c r="D322" s="5"/>
      <c r="E322" s="5"/>
      <c r="F322" s="5"/>
      <c r="G322" s="217"/>
      <c r="H322" s="198"/>
      <c r="I322" s="198"/>
      <c r="J322" s="888"/>
      <c r="K322" s="217"/>
      <c r="L322" s="306"/>
      <c r="M322" s="306"/>
      <c r="N322" s="306"/>
      <c r="O322" s="306"/>
      <c r="P322" s="306"/>
      <c r="Q322" s="215"/>
      <c r="R322" s="5"/>
      <c r="S322" s="5"/>
      <c r="T322" s="5"/>
      <c r="U322" s="5"/>
      <c r="V322" s="5"/>
      <c r="W322" s="5"/>
      <c r="X322" s="5"/>
      <c r="Y322" s="5"/>
      <c r="Z322" s="5"/>
      <c r="AA322" s="5"/>
      <c r="AB322" s="5"/>
      <c r="AC322" s="5"/>
      <c r="AD322" s="5"/>
      <c r="AE322" s="5"/>
      <c r="AF322" s="5"/>
      <c r="AG322" s="5"/>
    </row>
    <row r="323" spans="3:33" ht="12.75" customHeight="1">
      <c r="C323" s="5"/>
      <c r="D323" s="5"/>
      <c r="E323" s="5"/>
      <c r="F323" s="5"/>
      <c r="G323" s="217"/>
      <c r="H323" s="198"/>
      <c r="I323" s="198"/>
      <c r="J323" s="888"/>
      <c r="K323" s="217"/>
      <c r="L323" s="306"/>
      <c r="M323" s="306"/>
      <c r="N323" s="306"/>
      <c r="O323" s="306"/>
      <c r="P323" s="306"/>
      <c r="Q323" s="215"/>
      <c r="R323" s="5"/>
      <c r="S323" s="5"/>
      <c r="T323" s="5"/>
      <c r="U323" s="5"/>
      <c r="V323" s="5"/>
      <c r="W323" s="5"/>
      <c r="X323" s="5"/>
      <c r="Y323" s="5"/>
      <c r="Z323" s="5"/>
      <c r="AA323" s="5"/>
      <c r="AB323" s="5"/>
      <c r="AC323" s="5"/>
      <c r="AD323" s="5"/>
      <c r="AE323" s="5"/>
      <c r="AF323" s="5"/>
      <c r="AG323" s="5"/>
    </row>
    <row r="324" spans="3:33" ht="12.75" customHeight="1">
      <c r="C324" s="5"/>
      <c r="D324" s="5"/>
      <c r="E324" s="5"/>
      <c r="F324" s="5"/>
      <c r="G324" s="217"/>
      <c r="H324" s="198"/>
      <c r="I324" s="198"/>
      <c r="J324" s="888"/>
      <c r="K324" s="217"/>
      <c r="L324" s="306"/>
      <c r="M324" s="306"/>
      <c r="N324" s="306"/>
      <c r="O324" s="306"/>
      <c r="P324" s="306"/>
      <c r="Q324" s="215"/>
      <c r="R324" s="5"/>
      <c r="S324" s="5"/>
      <c r="T324" s="5"/>
      <c r="U324" s="5"/>
      <c r="V324" s="5"/>
      <c r="W324" s="5"/>
      <c r="X324" s="5"/>
      <c r="Y324" s="5"/>
      <c r="Z324" s="5"/>
      <c r="AA324" s="5"/>
      <c r="AB324" s="5"/>
      <c r="AC324" s="5"/>
      <c r="AD324" s="5"/>
      <c r="AE324" s="5"/>
      <c r="AF324" s="5"/>
      <c r="AG324" s="5"/>
    </row>
    <row r="325" spans="3:33" ht="12.75" customHeight="1">
      <c r="C325" s="5"/>
      <c r="D325" s="5"/>
      <c r="E325" s="5"/>
      <c r="F325" s="5"/>
      <c r="G325" s="217"/>
      <c r="H325" s="198"/>
      <c r="I325" s="198"/>
      <c r="J325" s="888"/>
      <c r="K325" s="217"/>
      <c r="L325" s="306"/>
      <c r="M325" s="306"/>
      <c r="N325" s="306"/>
      <c r="O325" s="306"/>
      <c r="P325" s="306"/>
      <c r="Q325" s="215"/>
      <c r="R325" s="5"/>
      <c r="S325" s="5"/>
      <c r="T325" s="5"/>
      <c r="U325" s="5"/>
      <c r="V325" s="5"/>
      <c r="W325" s="5"/>
      <c r="X325" s="5"/>
      <c r="Y325" s="5"/>
      <c r="Z325" s="5"/>
      <c r="AA325" s="5"/>
      <c r="AB325" s="5"/>
      <c r="AC325" s="5"/>
      <c r="AD325" s="5"/>
      <c r="AE325" s="5"/>
      <c r="AF325" s="5"/>
      <c r="AG325" s="5"/>
    </row>
    <row r="326" spans="3:33" ht="12.75" customHeight="1">
      <c r="C326" s="5"/>
      <c r="D326" s="5"/>
      <c r="E326" s="5"/>
      <c r="F326" s="5"/>
      <c r="G326" s="217"/>
      <c r="H326" s="198"/>
      <c r="I326" s="198"/>
      <c r="J326" s="888"/>
      <c r="K326" s="217"/>
      <c r="L326" s="306"/>
      <c r="M326" s="306"/>
      <c r="N326" s="306"/>
      <c r="O326" s="306"/>
      <c r="P326" s="306"/>
      <c r="Q326" s="215"/>
      <c r="R326" s="5"/>
      <c r="S326" s="5"/>
      <c r="T326" s="5"/>
      <c r="U326" s="5"/>
      <c r="V326" s="5"/>
      <c r="W326" s="5"/>
      <c r="X326" s="5"/>
      <c r="Y326" s="5"/>
      <c r="Z326" s="5"/>
      <c r="AA326" s="5"/>
      <c r="AB326" s="5"/>
      <c r="AC326" s="5"/>
      <c r="AD326" s="5"/>
      <c r="AE326" s="5"/>
      <c r="AF326" s="5"/>
      <c r="AG326" s="5"/>
    </row>
    <row r="327" spans="3:33" ht="12.75" customHeight="1">
      <c r="C327" s="5"/>
      <c r="D327" s="5"/>
      <c r="E327" s="5"/>
      <c r="F327" s="5"/>
      <c r="G327" s="217"/>
      <c r="H327" s="198"/>
      <c r="I327" s="198"/>
      <c r="J327" s="888"/>
      <c r="K327" s="217"/>
      <c r="L327" s="306"/>
      <c r="M327" s="306"/>
      <c r="N327" s="306"/>
      <c r="O327" s="306"/>
      <c r="P327" s="306"/>
      <c r="Q327" s="215"/>
      <c r="R327" s="5"/>
      <c r="S327" s="5"/>
      <c r="T327" s="5"/>
      <c r="U327" s="5"/>
      <c r="V327" s="5"/>
      <c r="W327" s="5"/>
      <c r="X327" s="5"/>
      <c r="Y327" s="5"/>
      <c r="Z327" s="5"/>
      <c r="AA327" s="5"/>
      <c r="AB327" s="5"/>
      <c r="AC327" s="5"/>
      <c r="AD327" s="5"/>
      <c r="AE327" s="5"/>
      <c r="AF327" s="5"/>
      <c r="AG327" s="5"/>
    </row>
    <row r="328" spans="3:33" ht="12.75" customHeight="1">
      <c r="C328" s="5"/>
      <c r="D328" s="5"/>
      <c r="E328" s="5"/>
      <c r="F328" s="5"/>
      <c r="G328" s="217"/>
      <c r="H328" s="198"/>
      <c r="I328" s="198"/>
      <c r="J328" s="888"/>
      <c r="K328" s="217"/>
      <c r="L328" s="306"/>
      <c r="M328" s="306"/>
      <c r="N328" s="306"/>
      <c r="O328" s="306"/>
      <c r="P328" s="306"/>
      <c r="Q328" s="215"/>
      <c r="R328" s="5"/>
      <c r="S328" s="5"/>
      <c r="T328" s="5"/>
      <c r="U328" s="5"/>
      <c r="V328" s="5"/>
      <c r="W328" s="5"/>
      <c r="X328" s="5"/>
      <c r="Y328" s="5"/>
      <c r="Z328" s="5"/>
      <c r="AA328" s="5"/>
      <c r="AB328" s="5"/>
      <c r="AC328" s="5"/>
      <c r="AD328" s="5"/>
      <c r="AE328" s="5"/>
      <c r="AF328" s="5"/>
      <c r="AG328" s="5"/>
    </row>
    <row r="329" spans="3:33" ht="12.75" customHeight="1">
      <c r="C329" s="5"/>
      <c r="D329" s="5"/>
      <c r="E329" s="5"/>
      <c r="F329" s="5"/>
      <c r="G329" s="217"/>
      <c r="H329" s="198"/>
      <c r="I329" s="198"/>
      <c r="J329" s="888"/>
      <c r="K329" s="217"/>
      <c r="L329" s="306"/>
      <c r="M329" s="306"/>
      <c r="N329" s="306"/>
      <c r="O329" s="306"/>
      <c r="P329" s="306"/>
      <c r="Q329" s="215"/>
      <c r="R329" s="5"/>
      <c r="S329" s="5"/>
      <c r="T329" s="5"/>
      <c r="U329" s="5"/>
      <c r="V329" s="5"/>
      <c r="W329" s="5"/>
      <c r="X329" s="5"/>
      <c r="Y329" s="5"/>
      <c r="Z329" s="5"/>
      <c r="AA329" s="5"/>
      <c r="AB329" s="5"/>
      <c r="AC329" s="5"/>
      <c r="AD329" s="5"/>
      <c r="AE329" s="5"/>
      <c r="AF329" s="5"/>
      <c r="AG329" s="5"/>
    </row>
    <row r="330" spans="3:33" ht="12.75" customHeight="1">
      <c r="C330" s="5"/>
      <c r="D330" s="5"/>
      <c r="E330" s="5"/>
      <c r="F330" s="5"/>
      <c r="G330" s="217"/>
      <c r="H330" s="198"/>
      <c r="I330" s="198"/>
      <c r="J330" s="888"/>
      <c r="K330" s="217"/>
      <c r="L330" s="306"/>
      <c r="M330" s="306"/>
      <c r="N330" s="306"/>
      <c r="O330" s="306"/>
      <c r="P330" s="306"/>
      <c r="Q330" s="215"/>
      <c r="R330" s="5"/>
      <c r="S330" s="5"/>
      <c r="T330" s="5"/>
      <c r="U330" s="5"/>
      <c r="V330" s="5"/>
      <c r="W330" s="5"/>
      <c r="X330" s="5"/>
      <c r="Y330" s="5"/>
      <c r="Z330" s="5"/>
      <c r="AA330" s="5"/>
      <c r="AB330" s="5"/>
      <c r="AC330" s="5"/>
      <c r="AD330" s="5"/>
      <c r="AE330" s="5"/>
      <c r="AF330" s="5"/>
      <c r="AG330" s="5"/>
    </row>
    <row r="331" spans="3:33" ht="12.75" customHeight="1">
      <c r="C331" s="5"/>
      <c r="D331" s="5"/>
      <c r="E331" s="5"/>
      <c r="F331" s="5"/>
      <c r="G331" s="217"/>
      <c r="H331" s="198"/>
      <c r="I331" s="198"/>
      <c r="J331" s="888"/>
      <c r="K331" s="217"/>
      <c r="L331" s="306"/>
      <c r="M331" s="306"/>
      <c r="N331" s="306"/>
      <c r="O331" s="306"/>
      <c r="P331" s="306"/>
      <c r="Q331" s="215"/>
      <c r="R331" s="5"/>
      <c r="S331" s="5"/>
      <c r="T331" s="5"/>
      <c r="U331" s="5"/>
      <c r="V331" s="5"/>
      <c r="W331" s="5"/>
      <c r="X331" s="5"/>
      <c r="Y331" s="5"/>
      <c r="Z331" s="5"/>
      <c r="AA331" s="5"/>
      <c r="AB331" s="5"/>
      <c r="AC331" s="5"/>
      <c r="AD331" s="5"/>
      <c r="AE331" s="5"/>
      <c r="AF331" s="5"/>
      <c r="AG331" s="5"/>
    </row>
    <row r="332" spans="3:33" ht="12.75" customHeight="1">
      <c r="C332" s="5"/>
      <c r="D332" s="5"/>
      <c r="E332" s="5"/>
      <c r="F332" s="5"/>
      <c r="G332" s="217"/>
      <c r="H332" s="198"/>
      <c r="I332" s="198"/>
      <c r="J332" s="888"/>
      <c r="K332" s="217"/>
      <c r="L332" s="306"/>
      <c r="M332" s="306"/>
      <c r="N332" s="306"/>
      <c r="O332" s="306"/>
      <c r="P332" s="306"/>
      <c r="Q332" s="215"/>
      <c r="R332" s="5"/>
      <c r="S332" s="5"/>
      <c r="T332" s="5"/>
      <c r="U332" s="5"/>
      <c r="V332" s="5"/>
      <c r="W332" s="5"/>
      <c r="X332" s="5"/>
      <c r="Y332" s="5"/>
      <c r="Z332" s="5"/>
      <c r="AA332" s="5"/>
      <c r="AB332" s="5"/>
      <c r="AC332" s="5"/>
      <c r="AD332" s="5"/>
      <c r="AE332" s="5"/>
      <c r="AF332" s="5"/>
      <c r="AG332" s="5"/>
    </row>
    <row r="333" spans="3:33" ht="12.75" customHeight="1">
      <c r="C333" s="5"/>
      <c r="D333" s="5"/>
      <c r="E333" s="5"/>
      <c r="F333" s="5"/>
      <c r="G333" s="217"/>
      <c r="H333" s="198"/>
      <c r="I333" s="198"/>
      <c r="J333" s="888"/>
      <c r="K333" s="217"/>
      <c r="L333" s="306"/>
      <c r="M333" s="306"/>
      <c r="N333" s="306"/>
      <c r="O333" s="306"/>
      <c r="P333" s="306"/>
      <c r="Q333" s="215"/>
      <c r="R333" s="5"/>
      <c r="S333" s="5"/>
      <c r="T333" s="5"/>
      <c r="U333" s="5"/>
      <c r="V333" s="5"/>
      <c r="W333" s="5"/>
      <c r="X333" s="5"/>
      <c r="Y333" s="5"/>
      <c r="Z333" s="5"/>
      <c r="AA333" s="5"/>
      <c r="AB333" s="5"/>
      <c r="AC333" s="5"/>
      <c r="AD333" s="5"/>
      <c r="AE333" s="5"/>
      <c r="AF333" s="5"/>
      <c r="AG333" s="5"/>
    </row>
    <row r="334" spans="3:33" ht="12.75" customHeight="1">
      <c r="C334" s="5"/>
      <c r="D334" s="5"/>
      <c r="E334" s="5"/>
      <c r="F334" s="5"/>
      <c r="G334" s="217"/>
      <c r="H334" s="198"/>
      <c r="I334" s="198"/>
      <c r="J334" s="888"/>
      <c r="K334" s="217"/>
      <c r="L334" s="306"/>
      <c r="M334" s="306"/>
      <c r="N334" s="306"/>
      <c r="O334" s="306"/>
      <c r="P334" s="306"/>
      <c r="Q334" s="215"/>
      <c r="R334" s="5"/>
      <c r="S334" s="5"/>
      <c r="T334" s="5"/>
      <c r="U334" s="5"/>
      <c r="V334" s="5"/>
      <c r="W334" s="5"/>
      <c r="X334" s="5"/>
      <c r="Y334" s="5"/>
      <c r="Z334" s="5"/>
      <c r="AA334" s="5"/>
      <c r="AB334" s="5"/>
      <c r="AC334" s="5"/>
      <c r="AD334" s="5"/>
      <c r="AE334" s="5"/>
      <c r="AF334" s="5"/>
      <c r="AG334" s="5"/>
    </row>
    <row r="335" spans="3:33" ht="12.75" customHeight="1">
      <c r="C335" s="5"/>
      <c r="D335" s="5"/>
      <c r="E335" s="5"/>
      <c r="F335" s="5"/>
      <c r="G335" s="217"/>
      <c r="H335" s="198"/>
      <c r="I335" s="198"/>
      <c r="J335" s="888"/>
      <c r="K335" s="217"/>
      <c r="L335" s="306"/>
      <c r="M335" s="306"/>
      <c r="N335" s="306"/>
      <c r="O335" s="306"/>
      <c r="P335" s="306"/>
      <c r="Q335" s="215"/>
      <c r="R335" s="5"/>
      <c r="S335" s="5"/>
      <c r="T335" s="5"/>
      <c r="U335" s="5"/>
      <c r="V335" s="5"/>
      <c r="W335" s="5"/>
      <c r="X335" s="5"/>
      <c r="Y335" s="5"/>
      <c r="Z335" s="5"/>
      <c r="AA335" s="5"/>
      <c r="AB335" s="5"/>
      <c r="AC335" s="5"/>
      <c r="AD335" s="5"/>
      <c r="AE335" s="5"/>
      <c r="AF335" s="5"/>
      <c r="AG335" s="5"/>
    </row>
    <row r="336" spans="3:33" ht="12.75" customHeight="1">
      <c r="C336" s="5"/>
      <c r="D336" s="5"/>
      <c r="E336" s="5"/>
      <c r="F336" s="5"/>
      <c r="G336" s="217"/>
      <c r="H336" s="198"/>
      <c r="I336" s="198"/>
      <c r="J336" s="888"/>
      <c r="K336" s="217"/>
      <c r="L336" s="306"/>
      <c r="M336" s="306"/>
      <c r="N336" s="306"/>
      <c r="O336" s="306"/>
      <c r="P336" s="306"/>
      <c r="Q336" s="215"/>
      <c r="R336" s="5"/>
      <c r="S336" s="5"/>
      <c r="T336" s="5"/>
      <c r="U336" s="5"/>
      <c r="V336" s="5"/>
      <c r="W336" s="5"/>
      <c r="X336" s="5"/>
      <c r="Y336" s="5"/>
      <c r="Z336" s="5"/>
      <c r="AA336" s="5"/>
      <c r="AB336" s="5"/>
      <c r="AC336" s="5"/>
      <c r="AD336" s="5"/>
      <c r="AE336" s="5"/>
      <c r="AF336" s="5"/>
      <c r="AG336" s="5"/>
    </row>
    <row r="337" spans="3:33" ht="12.75" customHeight="1">
      <c r="C337" s="5"/>
      <c r="D337" s="5"/>
      <c r="E337" s="5"/>
      <c r="F337" s="5"/>
      <c r="G337" s="217"/>
      <c r="H337" s="198"/>
      <c r="I337" s="198"/>
      <c r="J337" s="888"/>
      <c r="K337" s="217"/>
      <c r="L337" s="306"/>
      <c r="M337" s="306"/>
      <c r="N337" s="306"/>
      <c r="O337" s="306"/>
      <c r="P337" s="306"/>
      <c r="Q337" s="215"/>
      <c r="R337" s="5"/>
      <c r="S337" s="5"/>
      <c r="T337" s="5"/>
      <c r="U337" s="5"/>
      <c r="V337" s="5"/>
      <c r="W337" s="5"/>
      <c r="X337" s="5"/>
      <c r="Y337" s="5"/>
      <c r="Z337" s="5"/>
      <c r="AA337" s="5"/>
      <c r="AB337" s="5"/>
      <c r="AC337" s="5"/>
      <c r="AD337" s="5"/>
      <c r="AE337" s="5"/>
      <c r="AF337" s="5"/>
      <c r="AG337" s="5"/>
    </row>
    <row r="338" spans="3:33" ht="12.75" customHeight="1">
      <c r="C338" s="5"/>
      <c r="D338" s="5"/>
      <c r="E338" s="5"/>
      <c r="F338" s="5"/>
      <c r="G338" s="217"/>
      <c r="H338" s="198"/>
      <c r="I338" s="198"/>
      <c r="J338" s="888"/>
      <c r="K338" s="217"/>
      <c r="L338" s="306"/>
      <c r="M338" s="306"/>
      <c r="N338" s="306"/>
      <c r="O338" s="306"/>
      <c r="P338" s="306"/>
      <c r="Q338" s="215"/>
      <c r="R338" s="5"/>
      <c r="S338" s="5"/>
      <c r="T338" s="5"/>
      <c r="U338" s="5"/>
      <c r="V338" s="5"/>
      <c r="W338" s="5"/>
      <c r="X338" s="5"/>
      <c r="Y338" s="5"/>
      <c r="Z338" s="5"/>
      <c r="AA338" s="5"/>
      <c r="AB338" s="5"/>
      <c r="AC338" s="5"/>
      <c r="AD338" s="5"/>
      <c r="AE338" s="5"/>
      <c r="AF338" s="5"/>
      <c r="AG338" s="5"/>
    </row>
    <row r="339" spans="3:33" ht="12.75" customHeight="1">
      <c r="C339" s="5"/>
      <c r="D339" s="5"/>
      <c r="E339" s="5"/>
      <c r="F339" s="5"/>
      <c r="G339" s="217"/>
      <c r="H339" s="198"/>
      <c r="I339" s="198"/>
      <c r="J339" s="888"/>
      <c r="K339" s="217"/>
      <c r="L339" s="306"/>
      <c r="M339" s="306"/>
      <c r="N339" s="306"/>
      <c r="O339" s="306"/>
      <c r="P339" s="306"/>
      <c r="Q339" s="215"/>
      <c r="R339" s="5"/>
      <c r="S339" s="5"/>
      <c r="T339" s="5"/>
      <c r="U339" s="5"/>
      <c r="V339" s="5"/>
      <c r="W339" s="5"/>
      <c r="X339" s="5"/>
      <c r="Y339" s="5"/>
      <c r="Z339" s="5"/>
      <c r="AA339" s="5"/>
      <c r="AB339" s="5"/>
      <c r="AC339" s="5"/>
      <c r="AD339" s="5"/>
      <c r="AE339" s="5"/>
      <c r="AF339" s="5"/>
      <c r="AG339" s="5"/>
    </row>
    <row r="340" spans="3:33" ht="12.75" customHeight="1">
      <c r="C340" s="5"/>
      <c r="D340" s="5"/>
      <c r="E340" s="5"/>
      <c r="F340" s="5"/>
      <c r="G340" s="217"/>
      <c r="H340" s="198"/>
      <c r="I340" s="198"/>
      <c r="J340" s="888"/>
      <c r="K340" s="217"/>
      <c r="L340" s="306"/>
      <c r="M340" s="306"/>
      <c r="N340" s="306"/>
      <c r="O340" s="306"/>
      <c r="P340" s="306"/>
      <c r="Q340" s="215"/>
      <c r="R340" s="5"/>
      <c r="S340" s="5"/>
      <c r="T340" s="5"/>
      <c r="U340" s="5"/>
      <c r="V340" s="5"/>
      <c r="W340" s="5"/>
      <c r="X340" s="5"/>
      <c r="Y340" s="5"/>
      <c r="Z340" s="5"/>
      <c r="AA340" s="5"/>
      <c r="AB340" s="5"/>
      <c r="AC340" s="5"/>
      <c r="AD340" s="5"/>
      <c r="AE340" s="5"/>
      <c r="AF340" s="5"/>
      <c r="AG340" s="5"/>
    </row>
    <row r="341" spans="3:33" ht="12.75" customHeight="1">
      <c r="C341" s="5"/>
      <c r="D341" s="5"/>
      <c r="E341" s="5"/>
      <c r="F341" s="5"/>
      <c r="G341" s="217"/>
      <c r="H341" s="198"/>
      <c r="I341" s="198"/>
      <c r="J341" s="888"/>
      <c r="K341" s="217"/>
      <c r="L341" s="306"/>
      <c r="M341" s="306"/>
      <c r="N341" s="306"/>
      <c r="O341" s="306"/>
      <c r="P341" s="306"/>
      <c r="Q341" s="215"/>
      <c r="R341" s="5"/>
      <c r="S341" s="5"/>
      <c r="T341" s="5"/>
      <c r="U341" s="5"/>
      <c r="V341" s="5"/>
      <c r="W341" s="5"/>
      <c r="X341" s="5"/>
      <c r="Y341" s="5"/>
      <c r="Z341" s="5"/>
      <c r="AA341" s="5"/>
      <c r="AB341" s="5"/>
      <c r="AC341" s="5"/>
      <c r="AD341" s="5"/>
      <c r="AE341" s="5"/>
      <c r="AF341" s="5"/>
      <c r="AG341" s="5"/>
    </row>
    <row r="342" spans="3:33" ht="12.75" customHeight="1">
      <c r="C342" s="5"/>
      <c r="D342" s="5"/>
      <c r="E342" s="5"/>
      <c r="F342" s="5"/>
      <c r="G342" s="217"/>
      <c r="H342" s="198"/>
      <c r="I342" s="198"/>
      <c r="J342" s="888"/>
      <c r="K342" s="217"/>
      <c r="L342" s="306"/>
      <c r="M342" s="306"/>
      <c r="N342" s="306"/>
      <c r="O342" s="306"/>
      <c r="P342" s="306"/>
      <c r="Q342" s="215"/>
      <c r="R342" s="5"/>
      <c r="S342" s="5"/>
      <c r="T342" s="5"/>
      <c r="U342" s="5"/>
      <c r="V342" s="5"/>
      <c r="W342" s="5"/>
      <c r="X342" s="5"/>
      <c r="Y342" s="5"/>
      <c r="Z342" s="5"/>
      <c r="AA342" s="5"/>
      <c r="AB342" s="5"/>
      <c r="AC342" s="5"/>
      <c r="AD342" s="5"/>
      <c r="AE342" s="5"/>
      <c r="AF342" s="5"/>
      <c r="AG342" s="5"/>
    </row>
    <row r="343" spans="3:33" ht="12.75" customHeight="1">
      <c r="C343" s="5"/>
      <c r="D343" s="5"/>
      <c r="E343" s="5"/>
      <c r="F343" s="5"/>
      <c r="G343" s="217"/>
      <c r="H343" s="198"/>
      <c r="I343" s="198"/>
      <c r="J343" s="888"/>
      <c r="K343" s="217"/>
      <c r="L343" s="306"/>
      <c r="M343" s="306"/>
      <c r="N343" s="306"/>
      <c r="O343" s="306"/>
      <c r="P343" s="306"/>
      <c r="Q343" s="215"/>
      <c r="R343" s="5"/>
      <c r="S343" s="5"/>
      <c r="T343" s="5"/>
      <c r="U343" s="5"/>
      <c r="V343" s="5"/>
      <c r="W343" s="5"/>
      <c r="X343" s="5"/>
      <c r="Y343" s="5"/>
      <c r="Z343" s="5"/>
      <c r="AA343" s="5"/>
      <c r="AB343" s="5"/>
      <c r="AC343" s="5"/>
      <c r="AD343" s="5"/>
      <c r="AE343" s="5"/>
      <c r="AF343" s="5"/>
      <c r="AG343" s="5"/>
    </row>
    <row r="344" spans="3:33" ht="12.75" customHeight="1">
      <c r="C344" s="5"/>
      <c r="D344" s="5"/>
      <c r="E344" s="5"/>
      <c r="F344" s="5"/>
      <c r="G344" s="217"/>
      <c r="H344" s="198"/>
      <c r="I344" s="198"/>
      <c r="J344" s="888"/>
      <c r="K344" s="217"/>
      <c r="L344" s="306"/>
      <c r="M344" s="306"/>
      <c r="N344" s="306"/>
      <c r="O344" s="306"/>
      <c r="P344" s="306"/>
      <c r="Q344" s="215"/>
      <c r="R344" s="5"/>
      <c r="S344" s="5"/>
      <c r="T344" s="5"/>
      <c r="U344" s="5"/>
      <c r="V344" s="5"/>
      <c r="W344" s="5"/>
      <c r="X344" s="5"/>
      <c r="Y344" s="5"/>
      <c r="Z344" s="5"/>
      <c r="AA344" s="5"/>
      <c r="AB344" s="5"/>
      <c r="AC344" s="5"/>
      <c r="AD344" s="5"/>
      <c r="AE344" s="5"/>
      <c r="AF344" s="5"/>
      <c r="AG344" s="5"/>
    </row>
    <row r="345" spans="3:33" ht="12.75" customHeight="1">
      <c r="C345" s="5"/>
      <c r="D345" s="5"/>
      <c r="E345" s="5"/>
      <c r="F345" s="5"/>
      <c r="G345" s="217"/>
      <c r="H345" s="198"/>
      <c r="I345" s="198"/>
      <c r="J345" s="888"/>
      <c r="K345" s="217"/>
      <c r="L345" s="306"/>
      <c r="M345" s="306"/>
      <c r="N345" s="306"/>
      <c r="O345" s="306"/>
      <c r="P345" s="306"/>
      <c r="Q345" s="215"/>
      <c r="R345" s="5"/>
      <c r="S345" s="5"/>
      <c r="T345" s="5"/>
      <c r="U345" s="5"/>
      <c r="V345" s="5"/>
      <c r="W345" s="5"/>
      <c r="X345" s="5"/>
      <c r="Y345" s="5"/>
      <c r="Z345" s="5"/>
      <c r="AA345" s="5"/>
      <c r="AB345" s="5"/>
      <c r="AC345" s="5"/>
      <c r="AD345" s="5"/>
      <c r="AE345" s="5"/>
      <c r="AF345" s="5"/>
      <c r="AG345" s="5"/>
    </row>
    <row r="346" spans="3:33" ht="12.75" customHeight="1">
      <c r="C346" s="5"/>
      <c r="D346" s="5"/>
      <c r="E346" s="5"/>
      <c r="F346" s="5"/>
      <c r="G346" s="217"/>
      <c r="H346" s="198"/>
      <c r="I346" s="198"/>
      <c r="J346" s="888"/>
      <c r="K346" s="217"/>
      <c r="L346" s="306"/>
      <c r="M346" s="306"/>
      <c r="N346" s="306"/>
      <c r="O346" s="306"/>
      <c r="P346" s="306"/>
      <c r="Q346" s="215"/>
      <c r="R346" s="5"/>
      <c r="S346" s="5"/>
      <c r="T346" s="5"/>
      <c r="U346" s="5"/>
      <c r="V346" s="5"/>
      <c r="W346" s="5"/>
      <c r="X346" s="5"/>
      <c r="Y346" s="5"/>
      <c r="Z346" s="5"/>
      <c r="AA346" s="5"/>
      <c r="AB346" s="5"/>
      <c r="AC346" s="5"/>
      <c r="AD346" s="5"/>
      <c r="AE346" s="5"/>
      <c r="AF346" s="5"/>
      <c r="AG346" s="5"/>
    </row>
    <row r="347" spans="3:33" ht="12.75" customHeight="1">
      <c r="C347" s="5"/>
      <c r="D347" s="5"/>
      <c r="E347" s="5"/>
      <c r="F347" s="5"/>
      <c r="G347" s="217"/>
      <c r="H347" s="198"/>
      <c r="I347" s="198"/>
      <c r="J347" s="888"/>
      <c r="K347" s="217"/>
      <c r="L347" s="306"/>
      <c r="M347" s="306"/>
      <c r="N347" s="306"/>
      <c r="O347" s="306"/>
      <c r="P347" s="306"/>
      <c r="Q347" s="215"/>
      <c r="R347" s="5"/>
      <c r="S347" s="5"/>
      <c r="T347" s="5"/>
      <c r="U347" s="5"/>
      <c r="V347" s="5"/>
      <c r="W347" s="5"/>
      <c r="X347" s="5"/>
      <c r="Y347" s="5"/>
      <c r="Z347" s="5"/>
      <c r="AA347" s="5"/>
      <c r="AB347" s="5"/>
      <c r="AC347" s="5"/>
      <c r="AD347" s="5"/>
      <c r="AE347" s="5"/>
      <c r="AF347" s="5"/>
      <c r="AG347" s="5"/>
    </row>
    <row r="348" spans="3:33" ht="12.75" customHeight="1">
      <c r="C348" s="5"/>
      <c r="D348" s="5"/>
      <c r="E348" s="5"/>
      <c r="F348" s="5"/>
      <c r="G348" s="217"/>
      <c r="H348" s="198"/>
      <c r="I348" s="198"/>
      <c r="J348" s="888"/>
      <c r="K348" s="217"/>
      <c r="L348" s="306"/>
      <c r="M348" s="306"/>
      <c r="N348" s="306"/>
      <c r="O348" s="306"/>
      <c r="P348" s="306"/>
      <c r="Q348" s="215"/>
      <c r="R348" s="5"/>
      <c r="S348" s="5"/>
      <c r="T348" s="5"/>
      <c r="U348" s="5"/>
      <c r="V348" s="5"/>
      <c r="W348" s="5"/>
      <c r="X348" s="5"/>
      <c r="Y348" s="5"/>
      <c r="Z348" s="5"/>
      <c r="AA348" s="5"/>
      <c r="AB348" s="5"/>
      <c r="AC348" s="5"/>
      <c r="AD348" s="5"/>
      <c r="AE348" s="5"/>
      <c r="AF348" s="5"/>
      <c r="AG348" s="5"/>
    </row>
    <row r="349" spans="3:33" ht="12.75" customHeight="1">
      <c r="C349" s="5"/>
      <c r="D349" s="5"/>
      <c r="E349" s="5"/>
      <c r="F349" s="5"/>
      <c r="G349" s="217"/>
      <c r="H349" s="198"/>
      <c r="I349" s="198"/>
      <c r="J349" s="888"/>
      <c r="K349" s="217"/>
      <c r="L349" s="306"/>
      <c r="M349" s="306"/>
      <c r="N349" s="306"/>
      <c r="O349" s="306"/>
      <c r="P349" s="306"/>
      <c r="Q349" s="215"/>
      <c r="R349" s="5"/>
      <c r="S349" s="5"/>
      <c r="T349" s="5"/>
      <c r="U349" s="5"/>
      <c r="V349" s="5"/>
      <c r="W349" s="5"/>
      <c r="X349" s="5"/>
      <c r="Y349" s="5"/>
      <c r="Z349" s="5"/>
      <c r="AA349" s="5"/>
      <c r="AB349" s="5"/>
      <c r="AC349" s="5"/>
      <c r="AD349" s="5"/>
      <c r="AE349" s="5"/>
      <c r="AF349" s="5"/>
      <c r="AG349" s="5"/>
    </row>
    <row r="350" spans="3:33" ht="12.75" customHeight="1">
      <c r="C350" s="5"/>
      <c r="D350" s="5"/>
      <c r="E350" s="5"/>
      <c r="F350" s="5"/>
      <c r="G350" s="217"/>
      <c r="H350" s="198"/>
      <c r="I350" s="198"/>
      <c r="J350" s="888"/>
      <c r="K350" s="217"/>
      <c r="L350" s="306"/>
      <c r="M350" s="306"/>
      <c r="N350" s="306"/>
      <c r="O350" s="306"/>
      <c r="P350" s="306"/>
      <c r="Q350" s="215"/>
      <c r="R350" s="5"/>
      <c r="S350" s="5"/>
      <c r="T350" s="5"/>
      <c r="U350" s="5"/>
      <c r="V350" s="5"/>
      <c r="W350" s="5"/>
      <c r="X350" s="5"/>
      <c r="Y350" s="5"/>
      <c r="Z350" s="5"/>
      <c r="AA350" s="5"/>
      <c r="AB350" s="5"/>
      <c r="AC350" s="5"/>
      <c r="AD350" s="5"/>
      <c r="AE350" s="5"/>
      <c r="AF350" s="5"/>
      <c r="AG350" s="5"/>
    </row>
    <row r="351" spans="3:33" ht="12.75" customHeight="1">
      <c r="C351" s="5"/>
      <c r="D351" s="5"/>
      <c r="E351" s="5"/>
      <c r="F351" s="5"/>
      <c r="G351" s="217"/>
      <c r="H351" s="198"/>
      <c r="I351" s="198"/>
      <c r="J351" s="888"/>
      <c r="K351" s="217"/>
      <c r="L351" s="306"/>
      <c r="M351" s="306"/>
      <c r="N351" s="306"/>
      <c r="O351" s="306"/>
      <c r="P351" s="306"/>
      <c r="Q351" s="215"/>
      <c r="R351" s="5"/>
      <c r="S351" s="5"/>
      <c r="T351" s="5"/>
      <c r="U351" s="5"/>
      <c r="V351" s="5"/>
      <c r="W351" s="5"/>
      <c r="X351" s="5"/>
      <c r="Y351" s="5"/>
      <c r="Z351" s="5"/>
      <c r="AA351" s="5"/>
      <c r="AB351" s="5"/>
      <c r="AC351" s="5"/>
      <c r="AD351" s="5"/>
      <c r="AE351" s="5"/>
      <c r="AF351" s="5"/>
      <c r="AG351" s="5"/>
    </row>
    <row r="352" spans="3:33" ht="12.75" customHeight="1">
      <c r="C352" s="5"/>
      <c r="D352" s="5"/>
      <c r="E352" s="5"/>
      <c r="F352" s="5"/>
      <c r="G352" s="217"/>
      <c r="H352" s="198"/>
      <c r="I352" s="198"/>
      <c r="J352" s="888"/>
      <c r="K352" s="217"/>
      <c r="L352" s="306"/>
      <c r="M352" s="306"/>
      <c r="N352" s="306"/>
      <c r="O352" s="306"/>
      <c r="P352" s="306"/>
      <c r="Q352" s="215"/>
      <c r="R352" s="5"/>
      <c r="S352" s="5"/>
      <c r="T352" s="5"/>
      <c r="U352" s="5"/>
      <c r="V352" s="5"/>
      <c r="W352" s="5"/>
      <c r="X352" s="5"/>
      <c r="Y352" s="5"/>
      <c r="Z352" s="5"/>
      <c r="AA352" s="5"/>
      <c r="AB352" s="5"/>
      <c r="AC352" s="5"/>
      <c r="AD352" s="5"/>
      <c r="AE352" s="5"/>
      <c r="AF352" s="5"/>
      <c r="AG352" s="5"/>
    </row>
    <row r="353" spans="3:33" ht="12.75" customHeight="1">
      <c r="C353" s="5"/>
      <c r="D353" s="5"/>
      <c r="E353" s="5"/>
      <c r="F353" s="5"/>
      <c r="G353" s="217"/>
      <c r="H353" s="198"/>
      <c r="I353" s="198"/>
      <c r="J353" s="888"/>
      <c r="K353" s="217"/>
      <c r="L353" s="306"/>
      <c r="M353" s="306"/>
      <c r="N353" s="306"/>
      <c r="O353" s="306"/>
      <c r="P353" s="306"/>
      <c r="Q353" s="215"/>
      <c r="R353" s="5"/>
      <c r="S353" s="5"/>
      <c r="T353" s="5"/>
      <c r="U353" s="5"/>
      <c r="V353" s="5"/>
      <c r="W353" s="5"/>
      <c r="X353" s="5"/>
      <c r="Y353" s="5"/>
      <c r="Z353" s="5"/>
      <c r="AA353" s="5"/>
      <c r="AB353" s="5"/>
      <c r="AC353" s="5"/>
      <c r="AD353" s="5"/>
      <c r="AE353" s="5"/>
      <c r="AF353" s="5"/>
      <c r="AG353" s="5"/>
    </row>
    <row r="354" spans="3:33" ht="12.75" customHeight="1">
      <c r="C354" s="5"/>
      <c r="D354" s="5"/>
      <c r="E354" s="5"/>
      <c r="F354" s="5"/>
      <c r="G354" s="217"/>
      <c r="H354" s="198"/>
      <c r="I354" s="198"/>
      <c r="J354" s="888"/>
      <c r="K354" s="217"/>
      <c r="L354" s="306"/>
      <c r="M354" s="306"/>
      <c r="N354" s="306"/>
      <c r="O354" s="306"/>
      <c r="P354" s="306"/>
      <c r="Q354" s="215"/>
      <c r="R354" s="5"/>
      <c r="S354" s="5"/>
      <c r="T354" s="5"/>
      <c r="U354" s="5"/>
      <c r="V354" s="5"/>
      <c r="W354" s="5"/>
      <c r="X354" s="5"/>
      <c r="Y354" s="5"/>
      <c r="Z354" s="5"/>
      <c r="AA354" s="5"/>
      <c r="AB354" s="5"/>
      <c r="AC354" s="5"/>
      <c r="AD354" s="5"/>
      <c r="AE354" s="5"/>
      <c r="AF354" s="5"/>
      <c r="AG354" s="5"/>
    </row>
    <row r="355" spans="3:33" ht="12.75" customHeight="1">
      <c r="C355" s="5"/>
      <c r="D355" s="5"/>
      <c r="E355" s="5"/>
      <c r="F355" s="5"/>
      <c r="G355" s="217"/>
      <c r="H355" s="198"/>
      <c r="I355" s="198"/>
      <c r="J355" s="888"/>
      <c r="K355" s="217"/>
      <c r="L355" s="306"/>
      <c r="M355" s="306"/>
      <c r="N355" s="306"/>
      <c r="O355" s="306"/>
      <c r="P355" s="306"/>
      <c r="Q355" s="215"/>
      <c r="R355" s="5"/>
      <c r="S355" s="5"/>
      <c r="T355" s="5"/>
      <c r="U355" s="5"/>
      <c r="V355" s="5"/>
      <c r="W355" s="5"/>
      <c r="X355" s="5"/>
      <c r="Y355" s="5"/>
      <c r="Z355" s="5"/>
      <c r="AA355" s="5"/>
      <c r="AB355" s="5"/>
      <c r="AC355" s="5"/>
      <c r="AD355" s="5"/>
      <c r="AE355" s="5"/>
      <c r="AF355" s="5"/>
      <c r="AG355" s="5"/>
    </row>
    <row r="356" spans="3:33" ht="12.75" customHeight="1">
      <c r="C356" s="5"/>
      <c r="D356" s="5"/>
      <c r="E356" s="5"/>
      <c r="F356" s="5"/>
      <c r="G356" s="217"/>
      <c r="H356" s="198"/>
      <c r="I356" s="198"/>
      <c r="J356" s="888"/>
      <c r="K356" s="217"/>
      <c r="L356" s="306"/>
      <c r="M356" s="306"/>
      <c r="N356" s="306"/>
      <c r="O356" s="306"/>
      <c r="P356" s="306"/>
      <c r="Q356" s="215"/>
      <c r="R356" s="5"/>
      <c r="S356" s="5"/>
      <c r="T356" s="5"/>
      <c r="U356" s="5"/>
      <c r="V356" s="5"/>
      <c r="W356" s="5"/>
      <c r="X356" s="5"/>
      <c r="Y356" s="5"/>
      <c r="Z356" s="5"/>
      <c r="AA356" s="5"/>
      <c r="AB356" s="5"/>
      <c r="AC356" s="5"/>
      <c r="AD356" s="5"/>
      <c r="AE356" s="5"/>
      <c r="AF356" s="5"/>
      <c r="AG356" s="5"/>
    </row>
    <row r="357" spans="3:33" ht="12.75" customHeight="1">
      <c r="C357" s="5"/>
      <c r="D357" s="5"/>
      <c r="E357" s="5"/>
      <c r="F357" s="5"/>
      <c r="G357" s="217"/>
      <c r="H357" s="198"/>
      <c r="I357" s="198"/>
      <c r="J357" s="888"/>
      <c r="K357" s="217"/>
      <c r="L357" s="306"/>
      <c r="M357" s="306"/>
      <c r="N357" s="306"/>
      <c r="O357" s="306"/>
      <c r="P357" s="306"/>
      <c r="Q357" s="215"/>
      <c r="R357" s="5"/>
      <c r="S357" s="5"/>
      <c r="T357" s="5"/>
      <c r="U357" s="5"/>
      <c r="V357" s="5"/>
      <c r="W357" s="5"/>
      <c r="X357" s="5"/>
      <c r="Y357" s="5"/>
      <c r="Z357" s="5"/>
      <c r="AA357" s="5"/>
      <c r="AB357" s="5"/>
      <c r="AC357" s="5"/>
      <c r="AD357" s="5"/>
      <c r="AE357" s="5"/>
      <c r="AF357" s="5"/>
      <c r="AG357" s="5"/>
    </row>
    <row r="358" spans="3:33" ht="12.75" customHeight="1">
      <c r="C358" s="5"/>
      <c r="D358" s="5"/>
      <c r="E358" s="5"/>
      <c r="F358" s="5"/>
      <c r="G358" s="217"/>
      <c r="H358" s="198"/>
      <c r="I358" s="198"/>
      <c r="J358" s="888"/>
      <c r="K358" s="217"/>
      <c r="L358" s="306"/>
      <c r="M358" s="306"/>
      <c r="N358" s="306"/>
      <c r="O358" s="306"/>
      <c r="P358" s="306"/>
      <c r="Q358" s="215"/>
      <c r="R358" s="5"/>
      <c r="S358" s="5"/>
      <c r="T358" s="5"/>
      <c r="U358" s="5"/>
      <c r="V358" s="5"/>
      <c r="W358" s="5"/>
      <c r="X358" s="5"/>
      <c r="Y358" s="5"/>
      <c r="Z358" s="5"/>
      <c r="AA358" s="5"/>
      <c r="AB358" s="5"/>
      <c r="AC358" s="5"/>
      <c r="AD358" s="5"/>
      <c r="AE358" s="5"/>
      <c r="AF358" s="5"/>
      <c r="AG358" s="5"/>
    </row>
    <row r="359" spans="3:33" ht="12.75" customHeight="1">
      <c r="C359" s="5"/>
      <c r="D359" s="5"/>
      <c r="E359" s="5"/>
      <c r="F359" s="5"/>
      <c r="G359" s="217"/>
      <c r="H359" s="198"/>
      <c r="I359" s="198"/>
      <c r="J359" s="888"/>
      <c r="K359" s="217"/>
      <c r="L359" s="306"/>
      <c r="M359" s="306"/>
      <c r="N359" s="306"/>
      <c r="O359" s="306"/>
      <c r="P359" s="306"/>
      <c r="Q359" s="215"/>
      <c r="R359" s="5"/>
      <c r="S359" s="5"/>
      <c r="T359" s="5"/>
      <c r="U359" s="5"/>
      <c r="V359" s="5"/>
      <c r="W359" s="5"/>
      <c r="X359" s="5"/>
      <c r="Y359" s="5"/>
      <c r="Z359" s="5"/>
      <c r="AA359" s="5"/>
      <c r="AB359" s="5"/>
      <c r="AC359" s="5"/>
      <c r="AD359" s="5"/>
      <c r="AE359" s="5"/>
      <c r="AF359" s="5"/>
      <c r="AG359" s="5"/>
    </row>
    <row r="360" spans="3:33" ht="12.75" customHeight="1">
      <c r="C360" s="5"/>
      <c r="D360" s="5"/>
      <c r="E360" s="5"/>
      <c r="F360" s="5"/>
      <c r="G360" s="217"/>
      <c r="H360" s="198"/>
      <c r="I360" s="198"/>
      <c r="J360" s="888"/>
      <c r="K360" s="217"/>
      <c r="L360" s="306"/>
      <c r="M360" s="306"/>
      <c r="N360" s="306"/>
      <c r="O360" s="306"/>
      <c r="P360" s="306"/>
      <c r="Q360" s="215"/>
      <c r="R360" s="5"/>
      <c r="S360" s="5"/>
      <c r="T360" s="5"/>
      <c r="U360" s="5"/>
      <c r="V360" s="5"/>
      <c r="W360" s="5"/>
      <c r="X360" s="5"/>
      <c r="Y360" s="5"/>
      <c r="Z360" s="5"/>
      <c r="AA360" s="5"/>
      <c r="AB360" s="5"/>
      <c r="AC360" s="5"/>
      <c r="AD360" s="5"/>
      <c r="AE360" s="5"/>
      <c r="AF360" s="5"/>
      <c r="AG360" s="5"/>
    </row>
    <row r="361" spans="3:33" ht="12.75" customHeight="1">
      <c r="C361" s="5"/>
      <c r="D361" s="5"/>
      <c r="E361" s="5"/>
      <c r="F361" s="5"/>
      <c r="G361" s="217"/>
      <c r="H361" s="198"/>
      <c r="I361" s="198"/>
      <c r="J361" s="888"/>
      <c r="K361" s="217"/>
      <c r="L361" s="306"/>
      <c r="M361" s="306"/>
      <c r="N361" s="306"/>
      <c r="O361" s="306"/>
      <c r="P361" s="306"/>
      <c r="Q361" s="215"/>
      <c r="R361" s="5"/>
      <c r="S361" s="5"/>
      <c r="T361" s="5"/>
      <c r="U361" s="5"/>
      <c r="V361" s="5"/>
      <c r="W361" s="5"/>
      <c r="X361" s="5"/>
      <c r="Y361" s="5"/>
      <c r="Z361" s="5"/>
      <c r="AA361" s="5"/>
      <c r="AB361" s="5"/>
      <c r="AC361" s="5"/>
      <c r="AD361" s="5"/>
      <c r="AE361" s="5"/>
      <c r="AF361" s="5"/>
      <c r="AG361" s="5"/>
    </row>
    <row r="362" spans="3:33" ht="12.75" customHeight="1">
      <c r="C362" s="5"/>
      <c r="D362" s="5"/>
      <c r="E362" s="5"/>
      <c r="F362" s="5"/>
      <c r="G362" s="217"/>
      <c r="H362" s="198"/>
      <c r="I362" s="198"/>
      <c r="J362" s="888"/>
      <c r="K362" s="217"/>
      <c r="L362" s="306"/>
      <c r="M362" s="306"/>
      <c r="N362" s="306"/>
      <c r="O362" s="306"/>
      <c r="P362" s="306"/>
      <c r="Q362" s="215"/>
      <c r="R362" s="5"/>
      <c r="S362" s="5"/>
      <c r="T362" s="5"/>
      <c r="U362" s="5"/>
      <c r="V362" s="5"/>
      <c r="W362" s="5"/>
      <c r="X362" s="5"/>
      <c r="Y362" s="5"/>
      <c r="Z362" s="5"/>
      <c r="AA362" s="5"/>
      <c r="AB362" s="5"/>
      <c r="AC362" s="5"/>
      <c r="AD362" s="5"/>
      <c r="AE362" s="5"/>
      <c r="AF362" s="5"/>
      <c r="AG362" s="5"/>
    </row>
    <row r="363" spans="3:33" ht="12.75" customHeight="1">
      <c r="C363" s="5"/>
      <c r="D363" s="5"/>
      <c r="E363" s="5"/>
      <c r="F363" s="5"/>
      <c r="G363" s="217"/>
      <c r="H363" s="198"/>
      <c r="I363" s="198"/>
      <c r="J363" s="888"/>
      <c r="K363" s="217"/>
      <c r="L363" s="306"/>
      <c r="M363" s="306"/>
      <c r="N363" s="306"/>
      <c r="O363" s="306"/>
      <c r="P363" s="306"/>
      <c r="Q363" s="215"/>
      <c r="R363" s="5"/>
      <c r="S363" s="5"/>
      <c r="T363" s="5"/>
      <c r="U363" s="5"/>
      <c r="V363" s="5"/>
      <c r="W363" s="5"/>
      <c r="X363" s="5"/>
      <c r="Y363" s="5"/>
      <c r="Z363" s="5"/>
      <c r="AA363" s="5"/>
      <c r="AB363" s="5"/>
      <c r="AC363" s="5"/>
      <c r="AD363" s="5"/>
      <c r="AE363" s="5"/>
      <c r="AF363" s="5"/>
      <c r="AG363" s="5"/>
    </row>
    <row r="364" spans="3:33" ht="12.75" customHeight="1">
      <c r="C364" s="5"/>
      <c r="D364" s="5"/>
      <c r="E364" s="5"/>
      <c r="F364" s="5"/>
      <c r="G364" s="217"/>
      <c r="H364" s="198"/>
      <c r="I364" s="198"/>
      <c r="J364" s="888"/>
      <c r="K364" s="217"/>
      <c r="L364" s="306"/>
      <c r="M364" s="306"/>
      <c r="N364" s="306"/>
      <c r="O364" s="306"/>
      <c r="P364" s="306"/>
      <c r="Q364" s="215"/>
      <c r="R364" s="5"/>
      <c r="S364" s="5"/>
      <c r="T364" s="5"/>
      <c r="U364" s="5"/>
      <c r="V364" s="5"/>
      <c r="W364" s="5"/>
      <c r="X364" s="5"/>
      <c r="Y364" s="5"/>
      <c r="Z364" s="5"/>
      <c r="AA364" s="5"/>
      <c r="AB364" s="5"/>
      <c r="AC364" s="5"/>
      <c r="AD364" s="5"/>
      <c r="AE364" s="5"/>
      <c r="AF364" s="5"/>
      <c r="AG364" s="5"/>
    </row>
    <row r="365" spans="3:33" ht="12.75" customHeight="1">
      <c r="C365" s="5"/>
      <c r="D365" s="5"/>
      <c r="E365" s="5"/>
      <c r="F365" s="5"/>
      <c r="G365" s="217"/>
      <c r="H365" s="198"/>
      <c r="I365" s="198"/>
      <c r="J365" s="888"/>
      <c r="K365" s="217"/>
      <c r="L365" s="306"/>
      <c r="M365" s="306"/>
      <c r="N365" s="306"/>
      <c r="O365" s="306"/>
      <c r="P365" s="306"/>
      <c r="Q365" s="215"/>
      <c r="R365" s="5"/>
      <c r="S365" s="5"/>
      <c r="T365" s="5"/>
      <c r="U365" s="5"/>
      <c r="V365" s="5"/>
      <c r="W365" s="5"/>
      <c r="X365" s="5"/>
      <c r="Y365" s="5"/>
      <c r="Z365" s="5"/>
      <c r="AA365" s="5"/>
      <c r="AB365" s="5"/>
      <c r="AC365" s="5"/>
      <c r="AD365" s="5"/>
      <c r="AE365" s="5"/>
      <c r="AF365" s="5"/>
      <c r="AG365" s="5"/>
    </row>
    <row r="366" spans="3:33" ht="12.75" customHeight="1">
      <c r="C366" s="5"/>
      <c r="D366" s="5"/>
      <c r="E366" s="5"/>
      <c r="F366" s="5"/>
      <c r="G366" s="217"/>
      <c r="H366" s="198"/>
      <c r="I366" s="198"/>
      <c r="J366" s="888"/>
      <c r="K366" s="217"/>
      <c r="L366" s="306"/>
      <c r="M366" s="306"/>
      <c r="N366" s="306"/>
      <c r="O366" s="306"/>
      <c r="P366" s="306"/>
      <c r="Q366" s="215"/>
      <c r="R366" s="5"/>
      <c r="S366" s="5"/>
      <c r="T366" s="5"/>
      <c r="U366" s="5"/>
      <c r="V366" s="5"/>
      <c r="W366" s="5"/>
      <c r="X366" s="5"/>
      <c r="Y366" s="5"/>
      <c r="Z366" s="5"/>
      <c r="AA366" s="5"/>
      <c r="AB366" s="5"/>
      <c r="AC366" s="5"/>
      <c r="AD366" s="5"/>
      <c r="AE366" s="5"/>
      <c r="AF366" s="5"/>
      <c r="AG366" s="5"/>
    </row>
    <row r="367" spans="3:33" ht="12.75" customHeight="1">
      <c r="C367" s="5"/>
      <c r="D367" s="5"/>
      <c r="E367" s="5"/>
      <c r="F367" s="5"/>
      <c r="G367" s="217"/>
      <c r="H367" s="198"/>
      <c r="I367" s="198"/>
      <c r="J367" s="888"/>
      <c r="K367" s="217"/>
      <c r="L367" s="306"/>
      <c r="M367" s="306"/>
      <c r="N367" s="306"/>
      <c r="O367" s="306"/>
      <c r="P367" s="306"/>
      <c r="Q367" s="215"/>
      <c r="R367" s="5"/>
      <c r="S367" s="5"/>
      <c r="T367" s="5"/>
      <c r="U367" s="5"/>
      <c r="V367" s="5"/>
      <c r="W367" s="5"/>
      <c r="X367" s="5"/>
      <c r="Y367" s="5"/>
      <c r="Z367" s="5"/>
      <c r="AA367" s="5"/>
      <c r="AB367" s="5"/>
      <c r="AC367" s="5"/>
      <c r="AD367" s="5"/>
      <c r="AE367" s="5"/>
      <c r="AF367" s="5"/>
      <c r="AG367" s="5"/>
    </row>
    <row r="368" spans="3:33" ht="12.75" customHeight="1">
      <c r="C368" s="5"/>
      <c r="D368" s="5"/>
      <c r="E368" s="5"/>
      <c r="F368" s="5"/>
      <c r="G368" s="217"/>
      <c r="H368" s="198"/>
      <c r="I368" s="198"/>
      <c r="J368" s="888"/>
      <c r="K368" s="217"/>
      <c r="L368" s="306"/>
      <c r="M368" s="306"/>
      <c r="N368" s="306"/>
      <c r="O368" s="306"/>
      <c r="P368" s="306"/>
      <c r="Q368" s="215"/>
      <c r="R368" s="5"/>
      <c r="S368" s="5"/>
      <c r="T368" s="5"/>
      <c r="U368" s="5"/>
      <c r="V368" s="5"/>
      <c r="W368" s="5"/>
      <c r="X368" s="5"/>
      <c r="Y368" s="5"/>
      <c r="Z368" s="5"/>
      <c r="AA368" s="5"/>
      <c r="AB368" s="5"/>
      <c r="AC368" s="5"/>
      <c r="AD368" s="5"/>
      <c r="AE368" s="5"/>
      <c r="AF368" s="5"/>
      <c r="AG368" s="5"/>
    </row>
    <row r="369" spans="3:33" ht="12.75" customHeight="1">
      <c r="C369" s="5"/>
      <c r="D369" s="5"/>
      <c r="E369" s="5"/>
      <c r="F369" s="5"/>
      <c r="G369" s="217"/>
      <c r="H369" s="198"/>
      <c r="I369" s="198"/>
      <c r="J369" s="888"/>
      <c r="K369" s="217"/>
      <c r="L369" s="306"/>
      <c r="M369" s="306"/>
      <c r="N369" s="306"/>
      <c r="O369" s="306"/>
      <c r="P369" s="306"/>
      <c r="Q369" s="215"/>
      <c r="R369" s="5"/>
      <c r="S369" s="5"/>
      <c r="T369" s="5"/>
      <c r="U369" s="5"/>
      <c r="V369" s="5"/>
      <c r="W369" s="5"/>
      <c r="X369" s="5"/>
      <c r="Y369" s="5"/>
      <c r="Z369" s="5"/>
      <c r="AA369" s="5"/>
      <c r="AB369" s="5"/>
      <c r="AC369" s="5"/>
      <c r="AD369" s="5"/>
      <c r="AE369" s="5"/>
      <c r="AF369" s="5"/>
      <c r="AG369" s="5"/>
    </row>
    <row r="370" spans="3:33" ht="12.75" customHeight="1">
      <c r="C370" s="5"/>
      <c r="D370" s="5"/>
      <c r="E370" s="5"/>
      <c r="F370" s="5"/>
      <c r="G370" s="217"/>
      <c r="H370" s="198"/>
      <c r="I370" s="198"/>
      <c r="J370" s="888"/>
      <c r="K370" s="217"/>
      <c r="L370" s="306"/>
      <c r="M370" s="306"/>
      <c r="N370" s="306"/>
      <c r="O370" s="306"/>
      <c r="P370" s="306"/>
      <c r="Q370" s="215"/>
      <c r="R370" s="5"/>
      <c r="S370" s="5"/>
      <c r="T370" s="5"/>
      <c r="U370" s="5"/>
      <c r="V370" s="5"/>
      <c r="W370" s="5"/>
      <c r="X370" s="5"/>
      <c r="Y370" s="5"/>
      <c r="Z370" s="5"/>
      <c r="AA370" s="5"/>
      <c r="AB370" s="5"/>
      <c r="AC370" s="5"/>
      <c r="AD370" s="5"/>
      <c r="AE370" s="5"/>
      <c r="AF370" s="5"/>
      <c r="AG370" s="5"/>
    </row>
    <row r="371" spans="3:33" ht="12.75" customHeight="1">
      <c r="C371" s="5"/>
      <c r="D371" s="5"/>
      <c r="E371" s="5"/>
      <c r="F371" s="5"/>
      <c r="G371" s="217"/>
      <c r="H371" s="198"/>
      <c r="I371" s="198"/>
      <c r="J371" s="888"/>
      <c r="K371" s="217"/>
      <c r="L371" s="306"/>
      <c r="M371" s="306"/>
      <c r="N371" s="306"/>
      <c r="O371" s="306"/>
      <c r="P371" s="306"/>
      <c r="Q371" s="215"/>
      <c r="R371" s="5"/>
      <c r="S371" s="5"/>
      <c r="T371" s="5"/>
      <c r="U371" s="5"/>
      <c r="V371" s="5"/>
      <c r="W371" s="5"/>
      <c r="X371" s="5"/>
      <c r="Y371" s="5"/>
      <c r="Z371" s="5"/>
      <c r="AA371" s="5"/>
      <c r="AB371" s="5"/>
      <c r="AC371" s="5"/>
      <c r="AD371" s="5"/>
      <c r="AE371" s="5"/>
      <c r="AF371" s="5"/>
      <c r="AG371" s="5"/>
    </row>
    <row r="372" spans="3:33" ht="12.75" customHeight="1">
      <c r="C372" s="5"/>
      <c r="D372" s="5"/>
      <c r="E372" s="5"/>
      <c r="F372" s="5"/>
      <c r="G372" s="217"/>
      <c r="H372" s="198"/>
      <c r="I372" s="198"/>
      <c r="J372" s="888"/>
      <c r="K372" s="217"/>
      <c r="L372" s="306"/>
      <c r="M372" s="306"/>
      <c r="N372" s="306"/>
      <c r="O372" s="306"/>
      <c r="P372" s="306"/>
      <c r="Q372" s="215"/>
      <c r="R372" s="5"/>
      <c r="S372" s="5"/>
      <c r="T372" s="5"/>
      <c r="U372" s="5"/>
      <c r="V372" s="5"/>
      <c r="W372" s="5"/>
      <c r="X372" s="5"/>
      <c r="Y372" s="5"/>
      <c r="Z372" s="5"/>
      <c r="AA372" s="5"/>
      <c r="AB372" s="5"/>
      <c r="AC372" s="5"/>
      <c r="AD372" s="5"/>
      <c r="AE372" s="5"/>
      <c r="AF372" s="5"/>
      <c r="AG372" s="5"/>
    </row>
    <row r="373" spans="3:33" ht="12.75" customHeight="1">
      <c r="C373" s="5"/>
      <c r="D373" s="5"/>
      <c r="E373" s="5"/>
      <c r="F373" s="5"/>
      <c r="G373" s="217"/>
      <c r="H373" s="198"/>
      <c r="I373" s="198"/>
      <c r="J373" s="888"/>
      <c r="K373" s="217"/>
      <c r="L373" s="306"/>
      <c r="M373" s="306"/>
      <c r="N373" s="306"/>
      <c r="O373" s="306"/>
      <c r="P373" s="306"/>
      <c r="Q373" s="215"/>
      <c r="R373" s="5"/>
      <c r="S373" s="5"/>
      <c r="T373" s="5"/>
      <c r="U373" s="5"/>
      <c r="V373" s="5"/>
      <c r="W373" s="5"/>
      <c r="X373" s="5"/>
      <c r="Y373" s="5"/>
      <c r="Z373" s="5"/>
      <c r="AA373" s="5"/>
      <c r="AB373" s="5"/>
      <c r="AC373" s="5"/>
      <c r="AD373" s="5"/>
      <c r="AE373" s="5"/>
      <c r="AF373" s="5"/>
      <c r="AG373" s="5"/>
    </row>
    <row r="374" spans="3:33" ht="12.75" customHeight="1">
      <c r="C374" s="5"/>
      <c r="D374" s="5"/>
      <c r="E374" s="5"/>
      <c r="F374" s="5"/>
      <c r="G374" s="217"/>
      <c r="H374" s="198"/>
      <c r="I374" s="198"/>
      <c r="J374" s="888"/>
      <c r="K374" s="217"/>
      <c r="L374" s="306"/>
      <c r="M374" s="306"/>
      <c r="N374" s="306"/>
      <c r="O374" s="306"/>
      <c r="P374" s="306"/>
      <c r="Q374" s="215"/>
      <c r="R374" s="5"/>
      <c r="S374" s="5"/>
      <c r="T374" s="5"/>
      <c r="U374" s="5"/>
      <c r="V374" s="5"/>
      <c r="W374" s="5"/>
      <c r="X374" s="5"/>
      <c r="Y374" s="5"/>
      <c r="Z374" s="5"/>
      <c r="AA374" s="5"/>
      <c r="AB374" s="5"/>
      <c r="AC374" s="5"/>
      <c r="AD374" s="5"/>
      <c r="AE374" s="5"/>
      <c r="AF374" s="5"/>
      <c r="AG374" s="5"/>
    </row>
    <row r="375" spans="3:33" ht="12.75" customHeight="1">
      <c r="C375" s="5"/>
      <c r="D375" s="5"/>
      <c r="E375" s="5"/>
      <c r="F375" s="5"/>
      <c r="G375" s="217"/>
      <c r="H375" s="198"/>
      <c r="I375" s="198"/>
      <c r="J375" s="888"/>
      <c r="K375" s="217"/>
      <c r="L375" s="306"/>
      <c r="M375" s="306"/>
      <c r="N375" s="306"/>
      <c r="O375" s="306"/>
      <c r="P375" s="306"/>
      <c r="Q375" s="215"/>
      <c r="R375" s="5"/>
      <c r="S375" s="5"/>
      <c r="T375" s="5"/>
      <c r="U375" s="5"/>
      <c r="V375" s="5"/>
      <c r="W375" s="5"/>
      <c r="X375" s="5"/>
      <c r="Y375" s="5"/>
      <c r="Z375" s="5"/>
      <c r="AA375" s="5"/>
      <c r="AB375" s="5"/>
      <c r="AC375" s="5"/>
      <c r="AD375" s="5"/>
      <c r="AE375" s="5"/>
      <c r="AF375" s="5"/>
      <c r="AG375" s="5"/>
    </row>
    <row r="376" spans="3:33" ht="12.75" customHeight="1">
      <c r="C376" s="5"/>
      <c r="D376" s="5"/>
      <c r="E376" s="5"/>
      <c r="F376" s="5"/>
      <c r="G376" s="217"/>
      <c r="H376" s="198"/>
      <c r="I376" s="198"/>
      <c r="J376" s="888"/>
      <c r="K376" s="217"/>
      <c r="L376" s="306"/>
      <c r="M376" s="306"/>
      <c r="N376" s="306"/>
      <c r="O376" s="306"/>
      <c r="P376" s="306"/>
      <c r="Q376" s="215"/>
      <c r="R376" s="5"/>
      <c r="S376" s="5"/>
      <c r="T376" s="5"/>
      <c r="U376" s="5"/>
      <c r="V376" s="5"/>
      <c r="W376" s="5"/>
      <c r="X376" s="5"/>
      <c r="Y376" s="5"/>
      <c r="Z376" s="5"/>
      <c r="AA376" s="5"/>
      <c r="AB376" s="5"/>
      <c r="AC376" s="5"/>
      <c r="AD376" s="5"/>
      <c r="AE376" s="5"/>
      <c r="AF376" s="5"/>
      <c r="AG376" s="5"/>
    </row>
    <row r="377" spans="3:33" ht="12.75" customHeight="1">
      <c r="C377" s="5"/>
      <c r="D377" s="5"/>
      <c r="E377" s="5"/>
      <c r="F377" s="5"/>
      <c r="G377" s="217"/>
      <c r="H377" s="198"/>
      <c r="I377" s="198"/>
      <c r="J377" s="888"/>
      <c r="K377" s="217"/>
      <c r="L377" s="306"/>
      <c r="M377" s="306"/>
      <c r="N377" s="306"/>
      <c r="O377" s="306"/>
      <c r="P377" s="306"/>
      <c r="Q377" s="215"/>
      <c r="R377" s="5"/>
      <c r="S377" s="5"/>
      <c r="T377" s="5"/>
      <c r="U377" s="5"/>
      <c r="V377" s="5"/>
      <c r="W377" s="5"/>
      <c r="X377" s="5"/>
      <c r="Y377" s="5"/>
      <c r="Z377" s="5"/>
      <c r="AA377" s="5"/>
      <c r="AB377" s="5"/>
      <c r="AC377" s="5"/>
      <c r="AD377" s="5"/>
      <c r="AE377" s="5"/>
      <c r="AF377" s="5"/>
      <c r="AG377" s="5"/>
    </row>
    <row r="378" spans="3:33" ht="12.75" customHeight="1">
      <c r="C378" s="5"/>
      <c r="D378" s="5"/>
      <c r="E378" s="5"/>
      <c r="F378" s="5"/>
      <c r="G378" s="217"/>
      <c r="H378" s="198"/>
      <c r="I378" s="198"/>
      <c r="J378" s="888"/>
      <c r="K378" s="217"/>
      <c r="L378" s="306"/>
      <c r="M378" s="306"/>
      <c r="N378" s="306"/>
      <c r="O378" s="306"/>
      <c r="P378" s="306"/>
      <c r="Q378" s="215"/>
      <c r="R378" s="5"/>
      <c r="S378" s="5"/>
      <c r="T378" s="5"/>
      <c r="U378" s="5"/>
      <c r="V378" s="5"/>
      <c r="W378" s="5"/>
      <c r="X378" s="5"/>
      <c r="Y378" s="5"/>
      <c r="Z378" s="5"/>
      <c r="AA378" s="5"/>
      <c r="AB378" s="5"/>
      <c r="AC378" s="5"/>
      <c r="AD378" s="5"/>
      <c r="AE378" s="5"/>
      <c r="AF378" s="5"/>
      <c r="AG378" s="5"/>
    </row>
    <row r="379" spans="3:33" ht="12.75" customHeight="1">
      <c r="C379" s="5"/>
      <c r="D379" s="5"/>
      <c r="E379" s="5"/>
      <c r="F379" s="5"/>
      <c r="G379" s="217"/>
      <c r="H379" s="198"/>
      <c r="I379" s="198"/>
      <c r="J379" s="888"/>
      <c r="K379" s="217"/>
      <c r="L379" s="306"/>
      <c r="M379" s="306"/>
      <c r="N379" s="306"/>
      <c r="O379" s="306"/>
      <c r="P379" s="306"/>
      <c r="Q379" s="215"/>
      <c r="R379" s="5"/>
      <c r="S379" s="5"/>
      <c r="T379" s="5"/>
      <c r="U379" s="5"/>
      <c r="V379" s="5"/>
      <c r="W379" s="5"/>
      <c r="X379" s="5"/>
      <c r="Y379" s="5"/>
      <c r="Z379" s="5"/>
      <c r="AA379" s="5"/>
      <c r="AB379" s="5"/>
      <c r="AC379" s="5"/>
      <c r="AD379" s="5"/>
      <c r="AE379" s="5"/>
      <c r="AF379" s="5"/>
      <c r="AG379" s="5"/>
    </row>
    <row r="380" spans="3:33" ht="12.75" customHeight="1">
      <c r="C380" s="5"/>
      <c r="D380" s="5"/>
      <c r="E380" s="5"/>
      <c r="F380" s="5"/>
      <c r="G380" s="217"/>
      <c r="H380" s="198"/>
      <c r="I380" s="198"/>
      <c r="J380" s="888"/>
      <c r="K380" s="217"/>
      <c r="L380" s="306"/>
      <c r="M380" s="306"/>
      <c r="N380" s="306"/>
      <c r="O380" s="306"/>
      <c r="P380" s="306"/>
      <c r="Q380" s="215"/>
      <c r="R380" s="5"/>
      <c r="S380" s="5"/>
      <c r="T380" s="5"/>
      <c r="U380" s="5"/>
      <c r="V380" s="5"/>
      <c r="W380" s="5"/>
      <c r="X380" s="5"/>
      <c r="Y380" s="5"/>
      <c r="Z380" s="5"/>
      <c r="AA380" s="5"/>
      <c r="AB380" s="5"/>
      <c r="AC380" s="5"/>
      <c r="AD380" s="5"/>
      <c r="AE380" s="5"/>
      <c r="AF380" s="5"/>
      <c r="AG380" s="5"/>
    </row>
    <row r="381" spans="3:33" ht="12.75" customHeight="1">
      <c r="C381" s="5"/>
      <c r="D381" s="5"/>
      <c r="E381" s="5"/>
      <c r="F381" s="5"/>
      <c r="G381" s="217"/>
      <c r="H381" s="198"/>
      <c r="I381" s="198"/>
      <c r="J381" s="888"/>
      <c r="K381" s="217"/>
      <c r="L381" s="306"/>
      <c r="M381" s="306"/>
      <c r="N381" s="306"/>
      <c r="O381" s="306"/>
      <c r="P381" s="306"/>
      <c r="Q381" s="215"/>
      <c r="R381" s="5"/>
      <c r="S381" s="5"/>
      <c r="T381" s="5"/>
      <c r="U381" s="5"/>
      <c r="V381" s="5"/>
      <c r="W381" s="5"/>
      <c r="X381" s="5"/>
      <c r="Y381" s="5"/>
      <c r="Z381" s="5"/>
      <c r="AA381" s="5"/>
      <c r="AB381" s="5"/>
      <c r="AC381" s="5"/>
      <c r="AD381" s="5"/>
      <c r="AE381" s="5"/>
      <c r="AF381" s="5"/>
      <c r="AG381" s="5"/>
    </row>
    <row r="382" spans="3:33" ht="12.75" customHeight="1">
      <c r="C382" s="5"/>
      <c r="D382" s="5"/>
      <c r="E382" s="5"/>
      <c r="F382" s="5"/>
      <c r="G382" s="217"/>
      <c r="H382" s="198"/>
      <c r="I382" s="198"/>
      <c r="J382" s="888"/>
      <c r="K382" s="217"/>
      <c r="L382" s="306"/>
      <c r="M382" s="306"/>
      <c r="N382" s="306"/>
      <c r="O382" s="306"/>
      <c r="P382" s="306"/>
      <c r="Q382" s="215"/>
      <c r="R382" s="5"/>
      <c r="S382" s="5"/>
      <c r="T382" s="5"/>
      <c r="U382" s="5"/>
      <c r="V382" s="5"/>
      <c r="W382" s="5"/>
      <c r="X382" s="5"/>
      <c r="Y382" s="5"/>
      <c r="Z382" s="5"/>
      <c r="AA382" s="5"/>
      <c r="AB382" s="5"/>
      <c r="AC382" s="5"/>
      <c r="AD382" s="5"/>
      <c r="AE382" s="5"/>
      <c r="AF382" s="5"/>
      <c r="AG382" s="5"/>
    </row>
    <row r="383" spans="3:33" ht="12.75" customHeight="1">
      <c r="C383" s="5"/>
      <c r="D383" s="5"/>
      <c r="E383" s="5"/>
      <c r="F383" s="5"/>
      <c r="G383" s="217"/>
      <c r="H383" s="198"/>
      <c r="I383" s="198"/>
      <c r="J383" s="888"/>
      <c r="K383" s="217"/>
      <c r="L383" s="306"/>
      <c r="M383" s="306"/>
      <c r="N383" s="306"/>
      <c r="O383" s="306"/>
      <c r="P383" s="306"/>
      <c r="Q383" s="215"/>
      <c r="R383" s="5"/>
      <c r="S383" s="5"/>
      <c r="T383" s="5"/>
      <c r="U383" s="5"/>
      <c r="V383" s="5"/>
      <c r="W383" s="5"/>
      <c r="X383" s="5"/>
      <c r="Y383" s="5"/>
      <c r="Z383" s="5"/>
      <c r="AA383" s="5"/>
      <c r="AB383" s="5"/>
      <c r="AC383" s="5"/>
      <c r="AD383" s="5"/>
      <c r="AE383" s="5"/>
      <c r="AF383" s="5"/>
      <c r="AG383" s="5"/>
    </row>
    <row r="384" spans="3:33" ht="12.75" customHeight="1">
      <c r="C384" s="5"/>
      <c r="D384" s="5"/>
      <c r="E384" s="5"/>
      <c r="F384" s="5"/>
      <c r="G384" s="217"/>
      <c r="H384" s="198"/>
      <c r="I384" s="198"/>
      <c r="J384" s="888"/>
      <c r="K384" s="217"/>
      <c r="L384" s="306"/>
      <c r="M384" s="306"/>
      <c r="N384" s="306"/>
      <c r="O384" s="306"/>
      <c r="P384" s="306"/>
      <c r="Q384" s="215"/>
      <c r="R384" s="5"/>
      <c r="S384" s="5"/>
      <c r="T384" s="5"/>
      <c r="U384" s="5"/>
      <c r="V384" s="5"/>
      <c r="W384" s="5"/>
      <c r="X384" s="5"/>
      <c r="Y384" s="5"/>
      <c r="Z384" s="5"/>
      <c r="AA384" s="5"/>
      <c r="AB384" s="5"/>
      <c r="AC384" s="5"/>
      <c r="AD384" s="5"/>
      <c r="AE384" s="5"/>
      <c r="AF384" s="5"/>
      <c r="AG384" s="5"/>
    </row>
    <row r="385" spans="3:33" ht="12.75" customHeight="1">
      <c r="C385" s="5"/>
      <c r="D385" s="5"/>
      <c r="E385" s="5"/>
      <c r="F385" s="5"/>
      <c r="G385" s="217"/>
      <c r="H385" s="198"/>
      <c r="I385" s="198"/>
      <c r="J385" s="888"/>
      <c r="K385" s="217"/>
      <c r="L385" s="306"/>
      <c r="M385" s="306"/>
      <c r="N385" s="306"/>
      <c r="O385" s="306"/>
      <c r="P385" s="306"/>
      <c r="Q385" s="215"/>
      <c r="R385" s="5"/>
      <c r="S385" s="5"/>
      <c r="T385" s="5"/>
      <c r="U385" s="5"/>
      <c r="V385" s="5"/>
      <c r="W385" s="5"/>
      <c r="X385" s="5"/>
      <c r="Y385" s="5"/>
      <c r="Z385" s="5"/>
      <c r="AA385" s="5"/>
      <c r="AB385" s="5"/>
      <c r="AC385" s="5"/>
      <c r="AD385" s="5"/>
      <c r="AE385" s="5"/>
      <c r="AF385" s="5"/>
      <c r="AG385" s="5"/>
    </row>
    <row r="386" spans="3:33" ht="12.75" customHeight="1">
      <c r="C386" s="5"/>
      <c r="D386" s="5"/>
      <c r="E386" s="5"/>
      <c r="F386" s="5"/>
      <c r="G386" s="217"/>
      <c r="H386" s="198"/>
      <c r="I386" s="198"/>
      <c r="J386" s="888"/>
      <c r="K386" s="217"/>
      <c r="L386" s="306"/>
      <c r="M386" s="306"/>
      <c r="N386" s="306"/>
      <c r="O386" s="306"/>
      <c r="P386" s="306"/>
      <c r="Q386" s="215"/>
      <c r="R386" s="5"/>
      <c r="S386" s="5"/>
      <c r="T386" s="5"/>
      <c r="U386" s="5"/>
      <c r="V386" s="5"/>
      <c r="W386" s="5"/>
      <c r="X386" s="5"/>
      <c r="Y386" s="5"/>
      <c r="Z386" s="5"/>
      <c r="AA386" s="5"/>
      <c r="AB386" s="5"/>
      <c r="AC386" s="5"/>
      <c r="AD386" s="5"/>
      <c r="AE386" s="5"/>
      <c r="AF386" s="5"/>
      <c r="AG386" s="5"/>
    </row>
    <row r="387" spans="3:33" ht="12.75" customHeight="1">
      <c r="C387" s="5"/>
      <c r="D387" s="5"/>
      <c r="E387" s="5"/>
      <c r="F387" s="5"/>
      <c r="G387" s="217"/>
      <c r="H387" s="198"/>
      <c r="I387" s="198"/>
      <c r="J387" s="888"/>
      <c r="K387" s="217"/>
      <c r="L387" s="306"/>
      <c r="M387" s="306"/>
      <c r="N387" s="306"/>
      <c r="O387" s="306"/>
      <c r="P387" s="306"/>
      <c r="Q387" s="215"/>
      <c r="R387" s="5"/>
      <c r="S387" s="5"/>
      <c r="T387" s="5"/>
      <c r="U387" s="5"/>
      <c r="V387" s="5"/>
      <c r="W387" s="5"/>
      <c r="X387" s="5"/>
      <c r="Y387" s="5"/>
      <c r="Z387" s="5"/>
      <c r="AA387" s="5"/>
      <c r="AB387" s="5"/>
      <c r="AC387" s="5"/>
      <c r="AD387" s="5"/>
      <c r="AE387" s="5"/>
      <c r="AF387" s="5"/>
      <c r="AG387" s="5"/>
    </row>
    <row r="388" spans="3:33" ht="12.75" customHeight="1">
      <c r="C388" s="5"/>
      <c r="D388" s="5"/>
      <c r="E388" s="5"/>
      <c r="F388" s="5"/>
      <c r="G388" s="217"/>
      <c r="H388" s="198"/>
      <c r="I388" s="198"/>
      <c r="J388" s="888"/>
      <c r="K388" s="217"/>
      <c r="L388" s="306"/>
      <c r="M388" s="306"/>
      <c r="N388" s="306"/>
      <c r="O388" s="306"/>
      <c r="P388" s="306"/>
      <c r="Q388" s="215"/>
      <c r="R388" s="5"/>
      <c r="S388" s="5"/>
      <c r="T388" s="5"/>
      <c r="U388" s="5"/>
      <c r="V388" s="5"/>
      <c r="W388" s="5"/>
      <c r="X388" s="5"/>
      <c r="Y388" s="5"/>
      <c r="Z388" s="5"/>
      <c r="AA388" s="5"/>
      <c r="AB388" s="5"/>
      <c r="AC388" s="5"/>
      <c r="AD388" s="5"/>
      <c r="AE388" s="5"/>
      <c r="AF388" s="5"/>
      <c r="AG388" s="5"/>
    </row>
    <row r="389" spans="3:33" ht="12.75" customHeight="1">
      <c r="C389" s="5"/>
      <c r="D389" s="5"/>
      <c r="E389" s="5"/>
      <c r="F389" s="5"/>
      <c r="G389" s="217"/>
      <c r="H389" s="198"/>
      <c r="I389" s="198"/>
      <c r="J389" s="888"/>
      <c r="K389" s="217"/>
      <c r="L389" s="306"/>
      <c r="M389" s="306"/>
      <c r="N389" s="306"/>
      <c r="O389" s="306"/>
      <c r="P389" s="306"/>
      <c r="Q389" s="215"/>
      <c r="R389" s="5"/>
      <c r="S389" s="5"/>
      <c r="T389" s="5"/>
      <c r="U389" s="5"/>
      <c r="V389" s="5"/>
      <c r="W389" s="5"/>
      <c r="X389" s="5"/>
      <c r="Y389" s="5"/>
      <c r="Z389" s="5"/>
      <c r="AA389" s="5"/>
      <c r="AB389" s="5"/>
      <c r="AC389" s="5"/>
      <c r="AD389" s="5"/>
      <c r="AE389" s="5"/>
      <c r="AF389" s="5"/>
      <c r="AG389" s="5"/>
    </row>
    <row r="390" spans="3:33" ht="12.75" customHeight="1">
      <c r="C390" s="5"/>
      <c r="D390" s="5"/>
      <c r="E390" s="5"/>
      <c r="F390" s="5"/>
      <c r="G390" s="217"/>
      <c r="H390" s="198"/>
      <c r="I390" s="198"/>
      <c r="J390" s="888"/>
      <c r="K390" s="217"/>
      <c r="L390" s="306"/>
      <c r="M390" s="306"/>
      <c r="N390" s="306"/>
      <c r="O390" s="306"/>
      <c r="P390" s="306"/>
      <c r="Q390" s="215"/>
      <c r="R390" s="5"/>
      <c r="S390" s="5"/>
      <c r="T390" s="5"/>
      <c r="U390" s="5"/>
      <c r="V390" s="5"/>
      <c r="W390" s="5"/>
      <c r="X390" s="5"/>
      <c r="Y390" s="5"/>
      <c r="Z390" s="5"/>
      <c r="AA390" s="5"/>
      <c r="AB390" s="5"/>
      <c r="AC390" s="5"/>
      <c r="AD390" s="5"/>
      <c r="AE390" s="5"/>
      <c r="AF390" s="5"/>
      <c r="AG390" s="5"/>
    </row>
    <row r="391" spans="3:33" ht="12.75" customHeight="1">
      <c r="C391" s="5"/>
      <c r="D391" s="5"/>
      <c r="E391" s="5"/>
      <c r="F391" s="5"/>
      <c r="G391" s="217"/>
      <c r="H391" s="198"/>
      <c r="I391" s="198"/>
      <c r="J391" s="888"/>
      <c r="K391" s="217"/>
      <c r="L391" s="306"/>
      <c r="M391" s="306"/>
      <c r="N391" s="306"/>
      <c r="O391" s="306"/>
      <c r="P391" s="306"/>
      <c r="Q391" s="215"/>
      <c r="R391" s="5"/>
      <c r="S391" s="5"/>
      <c r="T391" s="5"/>
      <c r="U391" s="5"/>
      <c r="V391" s="5"/>
      <c r="W391" s="5"/>
      <c r="X391" s="5"/>
      <c r="Y391" s="5"/>
      <c r="Z391" s="5"/>
      <c r="AA391" s="5"/>
      <c r="AB391" s="5"/>
      <c r="AC391" s="5"/>
      <c r="AD391" s="5"/>
      <c r="AE391" s="5"/>
      <c r="AF391" s="5"/>
      <c r="AG391" s="5"/>
    </row>
    <row r="392" spans="3:33" ht="12.75" customHeight="1">
      <c r="C392" s="5"/>
      <c r="D392" s="5"/>
      <c r="E392" s="5"/>
      <c r="F392" s="5"/>
      <c r="G392" s="217"/>
      <c r="H392" s="198"/>
      <c r="I392" s="198"/>
      <c r="J392" s="888"/>
      <c r="K392" s="217"/>
      <c r="L392" s="306"/>
      <c r="M392" s="306"/>
      <c r="N392" s="306"/>
      <c r="O392" s="306"/>
      <c r="P392" s="306"/>
      <c r="Q392" s="215"/>
      <c r="R392" s="5"/>
      <c r="S392" s="5"/>
      <c r="T392" s="5"/>
      <c r="U392" s="5"/>
      <c r="V392" s="5"/>
      <c r="W392" s="5"/>
      <c r="X392" s="5"/>
      <c r="Y392" s="5"/>
      <c r="Z392" s="5"/>
      <c r="AA392" s="5"/>
      <c r="AB392" s="5"/>
      <c r="AC392" s="5"/>
      <c r="AD392" s="5"/>
      <c r="AE392" s="5"/>
      <c r="AF392" s="5"/>
      <c r="AG392" s="5"/>
    </row>
    <row r="393" spans="3:33" ht="12.75" customHeight="1">
      <c r="C393" s="5"/>
      <c r="D393" s="5"/>
      <c r="E393" s="5"/>
      <c r="F393" s="5"/>
      <c r="G393" s="217"/>
      <c r="H393" s="198"/>
      <c r="I393" s="198"/>
      <c r="J393" s="888"/>
      <c r="K393" s="217"/>
      <c r="L393" s="306"/>
      <c r="M393" s="306"/>
      <c r="N393" s="306"/>
      <c r="O393" s="306"/>
      <c r="P393" s="306"/>
      <c r="Q393" s="215"/>
      <c r="R393" s="5"/>
      <c r="S393" s="5"/>
      <c r="T393" s="5"/>
      <c r="U393" s="5"/>
      <c r="V393" s="5"/>
      <c r="W393" s="5"/>
      <c r="X393" s="5"/>
      <c r="Y393" s="5"/>
      <c r="Z393" s="5"/>
      <c r="AA393" s="5"/>
      <c r="AB393" s="5"/>
      <c r="AC393" s="5"/>
      <c r="AD393" s="5"/>
      <c r="AE393" s="5"/>
      <c r="AF393" s="5"/>
      <c r="AG393" s="5"/>
    </row>
    <row r="394" spans="3:33" ht="12.75" customHeight="1">
      <c r="C394" s="5"/>
      <c r="D394" s="5"/>
      <c r="E394" s="5"/>
      <c r="F394" s="5"/>
      <c r="G394" s="217"/>
      <c r="H394" s="198"/>
      <c r="I394" s="198"/>
      <c r="J394" s="888"/>
      <c r="K394" s="217"/>
      <c r="L394" s="306"/>
      <c r="M394" s="306"/>
      <c r="N394" s="306"/>
      <c r="O394" s="306"/>
      <c r="P394" s="306"/>
      <c r="Q394" s="215"/>
      <c r="R394" s="5"/>
      <c r="S394" s="5"/>
      <c r="T394" s="5"/>
      <c r="U394" s="5"/>
      <c r="V394" s="5"/>
      <c r="W394" s="5"/>
      <c r="X394" s="5"/>
      <c r="Y394" s="5"/>
      <c r="Z394" s="5"/>
      <c r="AA394" s="5"/>
      <c r="AB394" s="5"/>
      <c r="AC394" s="5"/>
      <c r="AD394" s="5"/>
      <c r="AE394" s="5"/>
      <c r="AF394" s="5"/>
      <c r="AG394" s="5"/>
    </row>
    <row r="395" spans="3:33" ht="12.75" customHeight="1">
      <c r="C395" s="5"/>
      <c r="D395" s="5"/>
      <c r="E395" s="5"/>
      <c r="F395" s="5"/>
      <c r="G395" s="217"/>
      <c r="H395" s="198"/>
      <c r="I395" s="198"/>
      <c r="J395" s="888"/>
      <c r="K395" s="217"/>
      <c r="L395" s="306"/>
      <c r="M395" s="306"/>
      <c r="N395" s="306"/>
      <c r="O395" s="306"/>
      <c r="P395" s="306"/>
      <c r="Q395" s="215"/>
      <c r="R395" s="5"/>
      <c r="S395" s="5"/>
      <c r="T395" s="5"/>
      <c r="U395" s="5"/>
      <c r="V395" s="5"/>
      <c r="W395" s="5"/>
      <c r="X395" s="5"/>
      <c r="Y395" s="5"/>
      <c r="Z395" s="5"/>
      <c r="AA395" s="5"/>
      <c r="AB395" s="5"/>
      <c r="AC395" s="5"/>
      <c r="AD395" s="5"/>
      <c r="AE395" s="5"/>
      <c r="AF395" s="5"/>
      <c r="AG395" s="5"/>
    </row>
    <row r="396" spans="3:33" ht="12.75" customHeight="1">
      <c r="C396" s="5"/>
      <c r="D396" s="5"/>
      <c r="E396" s="5"/>
      <c r="F396" s="5"/>
      <c r="G396" s="217"/>
      <c r="H396" s="198"/>
      <c r="I396" s="198"/>
      <c r="J396" s="888"/>
      <c r="K396" s="217"/>
      <c r="L396" s="306"/>
      <c r="M396" s="306"/>
      <c r="N396" s="306"/>
      <c r="O396" s="306"/>
      <c r="P396" s="306"/>
      <c r="Q396" s="215"/>
      <c r="R396" s="5"/>
      <c r="S396" s="5"/>
      <c r="T396" s="5"/>
      <c r="U396" s="5"/>
      <c r="V396" s="5"/>
      <c r="W396" s="5"/>
      <c r="X396" s="5"/>
      <c r="Y396" s="5"/>
      <c r="Z396" s="5"/>
      <c r="AA396" s="5"/>
      <c r="AB396" s="5"/>
      <c r="AC396" s="5"/>
      <c r="AD396" s="5"/>
      <c r="AE396" s="5"/>
      <c r="AF396" s="5"/>
      <c r="AG396" s="5"/>
    </row>
    <row r="397" spans="3:33" ht="12.75" customHeight="1">
      <c r="C397" s="5"/>
      <c r="D397" s="5"/>
      <c r="E397" s="5"/>
      <c r="F397" s="5"/>
      <c r="G397" s="217"/>
      <c r="H397" s="198"/>
      <c r="I397" s="198"/>
      <c r="J397" s="888"/>
      <c r="K397" s="217"/>
      <c r="L397" s="306"/>
      <c r="M397" s="306"/>
      <c r="N397" s="306"/>
      <c r="O397" s="306"/>
      <c r="P397" s="306"/>
      <c r="Q397" s="215"/>
      <c r="R397" s="5"/>
      <c r="S397" s="5"/>
      <c r="T397" s="5"/>
      <c r="U397" s="5"/>
      <c r="V397" s="5"/>
      <c r="W397" s="5"/>
      <c r="X397" s="5"/>
      <c r="Y397" s="5"/>
      <c r="Z397" s="5"/>
      <c r="AA397" s="5"/>
      <c r="AB397" s="5"/>
      <c r="AC397" s="5"/>
      <c r="AD397" s="5"/>
      <c r="AE397" s="5"/>
      <c r="AF397" s="5"/>
      <c r="AG397" s="5"/>
    </row>
    <row r="398" spans="3:33" ht="12.75" customHeight="1">
      <c r="C398" s="5"/>
      <c r="D398" s="5"/>
      <c r="E398" s="5"/>
      <c r="F398" s="5"/>
      <c r="G398" s="217"/>
      <c r="H398" s="198"/>
      <c r="I398" s="198"/>
      <c r="J398" s="888"/>
      <c r="K398" s="217"/>
      <c r="L398" s="306"/>
      <c r="M398" s="306"/>
      <c r="N398" s="306"/>
      <c r="O398" s="306"/>
      <c r="P398" s="306"/>
      <c r="Q398" s="215"/>
      <c r="R398" s="5"/>
      <c r="S398" s="5"/>
      <c r="T398" s="5"/>
      <c r="U398" s="5"/>
      <c r="V398" s="5"/>
      <c r="W398" s="5"/>
      <c r="X398" s="5"/>
      <c r="Y398" s="5"/>
      <c r="Z398" s="5"/>
      <c r="AA398" s="5"/>
      <c r="AB398" s="5"/>
      <c r="AC398" s="5"/>
      <c r="AD398" s="5"/>
      <c r="AE398" s="5"/>
      <c r="AF398" s="5"/>
      <c r="AG398" s="5"/>
    </row>
    <row r="399" spans="3:33" ht="12.75" customHeight="1">
      <c r="C399" s="5"/>
      <c r="D399" s="5"/>
      <c r="E399" s="5"/>
      <c r="F399" s="5"/>
      <c r="G399" s="217"/>
      <c r="H399" s="198"/>
      <c r="I399" s="198"/>
      <c r="J399" s="888"/>
      <c r="K399" s="217"/>
      <c r="L399" s="306"/>
      <c r="M399" s="306"/>
      <c r="N399" s="306"/>
      <c r="O399" s="306"/>
      <c r="P399" s="306"/>
      <c r="Q399" s="215"/>
      <c r="R399" s="5"/>
      <c r="S399" s="5"/>
      <c r="T399" s="5"/>
      <c r="U399" s="5"/>
      <c r="V399" s="5"/>
      <c r="W399" s="5"/>
      <c r="X399" s="5"/>
      <c r="Y399" s="5"/>
      <c r="Z399" s="5"/>
      <c r="AA399" s="5"/>
      <c r="AB399" s="5"/>
      <c r="AC399" s="5"/>
      <c r="AD399" s="5"/>
      <c r="AE399" s="5"/>
      <c r="AF399" s="5"/>
      <c r="AG399" s="5"/>
    </row>
    <row r="400" spans="3:33" ht="12.75" customHeight="1">
      <c r="C400" s="5"/>
      <c r="D400" s="5"/>
      <c r="E400" s="5"/>
      <c r="F400" s="5"/>
      <c r="G400" s="217"/>
      <c r="H400" s="198"/>
      <c r="I400" s="198"/>
      <c r="J400" s="888"/>
      <c r="K400" s="217"/>
      <c r="L400" s="306"/>
      <c r="M400" s="306"/>
      <c r="N400" s="306"/>
      <c r="O400" s="306"/>
      <c r="P400" s="306"/>
      <c r="Q400" s="215"/>
      <c r="R400" s="5"/>
      <c r="S400" s="5"/>
      <c r="T400" s="5"/>
      <c r="U400" s="5"/>
      <c r="V400" s="5"/>
      <c r="W400" s="5"/>
      <c r="X400" s="5"/>
      <c r="Y400" s="5"/>
      <c r="Z400" s="5"/>
      <c r="AA400" s="5"/>
      <c r="AB400" s="5"/>
      <c r="AC400" s="5"/>
      <c r="AD400" s="5"/>
      <c r="AE400" s="5"/>
      <c r="AF400" s="5"/>
      <c r="AG400" s="5"/>
    </row>
    <row r="401" spans="3:33" ht="12.75" customHeight="1">
      <c r="C401" s="5"/>
      <c r="D401" s="5"/>
      <c r="E401" s="5"/>
      <c r="F401" s="5"/>
      <c r="G401" s="217"/>
      <c r="H401" s="198"/>
      <c r="I401" s="198"/>
      <c r="J401" s="888"/>
      <c r="K401" s="217"/>
      <c r="L401" s="306"/>
      <c r="M401" s="306"/>
      <c r="N401" s="306"/>
      <c r="O401" s="306"/>
      <c r="P401" s="306"/>
      <c r="Q401" s="215"/>
      <c r="R401" s="5"/>
      <c r="S401" s="5"/>
      <c r="T401" s="5"/>
      <c r="U401" s="5"/>
      <c r="V401" s="5"/>
      <c r="W401" s="5"/>
      <c r="X401" s="5"/>
      <c r="Y401" s="5"/>
      <c r="Z401" s="5"/>
      <c r="AA401" s="5"/>
      <c r="AB401" s="5"/>
      <c r="AC401" s="5"/>
      <c r="AD401" s="5"/>
      <c r="AE401" s="5"/>
      <c r="AF401" s="5"/>
      <c r="AG401" s="5"/>
    </row>
    <row r="402" spans="3:33" ht="12.75" customHeight="1">
      <c r="C402" s="5"/>
      <c r="D402" s="5"/>
      <c r="E402" s="5"/>
      <c r="F402" s="5"/>
      <c r="G402" s="217"/>
      <c r="H402" s="198"/>
      <c r="I402" s="198"/>
      <c r="J402" s="888"/>
      <c r="K402" s="217"/>
      <c r="L402" s="306"/>
      <c r="M402" s="306"/>
      <c r="N402" s="306"/>
      <c r="O402" s="306"/>
      <c r="P402" s="306"/>
      <c r="Q402" s="215"/>
      <c r="R402" s="5"/>
      <c r="S402" s="5"/>
      <c r="T402" s="5"/>
      <c r="U402" s="5"/>
      <c r="V402" s="5"/>
      <c r="W402" s="5"/>
      <c r="X402" s="5"/>
      <c r="Y402" s="5"/>
      <c r="Z402" s="5"/>
      <c r="AA402" s="5"/>
      <c r="AB402" s="5"/>
      <c r="AC402" s="5"/>
      <c r="AD402" s="5"/>
      <c r="AE402" s="5"/>
      <c r="AF402" s="5"/>
      <c r="AG402" s="5"/>
    </row>
    <row r="403" spans="3:33" ht="12.75" customHeight="1">
      <c r="C403" s="5"/>
      <c r="D403" s="5"/>
      <c r="E403" s="5"/>
      <c r="F403" s="5"/>
      <c r="G403" s="217"/>
      <c r="H403" s="198"/>
      <c r="I403" s="198"/>
      <c r="J403" s="888"/>
      <c r="K403" s="217"/>
      <c r="L403" s="306"/>
      <c r="M403" s="306"/>
      <c r="N403" s="306"/>
      <c r="O403" s="306"/>
      <c r="P403" s="306"/>
      <c r="Q403" s="215"/>
      <c r="R403" s="5"/>
      <c r="S403" s="5"/>
      <c r="T403" s="5"/>
      <c r="U403" s="5"/>
      <c r="V403" s="5"/>
      <c r="W403" s="5"/>
      <c r="X403" s="5"/>
      <c r="Y403" s="5"/>
      <c r="Z403" s="5"/>
      <c r="AA403" s="5"/>
      <c r="AB403" s="5"/>
      <c r="AC403" s="5"/>
      <c r="AD403" s="5"/>
      <c r="AE403" s="5"/>
      <c r="AF403" s="5"/>
      <c r="AG403" s="5"/>
    </row>
    <row r="404" spans="3:33" ht="12.75" customHeight="1">
      <c r="C404" s="5"/>
      <c r="D404" s="5"/>
      <c r="E404" s="5"/>
      <c r="F404" s="5"/>
      <c r="G404" s="217"/>
      <c r="H404" s="198"/>
      <c r="I404" s="198"/>
      <c r="J404" s="888"/>
      <c r="K404" s="217"/>
      <c r="L404" s="306"/>
      <c r="M404" s="306"/>
      <c r="N404" s="306"/>
      <c r="O404" s="306"/>
      <c r="P404" s="306"/>
      <c r="Q404" s="215"/>
      <c r="R404" s="5"/>
      <c r="S404" s="5"/>
      <c r="T404" s="5"/>
      <c r="U404" s="5"/>
      <c r="V404" s="5"/>
      <c r="W404" s="5"/>
      <c r="X404" s="5"/>
      <c r="Y404" s="5"/>
      <c r="Z404" s="5"/>
      <c r="AA404" s="5"/>
      <c r="AB404" s="5"/>
      <c r="AC404" s="5"/>
      <c r="AD404" s="5"/>
      <c r="AE404" s="5"/>
      <c r="AF404" s="5"/>
      <c r="AG404" s="5"/>
    </row>
    <row r="405" spans="3:33" ht="12.75" customHeight="1">
      <c r="C405" s="5"/>
      <c r="D405" s="5"/>
      <c r="E405" s="5"/>
      <c r="F405" s="5"/>
      <c r="G405" s="217"/>
      <c r="H405" s="198"/>
      <c r="I405" s="198"/>
      <c r="J405" s="888"/>
      <c r="K405" s="217"/>
      <c r="L405" s="306"/>
      <c r="M405" s="306"/>
      <c r="N405" s="306"/>
      <c r="O405" s="306"/>
      <c r="P405" s="306"/>
      <c r="Q405" s="215"/>
      <c r="R405" s="5"/>
      <c r="S405" s="5"/>
      <c r="T405" s="5"/>
      <c r="U405" s="5"/>
      <c r="V405" s="5"/>
      <c r="W405" s="5"/>
      <c r="X405" s="5"/>
      <c r="Y405" s="5"/>
      <c r="Z405" s="5"/>
      <c r="AA405" s="5"/>
      <c r="AB405" s="5"/>
      <c r="AC405" s="5"/>
      <c r="AD405" s="5"/>
      <c r="AE405" s="5"/>
      <c r="AF405" s="5"/>
      <c r="AG405" s="5"/>
    </row>
    <row r="406" spans="3:33" ht="12.75" customHeight="1">
      <c r="C406" s="5"/>
      <c r="D406" s="5"/>
      <c r="E406" s="5"/>
      <c r="F406" s="5"/>
      <c r="G406" s="217"/>
      <c r="H406" s="198"/>
      <c r="I406" s="198"/>
      <c r="J406" s="888"/>
      <c r="K406" s="217"/>
      <c r="L406" s="306"/>
      <c r="M406" s="306"/>
      <c r="N406" s="306"/>
      <c r="O406" s="306"/>
      <c r="P406" s="306"/>
      <c r="Q406" s="215"/>
      <c r="R406" s="5"/>
      <c r="S406" s="5"/>
      <c r="T406" s="5"/>
      <c r="U406" s="5"/>
      <c r="V406" s="5"/>
      <c r="W406" s="5"/>
      <c r="X406" s="5"/>
      <c r="Y406" s="5"/>
      <c r="Z406" s="5"/>
      <c r="AA406" s="5"/>
      <c r="AB406" s="5"/>
      <c r="AC406" s="5"/>
      <c r="AD406" s="5"/>
      <c r="AE406" s="5"/>
      <c r="AF406" s="5"/>
      <c r="AG406" s="5"/>
    </row>
    <row r="407" spans="3:33" ht="12.75" customHeight="1">
      <c r="C407" s="5"/>
      <c r="D407" s="5"/>
      <c r="E407" s="5"/>
      <c r="F407" s="5"/>
      <c r="G407" s="217"/>
      <c r="H407" s="198"/>
      <c r="I407" s="198"/>
      <c r="J407" s="888"/>
      <c r="K407" s="217"/>
      <c r="L407" s="306"/>
      <c r="M407" s="306"/>
      <c r="N407" s="306"/>
      <c r="O407" s="306"/>
      <c r="P407" s="306"/>
      <c r="Q407" s="215"/>
      <c r="R407" s="5"/>
      <c r="S407" s="5"/>
      <c r="T407" s="5"/>
      <c r="U407" s="5"/>
      <c r="V407" s="5"/>
      <c r="W407" s="5"/>
      <c r="X407" s="5"/>
      <c r="Y407" s="5"/>
      <c r="Z407" s="5"/>
      <c r="AA407" s="5"/>
      <c r="AB407" s="5"/>
      <c r="AC407" s="5"/>
      <c r="AD407" s="5"/>
      <c r="AE407" s="5"/>
      <c r="AF407" s="5"/>
      <c r="AG407" s="5"/>
    </row>
    <row r="408" spans="3:33" ht="12.75" customHeight="1">
      <c r="C408" s="5"/>
      <c r="D408" s="5"/>
      <c r="E408" s="5"/>
      <c r="F408" s="5"/>
      <c r="G408" s="217"/>
      <c r="H408" s="198"/>
      <c r="I408" s="198"/>
      <c r="J408" s="888"/>
      <c r="K408" s="217"/>
      <c r="L408" s="306"/>
      <c r="M408" s="306"/>
      <c r="N408" s="306"/>
      <c r="O408" s="306"/>
      <c r="P408" s="306"/>
      <c r="Q408" s="215"/>
      <c r="R408" s="5"/>
      <c r="S408" s="5"/>
      <c r="T408" s="5"/>
      <c r="U408" s="5"/>
      <c r="V408" s="5"/>
      <c r="W408" s="5"/>
      <c r="X408" s="5"/>
      <c r="Y408" s="5"/>
      <c r="Z408" s="5"/>
      <c r="AA408" s="5"/>
      <c r="AB408" s="5"/>
      <c r="AC408" s="5"/>
      <c r="AD408" s="5"/>
      <c r="AE408" s="5"/>
      <c r="AF408" s="5"/>
      <c r="AG408" s="5"/>
    </row>
    <row r="409" spans="3:33" ht="12.75" customHeight="1">
      <c r="C409" s="5"/>
      <c r="D409" s="5"/>
      <c r="E409" s="5"/>
      <c r="F409" s="5"/>
      <c r="G409" s="217"/>
      <c r="H409" s="198"/>
      <c r="I409" s="198"/>
      <c r="J409" s="888"/>
      <c r="K409" s="217"/>
      <c r="L409" s="306"/>
      <c r="M409" s="306"/>
      <c r="N409" s="306"/>
      <c r="O409" s="306"/>
      <c r="P409" s="306"/>
      <c r="Q409" s="215"/>
      <c r="R409" s="5"/>
      <c r="S409" s="5"/>
      <c r="T409" s="5"/>
      <c r="U409" s="5"/>
      <c r="V409" s="5"/>
      <c r="W409" s="5"/>
      <c r="X409" s="5"/>
      <c r="Y409" s="5"/>
      <c r="Z409" s="5"/>
      <c r="AA409" s="5"/>
      <c r="AB409" s="5"/>
      <c r="AC409" s="5"/>
      <c r="AD409" s="5"/>
      <c r="AE409" s="5"/>
      <c r="AF409" s="5"/>
      <c r="AG409" s="5"/>
    </row>
    <row r="410" spans="3:33" ht="12.75" customHeight="1">
      <c r="C410" s="5"/>
      <c r="D410" s="5"/>
      <c r="E410" s="5"/>
      <c r="F410" s="5"/>
      <c r="G410" s="217"/>
      <c r="H410" s="198"/>
      <c r="I410" s="198"/>
      <c r="J410" s="888"/>
      <c r="K410" s="217"/>
      <c r="L410" s="306"/>
      <c r="M410" s="306"/>
      <c r="N410" s="306"/>
      <c r="O410" s="306"/>
      <c r="P410" s="306"/>
      <c r="Q410" s="215"/>
      <c r="R410" s="5"/>
      <c r="S410" s="5"/>
      <c r="T410" s="5"/>
      <c r="U410" s="5"/>
      <c r="V410" s="5"/>
      <c r="W410" s="5"/>
      <c r="X410" s="5"/>
      <c r="Y410" s="5"/>
      <c r="Z410" s="5"/>
      <c r="AA410" s="5"/>
      <c r="AB410" s="5"/>
      <c r="AC410" s="5"/>
      <c r="AD410" s="5"/>
      <c r="AE410" s="5"/>
      <c r="AF410" s="5"/>
      <c r="AG410" s="5"/>
    </row>
    <row r="411" spans="3:33" ht="12.75" customHeight="1">
      <c r="C411" s="5"/>
      <c r="D411" s="5"/>
      <c r="E411" s="5"/>
      <c r="F411" s="5"/>
      <c r="G411" s="217"/>
      <c r="H411" s="198"/>
      <c r="I411" s="198"/>
      <c r="J411" s="888"/>
      <c r="K411" s="217"/>
      <c r="L411" s="306"/>
      <c r="M411" s="306"/>
      <c r="N411" s="306"/>
      <c r="O411" s="306"/>
      <c r="P411" s="306"/>
      <c r="Q411" s="215"/>
      <c r="R411" s="5"/>
      <c r="S411" s="5"/>
      <c r="T411" s="5"/>
      <c r="U411" s="5"/>
      <c r="V411" s="5"/>
      <c r="W411" s="5"/>
      <c r="X411" s="5"/>
      <c r="Y411" s="5"/>
      <c r="Z411" s="5"/>
      <c r="AA411" s="5"/>
      <c r="AB411" s="5"/>
      <c r="AC411" s="5"/>
      <c r="AD411" s="5"/>
      <c r="AE411" s="5"/>
      <c r="AF411" s="5"/>
      <c r="AG411" s="5"/>
    </row>
    <row r="412" spans="3:33" ht="12.75" customHeight="1">
      <c r="C412" s="5"/>
      <c r="D412" s="5"/>
      <c r="E412" s="5"/>
      <c r="F412" s="5"/>
      <c r="G412" s="217"/>
      <c r="H412" s="198"/>
      <c r="I412" s="198"/>
      <c r="J412" s="888"/>
      <c r="K412" s="217"/>
      <c r="L412" s="306"/>
      <c r="M412" s="306"/>
      <c r="N412" s="306"/>
      <c r="O412" s="306"/>
      <c r="P412" s="306"/>
      <c r="Q412" s="215"/>
      <c r="R412" s="5"/>
      <c r="S412" s="5"/>
      <c r="T412" s="5"/>
      <c r="U412" s="5"/>
      <c r="V412" s="5"/>
      <c r="W412" s="5"/>
      <c r="X412" s="5"/>
      <c r="Y412" s="5"/>
      <c r="Z412" s="5"/>
      <c r="AA412" s="5"/>
      <c r="AB412" s="5"/>
      <c r="AC412" s="5"/>
      <c r="AD412" s="5"/>
      <c r="AE412" s="5"/>
      <c r="AF412" s="5"/>
      <c r="AG412" s="5"/>
    </row>
    <row r="413" spans="3:33" ht="12.75" customHeight="1">
      <c r="C413" s="5"/>
      <c r="D413" s="5"/>
      <c r="E413" s="5"/>
      <c r="F413" s="5"/>
      <c r="G413" s="217"/>
      <c r="H413" s="198"/>
      <c r="I413" s="198"/>
      <c r="J413" s="888"/>
      <c r="K413" s="217"/>
      <c r="L413" s="306"/>
      <c r="M413" s="306"/>
      <c r="N413" s="306"/>
      <c r="O413" s="306"/>
      <c r="P413" s="306"/>
      <c r="Q413" s="215"/>
      <c r="R413" s="5"/>
      <c r="S413" s="5"/>
      <c r="T413" s="5"/>
      <c r="U413" s="5"/>
      <c r="V413" s="5"/>
      <c r="W413" s="5"/>
      <c r="X413" s="5"/>
      <c r="Y413" s="5"/>
      <c r="Z413" s="5"/>
      <c r="AA413" s="5"/>
      <c r="AB413" s="5"/>
      <c r="AC413" s="5"/>
      <c r="AD413" s="5"/>
      <c r="AE413" s="5"/>
      <c r="AF413" s="5"/>
      <c r="AG413" s="5"/>
    </row>
    <row r="414" spans="3:33" ht="12.75" customHeight="1">
      <c r="C414" s="5"/>
      <c r="D414" s="5"/>
      <c r="E414" s="5"/>
      <c r="F414" s="5"/>
      <c r="G414" s="217"/>
      <c r="H414" s="198"/>
      <c r="I414" s="198"/>
      <c r="J414" s="888"/>
      <c r="K414" s="217"/>
      <c r="L414" s="306"/>
      <c r="M414" s="306"/>
      <c r="N414" s="306"/>
      <c r="O414" s="306"/>
      <c r="P414" s="306"/>
      <c r="Q414" s="215"/>
      <c r="R414" s="5"/>
      <c r="S414" s="5"/>
      <c r="T414" s="5"/>
      <c r="U414" s="5"/>
      <c r="V414" s="5"/>
      <c r="W414" s="5"/>
      <c r="X414" s="5"/>
      <c r="Y414" s="5"/>
      <c r="Z414" s="5"/>
      <c r="AA414" s="5"/>
      <c r="AB414" s="5"/>
      <c r="AC414" s="5"/>
      <c r="AD414" s="5"/>
      <c r="AE414" s="5"/>
      <c r="AF414" s="5"/>
      <c r="AG414" s="5"/>
    </row>
    <row r="415" spans="3:33" ht="12.75" customHeight="1">
      <c r="C415" s="5"/>
      <c r="D415" s="5"/>
      <c r="E415" s="5"/>
      <c r="F415" s="5"/>
      <c r="G415" s="217"/>
      <c r="H415" s="198"/>
      <c r="I415" s="198"/>
      <c r="J415" s="888"/>
      <c r="K415" s="217"/>
      <c r="L415" s="306"/>
      <c r="M415" s="306"/>
      <c r="N415" s="306"/>
      <c r="O415" s="306"/>
      <c r="P415" s="306"/>
      <c r="Q415" s="215"/>
      <c r="R415" s="5"/>
      <c r="S415" s="5"/>
      <c r="T415" s="5"/>
      <c r="U415" s="5"/>
      <c r="V415" s="5"/>
      <c r="W415" s="5"/>
      <c r="X415" s="5"/>
      <c r="Y415" s="5"/>
      <c r="Z415" s="5"/>
      <c r="AA415" s="5"/>
      <c r="AB415" s="5"/>
      <c r="AC415" s="5"/>
      <c r="AD415" s="5"/>
      <c r="AE415" s="5"/>
      <c r="AF415" s="5"/>
      <c r="AG415" s="5"/>
    </row>
    <row r="416" spans="3:33" ht="12.75" customHeight="1">
      <c r="C416" s="5"/>
      <c r="D416" s="5"/>
      <c r="E416" s="5"/>
      <c r="F416" s="5"/>
      <c r="G416" s="217"/>
      <c r="H416" s="198"/>
      <c r="I416" s="198"/>
      <c r="J416" s="888"/>
      <c r="K416" s="217"/>
      <c r="L416" s="306"/>
      <c r="M416" s="306"/>
      <c r="N416" s="306"/>
      <c r="O416" s="306"/>
      <c r="P416" s="306"/>
      <c r="Q416" s="215"/>
      <c r="R416" s="5"/>
      <c r="S416" s="5"/>
      <c r="T416" s="5"/>
      <c r="U416" s="5"/>
      <c r="V416" s="5"/>
      <c r="W416" s="5"/>
      <c r="X416" s="5"/>
      <c r="Y416" s="5"/>
      <c r="Z416" s="5"/>
      <c r="AA416" s="5"/>
      <c r="AB416" s="5"/>
      <c r="AC416" s="5"/>
      <c r="AD416" s="5"/>
      <c r="AE416" s="5"/>
      <c r="AF416" s="5"/>
      <c r="AG416" s="5"/>
    </row>
    <row r="417" spans="3:33" ht="12.75" customHeight="1">
      <c r="C417" s="5"/>
      <c r="D417" s="5"/>
      <c r="E417" s="5"/>
      <c r="F417" s="5"/>
      <c r="G417" s="217"/>
      <c r="H417" s="198"/>
      <c r="I417" s="198"/>
      <c r="J417" s="888"/>
      <c r="K417" s="217"/>
      <c r="L417" s="306"/>
      <c r="M417" s="306"/>
      <c r="N417" s="306"/>
      <c r="O417" s="306"/>
      <c r="P417" s="306"/>
      <c r="Q417" s="215"/>
      <c r="R417" s="5"/>
      <c r="S417" s="5"/>
      <c r="T417" s="5"/>
      <c r="U417" s="5"/>
      <c r="V417" s="5"/>
      <c r="W417" s="5"/>
      <c r="X417" s="5"/>
      <c r="Y417" s="5"/>
      <c r="Z417" s="5"/>
      <c r="AA417" s="5"/>
      <c r="AB417" s="5"/>
      <c r="AC417" s="5"/>
      <c r="AD417" s="5"/>
      <c r="AE417" s="5"/>
      <c r="AF417" s="5"/>
      <c r="AG417" s="5"/>
    </row>
    <row r="418" spans="3:33" ht="12.75" customHeight="1">
      <c r="C418" s="5"/>
      <c r="D418" s="5"/>
      <c r="E418" s="5"/>
      <c r="F418" s="5"/>
      <c r="G418" s="217"/>
      <c r="H418" s="198"/>
      <c r="I418" s="198"/>
      <c r="J418" s="888"/>
      <c r="K418" s="217"/>
      <c r="L418" s="306"/>
      <c r="M418" s="306"/>
      <c r="N418" s="306"/>
      <c r="O418" s="306"/>
      <c r="P418" s="306"/>
      <c r="Q418" s="215"/>
      <c r="R418" s="5"/>
      <c r="S418" s="5"/>
      <c r="T418" s="5"/>
      <c r="U418" s="5"/>
      <c r="V418" s="5"/>
      <c r="W418" s="5"/>
      <c r="X418" s="5"/>
      <c r="Y418" s="5"/>
      <c r="Z418" s="5"/>
      <c r="AA418" s="5"/>
      <c r="AB418" s="5"/>
      <c r="AC418" s="5"/>
      <c r="AD418" s="5"/>
      <c r="AE418" s="5"/>
      <c r="AF418" s="5"/>
      <c r="AG418" s="5"/>
    </row>
    <row r="419" spans="3:33" ht="12.75" customHeight="1">
      <c r="C419" s="5"/>
      <c r="D419" s="5"/>
      <c r="E419" s="5"/>
      <c r="F419" s="5"/>
      <c r="G419" s="217"/>
      <c r="H419" s="198"/>
      <c r="I419" s="198"/>
      <c r="J419" s="888"/>
      <c r="K419" s="217"/>
      <c r="L419" s="306"/>
      <c r="M419" s="306"/>
      <c r="N419" s="306"/>
      <c r="O419" s="306"/>
      <c r="P419" s="306"/>
      <c r="Q419" s="215"/>
      <c r="R419" s="5"/>
      <c r="S419" s="5"/>
      <c r="T419" s="5"/>
      <c r="U419" s="5"/>
      <c r="V419" s="5"/>
      <c r="W419" s="5"/>
      <c r="X419" s="5"/>
      <c r="Y419" s="5"/>
      <c r="Z419" s="5"/>
      <c r="AA419" s="5"/>
      <c r="AB419" s="5"/>
      <c r="AC419" s="5"/>
      <c r="AD419" s="5"/>
      <c r="AE419" s="5"/>
      <c r="AF419" s="5"/>
      <c r="AG419" s="5"/>
    </row>
    <row r="420" spans="3:33" ht="12.75" customHeight="1">
      <c r="C420" s="5"/>
      <c r="D420" s="5"/>
      <c r="E420" s="5"/>
      <c r="F420" s="5"/>
      <c r="G420" s="217"/>
      <c r="H420" s="198"/>
      <c r="I420" s="198"/>
      <c r="J420" s="888"/>
      <c r="K420" s="217"/>
      <c r="L420" s="306"/>
      <c r="M420" s="306"/>
      <c r="N420" s="306"/>
      <c r="O420" s="306"/>
      <c r="P420" s="306"/>
      <c r="Q420" s="215"/>
      <c r="R420" s="5"/>
      <c r="S420" s="5"/>
      <c r="T420" s="5"/>
      <c r="U420" s="5"/>
      <c r="V420" s="5"/>
      <c r="W420" s="5"/>
      <c r="X420" s="5"/>
      <c r="Y420" s="5"/>
      <c r="Z420" s="5"/>
      <c r="AA420" s="5"/>
      <c r="AB420" s="5"/>
      <c r="AC420" s="5"/>
      <c r="AD420" s="5"/>
      <c r="AE420" s="5"/>
      <c r="AF420" s="5"/>
      <c r="AG420" s="5"/>
    </row>
    <row r="421" spans="3:33" ht="12.75" customHeight="1">
      <c r="C421" s="5"/>
      <c r="D421" s="5"/>
      <c r="E421" s="5"/>
      <c r="F421" s="5"/>
      <c r="G421" s="217"/>
      <c r="H421" s="198"/>
      <c r="I421" s="198"/>
      <c r="J421" s="888"/>
      <c r="K421" s="217"/>
      <c r="L421" s="306"/>
      <c r="M421" s="306"/>
      <c r="N421" s="306"/>
      <c r="O421" s="306"/>
      <c r="P421" s="306"/>
      <c r="Q421" s="215"/>
      <c r="R421" s="5"/>
      <c r="S421" s="5"/>
      <c r="T421" s="5"/>
      <c r="U421" s="5"/>
      <c r="V421" s="5"/>
      <c r="W421" s="5"/>
      <c r="X421" s="5"/>
      <c r="Y421" s="5"/>
      <c r="Z421" s="5"/>
      <c r="AA421" s="5"/>
      <c r="AB421" s="5"/>
      <c r="AC421" s="5"/>
      <c r="AD421" s="5"/>
      <c r="AE421" s="5"/>
      <c r="AF421" s="5"/>
      <c r="AG421" s="5"/>
    </row>
    <row r="422" spans="3:33" ht="12.75" customHeight="1">
      <c r="C422" s="5"/>
      <c r="D422" s="5"/>
      <c r="E422" s="5"/>
      <c r="F422" s="5"/>
      <c r="G422" s="217"/>
      <c r="H422" s="198"/>
      <c r="I422" s="198"/>
      <c r="J422" s="888"/>
      <c r="K422" s="217"/>
      <c r="L422" s="306"/>
      <c r="M422" s="306"/>
      <c r="N422" s="306"/>
      <c r="O422" s="306"/>
      <c r="P422" s="306"/>
      <c r="Q422" s="215"/>
      <c r="R422" s="5"/>
      <c r="S422" s="5"/>
      <c r="T422" s="5"/>
      <c r="U422" s="5"/>
      <c r="V422" s="5"/>
      <c r="W422" s="5"/>
      <c r="X422" s="5"/>
      <c r="Y422" s="5"/>
      <c r="Z422" s="5"/>
      <c r="AA422" s="5"/>
      <c r="AB422" s="5"/>
      <c r="AC422" s="5"/>
      <c r="AD422" s="5"/>
      <c r="AE422" s="5"/>
      <c r="AF422" s="5"/>
      <c r="AG422" s="5"/>
    </row>
    <row r="423" spans="3:33" ht="12.75" customHeight="1">
      <c r="C423" s="5"/>
      <c r="D423" s="5"/>
      <c r="E423" s="5"/>
      <c r="F423" s="5"/>
      <c r="G423" s="217"/>
      <c r="H423" s="198"/>
      <c r="I423" s="198"/>
      <c r="J423" s="888"/>
      <c r="K423" s="217"/>
      <c r="L423" s="306"/>
      <c r="M423" s="306"/>
      <c r="N423" s="306"/>
      <c r="O423" s="306"/>
      <c r="P423" s="306"/>
      <c r="Q423" s="215"/>
      <c r="R423" s="5"/>
      <c r="S423" s="5"/>
      <c r="T423" s="5"/>
      <c r="U423" s="5"/>
      <c r="V423" s="5"/>
      <c r="W423" s="5"/>
      <c r="X423" s="5"/>
      <c r="Y423" s="5"/>
      <c r="Z423" s="5"/>
      <c r="AA423" s="5"/>
      <c r="AB423" s="5"/>
      <c r="AC423" s="5"/>
      <c r="AD423" s="5"/>
      <c r="AE423" s="5"/>
      <c r="AF423" s="5"/>
      <c r="AG423" s="5"/>
    </row>
    <row r="424" spans="3:33" ht="12.75" customHeight="1">
      <c r="C424" s="5"/>
      <c r="D424" s="5"/>
      <c r="E424" s="5"/>
      <c r="F424" s="5"/>
      <c r="G424" s="217"/>
      <c r="H424" s="198"/>
      <c r="I424" s="198"/>
      <c r="J424" s="888"/>
      <c r="K424" s="217"/>
      <c r="L424" s="306"/>
      <c r="M424" s="306"/>
      <c r="N424" s="306"/>
      <c r="O424" s="306"/>
      <c r="P424" s="306"/>
      <c r="Q424" s="215"/>
      <c r="R424" s="5"/>
      <c r="S424" s="5"/>
      <c r="T424" s="5"/>
      <c r="U424" s="5"/>
      <c r="V424" s="5"/>
      <c r="W424" s="5"/>
      <c r="X424" s="5"/>
      <c r="Y424" s="5"/>
      <c r="Z424" s="5"/>
      <c r="AA424" s="5"/>
      <c r="AB424" s="5"/>
      <c r="AC424" s="5"/>
      <c r="AD424" s="5"/>
      <c r="AE424" s="5"/>
      <c r="AF424" s="5"/>
      <c r="AG424" s="5"/>
    </row>
    <row r="425" spans="3:33" ht="12.75" customHeight="1">
      <c r="C425" s="5"/>
      <c r="D425" s="5"/>
      <c r="E425" s="5"/>
      <c r="F425" s="5"/>
      <c r="G425" s="217"/>
      <c r="H425" s="198"/>
      <c r="I425" s="198"/>
      <c r="J425" s="888"/>
      <c r="K425" s="217"/>
      <c r="L425" s="306"/>
      <c r="M425" s="306"/>
      <c r="N425" s="306"/>
      <c r="O425" s="306"/>
      <c r="P425" s="306"/>
      <c r="Q425" s="215"/>
      <c r="R425" s="5"/>
      <c r="S425" s="5"/>
      <c r="T425" s="5"/>
      <c r="U425" s="5"/>
      <c r="V425" s="5"/>
      <c r="W425" s="5"/>
      <c r="X425" s="5"/>
      <c r="Y425" s="5"/>
      <c r="Z425" s="5"/>
      <c r="AA425" s="5"/>
      <c r="AB425" s="5"/>
      <c r="AC425" s="5"/>
      <c r="AD425" s="5"/>
      <c r="AE425" s="5"/>
      <c r="AF425" s="5"/>
      <c r="AG425" s="5"/>
    </row>
    <row r="426" spans="3:33" ht="12.75" customHeight="1">
      <c r="C426" s="5"/>
      <c r="D426" s="5"/>
      <c r="E426" s="5"/>
      <c r="F426" s="5"/>
      <c r="G426" s="217"/>
      <c r="H426" s="198"/>
      <c r="I426" s="198"/>
      <c r="J426" s="888"/>
      <c r="K426" s="217"/>
      <c r="L426" s="306"/>
      <c r="M426" s="306"/>
      <c r="N426" s="306"/>
      <c r="O426" s="306"/>
      <c r="P426" s="306"/>
      <c r="Q426" s="215"/>
      <c r="R426" s="5"/>
      <c r="S426" s="5"/>
      <c r="T426" s="5"/>
      <c r="U426" s="5"/>
      <c r="V426" s="5"/>
      <c r="W426" s="5"/>
      <c r="X426" s="5"/>
      <c r="Y426" s="5"/>
      <c r="Z426" s="5"/>
      <c r="AA426" s="5"/>
      <c r="AB426" s="5"/>
      <c r="AC426" s="5"/>
      <c r="AD426" s="5"/>
      <c r="AE426" s="5"/>
      <c r="AF426" s="5"/>
      <c r="AG426" s="5"/>
    </row>
    <row r="427" spans="3:33" ht="12.75" customHeight="1">
      <c r="C427" s="5"/>
      <c r="D427" s="5"/>
      <c r="E427" s="5"/>
      <c r="F427" s="5"/>
      <c r="G427" s="217"/>
      <c r="H427" s="198"/>
      <c r="I427" s="198"/>
      <c r="J427" s="888"/>
      <c r="K427" s="217"/>
      <c r="L427" s="306"/>
      <c r="M427" s="306"/>
      <c r="N427" s="306"/>
      <c r="O427" s="306"/>
      <c r="P427" s="306"/>
      <c r="Q427" s="215"/>
      <c r="R427" s="5"/>
      <c r="S427" s="5"/>
      <c r="T427" s="5"/>
      <c r="U427" s="5"/>
      <c r="V427" s="5"/>
      <c r="W427" s="5"/>
      <c r="X427" s="5"/>
      <c r="Y427" s="5"/>
      <c r="Z427" s="5"/>
      <c r="AA427" s="5"/>
      <c r="AB427" s="5"/>
      <c r="AC427" s="5"/>
      <c r="AD427" s="5"/>
      <c r="AE427" s="5"/>
      <c r="AF427" s="5"/>
      <c r="AG427" s="5"/>
    </row>
    <row r="428" spans="3:33" ht="12.75" customHeight="1">
      <c r="C428" s="5"/>
      <c r="D428" s="5"/>
      <c r="E428" s="5"/>
      <c r="F428" s="5"/>
      <c r="G428" s="217"/>
      <c r="H428" s="198"/>
      <c r="I428" s="198"/>
      <c r="J428" s="888"/>
      <c r="K428" s="217"/>
      <c r="L428" s="306"/>
      <c r="M428" s="306"/>
      <c r="N428" s="306"/>
      <c r="O428" s="306"/>
      <c r="P428" s="306"/>
      <c r="Q428" s="215"/>
      <c r="R428" s="5"/>
      <c r="S428" s="5"/>
      <c r="T428" s="5"/>
      <c r="U428" s="5"/>
      <c r="V428" s="5"/>
      <c r="W428" s="5"/>
      <c r="X428" s="5"/>
      <c r="Y428" s="5"/>
      <c r="Z428" s="5"/>
      <c r="AA428" s="5"/>
      <c r="AB428" s="5"/>
      <c r="AC428" s="5"/>
      <c r="AD428" s="5"/>
      <c r="AE428" s="5"/>
      <c r="AF428" s="5"/>
      <c r="AG428" s="5"/>
    </row>
    <row r="429" spans="3:33" ht="12.75" customHeight="1">
      <c r="C429" s="5"/>
      <c r="D429" s="5"/>
      <c r="E429" s="5"/>
      <c r="F429" s="5"/>
      <c r="G429" s="217"/>
      <c r="H429" s="198"/>
      <c r="I429" s="198"/>
      <c r="J429" s="888"/>
      <c r="K429" s="217"/>
      <c r="L429" s="306"/>
      <c r="M429" s="306"/>
      <c r="N429" s="306"/>
      <c r="O429" s="306"/>
      <c r="P429" s="306"/>
      <c r="Q429" s="215"/>
      <c r="R429" s="5"/>
      <c r="S429" s="5"/>
      <c r="T429" s="5"/>
      <c r="U429" s="5"/>
      <c r="V429" s="5"/>
      <c r="W429" s="5"/>
      <c r="X429" s="5"/>
      <c r="Y429" s="5"/>
      <c r="Z429" s="5"/>
      <c r="AA429" s="5"/>
      <c r="AB429" s="5"/>
      <c r="AC429" s="5"/>
      <c r="AD429" s="5"/>
      <c r="AE429" s="5"/>
      <c r="AF429" s="5"/>
      <c r="AG429" s="5"/>
    </row>
    <row r="430" spans="3:33" ht="12.75" customHeight="1">
      <c r="C430" s="5"/>
      <c r="D430" s="5"/>
      <c r="E430" s="5"/>
      <c r="F430" s="5"/>
      <c r="G430" s="217"/>
      <c r="H430" s="198"/>
      <c r="I430" s="198"/>
      <c r="J430" s="888"/>
      <c r="K430" s="217"/>
      <c r="L430" s="306"/>
      <c r="M430" s="306"/>
      <c r="N430" s="306"/>
      <c r="O430" s="306"/>
      <c r="P430" s="306"/>
      <c r="Q430" s="215"/>
      <c r="R430" s="5"/>
      <c r="S430" s="5"/>
      <c r="T430" s="5"/>
      <c r="U430" s="5"/>
      <c r="V430" s="5"/>
      <c r="W430" s="5"/>
      <c r="X430" s="5"/>
      <c r="Y430" s="5"/>
      <c r="Z430" s="5"/>
      <c r="AA430" s="5"/>
      <c r="AB430" s="5"/>
      <c r="AC430" s="5"/>
      <c r="AD430" s="5"/>
      <c r="AE430" s="5"/>
      <c r="AF430" s="5"/>
      <c r="AG430" s="5"/>
    </row>
    <row r="431" spans="3:33" ht="12.75" customHeight="1">
      <c r="C431" s="5"/>
      <c r="D431" s="5"/>
      <c r="E431" s="5"/>
      <c r="F431" s="5"/>
      <c r="G431" s="217"/>
      <c r="H431" s="198"/>
      <c r="I431" s="198"/>
      <c r="J431" s="888"/>
      <c r="K431" s="217"/>
      <c r="L431" s="306"/>
      <c r="M431" s="306"/>
      <c r="N431" s="306"/>
      <c r="O431" s="306"/>
      <c r="P431" s="306"/>
      <c r="Q431" s="215"/>
      <c r="R431" s="5"/>
      <c r="S431" s="5"/>
      <c r="T431" s="5"/>
      <c r="U431" s="5"/>
      <c r="V431" s="5"/>
      <c r="W431" s="5"/>
      <c r="X431" s="5"/>
      <c r="Y431" s="5"/>
      <c r="Z431" s="5"/>
      <c r="AA431" s="5"/>
      <c r="AB431" s="5"/>
      <c r="AC431" s="5"/>
      <c r="AD431" s="5"/>
      <c r="AE431" s="5"/>
      <c r="AF431" s="5"/>
      <c r="AG431" s="5"/>
    </row>
    <row r="432" spans="3:33" ht="12.75" customHeight="1">
      <c r="C432" s="5"/>
      <c r="D432" s="5"/>
      <c r="E432" s="5"/>
      <c r="F432" s="5"/>
      <c r="G432" s="217"/>
      <c r="H432" s="198"/>
      <c r="I432" s="198"/>
      <c r="J432" s="888"/>
      <c r="K432" s="217"/>
      <c r="L432" s="306"/>
      <c r="M432" s="306"/>
      <c r="N432" s="306"/>
      <c r="O432" s="306"/>
      <c r="P432" s="306"/>
      <c r="Q432" s="215"/>
      <c r="R432" s="5"/>
      <c r="S432" s="5"/>
      <c r="T432" s="5"/>
      <c r="U432" s="5"/>
      <c r="V432" s="5"/>
      <c r="W432" s="5"/>
      <c r="X432" s="5"/>
      <c r="Y432" s="5"/>
      <c r="Z432" s="5"/>
      <c r="AA432" s="5"/>
      <c r="AB432" s="5"/>
      <c r="AC432" s="5"/>
      <c r="AD432" s="5"/>
      <c r="AE432" s="5"/>
      <c r="AF432" s="5"/>
      <c r="AG432" s="5"/>
    </row>
    <row r="433" spans="3:33" ht="12.75" customHeight="1">
      <c r="C433" s="5"/>
      <c r="D433" s="5"/>
      <c r="E433" s="5"/>
      <c r="F433" s="5"/>
      <c r="G433" s="217"/>
      <c r="H433" s="198"/>
      <c r="I433" s="198"/>
      <c r="J433" s="888"/>
      <c r="K433" s="217"/>
      <c r="L433" s="306"/>
      <c r="M433" s="306"/>
      <c r="N433" s="306"/>
      <c r="O433" s="306"/>
      <c r="P433" s="306"/>
      <c r="Q433" s="215"/>
      <c r="R433" s="5"/>
      <c r="S433" s="5"/>
      <c r="T433" s="5"/>
      <c r="U433" s="5"/>
      <c r="V433" s="5"/>
      <c r="W433" s="5"/>
      <c r="X433" s="5"/>
      <c r="Y433" s="5"/>
      <c r="Z433" s="5"/>
      <c r="AA433" s="5"/>
      <c r="AB433" s="5"/>
      <c r="AC433" s="5"/>
      <c r="AD433" s="5"/>
      <c r="AE433" s="5"/>
      <c r="AF433" s="5"/>
      <c r="AG433" s="5"/>
    </row>
    <row r="434" spans="3:33" ht="12.75" customHeight="1">
      <c r="C434" s="5"/>
      <c r="D434" s="5"/>
      <c r="E434" s="5"/>
      <c r="F434" s="5"/>
      <c r="G434" s="217"/>
      <c r="H434" s="198"/>
      <c r="I434" s="198"/>
      <c r="J434" s="888"/>
      <c r="K434" s="217"/>
      <c r="L434" s="306"/>
      <c r="M434" s="306"/>
      <c r="N434" s="306"/>
      <c r="O434" s="306"/>
      <c r="P434" s="306"/>
      <c r="Q434" s="215"/>
      <c r="R434" s="5"/>
      <c r="S434" s="5"/>
      <c r="T434" s="5"/>
      <c r="U434" s="5"/>
      <c r="V434" s="5"/>
      <c r="W434" s="5"/>
      <c r="X434" s="5"/>
      <c r="Y434" s="5"/>
      <c r="Z434" s="5"/>
      <c r="AA434" s="5"/>
      <c r="AB434" s="5"/>
      <c r="AC434" s="5"/>
      <c r="AD434" s="5"/>
      <c r="AE434" s="5"/>
      <c r="AF434" s="5"/>
      <c r="AG434" s="5"/>
    </row>
    <row r="435" spans="3:33" ht="12.75" customHeight="1">
      <c r="C435" s="5"/>
      <c r="D435" s="5"/>
      <c r="E435" s="5"/>
      <c r="F435" s="5"/>
      <c r="G435" s="217"/>
      <c r="H435" s="198"/>
      <c r="I435" s="198"/>
      <c r="J435" s="888"/>
      <c r="K435" s="217"/>
      <c r="L435" s="306"/>
      <c r="M435" s="306"/>
      <c r="N435" s="306"/>
      <c r="O435" s="306"/>
      <c r="P435" s="306"/>
      <c r="Q435" s="215"/>
      <c r="R435" s="5"/>
      <c r="S435" s="5"/>
      <c r="T435" s="5"/>
      <c r="U435" s="5"/>
      <c r="V435" s="5"/>
      <c r="W435" s="5"/>
      <c r="X435" s="5"/>
      <c r="Y435" s="5"/>
      <c r="Z435" s="5"/>
      <c r="AA435" s="5"/>
      <c r="AB435" s="5"/>
      <c r="AC435" s="5"/>
      <c r="AD435" s="5"/>
      <c r="AE435" s="5"/>
      <c r="AF435" s="5"/>
      <c r="AG435" s="5"/>
    </row>
    <row r="436" spans="3:33" ht="12.75" customHeight="1">
      <c r="C436" s="5"/>
      <c r="D436" s="5"/>
      <c r="E436" s="5"/>
      <c r="F436" s="5"/>
      <c r="G436" s="217"/>
      <c r="H436" s="198"/>
      <c r="I436" s="198"/>
      <c r="J436" s="888"/>
      <c r="K436" s="217"/>
      <c r="L436" s="306"/>
      <c r="M436" s="306"/>
      <c r="N436" s="306"/>
      <c r="O436" s="306"/>
      <c r="P436" s="306"/>
      <c r="Q436" s="215"/>
      <c r="R436" s="5"/>
      <c r="S436" s="5"/>
      <c r="T436" s="5"/>
      <c r="U436" s="5"/>
      <c r="V436" s="5"/>
      <c r="W436" s="5"/>
      <c r="X436" s="5"/>
      <c r="Y436" s="5"/>
      <c r="Z436" s="5"/>
      <c r="AA436" s="5"/>
      <c r="AB436" s="5"/>
      <c r="AC436" s="5"/>
      <c r="AD436" s="5"/>
      <c r="AE436" s="5"/>
      <c r="AF436" s="5"/>
      <c r="AG436" s="5"/>
    </row>
    <row r="437" spans="3:33" ht="12.75" customHeight="1">
      <c r="C437" s="5"/>
      <c r="D437" s="5"/>
      <c r="E437" s="5"/>
      <c r="F437" s="5"/>
      <c r="G437" s="217"/>
      <c r="H437" s="198"/>
      <c r="I437" s="198"/>
      <c r="J437" s="888"/>
      <c r="K437" s="217"/>
      <c r="L437" s="306"/>
      <c r="M437" s="306"/>
      <c r="N437" s="306"/>
      <c r="O437" s="306"/>
      <c r="P437" s="306"/>
      <c r="Q437" s="215"/>
      <c r="R437" s="5"/>
      <c r="S437" s="5"/>
      <c r="T437" s="5"/>
      <c r="U437" s="5"/>
      <c r="V437" s="5"/>
      <c r="W437" s="5"/>
      <c r="X437" s="5"/>
      <c r="Y437" s="5"/>
      <c r="Z437" s="5"/>
      <c r="AA437" s="5"/>
      <c r="AB437" s="5"/>
      <c r="AC437" s="5"/>
      <c r="AD437" s="5"/>
      <c r="AE437" s="5"/>
      <c r="AF437" s="5"/>
      <c r="AG437" s="5"/>
    </row>
    <row r="438" spans="3:33" ht="12.75" customHeight="1">
      <c r="C438" s="5"/>
      <c r="D438" s="5"/>
      <c r="E438" s="5"/>
      <c r="F438" s="5"/>
      <c r="G438" s="217"/>
      <c r="H438" s="198"/>
      <c r="I438" s="198"/>
      <c r="J438" s="888"/>
      <c r="K438" s="217"/>
      <c r="L438" s="306"/>
      <c r="M438" s="306"/>
      <c r="N438" s="306"/>
      <c r="O438" s="306"/>
      <c r="P438" s="306"/>
      <c r="Q438" s="215"/>
      <c r="R438" s="5"/>
      <c r="S438" s="5"/>
      <c r="T438" s="5"/>
      <c r="U438" s="5"/>
      <c r="V438" s="5"/>
      <c r="W438" s="5"/>
      <c r="X438" s="5"/>
      <c r="Y438" s="5"/>
      <c r="Z438" s="5"/>
      <c r="AA438" s="5"/>
      <c r="AB438" s="5"/>
      <c r="AC438" s="5"/>
      <c r="AD438" s="5"/>
      <c r="AE438" s="5"/>
      <c r="AF438" s="5"/>
      <c r="AG438" s="5"/>
    </row>
    <row r="439" spans="3:33" ht="12.75" customHeight="1">
      <c r="C439" s="5"/>
      <c r="D439" s="5"/>
      <c r="E439" s="5"/>
      <c r="F439" s="5"/>
      <c r="G439" s="217"/>
      <c r="H439" s="198"/>
      <c r="I439" s="198"/>
      <c r="J439" s="888"/>
      <c r="K439" s="217"/>
      <c r="L439" s="306"/>
      <c r="M439" s="306"/>
      <c r="N439" s="306"/>
      <c r="O439" s="306"/>
      <c r="P439" s="306"/>
      <c r="Q439" s="215"/>
      <c r="R439" s="5"/>
      <c r="S439" s="5"/>
      <c r="T439" s="5"/>
      <c r="U439" s="5"/>
      <c r="V439" s="5"/>
      <c r="W439" s="5"/>
      <c r="X439" s="5"/>
      <c r="Y439" s="5"/>
      <c r="Z439" s="5"/>
      <c r="AA439" s="5"/>
      <c r="AB439" s="5"/>
      <c r="AC439" s="5"/>
      <c r="AD439" s="5"/>
      <c r="AE439" s="5"/>
      <c r="AF439" s="5"/>
      <c r="AG439" s="5"/>
    </row>
    <row r="440" spans="3:33" ht="12.75" customHeight="1">
      <c r="C440" s="5"/>
      <c r="D440" s="5"/>
      <c r="E440" s="5"/>
      <c r="F440" s="5"/>
      <c r="G440" s="217"/>
      <c r="H440" s="198"/>
      <c r="I440" s="198"/>
      <c r="J440" s="888"/>
      <c r="K440" s="217"/>
      <c r="L440" s="306"/>
      <c r="M440" s="306"/>
      <c r="N440" s="306"/>
      <c r="O440" s="306"/>
      <c r="P440" s="306"/>
      <c r="Q440" s="215"/>
      <c r="R440" s="5"/>
      <c r="S440" s="5"/>
      <c r="T440" s="5"/>
      <c r="U440" s="5"/>
      <c r="V440" s="5"/>
      <c r="W440" s="5"/>
      <c r="X440" s="5"/>
      <c r="Y440" s="5"/>
      <c r="Z440" s="5"/>
      <c r="AA440" s="5"/>
      <c r="AB440" s="5"/>
      <c r="AC440" s="5"/>
      <c r="AD440" s="5"/>
      <c r="AE440" s="5"/>
      <c r="AF440" s="5"/>
      <c r="AG440" s="5"/>
    </row>
    <row r="441" spans="3:33" ht="12.75" customHeight="1">
      <c r="C441" s="5"/>
      <c r="D441" s="5"/>
      <c r="E441" s="5"/>
      <c r="F441" s="5"/>
      <c r="G441" s="217"/>
      <c r="H441" s="198"/>
      <c r="I441" s="198"/>
      <c r="J441" s="888"/>
      <c r="K441" s="217"/>
      <c r="L441" s="306"/>
      <c r="M441" s="306"/>
      <c r="N441" s="306"/>
      <c r="O441" s="306"/>
      <c r="P441" s="306"/>
      <c r="Q441" s="215"/>
      <c r="R441" s="5"/>
      <c r="S441" s="5"/>
      <c r="T441" s="5"/>
      <c r="U441" s="5"/>
      <c r="V441" s="5"/>
      <c r="W441" s="5"/>
      <c r="X441" s="5"/>
      <c r="Y441" s="5"/>
      <c r="Z441" s="5"/>
      <c r="AA441" s="5"/>
      <c r="AB441" s="5"/>
      <c r="AC441" s="5"/>
      <c r="AD441" s="5"/>
      <c r="AE441" s="5"/>
      <c r="AF441" s="5"/>
      <c r="AG441" s="5"/>
    </row>
    <row r="442" spans="3:33" ht="12.75" customHeight="1">
      <c r="C442" s="5"/>
      <c r="D442" s="5"/>
      <c r="E442" s="5"/>
      <c r="F442" s="5"/>
      <c r="G442" s="217"/>
      <c r="H442" s="198"/>
      <c r="I442" s="198"/>
      <c r="J442" s="888"/>
      <c r="K442" s="217"/>
      <c r="L442" s="306"/>
      <c r="M442" s="306"/>
      <c r="N442" s="306"/>
      <c r="O442" s="306"/>
      <c r="P442" s="306"/>
      <c r="Q442" s="215"/>
      <c r="R442" s="5"/>
      <c r="S442" s="5"/>
      <c r="T442" s="5"/>
      <c r="U442" s="5"/>
      <c r="V442" s="5"/>
      <c r="W442" s="5"/>
      <c r="X442" s="5"/>
      <c r="Y442" s="5"/>
      <c r="Z442" s="5"/>
      <c r="AA442" s="5"/>
      <c r="AB442" s="5"/>
      <c r="AC442" s="5"/>
      <c r="AD442" s="5"/>
      <c r="AE442" s="5"/>
      <c r="AF442" s="5"/>
      <c r="AG442" s="5"/>
    </row>
    <row r="443" spans="3:33" ht="12.75" customHeight="1">
      <c r="C443" s="5"/>
      <c r="D443" s="5"/>
      <c r="E443" s="5"/>
      <c r="F443" s="5"/>
      <c r="G443" s="217"/>
      <c r="H443" s="198"/>
      <c r="I443" s="198"/>
      <c r="J443" s="888"/>
      <c r="K443" s="217"/>
      <c r="L443" s="306"/>
      <c r="M443" s="306"/>
      <c r="N443" s="306"/>
      <c r="O443" s="306"/>
      <c r="P443" s="306"/>
      <c r="Q443" s="215"/>
      <c r="R443" s="5"/>
      <c r="S443" s="5"/>
      <c r="T443" s="5"/>
      <c r="U443" s="5"/>
      <c r="V443" s="5"/>
      <c r="W443" s="5"/>
      <c r="X443" s="5"/>
      <c r="Y443" s="5"/>
      <c r="Z443" s="5"/>
      <c r="AA443" s="5"/>
      <c r="AB443" s="5"/>
      <c r="AC443" s="5"/>
      <c r="AD443" s="5"/>
      <c r="AE443" s="5"/>
      <c r="AF443" s="5"/>
      <c r="AG443" s="5"/>
    </row>
    <row r="444" spans="3:33" ht="12.75" customHeight="1">
      <c r="C444" s="5"/>
      <c r="D444" s="5"/>
      <c r="E444" s="5"/>
      <c r="F444" s="5"/>
      <c r="G444" s="217"/>
      <c r="H444" s="198"/>
      <c r="I444" s="198"/>
      <c r="J444" s="888"/>
      <c r="K444" s="217"/>
      <c r="L444" s="306"/>
      <c r="M444" s="306"/>
      <c r="N444" s="306"/>
      <c r="O444" s="306"/>
      <c r="P444" s="306"/>
      <c r="Q444" s="215"/>
      <c r="R444" s="5"/>
      <c r="S444" s="5"/>
      <c r="T444" s="5"/>
      <c r="U444" s="5"/>
      <c r="V444" s="5"/>
      <c r="W444" s="5"/>
      <c r="X444" s="5"/>
      <c r="Y444" s="5"/>
      <c r="Z444" s="5"/>
      <c r="AA444" s="5"/>
      <c r="AB444" s="5"/>
      <c r="AC444" s="5"/>
      <c r="AD444" s="5"/>
      <c r="AE444" s="5"/>
      <c r="AF444" s="5"/>
      <c r="AG444" s="5"/>
    </row>
    <row r="445" spans="3:33" ht="12.75" customHeight="1">
      <c r="C445" s="5"/>
      <c r="D445" s="5"/>
      <c r="E445" s="5"/>
      <c r="F445" s="5"/>
      <c r="G445" s="217"/>
      <c r="H445" s="198"/>
      <c r="I445" s="198"/>
      <c r="J445" s="888"/>
      <c r="K445" s="217"/>
      <c r="L445" s="306"/>
      <c r="M445" s="306"/>
      <c r="N445" s="306"/>
      <c r="O445" s="306"/>
      <c r="P445" s="306"/>
      <c r="Q445" s="215"/>
      <c r="R445" s="5"/>
      <c r="S445" s="5"/>
      <c r="T445" s="5"/>
      <c r="U445" s="5"/>
      <c r="V445" s="5"/>
      <c r="W445" s="5"/>
      <c r="X445" s="5"/>
      <c r="Y445" s="5"/>
      <c r="Z445" s="5"/>
      <c r="AA445" s="5"/>
      <c r="AB445" s="5"/>
      <c r="AC445" s="5"/>
      <c r="AD445" s="5"/>
      <c r="AE445" s="5"/>
      <c r="AF445" s="5"/>
      <c r="AG445" s="5"/>
    </row>
    <row r="446" spans="3:33" ht="12.75" customHeight="1">
      <c r="C446" s="5"/>
      <c r="D446" s="5"/>
      <c r="E446" s="5"/>
      <c r="F446" s="5"/>
      <c r="G446" s="217"/>
      <c r="H446" s="198"/>
      <c r="I446" s="198"/>
      <c r="J446" s="888"/>
      <c r="K446" s="217"/>
      <c r="L446" s="306"/>
      <c r="M446" s="306"/>
      <c r="N446" s="306"/>
      <c r="O446" s="306"/>
      <c r="P446" s="306"/>
      <c r="Q446" s="215"/>
      <c r="R446" s="5"/>
      <c r="S446" s="5"/>
      <c r="T446" s="5"/>
      <c r="U446" s="5"/>
      <c r="V446" s="5"/>
      <c r="W446" s="5"/>
      <c r="X446" s="5"/>
      <c r="Y446" s="5"/>
      <c r="Z446" s="5"/>
      <c r="AA446" s="5"/>
      <c r="AB446" s="5"/>
      <c r="AC446" s="5"/>
      <c r="AD446" s="5"/>
      <c r="AE446" s="5"/>
      <c r="AF446" s="5"/>
      <c r="AG446" s="5"/>
    </row>
    <row r="447" spans="3:33" ht="12.75" customHeight="1">
      <c r="C447" s="5"/>
      <c r="D447" s="5"/>
      <c r="E447" s="5"/>
      <c r="F447" s="5"/>
      <c r="G447" s="217"/>
      <c r="H447" s="198"/>
      <c r="I447" s="198"/>
      <c r="J447" s="888"/>
      <c r="K447" s="217"/>
      <c r="L447" s="306"/>
      <c r="M447" s="306"/>
      <c r="N447" s="306"/>
      <c r="O447" s="306"/>
      <c r="P447" s="306"/>
      <c r="Q447" s="215"/>
      <c r="R447" s="5"/>
      <c r="S447" s="5"/>
      <c r="T447" s="5"/>
      <c r="U447" s="5"/>
      <c r="V447" s="5"/>
      <c r="W447" s="5"/>
      <c r="X447" s="5"/>
      <c r="Y447" s="5"/>
      <c r="Z447" s="5"/>
      <c r="AA447" s="5"/>
      <c r="AB447" s="5"/>
      <c r="AC447" s="5"/>
      <c r="AD447" s="5"/>
      <c r="AE447" s="5"/>
      <c r="AF447" s="5"/>
      <c r="AG447" s="5"/>
    </row>
    <row r="448" spans="3:33" ht="12.75" customHeight="1">
      <c r="C448" s="5"/>
      <c r="D448" s="5"/>
      <c r="E448" s="5"/>
      <c r="F448" s="5"/>
      <c r="G448" s="217"/>
      <c r="H448" s="198"/>
      <c r="I448" s="198"/>
      <c r="J448" s="888"/>
      <c r="K448" s="217"/>
      <c r="L448" s="306"/>
      <c r="M448" s="306"/>
      <c r="N448" s="306"/>
      <c r="O448" s="306"/>
      <c r="P448" s="306"/>
      <c r="Q448" s="215"/>
      <c r="R448" s="5"/>
      <c r="S448" s="5"/>
      <c r="T448" s="5"/>
      <c r="U448" s="5"/>
      <c r="V448" s="5"/>
      <c r="W448" s="5"/>
      <c r="X448" s="5"/>
      <c r="Y448" s="5"/>
      <c r="Z448" s="5"/>
      <c r="AA448" s="5"/>
      <c r="AB448" s="5"/>
      <c r="AC448" s="5"/>
      <c r="AD448" s="5"/>
      <c r="AE448" s="5"/>
      <c r="AF448" s="5"/>
      <c r="AG448" s="5"/>
    </row>
    <row r="449" spans="3:33" ht="12.75" customHeight="1">
      <c r="C449" s="5"/>
      <c r="D449" s="5"/>
      <c r="E449" s="5"/>
      <c r="F449" s="5"/>
      <c r="G449" s="217"/>
      <c r="H449" s="198"/>
      <c r="I449" s="198"/>
      <c r="J449" s="888"/>
      <c r="K449" s="217"/>
      <c r="L449" s="306"/>
      <c r="M449" s="306"/>
      <c r="N449" s="306"/>
      <c r="O449" s="306"/>
      <c r="P449" s="306"/>
      <c r="Q449" s="215"/>
      <c r="R449" s="5"/>
      <c r="S449" s="5"/>
      <c r="T449" s="5"/>
      <c r="U449" s="5"/>
      <c r="V449" s="5"/>
      <c r="W449" s="5"/>
      <c r="X449" s="5"/>
      <c r="Y449" s="5"/>
      <c r="Z449" s="5"/>
      <c r="AA449" s="5"/>
      <c r="AB449" s="5"/>
      <c r="AC449" s="5"/>
      <c r="AD449" s="5"/>
      <c r="AE449" s="5"/>
      <c r="AF449" s="5"/>
      <c r="AG449" s="5"/>
    </row>
    <row r="450" spans="3:33" ht="12.75" customHeight="1">
      <c r="C450" s="5"/>
      <c r="D450" s="5"/>
      <c r="E450" s="5"/>
      <c r="F450" s="5"/>
      <c r="G450" s="217"/>
      <c r="H450" s="198"/>
      <c r="I450" s="198"/>
      <c r="J450" s="888"/>
      <c r="K450" s="217"/>
      <c r="L450" s="306"/>
      <c r="M450" s="306"/>
      <c r="N450" s="306"/>
      <c r="O450" s="306"/>
      <c r="P450" s="306"/>
      <c r="Q450" s="215"/>
      <c r="R450" s="5"/>
      <c r="S450" s="5"/>
      <c r="T450" s="5"/>
      <c r="U450" s="5"/>
      <c r="V450" s="5"/>
      <c r="W450" s="5"/>
      <c r="X450" s="5"/>
      <c r="Y450" s="5"/>
      <c r="Z450" s="5"/>
      <c r="AA450" s="5"/>
      <c r="AB450" s="5"/>
      <c r="AC450" s="5"/>
      <c r="AD450" s="5"/>
      <c r="AE450" s="5"/>
      <c r="AF450" s="5"/>
      <c r="AG450" s="5"/>
    </row>
    <row r="451" spans="3:33" ht="12.75" customHeight="1">
      <c r="C451" s="5"/>
      <c r="D451" s="5"/>
      <c r="E451" s="5"/>
      <c r="F451" s="5"/>
      <c r="G451" s="217"/>
      <c r="H451" s="198"/>
      <c r="I451" s="198"/>
      <c r="J451" s="888"/>
      <c r="K451" s="217"/>
      <c r="L451" s="306"/>
      <c r="M451" s="306"/>
      <c r="N451" s="306"/>
      <c r="O451" s="306"/>
      <c r="P451" s="306"/>
      <c r="Q451" s="215"/>
      <c r="R451" s="5"/>
      <c r="S451" s="5"/>
      <c r="T451" s="5"/>
      <c r="U451" s="5"/>
      <c r="V451" s="5"/>
      <c r="W451" s="5"/>
      <c r="X451" s="5"/>
      <c r="Y451" s="5"/>
      <c r="Z451" s="5"/>
      <c r="AA451" s="5"/>
      <c r="AB451" s="5"/>
      <c r="AC451" s="5"/>
      <c r="AD451" s="5"/>
      <c r="AE451" s="5"/>
      <c r="AF451" s="5"/>
      <c r="AG451" s="5"/>
    </row>
    <row r="452" spans="3:33" ht="12.75" customHeight="1">
      <c r="C452" s="5"/>
      <c r="D452" s="5"/>
      <c r="E452" s="5"/>
      <c r="F452" s="5"/>
      <c r="G452" s="217"/>
      <c r="H452" s="198"/>
      <c r="I452" s="198"/>
      <c r="J452" s="888"/>
      <c r="K452" s="217"/>
      <c r="L452" s="306"/>
      <c r="M452" s="306"/>
      <c r="N452" s="306"/>
      <c r="O452" s="306"/>
      <c r="P452" s="306"/>
      <c r="Q452" s="215"/>
      <c r="R452" s="5"/>
      <c r="S452" s="5"/>
      <c r="T452" s="5"/>
      <c r="U452" s="5"/>
      <c r="V452" s="5"/>
      <c r="W452" s="5"/>
      <c r="X452" s="5"/>
      <c r="Y452" s="5"/>
      <c r="Z452" s="5"/>
      <c r="AA452" s="5"/>
      <c r="AB452" s="5"/>
      <c r="AC452" s="5"/>
      <c r="AD452" s="5"/>
      <c r="AE452" s="5"/>
      <c r="AF452" s="5"/>
      <c r="AG452" s="5"/>
    </row>
    <row r="453" spans="3:33" ht="12.75" customHeight="1">
      <c r="C453" s="5"/>
      <c r="D453" s="5"/>
      <c r="E453" s="5"/>
      <c r="F453" s="5"/>
      <c r="G453" s="217"/>
      <c r="H453" s="198"/>
      <c r="I453" s="198"/>
      <c r="J453" s="888"/>
      <c r="K453" s="217"/>
      <c r="L453" s="306"/>
      <c r="M453" s="306"/>
      <c r="N453" s="306"/>
      <c r="O453" s="306"/>
      <c r="P453" s="306"/>
      <c r="Q453" s="215"/>
      <c r="R453" s="5"/>
      <c r="S453" s="5"/>
      <c r="T453" s="5"/>
      <c r="U453" s="5"/>
      <c r="V453" s="5"/>
      <c r="W453" s="5"/>
      <c r="X453" s="5"/>
      <c r="Y453" s="5"/>
      <c r="Z453" s="5"/>
      <c r="AA453" s="5"/>
      <c r="AB453" s="5"/>
      <c r="AC453" s="5"/>
      <c r="AD453" s="5"/>
      <c r="AE453" s="5"/>
      <c r="AF453" s="5"/>
      <c r="AG453" s="5"/>
    </row>
    <row r="454" spans="3:33" ht="12.75" customHeight="1">
      <c r="C454" s="5"/>
      <c r="D454" s="5"/>
      <c r="E454" s="5"/>
      <c r="F454" s="5"/>
      <c r="G454" s="217"/>
      <c r="H454" s="198"/>
      <c r="I454" s="198"/>
      <c r="J454" s="888"/>
      <c r="K454" s="217"/>
      <c r="L454" s="306"/>
      <c r="M454" s="306"/>
      <c r="N454" s="306"/>
      <c r="O454" s="306"/>
      <c r="P454" s="306"/>
      <c r="Q454" s="215"/>
      <c r="R454" s="5"/>
      <c r="S454" s="5"/>
      <c r="T454" s="5"/>
      <c r="U454" s="5"/>
      <c r="V454" s="5"/>
      <c r="W454" s="5"/>
      <c r="X454" s="5"/>
      <c r="Y454" s="5"/>
      <c r="Z454" s="5"/>
      <c r="AA454" s="5"/>
      <c r="AB454" s="5"/>
      <c r="AC454" s="5"/>
      <c r="AD454" s="5"/>
      <c r="AE454" s="5"/>
      <c r="AF454" s="5"/>
      <c r="AG454" s="5"/>
    </row>
    <row r="455" spans="3:33" ht="12.75" customHeight="1">
      <c r="C455" s="5"/>
      <c r="D455" s="5"/>
      <c r="E455" s="5"/>
      <c r="F455" s="5"/>
      <c r="G455" s="217"/>
      <c r="H455" s="198"/>
      <c r="I455" s="198"/>
      <c r="J455" s="888"/>
      <c r="K455" s="217"/>
      <c r="L455" s="306"/>
      <c r="M455" s="306"/>
      <c r="N455" s="306"/>
      <c r="O455" s="306"/>
      <c r="P455" s="306"/>
      <c r="Q455" s="215"/>
      <c r="R455" s="5"/>
      <c r="S455" s="5"/>
      <c r="T455" s="5"/>
      <c r="U455" s="5"/>
      <c r="V455" s="5"/>
      <c r="W455" s="5"/>
      <c r="X455" s="5"/>
      <c r="Y455" s="5"/>
      <c r="Z455" s="5"/>
      <c r="AA455" s="5"/>
      <c r="AB455" s="5"/>
      <c r="AC455" s="5"/>
      <c r="AD455" s="5"/>
      <c r="AE455" s="5"/>
      <c r="AF455" s="5"/>
      <c r="AG455" s="5"/>
    </row>
    <row r="456" spans="3:33" ht="12.75" customHeight="1">
      <c r="C456" s="5"/>
      <c r="D456" s="5"/>
      <c r="E456" s="5"/>
      <c r="F456" s="5"/>
      <c r="G456" s="217"/>
      <c r="H456" s="198"/>
      <c r="I456" s="198"/>
      <c r="J456" s="888"/>
      <c r="K456" s="217"/>
      <c r="L456" s="306"/>
      <c r="M456" s="306"/>
      <c r="N456" s="306"/>
      <c r="O456" s="306"/>
      <c r="P456" s="306"/>
      <c r="Q456" s="215"/>
      <c r="R456" s="5"/>
      <c r="S456" s="5"/>
      <c r="T456" s="5"/>
      <c r="U456" s="5"/>
      <c r="V456" s="5"/>
      <c r="W456" s="5"/>
      <c r="X456" s="5"/>
      <c r="Y456" s="5"/>
      <c r="Z456" s="5"/>
      <c r="AA456" s="5"/>
      <c r="AB456" s="5"/>
      <c r="AC456" s="5"/>
      <c r="AD456" s="5"/>
      <c r="AE456" s="5"/>
      <c r="AF456" s="5"/>
      <c r="AG456" s="5"/>
    </row>
    <row r="457" spans="3:33" ht="12.75" customHeight="1">
      <c r="C457" s="5"/>
      <c r="D457" s="5"/>
      <c r="E457" s="5"/>
      <c r="F457" s="5"/>
      <c r="G457" s="217"/>
      <c r="H457" s="198"/>
      <c r="I457" s="198"/>
      <c r="J457" s="888"/>
      <c r="K457" s="217"/>
      <c r="L457" s="306"/>
      <c r="M457" s="306"/>
      <c r="N457" s="306"/>
      <c r="O457" s="306"/>
      <c r="P457" s="306"/>
      <c r="Q457" s="215"/>
      <c r="R457" s="5"/>
      <c r="S457" s="5"/>
      <c r="T457" s="5"/>
      <c r="U457" s="5"/>
      <c r="V457" s="5"/>
      <c r="W457" s="5"/>
      <c r="X457" s="5"/>
      <c r="Y457" s="5"/>
      <c r="Z457" s="5"/>
      <c r="AA457" s="5"/>
      <c r="AB457" s="5"/>
      <c r="AC457" s="5"/>
      <c r="AD457" s="5"/>
      <c r="AE457" s="5"/>
      <c r="AF457" s="5"/>
      <c r="AG457" s="5"/>
    </row>
    <row r="458" spans="3:33" ht="12.75" customHeight="1">
      <c r="C458" s="5"/>
      <c r="D458" s="5"/>
      <c r="E458" s="5"/>
      <c r="F458" s="5"/>
      <c r="G458" s="217"/>
      <c r="H458" s="198"/>
      <c r="I458" s="198"/>
      <c r="J458" s="888"/>
      <c r="K458" s="217"/>
      <c r="L458" s="306"/>
      <c r="M458" s="306"/>
      <c r="N458" s="306"/>
      <c r="O458" s="306"/>
      <c r="P458" s="306"/>
      <c r="Q458" s="215"/>
      <c r="R458" s="5"/>
      <c r="S458" s="5"/>
      <c r="T458" s="5"/>
      <c r="U458" s="5"/>
      <c r="V458" s="5"/>
      <c r="W458" s="5"/>
      <c r="X458" s="5"/>
      <c r="Y458" s="5"/>
      <c r="Z458" s="5"/>
      <c r="AA458" s="5"/>
      <c r="AB458" s="5"/>
      <c r="AC458" s="5"/>
      <c r="AD458" s="5"/>
      <c r="AE458" s="5"/>
      <c r="AF458" s="5"/>
      <c r="AG458" s="5"/>
    </row>
    <row r="459" spans="3:33" ht="12.75" customHeight="1">
      <c r="C459" s="5"/>
      <c r="D459" s="5"/>
      <c r="E459" s="5"/>
      <c r="F459" s="5"/>
      <c r="G459" s="217"/>
      <c r="H459" s="198"/>
      <c r="I459" s="198"/>
      <c r="J459" s="888"/>
      <c r="K459" s="217"/>
      <c r="L459" s="306"/>
      <c r="M459" s="306"/>
      <c r="N459" s="306"/>
      <c r="O459" s="306"/>
      <c r="P459" s="306"/>
      <c r="Q459" s="215"/>
      <c r="R459" s="5"/>
      <c r="S459" s="5"/>
      <c r="T459" s="5"/>
      <c r="U459" s="5"/>
      <c r="V459" s="5"/>
      <c r="W459" s="5"/>
      <c r="X459" s="5"/>
      <c r="Y459" s="5"/>
      <c r="Z459" s="5"/>
      <c r="AA459" s="5"/>
      <c r="AB459" s="5"/>
      <c r="AC459" s="5"/>
      <c r="AD459" s="5"/>
      <c r="AE459" s="5"/>
      <c r="AF459" s="5"/>
      <c r="AG459" s="5"/>
    </row>
    <row r="460" spans="3:33" ht="12.75" customHeight="1">
      <c r="C460" s="5"/>
      <c r="D460" s="5"/>
      <c r="E460" s="5"/>
      <c r="F460" s="5"/>
      <c r="G460" s="217"/>
      <c r="H460" s="198"/>
      <c r="I460" s="198"/>
      <c r="J460" s="888"/>
      <c r="K460" s="217"/>
      <c r="L460" s="306"/>
      <c r="M460" s="306"/>
      <c r="N460" s="306"/>
      <c r="O460" s="306"/>
      <c r="P460" s="306"/>
      <c r="Q460" s="215"/>
      <c r="R460" s="5"/>
      <c r="S460" s="5"/>
      <c r="T460" s="5"/>
      <c r="U460" s="5"/>
      <c r="V460" s="5"/>
      <c r="W460" s="5"/>
      <c r="X460" s="5"/>
      <c r="Y460" s="5"/>
      <c r="Z460" s="5"/>
      <c r="AA460" s="5"/>
      <c r="AB460" s="5"/>
      <c r="AC460" s="5"/>
      <c r="AD460" s="5"/>
      <c r="AE460" s="5"/>
      <c r="AF460" s="5"/>
      <c r="AG460" s="5"/>
    </row>
    <row r="461" spans="3:33" ht="12.75" customHeight="1">
      <c r="C461" s="5"/>
      <c r="D461" s="5"/>
      <c r="E461" s="5"/>
      <c r="F461" s="5"/>
      <c r="G461" s="217"/>
      <c r="H461" s="198"/>
      <c r="I461" s="198"/>
      <c r="J461" s="888"/>
      <c r="K461" s="217"/>
      <c r="L461" s="306"/>
      <c r="M461" s="306"/>
      <c r="N461" s="306"/>
      <c r="O461" s="306"/>
      <c r="P461" s="306"/>
      <c r="Q461" s="215"/>
      <c r="R461" s="5"/>
      <c r="S461" s="5"/>
      <c r="T461" s="5"/>
      <c r="U461" s="5"/>
      <c r="V461" s="5"/>
      <c r="W461" s="5"/>
      <c r="X461" s="5"/>
      <c r="Y461" s="5"/>
      <c r="Z461" s="5"/>
      <c r="AA461" s="5"/>
      <c r="AB461" s="5"/>
      <c r="AC461" s="5"/>
      <c r="AD461" s="5"/>
      <c r="AE461" s="5"/>
      <c r="AF461" s="5"/>
      <c r="AG461" s="5"/>
    </row>
    <row r="462" spans="3:33" ht="12.75" customHeight="1">
      <c r="C462" s="5"/>
      <c r="D462" s="5"/>
      <c r="E462" s="5"/>
      <c r="F462" s="5"/>
      <c r="G462" s="217"/>
      <c r="H462" s="198"/>
      <c r="I462" s="198"/>
      <c r="J462" s="888"/>
      <c r="K462" s="217"/>
      <c r="L462" s="306"/>
      <c r="M462" s="306"/>
      <c r="N462" s="306"/>
      <c r="O462" s="306"/>
      <c r="P462" s="306"/>
      <c r="Q462" s="215"/>
      <c r="R462" s="5"/>
      <c r="S462" s="5"/>
      <c r="T462" s="5"/>
      <c r="U462" s="5"/>
      <c r="V462" s="5"/>
      <c r="W462" s="5"/>
      <c r="X462" s="5"/>
      <c r="Y462" s="5"/>
      <c r="Z462" s="5"/>
      <c r="AA462" s="5"/>
      <c r="AB462" s="5"/>
      <c r="AC462" s="5"/>
      <c r="AD462" s="5"/>
      <c r="AE462" s="5"/>
      <c r="AF462" s="5"/>
      <c r="AG462" s="5"/>
    </row>
    <row r="463" spans="3:33" ht="12.75" customHeight="1">
      <c r="C463" s="5"/>
      <c r="D463" s="5"/>
      <c r="E463" s="5"/>
      <c r="F463" s="5"/>
      <c r="G463" s="217"/>
      <c r="H463" s="198"/>
      <c r="I463" s="198"/>
      <c r="J463" s="888"/>
      <c r="K463" s="217"/>
      <c r="L463" s="306"/>
      <c r="M463" s="306"/>
      <c r="N463" s="306"/>
      <c r="O463" s="306"/>
      <c r="P463" s="306"/>
      <c r="Q463" s="215"/>
      <c r="R463" s="5"/>
      <c r="S463" s="5"/>
      <c r="T463" s="5"/>
      <c r="U463" s="5"/>
      <c r="V463" s="5"/>
      <c r="W463" s="5"/>
      <c r="X463" s="5"/>
      <c r="Y463" s="5"/>
      <c r="Z463" s="5"/>
      <c r="AA463" s="5"/>
      <c r="AB463" s="5"/>
      <c r="AC463" s="5"/>
      <c r="AD463" s="5"/>
      <c r="AE463" s="5"/>
      <c r="AF463" s="5"/>
      <c r="AG463" s="5"/>
    </row>
    <row r="464" spans="3:33" ht="12.75" customHeight="1">
      <c r="C464" s="5"/>
      <c r="D464" s="5"/>
      <c r="E464" s="5"/>
      <c r="F464" s="5"/>
      <c r="G464" s="217"/>
      <c r="H464" s="198"/>
      <c r="I464" s="198"/>
      <c r="J464" s="888"/>
      <c r="K464" s="217"/>
      <c r="L464" s="306"/>
      <c r="M464" s="306"/>
      <c r="N464" s="306"/>
      <c r="O464" s="306"/>
      <c r="P464" s="306"/>
      <c r="Q464" s="215"/>
      <c r="R464" s="5"/>
      <c r="S464" s="5"/>
      <c r="T464" s="5"/>
      <c r="U464" s="5"/>
      <c r="V464" s="5"/>
      <c r="W464" s="5"/>
      <c r="X464" s="5"/>
      <c r="Y464" s="5"/>
      <c r="Z464" s="5"/>
      <c r="AA464" s="5"/>
      <c r="AB464" s="5"/>
      <c r="AC464" s="5"/>
      <c r="AD464" s="5"/>
      <c r="AE464" s="5"/>
      <c r="AF464" s="5"/>
      <c r="AG464" s="5"/>
    </row>
    <row r="465" spans="3:33" ht="12.75" customHeight="1">
      <c r="C465" s="5"/>
      <c r="D465" s="5"/>
      <c r="E465" s="5"/>
      <c r="F465" s="5"/>
      <c r="G465" s="217"/>
      <c r="H465" s="198"/>
      <c r="I465" s="198"/>
      <c r="J465" s="888"/>
      <c r="K465" s="217"/>
      <c r="L465" s="306"/>
      <c r="M465" s="306"/>
      <c r="N465" s="306"/>
      <c r="O465" s="306"/>
      <c r="P465" s="306"/>
      <c r="Q465" s="215"/>
      <c r="R465" s="5"/>
      <c r="S465" s="5"/>
      <c r="T465" s="5"/>
      <c r="U465" s="5"/>
      <c r="V465" s="5"/>
      <c r="W465" s="5"/>
      <c r="X465" s="5"/>
      <c r="Y465" s="5"/>
      <c r="Z465" s="5"/>
      <c r="AA465" s="5"/>
      <c r="AB465" s="5"/>
      <c r="AC465" s="5"/>
      <c r="AD465" s="5"/>
      <c r="AE465" s="5"/>
      <c r="AF465" s="5"/>
      <c r="AG465" s="5"/>
    </row>
    <row r="466" spans="3:33" ht="12.75" customHeight="1">
      <c r="C466" s="5"/>
      <c r="D466" s="5"/>
      <c r="E466" s="5"/>
      <c r="F466" s="5"/>
      <c r="G466" s="217"/>
      <c r="H466" s="198"/>
      <c r="I466" s="198"/>
      <c r="J466" s="888"/>
      <c r="K466" s="217"/>
      <c r="L466" s="306"/>
      <c r="M466" s="306"/>
      <c r="N466" s="306"/>
      <c r="O466" s="306"/>
      <c r="P466" s="306"/>
      <c r="Q466" s="215"/>
      <c r="R466" s="5"/>
      <c r="S466" s="5"/>
      <c r="T466" s="5"/>
      <c r="U466" s="5"/>
      <c r="V466" s="5"/>
      <c r="W466" s="5"/>
      <c r="X466" s="5"/>
      <c r="Y466" s="5"/>
      <c r="Z466" s="5"/>
      <c r="AA466" s="5"/>
      <c r="AB466" s="5"/>
      <c r="AC466" s="5"/>
      <c r="AD466" s="5"/>
      <c r="AE466" s="5"/>
      <c r="AF466" s="5"/>
      <c r="AG466" s="5"/>
    </row>
    <row r="467" spans="3:33" ht="12.75" customHeight="1">
      <c r="C467" s="5"/>
      <c r="D467" s="5"/>
      <c r="E467" s="5"/>
      <c r="F467" s="5"/>
      <c r="G467" s="217"/>
      <c r="H467" s="198"/>
      <c r="I467" s="198"/>
      <c r="J467" s="888"/>
      <c r="K467" s="217"/>
      <c r="L467" s="306"/>
      <c r="M467" s="306"/>
      <c r="N467" s="306"/>
      <c r="O467" s="306"/>
      <c r="P467" s="306"/>
      <c r="Q467" s="215"/>
      <c r="R467" s="5"/>
      <c r="S467" s="5"/>
      <c r="T467" s="5"/>
      <c r="U467" s="5"/>
      <c r="V467" s="5"/>
      <c r="W467" s="5"/>
      <c r="X467" s="5"/>
      <c r="Y467" s="5"/>
      <c r="Z467" s="5"/>
      <c r="AA467" s="5"/>
      <c r="AB467" s="5"/>
      <c r="AC467" s="5"/>
      <c r="AD467" s="5"/>
      <c r="AE467" s="5"/>
      <c r="AF467" s="5"/>
      <c r="AG467" s="5"/>
    </row>
    <row r="468" spans="3:33" ht="12.75" customHeight="1">
      <c r="C468" s="5"/>
      <c r="D468" s="5"/>
      <c r="E468" s="5"/>
      <c r="F468" s="5"/>
      <c r="G468" s="217"/>
      <c r="H468" s="198"/>
      <c r="I468" s="198"/>
      <c r="J468" s="888"/>
      <c r="K468" s="217"/>
      <c r="L468" s="306"/>
      <c r="M468" s="306"/>
      <c r="N468" s="306"/>
      <c r="O468" s="306"/>
      <c r="P468" s="306"/>
      <c r="Q468" s="215"/>
      <c r="R468" s="5"/>
      <c r="S468" s="5"/>
      <c r="T468" s="5"/>
      <c r="U468" s="5"/>
      <c r="V468" s="5"/>
      <c r="W468" s="5"/>
      <c r="X468" s="5"/>
      <c r="Y468" s="5"/>
      <c r="Z468" s="5"/>
      <c r="AA468" s="5"/>
      <c r="AB468" s="5"/>
      <c r="AC468" s="5"/>
      <c r="AD468" s="5"/>
      <c r="AE468" s="5"/>
      <c r="AF468" s="5"/>
      <c r="AG468" s="5"/>
    </row>
    <row r="469" spans="3:33" ht="12.75" customHeight="1">
      <c r="C469" s="5"/>
      <c r="D469" s="5"/>
      <c r="E469" s="5"/>
      <c r="F469" s="5"/>
      <c r="G469" s="217"/>
      <c r="H469" s="198"/>
      <c r="I469" s="198"/>
      <c r="J469" s="888"/>
      <c r="K469" s="217"/>
      <c r="L469" s="306"/>
      <c r="M469" s="306"/>
      <c r="N469" s="306"/>
      <c r="O469" s="306"/>
      <c r="P469" s="306"/>
      <c r="Q469" s="215"/>
      <c r="R469" s="5"/>
      <c r="S469" s="5"/>
      <c r="T469" s="5"/>
      <c r="U469" s="5"/>
      <c r="V469" s="5"/>
      <c r="W469" s="5"/>
      <c r="X469" s="5"/>
      <c r="Y469" s="5"/>
      <c r="Z469" s="5"/>
      <c r="AA469" s="5"/>
      <c r="AB469" s="5"/>
      <c r="AC469" s="5"/>
      <c r="AD469" s="5"/>
      <c r="AE469" s="5"/>
      <c r="AF469" s="5"/>
      <c r="AG469" s="5"/>
    </row>
    <row r="470" spans="3:33" ht="12.75" customHeight="1">
      <c r="C470" s="5"/>
      <c r="D470" s="5"/>
      <c r="E470" s="5"/>
      <c r="F470" s="5"/>
      <c r="G470" s="217"/>
      <c r="H470" s="198"/>
      <c r="I470" s="198"/>
      <c r="J470" s="888"/>
      <c r="K470" s="217"/>
      <c r="L470" s="306"/>
      <c r="M470" s="306"/>
      <c r="N470" s="306"/>
      <c r="O470" s="306"/>
      <c r="P470" s="306"/>
      <c r="Q470" s="215"/>
      <c r="R470" s="5"/>
      <c r="S470" s="5"/>
      <c r="T470" s="5"/>
      <c r="U470" s="5"/>
      <c r="V470" s="5"/>
      <c r="W470" s="5"/>
      <c r="X470" s="5"/>
      <c r="Y470" s="5"/>
      <c r="Z470" s="5"/>
      <c r="AA470" s="5"/>
      <c r="AB470" s="5"/>
      <c r="AC470" s="5"/>
      <c r="AD470" s="5"/>
      <c r="AE470" s="5"/>
      <c r="AF470" s="5"/>
      <c r="AG470" s="5"/>
    </row>
    <row r="471" spans="3:33" ht="12.75" customHeight="1">
      <c r="C471" s="5"/>
      <c r="D471" s="5"/>
      <c r="E471" s="5"/>
      <c r="F471" s="5"/>
      <c r="G471" s="217"/>
      <c r="H471" s="198"/>
      <c r="I471" s="198"/>
      <c r="J471" s="888"/>
      <c r="K471" s="217"/>
      <c r="L471" s="306"/>
      <c r="M471" s="306"/>
      <c r="N471" s="306"/>
      <c r="O471" s="306"/>
      <c r="P471" s="306"/>
      <c r="Q471" s="215"/>
      <c r="R471" s="5"/>
      <c r="S471" s="5"/>
      <c r="T471" s="5"/>
      <c r="U471" s="5"/>
      <c r="V471" s="5"/>
      <c r="W471" s="5"/>
      <c r="X471" s="5"/>
      <c r="Y471" s="5"/>
      <c r="Z471" s="5"/>
      <c r="AA471" s="5"/>
      <c r="AB471" s="5"/>
      <c r="AC471" s="5"/>
      <c r="AD471" s="5"/>
      <c r="AE471" s="5"/>
      <c r="AF471" s="5"/>
      <c r="AG471" s="5"/>
    </row>
    <row r="472" spans="3:33" ht="12.75" customHeight="1">
      <c r="C472" s="5"/>
      <c r="D472" s="5"/>
      <c r="E472" s="5"/>
      <c r="F472" s="5"/>
      <c r="G472" s="217"/>
      <c r="H472" s="198"/>
      <c r="I472" s="198"/>
      <c r="J472" s="888"/>
      <c r="K472" s="217"/>
      <c r="L472" s="306"/>
      <c r="M472" s="306"/>
      <c r="N472" s="306"/>
      <c r="O472" s="306"/>
      <c r="P472" s="306"/>
      <c r="Q472" s="215"/>
      <c r="R472" s="5"/>
      <c r="S472" s="5"/>
      <c r="T472" s="5"/>
      <c r="U472" s="5"/>
      <c r="V472" s="5"/>
      <c r="W472" s="5"/>
      <c r="X472" s="5"/>
      <c r="Y472" s="5"/>
      <c r="Z472" s="5"/>
      <c r="AA472" s="5"/>
      <c r="AB472" s="5"/>
      <c r="AC472" s="5"/>
      <c r="AD472" s="5"/>
      <c r="AE472" s="5"/>
      <c r="AF472" s="5"/>
      <c r="AG472" s="5"/>
    </row>
    <row r="473" spans="3:33" ht="12.75" customHeight="1">
      <c r="C473" s="5"/>
      <c r="D473" s="5"/>
      <c r="E473" s="5"/>
      <c r="F473" s="5"/>
      <c r="G473" s="217"/>
      <c r="H473" s="198"/>
      <c r="I473" s="198"/>
      <c r="J473" s="888"/>
      <c r="K473" s="217"/>
      <c r="L473" s="306"/>
      <c r="M473" s="306"/>
      <c r="N473" s="306"/>
      <c r="O473" s="306"/>
      <c r="P473" s="306"/>
      <c r="Q473" s="215"/>
      <c r="R473" s="5"/>
      <c r="S473" s="5"/>
      <c r="T473" s="5"/>
      <c r="U473" s="5"/>
      <c r="V473" s="5"/>
      <c r="W473" s="5"/>
      <c r="X473" s="5"/>
      <c r="Y473" s="5"/>
      <c r="Z473" s="5"/>
      <c r="AA473" s="5"/>
      <c r="AB473" s="5"/>
      <c r="AC473" s="5"/>
      <c r="AD473" s="5"/>
      <c r="AE473" s="5"/>
      <c r="AF473" s="5"/>
      <c r="AG473" s="5"/>
    </row>
    <row r="474" spans="3:33" ht="12.75" customHeight="1">
      <c r="C474" s="5"/>
      <c r="D474" s="5"/>
      <c r="E474" s="5"/>
      <c r="F474" s="5"/>
      <c r="G474" s="217"/>
      <c r="H474" s="198"/>
      <c r="I474" s="198"/>
      <c r="J474" s="888"/>
      <c r="K474" s="217"/>
      <c r="L474" s="306"/>
      <c r="M474" s="306"/>
      <c r="N474" s="306"/>
      <c r="O474" s="306"/>
      <c r="P474" s="306"/>
      <c r="Q474" s="215"/>
      <c r="R474" s="5"/>
      <c r="S474" s="5"/>
      <c r="T474" s="5"/>
      <c r="U474" s="5"/>
      <c r="V474" s="5"/>
      <c r="W474" s="5"/>
      <c r="X474" s="5"/>
      <c r="Y474" s="5"/>
      <c r="Z474" s="5"/>
      <c r="AA474" s="5"/>
      <c r="AB474" s="5"/>
      <c r="AC474" s="5"/>
      <c r="AD474" s="5"/>
      <c r="AE474" s="5"/>
      <c r="AF474" s="5"/>
      <c r="AG474" s="5"/>
    </row>
    <row r="475" spans="3:33" ht="12.75" customHeight="1">
      <c r="C475" s="5"/>
      <c r="D475" s="5"/>
      <c r="E475" s="5"/>
      <c r="F475" s="5"/>
      <c r="G475" s="217"/>
      <c r="H475" s="198"/>
      <c r="I475" s="198"/>
      <c r="J475" s="888"/>
      <c r="K475" s="217"/>
      <c r="L475" s="306"/>
      <c r="M475" s="306"/>
      <c r="N475" s="306"/>
      <c r="O475" s="306"/>
      <c r="P475" s="306"/>
      <c r="Q475" s="215"/>
      <c r="R475" s="5"/>
      <c r="S475" s="5"/>
      <c r="T475" s="5"/>
      <c r="U475" s="5"/>
      <c r="V475" s="5"/>
      <c r="W475" s="5"/>
      <c r="X475" s="5"/>
      <c r="Y475" s="5"/>
      <c r="Z475" s="5"/>
      <c r="AA475" s="5"/>
      <c r="AB475" s="5"/>
      <c r="AC475" s="5"/>
      <c r="AD475" s="5"/>
      <c r="AE475" s="5"/>
      <c r="AF475" s="5"/>
      <c r="AG475" s="5"/>
    </row>
    <row r="476" spans="3:33" ht="12.75" customHeight="1">
      <c r="C476" s="5"/>
      <c r="D476" s="5"/>
      <c r="E476" s="5"/>
      <c r="F476" s="5"/>
      <c r="G476" s="217"/>
      <c r="H476" s="198"/>
      <c r="I476" s="198"/>
      <c r="J476" s="888"/>
      <c r="K476" s="217"/>
      <c r="L476" s="306"/>
      <c r="M476" s="306"/>
      <c r="N476" s="306"/>
      <c r="O476" s="306"/>
      <c r="P476" s="306"/>
      <c r="Q476" s="215"/>
      <c r="R476" s="5"/>
      <c r="S476" s="5"/>
      <c r="T476" s="5"/>
      <c r="U476" s="5"/>
      <c r="V476" s="5"/>
      <c r="W476" s="5"/>
      <c r="X476" s="5"/>
      <c r="Y476" s="5"/>
      <c r="Z476" s="5"/>
      <c r="AA476" s="5"/>
      <c r="AB476" s="5"/>
      <c r="AC476" s="5"/>
      <c r="AD476" s="5"/>
      <c r="AE476" s="5"/>
      <c r="AF476" s="5"/>
      <c r="AG476" s="5"/>
    </row>
    <row r="477" spans="3:33" ht="12.75" customHeight="1">
      <c r="C477" s="5"/>
      <c r="D477" s="5"/>
      <c r="E477" s="5"/>
      <c r="F477" s="5"/>
      <c r="G477" s="217"/>
      <c r="H477" s="198"/>
      <c r="I477" s="198"/>
      <c r="J477" s="888"/>
      <c r="K477" s="217"/>
      <c r="L477" s="306"/>
      <c r="M477" s="306"/>
      <c r="N477" s="306"/>
      <c r="O477" s="306"/>
      <c r="P477" s="306"/>
      <c r="Q477" s="215"/>
      <c r="R477" s="5"/>
      <c r="S477" s="5"/>
      <c r="T477" s="5"/>
      <c r="U477" s="5"/>
      <c r="V477" s="5"/>
      <c r="W477" s="5"/>
      <c r="X477" s="5"/>
      <c r="Y477" s="5"/>
      <c r="Z477" s="5"/>
      <c r="AA477" s="5"/>
      <c r="AB477" s="5"/>
      <c r="AC477" s="5"/>
      <c r="AD477" s="5"/>
      <c r="AE477" s="5"/>
      <c r="AF477" s="5"/>
      <c r="AG477" s="5"/>
    </row>
    <row r="478" spans="3:33" ht="12.75" customHeight="1">
      <c r="C478" s="5"/>
      <c r="D478" s="5"/>
      <c r="E478" s="5"/>
      <c r="F478" s="5"/>
      <c r="G478" s="217"/>
      <c r="H478" s="198"/>
      <c r="I478" s="198"/>
      <c r="J478" s="888"/>
      <c r="K478" s="217"/>
      <c r="L478" s="306"/>
      <c r="M478" s="306"/>
      <c r="N478" s="306"/>
      <c r="O478" s="306"/>
      <c r="P478" s="306"/>
      <c r="Q478" s="215"/>
      <c r="R478" s="5"/>
      <c r="S478" s="5"/>
      <c r="T478" s="5"/>
      <c r="U478" s="5"/>
      <c r="V478" s="5"/>
      <c r="W478" s="5"/>
      <c r="X478" s="5"/>
      <c r="Y478" s="5"/>
      <c r="Z478" s="5"/>
      <c r="AA478" s="5"/>
      <c r="AB478" s="5"/>
      <c r="AC478" s="5"/>
      <c r="AD478" s="5"/>
      <c r="AE478" s="5"/>
      <c r="AF478" s="5"/>
      <c r="AG478" s="5"/>
    </row>
    <row r="479" spans="3:33" ht="12.75" customHeight="1">
      <c r="C479" s="5"/>
      <c r="D479" s="5"/>
      <c r="E479" s="5"/>
      <c r="F479" s="5"/>
      <c r="G479" s="217"/>
      <c r="H479" s="198"/>
      <c r="I479" s="198"/>
      <c r="J479" s="888"/>
      <c r="K479" s="217"/>
      <c r="L479" s="306"/>
      <c r="M479" s="306"/>
      <c r="N479" s="306"/>
      <c r="O479" s="306"/>
      <c r="P479" s="306"/>
      <c r="Q479" s="215"/>
      <c r="R479" s="5"/>
      <c r="S479" s="5"/>
      <c r="T479" s="5"/>
      <c r="U479" s="5"/>
      <c r="V479" s="5"/>
      <c r="W479" s="5"/>
      <c r="X479" s="5"/>
      <c r="Y479" s="5"/>
      <c r="Z479" s="5"/>
      <c r="AA479" s="5"/>
      <c r="AB479" s="5"/>
      <c r="AC479" s="5"/>
      <c r="AD479" s="5"/>
      <c r="AE479" s="5"/>
      <c r="AF479" s="5"/>
      <c r="AG479" s="5"/>
    </row>
    <row r="480" spans="3:33" ht="12.75" customHeight="1">
      <c r="C480" s="5"/>
      <c r="D480" s="5"/>
      <c r="E480" s="5"/>
      <c r="F480" s="5"/>
      <c r="G480" s="217"/>
      <c r="H480" s="198"/>
      <c r="I480" s="198"/>
      <c r="J480" s="888"/>
      <c r="K480" s="217"/>
      <c r="L480" s="306"/>
      <c r="M480" s="306"/>
      <c r="N480" s="306"/>
      <c r="O480" s="306"/>
      <c r="P480" s="306"/>
      <c r="Q480" s="215"/>
      <c r="R480" s="5"/>
      <c r="S480" s="5"/>
      <c r="T480" s="5"/>
      <c r="U480" s="5"/>
      <c r="V480" s="5"/>
      <c r="W480" s="5"/>
      <c r="X480" s="5"/>
      <c r="Y480" s="5"/>
      <c r="Z480" s="5"/>
      <c r="AA480" s="5"/>
      <c r="AB480" s="5"/>
      <c r="AC480" s="5"/>
      <c r="AD480" s="5"/>
      <c r="AE480" s="5"/>
      <c r="AF480" s="5"/>
      <c r="AG480" s="5"/>
    </row>
    <row r="481" spans="3:33" ht="12.75" customHeight="1">
      <c r="C481" s="5"/>
      <c r="D481" s="5"/>
      <c r="E481" s="5"/>
      <c r="F481" s="5"/>
      <c r="G481" s="217"/>
      <c r="H481" s="198"/>
      <c r="I481" s="198"/>
      <c r="J481" s="888"/>
      <c r="K481" s="217"/>
      <c r="L481" s="306"/>
      <c r="M481" s="306"/>
      <c r="N481" s="306"/>
      <c r="O481" s="306"/>
      <c r="P481" s="306"/>
      <c r="Q481" s="215"/>
      <c r="R481" s="5"/>
      <c r="S481" s="5"/>
      <c r="T481" s="5"/>
      <c r="U481" s="5"/>
      <c r="V481" s="5"/>
      <c r="W481" s="5"/>
      <c r="X481" s="5"/>
      <c r="Y481" s="5"/>
      <c r="Z481" s="5"/>
      <c r="AA481" s="5"/>
      <c r="AB481" s="5"/>
      <c r="AC481" s="5"/>
      <c r="AD481" s="5"/>
      <c r="AE481" s="5"/>
      <c r="AF481" s="5"/>
      <c r="AG481" s="5"/>
    </row>
    <row r="482" spans="3:33" ht="12.75" customHeight="1">
      <c r="C482" s="5"/>
      <c r="D482" s="5"/>
      <c r="E482" s="5"/>
      <c r="F482" s="5"/>
      <c r="G482" s="217"/>
      <c r="H482" s="198"/>
      <c r="I482" s="198"/>
      <c r="J482" s="888"/>
      <c r="K482" s="217"/>
      <c r="L482" s="306"/>
      <c r="M482" s="306"/>
      <c r="N482" s="306"/>
      <c r="O482" s="306"/>
      <c r="P482" s="306"/>
      <c r="Q482" s="215"/>
      <c r="R482" s="5"/>
      <c r="S482" s="5"/>
      <c r="T482" s="5"/>
      <c r="U482" s="5"/>
      <c r="V482" s="5"/>
      <c r="W482" s="5"/>
      <c r="X482" s="5"/>
      <c r="Y482" s="5"/>
      <c r="Z482" s="5"/>
      <c r="AA482" s="5"/>
      <c r="AB482" s="5"/>
      <c r="AC482" s="5"/>
      <c r="AD482" s="5"/>
      <c r="AE482" s="5"/>
      <c r="AF482" s="5"/>
      <c r="AG482" s="5"/>
    </row>
    <row r="483" spans="3:33" ht="12.75" customHeight="1">
      <c r="C483" s="5"/>
      <c r="D483" s="5"/>
      <c r="E483" s="5"/>
      <c r="F483" s="5"/>
      <c r="G483" s="217"/>
      <c r="H483" s="198"/>
      <c r="I483" s="198"/>
      <c r="J483" s="888"/>
      <c r="K483" s="217"/>
      <c r="L483" s="306"/>
      <c r="M483" s="306"/>
      <c r="N483" s="306"/>
      <c r="O483" s="306"/>
      <c r="P483" s="306"/>
      <c r="Q483" s="215"/>
      <c r="R483" s="5"/>
      <c r="S483" s="5"/>
      <c r="T483" s="5"/>
      <c r="U483" s="5"/>
      <c r="V483" s="5"/>
      <c r="W483" s="5"/>
      <c r="X483" s="5"/>
      <c r="Y483" s="5"/>
      <c r="Z483" s="5"/>
      <c r="AA483" s="5"/>
      <c r="AB483" s="5"/>
      <c r="AC483" s="5"/>
      <c r="AD483" s="5"/>
      <c r="AE483" s="5"/>
      <c r="AF483" s="5"/>
      <c r="AG483" s="5"/>
    </row>
    <row r="484" spans="3:33" ht="12.75" customHeight="1">
      <c r="C484" s="5"/>
      <c r="D484" s="5"/>
      <c r="E484" s="5"/>
      <c r="F484" s="5"/>
      <c r="G484" s="217"/>
      <c r="H484" s="198"/>
      <c r="I484" s="198"/>
      <c r="J484" s="888"/>
      <c r="K484" s="217"/>
      <c r="L484" s="306"/>
      <c r="M484" s="306"/>
      <c r="N484" s="306"/>
      <c r="O484" s="306"/>
      <c r="P484" s="306"/>
      <c r="Q484" s="215"/>
      <c r="R484" s="5"/>
      <c r="S484" s="5"/>
      <c r="T484" s="5"/>
      <c r="U484" s="5"/>
      <c r="V484" s="5"/>
      <c r="W484" s="5"/>
      <c r="X484" s="5"/>
      <c r="Y484" s="5"/>
      <c r="Z484" s="5"/>
      <c r="AA484" s="5"/>
      <c r="AB484" s="5"/>
      <c r="AC484" s="5"/>
      <c r="AD484" s="5"/>
      <c r="AE484" s="5"/>
      <c r="AF484" s="5"/>
      <c r="AG484" s="5"/>
    </row>
    <row r="485" spans="3:33" ht="12.75" customHeight="1">
      <c r="C485" s="5"/>
      <c r="D485" s="5"/>
      <c r="E485" s="5"/>
      <c r="F485" s="5"/>
      <c r="G485" s="217"/>
      <c r="H485" s="198"/>
      <c r="I485" s="198"/>
      <c r="J485" s="888"/>
      <c r="K485" s="217"/>
      <c r="L485" s="306"/>
      <c r="M485" s="306"/>
      <c r="N485" s="306"/>
      <c r="O485" s="306"/>
      <c r="P485" s="306"/>
      <c r="Q485" s="215"/>
      <c r="R485" s="5"/>
      <c r="S485" s="5"/>
      <c r="T485" s="5"/>
      <c r="U485" s="5"/>
      <c r="V485" s="5"/>
      <c r="W485" s="5"/>
      <c r="X485" s="5"/>
      <c r="Y485" s="5"/>
      <c r="Z485" s="5"/>
      <c r="AA485" s="5"/>
      <c r="AB485" s="5"/>
      <c r="AC485" s="5"/>
      <c r="AD485" s="5"/>
      <c r="AE485" s="5"/>
      <c r="AF485" s="5"/>
      <c r="AG485" s="5"/>
    </row>
    <row r="486" spans="3:33" ht="12.75" customHeight="1">
      <c r="C486" s="5"/>
      <c r="D486" s="5"/>
      <c r="E486" s="5"/>
      <c r="F486" s="5"/>
      <c r="G486" s="217"/>
      <c r="H486" s="198"/>
      <c r="I486" s="198"/>
      <c r="J486" s="888"/>
      <c r="K486" s="217"/>
      <c r="L486" s="306"/>
      <c r="M486" s="306"/>
      <c r="N486" s="306"/>
      <c r="O486" s="306"/>
      <c r="P486" s="306"/>
      <c r="Q486" s="215"/>
      <c r="R486" s="5"/>
      <c r="S486" s="5"/>
      <c r="T486" s="5"/>
      <c r="U486" s="5"/>
      <c r="V486" s="5"/>
      <c r="W486" s="5"/>
      <c r="X486" s="5"/>
      <c r="Y486" s="5"/>
      <c r="Z486" s="5"/>
      <c r="AA486" s="5"/>
      <c r="AB486" s="5"/>
      <c r="AC486" s="5"/>
      <c r="AD486" s="5"/>
      <c r="AE486" s="5"/>
      <c r="AF486" s="5"/>
      <c r="AG486" s="5"/>
    </row>
    <row r="487" spans="3:33" ht="12.75" customHeight="1">
      <c r="C487" s="5"/>
      <c r="D487" s="5"/>
      <c r="E487" s="5"/>
      <c r="F487" s="5"/>
      <c r="G487" s="217"/>
      <c r="H487" s="198"/>
      <c r="I487" s="198"/>
      <c r="J487" s="888"/>
      <c r="K487" s="217"/>
      <c r="L487" s="306"/>
      <c r="M487" s="306"/>
      <c r="N487" s="306"/>
      <c r="O487" s="306"/>
      <c r="P487" s="306"/>
      <c r="Q487" s="215"/>
      <c r="R487" s="5"/>
      <c r="S487" s="5"/>
      <c r="T487" s="5"/>
      <c r="U487" s="5"/>
      <c r="V487" s="5"/>
      <c r="W487" s="5"/>
      <c r="X487" s="5"/>
      <c r="Y487" s="5"/>
      <c r="Z487" s="5"/>
      <c r="AA487" s="5"/>
      <c r="AB487" s="5"/>
      <c r="AC487" s="5"/>
      <c r="AD487" s="5"/>
      <c r="AE487" s="5"/>
      <c r="AF487" s="5"/>
      <c r="AG487" s="5"/>
    </row>
    <row r="488" spans="3:33" ht="12.75" customHeight="1">
      <c r="C488" s="5"/>
      <c r="D488" s="5"/>
      <c r="E488" s="5"/>
      <c r="F488" s="5"/>
      <c r="G488" s="217"/>
      <c r="H488" s="198"/>
      <c r="I488" s="198"/>
      <c r="J488" s="888"/>
      <c r="K488" s="217"/>
      <c r="L488" s="306"/>
      <c r="M488" s="306"/>
      <c r="N488" s="306"/>
      <c r="O488" s="306"/>
      <c r="P488" s="306"/>
      <c r="Q488" s="215"/>
      <c r="R488" s="5"/>
      <c r="S488" s="5"/>
      <c r="T488" s="5"/>
      <c r="U488" s="5"/>
      <c r="V488" s="5"/>
      <c r="W488" s="5"/>
      <c r="X488" s="5"/>
      <c r="Y488" s="5"/>
      <c r="Z488" s="5"/>
      <c r="AA488" s="5"/>
      <c r="AB488" s="5"/>
      <c r="AC488" s="5"/>
      <c r="AD488" s="5"/>
      <c r="AE488" s="5"/>
      <c r="AF488" s="5"/>
      <c r="AG488" s="5"/>
    </row>
    <row r="489" spans="3:33" ht="12.75" customHeight="1">
      <c r="C489" s="5"/>
      <c r="D489" s="5"/>
      <c r="E489" s="5"/>
      <c r="F489" s="5"/>
      <c r="G489" s="217"/>
      <c r="H489" s="198"/>
      <c r="I489" s="198"/>
      <c r="J489" s="888"/>
      <c r="K489" s="217"/>
      <c r="L489" s="306"/>
      <c r="M489" s="306"/>
      <c r="N489" s="306"/>
      <c r="O489" s="306"/>
      <c r="P489" s="306"/>
      <c r="Q489" s="215"/>
      <c r="R489" s="5"/>
      <c r="S489" s="5"/>
      <c r="T489" s="5"/>
      <c r="U489" s="5"/>
      <c r="V489" s="5"/>
      <c r="W489" s="5"/>
      <c r="X489" s="5"/>
      <c r="Y489" s="5"/>
      <c r="Z489" s="5"/>
      <c r="AA489" s="5"/>
      <c r="AB489" s="5"/>
      <c r="AC489" s="5"/>
      <c r="AD489" s="5"/>
      <c r="AE489" s="5"/>
      <c r="AF489" s="5"/>
      <c r="AG489" s="5"/>
    </row>
    <row r="490" spans="3:33" ht="12.75" customHeight="1">
      <c r="C490" s="5"/>
      <c r="D490" s="5"/>
      <c r="E490" s="5"/>
      <c r="F490" s="5"/>
      <c r="G490" s="217"/>
      <c r="H490" s="198"/>
      <c r="I490" s="198"/>
      <c r="J490" s="888"/>
      <c r="K490" s="217"/>
      <c r="L490" s="306"/>
      <c r="M490" s="306"/>
      <c r="N490" s="306"/>
      <c r="O490" s="306"/>
      <c r="P490" s="306"/>
      <c r="Q490" s="215"/>
      <c r="R490" s="5"/>
      <c r="S490" s="5"/>
      <c r="T490" s="5"/>
      <c r="U490" s="5"/>
      <c r="V490" s="5"/>
      <c r="W490" s="5"/>
      <c r="X490" s="5"/>
      <c r="Y490" s="5"/>
      <c r="Z490" s="5"/>
      <c r="AA490" s="5"/>
      <c r="AB490" s="5"/>
      <c r="AC490" s="5"/>
      <c r="AD490" s="5"/>
      <c r="AE490" s="5"/>
      <c r="AF490" s="5"/>
      <c r="AG490" s="5"/>
    </row>
    <row r="491" spans="3:33" ht="12.75" customHeight="1">
      <c r="C491" s="5"/>
      <c r="D491" s="5"/>
      <c r="E491" s="5"/>
      <c r="F491" s="5"/>
      <c r="G491" s="217"/>
      <c r="H491" s="198"/>
      <c r="I491" s="198"/>
      <c r="J491" s="888"/>
      <c r="K491" s="217"/>
      <c r="L491" s="306"/>
      <c r="M491" s="306"/>
      <c r="N491" s="306"/>
      <c r="O491" s="306"/>
      <c r="P491" s="306"/>
      <c r="Q491" s="215"/>
      <c r="R491" s="5"/>
      <c r="S491" s="5"/>
      <c r="T491" s="5"/>
      <c r="U491" s="5"/>
      <c r="V491" s="5"/>
      <c r="W491" s="5"/>
      <c r="X491" s="5"/>
      <c r="Y491" s="5"/>
      <c r="Z491" s="5"/>
      <c r="AA491" s="5"/>
      <c r="AB491" s="5"/>
      <c r="AC491" s="5"/>
      <c r="AD491" s="5"/>
      <c r="AE491" s="5"/>
      <c r="AF491" s="5"/>
      <c r="AG491" s="5"/>
    </row>
    <row r="492" spans="3:33" ht="12.75" customHeight="1">
      <c r="C492" s="5"/>
      <c r="D492" s="5"/>
      <c r="E492" s="5"/>
      <c r="F492" s="5"/>
      <c r="G492" s="217"/>
      <c r="H492" s="198"/>
      <c r="I492" s="198"/>
      <c r="J492" s="888"/>
      <c r="K492" s="217"/>
      <c r="L492" s="306"/>
      <c r="M492" s="306"/>
      <c r="N492" s="306"/>
      <c r="O492" s="306"/>
      <c r="P492" s="306"/>
      <c r="Q492" s="215"/>
      <c r="R492" s="5"/>
      <c r="S492" s="5"/>
      <c r="T492" s="5"/>
      <c r="U492" s="5"/>
      <c r="V492" s="5"/>
      <c r="W492" s="5"/>
      <c r="X492" s="5"/>
      <c r="Y492" s="5"/>
      <c r="Z492" s="5"/>
      <c r="AA492" s="5"/>
      <c r="AB492" s="5"/>
      <c r="AC492" s="5"/>
      <c r="AD492" s="5"/>
      <c r="AE492" s="5"/>
      <c r="AF492" s="5"/>
      <c r="AG492" s="5"/>
    </row>
    <row r="493" spans="3:33" ht="12.75" customHeight="1">
      <c r="C493" s="5"/>
      <c r="D493" s="5"/>
      <c r="E493" s="5"/>
      <c r="F493" s="5"/>
      <c r="G493" s="217"/>
      <c r="H493" s="198"/>
      <c r="I493" s="198"/>
      <c r="J493" s="888"/>
      <c r="K493" s="217"/>
      <c r="L493" s="306"/>
      <c r="M493" s="306"/>
      <c r="N493" s="306"/>
      <c r="O493" s="306"/>
      <c r="P493" s="306"/>
      <c r="Q493" s="215"/>
      <c r="R493" s="5"/>
      <c r="S493" s="5"/>
      <c r="T493" s="5"/>
      <c r="U493" s="5"/>
      <c r="V493" s="5"/>
      <c r="W493" s="5"/>
      <c r="X493" s="5"/>
      <c r="Y493" s="5"/>
      <c r="Z493" s="5"/>
      <c r="AA493" s="5"/>
      <c r="AB493" s="5"/>
      <c r="AC493" s="5"/>
      <c r="AD493" s="5"/>
      <c r="AE493" s="5"/>
      <c r="AF493" s="5"/>
      <c r="AG493" s="5"/>
    </row>
    <row r="494" spans="3:33" ht="12.75" customHeight="1">
      <c r="C494" s="5"/>
      <c r="D494" s="5"/>
      <c r="E494" s="5"/>
      <c r="F494" s="5"/>
      <c r="G494" s="217"/>
      <c r="H494" s="198"/>
      <c r="I494" s="198"/>
      <c r="J494" s="888"/>
      <c r="K494" s="217"/>
      <c r="L494" s="306"/>
      <c r="M494" s="306"/>
      <c r="N494" s="306"/>
      <c r="O494" s="306"/>
      <c r="P494" s="306"/>
      <c r="Q494" s="215"/>
      <c r="R494" s="5"/>
      <c r="S494" s="5"/>
      <c r="T494" s="5"/>
      <c r="U494" s="5"/>
      <c r="V494" s="5"/>
      <c r="W494" s="5"/>
      <c r="X494" s="5"/>
      <c r="Y494" s="5"/>
      <c r="Z494" s="5"/>
      <c r="AA494" s="5"/>
      <c r="AB494" s="5"/>
      <c r="AC494" s="5"/>
      <c r="AD494" s="5"/>
      <c r="AE494" s="5"/>
      <c r="AF494" s="5"/>
      <c r="AG494" s="5"/>
    </row>
    <row r="495" spans="3:33" ht="12.75" customHeight="1">
      <c r="C495" s="5"/>
      <c r="D495" s="5"/>
      <c r="E495" s="5"/>
      <c r="F495" s="5"/>
      <c r="G495" s="217"/>
      <c r="H495" s="198"/>
      <c r="I495" s="198"/>
      <c r="J495" s="888"/>
      <c r="K495" s="217"/>
      <c r="L495" s="306"/>
      <c r="M495" s="306"/>
      <c r="N495" s="306"/>
      <c r="O495" s="306"/>
      <c r="P495" s="306"/>
      <c r="Q495" s="215"/>
      <c r="R495" s="5"/>
      <c r="S495" s="5"/>
      <c r="T495" s="5"/>
      <c r="U495" s="5"/>
      <c r="V495" s="5"/>
      <c r="W495" s="5"/>
      <c r="X495" s="5"/>
      <c r="Y495" s="5"/>
      <c r="Z495" s="5"/>
      <c r="AA495" s="5"/>
      <c r="AB495" s="5"/>
      <c r="AC495" s="5"/>
      <c r="AD495" s="5"/>
      <c r="AE495" s="5"/>
      <c r="AF495" s="5"/>
      <c r="AG495" s="5"/>
    </row>
    <row r="496" spans="3:33" ht="12.75" customHeight="1">
      <c r="C496" s="5"/>
      <c r="D496" s="5"/>
      <c r="E496" s="5"/>
      <c r="F496" s="5"/>
      <c r="G496" s="217"/>
      <c r="H496" s="198"/>
      <c r="I496" s="198"/>
      <c r="J496" s="888"/>
      <c r="K496" s="217"/>
      <c r="L496" s="306"/>
      <c r="M496" s="306"/>
      <c r="N496" s="306"/>
      <c r="O496" s="306"/>
      <c r="P496" s="306"/>
      <c r="Q496" s="215"/>
      <c r="R496" s="5"/>
      <c r="S496" s="5"/>
      <c r="T496" s="5"/>
      <c r="U496" s="5"/>
      <c r="V496" s="5"/>
      <c r="W496" s="5"/>
      <c r="X496" s="5"/>
      <c r="Y496" s="5"/>
      <c r="Z496" s="5"/>
      <c r="AA496" s="5"/>
      <c r="AB496" s="5"/>
      <c r="AC496" s="5"/>
      <c r="AD496" s="5"/>
      <c r="AE496" s="5"/>
      <c r="AF496" s="5"/>
      <c r="AG496" s="5"/>
    </row>
    <row r="497" spans="3:33" ht="12.75" customHeight="1">
      <c r="C497" s="5"/>
      <c r="D497" s="5"/>
      <c r="E497" s="5"/>
      <c r="F497" s="5"/>
      <c r="G497" s="217"/>
      <c r="H497" s="198"/>
      <c r="I497" s="198"/>
      <c r="J497" s="888"/>
      <c r="K497" s="217"/>
      <c r="L497" s="306"/>
      <c r="M497" s="306"/>
      <c r="N497" s="306"/>
      <c r="O497" s="306"/>
      <c r="P497" s="306"/>
      <c r="Q497" s="215"/>
      <c r="R497" s="5"/>
      <c r="S497" s="5"/>
      <c r="T497" s="5"/>
      <c r="U497" s="5"/>
      <c r="V497" s="5"/>
      <c r="W497" s="5"/>
      <c r="X497" s="5"/>
      <c r="Y497" s="5"/>
      <c r="Z497" s="5"/>
      <c r="AA497" s="5"/>
      <c r="AB497" s="5"/>
      <c r="AC497" s="5"/>
      <c r="AD497" s="5"/>
      <c r="AE497" s="5"/>
      <c r="AF497" s="5"/>
      <c r="AG497" s="5"/>
    </row>
    <row r="498" spans="3:33" ht="12.75" customHeight="1">
      <c r="C498" s="5"/>
      <c r="D498" s="5"/>
      <c r="E498" s="5"/>
      <c r="F498" s="5"/>
      <c r="G498" s="217"/>
      <c r="H498" s="198"/>
      <c r="I498" s="198"/>
      <c r="J498" s="888"/>
      <c r="K498" s="217"/>
      <c r="L498" s="306"/>
      <c r="M498" s="306"/>
      <c r="N498" s="306"/>
      <c r="O498" s="306"/>
      <c r="P498" s="306"/>
      <c r="Q498" s="215"/>
      <c r="R498" s="5"/>
      <c r="S498" s="5"/>
      <c r="T498" s="5"/>
      <c r="U498" s="5"/>
      <c r="V498" s="5"/>
      <c r="W498" s="5"/>
      <c r="X498" s="5"/>
      <c r="Y498" s="5"/>
      <c r="Z498" s="5"/>
      <c r="AA498" s="5"/>
      <c r="AB498" s="5"/>
      <c r="AC498" s="5"/>
      <c r="AD498" s="5"/>
      <c r="AE498" s="5"/>
      <c r="AF498" s="5"/>
      <c r="AG498" s="5"/>
    </row>
    <row r="499" spans="3:33" ht="12.75" customHeight="1">
      <c r="C499" s="5"/>
      <c r="D499" s="5"/>
      <c r="E499" s="5"/>
      <c r="F499" s="5"/>
      <c r="G499" s="217"/>
      <c r="H499" s="198"/>
      <c r="I499" s="198"/>
      <c r="J499" s="888"/>
      <c r="K499" s="217"/>
      <c r="L499" s="306"/>
      <c r="M499" s="306"/>
      <c r="N499" s="306"/>
      <c r="O499" s="306"/>
      <c r="P499" s="306"/>
      <c r="Q499" s="215"/>
      <c r="R499" s="5"/>
      <c r="S499" s="5"/>
      <c r="T499" s="5"/>
      <c r="U499" s="5"/>
      <c r="V499" s="5"/>
      <c r="W499" s="5"/>
      <c r="X499" s="5"/>
      <c r="Y499" s="5"/>
      <c r="Z499" s="5"/>
      <c r="AA499" s="5"/>
      <c r="AB499" s="5"/>
      <c r="AC499" s="5"/>
      <c r="AD499" s="5"/>
      <c r="AE499" s="5"/>
      <c r="AF499" s="5"/>
      <c r="AG499" s="5"/>
    </row>
    <row r="500" spans="3:33" ht="12.75" customHeight="1">
      <c r="C500" s="5"/>
      <c r="D500" s="5"/>
      <c r="E500" s="5"/>
      <c r="F500" s="5"/>
      <c r="G500" s="217"/>
      <c r="H500" s="198"/>
      <c r="I500" s="198"/>
      <c r="J500" s="888"/>
      <c r="K500" s="217"/>
      <c r="L500" s="306"/>
      <c r="M500" s="306"/>
      <c r="N500" s="306"/>
      <c r="O500" s="306"/>
      <c r="P500" s="306"/>
      <c r="Q500" s="215"/>
      <c r="R500" s="5"/>
      <c r="S500" s="5"/>
      <c r="T500" s="5"/>
      <c r="U500" s="5"/>
      <c r="V500" s="5"/>
      <c r="W500" s="5"/>
      <c r="X500" s="5"/>
      <c r="Y500" s="5"/>
      <c r="Z500" s="5"/>
      <c r="AA500" s="5"/>
      <c r="AB500" s="5"/>
      <c r="AC500" s="5"/>
      <c r="AD500" s="5"/>
      <c r="AE500" s="5"/>
      <c r="AF500" s="5"/>
      <c r="AG500" s="5"/>
    </row>
    <row r="501" spans="3:33" ht="12.75" customHeight="1">
      <c r="C501" s="5"/>
      <c r="D501" s="5"/>
      <c r="E501" s="5"/>
      <c r="F501" s="5"/>
      <c r="G501" s="217"/>
      <c r="H501" s="198"/>
      <c r="I501" s="198"/>
      <c r="J501" s="888"/>
      <c r="K501" s="217"/>
      <c r="L501" s="306"/>
      <c r="M501" s="306"/>
      <c r="N501" s="306"/>
      <c r="O501" s="306"/>
      <c r="P501" s="306"/>
      <c r="Q501" s="215"/>
      <c r="R501" s="5"/>
      <c r="S501" s="5"/>
      <c r="T501" s="5"/>
      <c r="U501" s="5"/>
      <c r="V501" s="5"/>
      <c r="W501" s="5"/>
      <c r="X501" s="5"/>
      <c r="Y501" s="5"/>
      <c r="Z501" s="5"/>
      <c r="AA501" s="5"/>
      <c r="AB501" s="5"/>
      <c r="AC501" s="5"/>
      <c r="AD501" s="5"/>
      <c r="AE501" s="5"/>
      <c r="AF501" s="5"/>
      <c r="AG501" s="5"/>
    </row>
    <row r="502" spans="3:33" ht="12.75" customHeight="1">
      <c r="C502" s="5"/>
      <c r="D502" s="5"/>
      <c r="E502" s="5"/>
      <c r="F502" s="5"/>
      <c r="G502" s="217"/>
      <c r="H502" s="198"/>
      <c r="I502" s="198"/>
      <c r="J502" s="888"/>
      <c r="K502" s="217"/>
      <c r="L502" s="306"/>
      <c r="M502" s="306"/>
      <c r="N502" s="306"/>
      <c r="O502" s="306"/>
      <c r="P502" s="306"/>
      <c r="Q502" s="215"/>
      <c r="R502" s="5"/>
      <c r="S502" s="5"/>
      <c r="T502" s="5"/>
      <c r="U502" s="5"/>
      <c r="V502" s="5"/>
      <c r="W502" s="5"/>
      <c r="X502" s="5"/>
      <c r="Y502" s="5"/>
      <c r="Z502" s="5"/>
      <c r="AA502" s="5"/>
      <c r="AB502" s="5"/>
      <c r="AC502" s="5"/>
      <c r="AD502" s="5"/>
      <c r="AE502" s="5"/>
      <c r="AF502" s="5"/>
      <c r="AG502" s="5"/>
    </row>
    <row r="503" spans="3:33" ht="12.75" customHeight="1">
      <c r="C503" s="5"/>
      <c r="D503" s="5"/>
      <c r="E503" s="5"/>
      <c r="F503" s="5"/>
      <c r="G503" s="217"/>
      <c r="H503" s="198"/>
      <c r="I503" s="198"/>
      <c r="J503" s="888"/>
      <c r="K503" s="217"/>
      <c r="L503" s="306"/>
      <c r="M503" s="306"/>
      <c r="N503" s="306"/>
      <c r="O503" s="306"/>
      <c r="P503" s="306"/>
      <c r="Q503" s="215"/>
      <c r="R503" s="5"/>
      <c r="S503" s="5"/>
      <c r="T503" s="5"/>
      <c r="U503" s="5"/>
      <c r="V503" s="5"/>
      <c r="W503" s="5"/>
      <c r="X503" s="5"/>
      <c r="Y503" s="5"/>
      <c r="Z503" s="5"/>
      <c r="AA503" s="5"/>
      <c r="AB503" s="5"/>
      <c r="AC503" s="5"/>
      <c r="AD503" s="5"/>
      <c r="AE503" s="5"/>
      <c r="AF503" s="5"/>
      <c r="AG503" s="5"/>
    </row>
    <row r="504" spans="3:33" ht="12.75" customHeight="1">
      <c r="C504" s="5"/>
      <c r="D504" s="5"/>
      <c r="E504" s="5"/>
      <c r="F504" s="5"/>
      <c r="G504" s="217"/>
      <c r="H504" s="198"/>
      <c r="I504" s="198"/>
      <c r="J504" s="888"/>
      <c r="K504" s="217"/>
      <c r="L504" s="306"/>
      <c r="M504" s="306"/>
      <c r="N504" s="306"/>
      <c r="O504" s="306"/>
      <c r="P504" s="306"/>
      <c r="Q504" s="215"/>
      <c r="R504" s="5"/>
      <c r="S504" s="5"/>
      <c r="T504" s="5"/>
      <c r="U504" s="5"/>
      <c r="V504" s="5"/>
      <c r="W504" s="5"/>
      <c r="X504" s="5"/>
      <c r="Y504" s="5"/>
      <c r="Z504" s="5"/>
      <c r="AA504" s="5"/>
      <c r="AB504" s="5"/>
      <c r="AC504" s="5"/>
      <c r="AD504" s="5"/>
      <c r="AE504" s="5"/>
      <c r="AF504" s="5"/>
      <c r="AG504" s="5"/>
    </row>
    <row r="505" spans="3:33" ht="12.75" customHeight="1">
      <c r="C505" s="5"/>
      <c r="D505" s="5"/>
      <c r="E505" s="5"/>
      <c r="F505" s="5"/>
      <c r="G505" s="217"/>
      <c r="H505" s="198"/>
      <c r="I505" s="198"/>
      <c r="J505" s="888"/>
      <c r="K505" s="217"/>
      <c r="L505" s="306"/>
      <c r="M505" s="306"/>
      <c r="N505" s="306"/>
      <c r="O505" s="306"/>
      <c r="P505" s="306"/>
      <c r="Q505" s="215"/>
      <c r="R505" s="5"/>
      <c r="S505" s="5"/>
      <c r="T505" s="5"/>
      <c r="U505" s="5"/>
      <c r="V505" s="5"/>
      <c r="W505" s="5"/>
      <c r="X505" s="5"/>
      <c r="Y505" s="5"/>
      <c r="Z505" s="5"/>
      <c r="AA505" s="5"/>
      <c r="AB505" s="5"/>
      <c r="AC505" s="5"/>
      <c r="AD505" s="5"/>
      <c r="AE505" s="5"/>
      <c r="AF505" s="5"/>
      <c r="AG505" s="5"/>
    </row>
    <row r="506" spans="3:33" ht="12.75" customHeight="1">
      <c r="C506" s="5"/>
      <c r="D506" s="5"/>
      <c r="E506" s="5"/>
      <c r="F506" s="5"/>
      <c r="G506" s="217"/>
      <c r="H506" s="198"/>
      <c r="I506" s="198"/>
      <c r="J506" s="888"/>
      <c r="K506" s="217"/>
      <c r="L506" s="306"/>
      <c r="M506" s="306"/>
      <c r="N506" s="306"/>
      <c r="O506" s="306"/>
      <c r="P506" s="306"/>
      <c r="Q506" s="215"/>
      <c r="R506" s="5"/>
      <c r="S506" s="5"/>
      <c r="T506" s="5"/>
      <c r="U506" s="5"/>
      <c r="V506" s="5"/>
      <c r="W506" s="5"/>
      <c r="X506" s="5"/>
      <c r="Y506" s="5"/>
      <c r="Z506" s="5"/>
      <c r="AA506" s="5"/>
      <c r="AB506" s="5"/>
      <c r="AC506" s="5"/>
      <c r="AD506" s="5"/>
      <c r="AE506" s="5"/>
      <c r="AF506" s="5"/>
      <c r="AG506" s="5"/>
    </row>
    <row r="507" spans="3:33" ht="12.75" customHeight="1">
      <c r="C507" s="5"/>
      <c r="D507" s="5"/>
      <c r="E507" s="5"/>
      <c r="F507" s="5"/>
      <c r="G507" s="217"/>
      <c r="H507" s="198"/>
      <c r="I507" s="198"/>
      <c r="J507" s="888"/>
      <c r="K507" s="217"/>
      <c r="L507" s="306"/>
      <c r="M507" s="306"/>
      <c r="N507" s="306"/>
      <c r="O507" s="306"/>
      <c r="P507" s="306"/>
      <c r="Q507" s="215"/>
      <c r="R507" s="5"/>
      <c r="S507" s="5"/>
      <c r="T507" s="5"/>
      <c r="U507" s="5"/>
      <c r="V507" s="5"/>
      <c r="W507" s="5"/>
      <c r="X507" s="5"/>
      <c r="Y507" s="5"/>
      <c r="Z507" s="5"/>
      <c r="AA507" s="5"/>
      <c r="AB507" s="5"/>
      <c r="AC507" s="5"/>
      <c r="AD507" s="5"/>
      <c r="AE507" s="5"/>
      <c r="AF507" s="5"/>
      <c r="AG507" s="5"/>
    </row>
    <row r="508" spans="3:33" ht="12.75" customHeight="1">
      <c r="C508" s="5"/>
      <c r="D508" s="5"/>
      <c r="E508" s="5"/>
      <c r="F508" s="5"/>
      <c r="G508" s="217"/>
      <c r="H508" s="198"/>
      <c r="I508" s="198"/>
      <c r="J508" s="888"/>
      <c r="K508" s="217"/>
      <c r="L508" s="306"/>
      <c r="M508" s="306"/>
      <c r="N508" s="306"/>
      <c r="O508" s="306"/>
      <c r="P508" s="306"/>
      <c r="Q508" s="215"/>
      <c r="R508" s="5"/>
      <c r="S508" s="5"/>
      <c r="T508" s="5"/>
      <c r="U508" s="5"/>
      <c r="V508" s="5"/>
      <c r="W508" s="5"/>
      <c r="X508" s="5"/>
      <c r="Y508" s="5"/>
      <c r="Z508" s="5"/>
      <c r="AA508" s="5"/>
      <c r="AB508" s="5"/>
      <c r="AC508" s="5"/>
      <c r="AD508" s="5"/>
      <c r="AE508" s="5"/>
      <c r="AF508" s="5"/>
      <c r="AG508" s="5"/>
    </row>
    <row r="509" spans="3:33" ht="12.75" customHeight="1">
      <c r="C509" s="5"/>
      <c r="D509" s="5"/>
      <c r="E509" s="5"/>
      <c r="F509" s="5"/>
      <c r="G509" s="217"/>
      <c r="H509" s="198"/>
      <c r="I509" s="198"/>
      <c r="J509" s="888"/>
      <c r="K509" s="217"/>
      <c r="L509" s="306"/>
      <c r="M509" s="306"/>
      <c r="N509" s="306"/>
      <c r="O509" s="306"/>
      <c r="P509" s="306"/>
      <c r="Q509" s="215"/>
      <c r="R509" s="5"/>
      <c r="S509" s="5"/>
      <c r="T509" s="5"/>
      <c r="U509" s="5"/>
      <c r="V509" s="5"/>
      <c r="W509" s="5"/>
      <c r="X509" s="5"/>
      <c r="Y509" s="5"/>
      <c r="Z509" s="5"/>
      <c r="AA509" s="5"/>
      <c r="AB509" s="5"/>
      <c r="AC509" s="5"/>
      <c r="AD509" s="5"/>
      <c r="AE509" s="5"/>
      <c r="AF509" s="5"/>
      <c r="AG509" s="5"/>
    </row>
    <row r="510" spans="3:33" ht="12.75" customHeight="1">
      <c r="C510" s="5"/>
      <c r="D510" s="5"/>
      <c r="E510" s="5"/>
      <c r="F510" s="5"/>
      <c r="G510" s="217"/>
      <c r="H510" s="198"/>
      <c r="I510" s="198"/>
      <c r="J510" s="888"/>
      <c r="K510" s="217"/>
      <c r="L510" s="306"/>
      <c r="M510" s="306"/>
      <c r="N510" s="306"/>
      <c r="O510" s="306"/>
      <c r="P510" s="306"/>
      <c r="Q510" s="215"/>
      <c r="R510" s="5"/>
      <c r="S510" s="5"/>
      <c r="T510" s="5"/>
      <c r="U510" s="5"/>
      <c r="V510" s="5"/>
      <c r="W510" s="5"/>
      <c r="X510" s="5"/>
      <c r="Y510" s="5"/>
      <c r="Z510" s="5"/>
      <c r="AA510" s="5"/>
      <c r="AB510" s="5"/>
      <c r="AC510" s="5"/>
      <c r="AD510" s="5"/>
      <c r="AE510" s="5"/>
      <c r="AF510" s="5"/>
      <c r="AG510" s="5"/>
    </row>
    <row r="511" spans="3:33" ht="12.75" customHeight="1">
      <c r="C511" s="5"/>
      <c r="D511" s="5"/>
      <c r="E511" s="5"/>
      <c r="F511" s="5"/>
      <c r="G511" s="217"/>
      <c r="H511" s="198"/>
      <c r="I511" s="198"/>
      <c r="J511" s="888"/>
      <c r="K511" s="217"/>
      <c r="L511" s="306"/>
      <c r="M511" s="306"/>
      <c r="N511" s="306"/>
      <c r="O511" s="306"/>
      <c r="P511" s="306"/>
      <c r="Q511" s="215"/>
      <c r="R511" s="5"/>
      <c r="S511" s="5"/>
      <c r="T511" s="5"/>
      <c r="U511" s="5"/>
      <c r="V511" s="5"/>
      <c r="W511" s="5"/>
      <c r="X511" s="5"/>
      <c r="Y511" s="5"/>
      <c r="Z511" s="5"/>
      <c r="AA511" s="5"/>
      <c r="AB511" s="5"/>
      <c r="AC511" s="5"/>
      <c r="AD511" s="5"/>
      <c r="AE511" s="5"/>
      <c r="AF511" s="5"/>
      <c r="AG511" s="5"/>
    </row>
    <row r="512" spans="3:33" ht="12.75" customHeight="1">
      <c r="C512" s="5"/>
      <c r="D512" s="5"/>
      <c r="E512" s="5"/>
      <c r="F512" s="5"/>
      <c r="G512" s="217"/>
      <c r="H512" s="198"/>
      <c r="I512" s="198"/>
      <c r="J512" s="888"/>
      <c r="K512" s="217"/>
      <c r="L512" s="306"/>
      <c r="M512" s="306"/>
      <c r="N512" s="306"/>
      <c r="O512" s="306"/>
      <c r="P512" s="306"/>
      <c r="Q512" s="215"/>
      <c r="R512" s="5"/>
      <c r="S512" s="5"/>
      <c r="T512" s="5"/>
      <c r="U512" s="5"/>
      <c r="V512" s="5"/>
      <c r="W512" s="5"/>
      <c r="X512" s="5"/>
      <c r="Y512" s="5"/>
      <c r="Z512" s="5"/>
      <c r="AA512" s="5"/>
      <c r="AB512" s="5"/>
      <c r="AC512" s="5"/>
      <c r="AD512" s="5"/>
      <c r="AE512" s="5"/>
      <c r="AF512" s="5"/>
      <c r="AG512" s="5"/>
    </row>
    <row r="513" spans="3:33" ht="12.75" customHeight="1">
      <c r="C513" s="5"/>
      <c r="D513" s="5"/>
      <c r="E513" s="5"/>
      <c r="F513" s="5"/>
      <c r="G513" s="217"/>
      <c r="H513" s="198"/>
      <c r="I513" s="198"/>
      <c r="J513" s="888"/>
      <c r="K513" s="217"/>
      <c r="L513" s="306"/>
      <c r="M513" s="306"/>
      <c r="N513" s="306"/>
      <c r="O513" s="306"/>
      <c r="P513" s="306"/>
      <c r="Q513" s="215"/>
      <c r="R513" s="5"/>
      <c r="S513" s="5"/>
      <c r="T513" s="5"/>
      <c r="U513" s="5"/>
      <c r="V513" s="5"/>
      <c r="W513" s="5"/>
      <c r="X513" s="5"/>
      <c r="Y513" s="5"/>
      <c r="Z513" s="5"/>
      <c r="AA513" s="5"/>
      <c r="AB513" s="5"/>
      <c r="AC513" s="5"/>
      <c r="AD513" s="5"/>
      <c r="AE513" s="5"/>
      <c r="AF513" s="5"/>
      <c r="AG513" s="5"/>
    </row>
    <row r="514" spans="3:33" ht="12.75" customHeight="1">
      <c r="C514" s="5"/>
      <c r="D514" s="5"/>
      <c r="E514" s="5"/>
      <c r="F514" s="5"/>
      <c r="G514" s="217"/>
      <c r="H514" s="198"/>
      <c r="I514" s="198"/>
      <c r="J514" s="888"/>
      <c r="K514" s="217"/>
      <c r="L514" s="306"/>
      <c r="M514" s="306"/>
      <c r="N514" s="306"/>
      <c r="O514" s="306"/>
      <c r="P514" s="306"/>
      <c r="Q514" s="215"/>
      <c r="R514" s="5"/>
      <c r="S514" s="5"/>
      <c r="T514" s="5"/>
      <c r="U514" s="5"/>
      <c r="V514" s="5"/>
      <c r="W514" s="5"/>
      <c r="X514" s="5"/>
      <c r="Y514" s="5"/>
      <c r="Z514" s="5"/>
      <c r="AA514" s="5"/>
      <c r="AB514" s="5"/>
      <c r="AC514" s="5"/>
      <c r="AD514" s="5"/>
      <c r="AE514" s="5"/>
      <c r="AF514" s="5"/>
      <c r="AG514" s="5"/>
    </row>
    <row r="515" spans="3:33" ht="12.75" customHeight="1">
      <c r="C515" s="5"/>
      <c r="D515" s="5"/>
      <c r="E515" s="5"/>
      <c r="F515" s="5"/>
      <c r="G515" s="217"/>
      <c r="H515" s="198"/>
      <c r="I515" s="198"/>
      <c r="J515" s="888"/>
      <c r="K515" s="217"/>
      <c r="L515" s="306"/>
      <c r="M515" s="306"/>
      <c r="N515" s="306"/>
      <c r="O515" s="306"/>
      <c r="P515" s="306"/>
      <c r="Q515" s="215"/>
      <c r="R515" s="5"/>
      <c r="S515" s="5"/>
      <c r="T515" s="5"/>
      <c r="U515" s="5"/>
      <c r="V515" s="5"/>
      <c r="W515" s="5"/>
      <c r="X515" s="5"/>
      <c r="Y515" s="5"/>
      <c r="Z515" s="5"/>
      <c r="AA515" s="5"/>
      <c r="AB515" s="5"/>
      <c r="AC515" s="5"/>
      <c r="AD515" s="5"/>
      <c r="AE515" s="5"/>
      <c r="AF515" s="5"/>
      <c r="AG515" s="5"/>
    </row>
    <row r="516" spans="3:33" ht="12.75" customHeight="1">
      <c r="C516" s="5"/>
      <c r="D516" s="5"/>
      <c r="E516" s="5"/>
      <c r="F516" s="5"/>
      <c r="G516" s="217"/>
      <c r="H516" s="198"/>
      <c r="I516" s="198"/>
      <c r="J516" s="888"/>
      <c r="K516" s="217"/>
      <c r="L516" s="306"/>
      <c r="M516" s="306"/>
      <c r="N516" s="306"/>
      <c r="O516" s="306"/>
      <c r="P516" s="306"/>
      <c r="Q516" s="215"/>
      <c r="R516" s="5"/>
      <c r="S516" s="5"/>
      <c r="T516" s="5"/>
      <c r="U516" s="5"/>
      <c r="V516" s="5"/>
      <c r="W516" s="5"/>
      <c r="X516" s="5"/>
      <c r="Y516" s="5"/>
      <c r="Z516" s="5"/>
      <c r="AA516" s="5"/>
      <c r="AB516" s="5"/>
      <c r="AC516" s="5"/>
      <c r="AD516" s="5"/>
      <c r="AE516" s="5"/>
      <c r="AF516" s="5"/>
      <c r="AG516" s="5"/>
    </row>
    <row r="517" spans="3:33" ht="12.75" customHeight="1">
      <c r="C517" s="5"/>
      <c r="D517" s="5"/>
      <c r="E517" s="5"/>
      <c r="F517" s="5"/>
      <c r="G517" s="217"/>
      <c r="H517" s="198"/>
      <c r="I517" s="198"/>
      <c r="J517" s="888"/>
      <c r="K517" s="217"/>
      <c r="L517" s="306"/>
      <c r="M517" s="306"/>
      <c r="N517" s="306"/>
      <c r="O517" s="306"/>
      <c r="P517" s="306"/>
      <c r="Q517" s="215"/>
      <c r="R517" s="5"/>
      <c r="S517" s="5"/>
      <c r="T517" s="5"/>
      <c r="U517" s="5"/>
      <c r="V517" s="5"/>
      <c r="W517" s="5"/>
      <c r="X517" s="5"/>
      <c r="Y517" s="5"/>
      <c r="Z517" s="5"/>
      <c r="AA517" s="5"/>
      <c r="AB517" s="5"/>
      <c r="AC517" s="5"/>
      <c r="AD517" s="5"/>
      <c r="AE517" s="5"/>
      <c r="AF517" s="5"/>
      <c r="AG517" s="5"/>
    </row>
    <row r="518" spans="3:33" ht="12.75" customHeight="1">
      <c r="C518" s="5"/>
      <c r="D518" s="5"/>
      <c r="E518" s="5"/>
      <c r="F518" s="5"/>
      <c r="G518" s="217"/>
      <c r="H518" s="198"/>
      <c r="I518" s="198"/>
      <c r="J518" s="888"/>
      <c r="K518" s="217"/>
      <c r="L518" s="306"/>
      <c r="M518" s="306"/>
      <c r="N518" s="306"/>
      <c r="O518" s="306"/>
      <c r="P518" s="306"/>
      <c r="Q518" s="215"/>
      <c r="R518" s="5"/>
      <c r="S518" s="5"/>
      <c r="T518" s="5"/>
      <c r="U518" s="5"/>
      <c r="V518" s="5"/>
      <c r="W518" s="5"/>
      <c r="X518" s="5"/>
      <c r="Y518" s="5"/>
      <c r="Z518" s="5"/>
      <c r="AA518" s="5"/>
      <c r="AB518" s="5"/>
      <c r="AC518" s="5"/>
      <c r="AD518" s="5"/>
      <c r="AE518" s="5"/>
      <c r="AF518" s="5"/>
      <c r="AG518" s="5"/>
    </row>
    <row r="519" spans="3:33" ht="12.75" customHeight="1">
      <c r="C519" s="5"/>
      <c r="D519" s="5"/>
      <c r="E519" s="5"/>
      <c r="F519" s="5"/>
      <c r="G519" s="217"/>
      <c r="H519" s="198"/>
      <c r="I519" s="198"/>
      <c r="J519" s="888"/>
      <c r="K519" s="217"/>
      <c r="L519" s="306"/>
      <c r="M519" s="306"/>
      <c r="N519" s="306"/>
      <c r="O519" s="306"/>
      <c r="P519" s="306"/>
      <c r="Q519" s="215"/>
      <c r="R519" s="5"/>
      <c r="S519" s="5"/>
      <c r="T519" s="5"/>
      <c r="U519" s="5"/>
      <c r="V519" s="5"/>
      <c r="W519" s="5"/>
      <c r="X519" s="5"/>
      <c r="Y519" s="5"/>
      <c r="Z519" s="5"/>
      <c r="AA519" s="5"/>
      <c r="AB519" s="5"/>
      <c r="AC519" s="5"/>
      <c r="AD519" s="5"/>
      <c r="AE519" s="5"/>
      <c r="AF519" s="5"/>
      <c r="AG519" s="5"/>
    </row>
    <row r="520" spans="3:33" ht="12.75" customHeight="1">
      <c r="C520" s="5"/>
      <c r="D520" s="5"/>
      <c r="E520" s="5"/>
      <c r="F520" s="5"/>
      <c r="G520" s="217"/>
      <c r="H520" s="198"/>
      <c r="I520" s="198"/>
      <c r="J520" s="888"/>
      <c r="K520" s="217"/>
      <c r="L520" s="306"/>
      <c r="M520" s="306"/>
      <c r="N520" s="306"/>
      <c r="O520" s="306"/>
      <c r="P520" s="306"/>
      <c r="Q520" s="215"/>
      <c r="R520" s="5"/>
      <c r="S520" s="5"/>
      <c r="T520" s="5"/>
      <c r="U520" s="5"/>
      <c r="V520" s="5"/>
      <c r="W520" s="5"/>
      <c r="X520" s="5"/>
      <c r="Y520" s="5"/>
      <c r="Z520" s="5"/>
      <c r="AA520" s="5"/>
      <c r="AB520" s="5"/>
      <c r="AC520" s="5"/>
      <c r="AD520" s="5"/>
      <c r="AE520" s="5"/>
      <c r="AF520" s="5"/>
      <c r="AG520" s="5"/>
    </row>
    <row r="521" spans="3:33" ht="12.75" customHeight="1">
      <c r="C521" s="5"/>
      <c r="D521" s="5"/>
      <c r="E521" s="5"/>
      <c r="F521" s="5"/>
      <c r="G521" s="217"/>
      <c r="H521" s="198"/>
      <c r="I521" s="198"/>
      <c r="J521" s="888"/>
      <c r="K521" s="217"/>
      <c r="L521" s="306"/>
      <c r="M521" s="306"/>
      <c r="N521" s="306"/>
      <c r="O521" s="306"/>
      <c r="P521" s="306"/>
      <c r="Q521" s="215"/>
      <c r="R521" s="5"/>
      <c r="S521" s="5"/>
      <c r="T521" s="5"/>
      <c r="U521" s="5"/>
      <c r="V521" s="5"/>
      <c r="W521" s="5"/>
      <c r="X521" s="5"/>
      <c r="Y521" s="5"/>
      <c r="Z521" s="5"/>
      <c r="AA521" s="5"/>
      <c r="AB521" s="5"/>
      <c r="AC521" s="5"/>
      <c r="AD521" s="5"/>
      <c r="AE521" s="5"/>
      <c r="AF521" s="5"/>
      <c r="AG521" s="5"/>
    </row>
    <row r="522" spans="3:33" ht="12.75" customHeight="1">
      <c r="C522" s="5"/>
      <c r="D522" s="5"/>
      <c r="E522" s="5"/>
      <c r="F522" s="5"/>
      <c r="G522" s="217"/>
      <c r="H522" s="198"/>
      <c r="I522" s="198"/>
      <c r="J522" s="888"/>
      <c r="K522" s="217"/>
      <c r="L522" s="306"/>
      <c r="M522" s="306"/>
      <c r="N522" s="306"/>
      <c r="O522" s="306"/>
      <c r="P522" s="306"/>
      <c r="Q522" s="215"/>
      <c r="R522" s="5"/>
      <c r="S522" s="5"/>
      <c r="T522" s="5"/>
      <c r="U522" s="5"/>
      <c r="V522" s="5"/>
      <c r="W522" s="5"/>
      <c r="X522" s="5"/>
      <c r="Y522" s="5"/>
      <c r="Z522" s="5"/>
      <c r="AA522" s="5"/>
      <c r="AB522" s="5"/>
      <c r="AC522" s="5"/>
      <c r="AD522" s="5"/>
      <c r="AE522" s="5"/>
      <c r="AF522" s="5"/>
      <c r="AG522" s="5"/>
    </row>
    <row r="523" spans="3:33" ht="12.75" customHeight="1">
      <c r="C523" s="5"/>
      <c r="D523" s="5"/>
      <c r="E523" s="5"/>
      <c r="F523" s="5"/>
      <c r="G523" s="217"/>
      <c r="H523" s="198"/>
      <c r="I523" s="198"/>
      <c r="J523" s="888"/>
      <c r="K523" s="217"/>
      <c r="L523" s="306"/>
      <c r="M523" s="306"/>
      <c r="N523" s="306"/>
      <c r="O523" s="306"/>
      <c r="P523" s="306"/>
      <c r="Q523" s="215"/>
      <c r="R523" s="5"/>
      <c r="S523" s="5"/>
      <c r="T523" s="5"/>
      <c r="U523" s="5"/>
      <c r="V523" s="5"/>
      <c r="W523" s="5"/>
      <c r="X523" s="5"/>
      <c r="Y523" s="5"/>
      <c r="Z523" s="5"/>
      <c r="AA523" s="5"/>
      <c r="AB523" s="5"/>
      <c r="AC523" s="5"/>
      <c r="AD523" s="5"/>
      <c r="AE523" s="5"/>
      <c r="AF523" s="5"/>
      <c r="AG523" s="5"/>
    </row>
    <row r="524" spans="3:33" ht="12.75" customHeight="1">
      <c r="C524" s="5"/>
      <c r="D524" s="5"/>
      <c r="E524" s="5"/>
      <c r="F524" s="5"/>
      <c r="G524" s="217"/>
      <c r="H524" s="198"/>
      <c r="I524" s="198"/>
      <c r="J524" s="888"/>
      <c r="K524" s="217"/>
      <c r="L524" s="306"/>
      <c r="M524" s="306"/>
      <c r="N524" s="306"/>
      <c r="O524" s="306"/>
      <c r="P524" s="306"/>
      <c r="Q524" s="215"/>
      <c r="R524" s="5"/>
      <c r="S524" s="5"/>
      <c r="T524" s="5"/>
      <c r="U524" s="5"/>
      <c r="V524" s="5"/>
      <c r="W524" s="5"/>
      <c r="X524" s="5"/>
      <c r="Y524" s="5"/>
      <c r="Z524" s="5"/>
      <c r="AA524" s="5"/>
      <c r="AB524" s="5"/>
      <c r="AC524" s="5"/>
      <c r="AD524" s="5"/>
      <c r="AE524" s="5"/>
      <c r="AF524" s="5"/>
      <c r="AG524" s="5"/>
    </row>
    <row r="525" spans="3:33" ht="12.75" customHeight="1">
      <c r="C525" s="5"/>
      <c r="D525" s="5"/>
      <c r="E525" s="5"/>
      <c r="F525" s="5"/>
      <c r="G525" s="217"/>
      <c r="H525" s="198"/>
      <c r="I525" s="198"/>
      <c r="J525" s="888"/>
      <c r="K525" s="217"/>
      <c r="L525" s="306"/>
      <c r="M525" s="306"/>
      <c r="N525" s="306"/>
      <c r="O525" s="306"/>
      <c r="P525" s="306"/>
      <c r="Q525" s="215"/>
      <c r="R525" s="5"/>
      <c r="S525" s="5"/>
      <c r="T525" s="5"/>
      <c r="U525" s="5"/>
      <c r="V525" s="5"/>
      <c r="W525" s="5"/>
      <c r="X525" s="5"/>
      <c r="Y525" s="5"/>
      <c r="Z525" s="5"/>
      <c r="AA525" s="5"/>
      <c r="AB525" s="5"/>
      <c r="AC525" s="5"/>
      <c r="AD525" s="5"/>
      <c r="AE525" s="5"/>
      <c r="AF525" s="5"/>
      <c r="AG525" s="5"/>
    </row>
    <row r="526" spans="3:33" ht="12.75" customHeight="1">
      <c r="C526" s="5"/>
      <c r="D526" s="5"/>
      <c r="E526" s="5"/>
      <c r="F526" s="5"/>
      <c r="G526" s="217"/>
      <c r="H526" s="198"/>
      <c r="I526" s="198"/>
      <c r="J526" s="888"/>
      <c r="K526" s="217"/>
      <c r="L526" s="306"/>
      <c r="M526" s="306"/>
      <c r="N526" s="306"/>
      <c r="O526" s="306"/>
      <c r="P526" s="306"/>
      <c r="Q526" s="215"/>
      <c r="R526" s="5"/>
      <c r="S526" s="5"/>
      <c r="T526" s="5"/>
      <c r="U526" s="5"/>
      <c r="V526" s="5"/>
      <c r="W526" s="5"/>
      <c r="X526" s="5"/>
      <c r="Y526" s="5"/>
      <c r="Z526" s="5"/>
      <c r="AA526" s="5"/>
      <c r="AB526" s="5"/>
      <c r="AC526" s="5"/>
      <c r="AD526" s="5"/>
      <c r="AE526" s="5"/>
      <c r="AF526" s="5"/>
      <c r="AG526" s="5"/>
    </row>
    <row r="527" spans="3:33" ht="12.75" customHeight="1">
      <c r="C527" s="5"/>
      <c r="D527" s="5"/>
      <c r="E527" s="5"/>
      <c r="F527" s="5"/>
      <c r="G527" s="217"/>
      <c r="H527" s="198"/>
      <c r="I527" s="198"/>
      <c r="J527" s="888"/>
      <c r="K527" s="217"/>
      <c r="L527" s="306"/>
      <c r="M527" s="306"/>
      <c r="N527" s="306"/>
      <c r="O527" s="306"/>
      <c r="P527" s="306"/>
      <c r="Q527" s="215"/>
      <c r="R527" s="5"/>
      <c r="S527" s="5"/>
      <c r="T527" s="5"/>
      <c r="U527" s="5"/>
      <c r="V527" s="5"/>
      <c r="W527" s="5"/>
      <c r="X527" s="5"/>
      <c r="Y527" s="5"/>
      <c r="Z527" s="5"/>
      <c r="AA527" s="5"/>
      <c r="AB527" s="5"/>
      <c r="AC527" s="5"/>
      <c r="AD527" s="5"/>
      <c r="AE527" s="5"/>
      <c r="AF527" s="5"/>
      <c r="AG527" s="5"/>
    </row>
    <row r="528" spans="3:33" ht="12.75" customHeight="1">
      <c r="C528" s="5"/>
      <c r="D528" s="5"/>
      <c r="E528" s="5"/>
      <c r="F528" s="5"/>
      <c r="G528" s="217"/>
      <c r="H528" s="198"/>
      <c r="I528" s="198"/>
      <c r="J528" s="888"/>
      <c r="K528" s="217"/>
      <c r="L528" s="306"/>
      <c r="M528" s="306"/>
      <c r="N528" s="306"/>
      <c r="O528" s="306"/>
      <c r="P528" s="306"/>
      <c r="Q528" s="215"/>
      <c r="R528" s="5"/>
      <c r="S528" s="5"/>
      <c r="T528" s="5"/>
      <c r="U528" s="5"/>
      <c r="V528" s="5"/>
      <c r="W528" s="5"/>
      <c r="X528" s="5"/>
      <c r="Y528" s="5"/>
      <c r="Z528" s="5"/>
      <c r="AA528" s="5"/>
      <c r="AB528" s="5"/>
      <c r="AC528" s="5"/>
      <c r="AD528" s="5"/>
      <c r="AE528" s="5"/>
      <c r="AF528" s="5"/>
      <c r="AG528" s="5"/>
    </row>
    <row r="529" spans="3:33" ht="12.75" customHeight="1">
      <c r="C529" s="5"/>
      <c r="D529" s="5"/>
      <c r="E529" s="5"/>
      <c r="F529" s="5"/>
      <c r="G529" s="217"/>
      <c r="H529" s="198"/>
      <c r="I529" s="198"/>
      <c r="J529" s="888"/>
      <c r="K529" s="217"/>
      <c r="L529" s="306"/>
      <c r="M529" s="306"/>
      <c r="N529" s="306"/>
      <c r="O529" s="306"/>
      <c r="P529" s="306"/>
      <c r="Q529" s="215"/>
      <c r="R529" s="5"/>
      <c r="S529" s="5"/>
      <c r="T529" s="5"/>
      <c r="U529" s="5"/>
      <c r="V529" s="5"/>
      <c r="W529" s="5"/>
      <c r="X529" s="5"/>
      <c r="Y529" s="5"/>
      <c r="Z529" s="5"/>
      <c r="AA529" s="5"/>
      <c r="AB529" s="5"/>
      <c r="AC529" s="5"/>
      <c r="AD529" s="5"/>
      <c r="AE529" s="5"/>
      <c r="AF529" s="5"/>
      <c r="AG529" s="5"/>
    </row>
    <row r="530" spans="3:33" ht="12.75" customHeight="1">
      <c r="C530" s="5"/>
      <c r="D530" s="5"/>
      <c r="E530" s="5"/>
      <c r="F530" s="5"/>
      <c r="G530" s="217"/>
      <c r="H530" s="198"/>
      <c r="I530" s="198"/>
      <c r="J530" s="888"/>
      <c r="K530" s="217"/>
      <c r="L530" s="306"/>
      <c r="M530" s="306"/>
      <c r="N530" s="306"/>
      <c r="O530" s="306"/>
      <c r="P530" s="306"/>
      <c r="Q530" s="215"/>
      <c r="R530" s="5"/>
      <c r="S530" s="5"/>
      <c r="T530" s="5"/>
      <c r="U530" s="5"/>
      <c r="V530" s="5"/>
      <c r="W530" s="5"/>
      <c r="X530" s="5"/>
      <c r="Y530" s="5"/>
      <c r="Z530" s="5"/>
      <c r="AA530" s="5"/>
      <c r="AB530" s="5"/>
      <c r="AC530" s="5"/>
      <c r="AD530" s="5"/>
      <c r="AE530" s="5"/>
      <c r="AF530" s="5"/>
      <c r="AG530" s="5"/>
    </row>
    <row r="531" spans="3:33" ht="12.75" customHeight="1">
      <c r="C531" s="5"/>
      <c r="D531" s="5"/>
      <c r="E531" s="5"/>
      <c r="F531" s="5"/>
      <c r="G531" s="217"/>
      <c r="H531" s="198"/>
      <c r="I531" s="198"/>
      <c r="J531" s="888"/>
      <c r="K531" s="217"/>
      <c r="L531" s="306"/>
      <c r="M531" s="306"/>
      <c r="N531" s="306"/>
      <c r="O531" s="306"/>
      <c r="P531" s="306"/>
      <c r="Q531" s="215"/>
      <c r="R531" s="5"/>
      <c r="S531" s="5"/>
      <c r="T531" s="5"/>
      <c r="U531" s="5"/>
      <c r="V531" s="5"/>
      <c r="W531" s="5"/>
      <c r="X531" s="5"/>
      <c r="Y531" s="5"/>
      <c r="Z531" s="5"/>
      <c r="AA531" s="5"/>
      <c r="AB531" s="5"/>
      <c r="AC531" s="5"/>
      <c r="AD531" s="5"/>
      <c r="AE531" s="5"/>
      <c r="AF531" s="5"/>
      <c r="AG531" s="5"/>
    </row>
    <row r="532" spans="3:33" ht="12.75" customHeight="1">
      <c r="C532" s="5"/>
      <c r="D532" s="5"/>
      <c r="E532" s="5"/>
      <c r="F532" s="5"/>
      <c r="G532" s="217"/>
      <c r="H532" s="198"/>
      <c r="I532" s="198"/>
      <c r="J532" s="888"/>
      <c r="K532" s="217"/>
      <c r="L532" s="306"/>
      <c r="M532" s="306"/>
      <c r="N532" s="306"/>
      <c r="O532" s="306"/>
      <c r="P532" s="306"/>
      <c r="Q532" s="215"/>
      <c r="R532" s="5"/>
      <c r="S532" s="5"/>
      <c r="T532" s="5"/>
      <c r="U532" s="5"/>
      <c r="V532" s="5"/>
      <c r="W532" s="5"/>
      <c r="X532" s="5"/>
      <c r="Y532" s="5"/>
      <c r="Z532" s="5"/>
      <c r="AA532" s="5"/>
      <c r="AB532" s="5"/>
      <c r="AC532" s="5"/>
      <c r="AD532" s="5"/>
      <c r="AE532" s="5"/>
      <c r="AF532" s="5"/>
      <c r="AG532" s="5"/>
    </row>
    <row r="533" spans="3:33" ht="12.75" customHeight="1">
      <c r="C533" s="5"/>
      <c r="D533" s="5"/>
      <c r="E533" s="5"/>
      <c r="F533" s="5"/>
      <c r="G533" s="217"/>
      <c r="H533" s="198"/>
      <c r="I533" s="198"/>
      <c r="J533" s="888"/>
      <c r="K533" s="217"/>
      <c r="L533" s="306"/>
      <c r="M533" s="306"/>
      <c r="N533" s="306"/>
      <c r="O533" s="306"/>
      <c r="P533" s="306"/>
      <c r="Q533" s="215"/>
      <c r="R533" s="5"/>
      <c r="S533" s="5"/>
      <c r="T533" s="5"/>
      <c r="U533" s="5"/>
      <c r="V533" s="5"/>
      <c r="W533" s="5"/>
      <c r="X533" s="5"/>
      <c r="Y533" s="5"/>
      <c r="Z533" s="5"/>
      <c r="AA533" s="5"/>
      <c r="AB533" s="5"/>
      <c r="AC533" s="5"/>
      <c r="AD533" s="5"/>
      <c r="AE533" s="5"/>
      <c r="AF533" s="5"/>
      <c r="AG533" s="5"/>
    </row>
    <row r="534" spans="3:33" ht="12.75" customHeight="1">
      <c r="C534" s="5"/>
      <c r="D534" s="5"/>
      <c r="E534" s="5"/>
      <c r="F534" s="5"/>
      <c r="G534" s="217"/>
      <c r="H534" s="198"/>
      <c r="I534" s="198"/>
      <c r="J534" s="888"/>
      <c r="K534" s="217"/>
      <c r="L534" s="306"/>
      <c r="M534" s="306"/>
      <c r="N534" s="306"/>
      <c r="O534" s="306"/>
      <c r="P534" s="306"/>
      <c r="Q534" s="215"/>
      <c r="R534" s="5"/>
      <c r="S534" s="5"/>
      <c r="T534" s="5"/>
      <c r="U534" s="5"/>
      <c r="V534" s="5"/>
      <c r="W534" s="5"/>
      <c r="X534" s="5"/>
      <c r="Y534" s="5"/>
      <c r="Z534" s="5"/>
      <c r="AA534" s="5"/>
      <c r="AB534" s="5"/>
      <c r="AC534" s="5"/>
      <c r="AD534" s="5"/>
      <c r="AE534" s="5"/>
      <c r="AF534" s="5"/>
      <c r="AG534" s="5"/>
    </row>
    <row r="535" spans="3:33" ht="12.75" customHeight="1">
      <c r="C535" s="5"/>
      <c r="D535" s="5"/>
      <c r="E535" s="5"/>
      <c r="F535" s="5"/>
      <c r="G535" s="217"/>
      <c r="H535" s="198"/>
      <c r="I535" s="198"/>
      <c r="J535" s="888"/>
      <c r="K535" s="217"/>
      <c r="L535" s="306"/>
      <c r="M535" s="306"/>
      <c r="N535" s="306"/>
      <c r="O535" s="306"/>
      <c r="P535" s="306"/>
      <c r="Q535" s="215"/>
      <c r="R535" s="5"/>
      <c r="S535" s="5"/>
      <c r="T535" s="5"/>
      <c r="U535" s="5"/>
      <c r="V535" s="5"/>
      <c r="W535" s="5"/>
      <c r="X535" s="5"/>
      <c r="Y535" s="5"/>
      <c r="Z535" s="5"/>
      <c r="AA535" s="5"/>
      <c r="AB535" s="5"/>
      <c r="AC535" s="5"/>
      <c r="AD535" s="5"/>
      <c r="AE535" s="5"/>
      <c r="AF535" s="5"/>
      <c r="AG535" s="5"/>
    </row>
    <row r="536" spans="3:33" ht="12.75" customHeight="1">
      <c r="C536" s="5"/>
      <c r="D536" s="5"/>
      <c r="E536" s="5"/>
      <c r="F536" s="5"/>
      <c r="G536" s="217"/>
      <c r="H536" s="198"/>
      <c r="I536" s="198"/>
      <c r="J536" s="888"/>
      <c r="K536" s="217"/>
      <c r="L536" s="306"/>
      <c r="M536" s="306"/>
      <c r="N536" s="306"/>
      <c r="O536" s="306"/>
      <c r="P536" s="306"/>
      <c r="Q536" s="215"/>
      <c r="R536" s="5"/>
      <c r="S536" s="5"/>
      <c r="T536" s="5"/>
      <c r="U536" s="5"/>
      <c r="V536" s="5"/>
      <c r="W536" s="5"/>
      <c r="X536" s="5"/>
      <c r="Y536" s="5"/>
      <c r="Z536" s="5"/>
      <c r="AA536" s="5"/>
      <c r="AB536" s="5"/>
      <c r="AC536" s="5"/>
      <c r="AD536" s="5"/>
      <c r="AE536" s="5"/>
      <c r="AF536" s="5"/>
      <c r="AG536" s="5"/>
    </row>
    <row r="537" spans="3:33" ht="12.75" customHeight="1">
      <c r="C537" s="5"/>
      <c r="D537" s="5"/>
      <c r="E537" s="5"/>
      <c r="F537" s="5"/>
      <c r="G537" s="217"/>
      <c r="H537" s="198"/>
      <c r="I537" s="198"/>
      <c r="J537" s="888"/>
      <c r="K537" s="217"/>
      <c r="L537" s="306"/>
      <c r="M537" s="306"/>
      <c r="N537" s="306"/>
      <c r="O537" s="306"/>
      <c r="P537" s="306"/>
      <c r="Q537" s="215"/>
      <c r="R537" s="5"/>
      <c r="S537" s="5"/>
      <c r="T537" s="5"/>
      <c r="U537" s="5"/>
      <c r="V537" s="5"/>
      <c r="W537" s="5"/>
      <c r="X537" s="5"/>
      <c r="Y537" s="5"/>
      <c r="Z537" s="5"/>
      <c r="AA537" s="5"/>
      <c r="AB537" s="5"/>
      <c r="AC537" s="5"/>
      <c r="AD537" s="5"/>
      <c r="AE537" s="5"/>
      <c r="AF537" s="5"/>
      <c r="AG537" s="5"/>
    </row>
    <row r="538" spans="3:33" ht="12.75" customHeight="1">
      <c r="C538" s="5"/>
      <c r="D538" s="5"/>
      <c r="E538" s="5"/>
      <c r="F538" s="5"/>
      <c r="G538" s="217"/>
      <c r="H538" s="198"/>
      <c r="I538" s="198"/>
      <c r="J538" s="888"/>
      <c r="K538" s="217"/>
      <c r="L538" s="306"/>
      <c r="M538" s="306"/>
      <c r="N538" s="306"/>
      <c r="O538" s="306"/>
      <c r="P538" s="306"/>
      <c r="Q538" s="215"/>
      <c r="R538" s="5"/>
      <c r="S538" s="5"/>
      <c r="T538" s="5"/>
      <c r="U538" s="5"/>
      <c r="V538" s="5"/>
      <c r="W538" s="5"/>
      <c r="X538" s="5"/>
      <c r="Y538" s="5"/>
      <c r="Z538" s="5"/>
      <c r="AA538" s="5"/>
      <c r="AB538" s="5"/>
      <c r="AC538" s="5"/>
      <c r="AD538" s="5"/>
      <c r="AE538" s="5"/>
      <c r="AF538" s="5"/>
      <c r="AG538" s="5"/>
    </row>
    <row r="539" spans="3:33" ht="12.75" customHeight="1">
      <c r="C539" s="5"/>
      <c r="D539" s="5"/>
      <c r="E539" s="5"/>
      <c r="F539" s="5"/>
      <c r="G539" s="217"/>
      <c r="H539" s="198"/>
      <c r="I539" s="198"/>
      <c r="J539" s="888"/>
      <c r="K539" s="217"/>
      <c r="L539" s="306"/>
      <c r="M539" s="306"/>
      <c r="N539" s="306"/>
      <c r="O539" s="306"/>
      <c r="P539" s="306"/>
      <c r="Q539" s="215"/>
      <c r="R539" s="5"/>
      <c r="S539" s="5"/>
      <c r="T539" s="5"/>
      <c r="U539" s="5"/>
      <c r="V539" s="5"/>
      <c r="W539" s="5"/>
      <c r="X539" s="5"/>
      <c r="Y539" s="5"/>
      <c r="Z539" s="5"/>
      <c r="AA539" s="5"/>
      <c r="AB539" s="5"/>
      <c r="AC539" s="5"/>
      <c r="AD539" s="5"/>
      <c r="AE539" s="5"/>
      <c r="AF539" s="5"/>
      <c r="AG539" s="5"/>
    </row>
    <row r="540" spans="3:33" ht="12.75" customHeight="1">
      <c r="C540" s="5"/>
      <c r="D540" s="5"/>
      <c r="E540" s="5"/>
      <c r="F540" s="5"/>
      <c r="G540" s="217"/>
      <c r="H540" s="198"/>
      <c r="I540" s="198"/>
      <c r="J540" s="888"/>
      <c r="K540" s="217"/>
      <c r="L540" s="306"/>
      <c r="M540" s="306"/>
      <c r="N540" s="306"/>
      <c r="O540" s="306"/>
      <c r="P540" s="306"/>
      <c r="Q540" s="215"/>
      <c r="R540" s="5"/>
      <c r="S540" s="5"/>
      <c r="T540" s="5"/>
      <c r="U540" s="5"/>
      <c r="V540" s="5"/>
      <c r="W540" s="5"/>
      <c r="X540" s="5"/>
      <c r="Y540" s="5"/>
      <c r="Z540" s="5"/>
      <c r="AA540" s="5"/>
      <c r="AB540" s="5"/>
      <c r="AC540" s="5"/>
      <c r="AD540" s="5"/>
      <c r="AE540" s="5"/>
      <c r="AF540" s="5"/>
      <c r="AG540" s="5"/>
    </row>
    <row r="541" spans="3:33" ht="12.75" customHeight="1">
      <c r="C541" s="5"/>
      <c r="D541" s="5"/>
      <c r="E541" s="5"/>
      <c r="F541" s="5"/>
      <c r="G541" s="217"/>
      <c r="H541" s="198"/>
      <c r="I541" s="198"/>
      <c r="J541" s="888"/>
      <c r="K541" s="217"/>
      <c r="L541" s="306"/>
      <c r="M541" s="306"/>
      <c r="N541" s="306"/>
      <c r="O541" s="306"/>
      <c r="P541" s="306"/>
      <c r="Q541" s="215"/>
      <c r="R541" s="5"/>
      <c r="S541" s="5"/>
      <c r="T541" s="5"/>
      <c r="U541" s="5"/>
      <c r="V541" s="5"/>
      <c r="W541" s="5"/>
      <c r="X541" s="5"/>
      <c r="Y541" s="5"/>
      <c r="Z541" s="5"/>
      <c r="AA541" s="5"/>
      <c r="AB541" s="5"/>
      <c r="AC541" s="5"/>
      <c r="AD541" s="5"/>
      <c r="AE541" s="5"/>
      <c r="AF541" s="5"/>
      <c r="AG541" s="5"/>
    </row>
    <row r="542" spans="3:33" ht="12.75" customHeight="1">
      <c r="C542" s="5"/>
      <c r="D542" s="5"/>
      <c r="E542" s="5"/>
      <c r="F542" s="5"/>
      <c r="G542" s="217"/>
      <c r="H542" s="198"/>
      <c r="I542" s="198"/>
      <c r="J542" s="888"/>
      <c r="K542" s="217"/>
      <c r="L542" s="306"/>
      <c r="M542" s="306"/>
      <c r="N542" s="306"/>
      <c r="O542" s="306"/>
      <c r="P542" s="306"/>
      <c r="Q542" s="215"/>
      <c r="R542" s="5"/>
      <c r="S542" s="5"/>
      <c r="T542" s="5"/>
      <c r="U542" s="5"/>
      <c r="V542" s="5"/>
      <c r="W542" s="5"/>
      <c r="X542" s="5"/>
      <c r="Y542" s="5"/>
      <c r="Z542" s="5"/>
      <c r="AA542" s="5"/>
      <c r="AB542" s="5"/>
      <c r="AC542" s="5"/>
      <c r="AD542" s="5"/>
      <c r="AE542" s="5"/>
      <c r="AF542" s="5"/>
      <c r="AG542" s="5"/>
    </row>
    <row r="543" spans="3:33" ht="12.75" customHeight="1">
      <c r="C543" s="5"/>
      <c r="D543" s="5"/>
      <c r="E543" s="5"/>
      <c r="F543" s="5"/>
      <c r="G543" s="217"/>
      <c r="H543" s="198"/>
      <c r="I543" s="198"/>
      <c r="J543" s="888"/>
      <c r="K543" s="217"/>
      <c r="L543" s="306"/>
      <c r="M543" s="306"/>
      <c r="N543" s="306"/>
      <c r="O543" s="306"/>
      <c r="P543" s="306"/>
      <c r="Q543" s="215"/>
      <c r="R543" s="5"/>
      <c r="S543" s="5"/>
      <c r="T543" s="5"/>
      <c r="U543" s="5"/>
      <c r="V543" s="5"/>
      <c r="W543" s="5"/>
      <c r="X543" s="5"/>
      <c r="Y543" s="5"/>
      <c r="Z543" s="5"/>
      <c r="AA543" s="5"/>
      <c r="AB543" s="5"/>
      <c r="AC543" s="5"/>
      <c r="AD543" s="5"/>
      <c r="AE543" s="5"/>
      <c r="AF543" s="5"/>
      <c r="AG543" s="5"/>
    </row>
    <row r="544" spans="3:33" ht="12.75" customHeight="1">
      <c r="C544" s="5"/>
      <c r="D544" s="5"/>
      <c r="E544" s="5"/>
      <c r="F544" s="5"/>
      <c r="G544" s="217"/>
      <c r="H544" s="198"/>
      <c r="I544" s="198"/>
      <c r="J544" s="888"/>
      <c r="K544" s="217"/>
      <c r="L544" s="306"/>
      <c r="M544" s="306"/>
      <c r="N544" s="306"/>
      <c r="O544" s="306"/>
      <c r="P544" s="306"/>
      <c r="Q544" s="215"/>
      <c r="R544" s="5"/>
      <c r="S544" s="5"/>
      <c r="T544" s="5"/>
      <c r="U544" s="5"/>
      <c r="V544" s="5"/>
      <c r="W544" s="5"/>
      <c r="X544" s="5"/>
      <c r="Y544" s="5"/>
      <c r="Z544" s="5"/>
      <c r="AA544" s="5"/>
      <c r="AB544" s="5"/>
      <c r="AC544" s="5"/>
      <c r="AD544" s="5"/>
      <c r="AE544" s="5"/>
      <c r="AF544" s="5"/>
      <c r="AG544" s="5"/>
    </row>
    <row r="545" spans="3:33" ht="12.75" customHeight="1">
      <c r="C545" s="5"/>
      <c r="D545" s="5"/>
      <c r="E545" s="5"/>
      <c r="F545" s="5"/>
      <c r="G545" s="217"/>
      <c r="H545" s="198"/>
      <c r="I545" s="198"/>
      <c r="J545" s="888"/>
      <c r="K545" s="217"/>
      <c r="L545" s="306"/>
      <c r="M545" s="306"/>
      <c r="N545" s="306"/>
      <c r="O545" s="306"/>
      <c r="P545" s="306"/>
      <c r="Q545" s="215"/>
      <c r="R545" s="5"/>
      <c r="S545" s="5"/>
      <c r="T545" s="5"/>
      <c r="U545" s="5"/>
      <c r="V545" s="5"/>
      <c r="W545" s="5"/>
      <c r="X545" s="5"/>
      <c r="Y545" s="5"/>
      <c r="Z545" s="5"/>
      <c r="AA545" s="5"/>
      <c r="AB545" s="5"/>
      <c r="AC545" s="5"/>
      <c r="AD545" s="5"/>
      <c r="AE545" s="5"/>
      <c r="AF545" s="5"/>
      <c r="AG545" s="5"/>
    </row>
    <row r="546" spans="3:33" ht="12.75" customHeight="1">
      <c r="C546" s="5"/>
      <c r="D546" s="5"/>
      <c r="E546" s="5"/>
      <c r="F546" s="5"/>
      <c r="G546" s="217"/>
      <c r="H546" s="198"/>
      <c r="I546" s="198"/>
      <c r="J546" s="888"/>
      <c r="K546" s="217"/>
      <c r="L546" s="306"/>
      <c r="M546" s="306"/>
      <c r="N546" s="306"/>
      <c r="O546" s="306"/>
      <c r="P546" s="306"/>
      <c r="Q546" s="215"/>
      <c r="R546" s="5"/>
      <c r="S546" s="5"/>
      <c r="T546" s="5"/>
      <c r="U546" s="5"/>
      <c r="V546" s="5"/>
      <c r="W546" s="5"/>
      <c r="X546" s="5"/>
      <c r="Y546" s="5"/>
      <c r="Z546" s="5"/>
      <c r="AA546" s="5"/>
      <c r="AB546" s="5"/>
      <c r="AC546" s="5"/>
      <c r="AD546" s="5"/>
      <c r="AE546" s="5"/>
      <c r="AF546" s="5"/>
      <c r="AG546" s="5"/>
    </row>
    <row r="547" spans="3:33" ht="12.75" customHeight="1">
      <c r="C547" s="5"/>
      <c r="D547" s="5"/>
      <c r="E547" s="5"/>
      <c r="F547" s="5"/>
      <c r="G547" s="217"/>
      <c r="H547" s="198"/>
      <c r="I547" s="198"/>
      <c r="J547" s="888"/>
      <c r="K547" s="217"/>
      <c r="L547" s="306"/>
      <c r="M547" s="306"/>
      <c r="N547" s="306"/>
      <c r="O547" s="306"/>
      <c r="P547" s="306"/>
      <c r="Q547" s="215"/>
      <c r="R547" s="5"/>
      <c r="S547" s="5"/>
      <c r="T547" s="5"/>
      <c r="U547" s="5"/>
      <c r="V547" s="5"/>
      <c r="W547" s="5"/>
      <c r="X547" s="5"/>
      <c r="Y547" s="5"/>
      <c r="Z547" s="5"/>
      <c r="AA547" s="5"/>
      <c r="AB547" s="5"/>
      <c r="AC547" s="5"/>
      <c r="AD547" s="5"/>
      <c r="AE547" s="5"/>
      <c r="AF547" s="5"/>
      <c r="AG547" s="5"/>
    </row>
    <row r="548" spans="3:33" ht="12.75" customHeight="1">
      <c r="C548" s="5"/>
      <c r="D548" s="5"/>
      <c r="E548" s="5"/>
      <c r="F548" s="5"/>
      <c r="G548" s="217"/>
      <c r="H548" s="198"/>
      <c r="I548" s="198"/>
      <c r="J548" s="888"/>
      <c r="K548" s="217"/>
      <c r="L548" s="306"/>
      <c r="M548" s="306"/>
      <c r="N548" s="306"/>
      <c r="O548" s="306"/>
      <c r="P548" s="306"/>
      <c r="Q548" s="215"/>
      <c r="R548" s="5"/>
      <c r="S548" s="5"/>
      <c r="T548" s="5"/>
      <c r="U548" s="5"/>
      <c r="V548" s="5"/>
      <c r="W548" s="5"/>
      <c r="X548" s="5"/>
      <c r="Y548" s="5"/>
      <c r="Z548" s="5"/>
      <c r="AA548" s="5"/>
      <c r="AB548" s="5"/>
      <c r="AC548" s="5"/>
      <c r="AD548" s="5"/>
      <c r="AE548" s="5"/>
      <c r="AF548" s="5"/>
      <c r="AG548" s="5"/>
    </row>
    <row r="549" spans="3:33" ht="12.75" customHeight="1">
      <c r="C549" s="5"/>
      <c r="D549" s="5"/>
      <c r="E549" s="5"/>
      <c r="F549" s="5"/>
      <c r="G549" s="217"/>
      <c r="H549" s="198"/>
      <c r="I549" s="198"/>
      <c r="J549" s="888"/>
      <c r="K549" s="217"/>
      <c r="L549" s="306"/>
      <c r="M549" s="306"/>
      <c r="N549" s="306"/>
      <c r="O549" s="306"/>
      <c r="P549" s="306"/>
      <c r="Q549" s="215"/>
      <c r="R549" s="5"/>
      <c r="S549" s="5"/>
      <c r="T549" s="5"/>
      <c r="U549" s="5"/>
      <c r="V549" s="5"/>
      <c r="W549" s="5"/>
      <c r="X549" s="5"/>
      <c r="Y549" s="5"/>
      <c r="Z549" s="5"/>
      <c r="AA549" s="5"/>
      <c r="AB549" s="5"/>
      <c r="AC549" s="5"/>
      <c r="AD549" s="5"/>
      <c r="AE549" s="5"/>
      <c r="AF549" s="5"/>
      <c r="AG549" s="5"/>
    </row>
    <row r="550" spans="3:33" ht="12.75" customHeight="1">
      <c r="C550" s="5"/>
      <c r="D550" s="5"/>
      <c r="E550" s="5"/>
      <c r="F550" s="5"/>
      <c r="G550" s="217"/>
      <c r="H550" s="198"/>
      <c r="I550" s="198"/>
      <c r="J550" s="888"/>
      <c r="K550" s="217"/>
      <c r="L550" s="306"/>
      <c r="M550" s="306"/>
      <c r="N550" s="306"/>
      <c r="O550" s="306"/>
      <c r="P550" s="306"/>
      <c r="Q550" s="215"/>
      <c r="R550" s="5"/>
      <c r="S550" s="5"/>
      <c r="T550" s="5"/>
      <c r="U550" s="5"/>
      <c r="V550" s="5"/>
      <c r="W550" s="5"/>
      <c r="X550" s="5"/>
      <c r="Y550" s="5"/>
      <c r="Z550" s="5"/>
      <c r="AA550" s="5"/>
      <c r="AB550" s="5"/>
      <c r="AC550" s="5"/>
      <c r="AD550" s="5"/>
      <c r="AE550" s="5"/>
      <c r="AF550" s="5"/>
      <c r="AG550" s="5"/>
    </row>
    <row r="551" spans="3:33" ht="12.75" customHeight="1">
      <c r="C551" s="5"/>
      <c r="D551" s="5"/>
      <c r="E551" s="5"/>
      <c r="F551" s="5"/>
      <c r="G551" s="217"/>
      <c r="H551" s="198"/>
      <c r="I551" s="198"/>
      <c r="J551" s="888"/>
      <c r="K551" s="217"/>
      <c r="L551" s="306"/>
      <c r="M551" s="306"/>
      <c r="N551" s="306"/>
      <c r="O551" s="306"/>
      <c r="P551" s="306"/>
      <c r="Q551" s="215"/>
      <c r="R551" s="5"/>
      <c r="S551" s="5"/>
      <c r="T551" s="5"/>
      <c r="U551" s="5"/>
      <c r="V551" s="5"/>
      <c r="W551" s="5"/>
      <c r="X551" s="5"/>
      <c r="Y551" s="5"/>
      <c r="Z551" s="5"/>
      <c r="AA551" s="5"/>
      <c r="AB551" s="5"/>
      <c r="AC551" s="5"/>
      <c r="AD551" s="5"/>
      <c r="AE551" s="5"/>
      <c r="AF551" s="5"/>
      <c r="AG551" s="5"/>
    </row>
    <row r="552" spans="3:33" ht="12.75" customHeight="1">
      <c r="C552" s="5"/>
      <c r="D552" s="5"/>
      <c r="E552" s="5"/>
      <c r="F552" s="5"/>
      <c r="G552" s="217"/>
      <c r="H552" s="198"/>
      <c r="I552" s="198"/>
      <c r="J552" s="888"/>
      <c r="K552" s="217"/>
      <c r="L552" s="306"/>
      <c r="M552" s="306"/>
      <c r="N552" s="306"/>
      <c r="O552" s="306"/>
      <c r="P552" s="306"/>
      <c r="Q552" s="215"/>
      <c r="R552" s="5"/>
      <c r="S552" s="5"/>
      <c r="T552" s="5"/>
      <c r="U552" s="5"/>
      <c r="V552" s="5"/>
      <c r="W552" s="5"/>
      <c r="X552" s="5"/>
      <c r="Y552" s="5"/>
      <c r="Z552" s="5"/>
      <c r="AA552" s="5"/>
      <c r="AB552" s="5"/>
      <c r="AC552" s="5"/>
      <c r="AD552" s="5"/>
      <c r="AE552" s="5"/>
      <c r="AF552" s="5"/>
      <c r="AG552" s="5"/>
    </row>
    <row r="553" spans="3:33" ht="12.75" customHeight="1">
      <c r="C553" s="5"/>
      <c r="D553" s="5"/>
      <c r="E553" s="5"/>
      <c r="F553" s="5"/>
      <c r="G553" s="217"/>
      <c r="H553" s="198"/>
      <c r="I553" s="198"/>
      <c r="J553" s="888"/>
      <c r="K553" s="217"/>
      <c r="L553" s="306"/>
      <c r="M553" s="306"/>
      <c r="N553" s="306"/>
      <c r="O553" s="306"/>
      <c r="P553" s="306"/>
      <c r="Q553" s="215"/>
      <c r="R553" s="5"/>
      <c r="S553" s="5"/>
      <c r="T553" s="5"/>
      <c r="U553" s="5"/>
      <c r="V553" s="5"/>
      <c r="W553" s="5"/>
      <c r="X553" s="5"/>
      <c r="Y553" s="5"/>
      <c r="Z553" s="5"/>
      <c r="AA553" s="5"/>
      <c r="AB553" s="5"/>
      <c r="AC553" s="5"/>
      <c r="AD553" s="5"/>
      <c r="AE553" s="5"/>
      <c r="AF553" s="5"/>
      <c r="AG553" s="5"/>
    </row>
    <row r="554" spans="3:33" ht="12.75" customHeight="1">
      <c r="C554" s="5"/>
      <c r="D554" s="5"/>
      <c r="E554" s="5"/>
      <c r="F554" s="5"/>
      <c r="G554" s="217"/>
      <c r="H554" s="198"/>
      <c r="I554" s="198"/>
      <c r="J554" s="888"/>
      <c r="K554" s="217"/>
      <c r="L554" s="306"/>
      <c r="M554" s="306"/>
      <c r="N554" s="306"/>
      <c r="O554" s="306"/>
      <c r="P554" s="306"/>
      <c r="Q554" s="215"/>
      <c r="R554" s="5"/>
      <c r="S554" s="5"/>
      <c r="T554" s="5"/>
      <c r="U554" s="5"/>
      <c r="V554" s="5"/>
      <c r="W554" s="5"/>
      <c r="X554" s="5"/>
      <c r="Y554" s="5"/>
      <c r="Z554" s="5"/>
      <c r="AA554" s="5"/>
      <c r="AB554" s="5"/>
      <c r="AC554" s="5"/>
      <c r="AD554" s="5"/>
      <c r="AE554" s="5"/>
      <c r="AF554" s="5"/>
      <c r="AG554" s="5"/>
    </row>
    <row r="555" spans="3:33" ht="12.75" customHeight="1">
      <c r="C555" s="5"/>
      <c r="D555" s="5"/>
      <c r="E555" s="5"/>
      <c r="F555" s="5"/>
      <c r="G555" s="217"/>
      <c r="H555" s="198"/>
      <c r="I555" s="198"/>
      <c r="J555" s="888"/>
      <c r="K555" s="217"/>
      <c r="L555" s="306"/>
      <c r="M555" s="306"/>
      <c r="N555" s="306"/>
      <c r="O555" s="306"/>
      <c r="P555" s="306"/>
      <c r="Q555" s="215"/>
      <c r="R555" s="5"/>
      <c r="S555" s="5"/>
      <c r="T555" s="5"/>
      <c r="U555" s="5"/>
      <c r="V555" s="5"/>
      <c r="W555" s="5"/>
      <c r="X555" s="5"/>
      <c r="Y555" s="5"/>
      <c r="Z555" s="5"/>
      <c r="AA555" s="5"/>
      <c r="AB555" s="5"/>
      <c r="AC555" s="5"/>
      <c r="AD555" s="5"/>
      <c r="AE555" s="5"/>
      <c r="AF555" s="5"/>
      <c r="AG555" s="5"/>
    </row>
    <row r="556" spans="3:33" ht="12.75" customHeight="1">
      <c r="C556" s="5"/>
      <c r="D556" s="5"/>
      <c r="E556" s="5"/>
      <c r="F556" s="5"/>
      <c r="G556" s="217"/>
      <c r="H556" s="198"/>
      <c r="I556" s="198"/>
      <c r="J556" s="888"/>
      <c r="K556" s="217"/>
      <c r="L556" s="306"/>
      <c r="M556" s="306"/>
      <c r="N556" s="306"/>
      <c r="O556" s="306"/>
      <c r="P556" s="306"/>
      <c r="Q556" s="215"/>
      <c r="R556" s="5"/>
      <c r="S556" s="5"/>
      <c r="T556" s="5"/>
      <c r="U556" s="5"/>
      <c r="V556" s="5"/>
      <c r="W556" s="5"/>
      <c r="X556" s="5"/>
      <c r="Y556" s="5"/>
      <c r="Z556" s="5"/>
      <c r="AA556" s="5"/>
      <c r="AB556" s="5"/>
      <c r="AC556" s="5"/>
      <c r="AD556" s="5"/>
      <c r="AE556" s="5"/>
      <c r="AF556" s="5"/>
      <c r="AG556" s="5"/>
    </row>
    <row r="557" spans="3:33" ht="12.75" customHeight="1">
      <c r="C557" s="5"/>
      <c r="D557" s="5"/>
      <c r="E557" s="5"/>
      <c r="F557" s="5"/>
      <c r="G557" s="217"/>
      <c r="H557" s="198"/>
      <c r="I557" s="198"/>
      <c r="J557" s="888"/>
      <c r="K557" s="217"/>
      <c r="L557" s="306"/>
      <c r="M557" s="306"/>
      <c r="N557" s="306"/>
      <c r="O557" s="306"/>
      <c r="P557" s="306"/>
      <c r="Q557" s="215"/>
      <c r="R557" s="5"/>
      <c r="S557" s="5"/>
      <c r="T557" s="5"/>
      <c r="U557" s="5"/>
      <c r="V557" s="5"/>
      <c r="W557" s="5"/>
      <c r="X557" s="5"/>
      <c r="Y557" s="5"/>
      <c r="Z557" s="5"/>
      <c r="AA557" s="5"/>
      <c r="AB557" s="5"/>
      <c r="AC557" s="5"/>
      <c r="AD557" s="5"/>
      <c r="AE557" s="5"/>
      <c r="AF557" s="5"/>
      <c r="AG557" s="5"/>
    </row>
    <row r="558" spans="3:33" ht="12.75" customHeight="1">
      <c r="C558" s="5"/>
      <c r="D558" s="5"/>
      <c r="E558" s="5"/>
      <c r="F558" s="5"/>
      <c r="G558" s="217"/>
      <c r="H558" s="198"/>
      <c r="I558" s="198"/>
      <c r="J558" s="888"/>
      <c r="K558" s="217"/>
      <c r="L558" s="306"/>
      <c r="M558" s="306"/>
      <c r="N558" s="306"/>
      <c r="O558" s="306"/>
      <c r="P558" s="306"/>
      <c r="Q558" s="215"/>
      <c r="R558" s="5"/>
      <c r="S558" s="5"/>
      <c r="T558" s="5"/>
      <c r="U558" s="5"/>
      <c r="V558" s="5"/>
      <c r="W558" s="5"/>
      <c r="X558" s="5"/>
      <c r="Y558" s="5"/>
      <c r="Z558" s="5"/>
      <c r="AA558" s="5"/>
      <c r="AB558" s="5"/>
      <c r="AC558" s="5"/>
      <c r="AD558" s="5"/>
      <c r="AE558" s="5"/>
      <c r="AF558" s="5"/>
      <c r="AG558" s="5"/>
    </row>
    <row r="559" spans="3:33" ht="12.75" customHeight="1">
      <c r="C559" s="5"/>
      <c r="D559" s="5"/>
      <c r="E559" s="5"/>
      <c r="F559" s="5"/>
      <c r="G559" s="217"/>
      <c r="H559" s="198"/>
      <c r="I559" s="198"/>
      <c r="J559" s="888"/>
      <c r="K559" s="217"/>
      <c r="L559" s="306"/>
      <c r="M559" s="306"/>
      <c r="N559" s="306"/>
      <c r="O559" s="306"/>
      <c r="P559" s="306"/>
      <c r="Q559" s="215"/>
      <c r="R559" s="5"/>
      <c r="S559" s="5"/>
      <c r="T559" s="5"/>
      <c r="U559" s="5"/>
      <c r="V559" s="5"/>
      <c r="W559" s="5"/>
      <c r="X559" s="5"/>
      <c r="Y559" s="5"/>
      <c r="Z559" s="5"/>
      <c r="AA559" s="5"/>
      <c r="AB559" s="5"/>
      <c r="AC559" s="5"/>
      <c r="AD559" s="5"/>
      <c r="AE559" s="5"/>
      <c r="AF559" s="5"/>
      <c r="AG559" s="5"/>
    </row>
    <row r="560" spans="3:33" ht="12.75" customHeight="1">
      <c r="C560" s="5"/>
      <c r="D560" s="5"/>
      <c r="E560" s="5"/>
      <c r="F560" s="5"/>
      <c r="G560" s="217"/>
      <c r="H560" s="198"/>
      <c r="I560" s="198"/>
      <c r="J560" s="888"/>
      <c r="K560" s="217"/>
      <c r="L560" s="306"/>
      <c r="M560" s="306"/>
      <c r="N560" s="306"/>
      <c r="O560" s="306"/>
      <c r="P560" s="306"/>
      <c r="Q560" s="215"/>
      <c r="R560" s="5"/>
      <c r="S560" s="5"/>
      <c r="T560" s="5"/>
      <c r="U560" s="5"/>
      <c r="V560" s="5"/>
      <c r="W560" s="5"/>
      <c r="X560" s="5"/>
      <c r="Y560" s="5"/>
      <c r="Z560" s="5"/>
      <c r="AA560" s="5"/>
      <c r="AB560" s="5"/>
      <c r="AC560" s="5"/>
      <c r="AD560" s="5"/>
      <c r="AE560" s="5"/>
      <c r="AF560" s="5"/>
      <c r="AG560" s="5"/>
    </row>
    <row r="561" spans="3:33" ht="12.75" customHeight="1">
      <c r="C561" s="5"/>
      <c r="D561" s="5"/>
      <c r="E561" s="5"/>
      <c r="F561" s="5"/>
      <c r="G561" s="217"/>
      <c r="H561" s="198"/>
      <c r="I561" s="198"/>
      <c r="J561" s="888"/>
      <c r="K561" s="217"/>
      <c r="L561" s="306"/>
      <c r="M561" s="306"/>
      <c r="N561" s="306"/>
      <c r="O561" s="306"/>
      <c r="P561" s="306"/>
      <c r="Q561" s="215"/>
      <c r="R561" s="5"/>
      <c r="S561" s="5"/>
      <c r="T561" s="5"/>
      <c r="U561" s="5"/>
      <c r="V561" s="5"/>
      <c r="W561" s="5"/>
      <c r="X561" s="5"/>
      <c r="Y561" s="5"/>
      <c r="Z561" s="5"/>
      <c r="AA561" s="5"/>
      <c r="AB561" s="5"/>
      <c r="AC561" s="5"/>
      <c r="AD561" s="5"/>
      <c r="AE561" s="5"/>
      <c r="AF561" s="5"/>
      <c r="AG561" s="5"/>
    </row>
    <row r="562" spans="3:33" ht="12.75" customHeight="1">
      <c r="C562" s="5"/>
      <c r="D562" s="5"/>
      <c r="E562" s="5"/>
      <c r="F562" s="5"/>
      <c r="G562" s="217"/>
      <c r="H562" s="198"/>
      <c r="I562" s="198"/>
      <c r="J562" s="888"/>
      <c r="K562" s="217"/>
      <c r="L562" s="306"/>
      <c r="M562" s="306"/>
      <c r="N562" s="306"/>
      <c r="O562" s="306"/>
      <c r="P562" s="306"/>
      <c r="Q562" s="215"/>
      <c r="R562" s="5"/>
      <c r="S562" s="5"/>
      <c r="T562" s="5"/>
      <c r="U562" s="5"/>
      <c r="V562" s="5"/>
      <c r="W562" s="5"/>
      <c r="X562" s="5"/>
      <c r="Y562" s="5"/>
      <c r="Z562" s="5"/>
      <c r="AA562" s="5"/>
      <c r="AB562" s="5"/>
      <c r="AC562" s="5"/>
      <c r="AD562" s="5"/>
      <c r="AE562" s="5"/>
      <c r="AF562" s="5"/>
      <c r="AG562" s="5"/>
    </row>
    <row r="563" spans="3:33" ht="12.75" customHeight="1">
      <c r="C563" s="5"/>
      <c r="D563" s="5"/>
      <c r="E563" s="5"/>
      <c r="F563" s="5"/>
      <c r="G563" s="217"/>
      <c r="H563" s="198"/>
      <c r="I563" s="198"/>
      <c r="J563" s="888"/>
      <c r="K563" s="217"/>
      <c r="L563" s="306"/>
      <c r="M563" s="306"/>
      <c r="N563" s="306"/>
      <c r="O563" s="306"/>
      <c r="P563" s="306"/>
      <c r="Q563" s="215"/>
      <c r="R563" s="5"/>
      <c r="S563" s="5"/>
      <c r="T563" s="5"/>
      <c r="U563" s="5"/>
      <c r="V563" s="5"/>
      <c r="W563" s="5"/>
      <c r="X563" s="5"/>
      <c r="Y563" s="5"/>
      <c r="Z563" s="5"/>
      <c r="AA563" s="5"/>
      <c r="AB563" s="5"/>
      <c r="AC563" s="5"/>
      <c r="AD563" s="5"/>
      <c r="AE563" s="5"/>
      <c r="AF563" s="5"/>
      <c r="AG563" s="5"/>
    </row>
    <row r="564" spans="3:33" ht="12.75" customHeight="1">
      <c r="C564" s="5"/>
      <c r="D564" s="5"/>
      <c r="E564" s="5"/>
      <c r="F564" s="5"/>
      <c r="G564" s="217"/>
      <c r="H564" s="198"/>
      <c r="I564" s="198"/>
      <c r="J564" s="888"/>
      <c r="K564" s="217"/>
      <c r="L564" s="306"/>
      <c r="M564" s="306"/>
      <c r="N564" s="306"/>
      <c r="O564" s="306"/>
      <c r="P564" s="306"/>
      <c r="Q564" s="215"/>
      <c r="R564" s="5"/>
      <c r="S564" s="5"/>
      <c r="T564" s="5"/>
      <c r="U564" s="5"/>
      <c r="V564" s="5"/>
      <c r="W564" s="5"/>
      <c r="X564" s="5"/>
      <c r="Y564" s="5"/>
      <c r="Z564" s="5"/>
      <c r="AA564" s="5"/>
      <c r="AB564" s="5"/>
      <c r="AC564" s="5"/>
      <c r="AD564" s="5"/>
      <c r="AE564" s="5"/>
      <c r="AF564" s="5"/>
      <c r="AG564" s="5"/>
    </row>
    <row r="565" spans="3:33" ht="12.75" customHeight="1">
      <c r="C565" s="5"/>
      <c r="D565" s="5"/>
      <c r="E565" s="5"/>
      <c r="F565" s="5"/>
      <c r="G565" s="217"/>
      <c r="H565" s="198"/>
      <c r="I565" s="198"/>
      <c r="J565" s="888"/>
      <c r="K565" s="217"/>
      <c r="L565" s="306"/>
      <c r="M565" s="306"/>
      <c r="N565" s="306"/>
      <c r="O565" s="306"/>
      <c r="P565" s="306"/>
      <c r="Q565" s="215"/>
      <c r="R565" s="5"/>
      <c r="S565" s="5"/>
      <c r="T565" s="5"/>
      <c r="U565" s="5"/>
      <c r="V565" s="5"/>
      <c r="W565" s="5"/>
      <c r="X565" s="5"/>
      <c r="Y565" s="5"/>
      <c r="Z565" s="5"/>
      <c r="AA565" s="5"/>
      <c r="AB565" s="5"/>
      <c r="AC565" s="5"/>
      <c r="AD565" s="5"/>
      <c r="AE565" s="5"/>
      <c r="AF565" s="5"/>
      <c r="AG565" s="5"/>
    </row>
    <row r="566" spans="3:33" ht="12.75" customHeight="1">
      <c r="C566" s="5"/>
      <c r="D566" s="5"/>
      <c r="E566" s="5"/>
      <c r="F566" s="5"/>
      <c r="G566" s="217"/>
      <c r="H566" s="198"/>
      <c r="I566" s="198"/>
      <c r="J566" s="888"/>
      <c r="K566" s="217"/>
      <c r="L566" s="306"/>
      <c r="M566" s="306"/>
      <c r="N566" s="306"/>
      <c r="O566" s="306"/>
      <c r="P566" s="306"/>
      <c r="Q566" s="215"/>
      <c r="R566" s="5"/>
      <c r="S566" s="5"/>
      <c r="T566" s="5"/>
      <c r="U566" s="5"/>
      <c r="V566" s="5"/>
      <c r="W566" s="5"/>
      <c r="X566" s="5"/>
      <c r="Y566" s="5"/>
      <c r="Z566" s="5"/>
      <c r="AA566" s="5"/>
      <c r="AB566" s="5"/>
      <c r="AC566" s="5"/>
      <c r="AD566" s="5"/>
      <c r="AE566" s="5"/>
      <c r="AF566" s="5"/>
      <c r="AG566" s="5"/>
    </row>
    <row r="567" spans="3:33" ht="12.75" customHeight="1">
      <c r="C567" s="5"/>
      <c r="D567" s="5"/>
      <c r="E567" s="5"/>
      <c r="F567" s="5"/>
      <c r="G567" s="217"/>
      <c r="H567" s="198"/>
      <c r="I567" s="198"/>
      <c r="J567" s="888"/>
      <c r="K567" s="217"/>
      <c r="L567" s="306"/>
      <c r="M567" s="306"/>
      <c r="N567" s="306"/>
      <c r="O567" s="306"/>
      <c r="P567" s="306"/>
      <c r="Q567" s="215"/>
      <c r="R567" s="5"/>
      <c r="S567" s="5"/>
      <c r="T567" s="5"/>
      <c r="U567" s="5"/>
      <c r="V567" s="5"/>
      <c r="W567" s="5"/>
      <c r="X567" s="5"/>
      <c r="Y567" s="5"/>
      <c r="Z567" s="5"/>
      <c r="AA567" s="5"/>
      <c r="AB567" s="5"/>
      <c r="AC567" s="5"/>
      <c r="AD567" s="5"/>
      <c r="AE567" s="5"/>
      <c r="AF567" s="5"/>
      <c r="AG567" s="5"/>
    </row>
    <row r="568" spans="3:33" ht="12.75" customHeight="1">
      <c r="C568" s="5"/>
      <c r="D568" s="5"/>
      <c r="E568" s="5"/>
      <c r="F568" s="5"/>
      <c r="G568" s="217"/>
      <c r="H568" s="198"/>
      <c r="I568" s="198"/>
      <c r="J568" s="888"/>
      <c r="K568" s="217"/>
      <c r="L568" s="306"/>
      <c r="M568" s="306"/>
      <c r="N568" s="306"/>
      <c r="O568" s="306"/>
      <c r="P568" s="306"/>
      <c r="Q568" s="215"/>
      <c r="R568" s="5"/>
      <c r="S568" s="5"/>
      <c r="T568" s="5"/>
      <c r="U568" s="5"/>
      <c r="V568" s="5"/>
      <c r="W568" s="5"/>
      <c r="X568" s="5"/>
      <c r="Y568" s="5"/>
      <c r="Z568" s="5"/>
      <c r="AA568" s="5"/>
      <c r="AB568" s="5"/>
      <c r="AC568" s="5"/>
      <c r="AD568" s="5"/>
      <c r="AE568" s="5"/>
      <c r="AF568" s="5"/>
      <c r="AG568" s="5"/>
    </row>
    <row r="569" spans="3:33" ht="12.75" customHeight="1">
      <c r="C569" s="5"/>
      <c r="D569" s="5"/>
      <c r="E569" s="5"/>
      <c r="F569" s="5"/>
      <c r="G569" s="217"/>
      <c r="H569" s="198"/>
      <c r="I569" s="198"/>
      <c r="J569" s="888"/>
      <c r="K569" s="217"/>
      <c r="L569" s="306"/>
      <c r="M569" s="306"/>
      <c r="N569" s="306"/>
      <c r="O569" s="306"/>
      <c r="P569" s="306"/>
      <c r="Q569" s="215"/>
      <c r="R569" s="5"/>
      <c r="S569" s="5"/>
      <c r="T569" s="5"/>
      <c r="U569" s="5"/>
      <c r="V569" s="5"/>
      <c r="W569" s="5"/>
      <c r="X569" s="5"/>
      <c r="Y569" s="5"/>
      <c r="Z569" s="5"/>
      <c r="AA569" s="5"/>
      <c r="AB569" s="5"/>
      <c r="AC569" s="5"/>
      <c r="AD569" s="5"/>
      <c r="AE569" s="5"/>
      <c r="AF569" s="5"/>
      <c r="AG569" s="5"/>
    </row>
    <row r="570" spans="3:33" ht="12.75" customHeight="1">
      <c r="C570" s="5"/>
      <c r="D570" s="5"/>
      <c r="E570" s="5"/>
      <c r="F570" s="5"/>
      <c r="G570" s="217"/>
      <c r="H570" s="198"/>
      <c r="I570" s="198"/>
      <c r="J570" s="888"/>
      <c r="K570" s="217"/>
      <c r="L570" s="306"/>
      <c r="M570" s="306"/>
      <c r="N570" s="306"/>
      <c r="O570" s="306"/>
      <c r="P570" s="306"/>
      <c r="Q570" s="215"/>
      <c r="R570" s="5"/>
      <c r="S570" s="5"/>
      <c r="T570" s="5"/>
      <c r="U570" s="5"/>
      <c r="V570" s="5"/>
      <c r="W570" s="5"/>
      <c r="X570" s="5"/>
      <c r="Y570" s="5"/>
      <c r="Z570" s="5"/>
      <c r="AA570" s="5"/>
      <c r="AB570" s="5"/>
      <c r="AC570" s="5"/>
      <c r="AD570" s="5"/>
      <c r="AE570" s="5"/>
      <c r="AF570" s="5"/>
      <c r="AG570" s="5"/>
    </row>
    <row r="571" spans="3:33" ht="12.75" customHeight="1">
      <c r="C571" s="5"/>
      <c r="D571" s="5"/>
      <c r="E571" s="5"/>
      <c r="F571" s="5"/>
      <c r="G571" s="217"/>
      <c r="H571" s="198"/>
      <c r="I571" s="198"/>
      <c r="J571" s="888"/>
      <c r="K571" s="217"/>
      <c r="L571" s="306"/>
      <c r="M571" s="306"/>
      <c r="N571" s="306"/>
      <c r="O571" s="306"/>
      <c r="P571" s="306"/>
      <c r="Q571" s="215"/>
      <c r="R571" s="5"/>
      <c r="S571" s="5"/>
      <c r="T571" s="5"/>
      <c r="U571" s="5"/>
      <c r="V571" s="5"/>
      <c r="W571" s="5"/>
      <c r="X571" s="5"/>
      <c r="Y571" s="5"/>
      <c r="Z571" s="5"/>
      <c r="AA571" s="5"/>
      <c r="AB571" s="5"/>
      <c r="AC571" s="5"/>
      <c r="AD571" s="5"/>
      <c r="AE571" s="5"/>
      <c r="AF571" s="5"/>
      <c r="AG571" s="5"/>
    </row>
    <row r="572" spans="3:33" ht="12.75" customHeight="1">
      <c r="C572" s="5"/>
      <c r="D572" s="5"/>
      <c r="E572" s="5"/>
      <c r="F572" s="5"/>
      <c r="G572" s="217"/>
      <c r="H572" s="198"/>
      <c r="I572" s="198"/>
      <c r="J572" s="888"/>
      <c r="K572" s="217"/>
      <c r="L572" s="306"/>
      <c r="M572" s="306"/>
      <c r="N572" s="306"/>
      <c r="O572" s="306"/>
      <c r="P572" s="306"/>
      <c r="Q572" s="215"/>
      <c r="R572" s="5"/>
      <c r="S572" s="5"/>
      <c r="T572" s="5"/>
      <c r="U572" s="5"/>
      <c r="V572" s="5"/>
      <c r="W572" s="5"/>
      <c r="X572" s="5"/>
      <c r="Y572" s="5"/>
      <c r="Z572" s="5"/>
      <c r="AA572" s="5"/>
      <c r="AB572" s="5"/>
      <c r="AC572" s="5"/>
      <c r="AD572" s="5"/>
      <c r="AE572" s="5"/>
      <c r="AF572" s="5"/>
      <c r="AG572" s="5"/>
    </row>
    <row r="573" spans="3:33" ht="12.75" customHeight="1">
      <c r="C573" s="5"/>
      <c r="D573" s="5"/>
      <c r="E573" s="5"/>
      <c r="F573" s="5"/>
      <c r="G573" s="217"/>
      <c r="H573" s="198"/>
      <c r="I573" s="198"/>
      <c r="J573" s="888"/>
      <c r="K573" s="217"/>
      <c r="L573" s="306"/>
      <c r="M573" s="306"/>
      <c r="N573" s="306"/>
      <c r="O573" s="306"/>
      <c r="P573" s="306"/>
      <c r="Q573" s="215"/>
      <c r="R573" s="5"/>
      <c r="S573" s="5"/>
      <c r="T573" s="5"/>
      <c r="U573" s="5"/>
      <c r="V573" s="5"/>
      <c r="W573" s="5"/>
      <c r="X573" s="5"/>
      <c r="Y573" s="5"/>
      <c r="Z573" s="5"/>
      <c r="AA573" s="5"/>
      <c r="AB573" s="5"/>
      <c r="AC573" s="5"/>
      <c r="AD573" s="5"/>
      <c r="AE573" s="5"/>
      <c r="AF573" s="5"/>
      <c r="AG573" s="5"/>
    </row>
    <row r="574" spans="3:33" ht="12.75" customHeight="1">
      <c r="C574" s="5"/>
      <c r="D574" s="5"/>
      <c r="E574" s="5"/>
      <c r="F574" s="5"/>
      <c r="G574" s="217"/>
      <c r="H574" s="198"/>
      <c r="I574" s="198"/>
      <c r="J574" s="888"/>
      <c r="K574" s="217"/>
      <c r="L574" s="306"/>
      <c r="M574" s="306"/>
      <c r="N574" s="306"/>
      <c r="O574" s="306"/>
      <c r="P574" s="306"/>
      <c r="Q574" s="215"/>
      <c r="R574" s="5"/>
      <c r="S574" s="5"/>
      <c r="T574" s="5"/>
      <c r="U574" s="5"/>
      <c r="V574" s="5"/>
      <c r="W574" s="5"/>
      <c r="X574" s="5"/>
      <c r="Y574" s="5"/>
      <c r="Z574" s="5"/>
      <c r="AA574" s="5"/>
      <c r="AB574" s="5"/>
      <c r="AC574" s="5"/>
      <c r="AD574" s="5"/>
      <c r="AE574" s="5"/>
      <c r="AF574" s="5"/>
      <c r="AG574" s="5"/>
    </row>
    <row r="575" spans="3:33" ht="12.75" customHeight="1">
      <c r="C575" s="5"/>
      <c r="D575" s="5"/>
      <c r="E575" s="5"/>
      <c r="F575" s="5"/>
      <c r="G575" s="217"/>
      <c r="H575" s="198"/>
      <c r="I575" s="198"/>
      <c r="J575" s="888"/>
      <c r="K575" s="217"/>
      <c r="L575" s="306"/>
      <c r="M575" s="306"/>
      <c r="N575" s="306"/>
      <c r="O575" s="306"/>
      <c r="P575" s="306"/>
      <c r="Q575" s="215"/>
      <c r="R575" s="5"/>
      <c r="S575" s="5"/>
      <c r="T575" s="5"/>
      <c r="U575" s="5"/>
      <c r="V575" s="5"/>
      <c r="W575" s="5"/>
      <c r="X575" s="5"/>
      <c r="Y575" s="5"/>
      <c r="Z575" s="5"/>
      <c r="AA575" s="5"/>
      <c r="AB575" s="5"/>
      <c r="AC575" s="5"/>
      <c r="AD575" s="5"/>
      <c r="AE575" s="5"/>
      <c r="AF575" s="5"/>
      <c r="AG575" s="5"/>
    </row>
    <row r="576" spans="3:33" ht="12.75" customHeight="1">
      <c r="C576" s="5"/>
      <c r="D576" s="5"/>
      <c r="E576" s="5"/>
      <c r="F576" s="5"/>
      <c r="G576" s="217"/>
      <c r="H576" s="198"/>
      <c r="I576" s="198"/>
      <c r="J576" s="888"/>
      <c r="K576" s="217"/>
      <c r="L576" s="306"/>
      <c r="M576" s="306"/>
      <c r="N576" s="306"/>
      <c r="O576" s="306"/>
      <c r="P576" s="306"/>
      <c r="Q576" s="215"/>
      <c r="R576" s="5"/>
      <c r="S576" s="5"/>
      <c r="T576" s="5"/>
      <c r="U576" s="5"/>
      <c r="V576" s="5"/>
      <c r="W576" s="5"/>
      <c r="X576" s="5"/>
      <c r="Y576" s="5"/>
      <c r="Z576" s="5"/>
      <c r="AA576" s="5"/>
      <c r="AB576" s="5"/>
      <c r="AC576" s="5"/>
      <c r="AD576" s="5"/>
      <c r="AE576" s="5"/>
      <c r="AF576" s="5"/>
      <c r="AG576" s="5"/>
    </row>
    <row r="577" spans="3:33" ht="12.75" customHeight="1">
      <c r="C577" s="5"/>
      <c r="D577" s="5"/>
      <c r="E577" s="5"/>
      <c r="F577" s="5"/>
      <c r="G577" s="217"/>
      <c r="H577" s="198"/>
      <c r="I577" s="198"/>
      <c r="J577" s="888"/>
      <c r="K577" s="217"/>
      <c r="L577" s="306"/>
      <c r="M577" s="306"/>
      <c r="N577" s="306"/>
      <c r="O577" s="306"/>
      <c r="P577" s="306"/>
      <c r="Q577" s="215"/>
      <c r="R577" s="5"/>
      <c r="S577" s="5"/>
      <c r="T577" s="5"/>
      <c r="U577" s="5"/>
      <c r="V577" s="5"/>
      <c r="W577" s="5"/>
      <c r="X577" s="5"/>
      <c r="Y577" s="5"/>
      <c r="Z577" s="5"/>
      <c r="AA577" s="5"/>
      <c r="AB577" s="5"/>
      <c r="AC577" s="5"/>
      <c r="AD577" s="5"/>
      <c r="AE577" s="5"/>
      <c r="AF577" s="5"/>
      <c r="AG577" s="5"/>
    </row>
    <row r="578" spans="3:33" ht="12.75" customHeight="1">
      <c r="C578" s="5"/>
      <c r="D578" s="5"/>
      <c r="E578" s="5"/>
      <c r="F578" s="5"/>
      <c r="G578" s="217"/>
      <c r="H578" s="198"/>
      <c r="I578" s="198"/>
      <c r="J578" s="888"/>
      <c r="K578" s="217"/>
      <c r="L578" s="306"/>
      <c r="M578" s="306"/>
      <c r="N578" s="306"/>
      <c r="O578" s="306"/>
      <c r="P578" s="306"/>
      <c r="Q578" s="215"/>
      <c r="R578" s="5"/>
      <c r="S578" s="5"/>
      <c r="T578" s="5"/>
      <c r="U578" s="5"/>
      <c r="V578" s="5"/>
      <c r="W578" s="5"/>
      <c r="X578" s="5"/>
      <c r="Y578" s="5"/>
      <c r="Z578" s="5"/>
      <c r="AA578" s="5"/>
      <c r="AB578" s="5"/>
      <c r="AC578" s="5"/>
      <c r="AD578" s="5"/>
      <c r="AE578" s="5"/>
      <c r="AF578" s="5"/>
      <c r="AG578" s="5"/>
    </row>
    <row r="579" spans="3:33" ht="12.75" customHeight="1">
      <c r="C579" s="5"/>
      <c r="D579" s="5"/>
      <c r="E579" s="5"/>
      <c r="F579" s="5"/>
      <c r="G579" s="217"/>
      <c r="H579" s="198"/>
      <c r="I579" s="198"/>
      <c r="J579" s="888"/>
      <c r="K579" s="217"/>
      <c r="L579" s="306"/>
      <c r="M579" s="306"/>
      <c r="N579" s="306"/>
      <c r="O579" s="306"/>
      <c r="P579" s="306"/>
      <c r="Q579" s="215"/>
      <c r="R579" s="5"/>
      <c r="S579" s="5"/>
      <c r="T579" s="5"/>
      <c r="U579" s="5"/>
      <c r="V579" s="5"/>
      <c r="W579" s="5"/>
      <c r="X579" s="5"/>
      <c r="Y579" s="5"/>
      <c r="Z579" s="5"/>
      <c r="AA579" s="5"/>
      <c r="AB579" s="5"/>
      <c r="AC579" s="5"/>
      <c r="AD579" s="5"/>
      <c r="AE579" s="5"/>
      <c r="AF579" s="5"/>
      <c r="AG579" s="5"/>
    </row>
    <row r="580" spans="3:33" ht="12.75" customHeight="1">
      <c r="C580" s="5"/>
      <c r="D580" s="5"/>
      <c r="E580" s="5"/>
      <c r="F580" s="5"/>
      <c r="G580" s="217"/>
      <c r="H580" s="198"/>
      <c r="I580" s="198"/>
      <c r="J580" s="888"/>
      <c r="K580" s="217"/>
      <c r="L580" s="306"/>
      <c r="M580" s="306"/>
      <c r="N580" s="306"/>
      <c r="O580" s="306"/>
      <c r="P580" s="306"/>
      <c r="Q580" s="215"/>
      <c r="R580" s="5"/>
      <c r="S580" s="5"/>
      <c r="T580" s="5"/>
      <c r="U580" s="5"/>
      <c r="V580" s="5"/>
      <c r="W580" s="5"/>
      <c r="X580" s="5"/>
      <c r="Y580" s="5"/>
      <c r="Z580" s="5"/>
      <c r="AA580" s="5"/>
      <c r="AB580" s="5"/>
      <c r="AC580" s="5"/>
      <c r="AD580" s="5"/>
      <c r="AE580" s="5"/>
      <c r="AF580" s="5"/>
      <c r="AG580" s="5"/>
    </row>
    <row r="581" spans="3:33" ht="12.75" customHeight="1">
      <c r="C581" s="5"/>
      <c r="D581" s="5"/>
      <c r="E581" s="5"/>
      <c r="F581" s="5"/>
      <c r="G581" s="217"/>
      <c r="H581" s="198"/>
      <c r="I581" s="198"/>
      <c r="J581" s="888"/>
      <c r="K581" s="217"/>
      <c r="L581" s="306"/>
      <c r="M581" s="306"/>
      <c r="N581" s="306"/>
      <c r="O581" s="306"/>
      <c r="P581" s="306"/>
      <c r="Q581" s="215"/>
      <c r="R581" s="5"/>
      <c r="S581" s="5"/>
      <c r="T581" s="5"/>
      <c r="U581" s="5"/>
      <c r="V581" s="5"/>
      <c r="W581" s="5"/>
      <c r="X581" s="5"/>
      <c r="Y581" s="5"/>
      <c r="Z581" s="5"/>
      <c r="AA581" s="5"/>
      <c r="AB581" s="5"/>
      <c r="AC581" s="5"/>
      <c r="AD581" s="5"/>
      <c r="AE581" s="5"/>
      <c r="AF581" s="5"/>
      <c r="AG581" s="5"/>
    </row>
    <row r="582" spans="3:33" ht="12.75" customHeight="1">
      <c r="C582" s="5"/>
      <c r="D582" s="5"/>
      <c r="E582" s="5"/>
      <c r="F582" s="5"/>
      <c r="G582" s="217"/>
      <c r="H582" s="198"/>
      <c r="I582" s="198"/>
      <c r="J582" s="888"/>
      <c r="K582" s="217"/>
      <c r="L582" s="306"/>
      <c r="M582" s="306"/>
      <c r="N582" s="306"/>
      <c r="O582" s="306"/>
      <c r="P582" s="306"/>
      <c r="Q582" s="215"/>
      <c r="R582" s="5"/>
      <c r="S582" s="5"/>
      <c r="T582" s="5"/>
      <c r="U582" s="5"/>
      <c r="V582" s="5"/>
      <c r="W582" s="5"/>
      <c r="X582" s="5"/>
      <c r="Y582" s="5"/>
      <c r="Z582" s="5"/>
      <c r="AA582" s="5"/>
      <c r="AB582" s="5"/>
      <c r="AC582" s="5"/>
      <c r="AD582" s="5"/>
      <c r="AE582" s="5"/>
      <c r="AF582" s="5"/>
      <c r="AG582" s="5"/>
    </row>
    <row r="583" spans="3:33" ht="12.75" customHeight="1">
      <c r="C583" s="5"/>
      <c r="D583" s="5"/>
      <c r="E583" s="5"/>
      <c r="F583" s="5"/>
      <c r="G583" s="217"/>
      <c r="H583" s="198"/>
      <c r="I583" s="198"/>
      <c r="J583" s="888"/>
      <c r="K583" s="217"/>
      <c r="L583" s="306"/>
      <c r="M583" s="306"/>
      <c r="N583" s="306"/>
      <c r="O583" s="306"/>
      <c r="P583" s="306"/>
      <c r="Q583" s="215"/>
      <c r="R583" s="5"/>
      <c r="S583" s="5"/>
      <c r="T583" s="5"/>
      <c r="U583" s="5"/>
      <c r="V583" s="5"/>
      <c r="W583" s="5"/>
      <c r="X583" s="5"/>
      <c r="Y583" s="5"/>
      <c r="Z583" s="5"/>
      <c r="AA583" s="5"/>
      <c r="AB583" s="5"/>
      <c r="AC583" s="5"/>
      <c r="AD583" s="5"/>
      <c r="AE583" s="5"/>
      <c r="AF583" s="5"/>
      <c r="AG583" s="5"/>
    </row>
    <row r="584" spans="3:33" ht="12.75" customHeight="1">
      <c r="C584" s="5"/>
      <c r="D584" s="5"/>
      <c r="E584" s="5"/>
      <c r="F584" s="5"/>
      <c r="G584" s="217"/>
      <c r="H584" s="198"/>
      <c r="I584" s="198"/>
      <c r="J584" s="888"/>
      <c r="K584" s="217"/>
      <c r="L584" s="306"/>
      <c r="M584" s="306"/>
      <c r="N584" s="306"/>
      <c r="O584" s="306"/>
      <c r="P584" s="306"/>
      <c r="Q584" s="215"/>
      <c r="R584" s="5"/>
      <c r="S584" s="5"/>
      <c r="T584" s="5"/>
      <c r="U584" s="5"/>
      <c r="V584" s="5"/>
      <c r="W584" s="5"/>
      <c r="X584" s="5"/>
      <c r="Y584" s="5"/>
      <c r="Z584" s="5"/>
      <c r="AA584" s="5"/>
      <c r="AB584" s="5"/>
      <c r="AC584" s="5"/>
      <c r="AD584" s="5"/>
      <c r="AE584" s="5"/>
      <c r="AF584" s="5"/>
      <c r="AG584" s="5"/>
    </row>
    <row r="585" spans="3:33" ht="12.75" customHeight="1">
      <c r="C585" s="5"/>
      <c r="D585" s="5"/>
      <c r="E585" s="5"/>
      <c r="F585" s="5"/>
      <c r="G585" s="217"/>
      <c r="H585" s="198"/>
      <c r="I585" s="198"/>
      <c r="J585" s="888"/>
      <c r="K585" s="217"/>
      <c r="L585" s="306"/>
      <c r="M585" s="306"/>
      <c r="N585" s="306"/>
      <c r="O585" s="306"/>
      <c r="P585" s="306"/>
      <c r="Q585" s="215"/>
      <c r="R585" s="5"/>
      <c r="S585" s="5"/>
      <c r="T585" s="5"/>
      <c r="U585" s="5"/>
      <c r="V585" s="5"/>
      <c r="W585" s="5"/>
      <c r="X585" s="5"/>
      <c r="Y585" s="5"/>
      <c r="Z585" s="5"/>
      <c r="AA585" s="5"/>
      <c r="AB585" s="5"/>
      <c r="AC585" s="5"/>
      <c r="AD585" s="5"/>
      <c r="AE585" s="5"/>
      <c r="AF585" s="5"/>
      <c r="AG585" s="5"/>
    </row>
    <row r="586" spans="3:33" ht="12.75" customHeight="1">
      <c r="C586" s="5"/>
      <c r="D586" s="5"/>
      <c r="E586" s="5"/>
      <c r="F586" s="5"/>
      <c r="G586" s="217"/>
      <c r="H586" s="198"/>
      <c r="I586" s="198"/>
      <c r="J586" s="888"/>
      <c r="K586" s="217"/>
      <c r="L586" s="306"/>
      <c r="M586" s="306"/>
      <c r="N586" s="306"/>
      <c r="O586" s="306"/>
      <c r="P586" s="306"/>
      <c r="Q586" s="215"/>
      <c r="R586" s="5"/>
      <c r="S586" s="5"/>
      <c r="T586" s="5"/>
      <c r="U586" s="5"/>
      <c r="V586" s="5"/>
      <c r="W586" s="5"/>
      <c r="X586" s="5"/>
      <c r="Y586" s="5"/>
      <c r="Z586" s="5"/>
      <c r="AA586" s="5"/>
      <c r="AB586" s="5"/>
      <c r="AC586" s="5"/>
      <c r="AD586" s="5"/>
      <c r="AE586" s="5"/>
      <c r="AF586" s="5"/>
      <c r="AG586" s="5"/>
    </row>
    <row r="587" spans="3:33" ht="12.75" customHeight="1">
      <c r="C587" s="5"/>
      <c r="D587" s="5"/>
      <c r="E587" s="5"/>
      <c r="F587" s="5"/>
      <c r="G587" s="217"/>
      <c r="H587" s="198"/>
      <c r="I587" s="198"/>
      <c r="J587" s="888"/>
      <c r="K587" s="217"/>
      <c r="L587" s="306"/>
      <c r="M587" s="306"/>
      <c r="N587" s="306"/>
      <c r="O587" s="306"/>
      <c r="P587" s="306"/>
      <c r="Q587" s="215"/>
      <c r="R587" s="5"/>
      <c r="S587" s="5"/>
      <c r="T587" s="5"/>
      <c r="U587" s="5"/>
      <c r="V587" s="5"/>
      <c r="W587" s="5"/>
      <c r="X587" s="5"/>
      <c r="Y587" s="5"/>
      <c r="Z587" s="5"/>
      <c r="AA587" s="5"/>
      <c r="AB587" s="5"/>
      <c r="AC587" s="5"/>
      <c r="AD587" s="5"/>
      <c r="AE587" s="5"/>
      <c r="AF587" s="5"/>
      <c r="AG587" s="5"/>
    </row>
    <row r="588" spans="3:33" ht="12.75" customHeight="1">
      <c r="C588" s="5"/>
      <c r="D588" s="5"/>
      <c r="E588" s="5"/>
      <c r="F588" s="5"/>
      <c r="G588" s="217"/>
      <c r="H588" s="198"/>
      <c r="I588" s="198"/>
      <c r="J588" s="888"/>
      <c r="K588" s="217"/>
      <c r="L588" s="306"/>
      <c r="M588" s="306"/>
      <c r="N588" s="306"/>
      <c r="O588" s="306"/>
      <c r="P588" s="306"/>
      <c r="Q588" s="215"/>
      <c r="R588" s="5"/>
      <c r="S588" s="5"/>
      <c r="T588" s="5"/>
      <c r="U588" s="5"/>
      <c r="V588" s="5"/>
      <c r="W588" s="5"/>
      <c r="X588" s="5"/>
      <c r="Y588" s="5"/>
      <c r="Z588" s="5"/>
      <c r="AA588" s="5"/>
      <c r="AB588" s="5"/>
      <c r="AC588" s="5"/>
      <c r="AD588" s="5"/>
      <c r="AE588" s="5"/>
      <c r="AF588" s="5"/>
      <c r="AG588" s="5"/>
    </row>
    <row r="589" spans="3:33" ht="12.75" customHeight="1">
      <c r="C589" s="5"/>
      <c r="D589" s="5"/>
      <c r="E589" s="5"/>
      <c r="F589" s="5"/>
      <c r="G589" s="217"/>
      <c r="H589" s="198"/>
      <c r="I589" s="198"/>
      <c r="J589" s="888"/>
      <c r="K589" s="217"/>
      <c r="L589" s="306"/>
      <c r="M589" s="306"/>
      <c r="N589" s="306"/>
      <c r="O589" s="306"/>
      <c r="P589" s="306"/>
      <c r="Q589" s="215"/>
      <c r="R589" s="5"/>
      <c r="S589" s="5"/>
      <c r="T589" s="5"/>
      <c r="U589" s="5"/>
      <c r="V589" s="5"/>
      <c r="W589" s="5"/>
      <c r="X589" s="5"/>
      <c r="Y589" s="5"/>
      <c r="Z589" s="5"/>
      <c r="AA589" s="5"/>
      <c r="AB589" s="5"/>
      <c r="AC589" s="5"/>
      <c r="AD589" s="5"/>
      <c r="AE589" s="5"/>
      <c r="AF589" s="5"/>
      <c r="AG589" s="5"/>
    </row>
    <row r="590" spans="3:33" ht="12.75" customHeight="1">
      <c r="C590" s="5"/>
      <c r="D590" s="5"/>
      <c r="E590" s="5"/>
      <c r="F590" s="5"/>
      <c r="G590" s="217"/>
      <c r="H590" s="198"/>
      <c r="I590" s="198"/>
      <c r="J590" s="888"/>
      <c r="K590" s="217"/>
      <c r="L590" s="306"/>
      <c r="M590" s="306"/>
      <c r="N590" s="306"/>
      <c r="O590" s="306"/>
      <c r="P590" s="306"/>
      <c r="Q590" s="215"/>
      <c r="R590" s="5"/>
      <c r="S590" s="5"/>
      <c r="T590" s="5"/>
      <c r="U590" s="5"/>
      <c r="V590" s="5"/>
      <c r="W590" s="5"/>
      <c r="X590" s="5"/>
      <c r="Y590" s="5"/>
      <c r="Z590" s="5"/>
      <c r="AA590" s="5"/>
      <c r="AB590" s="5"/>
      <c r="AC590" s="5"/>
      <c r="AD590" s="5"/>
      <c r="AE590" s="5"/>
      <c r="AF590" s="5"/>
      <c r="AG590" s="5"/>
    </row>
    <row r="591" spans="3:33" ht="12.75" customHeight="1">
      <c r="C591" s="5"/>
      <c r="D591" s="5"/>
      <c r="E591" s="5"/>
      <c r="F591" s="5"/>
      <c r="G591" s="217"/>
      <c r="H591" s="198"/>
      <c r="I591" s="198"/>
      <c r="J591" s="888"/>
      <c r="K591" s="217"/>
      <c r="L591" s="306"/>
      <c r="M591" s="306"/>
      <c r="N591" s="306"/>
      <c r="O591" s="306"/>
      <c r="P591" s="306"/>
      <c r="Q591" s="215"/>
      <c r="R591" s="5"/>
      <c r="S591" s="5"/>
      <c r="T591" s="5"/>
      <c r="U591" s="5"/>
      <c r="V591" s="5"/>
      <c r="W591" s="5"/>
      <c r="X591" s="5"/>
      <c r="Y591" s="5"/>
      <c r="Z591" s="5"/>
      <c r="AA591" s="5"/>
      <c r="AB591" s="5"/>
      <c r="AC591" s="5"/>
      <c r="AD591" s="5"/>
      <c r="AE591" s="5"/>
      <c r="AF591" s="5"/>
      <c r="AG591" s="5"/>
    </row>
    <row r="592" spans="3:33" ht="12.75" customHeight="1">
      <c r="C592" s="5"/>
      <c r="D592" s="5"/>
      <c r="E592" s="5"/>
      <c r="F592" s="5"/>
      <c r="G592" s="217"/>
      <c r="H592" s="198"/>
      <c r="I592" s="198"/>
      <c r="J592" s="888"/>
      <c r="K592" s="217"/>
      <c r="L592" s="306"/>
      <c r="M592" s="306"/>
      <c r="N592" s="306"/>
      <c r="O592" s="306"/>
      <c r="P592" s="306"/>
      <c r="Q592" s="215"/>
      <c r="R592" s="5"/>
      <c r="S592" s="5"/>
      <c r="T592" s="5"/>
      <c r="U592" s="5"/>
      <c r="V592" s="5"/>
      <c r="W592" s="5"/>
      <c r="X592" s="5"/>
      <c r="Y592" s="5"/>
      <c r="Z592" s="5"/>
      <c r="AA592" s="5"/>
      <c r="AB592" s="5"/>
      <c r="AC592" s="5"/>
      <c r="AD592" s="5"/>
      <c r="AE592" s="5"/>
      <c r="AF592" s="5"/>
      <c r="AG592" s="5"/>
    </row>
    <row r="593" spans="3:33" ht="12.75" customHeight="1">
      <c r="C593" s="5"/>
      <c r="D593" s="5"/>
      <c r="E593" s="5"/>
      <c r="F593" s="5"/>
      <c r="G593" s="217"/>
      <c r="H593" s="198"/>
      <c r="I593" s="198"/>
      <c r="J593" s="888"/>
      <c r="K593" s="217"/>
      <c r="L593" s="306"/>
      <c r="M593" s="306"/>
      <c r="N593" s="306"/>
      <c r="O593" s="306"/>
      <c r="P593" s="306"/>
      <c r="Q593" s="215"/>
      <c r="R593" s="5"/>
      <c r="S593" s="5"/>
      <c r="T593" s="5"/>
      <c r="U593" s="5"/>
      <c r="V593" s="5"/>
      <c r="W593" s="5"/>
      <c r="X593" s="5"/>
      <c r="Y593" s="5"/>
      <c r="Z593" s="5"/>
      <c r="AA593" s="5"/>
      <c r="AB593" s="5"/>
      <c r="AC593" s="5"/>
      <c r="AD593" s="5"/>
      <c r="AE593" s="5"/>
      <c r="AF593" s="5"/>
      <c r="AG593" s="5"/>
    </row>
    <row r="594" spans="3:33" ht="12.75" customHeight="1">
      <c r="C594" s="5"/>
      <c r="D594" s="5"/>
      <c r="E594" s="5"/>
      <c r="F594" s="5"/>
      <c r="G594" s="217"/>
      <c r="H594" s="198"/>
      <c r="I594" s="198"/>
      <c r="J594" s="888"/>
      <c r="K594" s="217"/>
      <c r="L594" s="306"/>
      <c r="M594" s="306"/>
      <c r="N594" s="306"/>
      <c r="O594" s="306"/>
      <c r="P594" s="306"/>
      <c r="Q594" s="215"/>
      <c r="R594" s="5"/>
      <c r="S594" s="5"/>
      <c r="T594" s="5"/>
      <c r="U594" s="5"/>
      <c r="V594" s="5"/>
      <c r="W594" s="5"/>
      <c r="X594" s="5"/>
      <c r="Y594" s="5"/>
      <c r="Z594" s="5"/>
      <c r="AA594" s="5"/>
      <c r="AB594" s="5"/>
      <c r="AC594" s="5"/>
      <c r="AD594" s="5"/>
      <c r="AE594" s="5"/>
      <c r="AF594" s="5"/>
      <c r="AG594" s="5"/>
    </row>
    <row r="595" spans="3:33" ht="12.75" customHeight="1">
      <c r="C595" s="5"/>
      <c r="D595" s="5"/>
      <c r="E595" s="5"/>
      <c r="F595" s="5"/>
      <c r="G595" s="217"/>
      <c r="H595" s="198"/>
      <c r="I595" s="198"/>
      <c r="J595" s="888"/>
      <c r="K595" s="217"/>
      <c r="L595" s="306"/>
      <c r="M595" s="306"/>
      <c r="N595" s="306"/>
      <c r="O595" s="306"/>
      <c r="P595" s="306"/>
      <c r="Q595" s="215"/>
      <c r="R595" s="5"/>
      <c r="S595" s="5"/>
      <c r="T595" s="5"/>
      <c r="U595" s="5"/>
      <c r="V595" s="5"/>
      <c r="W595" s="5"/>
      <c r="X595" s="5"/>
      <c r="Y595" s="5"/>
      <c r="Z595" s="5"/>
      <c r="AA595" s="5"/>
      <c r="AB595" s="5"/>
      <c r="AC595" s="5"/>
      <c r="AD595" s="5"/>
      <c r="AE595" s="5"/>
      <c r="AF595" s="5"/>
      <c r="AG595" s="5"/>
    </row>
    <row r="596" spans="3:33" ht="12.75" customHeight="1">
      <c r="C596" s="5"/>
      <c r="D596" s="5"/>
      <c r="E596" s="5"/>
      <c r="F596" s="5"/>
      <c r="G596" s="217"/>
      <c r="H596" s="198"/>
      <c r="I596" s="198"/>
      <c r="J596" s="888"/>
      <c r="K596" s="217"/>
      <c r="L596" s="306"/>
      <c r="M596" s="306"/>
      <c r="N596" s="306"/>
      <c r="O596" s="306"/>
      <c r="P596" s="306"/>
      <c r="Q596" s="215"/>
      <c r="R596" s="5"/>
      <c r="S596" s="5"/>
      <c r="T596" s="5"/>
      <c r="U596" s="5"/>
      <c r="V596" s="5"/>
      <c r="W596" s="5"/>
      <c r="X596" s="5"/>
      <c r="Y596" s="5"/>
      <c r="Z596" s="5"/>
      <c r="AA596" s="5"/>
      <c r="AB596" s="5"/>
      <c r="AC596" s="5"/>
      <c r="AD596" s="5"/>
      <c r="AE596" s="5"/>
      <c r="AF596" s="5"/>
      <c r="AG596" s="5"/>
    </row>
    <row r="597" spans="3:33" ht="12.75" customHeight="1">
      <c r="C597" s="5"/>
      <c r="D597" s="5"/>
      <c r="E597" s="5"/>
      <c r="F597" s="5"/>
      <c r="G597" s="217"/>
      <c r="H597" s="198"/>
      <c r="I597" s="198"/>
      <c r="J597" s="888"/>
      <c r="K597" s="217"/>
      <c r="L597" s="306"/>
      <c r="M597" s="306"/>
      <c r="N597" s="306"/>
      <c r="O597" s="306"/>
      <c r="P597" s="306"/>
      <c r="Q597" s="215"/>
      <c r="R597" s="5"/>
      <c r="S597" s="5"/>
      <c r="T597" s="5"/>
      <c r="U597" s="5"/>
      <c r="V597" s="5"/>
      <c r="W597" s="5"/>
      <c r="X597" s="5"/>
      <c r="Y597" s="5"/>
      <c r="Z597" s="5"/>
      <c r="AA597" s="5"/>
      <c r="AB597" s="5"/>
      <c r="AC597" s="5"/>
      <c r="AD597" s="5"/>
      <c r="AE597" s="5"/>
      <c r="AF597" s="5"/>
      <c r="AG597" s="5"/>
    </row>
    <row r="598" spans="3:33" ht="12.75" customHeight="1">
      <c r="C598" s="5"/>
      <c r="D598" s="5"/>
      <c r="E598" s="5"/>
      <c r="F598" s="5"/>
      <c r="G598" s="217"/>
      <c r="H598" s="198"/>
      <c r="I598" s="198"/>
      <c r="J598" s="888"/>
      <c r="K598" s="217"/>
      <c r="L598" s="306"/>
      <c r="M598" s="306"/>
      <c r="N598" s="306"/>
      <c r="O598" s="306"/>
      <c r="P598" s="306"/>
      <c r="Q598" s="215"/>
      <c r="R598" s="5"/>
      <c r="S598" s="5"/>
      <c r="T598" s="5"/>
      <c r="U598" s="5"/>
      <c r="V598" s="5"/>
      <c r="W598" s="5"/>
      <c r="X598" s="5"/>
      <c r="Y598" s="5"/>
      <c r="Z598" s="5"/>
      <c r="AA598" s="5"/>
      <c r="AB598" s="5"/>
      <c r="AC598" s="5"/>
      <c r="AD598" s="5"/>
      <c r="AE598" s="5"/>
      <c r="AF598" s="5"/>
      <c r="AG598" s="5"/>
    </row>
    <row r="599" spans="3:33" ht="12.75" customHeight="1">
      <c r="C599" s="5"/>
      <c r="D599" s="5"/>
      <c r="E599" s="5"/>
      <c r="F599" s="5"/>
      <c r="G599" s="217"/>
      <c r="H599" s="198"/>
      <c r="I599" s="198"/>
      <c r="J599" s="888"/>
      <c r="K599" s="217"/>
      <c r="L599" s="306"/>
      <c r="M599" s="306"/>
      <c r="N599" s="306"/>
      <c r="O599" s="306"/>
      <c r="P599" s="306"/>
      <c r="Q599" s="215"/>
      <c r="R599" s="5"/>
      <c r="S599" s="5"/>
      <c r="T599" s="5"/>
      <c r="U599" s="5"/>
      <c r="V599" s="5"/>
      <c r="W599" s="5"/>
      <c r="X599" s="5"/>
      <c r="Y599" s="5"/>
      <c r="Z599" s="5"/>
      <c r="AA599" s="5"/>
      <c r="AB599" s="5"/>
      <c r="AC599" s="5"/>
      <c r="AD599" s="5"/>
      <c r="AE599" s="5"/>
      <c r="AF599" s="5"/>
      <c r="AG599" s="5"/>
    </row>
    <row r="600" spans="3:33" ht="12.75" customHeight="1">
      <c r="C600" s="5"/>
      <c r="D600" s="5"/>
      <c r="E600" s="5"/>
      <c r="F600" s="5"/>
      <c r="G600" s="217"/>
      <c r="H600" s="198"/>
      <c r="I600" s="198"/>
      <c r="J600" s="888"/>
      <c r="K600" s="217"/>
      <c r="L600" s="306"/>
      <c r="M600" s="306"/>
      <c r="N600" s="306"/>
      <c r="O600" s="306"/>
      <c r="P600" s="306"/>
      <c r="Q600" s="215"/>
      <c r="R600" s="5"/>
      <c r="S600" s="5"/>
      <c r="T600" s="5"/>
      <c r="U600" s="5"/>
      <c r="V600" s="5"/>
      <c r="W600" s="5"/>
      <c r="X600" s="5"/>
      <c r="Y600" s="5"/>
      <c r="Z600" s="5"/>
      <c r="AA600" s="5"/>
      <c r="AB600" s="5"/>
      <c r="AC600" s="5"/>
      <c r="AD600" s="5"/>
      <c r="AE600" s="5"/>
      <c r="AF600" s="5"/>
      <c r="AG600" s="5"/>
    </row>
    <row r="601" spans="3:33" ht="12.75" customHeight="1">
      <c r="C601" s="5"/>
      <c r="D601" s="5"/>
      <c r="E601" s="5"/>
      <c r="F601" s="5"/>
      <c r="G601" s="217"/>
      <c r="H601" s="198"/>
      <c r="I601" s="198"/>
      <c r="J601" s="888"/>
      <c r="K601" s="217"/>
      <c r="L601" s="306"/>
      <c r="M601" s="306"/>
      <c r="N601" s="306"/>
      <c r="O601" s="306"/>
      <c r="P601" s="306"/>
      <c r="Q601" s="215"/>
      <c r="R601" s="5"/>
      <c r="S601" s="5"/>
      <c r="T601" s="5"/>
      <c r="U601" s="5"/>
      <c r="V601" s="5"/>
      <c r="W601" s="5"/>
      <c r="X601" s="5"/>
      <c r="Y601" s="5"/>
      <c r="Z601" s="5"/>
      <c r="AA601" s="5"/>
      <c r="AB601" s="5"/>
      <c r="AC601" s="5"/>
      <c r="AD601" s="5"/>
      <c r="AE601" s="5"/>
      <c r="AF601" s="5"/>
      <c r="AG601" s="5"/>
    </row>
    <row r="602" spans="3:33" ht="12.75" customHeight="1">
      <c r="C602" s="5"/>
      <c r="D602" s="5"/>
      <c r="E602" s="5"/>
      <c r="F602" s="5"/>
      <c r="G602" s="217"/>
      <c r="H602" s="198"/>
      <c r="I602" s="198"/>
      <c r="J602" s="888"/>
      <c r="K602" s="217"/>
      <c r="L602" s="306"/>
      <c r="M602" s="306"/>
      <c r="N602" s="306"/>
      <c r="O602" s="306"/>
      <c r="P602" s="306"/>
      <c r="Q602" s="215"/>
      <c r="R602" s="5"/>
      <c r="S602" s="5"/>
      <c r="T602" s="5"/>
      <c r="U602" s="5"/>
      <c r="V602" s="5"/>
      <c r="W602" s="5"/>
      <c r="X602" s="5"/>
      <c r="Y602" s="5"/>
      <c r="Z602" s="5"/>
      <c r="AA602" s="5"/>
      <c r="AB602" s="5"/>
      <c r="AC602" s="5"/>
      <c r="AD602" s="5"/>
      <c r="AE602" s="5"/>
      <c r="AF602" s="5"/>
      <c r="AG602" s="5"/>
    </row>
    <row r="603" spans="3:33" ht="12.75" customHeight="1">
      <c r="C603" s="5"/>
      <c r="D603" s="5"/>
      <c r="E603" s="5"/>
      <c r="F603" s="5"/>
      <c r="G603" s="217"/>
      <c r="H603" s="198"/>
      <c r="I603" s="198"/>
      <c r="J603" s="888"/>
      <c r="K603" s="217"/>
      <c r="L603" s="306"/>
      <c r="M603" s="306"/>
      <c r="N603" s="306"/>
      <c r="O603" s="306"/>
      <c r="P603" s="306"/>
      <c r="Q603" s="215"/>
      <c r="R603" s="5"/>
      <c r="S603" s="5"/>
      <c r="T603" s="5"/>
      <c r="U603" s="5"/>
      <c r="V603" s="5"/>
      <c r="W603" s="5"/>
      <c r="X603" s="5"/>
      <c r="Y603" s="5"/>
      <c r="Z603" s="5"/>
      <c r="AA603" s="5"/>
      <c r="AB603" s="5"/>
      <c r="AC603" s="5"/>
      <c r="AD603" s="5"/>
      <c r="AE603" s="5"/>
      <c r="AF603" s="5"/>
      <c r="AG603" s="5"/>
    </row>
    <row r="604" spans="3:33" ht="12.75" customHeight="1">
      <c r="C604" s="5"/>
      <c r="D604" s="5"/>
      <c r="E604" s="5"/>
      <c r="F604" s="5"/>
      <c r="G604" s="217"/>
      <c r="H604" s="198"/>
      <c r="I604" s="198"/>
      <c r="J604" s="888"/>
      <c r="K604" s="217"/>
      <c r="L604" s="306"/>
      <c r="M604" s="306"/>
      <c r="N604" s="306"/>
      <c r="O604" s="306"/>
      <c r="P604" s="306"/>
      <c r="Q604" s="215"/>
      <c r="R604" s="5"/>
      <c r="S604" s="5"/>
      <c r="T604" s="5"/>
      <c r="U604" s="5"/>
      <c r="V604" s="5"/>
      <c r="W604" s="5"/>
      <c r="X604" s="5"/>
      <c r="Y604" s="5"/>
      <c r="Z604" s="5"/>
      <c r="AA604" s="5"/>
      <c r="AB604" s="5"/>
      <c r="AC604" s="5"/>
      <c r="AD604" s="5"/>
      <c r="AE604" s="5"/>
      <c r="AF604" s="5"/>
      <c r="AG604" s="5"/>
    </row>
    <row r="605" spans="3:33" ht="12.75" customHeight="1">
      <c r="C605" s="5"/>
      <c r="D605" s="5"/>
      <c r="E605" s="5"/>
      <c r="F605" s="5"/>
      <c r="G605" s="217"/>
      <c r="H605" s="198"/>
      <c r="I605" s="198"/>
      <c r="J605" s="888"/>
      <c r="K605" s="217"/>
      <c r="L605" s="306"/>
      <c r="M605" s="306"/>
      <c r="N605" s="306"/>
      <c r="O605" s="306"/>
      <c r="P605" s="306"/>
      <c r="Q605" s="215"/>
      <c r="R605" s="5"/>
      <c r="S605" s="5"/>
      <c r="T605" s="5"/>
      <c r="U605" s="5"/>
      <c r="V605" s="5"/>
      <c r="W605" s="5"/>
      <c r="X605" s="5"/>
      <c r="Y605" s="5"/>
      <c r="Z605" s="5"/>
      <c r="AA605" s="5"/>
      <c r="AB605" s="5"/>
      <c r="AC605" s="5"/>
      <c r="AD605" s="5"/>
      <c r="AE605" s="5"/>
      <c r="AF605" s="5"/>
      <c r="AG605" s="5"/>
    </row>
    <row r="606" spans="3:33" ht="12.75" customHeight="1">
      <c r="C606" s="5"/>
      <c r="D606" s="5"/>
      <c r="E606" s="5"/>
      <c r="F606" s="5"/>
      <c r="G606" s="217"/>
      <c r="H606" s="198"/>
      <c r="I606" s="198"/>
      <c r="J606" s="888"/>
      <c r="K606" s="217"/>
      <c r="L606" s="306"/>
      <c r="M606" s="306"/>
      <c r="N606" s="306"/>
      <c r="O606" s="306"/>
      <c r="P606" s="306"/>
      <c r="Q606" s="215"/>
      <c r="R606" s="5"/>
      <c r="S606" s="5"/>
      <c r="T606" s="5"/>
      <c r="U606" s="5"/>
      <c r="V606" s="5"/>
      <c r="W606" s="5"/>
      <c r="X606" s="5"/>
      <c r="Y606" s="5"/>
      <c r="Z606" s="5"/>
      <c r="AA606" s="5"/>
      <c r="AB606" s="5"/>
      <c r="AC606" s="5"/>
      <c r="AD606" s="5"/>
      <c r="AE606" s="5"/>
      <c r="AF606" s="5"/>
      <c r="AG606" s="5"/>
    </row>
    <row r="607" spans="3:33" ht="12.75" customHeight="1">
      <c r="C607" s="5"/>
      <c r="D607" s="5"/>
      <c r="E607" s="5"/>
      <c r="F607" s="5"/>
      <c r="G607" s="217"/>
      <c r="H607" s="198"/>
      <c r="I607" s="198"/>
      <c r="J607" s="888"/>
      <c r="K607" s="217"/>
      <c r="L607" s="306"/>
      <c r="M607" s="306"/>
      <c r="N607" s="306"/>
      <c r="O607" s="306"/>
      <c r="P607" s="306"/>
      <c r="Q607" s="215"/>
      <c r="R607" s="5"/>
      <c r="S607" s="5"/>
      <c r="T607" s="5"/>
      <c r="U607" s="5"/>
      <c r="V607" s="5"/>
      <c r="W607" s="5"/>
      <c r="X607" s="5"/>
      <c r="Y607" s="5"/>
      <c r="Z607" s="5"/>
      <c r="AA607" s="5"/>
      <c r="AB607" s="5"/>
      <c r="AC607" s="5"/>
      <c r="AD607" s="5"/>
      <c r="AE607" s="5"/>
      <c r="AF607" s="5"/>
      <c r="AG607" s="5"/>
    </row>
    <row r="608" spans="3:33" ht="12.75" customHeight="1">
      <c r="C608" s="5"/>
      <c r="D608" s="5"/>
      <c r="E608" s="5"/>
      <c r="F608" s="5"/>
      <c r="G608" s="217"/>
      <c r="H608" s="198"/>
      <c r="I608" s="198"/>
      <c r="J608" s="888"/>
      <c r="K608" s="217"/>
      <c r="L608" s="306"/>
      <c r="M608" s="306"/>
      <c r="N608" s="306"/>
      <c r="O608" s="306"/>
      <c r="P608" s="306"/>
      <c r="Q608" s="215"/>
      <c r="R608" s="5"/>
      <c r="S608" s="5"/>
      <c r="T608" s="5"/>
      <c r="U608" s="5"/>
      <c r="V608" s="5"/>
      <c r="W608" s="5"/>
      <c r="X608" s="5"/>
      <c r="Y608" s="5"/>
      <c r="Z608" s="5"/>
      <c r="AA608" s="5"/>
      <c r="AB608" s="5"/>
      <c r="AC608" s="5"/>
      <c r="AD608" s="5"/>
      <c r="AE608" s="5"/>
      <c r="AF608" s="5"/>
      <c r="AG608" s="5"/>
    </row>
    <row r="609" spans="3:33" ht="12.75" customHeight="1">
      <c r="C609" s="5"/>
      <c r="D609" s="5"/>
      <c r="E609" s="5"/>
      <c r="F609" s="5"/>
      <c r="G609" s="217"/>
      <c r="H609" s="198"/>
      <c r="I609" s="198"/>
      <c r="J609" s="888"/>
      <c r="K609" s="217"/>
      <c r="L609" s="306"/>
      <c r="M609" s="306"/>
      <c r="N609" s="306"/>
      <c r="O609" s="306"/>
      <c r="P609" s="306"/>
      <c r="Q609" s="215"/>
      <c r="R609" s="5"/>
      <c r="S609" s="5"/>
      <c r="T609" s="5"/>
      <c r="U609" s="5"/>
      <c r="V609" s="5"/>
      <c r="W609" s="5"/>
      <c r="X609" s="5"/>
      <c r="Y609" s="5"/>
      <c r="Z609" s="5"/>
      <c r="AA609" s="5"/>
      <c r="AB609" s="5"/>
      <c r="AC609" s="5"/>
      <c r="AD609" s="5"/>
      <c r="AE609" s="5"/>
      <c r="AF609" s="5"/>
      <c r="AG609" s="5"/>
    </row>
    <row r="610" spans="3:33" ht="12.75" customHeight="1">
      <c r="C610" s="5"/>
      <c r="D610" s="5"/>
      <c r="E610" s="5"/>
      <c r="F610" s="5"/>
      <c r="G610" s="217"/>
      <c r="H610" s="198"/>
      <c r="I610" s="198"/>
      <c r="J610" s="888"/>
      <c r="K610" s="217"/>
      <c r="L610" s="306"/>
      <c r="M610" s="306"/>
      <c r="N610" s="306"/>
      <c r="O610" s="306"/>
      <c r="P610" s="306"/>
      <c r="Q610" s="215"/>
      <c r="R610" s="5"/>
      <c r="S610" s="5"/>
      <c r="T610" s="5"/>
      <c r="U610" s="5"/>
      <c r="V610" s="5"/>
      <c r="W610" s="5"/>
      <c r="X610" s="5"/>
      <c r="Y610" s="5"/>
      <c r="Z610" s="5"/>
      <c r="AA610" s="5"/>
      <c r="AB610" s="5"/>
      <c r="AC610" s="5"/>
      <c r="AD610" s="5"/>
      <c r="AE610" s="5"/>
      <c r="AF610" s="5"/>
      <c r="AG610" s="5"/>
    </row>
    <row r="611" spans="3:33" ht="12.75" customHeight="1">
      <c r="C611" s="5"/>
      <c r="D611" s="5"/>
      <c r="E611" s="5"/>
      <c r="F611" s="5"/>
      <c r="G611" s="217"/>
      <c r="H611" s="198"/>
      <c r="I611" s="198"/>
      <c r="J611" s="888"/>
      <c r="K611" s="217"/>
      <c r="L611" s="306"/>
      <c r="M611" s="306"/>
      <c r="N611" s="306"/>
      <c r="O611" s="306"/>
      <c r="P611" s="306"/>
      <c r="Q611" s="215"/>
      <c r="R611" s="5"/>
      <c r="S611" s="5"/>
      <c r="T611" s="5"/>
      <c r="U611" s="5"/>
      <c r="V611" s="5"/>
      <c r="W611" s="5"/>
      <c r="X611" s="5"/>
      <c r="Y611" s="5"/>
      <c r="Z611" s="5"/>
      <c r="AA611" s="5"/>
      <c r="AB611" s="5"/>
      <c r="AC611" s="5"/>
      <c r="AD611" s="5"/>
      <c r="AE611" s="5"/>
      <c r="AF611" s="5"/>
      <c r="AG611" s="5"/>
    </row>
    <row r="612" spans="3:33" ht="12.75" customHeight="1">
      <c r="C612" s="5"/>
      <c r="D612" s="5"/>
      <c r="E612" s="5"/>
      <c r="F612" s="5"/>
      <c r="G612" s="217"/>
      <c r="H612" s="198"/>
      <c r="I612" s="198"/>
      <c r="J612" s="888"/>
      <c r="K612" s="217"/>
      <c r="L612" s="306"/>
      <c r="M612" s="306"/>
      <c r="N612" s="306"/>
      <c r="O612" s="306"/>
      <c r="P612" s="306"/>
      <c r="Q612" s="215"/>
      <c r="R612" s="5"/>
      <c r="S612" s="5"/>
      <c r="T612" s="5"/>
      <c r="U612" s="5"/>
      <c r="V612" s="5"/>
      <c r="W612" s="5"/>
      <c r="X612" s="5"/>
      <c r="Y612" s="5"/>
      <c r="Z612" s="5"/>
      <c r="AA612" s="5"/>
      <c r="AB612" s="5"/>
      <c r="AC612" s="5"/>
      <c r="AD612" s="5"/>
      <c r="AE612" s="5"/>
      <c r="AF612" s="5"/>
      <c r="AG612" s="5"/>
    </row>
    <row r="613" spans="3:33" ht="12.75" customHeight="1">
      <c r="C613" s="5"/>
      <c r="D613" s="5"/>
      <c r="E613" s="5"/>
      <c r="F613" s="5"/>
      <c r="G613" s="217"/>
      <c r="H613" s="198"/>
      <c r="I613" s="198"/>
      <c r="J613" s="888"/>
      <c r="K613" s="217"/>
      <c r="L613" s="306"/>
      <c r="M613" s="306"/>
      <c r="N613" s="306"/>
      <c r="O613" s="306"/>
      <c r="P613" s="306"/>
      <c r="Q613" s="215"/>
      <c r="R613" s="5"/>
      <c r="S613" s="5"/>
      <c r="T613" s="5"/>
      <c r="U613" s="5"/>
      <c r="V613" s="5"/>
      <c r="W613" s="5"/>
      <c r="X613" s="5"/>
      <c r="Y613" s="5"/>
      <c r="Z613" s="5"/>
      <c r="AA613" s="5"/>
      <c r="AB613" s="5"/>
      <c r="AC613" s="5"/>
      <c r="AD613" s="5"/>
      <c r="AE613" s="5"/>
      <c r="AF613" s="5"/>
      <c r="AG613" s="5"/>
    </row>
    <row r="614" spans="3:33" ht="12.75" customHeight="1">
      <c r="C614" s="5"/>
      <c r="D614" s="5"/>
      <c r="E614" s="5"/>
      <c r="F614" s="5"/>
      <c r="G614" s="217"/>
      <c r="H614" s="198"/>
      <c r="I614" s="198"/>
      <c r="J614" s="888"/>
      <c r="K614" s="217"/>
      <c r="L614" s="306"/>
      <c r="M614" s="306"/>
      <c r="N614" s="306"/>
      <c r="O614" s="306"/>
      <c r="P614" s="306"/>
      <c r="Q614" s="215"/>
      <c r="R614" s="5"/>
      <c r="S614" s="5"/>
      <c r="T614" s="5"/>
      <c r="U614" s="5"/>
      <c r="V614" s="5"/>
      <c r="W614" s="5"/>
      <c r="X614" s="5"/>
      <c r="Y614" s="5"/>
      <c r="Z614" s="5"/>
      <c r="AA614" s="5"/>
      <c r="AB614" s="5"/>
      <c r="AC614" s="5"/>
      <c r="AD614" s="5"/>
      <c r="AE614" s="5"/>
      <c r="AF614" s="5"/>
      <c r="AG614" s="5"/>
    </row>
    <row r="615" spans="3:33" ht="12.75" customHeight="1">
      <c r="C615" s="5"/>
      <c r="D615" s="5"/>
      <c r="E615" s="5"/>
      <c r="F615" s="5"/>
      <c r="G615" s="217"/>
      <c r="H615" s="198"/>
      <c r="I615" s="198"/>
      <c r="J615" s="888"/>
      <c r="K615" s="217"/>
      <c r="L615" s="306"/>
      <c r="M615" s="306"/>
      <c r="N615" s="306"/>
      <c r="O615" s="306"/>
      <c r="P615" s="306"/>
      <c r="Q615" s="215"/>
      <c r="R615" s="5"/>
      <c r="S615" s="5"/>
      <c r="T615" s="5"/>
      <c r="U615" s="5"/>
      <c r="V615" s="5"/>
      <c r="W615" s="5"/>
      <c r="X615" s="5"/>
      <c r="Y615" s="5"/>
      <c r="Z615" s="5"/>
      <c r="AA615" s="5"/>
      <c r="AB615" s="5"/>
      <c r="AC615" s="5"/>
      <c r="AD615" s="5"/>
      <c r="AE615" s="5"/>
      <c r="AF615" s="5"/>
      <c r="AG615" s="5"/>
    </row>
    <row r="616" spans="3:33" ht="12.75" customHeight="1">
      <c r="C616" s="5"/>
      <c r="D616" s="5"/>
      <c r="E616" s="5"/>
      <c r="F616" s="5"/>
      <c r="G616" s="217"/>
      <c r="H616" s="198"/>
      <c r="I616" s="198"/>
      <c r="J616" s="888"/>
      <c r="K616" s="217"/>
      <c r="L616" s="306"/>
      <c r="M616" s="306"/>
      <c r="N616" s="306"/>
      <c r="O616" s="306"/>
      <c r="P616" s="306"/>
      <c r="Q616" s="215"/>
      <c r="R616" s="5"/>
      <c r="S616" s="5"/>
      <c r="T616" s="5"/>
      <c r="U616" s="5"/>
      <c r="V616" s="5"/>
      <c r="W616" s="5"/>
      <c r="X616" s="5"/>
      <c r="Y616" s="5"/>
      <c r="Z616" s="5"/>
      <c r="AA616" s="5"/>
      <c r="AB616" s="5"/>
      <c r="AC616" s="5"/>
      <c r="AD616" s="5"/>
      <c r="AE616" s="5"/>
      <c r="AF616" s="5"/>
      <c r="AG616" s="5"/>
    </row>
    <row r="617" spans="3:33" ht="12.75" customHeight="1">
      <c r="C617" s="5"/>
      <c r="D617" s="5"/>
      <c r="E617" s="5"/>
      <c r="F617" s="5"/>
      <c r="G617" s="217"/>
      <c r="H617" s="198"/>
      <c r="I617" s="198"/>
      <c r="J617" s="888"/>
      <c r="K617" s="217"/>
      <c r="L617" s="306"/>
      <c r="M617" s="306"/>
      <c r="N617" s="306"/>
      <c r="O617" s="306"/>
      <c r="P617" s="306"/>
      <c r="Q617" s="215"/>
      <c r="R617" s="5"/>
      <c r="S617" s="5"/>
      <c r="T617" s="5"/>
      <c r="U617" s="5"/>
      <c r="V617" s="5"/>
      <c r="W617" s="5"/>
      <c r="X617" s="5"/>
      <c r="Y617" s="5"/>
      <c r="Z617" s="5"/>
      <c r="AA617" s="5"/>
      <c r="AB617" s="5"/>
      <c r="AC617" s="5"/>
      <c r="AD617" s="5"/>
      <c r="AE617" s="5"/>
      <c r="AF617" s="5"/>
      <c r="AG617" s="5"/>
    </row>
    <row r="618" spans="3:33" ht="12.75" customHeight="1">
      <c r="C618" s="5"/>
      <c r="D618" s="5"/>
      <c r="E618" s="5"/>
      <c r="F618" s="5"/>
      <c r="G618" s="217"/>
      <c r="H618" s="198"/>
      <c r="I618" s="198"/>
      <c r="J618" s="888"/>
      <c r="K618" s="217"/>
      <c r="L618" s="306"/>
      <c r="M618" s="306"/>
      <c r="N618" s="306"/>
      <c r="O618" s="306"/>
      <c r="P618" s="306"/>
      <c r="Q618" s="215"/>
      <c r="R618" s="5"/>
      <c r="S618" s="5"/>
      <c r="T618" s="5"/>
      <c r="U618" s="5"/>
      <c r="V618" s="5"/>
      <c r="W618" s="5"/>
      <c r="X618" s="5"/>
      <c r="Y618" s="5"/>
      <c r="Z618" s="5"/>
      <c r="AA618" s="5"/>
      <c r="AB618" s="5"/>
      <c r="AC618" s="5"/>
      <c r="AD618" s="5"/>
      <c r="AE618" s="5"/>
      <c r="AF618" s="5"/>
      <c r="AG618" s="5"/>
    </row>
    <row r="619" spans="3:33" ht="12.75" customHeight="1">
      <c r="C619" s="5"/>
      <c r="D619" s="5"/>
      <c r="E619" s="5"/>
      <c r="F619" s="5"/>
      <c r="G619" s="217"/>
      <c r="H619" s="198"/>
      <c r="I619" s="198"/>
      <c r="J619" s="888"/>
      <c r="K619" s="217"/>
      <c r="L619" s="306"/>
      <c r="M619" s="306"/>
      <c r="N619" s="306"/>
      <c r="O619" s="306"/>
      <c r="P619" s="306"/>
      <c r="Q619" s="215"/>
      <c r="R619" s="5"/>
      <c r="S619" s="5"/>
      <c r="T619" s="5"/>
      <c r="U619" s="5"/>
      <c r="V619" s="5"/>
      <c r="W619" s="5"/>
      <c r="X619" s="5"/>
      <c r="Y619" s="5"/>
      <c r="Z619" s="5"/>
      <c r="AA619" s="5"/>
      <c r="AB619" s="5"/>
      <c r="AC619" s="5"/>
      <c r="AD619" s="5"/>
      <c r="AE619" s="5"/>
      <c r="AF619" s="5"/>
      <c r="AG619" s="5"/>
    </row>
    <row r="620" spans="3:33" ht="12.75" customHeight="1">
      <c r="C620" s="5"/>
      <c r="D620" s="5"/>
      <c r="E620" s="5"/>
      <c r="F620" s="5"/>
      <c r="G620" s="217"/>
      <c r="H620" s="198"/>
      <c r="I620" s="198"/>
      <c r="J620" s="888"/>
      <c r="K620" s="217"/>
      <c r="L620" s="306"/>
      <c r="M620" s="306"/>
      <c r="N620" s="306"/>
      <c r="O620" s="306"/>
      <c r="P620" s="306"/>
      <c r="Q620" s="215"/>
      <c r="R620" s="5"/>
      <c r="S620" s="5"/>
      <c r="T620" s="5"/>
      <c r="U620" s="5"/>
      <c r="V620" s="5"/>
      <c r="W620" s="5"/>
      <c r="X620" s="5"/>
      <c r="Y620" s="5"/>
      <c r="Z620" s="5"/>
      <c r="AA620" s="5"/>
      <c r="AB620" s="5"/>
      <c r="AC620" s="5"/>
      <c r="AD620" s="5"/>
      <c r="AE620" s="5"/>
      <c r="AF620" s="5"/>
      <c r="AG620" s="5"/>
    </row>
    <row r="621" spans="3:33" ht="12.75" customHeight="1">
      <c r="C621" s="5"/>
      <c r="D621" s="5"/>
      <c r="E621" s="5"/>
      <c r="F621" s="5"/>
      <c r="G621" s="217"/>
      <c r="H621" s="198"/>
      <c r="I621" s="198"/>
      <c r="J621" s="888"/>
      <c r="K621" s="217"/>
      <c r="L621" s="306"/>
      <c r="M621" s="306"/>
      <c r="N621" s="306"/>
      <c r="O621" s="306"/>
      <c r="P621" s="306"/>
      <c r="Q621" s="215"/>
      <c r="R621" s="5"/>
      <c r="S621" s="5"/>
      <c r="T621" s="5"/>
      <c r="U621" s="5"/>
      <c r="V621" s="5"/>
      <c r="W621" s="5"/>
      <c r="X621" s="5"/>
      <c r="Y621" s="5"/>
      <c r="Z621" s="5"/>
      <c r="AA621" s="5"/>
      <c r="AB621" s="5"/>
      <c r="AC621" s="5"/>
      <c r="AD621" s="5"/>
      <c r="AE621" s="5"/>
      <c r="AF621" s="5"/>
      <c r="AG621" s="5"/>
    </row>
    <row r="622" spans="3:33" ht="12.75" customHeight="1">
      <c r="C622" s="5"/>
      <c r="D622" s="5"/>
      <c r="E622" s="5"/>
      <c r="F622" s="5"/>
      <c r="G622" s="217"/>
      <c r="H622" s="198"/>
      <c r="I622" s="198"/>
      <c r="J622" s="888"/>
      <c r="K622" s="217"/>
      <c r="L622" s="306"/>
      <c r="M622" s="306"/>
      <c r="N622" s="306"/>
      <c r="O622" s="306"/>
      <c r="P622" s="306"/>
      <c r="Q622" s="215"/>
      <c r="R622" s="5"/>
      <c r="S622" s="5"/>
      <c r="T622" s="5"/>
      <c r="U622" s="5"/>
      <c r="V622" s="5"/>
      <c r="W622" s="5"/>
      <c r="X622" s="5"/>
      <c r="Y622" s="5"/>
      <c r="Z622" s="5"/>
      <c r="AA622" s="5"/>
      <c r="AB622" s="5"/>
      <c r="AC622" s="5"/>
      <c r="AD622" s="5"/>
      <c r="AE622" s="5"/>
      <c r="AF622" s="5"/>
      <c r="AG622" s="5"/>
    </row>
    <row r="623" spans="3:33" ht="12.75" customHeight="1">
      <c r="C623" s="5"/>
      <c r="D623" s="5"/>
      <c r="E623" s="5"/>
      <c r="F623" s="5"/>
      <c r="G623" s="217"/>
      <c r="H623" s="198"/>
      <c r="I623" s="198"/>
      <c r="J623" s="888"/>
      <c r="K623" s="217"/>
      <c r="L623" s="306"/>
      <c r="M623" s="306"/>
      <c r="N623" s="306"/>
      <c r="O623" s="306"/>
      <c r="P623" s="306"/>
      <c r="Q623" s="215"/>
      <c r="R623" s="5"/>
      <c r="S623" s="5"/>
      <c r="T623" s="5"/>
      <c r="U623" s="5"/>
      <c r="V623" s="5"/>
      <c r="W623" s="5"/>
      <c r="X623" s="5"/>
      <c r="Y623" s="5"/>
      <c r="Z623" s="5"/>
      <c r="AA623" s="5"/>
      <c r="AB623" s="5"/>
      <c r="AC623" s="5"/>
      <c r="AD623" s="5"/>
      <c r="AE623" s="5"/>
      <c r="AF623" s="5"/>
      <c r="AG623" s="5"/>
    </row>
    <row r="624" spans="3:33" ht="12.75" customHeight="1">
      <c r="C624" s="5"/>
      <c r="D624" s="5"/>
      <c r="E624" s="5"/>
      <c r="F624" s="5"/>
      <c r="G624" s="217"/>
      <c r="H624" s="198"/>
      <c r="I624" s="198"/>
      <c r="J624" s="888"/>
      <c r="K624" s="217"/>
      <c r="L624" s="306"/>
      <c r="M624" s="306"/>
      <c r="N624" s="306"/>
      <c r="O624" s="306"/>
      <c r="P624" s="306"/>
      <c r="Q624" s="215"/>
      <c r="R624" s="5"/>
      <c r="S624" s="5"/>
      <c r="T624" s="5"/>
      <c r="U624" s="5"/>
      <c r="V624" s="5"/>
      <c r="W624" s="5"/>
      <c r="X624" s="5"/>
      <c r="Y624" s="5"/>
      <c r="Z624" s="5"/>
      <c r="AA624" s="5"/>
      <c r="AB624" s="5"/>
      <c r="AC624" s="5"/>
      <c r="AD624" s="5"/>
      <c r="AE624" s="5"/>
      <c r="AF624" s="5"/>
      <c r="AG624" s="5"/>
    </row>
    <row r="625" spans="3:33" ht="12.75" customHeight="1">
      <c r="C625" s="5"/>
      <c r="D625" s="5"/>
      <c r="E625" s="5"/>
      <c r="F625" s="5"/>
      <c r="G625" s="217"/>
      <c r="H625" s="198"/>
      <c r="I625" s="198"/>
      <c r="J625" s="888"/>
      <c r="K625" s="217"/>
      <c r="L625" s="306"/>
      <c r="M625" s="306"/>
      <c r="N625" s="306"/>
      <c r="O625" s="306"/>
      <c r="P625" s="306"/>
      <c r="Q625" s="215"/>
      <c r="R625" s="5"/>
      <c r="S625" s="5"/>
      <c r="T625" s="5"/>
      <c r="U625" s="5"/>
      <c r="V625" s="5"/>
      <c r="W625" s="5"/>
      <c r="X625" s="5"/>
      <c r="Y625" s="5"/>
      <c r="Z625" s="5"/>
      <c r="AA625" s="5"/>
      <c r="AB625" s="5"/>
      <c r="AC625" s="5"/>
      <c r="AD625" s="5"/>
      <c r="AE625" s="5"/>
      <c r="AF625" s="5"/>
      <c r="AG625" s="5"/>
    </row>
    <row r="626" spans="3:33" ht="12.75" customHeight="1">
      <c r="C626" s="5"/>
      <c r="D626" s="5"/>
      <c r="E626" s="5"/>
      <c r="F626" s="5"/>
      <c r="G626" s="217"/>
      <c r="H626" s="198"/>
      <c r="I626" s="198"/>
      <c r="J626" s="888"/>
      <c r="K626" s="217"/>
      <c r="L626" s="306"/>
      <c r="M626" s="306"/>
      <c r="N626" s="306"/>
      <c r="O626" s="306"/>
      <c r="P626" s="306"/>
      <c r="Q626" s="215"/>
      <c r="R626" s="5"/>
      <c r="S626" s="5"/>
      <c r="T626" s="5"/>
      <c r="U626" s="5"/>
      <c r="V626" s="5"/>
      <c r="W626" s="5"/>
      <c r="X626" s="5"/>
      <c r="Y626" s="5"/>
      <c r="Z626" s="5"/>
      <c r="AA626" s="5"/>
      <c r="AB626" s="5"/>
      <c r="AC626" s="5"/>
      <c r="AD626" s="5"/>
      <c r="AE626" s="5"/>
      <c r="AF626" s="5"/>
      <c r="AG626" s="5"/>
    </row>
    <row r="627" spans="3:33" ht="12.75" customHeight="1">
      <c r="C627" s="5"/>
      <c r="D627" s="5"/>
      <c r="E627" s="5"/>
      <c r="F627" s="5"/>
      <c r="G627" s="217"/>
      <c r="H627" s="198"/>
      <c r="I627" s="198"/>
      <c r="J627" s="888"/>
      <c r="K627" s="217"/>
      <c r="L627" s="306"/>
      <c r="M627" s="306"/>
      <c r="N627" s="306"/>
      <c r="O627" s="306"/>
      <c r="P627" s="306"/>
      <c r="Q627" s="215"/>
      <c r="R627" s="5"/>
      <c r="S627" s="5"/>
      <c r="T627" s="5"/>
      <c r="U627" s="5"/>
      <c r="V627" s="5"/>
      <c r="W627" s="5"/>
      <c r="X627" s="5"/>
      <c r="Y627" s="5"/>
      <c r="Z627" s="5"/>
      <c r="AA627" s="5"/>
      <c r="AB627" s="5"/>
      <c r="AC627" s="5"/>
      <c r="AD627" s="5"/>
      <c r="AE627" s="5"/>
      <c r="AF627" s="5"/>
      <c r="AG627" s="5"/>
    </row>
    <row r="628" spans="3:33" ht="12.75" customHeight="1">
      <c r="C628" s="5"/>
      <c r="D628" s="5"/>
      <c r="E628" s="5"/>
      <c r="F628" s="5"/>
      <c r="G628" s="217"/>
      <c r="H628" s="198"/>
      <c r="I628" s="198"/>
      <c r="J628" s="888"/>
      <c r="K628" s="217"/>
      <c r="L628" s="306"/>
      <c r="M628" s="306"/>
      <c r="N628" s="306"/>
      <c r="O628" s="306"/>
      <c r="P628" s="306"/>
      <c r="Q628" s="215"/>
      <c r="R628" s="5"/>
      <c r="S628" s="5"/>
      <c r="T628" s="5"/>
      <c r="U628" s="5"/>
      <c r="V628" s="5"/>
      <c r="W628" s="5"/>
      <c r="X628" s="5"/>
      <c r="Y628" s="5"/>
      <c r="Z628" s="5"/>
      <c r="AA628" s="5"/>
      <c r="AB628" s="5"/>
      <c r="AC628" s="5"/>
      <c r="AD628" s="5"/>
      <c r="AE628" s="5"/>
      <c r="AF628" s="5"/>
      <c r="AG628" s="5"/>
    </row>
    <row r="629" spans="3:33" ht="12.75" customHeight="1">
      <c r="C629" s="5"/>
      <c r="D629" s="5"/>
      <c r="E629" s="5"/>
      <c r="F629" s="5"/>
      <c r="G629" s="217"/>
      <c r="H629" s="198"/>
      <c r="I629" s="198"/>
      <c r="J629" s="888"/>
      <c r="K629" s="217"/>
      <c r="L629" s="306"/>
      <c r="M629" s="306"/>
      <c r="N629" s="306"/>
      <c r="O629" s="306"/>
      <c r="P629" s="306"/>
      <c r="Q629" s="215"/>
      <c r="R629" s="5"/>
      <c r="S629" s="5"/>
      <c r="T629" s="5"/>
      <c r="U629" s="5"/>
      <c r="V629" s="5"/>
      <c r="W629" s="5"/>
      <c r="X629" s="5"/>
      <c r="Y629" s="5"/>
      <c r="Z629" s="5"/>
      <c r="AA629" s="5"/>
      <c r="AB629" s="5"/>
      <c r="AC629" s="5"/>
      <c r="AD629" s="5"/>
      <c r="AE629" s="5"/>
      <c r="AF629" s="5"/>
      <c r="AG629" s="5"/>
    </row>
    <row r="630" spans="3:33" ht="12.75" customHeight="1">
      <c r="C630" s="5"/>
      <c r="D630" s="5"/>
      <c r="E630" s="5"/>
      <c r="F630" s="5"/>
      <c r="G630" s="217"/>
      <c r="H630" s="198"/>
      <c r="I630" s="198"/>
      <c r="J630" s="888"/>
      <c r="K630" s="217"/>
      <c r="L630" s="306"/>
      <c r="M630" s="306"/>
      <c r="N630" s="306"/>
      <c r="O630" s="306"/>
      <c r="P630" s="306"/>
      <c r="Q630" s="215"/>
      <c r="R630" s="5"/>
      <c r="S630" s="5"/>
      <c r="T630" s="5"/>
      <c r="U630" s="5"/>
      <c r="V630" s="5"/>
      <c r="W630" s="5"/>
      <c r="X630" s="5"/>
      <c r="Y630" s="5"/>
      <c r="Z630" s="5"/>
      <c r="AA630" s="5"/>
      <c r="AB630" s="5"/>
      <c r="AC630" s="5"/>
      <c r="AD630" s="5"/>
      <c r="AE630" s="5"/>
      <c r="AF630" s="5"/>
      <c r="AG630" s="5"/>
    </row>
    <row r="631" spans="3:33" ht="12.75" customHeight="1">
      <c r="C631" s="5"/>
      <c r="D631" s="5"/>
      <c r="E631" s="5"/>
      <c r="F631" s="5"/>
      <c r="G631" s="217"/>
      <c r="H631" s="198"/>
      <c r="I631" s="198"/>
      <c r="J631" s="888"/>
      <c r="K631" s="217"/>
      <c r="L631" s="306"/>
      <c r="M631" s="306"/>
      <c r="N631" s="306"/>
      <c r="O631" s="306"/>
      <c r="P631" s="306"/>
      <c r="Q631" s="215"/>
      <c r="R631" s="5"/>
      <c r="S631" s="5"/>
      <c r="T631" s="5"/>
      <c r="U631" s="5"/>
      <c r="V631" s="5"/>
      <c r="W631" s="5"/>
      <c r="X631" s="5"/>
      <c r="Y631" s="5"/>
      <c r="Z631" s="5"/>
      <c r="AA631" s="5"/>
      <c r="AB631" s="5"/>
      <c r="AC631" s="5"/>
      <c r="AD631" s="5"/>
      <c r="AE631" s="5"/>
      <c r="AF631" s="5"/>
      <c r="AG631" s="5"/>
    </row>
    <row r="632" spans="3:33" ht="12.75" customHeight="1">
      <c r="C632" s="5"/>
      <c r="D632" s="5"/>
      <c r="E632" s="5"/>
      <c r="F632" s="5"/>
      <c r="G632" s="217"/>
      <c r="H632" s="198"/>
      <c r="I632" s="198"/>
      <c r="J632" s="888"/>
      <c r="K632" s="217"/>
      <c r="L632" s="306"/>
      <c r="M632" s="306"/>
      <c r="N632" s="306"/>
      <c r="O632" s="306"/>
      <c r="P632" s="306"/>
      <c r="Q632" s="215"/>
      <c r="R632" s="5"/>
      <c r="S632" s="5"/>
      <c r="T632" s="5"/>
      <c r="U632" s="5"/>
      <c r="V632" s="5"/>
      <c r="W632" s="5"/>
      <c r="X632" s="5"/>
      <c r="Y632" s="5"/>
      <c r="Z632" s="5"/>
      <c r="AA632" s="5"/>
      <c r="AB632" s="5"/>
      <c r="AC632" s="5"/>
      <c r="AD632" s="5"/>
      <c r="AE632" s="5"/>
      <c r="AF632" s="5"/>
      <c r="AG632" s="5"/>
    </row>
    <row r="633" spans="3:33" ht="12.75" customHeight="1">
      <c r="C633" s="5"/>
      <c r="D633" s="5"/>
      <c r="E633" s="5"/>
      <c r="F633" s="5"/>
      <c r="G633" s="217"/>
      <c r="H633" s="198"/>
      <c r="I633" s="198"/>
      <c r="J633" s="888"/>
      <c r="K633" s="217"/>
      <c r="L633" s="306"/>
      <c r="M633" s="306"/>
      <c r="N633" s="306"/>
      <c r="O633" s="306"/>
      <c r="P633" s="306"/>
      <c r="Q633" s="215"/>
      <c r="R633" s="5"/>
      <c r="S633" s="5"/>
      <c r="T633" s="5"/>
      <c r="U633" s="5"/>
      <c r="V633" s="5"/>
      <c r="W633" s="5"/>
      <c r="X633" s="5"/>
      <c r="Y633" s="5"/>
      <c r="Z633" s="5"/>
      <c r="AA633" s="5"/>
      <c r="AB633" s="5"/>
      <c r="AC633" s="5"/>
      <c r="AD633" s="5"/>
      <c r="AE633" s="5"/>
      <c r="AF633" s="5"/>
      <c r="AG633" s="5"/>
    </row>
    <row r="634" spans="3:33" ht="12.75" customHeight="1">
      <c r="C634" s="5"/>
      <c r="D634" s="5"/>
      <c r="E634" s="5"/>
      <c r="F634" s="5"/>
      <c r="G634" s="217"/>
      <c r="H634" s="198"/>
      <c r="I634" s="198"/>
      <c r="J634" s="888"/>
      <c r="K634" s="217"/>
      <c r="L634" s="306"/>
      <c r="M634" s="306"/>
      <c r="N634" s="306"/>
      <c r="O634" s="306"/>
      <c r="P634" s="306"/>
      <c r="Q634" s="215"/>
      <c r="R634" s="5"/>
      <c r="S634" s="5"/>
      <c r="T634" s="5"/>
      <c r="U634" s="5"/>
      <c r="V634" s="5"/>
      <c r="W634" s="5"/>
      <c r="X634" s="5"/>
      <c r="Y634" s="5"/>
      <c r="Z634" s="5"/>
      <c r="AA634" s="5"/>
      <c r="AB634" s="5"/>
      <c r="AC634" s="5"/>
      <c r="AD634" s="5"/>
      <c r="AE634" s="5"/>
      <c r="AF634" s="5"/>
      <c r="AG634" s="5"/>
    </row>
    <row r="635" spans="3:33" ht="12.75" customHeight="1">
      <c r="C635" s="5"/>
      <c r="D635" s="5"/>
      <c r="E635" s="5"/>
      <c r="F635" s="5"/>
      <c r="G635" s="217"/>
      <c r="H635" s="198"/>
      <c r="I635" s="198"/>
      <c r="J635" s="888"/>
      <c r="K635" s="217"/>
      <c r="L635" s="306"/>
      <c r="M635" s="306"/>
      <c r="N635" s="306"/>
      <c r="O635" s="306"/>
      <c r="P635" s="306"/>
      <c r="Q635" s="215"/>
      <c r="R635" s="5"/>
      <c r="S635" s="5"/>
      <c r="T635" s="5"/>
      <c r="U635" s="5"/>
      <c r="V635" s="5"/>
      <c r="W635" s="5"/>
      <c r="X635" s="5"/>
      <c r="Y635" s="5"/>
      <c r="Z635" s="5"/>
      <c r="AA635" s="5"/>
      <c r="AB635" s="5"/>
      <c r="AC635" s="5"/>
      <c r="AD635" s="5"/>
      <c r="AE635" s="5"/>
      <c r="AF635" s="5"/>
      <c r="AG635" s="5"/>
    </row>
    <row r="636" spans="3:33" ht="12.75" customHeight="1">
      <c r="C636" s="5"/>
      <c r="D636" s="5"/>
      <c r="E636" s="5"/>
      <c r="F636" s="5"/>
      <c r="G636" s="217"/>
      <c r="H636" s="198"/>
      <c r="I636" s="198"/>
      <c r="J636" s="888"/>
      <c r="K636" s="217"/>
      <c r="L636" s="306"/>
      <c r="M636" s="306"/>
      <c r="N636" s="306"/>
      <c r="O636" s="306"/>
      <c r="P636" s="306"/>
      <c r="Q636" s="215"/>
      <c r="R636" s="5"/>
      <c r="S636" s="5"/>
      <c r="T636" s="5"/>
      <c r="U636" s="5"/>
      <c r="V636" s="5"/>
      <c r="W636" s="5"/>
      <c r="X636" s="5"/>
      <c r="Y636" s="5"/>
      <c r="Z636" s="5"/>
      <c r="AA636" s="5"/>
      <c r="AB636" s="5"/>
      <c r="AC636" s="5"/>
      <c r="AD636" s="5"/>
      <c r="AE636" s="5"/>
      <c r="AF636" s="5"/>
      <c r="AG636" s="5"/>
    </row>
    <row r="637" spans="3:33" ht="12.75" customHeight="1">
      <c r="C637" s="5"/>
      <c r="D637" s="5"/>
      <c r="E637" s="5"/>
      <c r="F637" s="5"/>
      <c r="G637" s="217"/>
      <c r="H637" s="198"/>
      <c r="I637" s="198"/>
      <c r="J637" s="888"/>
      <c r="K637" s="217"/>
      <c r="L637" s="306"/>
      <c r="M637" s="306"/>
      <c r="N637" s="306"/>
      <c r="O637" s="306"/>
      <c r="P637" s="306"/>
      <c r="Q637" s="215"/>
      <c r="R637" s="5"/>
      <c r="S637" s="5"/>
      <c r="T637" s="5"/>
      <c r="U637" s="5"/>
      <c r="V637" s="5"/>
      <c r="W637" s="5"/>
      <c r="X637" s="5"/>
      <c r="Y637" s="5"/>
      <c r="Z637" s="5"/>
      <c r="AA637" s="5"/>
      <c r="AB637" s="5"/>
      <c r="AC637" s="5"/>
      <c r="AD637" s="5"/>
      <c r="AE637" s="5"/>
      <c r="AF637" s="5"/>
      <c r="AG637" s="5"/>
    </row>
    <row r="638" spans="3:33" ht="12.75" customHeight="1">
      <c r="C638" s="5"/>
      <c r="D638" s="5"/>
      <c r="E638" s="5"/>
      <c r="F638" s="5"/>
      <c r="G638" s="217"/>
      <c r="H638" s="198"/>
      <c r="I638" s="198"/>
      <c r="J638" s="888"/>
      <c r="K638" s="217"/>
      <c r="L638" s="306"/>
      <c r="M638" s="306"/>
      <c r="N638" s="306"/>
      <c r="O638" s="306"/>
      <c r="P638" s="306"/>
      <c r="Q638" s="215"/>
      <c r="R638" s="5"/>
      <c r="S638" s="5"/>
      <c r="T638" s="5"/>
      <c r="U638" s="5"/>
      <c r="V638" s="5"/>
      <c r="W638" s="5"/>
      <c r="X638" s="5"/>
      <c r="Y638" s="5"/>
      <c r="Z638" s="5"/>
      <c r="AA638" s="5"/>
      <c r="AB638" s="5"/>
      <c r="AC638" s="5"/>
      <c r="AD638" s="5"/>
      <c r="AE638" s="5"/>
      <c r="AF638" s="5"/>
      <c r="AG638" s="5"/>
    </row>
    <row r="639" spans="3:33" ht="12.75" customHeight="1">
      <c r="C639" s="5"/>
      <c r="D639" s="5"/>
      <c r="E639" s="5"/>
      <c r="F639" s="5"/>
      <c r="G639" s="217"/>
      <c r="H639" s="198"/>
      <c r="I639" s="198"/>
      <c r="J639" s="888"/>
      <c r="K639" s="217"/>
      <c r="L639" s="306"/>
      <c r="M639" s="306"/>
      <c r="N639" s="306"/>
      <c r="O639" s="306"/>
      <c r="P639" s="306"/>
      <c r="Q639" s="215"/>
      <c r="R639" s="5"/>
      <c r="S639" s="5"/>
      <c r="T639" s="5"/>
      <c r="U639" s="5"/>
      <c r="V639" s="5"/>
      <c r="W639" s="5"/>
      <c r="X639" s="5"/>
      <c r="Y639" s="5"/>
      <c r="Z639" s="5"/>
      <c r="AA639" s="5"/>
      <c r="AB639" s="5"/>
      <c r="AC639" s="5"/>
      <c r="AD639" s="5"/>
      <c r="AE639" s="5"/>
      <c r="AF639" s="5"/>
      <c r="AG639" s="5"/>
    </row>
    <row r="640" spans="3:33" ht="12.75" customHeight="1">
      <c r="C640" s="5"/>
      <c r="D640" s="5"/>
      <c r="E640" s="5"/>
      <c r="F640" s="5"/>
      <c r="G640" s="217"/>
      <c r="H640" s="198"/>
      <c r="I640" s="198"/>
      <c r="J640" s="888"/>
      <c r="K640" s="217"/>
      <c r="L640" s="306"/>
      <c r="M640" s="306"/>
      <c r="N640" s="306"/>
      <c r="O640" s="306"/>
      <c r="P640" s="306"/>
      <c r="Q640" s="215"/>
      <c r="R640" s="5"/>
      <c r="S640" s="5"/>
      <c r="T640" s="5"/>
      <c r="U640" s="5"/>
      <c r="V640" s="5"/>
      <c r="W640" s="5"/>
      <c r="X640" s="5"/>
      <c r="Y640" s="5"/>
      <c r="Z640" s="5"/>
      <c r="AA640" s="5"/>
      <c r="AB640" s="5"/>
      <c r="AC640" s="5"/>
      <c r="AD640" s="5"/>
      <c r="AE640" s="5"/>
      <c r="AF640" s="5"/>
      <c r="AG640" s="5"/>
    </row>
    <row r="641" spans="3:33" ht="12.75" customHeight="1">
      <c r="C641" s="5"/>
      <c r="D641" s="5"/>
      <c r="E641" s="5"/>
      <c r="F641" s="5"/>
      <c r="G641" s="217"/>
      <c r="H641" s="198"/>
      <c r="I641" s="198"/>
      <c r="J641" s="888"/>
      <c r="K641" s="217"/>
      <c r="L641" s="306"/>
      <c r="M641" s="306"/>
      <c r="N641" s="306"/>
      <c r="O641" s="306"/>
      <c r="P641" s="306"/>
      <c r="Q641" s="215"/>
      <c r="R641" s="5"/>
      <c r="S641" s="5"/>
      <c r="T641" s="5"/>
      <c r="U641" s="5"/>
      <c r="V641" s="5"/>
      <c r="W641" s="5"/>
      <c r="X641" s="5"/>
      <c r="Y641" s="5"/>
      <c r="Z641" s="5"/>
      <c r="AA641" s="5"/>
      <c r="AB641" s="5"/>
      <c r="AC641" s="5"/>
      <c r="AD641" s="5"/>
      <c r="AE641" s="5"/>
      <c r="AF641" s="5"/>
      <c r="AG641" s="5"/>
    </row>
    <row r="642" spans="3:33" ht="12.75" customHeight="1">
      <c r="C642" s="5"/>
      <c r="D642" s="5"/>
      <c r="E642" s="5"/>
      <c r="F642" s="5"/>
      <c r="G642" s="217"/>
      <c r="H642" s="198"/>
      <c r="I642" s="198"/>
      <c r="J642" s="888"/>
      <c r="K642" s="217"/>
      <c r="L642" s="306"/>
      <c r="M642" s="306"/>
      <c r="N642" s="306"/>
      <c r="O642" s="306"/>
      <c r="P642" s="306"/>
      <c r="Q642" s="215"/>
      <c r="R642" s="5"/>
      <c r="S642" s="5"/>
      <c r="T642" s="5"/>
      <c r="U642" s="5"/>
      <c r="V642" s="5"/>
      <c r="W642" s="5"/>
      <c r="X642" s="5"/>
      <c r="Y642" s="5"/>
      <c r="Z642" s="5"/>
      <c r="AA642" s="5"/>
      <c r="AB642" s="5"/>
      <c r="AC642" s="5"/>
      <c r="AD642" s="5"/>
      <c r="AE642" s="5"/>
      <c r="AF642" s="5"/>
      <c r="AG642" s="5"/>
    </row>
    <row r="643" spans="3:33" ht="12.75" customHeight="1">
      <c r="C643" s="5"/>
      <c r="D643" s="5"/>
      <c r="E643" s="5"/>
      <c r="F643" s="5"/>
      <c r="G643" s="217"/>
      <c r="H643" s="198"/>
      <c r="I643" s="198"/>
      <c r="J643" s="888"/>
      <c r="K643" s="217"/>
      <c r="L643" s="306"/>
      <c r="M643" s="306"/>
      <c r="N643" s="306"/>
      <c r="O643" s="306"/>
      <c r="P643" s="306"/>
      <c r="Q643" s="215"/>
      <c r="R643" s="5"/>
      <c r="S643" s="5"/>
      <c r="T643" s="5"/>
      <c r="U643" s="5"/>
      <c r="V643" s="5"/>
      <c r="W643" s="5"/>
      <c r="X643" s="5"/>
      <c r="Y643" s="5"/>
      <c r="Z643" s="5"/>
      <c r="AA643" s="5"/>
      <c r="AB643" s="5"/>
      <c r="AC643" s="5"/>
      <c r="AD643" s="5"/>
      <c r="AE643" s="5"/>
      <c r="AF643" s="5"/>
      <c r="AG643" s="5"/>
    </row>
    <row r="644" spans="3:33" ht="12.75" customHeight="1">
      <c r="C644" s="5"/>
      <c r="D644" s="5"/>
      <c r="E644" s="5"/>
      <c r="F644" s="5"/>
      <c r="G644" s="217"/>
      <c r="H644" s="198"/>
      <c r="I644" s="198"/>
      <c r="J644" s="888"/>
      <c r="K644" s="217"/>
      <c r="L644" s="306"/>
      <c r="M644" s="306"/>
      <c r="N644" s="306"/>
      <c r="O644" s="306"/>
      <c r="P644" s="306"/>
      <c r="Q644" s="215"/>
      <c r="R644" s="5"/>
      <c r="S644" s="5"/>
      <c r="T644" s="5"/>
      <c r="U644" s="5"/>
      <c r="V644" s="5"/>
      <c r="W644" s="5"/>
      <c r="X644" s="5"/>
      <c r="Y644" s="5"/>
      <c r="Z644" s="5"/>
      <c r="AA644" s="5"/>
      <c r="AB644" s="5"/>
      <c r="AC644" s="5"/>
      <c r="AD644" s="5"/>
      <c r="AE644" s="5"/>
      <c r="AF644" s="5"/>
      <c r="AG644" s="5"/>
    </row>
    <row r="645" spans="3:33" ht="12.75" customHeight="1">
      <c r="C645" s="5"/>
      <c r="D645" s="5"/>
      <c r="E645" s="5"/>
      <c r="F645" s="5"/>
      <c r="G645" s="217"/>
      <c r="H645" s="198"/>
      <c r="I645" s="198"/>
      <c r="J645" s="888"/>
      <c r="K645" s="217"/>
      <c r="L645" s="306"/>
      <c r="M645" s="306"/>
      <c r="N645" s="306"/>
      <c r="O645" s="306"/>
      <c r="P645" s="306"/>
      <c r="Q645" s="215"/>
      <c r="R645" s="5"/>
      <c r="S645" s="5"/>
      <c r="T645" s="5"/>
      <c r="U645" s="5"/>
      <c r="V645" s="5"/>
      <c r="W645" s="5"/>
      <c r="X645" s="5"/>
      <c r="Y645" s="5"/>
      <c r="Z645" s="5"/>
      <c r="AA645" s="5"/>
      <c r="AB645" s="5"/>
      <c r="AC645" s="5"/>
      <c r="AD645" s="5"/>
      <c r="AE645" s="5"/>
      <c r="AF645" s="5"/>
      <c r="AG645" s="5"/>
    </row>
    <row r="646" spans="3:33" ht="12.75" customHeight="1">
      <c r="C646" s="5"/>
      <c r="D646" s="5"/>
      <c r="E646" s="5"/>
      <c r="F646" s="5"/>
      <c r="G646" s="217"/>
      <c r="H646" s="198"/>
      <c r="I646" s="198"/>
      <c r="J646" s="888"/>
      <c r="K646" s="217"/>
      <c r="L646" s="306"/>
      <c r="M646" s="306"/>
      <c r="N646" s="306"/>
      <c r="O646" s="306"/>
      <c r="P646" s="306"/>
      <c r="Q646" s="215"/>
      <c r="R646" s="5"/>
      <c r="S646" s="5"/>
      <c r="T646" s="5"/>
      <c r="U646" s="5"/>
      <c r="V646" s="5"/>
      <c r="W646" s="5"/>
      <c r="X646" s="5"/>
      <c r="Y646" s="5"/>
      <c r="Z646" s="5"/>
      <c r="AA646" s="5"/>
      <c r="AB646" s="5"/>
      <c r="AC646" s="5"/>
      <c r="AD646" s="5"/>
      <c r="AE646" s="5"/>
      <c r="AF646" s="5"/>
      <c r="AG646" s="5"/>
    </row>
    <row r="647" spans="3:33" ht="12.75" customHeight="1">
      <c r="C647" s="5"/>
      <c r="D647" s="5"/>
      <c r="E647" s="5"/>
      <c r="F647" s="5"/>
      <c r="G647" s="217"/>
      <c r="H647" s="198"/>
      <c r="I647" s="198"/>
      <c r="J647" s="888"/>
      <c r="K647" s="217"/>
      <c r="L647" s="306"/>
      <c r="M647" s="306"/>
      <c r="N647" s="306"/>
      <c r="O647" s="306"/>
      <c r="P647" s="306"/>
      <c r="Q647" s="215"/>
      <c r="R647" s="5"/>
      <c r="S647" s="5"/>
      <c r="T647" s="5"/>
      <c r="U647" s="5"/>
      <c r="V647" s="5"/>
      <c r="W647" s="5"/>
      <c r="X647" s="5"/>
      <c r="Y647" s="5"/>
      <c r="Z647" s="5"/>
      <c r="AA647" s="5"/>
      <c r="AB647" s="5"/>
      <c r="AC647" s="5"/>
      <c r="AD647" s="5"/>
      <c r="AE647" s="5"/>
      <c r="AF647" s="5"/>
      <c r="AG647" s="5"/>
    </row>
    <row r="648" spans="3:33" ht="12.75" customHeight="1">
      <c r="C648" s="5"/>
      <c r="D648" s="5"/>
      <c r="E648" s="5"/>
      <c r="F648" s="5"/>
      <c r="G648" s="217"/>
      <c r="H648" s="198"/>
      <c r="I648" s="198"/>
      <c r="J648" s="888"/>
      <c r="K648" s="217"/>
      <c r="L648" s="306"/>
      <c r="M648" s="306"/>
      <c r="N648" s="306"/>
      <c r="O648" s="306"/>
      <c r="P648" s="306"/>
      <c r="Q648" s="215"/>
      <c r="R648" s="5"/>
      <c r="S648" s="5"/>
      <c r="T648" s="5"/>
      <c r="U648" s="5"/>
      <c r="V648" s="5"/>
      <c r="W648" s="5"/>
      <c r="X648" s="5"/>
      <c r="Y648" s="5"/>
      <c r="Z648" s="5"/>
      <c r="AA648" s="5"/>
      <c r="AB648" s="5"/>
      <c r="AC648" s="5"/>
      <c r="AD648" s="5"/>
      <c r="AE648" s="5"/>
      <c r="AF648" s="5"/>
      <c r="AG648" s="5"/>
    </row>
    <row r="649" spans="3:33" ht="12.75" customHeight="1">
      <c r="C649" s="5"/>
      <c r="D649" s="5"/>
      <c r="E649" s="5"/>
      <c r="F649" s="5"/>
      <c r="G649" s="217"/>
      <c r="H649" s="198"/>
      <c r="I649" s="198"/>
      <c r="J649" s="888"/>
      <c r="K649" s="217"/>
      <c r="L649" s="306"/>
      <c r="M649" s="306"/>
      <c r="N649" s="306"/>
      <c r="O649" s="306"/>
      <c r="P649" s="306"/>
      <c r="Q649" s="215"/>
      <c r="R649" s="5"/>
      <c r="S649" s="5"/>
      <c r="T649" s="5"/>
      <c r="U649" s="5"/>
      <c r="V649" s="5"/>
      <c r="W649" s="5"/>
      <c r="X649" s="5"/>
      <c r="Y649" s="5"/>
      <c r="Z649" s="5"/>
      <c r="AA649" s="5"/>
      <c r="AB649" s="5"/>
      <c r="AC649" s="5"/>
      <c r="AD649" s="5"/>
      <c r="AE649" s="5"/>
      <c r="AF649" s="5"/>
      <c r="AG649" s="5"/>
    </row>
    <row r="650" spans="3:33" ht="12.75" customHeight="1">
      <c r="C650" s="5"/>
      <c r="D650" s="5"/>
      <c r="E650" s="5"/>
      <c r="F650" s="5"/>
      <c r="G650" s="217"/>
      <c r="H650" s="198"/>
      <c r="I650" s="198"/>
      <c r="J650" s="888"/>
      <c r="K650" s="217"/>
      <c r="L650" s="306"/>
      <c r="M650" s="306"/>
      <c r="N650" s="306"/>
      <c r="O650" s="306"/>
      <c r="P650" s="306"/>
      <c r="Q650" s="215"/>
      <c r="R650" s="5"/>
      <c r="S650" s="5"/>
      <c r="T650" s="5"/>
      <c r="U650" s="5"/>
      <c r="V650" s="5"/>
      <c r="W650" s="5"/>
      <c r="X650" s="5"/>
      <c r="Y650" s="5"/>
      <c r="Z650" s="5"/>
      <c r="AA650" s="5"/>
      <c r="AB650" s="5"/>
      <c r="AC650" s="5"/>
      <c r="AD650" s="5"/>
      <c r="AE650" s="5"/>
      <c r="AF650" s="5"/>
      <c r="AG650" s="5"/>
    </row>
    <row r="651" spans="3:33" ht="12.75" customHeight="1">
      <c r="C651" s="5"/>
      <c r="D651" s="5"/>
      <c r="E651" s="5"/>
      <c r="F651" s="5"/>
      <c r="G651" s="217"/>
      <c r="H651" s="198"/>
      <c r="I651" s="198"/>
      <c r="J651" s="888"/>
      <c r="K651" s="217"/>
      <c r="L651" s="306"/>
      <c r="M651" s="306"/>
      <c r="N651" s="306"/>
      <c r="O651" s="306"/>
      <c r="P651" s="306"/>
      <c r="Q651" s="215"/>
      <c r="R651" s="5"/>
      <c r="S651" s="5"/>
      <c r="T651" s="5"/>
      <c r="U651" s="5"/>
      <c r="V651" s="5"/>
      <c r="W651" s="5"/>
      <c r="X651" s="5"/>
      <c r="Y651" s="5"/>
      <c r="Z651" s="5"/>
      <c r="AA651" s="5"/>
      <c r="AB651" s="5"/>
      <c r="AC651" s="5"/>
      <c r="AD651" s="5"/>
      <c r="AE651" s="5"/>
      <c r="AF651" s="5"/>
      <c r="AG651" s="5"/>
    </row>
    <row r="652" spans="3:33" ht="12.75" customHeight="1">
      <c r="C652" s="5"/>
      <c r="D652" s="5"/>
      <c r="E652" s="5"/>
      <c r="F652" s="5"/>
      <c r="G652" s="217"/>
      <c r="H652" s="198"/>
      <c r="I652" s="198"/>
      <c r="J652" s="888"/>
      <c r="K652" s="217"/>
      <c r="L652" s="306"/>
      <c r="M652" s="306"/>
      <c r="N652" s="306"/>
      <c r="O652" s="306"/>
      <c r="P652" s="306"/>
      <c r="Q652" s="215"/>
      <c r="R652" s="5"/>
      <c r="S652" s="5"/>
      <c r="T652" s="5"/>
      <c r="U652" s="5"/>
      <c r="V652" s="5"/>
      <c r="W652" s="5"/>
      <c r="X652" s="5"/>
      <c r="Y652" s="5"/>
      <c r="Z652" s="5"/>
      <c r="AA652" s="5"/>
      <c r="AB652" s="5"/>
      <c r="AC652" s="5"/>
      <c r="AD652" s="5"/>
      <c r="AE652" s="5"/>
      <c r="AF652" s="5"/>
      <c r="AG652" s="5"/>
    </row>
    <row r="653" spans="3:33" ht="12.75" customHeight="1">
      <c r="C653" s="5"/>
      <c r="D653" s="5"/>
      <c r="E653" s="5"/>
      <c r="F653" s="5"/>
      <c r="G653" s="217"/>
      <c r="H653" s="198"/>
      <c r="I653" s="198"/>
      <c r="J653" s="888"/>
      <c r="K653" s="217"/>
      <c r="L653" s="306"/>
      <c r="M653" s="306"/>
      <c r="N653" s="306"/>
      <c r="O653" s="306"/>
      <c r="P653" s="306"/>
      <c r="Q653" s="215"/>
      <c r="R653" s="5"/>
      <c r="S653" s="5"/>
      <c r="T653" s="5"/>
      <c r="U653" s="5"/>
      <c r="V653" s="5"/>
      <c r="W653" s="5"/>
      <c r="X653" s="5"/>
      <c r="Y653" s="5"/>
      <c r="Z653" s="5"/>
      <c r="AA653" s="5"/>
      <c r="AB653" s="5"/>
      <c r="AC653" s="5"/>
      <c r="AD653" s="5"/>
      <c r="AE653" s="5"/>
      <c r="AF653" s="5"/>
      <c r="AG653" s="5"/>
    </row>
    <row r="654" spans="3:33" ht="12.75" customHeight="1">
      <c r="C654" s="5"/>
      <c r="D654" s="5"/>
      <c r="E654" s="5"/>
      <c r="F654" s="5"/>
      <c r="G654" s="217"/>
      <c r="H654" s="198"/>
      <c r="I654" s="198"/>
      <c r="J654" s="888"/>
      <c r="K654" s="217"/>
      <c r="L654" s="306"/>
      <c r="M654" s="306"/>
      <c r="N654" s="306"/>
      <c r="O654" s="306"/>
      <c r="P654" s="306"/>
      <c r="Q654" s="215"/>
      <c r="R654" s="5"/>
      <c r="S654" s="5"/>
      <c r="T654" s="5"/>
      <c r="U654" s="5"/>
      <c r="V654" s="5"/>
      <c r="W654" s="5"/>
      <c r="X654" s="5"/>
      <c r="Y654" s="5"/>
      <c r="Z654" s="5"/>
      <c r="AA654" s="5"/>
      <c r="AB654" s="5"/>
      <c r="AC654" s="5"/>
      <c r="AD654" s="5"/>
      <c r="AE654" s="5"/>
      <c r="AF654" s="5"/>
      <c r="AG654" s="5"/>
    </row>
    <row r="655" spans="3:33" ht="12.75" customHeight="1">
      <c r="C655" s="5"/>
      <c r="D655" s="5"/>
      <c r="E655" s="5"/>
      <c r="F655" s="5"/>
      <c r="G655" s="217"/>
      <c r="H655" s="198"/>
      <c r="I655" s="198"/>
      <c r="J655" s="888"/>
      <c r="K655" s="217"/>
      <c r="L655" s="306"/>
      <c r="M655" s="306"/>
      <c r="N655" s="306"/>
      <c r="O655" s="306"/>
      <c r="P655" s="306"/>
      <c r="Q655" s="215"/>
      <c r="R655" s="5"/>
      <c r="S655" s="5"/>
      <c r="T655" s="5"/>
      <c r="U655" s="5"/>
      <c r="V655" s="5"/>
      <c r="W655" s="5"/>
      <c r="X655" s="5"/>
      <c r="Y655" s="5"/>
      <c r="Z655" s="5"/>
      <c r="AA655" s="5"/>
      <c r="AB655" s="5"/>
      <c r="AC655" s="5"/>
      <c r="AD655" s="5"/>
      <c r="AE655" s="5"/>
      <c r="AF655" s="5"/>
      <c r="AG655" s="5"/>
    </row>
    <row r="656" spans="3:33" ht="12.75" customHeight="1">
      <c r="C656" s="5"/>
      <c r="D656" s="5"/>
      <c r="E656" s="5"/>
      <c r="F656" s="5"/>
      <c r="G656" s="217"/>
      <c r="H656" s="198"/>
      <c r="I656" s="198"/>
      <c r="J656" s="888"/>
      <c r="K656" s="217"/>
      <c r="L656" s="306"/>
      <c r="M656" s="306"/>
      <c r="N656" s="306"/>
      <c r="O656" s="306"/>
      <c r="P656" s="306"/>
      <c r="Q656" s="215"/>
      <c r="R656" s="5"/>
      <c r="S656" s="5"/>
      <c r="T656" s="5"/>
      <c r="U656" s="5"/>
      <c r="V656" s="5"/>
      <c r="W656" s="5"/>
      <c r="X656" s="5"/>
      <c r="Y656" s="5"/>
      <c r="Z656" s="5"/>
      <c r="AA656" s="5"/>
      <c r="AB656" s="5"/>
      <c r="AC656" s="5"/>
      <c r="AD656" s="5"/>
      <c r="AE656" s="5"/>
      <c r="AF656" s="5"/>
      <c r="AG656" s="5"/>
    </row>
    <row r="657" spans="3:33" ht="12.75" customHeight="1">
      <c r="C657" s="5"/>
      <c r="D657" s="5"/>
      <c r="E657" s="5"/>
      <c r="F657" s="5"/>
      <c r="G657" s="217"/>
      <c r="H657" s="198"/>
      <c r="I657" s="198"/>
      <c r="J657" s="888"/>
      <c r="K657" s="217"/>
      <c r="L657" s="306"/>
      <c r="M657" s="306"/>
      <c r="N657" s="306"/>
      <c r="O657" s="306"/>
      <c r="P657" s="306"/>
      <c r="Q657" s="215"/>
      <c r="R657" s="5"/>
      <c r="S657" s="5"/>
      <c r="T657" s="5"/>
      <c r="U657" s="5"/>
      <c r="V657" s="5"/>
      <c r="W657" s="5"/>
      <c r="X657" s="5"/>
      <c r="Y657" s="5"/>
      <c r="Z657" s="5"/>
      <c r="AA657" s="5"/>
      <c r="AB657" s="5"/>
      <c r="AC657" s="5"/>
      <c r="AD657" s="5"/>
      <c r="AE657" s="5"/>
      <c r="AF657" s="5"/>
      <c r="AG657" s="5"/>
    </row>
    <row r="658" spans="3:33" ht="12.75" customHeight="1">
      <c r="C658" s="5"/>
      <c r="D658" s="5"/>
      <c r="E658" s="5"/>
      <c r="F658" s="5"/>
      <c r="G658" s="217"/>
      <c r="H658" s="198"/>
      <c r="I658" s="198"/>
      <c r="J658" s="888"/>
      <c r="K658" s="217"/>
      <c r="L658" s="306"/>
      <c r="M658" s="306"/>
      <c r="N658" s="306"/>
      <c r="O658" s="306"/>
      <c r="P658" s="306"/>
      <c r="Q658" s="215"/>
      <c r="R658" s="5"/>
      <c r="S658" s="5"/>
      <c r="T658" s="5"/>
      <c r="U658" s="5"/>
      <c r="V658" s="5"/>
      <c r="W658" s="5"/>
      <c r="X658" s="5"/>
      <c r="Y658" s="5"/>
      <c r="Z658" s="5"/>
      <c r="AA658" s="5"/>
      <c r="AB658" s="5"/>
      <c r="AC658" s="5"/>
      <c r="AD658" s="5"/>
      <c r="AE658" s="5"/>
      <c r="AF658" s="5"/>
      <c r="AG658" s="5"/>
    </row>
    <row r="659" spans="3:33" ht="12.75" customHeight="1">
      <c r="C659" s="5"/>
      <c r="D659" s="5"/>
      <c r="E659" s="5"/>
      <c r="F659" s="5"/>
      <c r="G659" s="217"/>
      <c r="H659" s="198"/>
      <c r="I659" s="198"/>
      <c r="J659" s="888"/>
      <c r="K659" s="217"/>
      <c r="L659" s="306"/>
      <c r="M659" s="306"/>
      <c r="N659" s="306"/>
      <c r="O659" s="306"/>
      <c r="P659" s="306"/>
      <c r="Q659" s="215"/>
      <c r="R659" s="5"/>
      <c r="S659" s="5"/>
      <c r="T659" s="5"/>
      <c r="U659" s="5"/>
      <c r="V659" s="5"/>
      <c r="W659" s="5"/>
      <c r="X659" s="5"/>
      <c r="Y659" s="5"/>
      <c r="Z659" s="5"/>
      <c r="AA659" s="5"/>
      <c r="AB659" s="5"/>
      <c r="AC659" s="5"/>
      <c r="AD659" s="5"/>
      <c r="AE659" s="5"/>
      <c r="AF659" s="5"/>
      <c r="AG659" s="5"/>
    </row>
    <row r="660" spans="3:33" ht="12.75" customHeight="1">
      <c r="C660" s="5"/>
      <c r="D660" s="5"/>
      <c r="E660" s="5"/>
      <c r="F660" s="5"/>
      <c r="G660" s="217"/>
      <c r="H660" s="198"/>
      <c r="I660" s="198"/>
      <c r="J660" s="888"/>
      <c r="K660" s="217"/>
      <c r="L660" s="306"/>
      <c r="M660" s="306"/>
      <c r="N660" s="306"/>
      <c r="O660" s="306"/>
      <c r="P660" s="306"/>
      <c r="Q660" s="215"/>
      <c r="R660" s="5"/>
      <c r="S660" s="5"/>
      <c r="T660" s="5"/>
      <c r="U660" s="5"/>
      <c r="V660" s="5"/>
      <c r="W660" s="5"/>
      <c r="X660" s="5"/>
      <c r="Y660" s="5"/>
      <c r="Z660" s="5"/>
      <c r="AA660" s="5"/>
      <c r="AB660" s="5"/>
      <c r="AC660" s="5"/>
      <c r="AD660" s="5"/>
      <c r="AE660" s="5"/>
      <c r="AF660" s="5"/>
      <c r="AG660" s="5"/>
    </row>
    <row r="661" spans="3:33" ht="12.75" customHeight="1">
      <c r="C661" s="5"/>
      <c r="D661" s="5"/>
      <c r="E661" s="5"/>
      <c r="F661" s="5"/>
      <c r="G661" s="217"/>
      <c r="H661" s="198"/>
      <c r="I661" s="198"/>
      <c r="J661" s="888"/>
      <c r="K661" s="217"/>
      <c r="L661" s="306"/>
      <c r="M661" s="306"/>
      <c r="N661" s="306"/>
      <c r="O661" s="306"/>
      <c r="P661" s="306"/>
      <c r="Q661" s="215"/>
      <c r="R661" s="5"/>
      <c r="S661" s="5"/>
      <c r="T661" s="5"/>
      <c r="U661" s="5"/>
      <c r="V661" s="5"/>
      <c r="W661" s="5"/>
      <c r="X661" s="5"/>
      <c r="Y661" s="5"/>
      <c r="Z661" s="5"/>
      <c r="AA661" s="5"/>
      <c r="AB661" s="5"/>
      <c r="AC661" s="5"/>
      <c r="AD661" s="5"/>
      <c r="AE661" s="5"/>
      <c r="AF661" s="5"/>
      <c r="AG661" s="5"/>
    </row>
    <row r="662" spans="3:33" ht="12.75" customHeight="1">
      <c r="C662" s="5"/>
      <c r="D662" s="5"/>
      <c r="E662" s="5"/>
      <c r="F662" s="5"/>
      <c r="G662" s="217"/>
      <c r="H662" s="198"/>
      <c r="I662" s="198"/>
      <c r="J662" s="888"/>
      <c r="K662" s="217"/>
      <c r="L662" s="306"/>
      <c r="M662" s="306"/>
      <c r="N662" s="306"/>
      <c r="O662" s="306"/>
      <c r="P662" s="306"/>
      <c r="Q662" s="215"/>
      <c r="R662" s="5"/>
      <c r="S662" s="5"/>
      <c r="T662" s="5"/>
      <c r="U662" s="5"/>
      <c r="V662" s="5"/>
      <c r="W662" s="5"/>
      <c r="X662" s="5"/>
      <c r="Y662" s="5"/>
      <c r="Z662" s="5"/>
      <c r="AA662" s="5"/>
      <c r="AB662" s="5"/>
      <c r="AC662" s="5"/>
      <c r="AD662" s="5"/>
      <c r="AE662" s="5"/>
      <c r="AF662" s="5"/>
      <c r="AG662" s="5"/>
    </row>
    <row r="663" spans="3:33" ht="12.75" customHeight="1">
      <c r="C663" s="5"/>
      <c r="D663" s="5"/>
      <c r="E663" s="5"/>
      <c r="F663" s="5"/>
      <c r="G663" s="217"/>
      <c r="H663" s="198"/>
      <c r="I663" s="198"/>
      <c r="J663" s="888"/>
      <c r="K663" s="217"/>
      <c r="L663" s="306"/>
      <c r="M663" s="306"/>
      <c r="N663" s="306"/>
      <c r="O663" s="306"/>
      <c r="P663" s="306"/>
      <c r="Q663" s="215"/>
      <c r="R663" s="5"/>
      <c r="S663" s="5"/>
      <c r="T663" s="5"/>
      <c r="U663" s="5"/>
      <c r="V663" s="5"/>
      <c r="W663" s="5"/>
      <c r="X663" s="5"/>
      <c r="Y663" s="5"/>
      <c r="Z663" s="5"/>
      <c r="AA663" s="5"/>
      <c r="AB663" s="5"/>
      <c r="AC663" s="5"/>
      <c r="AD663" s="5"/>
      <c r="AE663" s="5"/>
      <c r="AF663" s="5"/>
      <c r="AG663" s="5"/>
    </row>
    <row r="664" spans="3:33" ht="12.75" customHeight="1">
      <c r="C664" s="5"/>
      <c r="D664" s="5"/>
      <c r="E664" s="5"/>
      <c r="F664" s="5"/>
      <c r="G664" s="217"/>
      <c r="H664" s="198"/>
      <c r="I664" s="198"/>
      <c r="J664" s="888"/>
      <c r="K664" s="217"/>
      <c r="L664" s="306"/>
      <c r="M664" s="306"/>
      <c r="N664" s="306"/>
      <c r="O664" s="306"/>
      <c r="P664" s="306"/>
      <c r="Q664" s="215"/>
      <c r="R664" s="5"/>
      <c r="S664" s="5"/>
      <c r="T664" s="5"/>
      <c r="U664" s="5"/>
      <c r="V664" s="5"/>
      <c r="W664" s="5"/>
      <c r="X664" s="5"/>
      <c r="Y664" s="5"/>
      <c r="Z664" s="5"/>
      <c r="AA664" s="5"/>
      <c r="AB664" s="5"/>
      <c r="AC664" s="5"/>
      <c r="AD664" s="5"/>
      <c r="AE664" s="5"/>
      <c r="AF664" s="5"/>
      <c r="AG664" s="5"/>
    </row>
    <row r="665" spans="3:33" ht="12.75" customHeight="1">
      <c r="C665" s="5"/>
      <c r="D665" s="5"/>
      <c r="E665" s="5"/>
      <c r="F665" s="5"/>
      <c r="G665" s="217"/>
      <c r="H665" s="198"/>
      <c r="I665" s="198"/>
      <c r="J665" s="888"/>
      <c r="K665" s="217"/>
      <c r="L665" s="306"/>
      <c r="M665" s="306"/>
      <c r="N665" s="306"/>
      <c r="O665" s="306"/>
      <c r="P665" s="306"/>
      <c r="Q665" s="215"/>
      <c r="R665" s="5"/>
      <c r="S665" s="5"/>
      <c r="T665" s="5"/>
      <c r="U665" s="5"/>
      <c r="V665" s="5"/>
      <c r="W665" s="5"/>
      <c r="X665" s="5"/>
      <c r="Y665" s="5"/>
      <c r="Z665" s="5"/>
      <c r="AA665" s="5"/>
      <c r="AB665" s="5"/>
      <c r="AC665" s="5"/>
      <c r="AD665" s="5"/>
      <c r="AE665" s="5"/>
      <c r="AF665" s="5"/>
      <c r="AG665" s="5"/>
    </row>
    <row r="666" spans="3:33" ht="12.75" customHeight="1">
      <c r="C666" s="5"/>
      <c r="D666" s="5"/>
      <c r="E666" s="5"/>
      <c r="F666" s="5"/>
      <c r="G666" s="217"/>
      <c r="H666" s="198"/>
      <c r="I666" s="198"/>
      <c r="J666" s="888"/>
      <c r="K666" s="217"/>
      <c r="L666" s="306"/>
      <c r="M666" s="306"/>
      <c r="N666" s="306"/>
      <c r="O666" s="306"/>
      <c r="P666" s="306"/>
      <c r="Q666" s="215"/>
      <c r="R666" s="5"/>
      <c r="S666" s="5"/>
      <c r="T666" s="5"/>
      <c r="U666" s="5"/>
      <c r="V666" s="5"/>
      <c r="W666" s="5"/>
      <c r="X666" s="5"/>
      <c r="Y666" s="5"/>
      <c r="Z666" s="5"/>
      <c r="AA666" s="5"/>
      <c r="AB666" s="5"/>
      <c r="AC666" s="5"/>
      <c r="AD666" s="5"/>
      <c r="AE666" s="5"/>
      <c r="AF666" s="5"/>
      <c r="AG666" s="5"/>
    </row>
    <row r="667" spans="3:33" ht="12.75" customHeight="1">
      <c r="C667" s="5"/>
      <c r="D667" s="5"/>
      <c r="E667" s="5"/>
      <c r="F667" s="5"/>
      <c r="G667" s="217"/>
      <c r="H667" s="198"/>
      <c r="I667" s="198"/>
      <c r="J667" s="888"/>
      <c r="K667" s="217"/>
      <c r="L667" s="306"/>
      <c r="M667" s="306"/>
      <c r="N667" s="306"/>
      <c r="O667" s="306"/>
      <c r="P667" s="306"/>
      <c r="Q667" s="215"/>
      <c r="R667" s="5"/>
      <c r="S667" s="5"/>
      <c r="T667" s="5"/>
      <c r="U667" s="5"/>
      <c r="V667" s="5"/>
      <c r="W667" s="5"/>
      <c r="X667" s="5"/>
      <c r="Y667" s="5"/>
      <c r="Z667" s="5"/>
      <c r="AA667" s="5"/>
      <c r="AB667" s="5"/>
      <c r="AC667" s="5"/>
      <c r="AD667" s="5"/>
      <c r="AE667" s="5"/>
      <c r="AF667" s="5"/>
      <c r="AG667" s="5"/>
    </row>
    <row r="668" spans="3:33" ht="12.75" customHeight="1">
      <c r="C668" s="5"/>
      <c r="D668" s="5"/>
      <c r="E668" s="5"/>
      <c r="F668" s="5"/>
      <c r="G668" s="217"/>
      <c r="H668" s="198"/>
      <c r="I668" s="198"/>
      <c r="J668" s="888"/>
      <c r="K668" s="217"/>
      <c r="L668" s="306"/>
      <c r="M668" s="306"/>
      <c r="N668" s="306"/>
      <c r="O668" s="306"/>
      <c r="P668" s="306"/>
      <c r="Q668" s="215"/>
      <c r="R668" s="5"/>
      <c r="S668" s="5"/>
      <c r="T668" s="5"/>
      <c r="U668" s="5"/>
      <c r="V668" s="5"/>
      <c r="W668" s="5"/>
      <c r="X668" s="5"/>
      <c r="Y668" s="5"/>
      <c r="Z668" s="5"/>
      <c r="AA668" s="5"/>
      <c r="AB668" s="5"/>
      <c r="AC668" s="5"/>
      <c r="AD668" s="5"/>
      <c r="AE668" s="5"/>
      <c r="AF668" s="5"/>
      <c r="AG668" s="5"/>
    </row>
    <row r="669" spans="3:33" ht="12.75" customHeight="1">
      <c r="C669" s="5"/>
      <c r="D669" s="5"/>
      <c r="E669" s="5"/>
      <c r="F669" s="5"/>
      <c r="G669" s="217"/>
      <c r="H669" s="198"/>
      <c r="I669" s="198"/>
      <c r="J669" s="888"/>
      <c r="K669" s="217"/>
      <c r="L669" s="306"/>
      <c r="M669" s="306"/>
      <c r="N669" s="306"/>
      <c r="O669" s="306"/>
      <c r="P669" s="306"/>
      <c r="Q669" s="215"/>
      <c r="R669" s="5"/>
      <c r="S669" s="5"/>
      <c r="T669" s="5"/>
      <c r="U669" s="5"/>
      <c r="V669" s="5"/>
      <c r="W669" s="5"/>
      <c r="X669" s="5"/>
      <c r="Y669" s="5"/>
      <c r="Z669" s="5"/>
      <c r="AA669" s="5"/>
      <c r="AB669" s="5"/>
      <c r="AC669" s="5"/>
      <c r="AD669" s="5"/>
      <c r="AE669" s="5"/>
      <c r="AF669" s="5"/>
      <c r="AG669" s="5"/>
    </row>
    <row r="670" spans="3:33" ht="12.75" customHeight="1">
      <c r="C670" s="5"/>
      <c r="D670" s="5"/>
      <c r="E670" s="5"/>
      <c r="F670" s="5"/>
      <c r="G670" s="217"/>
      <c r="H670" s="198"/>
      <c r="I670" s="198"/>
      <c r="J670" s="888"/>
      <c r="K670" s="217"/>
      <c r="L670" s="306"/>
      <c r="M670" s="306"/>
      <c r="N670" s="306"/>
      <c r="O670" s="306"/>
      <c r="P670" s="306"/>
      <c r="Q670" s="215"/>
      <c r="R670" s="5"/>
      <c r="S670" s="5"/>
      <c r="T670" s="5"/>
      <c r="U670" s="5"/>
      <c r="V670" s="5"/>
      <c r="W670" s="5"/>
      <c r="X670" s="5"/>
      <c r="Y670" s="5"/>
      <c r="Z670" s="5"/>
      <c r="AA670" s="5"/>
      <c r="AB670" s="5"/>
      <c r="AC670" s="5"/>
      <c r="AD670" s="5"/>
      <c r="AE670" s="5"/>
      <c r="AF670" s="5"/>
      <c r="AG670" s="5"/>
    </row>
    <row r="671" spans="3:33" ht="12.75" customHeight="1">
      <c r="C671" s="5"/>
      <c r="D671" s="5"/>
      <c r="E671" s="5"/>
      <c r="F671" s="5"/>
      <c r="G671" s="217"/>
      <c r="H671" s="198"/>
      <c r="I671" s="198"/>
      <c r="J671" s="888"/>
      <c r="K671" s="217"/>
      <c r="L671" s="306"/>
      <c r="M671" s="306"/>
      <c r="N671" s="306"/>
      <c r="O671" s="306"/>
      <c r="P671" s="306"/>
      <c r="Q671" s="215"/>
      <c r="R671" s="5"/>
      <c r="S671" s="5"/>
      <c r="T671" s="5"/>
      <c r="U671" s="5"/>
      <c r="V671" s="5"/>
      <c r="W671" s="5"/>
      <c r="X671" s="5"/>
      <c r="Y671" s="5"/>
      <c r="Z671" s="5"/>
      <c r="AA671" s="5"/>
      <c r="AB671" s="5"/>
      <c r="AC671" s="5"/>
      <c r="AD671" s="5"/>
      <c r="AE671" s="5"/>
      <c r="AF671" s="5"/>
      <c r="AG671" s="5"/>
    </row>
    <row r="672" spans="3:33" ht="12.75" customHeight="1">
      <c r="C672" s="5"/>
      <c r="D672" s="5"/>
      <c r="E672" s="5"/>
      <c r="F672" s="5"/>
      <c r="G672" s="217"/>
      <c r="H672" s="198"/>
      <c r="I672" s="198"/>
      <c r="J672" s="888"/>
      <c r="K672" s="217"/>
      <c r="L672" s="306"/>
      <c r="M672" s="306"/>
      <c r="N672" s="306"/>
      <c r="O672" s="306"/>
      <c r="P672" s="306"/>
      <c r="Q672" s="215"/>
      <c r="R672" s="5"/>
      <c r="S672" s="5"/>
      <c r="T672" s="5"/>
      <c r="U672" s="5"/>
      <c r="V672" s="5"/>
      <c r="W672" s="5"/>
      <c r="X672" s="5"/>
      <c r="Y672" s="5"/>
      <c r="Z672" s="5"/>
      <c r="AA672" s="5"/>
      <c r="AB672" s="5"/>
      <c r="AC672" s="5"/>
      <c r="AD672" s="5"/>
      <c r="AE672" s="5"/>
      <c r="AF672" s="5"/>
      <c r="AG672" s="5"/>
    </row>
    <row r="673" spans="3:33" ht="12.75" customHeight="1">
      <c r="C673" s="5"/>
      <c r="D673" s="5"/>
      <c r="E673" s="5"/>
      <c r="F673" s="5"/>
      <c r="G673" s="217"/>
      <c r="H673" s="198"/>
      <c r="I673" s="198"/>
      <c r="J673" s="888"/>
      <c r="K673" s="217"/>
      <c r="L673" s="306"/>
      <c r="M673" s="306"/>
      <c r="N673" s="306"/>
      <c r="O673" s="306"/>
      <c r="P673" s="306"/>
      <c r="Q673" s="215"/>
      <c r="R673" s="5"/>
      <c r="S673" s="5"/>
      <c r="T673" s="5"/>
      <c r="U673" s="5"/>
      <c r="V673" s="5"/>
      <c r="W673" s="5"/>
      <c r="X673" s="5"/>
      <c r="Y673" s="5"/>
      <c r="Z673" s="5"/>
      <c r="AA673" s="5"/>
      <c r="AB673" s="5"/>
      <c r="AC673" s="5"/>
      <c r="AD673" s="5"/>
      <c r="AE673" s="5"/>
      <c r="AF673" s="5"/>
      <c r="AG673" s="5"/>
    </row>
    <row r="674" spans="3:33" ht="12.75" customHeight="1">
      <c r="C674" s="5"/>
      <c r="D674" s="5"/>
      <c r="E674" s="5"/>
      <c r="F674" s="5"/>
      <c r="G674" s="217"/>
      <c r="H674" s="198"/>
      <c r="I674" s="198"/>
      <c r="J674" s="888"/>
      <c r="K674" s="217"/>
      <c r="L674" s="306"/>
      <c r="M674" s="306"/>
      <c r="N674" s="306"/>
      <c r="O674" s="306"/>
      <c r="P674" s="306"/>
      <c r="Q674" s="215"/>
      <c r="R674" s="5"/>
      <c r="S674" s="5"/>
      <c r="T674" s="5"/>
      <c r="U674" s="5"/>
      <c r="V674" s="5"/>
      <c r="W674" s="5"/>
      <c r="X674" s="5"/>
      <c r="Y674" s="5"/>
      <c r="Z674" s="5"/>
      <c r="AA674" s="5"/>
      <c r="AB674" s="5"/>
      <c r="AC674" s="5"/>
      <c r="AD674" s="5"/>
      <c r="AE674" s="5"/>
      <c r="AF674" s="5"/>
      <c r="AG674" s="5"/>
    </row>
    <row r="675" spans="3:33" ht="12.75" customHeight="1">
      <c r="C675" s="5"/>
      <c r="D675" s="5"/>
      <c r="E675" s="5"/>
      <c r="F675" s="5"/>
      <c r="G675" s="217"/>
      <c r="H675" s="198"/>
      <c r="I675" s="198"/>
      <c r="J675" s="888"/>
      <c r="K675" s="217"/>
      <c r="L675" s="306"/>
      <c r="M675" s="306"/>
      <c r="N675" s="306"/>
      <c r="O675" s="306"/>
      <c r="P675" s="306"/>
      <c r="Q675" s="215"/>
      <c r="R675" s="5"/>
      <c r="S675" s="5"/>
      <c r="T675" s="5"/>
      <c r="U675" s="5"/>
      <c r="V675" s="5"/>
      <c r="W675" s="5"/>
      <c r="X675" s="5"/>
      <c r="Y675" s="5"/>
      <c r="Z675" s="5"/>
      <c r="AA675" s="5"/>
      <c r="AB675" s="5"/>
      <c r="AC675" s="5"/>
      <c r="AD675" s="5"/>
      <c r="AE675" s="5"/>
      <c r="AF675" s="5"/>
      <c r="AG675" s="5"/>
    </row>
    <row r="676" spans="3:33" ht="12.75" customHeight="1">
      <c r="C676" s="5"/>
      <c r="D676" s="5"/>
      <c r="E676" s="5"/>
      <c r="F676" s="5"/>
      <c r="G676" s="217"/>
      <c r="H676" s="198"/>
      <c r="I676" s="198"/>
      <c r="J676" s="888"/>
      <c r="K676" s="217"/>
      <c r="L676" s="306"/>
      <c r="M676" s="306"/>
      <c r="N676" s="306"/>
      <c r="O676" s="306"/>
      <c r="P676" s="306"/>
      <c r="Q676" s="215"/>
      <c r="R676" s="5"/>
      <c r="S676" s="5"/>
      <c r="T676" s="5"/>
      <c r="U676" s="5"/>
      <c r="V676" s="5"/>
      <c r="W676" s="5"/>
      <c r="X676" s="5"/>
      <c r="Y676" s="5"/>
      <c r="Z676" s="5"/>
      <c r="AA676" s="5"/>
      <c r="AB676" s="5"/>
      <c r="AC676" s="5"/>
      <c r="AD676" s="5"/>
      <c r="AE676" s="5"/>
      <c r="AF676" s="5"/>
      <c r="AG676" s="5"/>
    </row>
    <row r="677" spans="3:33" ht="12.75" customHeight="1">
      <c r="C677" s="5"/>
      <c r="D677" s="5"/>
      <c r="E677" s="5"/>
      <c r="F677" s="5"/>
      <c r="G677" s="217"/>
      <c r="H677" s="198"/>
      <c r="I677" s="198"/>
      <c r="J677" s="888"/>
      <c r="K677" s="217"/>
      <c r="L677" s="306"/>
      <c r="M677" s="306"/>
      <c r="N677" s="306"/>
      <c r="O677" s="306"/>
      <c r="P677" s="306"/>
      <c r="Q677" s="215"/>
      <c r="R677" s="5"/>
      <c r="S677" s="5"/>
      <c r="T677" s="5"/>
      <c r="U677" s="5"/>
      <c r="V677" s="5"/>
      <c r="W677" s="5"/>
      <c r="X677" s="5"/>
      <c r="Y677" s="5"/>
      <c r="Z677" s="5"/>
      <c r="AA677" s="5"/>
      <c r="AB677" s="5"/>
      <c r="AC677" s="5"/>
      <c r="AD677" s="5"/>
      <c r="AE677" s="5"/>
      <c r="AF677" s="5"/>
      <c r="AG677" s="5"/>
    </row>
    <row r="678" spans="3:33" ht="12.75" customHeight="1">
      <c r="C678" s="5"/>
      <c r="D678" s="5"/>
      <c r="E678" s="5"/>
      <c r="F678" s="5"/>
      <c r="G678" s="217"/>
      <c r="H678" s="198"/>
      <c r="I678" s="198"/>
      <c r="J678" s="888"/>
      <c r="K678" s="217"/>
      <c r="L678" s="306"/>
      <c r="M678" s="306"/>
      <c r="N678" s="306"/>
      <c r="O678" s="306"/>
      <c r="P678" s="306"/>
      <c r="Q678" s="215"/>
      <c r="R678" s="5"/>
      <c r="S678" s="5"/>
      <c r="T678" s="5"/>
      <c r="U678" s="5"/>
      <c r="V678" s="5"/>
      <c r="W678" s="5"/>
      <c r="X678" s="5"/>
      <c r="Y678" s="5"/>
      <c r="Z678" s="5"/>
      <c r="AA678" s="5"/>
      <c r="AB678" s="5"/>
      <c r="AC678" s="5"/>
      <c r="AD678" s="5"/>
      <c r="AE678" s="5"/>
      <c r="AF678" s="5"/>
      <c r="AG678" s="5"/>
    </row>
    <row r="679" spans="3:33" ht="12.75" customHeight="1">
      <c r="C679" s="5"/>
      <c r="D679" s="5"/>
      <c r="E679" s="5"/>
      <c r="F679" s="5"/>
      <c r="G679" s="217"/>
      <c r="H679" s="198"/>
      <c r="I679" s="198"/>
      <c r="J679" s="888"/>
      <c r="K679" s="217"/>
      <c r="L679" s="306"/>
      <c r="M679" s="306"/>
      <c r="N679" s="306"/>
      <c r="O679" s="306"/>
      <c r="P679" s="306"/>
      <c r="Q679" s="215"/>
      <c r="R679" s="5"/>
      <c r="S679" s="5"/>
      <c r="T679" s="5"/>
      <c r="U679" s="5"/>
      <c r="V679" s="5"/>
      <c r="W679" s="5"/>
      <c r="X679" s="5"/>
      <c r="Y679" s="5"/>
      <c r="Z679" s="5"/>
      <c r="AA679" s="5"/>
      <c r="AB679" s="5"/>
      <c r="AC679" s="5"/>
      <c r="AD679" s="5"/>
      <c r="AE679" s="5"/>
      <c r="AF679" s="5"/>
      <c r="AG679" s="5"/>
    </row>
    <row r="680" spans="3:33" ht="12.75" customHeight="1">
      <c r="C680" s="5"/>
      <c r="D680" s="5"/>
      <c r="E680" s="5"/>
      <c r="F680" s="5"/>
      <c r="G680" s="217"/>
      <c r="H680" s="198"/>
      <c r="I680" s="198"/>
      <c r="J680" s="888"/>
      <c r="K680" s="217"/>
      <c r="L680" s="306"/>
      <c r="M680" s="306"/>
      <c r="N680" s="306"/>
      <c r="O680" s="306"/>
      <c r="P680" s="306"/>
      <c r="Q680" s="215"/>
      <c r="R680" s="5"/>
      <c r="S680" s="5"/>
      <c r="T680" s="5"/>
      <c r="U680" s="5"/>
      <c r="V680" s="5"/>
      <c r="W680" s="5"/>
      <c r="X680" s="5"/>
      <c r="Y680" s="5"/>
      <c r="Z680" s="5"/>
      <c r="AA680" s="5"/>
      <c r="AB680" s="5"/>
      <c r="AC680" s="5"/>
      <c r="AD680" s="5"/>
      <c r="AE680" s="5"/>
      <c r="AF680" s="5"/>
      <c r="AG680" s="5"/>
    </row>
    <row r="681" spans="3:33" ht="12.75" customHeight="1">
      <c r="C681" s="5"/>
      <c r="D681" s="5"/>
      <c r="E681" s="5"/>
      <c r="F681" s="5"/>
      <c r="G681" s="217"/>
      <c r="H681" s="198"/>
      <c r="I681" s="198"/>
      <c r="J681" s="888"/>
      <c r="K681" s="217"/>
      <c r="L681" s="306"/>
      <c r="M681" s="306"/>
      <c r="N681" s="306"/>
      <c r="O681" s="306"/>
      <c r="P681" s="306"/>
      <c r="Q681" s="215"/>
      <c r="R681" s="5"/>
      <c r="S681" s="5"/>
      <c r="T681" s="5"/>
      <c r="U681" s="5"/>
      <c r="V681" s="5"/>
      <c r="W681" s="5"/>
      <c r="X681" s="5"/>
      <c r="Y681" s="5"/>
      <c r="Z681" s="5"/>
      <c r="AA681" s="5"/>
      <c r="AB681" s="5"/>
      <c r="AC681" s="5"/>
      <c r="AD681" s="5"/>
      <c r="AE681" s="5"/>
      <c r="AF681" s="5"/>
      <c r="AG681" s="5"/>
    </row>
    <row r="682" spans="3:33" ht="12.75" customHeight="1">
      <c r="C682" s="5"/>
      <c r="D682" s="5"/>
      <c r="E682" s="5"/>
      <c r="F682" s="5"/>
      <c r="G682" s="217"/>
      <c r="H682" s="198"/>
      <c r="I682" s="198"/>
      <c r="J682" s="888"/>
      <c r="K682" s="217"/>
      <c r="L682" s="306"/>
      <c r="M682" s="306"/>
      <c r="N682" s="306"/>
      <c r="O682" s="306"/>
      <c r="P682" s="306"/>
      <c r="Q682" s="215"/>
      <c r="R682" s="5"/>
      <c r="S682" s="5"/>
      <c r="T682" s="5"/>
      <c r="U682" s="5"/>
      <c r="V682" s="5"/>
      <c r="W682" s="5"/>
      <c r="X682" s="5"/>
      <c r="Y682" s="5"/>
      <c r="Z682" s="5"/>
      <c r="AA682" s="5"/>
      <c r="AB682" s="5"/>
      <c r="AC682" s="5"/>
      <c r="AD682" s="5"/>
      <c r="AE682" s="5"/>
      <c r="AF682" s="5"/>
      <c r="AG682" s="5"/>
    </row>
    <row r="683" spans="3:33" ht="12.75" customHeight="1">
      <c r="C683" s="5"/>
      <c r="D683" s="5"/>
      <c r="E683" s="5"/>
      <c r="F683" s="5"/>
      <c r="G683" s="217"/>
      <c r="H683" s="198"/>
      <c r="I683" s="198"/>
      <c r="J683" s="888"/>
      <c r="K683" s="217"/>
      <c r="L683" s="306"/>
      <c r="M683" s="306"/>
      <c r="N683" s="306"/>
      <c r="O683" s="306"/>
      <c r="P683" s="306"/>
      <c r="Q683" s="215"/>
      <c r="R683" s="5"/>
      <c r="S683" s="5"/>
      <c r="T683" s="5"/>
      <c r="U683" s="5"/>
      <c r="V683" s="5"/>
      <c r="W683" s="5"/>
      <c r="X683" s="5"/>
      <c r="Y683" s="5"/>
      <c r="Z683" s="5"/>
      <c r="AA683" s="5"/>
      <c r="AB683" s="5"/>
      <c r="AC683" s="5"/>
      <c r="AD683" s="5"/>
      <c r="AE683" s="5"/>
      <c r="AF683" s="5"/>
      <c r="AG683" s="5"/>
    </row>
    <row r="684" spans="3:33" ht="12.75" customHeight="1">
      <c r="C684" s="5"/>
      <c r="D684" s="5"/>
      <c r="E684" s="5"/>
      <c r="F684" s="5"/>
      <c r="G684" s="217"/>
      <c r="H684" s="198"/>
      <c r="I684" s="198"/>
      <c r="J684" s="888"/>
      <c r="K684" s="217"/>
      <c r="L684" s="306"/>
      <c r="M684" s="306"/>
      <c r="N684" s="306"/>
      <c r="O684" s="306"/>
      <c r="P684" s="306"/>
      <c r="Q684" s="215"/>
      <c r="R684" s="5"/>
      <c r="S684" s="5"/>
      <c r="T684" s="5"/>
      <c r="U684" s="5"/>
      <c r="V684" s="5"/>
      <c r="W684" s="5"/>
      <c r="X684" s="5"/>
      <c r="Y684" s="5"/>
      <c r="Z684" s="5"/>
      <c r="AA684" s="5"/>
      <c r="AB684" s="5"/>
      <c r="AC684" s="5"/>
      <c r="AD684" s="5"/>
      <c r="AE684" s="5"/>
      <c r="AF684" s="5"/>
      <c r="AG684" s="5"/>
    </row>
    <row r="685" spans="3:33" ht="12.75" customHeight="1">
      <c r="C685" s="5"/>
      <c r="D685" s="5"/>
      <c r="E685" s="5"/>
      <c r="F685" s="5"/>
      <c r="G685" s="217"/>
      <c r="H685" s="198"/>
      <c r="I685" s="198"/>
      <c r="J685" s="888"/>
      <c r="K685" s="217"/>
      <c r="L685" s="306"/>
      <c r="M685" s="306"/>
      <c r="N685" s="306"/>
      <c r="O685" s="306"/>
      <c r="P685" s="306"/>
      <c r="Q685" s="215"/>
      <c r="R685" s="5"/>
      <c r="S685" s="5"/>
      <c r="T685" s="5"/>
      <c r="U685" s="5"/>
      <c r="V685" s="5"/>
      <c r="W685" s="5"/>
      <c r="X685" s="5"/>
      <c r="Y685" s="5"/>
      <c r="Z685" s="5"/>
      <c r="AA685" s="5"/>
      <c r="AB685" s="5"/>
      <c r="AC685" s="5"/>
      <c r="AD685" s="5"/>
      <c r="AE685" s="5"/>
      <c r="AF685" s="5"/>
      <c r="AG685" s="5"/>
    </row>
    <row r="686" spans="3:33" ht="12.75" customHeight="1">
      <c r="C686" s="5"/>
      <c r="D686" s="5"/>
      <c r="E686" s="5"/>
      <c r="F686" s="5"/>
      <c r="G686" s="217"/>
      <c r="H686" s="198"/>
      <c r="I686" s="198"/>
      <c r="J686" s="888"/>
      <c r="K686" s="217"/>
      <c r="L686" s="306"/>
      <c r="M686" s="306"/>
      <c r="N686" s="306"/>
      <c r="O686" s="306"/>
      <c r="P686" s="306"/>
      <c r="Q686" s="215"/>
      <c r="R686" s="5"/>
      <c r="S686" s="5"/>
      <c r="T686" s="5"/>
      <c r="U686" s="5"/>
      <c r="V686" s="5"/>
      <c r="W686" s="5"/>
      <c r="X686" s="5"/>
      <c r="Y686" s="5"/>
      <c r="Z686" s="5"/>
      <c r="AA686" s="5"/>
      <c r="AB686" s="5"/>
      <c r="AC686" s="5"/>
      <c r="AD686" s="5"/>
      <c r="AE686" s="5"/>
      <c r="AF686" s="5"/>
      <c r="AG686" s="5"/>
    </row>
    <row r="687" spans="3:33" ht="12.75" customHeight="1">
      <c r="C687" s="5"/>
      <c r="D687" s="5"/>
      <c r="E687" s="5"/>
      <c r="F687" s="5"/>
      <c r="G687" s="217"/>
      <c r="H687" s="198"/>
      <c r="I687" s="198"/>
      <c r="J687" s="888"/>
      <c r="K687" s="217"/>
      <c r="L687" s="306"/>
      <c r="M687" s="306"/>
      <c r="N687" s="306"/>
      <c r="O687" s="306"/>
      <c r="P687" s="306"/>
      <c r="Q687" s="215"/>
      <c r="R687" s="5"/>
      <c r="S687" s="5"/>
      <c r="T687" s="5"/>
      <c r="U687" s="5"/>
      <c r="V687" s="5"/>
      <c r="W687" s="5"/>
      <c r="X687" s="5"/>
      <c r="Y687" s="5"/>
      <c r="Z687" s="5"/>
      <c r="AA687" s="5"/>
      <c r="AB687" s="5"/>
      <c r="AC687" s="5"/>
      <c r="AD687" s="5"/>
      <c r="AE687" s="5"/>
      <c r="AF687" s="5"/>
      <c r="AG687" s="5"/>
    </row>
    <row r="688" spans="3:33" ht="12.75" customHeight="1">
      <c r="C688" s="5"/>
      <c r="D688" s="5"/>
      <c r="E688" s="5"/>
      <c r="F688" s="5"/>
      <c r="G688" s="217"/>
      <c r="H688" s="198"/>
      <c r="I688" s="198"/>
      <c r="J688" s="888"/>
      <c r="K688" s="217"/>
      <c r="L688" s="306"/>
      <c r="M688" s="306"/>
      <c r="N688" s="306"/>
      <c r="O688" s="306"/>
      <c r="P688" s="306"/>
      <c r="Q688" s="215"/>
      <c r="R688" s="5"/>
      <c r="S688" s="5"/>
      <c r="T688" s="5"/>
      <c r="U688" s="5"/>
      <c r="V688" s="5"/>
      <c r="W688" s="5"/>
      <c r="X688" s="5"/>
      <c r="Y688" s="5"/>
      <c r="Z688" s="5"/>
      <c r="AA688" s="5"/>
      <c r="AB688" s="5"/>
      <c r="AC688" s="5"/>
      <c r="AD688" s="5"/>
      <c r="AE688" s="5"/>
      <c r="AF688" s="5"/>
      <c r="AG688" s="5"/>
    </row>
    <row r="689" spans="3:33" ht="12.75" customHeight="1">
      <c r="C689" s="5"/>
      <c r="D689" s="5"/>
      <c r="E689" s="5"/>
      <c r="F689" s="5"/>
      <c r="G689" s="217"/>
      <c r="H689" s="198"/>
      <c r="I689" s="198"/>
      <c r="J689" s="888"/>
      <c r="K689" s="217"/>
      <c r="L689" s="306"/>
      <c r="M689" s="306"/>
      <c r="N689" s="306"/>
      <c r="O689" s="306"/>
      <c r="P689" s="306"/>
      <c r="Q689" s="215"/>
      <c r="R689" s="5"/>
      <c r="S689" s="5"/>
      <c r="T689" s="5"/>
      <c r="U689" s="5"/>
      <c r="V689" s="5"/>
      <c r="W689" s="5"/>
      <c r="X689" s="5"/>
      <c r="Y689" s="5"/>
      <c r="Z689" s="5"/>
      <c r="AA689" s="5"/>
      <c r="AB689" s="5"/>
      <c r="AC689" s="5"/>
      <c r="AD689" s="5"/>
      <c r="AE689" s="5"/>
      <c r="AF689" s="5"/>
      <c r="AG689" s="5"/>
    </row>
    <row r="690" spans="3:33" ht="12.75" customHeight="1">
      <c r="C690" s="5"/>
      <c r="D690" s="5"/>
      <c r="E690" s="5"/>
      <c r="F690" s="5"/>
      <c r="G690" s="217"/>
      <c r="H690" s="198"/>
      <c r="I690" s="198"/>
      <c r="J690" s="888"/>
      <c r="K690" s="217"/>
      <c r="L690" s="306"/>
      <c r="M690" s="306"/>
      <c r="N690" s="306"/>
      <c r="O690" s="306"/>
      <c r="P690" s="306"/>
      <c r="Q690" s="215"/>
      <c r="R690" s="5"/>
      <c r="S690" s="5"/>
      <c r="T690" s="5"/>
      <c r="U690" s="5"/>
      <c r="V690" s="5"/>
      <c r="W690" s="5"/>
      <c r="X690" s="5"/>
      <c r="Y690" s="5"/>
      <c r="Z690" s="5"/>
      <c r="AA690" s="5"/>
      <c r="AB690" s="5"/>
      <c r="AC690" s="5"/>
      <c r="AD690" s="5"/>
      <c r="AE690" s="5"/>
      <c r="AF690" s="5"/>
      <c r="AG690" s="5"/>
    </row>
    <row r="691" spans="3:33" ht="12.75" customHeight="1">
      <c r="C691" s="5"/>
      <c r="D691" s="5"/>
      <c r="E691" s="5"/>
      <c r="F691" s="5"/>
      <c r="G691" s="217"/>
      <c r="H691" s="198"/>
      <c r="I691" s="198"/>
      <c r="J691" s="888"/>
      <c r="K691" s="217"/>
      <c r="L691" s="306"/>
      <c r="M691" s="306"/>
      <c r="N691" s="306"/>
      <c r="O691" s="306"/>
      <c r="P691" s="306"/>
      <c r="Q691" s="215"/>
      <c r="R691" s="5"/>
      <c r="S691" s="5"/>
      <c r="T691" s="5"/>
      <c r="U691" s="5"/>
      <c r="V691" s="5"/>
      <c r="W691" s="5"/>
      <c r="X691" s="5"/>
      <c r="Y691" s="5"/>
      <c r="Z691" s="5"/>
      <c r="AA691" s="5"/>
      <c r="AB691" s="5"/>
      <c r="AC691" s="5"/>
      <c r="AD691" s="5"/>
      <c r="AE691" s="5"/>
      <c r="AF691" s="5"/>
      <c r="AG691" s="5"/>
    </row>
    <row r="692" spans="3:33" ht="12.75" customHeight="1">
      <c r="C692" s="5"/>
      <c r="D692" s="5"/>
      <c r="E692" s="5"/>
      <c r="F692" s="5"/>
      <c r="G692" s="217"/>
      <c r="H692" s="198"/>
      <c r="I692" s="198"/>
      <c r="J692" s="888"/>
      <c r="K692" s="217"/>
      <c r="L692" s="306"/>
      <c r="M692" s="306"/>
      <c r="N692" s="306"/>
      <c r="O692" s="306"/>
      <c r="P692" s="306"/>
      <c r="Q692" s="215"/>
      <c r="R692" s="5"/>
      <c r="S692" s="5"/>
      <c r="T692" s="5"/>
      <c r="U692" s="5"/>
      <c r="V692" s="5"/>
      <c r="W692" s="5"/>
      <c r="X692" s="5"/>
      <c r="Y692" s="5"/>
      <c r="Z692" s="5"/>
      <c r="AA692" s="5"/>
      <c r="AB692" s="5"/>
      <c r="AC692" s="5"/>
      <c r="AD692" s="5"/>
      <c r="AE692" s="5"/>
      <c r="AF692" s="5"/>
      <c r="AG692" s="5"/>
    </row>
    <row r="693" spans="3:33" ht="12.75" customHeight="1">
      <c r="C693" s="5"/>
      <c r="D693" s="5"/>
      <c r="E693" s="5"/>
      <c r="F693" s="5"/>
      <c r="G693" s="217"/>
      <c r="H693" s="198"/>
      <c r="I693" s="198"/>
      <c r="J693" s="888"/>
      <c r="K693" s="217"/>
      <c r="L693" s="306"/>
      <c r="M693" s="306"/>
      <c r="N693" s="306"/>
      <c r="O693" s="306"/>
      <c r="P693" s="306"/>
      <c r="Q693" s="215"/>
      <c r="R693" s="5"/>
      <c r="S693" s="5"/>
      <c r="T693" s="5"/>
      <c r="U693" s="5"/>
      <c r="V693" s="5"/>
      <c r="W693" s="5"/>
      <c r="X693" s="5"/>
      <c r="Y693" s="5"/>
      <c r="Z693" s="5"/>
      <c r="AA693" s="5"/>
      <c r="AB693" s="5"/>
      <c r="AC693" s="5"/>
      <c r="AD693" s="5"/>
      <c r="AE693" s="5"/>
      <c r="AF693" s="5"/>
      <c r="AG693" s="5"/>
    </row>
    <row r="694" spans="3:33" ht="12.75" customHeight="1">
      <c r="C694" s="5"/>
      <c r="D694" s="5"/>
      <c r="E694" s="5"/>
      <c r="F694" s="5"/>
      <c r="G694" s="217"/>
      <c r="H694" s="198"/>
      <c r="I694" s="198"/>
      <c r="J694" s="888"/>
      <c r="K694" s="217"/>
      <c r="L694" s="306"/>
      <c r="M694" s="306"/>
      <c r="N694" s="306"/>
      <c r="O694" s="306"/>
      <c r="P694" s="306"/>
      <c r="Q694" s="215"/>
      <c r="R694" s="5"/>
      <c r="S694" s="5"/>
      <c r="T694" s="5"/>
      <c r="U694" s="5"/>
      <c r="V694" s="5"/>
      <c r="W694" s="5"/>
      <c r="X694" s="5"/>
      <c r="Y694" s="5"/>
      <c r="Z694" s="5"/>
      <c r="AA694" s="5"/>
      <c r="AB694" s="5"/>
      <c r="AC694" s="5"/>
      <c r="AD694" s="5"/>
      <c r="AE694" s="5"/>
      <c r="AF694" s="5"/>
      <c r="AG694" s="5"/>
    </row>
    <row r="695" spans="3:33" ht="12.75" customHeight="1">
      <c r="C695" s="5"/>
      <c r="D695" s="5"/>
      <c r="E695" s="5"/>
      <c r="F695" s="5"/>
      <c r="G695" s="217"/>
      <c r="H695" s="198"/>
      <c r="I695" s="198"/>
      <c r="J695" s="888"/>
      <c r="K695" s="217"/>
      <c r="L695" s="306"/>
      <c r="M695" s="306"/>
      <c r="N695" s="306"/>
      <c r="O695" s="306"/>
      <c r="P695" s="306"/>
      <c r="Q695" s="215"/>
      <c r="R695" s="5"/>
      <c r="S695" s="5"/>
      <c r="T695" s="5"/>
      <c r="U695" s="5"/>
      <c r="V695" s="5"/>
      <c r="W695" s="5"/>
      <c r="X695" s="5"/>
      <c r="Y695" s="5"/>
      <c r="Z695" s="5"/>
      <c r="AA695" s="5"/>
      <c r="AB695" s="5"/>
      <c r="AC695" s="5"/>
      <c r="AD695" s="5"/>
      <c r="AE695" s="5"/>
      <c r="AF695" s="5"/>
      <c r="AG695" s="5"/>
    </row>
    <row r="696" spans="3:33" ht="12.75" customHeight="1">
      <c r="C696" s="5"/>
      <c r="D696" s="5"/>
      <c r="E696" s="5"/>
      <c r="F696" s="5"/>
      <c r="G696" s="217"/>
      <c r="H696" s="198"/>
      <c r="I696" s="198"/>
      <c r="J696" s="888"/>
      <c r="K696" s="217"/>
      <c r="L696" s="306"/>
      <c r="M696" s="306"/>
      <c r="N696" s="306"/>
      <c r="O696" s="306"/>
      <c r="P696" s="306"/>
      <c r="Q696" s="215"/>
      <c r="R696" s="5"/>
      <c r="S696" s="5"/>
      <c r="T696" s="5"/>
      <c r="U696" s="5"/>
      <c r="V696" s="5"/>
      <c r="W696" s="5"/>
      <c r="X696" s="5"/>
      <c r="Y696" s="5"/>
      <c r="Z696" s="5"/>
      <c r="AA696" s="5"/>
      <c r="AB696" s="5"/>
      <c r="AC696" s="5"/>
      <c r="AD696" s="5"/>
      <c r="AE696" s="5"/>
      <c r="AF696" s="5"/>
      <c r="AG696" s="5"/>
    </row>
    <row r="697" spans="3:33" ht="12.75" customHeight="1">
      <c r="C697" s="5"/>
      <c r="D697" s="5"/>
      <c r="E697" s="5"/>
      <c r="F697" s="5"/>
      <c r="G697" s="217"/>
      <c r="H697" s="198"/>
      <c r="I697" s="198"/>
      <c r="J697" s="888"/>
      <c r="K697" s="217"/>
      <c r="L697" s="306"/>
      <c r="M697" s="306"/>
      <c r="N697" s="306"/>
      <c r="O697" s="306"/>
      <c r="P697" s="306"/>
      <c r="Q697" s="215"/>
      <c r="R697" s="5"/>
      <c r="S697" s="5"/>
      <c r="T697" s="5"/>
      <c r="U697" s="5"/>
      <c r="V697" s="5"/>
      <c r="W697" s="5"/>
      <c r="X697" s="5"/>
      <c r="Y697" s="5"/>
      <c r="Z697" s="5"/>
      <c r="AA697" s="5"/>
      <c r="AB697" s="5"/>
      <c r="AC697" s="5"/>
      <c r="AD697" s="5"/>
      <c r="AE697" s="5"/>
      <c r="AF697" s="5"/>
      <c r="AG697" s="5"/>
    </row>
    <row r="698" spans="3:33" ht="12.75" customHeight="1">
      <c r="C698" s="5"/>
      <c r="D698" s="5"/>
      <c r="E698" s="5"/>
      <c r="F698" s="5"/>
      <c r="G698" s="217"/>
      <c r="H698" s="198"/>
      <c r="I698" s="198"/>
      <c r="J698" s="888"/>
      <c r="K698" s="217"/>
      <c r="L698" s="306"/>
      <c r="M698" s="306"/>
      <c r="N698" s="306"/>
      <c r="O698" s="306"/>
      <c r="P698" s="306"/>
      <c r="Q698" s="215"/>
      <c r="R698" s="5"/>
      <c r="S698" s="5"/>
      <c r="T698" s="5"/>
      <c r="U698" s="5"/>
      <c r="V698" s="5"/>
      <c r="W698" s="5"/>
      <c r="X698" s="5"/>
      <c r="Y698" s="5"/>
      <c r="Z698" s="5"/>
      <c r="AA698" s="5"/>
      <c r="AB698" s="5"/>
      <c r="AC698" s="5"/>
      <c r="AD698" s="5"/>
      <c r="AE698" s="5"/>
      <c r="AF698" s="5"/>
      <c r="AG698" s="5"/>
    </row>
    <row r="699" spans="3:33" ht="12.75" customHeight="1">
      <c r="C699" s="5"/>
      <c r="D699" s="5"/>
      <c r="E699" s="5"/>
      <c r="F699" s="5"/>
      <c r="G699" s="217"/>
      <c r="H699" s="198"/>
      <c r="I699" s="198"/>
      <c r="J699" s="888"/>
      <c r="K699" s="217"/>
      <c r="L699" s="306"/>
      <c r="M699" s="306"/>
      <c r="N699" s="306"/>
      <c r="O699" s="306"/>
      <c r="P699" s="306"/>
      <c r="Q699" s="215"/>
      <c r="R699" s="5"/>
      <c r="S699" s="5"/>
      <c r="T699" s="5"/>
      <c r="U699" s="5"/>
      <c r="V699" s="5"/>
      <c r="W699" s="5"/>
      <c r="X699" s="5"/>
      <c r="Y699" s="5"/>
      <c r="Z699" s="5"/>
      <c r="AA699" s="5"/>
      <c r="AB699" s="5"/>
      <c r="AC699" s="5"/>
      <c r="AD699" s="5"/>
      <c r="AE699" s="5"/>
      <c r="AF699" s="5"/>
      <c r="AG699" s="5"/>
    </row>
    <row r="700" spans="3:33" ht="12.75" customHeight="1">
      <c r="C700" s="5"/>
      <c r="D700" s="5"/>
      <c r="E700" s="5"/>
      <c r="F700" s="5"/>
      <c r="G700" s="217"/>
      <c r="H700" s="198"/>
      <c r="I700" s="198"/>
      <c r="J700" s="888"/>
      <c r="K700" s="217"/>
      <c r="L700" s="306"/>
      <c r="M700" s="306"/>
      <c r="N700" s="306"/>
      <c r="O700" s="306"/>
      <c r="P700" s="306"/>
      <c r="Q700" s="215"/>
      <c r="R700" s="5"/>
      <c r="S700" s="5"/>
      <c r="T700" s="5"/>
      <c r="U700" s="5"/>
      <c r="V700" s="5"/>
      <c r="W700" s="5"/>
      <c r="X700" s="5"/>
      <c r="Y700" s="5"/>
      <c r="Z700" s="5"/>
      <c r="AA700" s="5"/>
      <c r="AB700" s="5"/>
      <c r="AC700" s="5"/>
      <c r="AD700" s="5"/>
      <c r="AE700" s="5"/>
      <c r="AF700" s="5"/>
      <c r="AG700" s="5"/>
    </row>
    <row r="701" spans="3:33" ht="12.75" customHeight="1">
      <c r="C701" s="5"/>
      <c r="D701" s="5"/>
      <c r="E701" s="5"/>
      <c r="F701" s="5"/>
      <c r="G701" s="217"/>
      <c r="H701" s="198"/>
      <c r="I701" s="198"/>
      <c r="J701" s="888"/>
      <c r="K701" s="217"/>
      <c r="L701" s="306"/>
      <c r="M701" s="306"/>
      <c r="N701" s="306"/>
      <c r="O701" s="306"/>
      <c r="P701" s="306"/>
      <c r="Q701" s="215"/>
      <c r="R701" s="5"/>
      <c r="S701" s="5"/>
      <c r="T701" s="5"/>
      <c r="U701" s="5"/>
      <c r="V701" s="5"/>
      <c r="W701" s="5"/>
      <c r="X701" s="5"/>
      <c r="Y701" s="5"/>
      <c r="Z701" s="5"/>
      <c r="AA701" s="5"/>
      <c r="AB701" s="5"/>
      <c r="AC701" s="5"/>
      <c r="AD701" s="5"/>
      <c r="AE701" s="5"/>
      <c r="AF701" s="5"/>
      <c r="AG701" s="5"/>
    </row>
    <row r="702" spans="3:33" ht="12.75" customHeight="1">
      <c r="C702" s="5"/>
      <c r="D702" s="5"/>
      <c r="E702" s="5"/>
      <c r="F702" s="5"/>
      <c r="G702" s="217"/>
      <c r="H702" s="198"/>
      <c r="I702" s="198"/>
      <c r="J702" s="888"/>
      <c r="K702" s="217"/>
      <c r="L702" s="306"/>
      <c r="M702" s="306"/>
      <c r="N702" s="306"/>
      <c r="O702" s="306"/>
      <c r="P702" s="306"/>
      <c r="Q702" s="215"/>
      <c r="R702" s="5"/>
      <c r="S702" s="5"/>
      <c r="T702" s="5"/>
      <c r="U702" s="5"/>
      <c r="V702" s="5"/>
      <c r="W702" s="5"/>
      <c r="X702" s="5"/>
      <c r="Y702" s="5"/>
      <c r="Z702" s="5"/>
      <c r="AA702" s="5"/>
      <c r="AB702" s="5"/>
      <c r="AC702" s="5"/>
      <c r="AD702" s="5"/>
      <c r="AE702" s="5"/>
      <c r="AF702" s="5"/>
      <c r="AG702" s="5"/>
    </row>
    <row r="703" spans="3:33" ht="12.75" customHeight="1">
      <c r="C703" s="5"/>
      <c r="D703" s="5"/>
      <c r="E703" s="5"/>
      <c r="F703" s="5"/>
      <c r="G703" s="217"/>
      <c r="H703" s="198"/>
      <c r="I703" s="198"/>
      <c r="J703" s="888"/>
      <c r="K703" s="217"/>
      <c r="L703" s="306"/>
      <c r="M703" s="306"/>
      <c r="N703" s="306"/>
      <c r="O703" s="306"/>
      <c r="P703" s="306"/>
      <c r="Q703" s="215"/>
      <c r="R703" s="5"/>
      <c r="S703" s="5"/>
      <c r="T703" s="5"/>
      <c r="U703" s="5"/>
      <c r="V703" s="5"/>
      <c r="W703" s="5"/>
      <c r="X703" s="5"/>
      <c r="Y703" s="5"/>
      <c r="Z703" s="5"/>
      <c r="AA703" s="5"/>
      <c r="AB703" s="5"/>
      <c r="AC703" s="5"/>
      <c r="AD703" s="5"/>
      <c r="AE703" s="5"/>
      <c r="AF703" s="5"/>
      <c r="AG703" s="5"/>
    </row>
    <row r="704" spans="3:33" ht="12.75" customHeight="1">
      <c r="C704" s="5"/>
      <c r="D704" s="5"/>
      <c r="E704" s="5"/>
      <c r="F704" s="5"/>
      <c r="G704" s="217"/>
      <c r="H704" s="198"/>
      <c r="I704" s="198"/>
      <c r="J704" s="888"/>
      <c r="K704" s="217"/>
      <c r="L704" s="306"/>
      <c r="M704" s="306"/>
      <c r="N704" s="306"/>
      <c r="O704" s="306"/>
      <c r="P704" s="306"/>
      <c r="Q704" s="215"/>
      <c r="R704" s="5"/>
      <c r="S704" s="5"/>
      <c r="T704" s="5"/>
      <c r="U704" s="5"/>
      <c r="V704" s="5"/>
      <c r="W704" s="5"/>
      <c r="X704" s="5"/>
      <c r="Y704" s="5"/>
      <c r="Z704" s="5"/>
      <c r="AA704" s="5"/>
      <c r="AB704" s="5"/>
      <c r="AC704" s="5"/>
      <c r="AD704" s="5"/>
      <c r="AE704" s="5"/>
      <c r="AF704" s="5"/>
      <c r="AG704" s="5"/>
    </row>
    <row r="705" spans="3:33" ht="12.75" customHeight="1">
      <c r="C705" s="5"/>
      <c r="D705" s="5"/>
      <c r="E705" s="5"/>
      <c r="F705" s="5"/>
      <c r="G705" s="217"/>
      <c r="H705" s="198"/>
      <c r="I705" s="198"/>
      <c r="J705" s="888"/>
      <c r="K705" s="217"/>
      <c r="L705" s="306"/>
      <c r="M705" s="306"/>
      <c r="N705" s="306"/>
      <c r="O705" s="306"/>
      <c r="P705" s="306"/>
      <c r="Q705" s="215"/>
      <c r="R705" s="5"/>
      <c r="S705" s="5"/>
      <c r="T705" s="5"/>
      <c r="U705" s="5"/>
      <c r="V705" s="5"/>
      <c r="W705" s="5"/>
      <c r="X705" s="5"/>
      <c r="Y705" s="5"/>
      <c r="Z705" s="5"/>
      <c r="AA705" s="5"/>
      <c r="AB705" s="5"/>
      <c r="AC705" s="5"/>
      <c r="AD705" s="5"/>
      <c r="AE705" s="5"/>
      <c r="AF705" s="5"/>
      <c r="AG705" s="5"/>
    </row>
    <row r="706" spans="3:33" ht="12.75" customHeight="1">
      <c r="C706" s="5"/>
      <c r="D706" s="5"/>
      <c r="E706" s="5"/>
      <c r="F706" s="5"/>
      <c r="G706" s="217"/>
      <c r="H706" s="198"/>
      <c r="I706" s="198"/>
      <c r="J706" s="888"/>
      <c r="K706" s="217"/>
      <c r="L706" s="306"/>
      <c r="M706" s="306"/>
      <c r="N706" s="306"/>
      <c r="O706" s="306"/>
      <c r="P706" s="306"/>
      <c r="Q706" s="215"/>
      <c r="R706" s="5"/>
      <c r="S706" s="5"/>
      <c r="T706" s="5"/>
      <c r="U706" s="5"/>
      <c r="V706" s="5"/>
      <c r="W706" s="5"/>
      <c r="X706" s="5"/>
      <c r="Y706" s="5"/>
      <c r="Z706" s="5"/>
      <c r="AA706" s="5"/>
      <c r="AB706" s="5"/>
      <c r="AC706" s="5"/>
      <c r="AD706" s="5"/>
      <c r="AE706" s="5"/>
      <c r="AF706" s="5"/>
      <c r="AG706" s="5"/>
    </row>
    <row r="707" spans="3:33" ht="12.75" customHeight="1">
      <c r="C707" s="5"/>
      <c r="D707" s="5"/>
      <c r="E707" s="5"/>
      <c r="F707" s="5"/>
      <c r="G707" s="217"/>
      <c r="H707" s="198"/>
      <c r="I707" s="198"/>
      <c r="J707" s="888"/>
      <c r="K707" s="217"/>
      <c r="L707" s="306"/>
      <c r="M707" s="306"/>
      <c r="N707" s="306"/>
      <c r="O707" s="306"/>
      <c r="P707" s="306"/>
      <c r="Q707" s="215"/>
      <c r="R707" s="5"/>
      <c r="S707" s="5"/>
      <c r="T707" s="5"/>
      <c r="U707" s="5"/>
      <c r="V707" s="5"/>
      <c r="W707" s="5"/>
      <c r="X707" s="5"/>
      <c r="Y707" s="5"/>
      <c r="Z707" s="5"/>
      <c r="AA707" s="5"/>
      <c r="AB707" s="5"/>
      <c r="AC707" s="5"/>
      <c r="AD707" s="5"/>
      <c r="AE707" s="5"/>
      <c r="AF707" s="5"/>
      <c r="AG707" s="5"/>
    </row>
    <row r="708" spans="3:33" ht="12.75" customHeight="1">
      <c r="C708" s="5"/>
      <c r="D708" s="5"/>
      <c r="E708" s="5"/>
      <c r="F708" s="5"/>
      <c r="G708" s="217"/>
      <c r="H708" s="198"/>
      <c r="I708" s="198"/>
      <c r="J708" s="888"/>
      <c r="K708" s="217"/>
      <c r="L708" s="306"/>
      <c r="M708" s="306"/>
      <c r="N708" s="306"/>
      <c r="O708" s="306"/>
      <c r="P708" s="306"/>
      <c r="Q708" s="215"/>
      <c r="R708" s="5"/>
      <c r="S708" s="5"/>
      <c r="T708" s="5"/>
      <c r="U708" s="5"/>
      <c r="V708" s="5"/>
      <c r="W708" s="5"/>
      <c r="X708" s="5"/>
      <c r="Y708" s="5"/>
      <c r="Z708" s="5"/>
      <c r="AA708" s="5"/>
      <c r="AB708" s="5"/>
      <c r="AC708" s="5"/>
      <c r="AD708" s="5"/>
      <c r="AE708" s="5"/>
      <c r="AF708" s="5"/>
      <c r="AG708" s="5"/>
    </row>
    <row r="709" spans="3:33" ht="12.75" customHeight="1">
      <c r="C709" s="5"/>
      <c r="D709" s="5"/>
      <c r="E709" s="5"/>
      <c r="F709" s="5"/>
      <c r="G709" s="217"/>
      <c r="H709" s="198"/>
      <c r="I709" s="198"/>
      <c r="J709" s="888"/>
      <c r="K709" s="217"/>
      <c r="L709" s="306"/>
      <c r="M709" s="306"/>
      <c r="N709" s="306"/>
      <c r="O709" s="306"/>
      <c r="P709" s="306"/>
      <c r="Q709" s="215"/>
      <c r="R709" s="5"/>
      <c r="S709" s="5"/>
      <c r="T709" s="5"/>
      <c r="U709" s="5"/>
      <c r="V709" s="5"/>
      <c r="W709" s="5"/>
      <c r="X709" s="5"/>
      <c r="Y709" s="5"/>
      <c r="Z709" s="5"/>
      <c r="AA709" s="5"/>
      <c r="AB709" s="5"/>
      <c r="AC709" s="5"/>
      <c r="AD709" s="5"/>
      <c r="AE709" s="5"/>
      <c r="AF709" s="5"/>
      <c r="AG709" s="5"/>
    </row>
    <row r="710" spans="3:33" ht="12.75" customHeight="1">
      <c r="C710" s="5"/>
      <c r="D710" s="5"/>
      <c r="E710" s="5"/>
      <c r="F710" s="5"/>
      <c r="G710" s="217"/>
      <c r="H710" s="198"/>
      <c r="I710" s="198"/>
      <c r="J710" s="888"/>
      <c r="K710" s="217"/>
      <c r="L710" s="306"/>
      <c r="M710" s="306"/>
      <c r="N710" s="306"/>
      <c r="O710" s="306"/>
      <c r="P710" s="306"/>
      <c r="Q710" s="215"/>
      <c r="R710" s="5"/>
      <c r="S710" s="5"/>
      <c r="T710" s="5"/>
      <c r="U710" s="5"/>
      <c r="V710" s="5"/>
      <c r="W710" s="5"/>
      <c r="X710" s="5"/>
      <c r="Y710" s="5"/>
      <c r="Z710" s="5"/>
      <c r="AA710" s="5"/>
      <c r="AB710" s="5"/>
      <c r="AC710" s="5"/>
      <c r="AD710" s="5"/>
      <c r="AE710" s="5"/>
      <c r="AF710" s="5"/>
      <c r="AG710" s="5"/>
    </row>
    <row r="711" spans="3:33" ht="12.75" customHeight="1">
      <c r="C711" s="5"/>
      <c r="D711" s="5"/>
      <c r="E711" s="5"/>
      <c r="F711" s="5"/>
      <c r="G711" s="217"/>
      <c r="H711" s="198"/>
      <c r="I711" s="198"/>
      <c r="J711" s="888"/>
      <c r="K711" s="217"/>
      <c r="L711" s="306"/>
      <c r="M711" s="306"/>
      <c r="N711" s="306"/>
      <c r="O711" s="306"/>
      <c r="P711" s="306"/>
      <c r="Q711" s="215"/>
      <c r="R711" s="5"/>
      <c r="S711" s="5"/>
      <c r="T711" s="5"/>
      <c r="U711" s="5"/>
      <c r="V711" s="5"/>
      <c r="W711" s="5"/>
      <c r="X711" s="5"/>
      <c r="Y711" s="5"/>
      <c r="Z711" s="5"/>
      <c r="AA711" s="5"/>
      <c r="AB711" s="5"/>
      <c r="AC711" s="5"/>
      <c r="AD711" s="5"/>
      <c r="AE711" s="5"/>
      <c r="AF711" s="5"/>
      <c r="AG711" s="5"/>
    </row>
    <row r="712" spans="3:33" ht="12.75" customHeight="1">
      <c r="C712" s="5"/>
      <c r="D712" s="5"/>
      <c r="E712" s="5"/>
      <c r="F712" s="5"/>
      <c r="G712" s="217"/>
      <c r="H712" s="198"/>
      <c r="I712" s="198"/>
      <c r="J712" s="888"/>
      <c r="K712" s="217"/>
      <c r="L712" s="306"/>
      <c r="M712" s="306"/>
      <c r="N712" s="306"/>
      <c r="O712" s="306"/>
      <c r="P712" s="306"/>
      <c r="Q712" s="215"/>
      <c r="R712" s="5"/>
      <c r="S712" s="5"/>
      <c r="T712" s="5"/>
      <c r="U712" s="5"/>
      <c r="V712" s="5"/>
      <c r="W712" s="5"/>
      <c r="X712" s="5"/>
      <c r="Y712" s="5"/>
      <c r="Z712" s="5"/>
      <c r="AA712" s="5"/>
      <c r="AB712" s="5"/>
      <c r="AC712" s="5"/>
      <c r="AD712" s="5"/>
      <c r="AE712" s="5"/>
      <c r="AF712" s="5"/>
      <c r="AG712" s="5"/>
    </row>
    <row r="713" spans="3:33" ht="12.75" customHeight="1">
      <c r="C713" s="5"/>
      <c r="D713" s="5"/>
      <c r="E713" s="5"/>
      <c r="F713" s="5"/>
      <c r="G713" s="217"/>
      <c r="H713" s="198"/>
      <c r="I713" s="198"/>
      <c r="J713" s="888"/>
      <c r="K713" s="217"/>
      <c r="L713" s="306"/>
      <c r="M713" s="306"/>
      <c r="N713" s="306"/>
      <c r="O713" s="306"/>
      <c r="P713" s="306"/>
      <c r="Q713" s="215"/>
      <c r="R713" s="5"/>
      <c r="S713" s="5"/>
      <c r="T713" s="5"/>
      <c r="U713" s="5"/>
      <c r="V713" s="5"/>
      <c r="W713" s="5"/>
      <c r="X713" s="5"/>
      <c r="Y713" s="5"/>
      <c r="Z713" s="5"/>
      <c r="AA713" s="5"/>
      <c r="AB713" s="5"/>
      <c r="AC713" s="5"/>
      <c r="AD713" s="5"/>
      <c r="AE713" s="5"/>
      <c r="AF713" s="5"/>
      <c r="AG713" s="5"/>
    </row>
    <row r="714" spans="3:33" ht="12.75" customHeight="1">
      <c r="C714" s="5"/>
      <c r="D714" s="5"/>
      <c r="E714" s="5"/>
      <c r="F714" s="5"/>
      <c r="G714" s="217"/>
      <c r="H714" s="198"/>
      <c r="I714" s="198"/>
      <c r="J714" s="888"/>
      <c r="K714" s="217"/>
      <c r="L714" s="306"/>
      <c r="M714" s="306"/>
      <c r="N714" s="306"/>
      <c r="O714" s="306"/>
      <c r="P714" s="306"/>
      <c r="Q714" s="215"/>
      <c r="R714" s="5"/>
      <c r="S714" s="5"/>
      <c r="T714" s="5"/>
      <c r="U714" s="5"/>
      <c r="V714" s="5"/>
      <c r="W714" s="5"/>
      <c r="X714" s="5"/>
      <c r="Y714" s="5"/>
      <c r="Z714" s="5"/>
      <c r="AA714" s="5"/>
      <c r="AB714" s="5"/>
      <c r="AC714" s="5"/>
      <c r="AD714" s="5"/>
      <c r="AE714" s="5"/>
      <c r="AF714" s="5"/>
      <c r="AG714" s="5"/>
    </row>
    <row r="715" spans="3:33" ht="12.75" customHeight="1">
      <c r="C715" s="5"/>
      <c r="D715" s="5"/>
      <c r="E715" s="5"/>
      <c r="F715" s="5"/>
      <c r="G715" s="217"/>
      <c r="H715" s="198"/>
      <c r="I715" s="198"/>
      <c r="J715" s="888"/>
      <c r="K715" s="217"/>
      <c r="L715" s="306"/>
      <c r="M715" s="306"/>
      <c r="N715" s="306"/>
      <c r="O715" s="306"/>
      <c r="P715" s="306"/>
      <c r="Q715" s="215"/>
      <c r="R715" s="5"/>
      <c r="S715" s="5"/>
      <c r="T715" s="5"/>
      <c r="U715" s="5"/>
      <c r="V715" s="5"/>
      <c r="W715" s="5"/>
      <c r="X715" s="5"/>
      <c r="Y715" s="5"/>
      <c r="Z715" s="5"/>
      <c r="AA715" s="5"/>
      <c r="AB715" s="5"/>
      <c r="AC715" s="5"/>
      <c r="AD715" s="5"/>
      <c r="AE715" s="5"/>
      <c r="AF715" s="5"/>
      <c r="AG715" s="5"/>
    </row>
    <row r="716" spans="3:33" ht="12.75" customHeight="1">
      <c r="C716" s="5"/>
      <c r="D716" s="5"/>
      <c r="E716" s="5"/>
      <c r="F716" s="5"/>
      <c r="G716" s="217"/>
      <c r="H716" s="198"/>
      <c r="I716" s="198"/>
      <c r="J716" s="888"/>
      <c r="K716" s="217"/>
      <c r="L716" s="306"/>
      <c r="M716" s="306"/>
      <c r="N716" s="306"/>
      <c r="O716" s="306"/>
      <c r="P716" s="306"/>
      <c r="Q716" s="215"/>
      <c r="R716" s="5"/>
      <c r="S716" s="5"/>
      <c r="T716" s="5"/>
      <c r="U716" s="5"/>
      <c r="V716" s="5"/>
      <c r="W716" s="5"/>
      <c r="X716" s="5"/>
      <c r="Y716" s="5"/>
      <c r="Z716" s="5"/>
      <c r="AA716" s="5"/>
      <c r="AB716" s="5"/>
      <c r="AC716" s="5"/>
      <c r="AD716" s="5"/>
      <c r="AE716" s="5"/>
      <c r="AF716" s="5"/>
      <c r="AG716" s="5"/>
    </row>
    <row r="717" spans="3:33" ht="12.75" customHeight="1">
      <c r="C717" s="5"/>
      <c r="D717" s="5"/>
      <c r="E717" s="5"/>
      <c r="F717" s="5"/>
      <c r="G717" s="217"/>
      <c r="H717" s="198"/>
      <c r="I717" s="198"/>
      <c r="J717" s="888"/>
      <c r="K717" s="217"/>
      <c r="L717" s="306"/>
      <c r="M717" s="306"/>
      <c r="N717" s="306"/>
      <c r="O717" s="306"/>
      <c r="P717" s="306"/>
      <c r="Q717" s="215"/>
      <c r="R717" s="5"/>
      <c r="S717" s="5"/>
      <c r="T717" s="5"/>
      <c r="U717" s="5"/>
      <c r="V717" s="5"/>
      <c r="W717" s="5"/>
      <c r="X717" s="5"/>
      <c r="Y717" s="5"/>
      <c r="Z717" s="5"/>
      <c r="AA717" s="5"/>
      <c r="AB717" s="5"/>
      <c r="AC717" s="5"/>
      <c r="AD717" s="5"/>
      <c r="AE717" s="5"/>
      <c r="AF717" s="5"/>
      <c r="AG717" s="5"/>
    </row>
    <row r="718" spans="3:33" ht="12.75" customHeight="1">
      <c r="C718" s="5"/>
      <c r="D718" s="5"/>
      <c r="E718" s="5"/>
      <c r="F718" s="5"/>
      <c r="G718" s="217"/>
      <c r="H718" s="198"/>
      <c r="I718" s="198"/>
      <c r="J718" s="888"/>
      <c r="K718" s="217"/>
      <c r="L718" s="306"/>
      <c r="M718" s="306"/>
      <c r="N718" s="306"/>
      <c r="O718" s="306"/>
      <c r="P718" s="306"/>
      <c r="Q718" s="215"/>
      <c r="R718" s="5"/>
      <c r="S718" s="5"/>
      <c r="T718" s="5"/>
      <c r="U718" s="5"/>
      <c r="V718" s="5"/>
      <c r="W718" s="5"/>
      <c r="X718" s="5"/>
      <c r="Y718" s="5"/>
      <c r="Z718" s="5"/>
      <c r="AA718" s="5"/>
      <c r="AB718" s="5"/>
      <c r="AC718" s="5"/>
      <c r="AD718" s="5"/>
      <c r="AE718" s="5"/>
      <c r="AF718" s="5"/>
      <c r="AG718" s="5"/>
    </row>
    <row r="719" spans="3:33" ht="12.75" customHeight="1">
      <c r="C719" s="5"/>
      <c r="D719" s="5"/>
      <c r="E719" s="5"/>
      <c r="F719" s="5"/>
      <c r="G719" s="217"/>
      <c r="H719" s="198"/>
      <c r="I719" s="198"/>
      <c r="J719" s="888"/>
      <c r="K719" s="217"/>
      <c r="L719" s="306"/>
      <c r="M719" s="306"/>
      <c r="N719" s="306"/>
      <c r="O719" s="306"/>
      <c r="P719" s="306"/>
      <c r="Q719" s="215"/>
      <c r="R719" s="5"/>
      <c r="S719" s="5"/>
      <c r="T719" s="5"/>
      <c r="U719" s="5"/>
      <c r="V719" s="5"/>
      <c r="W719" s="5"/>
      <c r="X719" s="5"/>
      <c r="Y719" s="5"/>
      <c r="Z719" s="5"/>
      <c r="AA719" s="5"/>
      <c r="AB719" s="5"/>
      <c r="AC719" s="5"/>
      <c r="AD719" s="5"/>
      <c r="AE719" s="5"/>
      <c r="AF719" s="5"/>
      <c r="AG719" s="5"/>
    </row>
    <row r="720" spans="3:33" ht="12.75" customHeight="1">
      <c r="C720" s="5"/>
      <c r="D720" s="5"/>
      <c r="E720" s="5"/>
      <c r="F720" s="5"/>
      <c r="G720" s="217"/>
      <c r="H720" s="198"/>
      <c r="I720" s="198"/>
      <c r="J720" s="888"/>
      <c r="K720" s="217"/>
      <c r="L720" s="306"/>
      <c r="M720" s="306"/>
      <c r="N720" s="306"/>
      <c r="O720" s="306"/>
      <c r="P720" s="306"/>
      <c r="Q720" s="215"/>
      <c r="R720" s="5"/>
      <c r="S720" s="5"/>
      <c r="T720" s="5"/>
      <c r="U720" s="5"/>
      <c r="V720" s="5"/>
      <c r="W720" s="5"/>
      <c r="X720" s="5"/>
      <c r="Y720" s="5"/>
      <c r="Z720" s="5"/>
      <c r="AA720" s="5"/>
      <c r="AB720" s="5"/>
      <c r="AC720" s="5"/>
      <c r="AD720" s="5"/>
      <c r="AE720" s="5"/>
      <c r="AF720" s="5"/>
      <c r="AG720" s="5"/>
    </row>
    <row r="721" spans="3:33" ht="12.75" customHeight="1">
      <c r="C721" s="5"/>
      <c r="D721" s="5"/>
      <c r="E721" s="5"/>
      <c r="F721" s="5"/>
      <c r="G721" s="217"/>
      <c r="H721" s="198"/>
      <c r="I721" s="198"/>
      <c r="J721" s="888"/>
      <c r="K721" s="217"/>
      <c r="L721" s="306"/>
      <c r="M721" s="306"/>
      <c r="N721" s="306"/>
      <c r="O721" s="306"/>
      <c r="P721" s="306"/>
      <c r="Q721" s="215"/>
      <c r="R721" s="5"/>
      <c r="S721" s="5"/>
      <c r="T721" s="5"/>
      <c r="U721" s="5"/>
      <c r="V721" s="5"/>
      <c r="W721" s="5"/>
      <c r="X721" s="5"/>
      <c r="Y721" s="5"/>
      <c r="Z721" s="5"/>
      <c r="AA721" s="5"/>
      <c r="AB721" s="5"/>
      <c r="AC721" s="5"/>
      <c r="AD721" s="5"/>
      <c r="AE721" s="5"/>
      <c r="AF721" s="5"/>
      <c r="AG721" s="5"/>
    </row>
    <row r="722" spans="3:33" ht="12.75" customHeight="1">
      <c r="C722" s="5"/>
      <c r="D722" s="5"/>
      <c r="E722" s="5"/>
      <c r="F722" s="5"/>
      <c r="G722" s="217"/>
      <c r="H722" s="198"/>
      <c r="I722" s="198"/>
      <c r="J722" s="888"/>
      <c r="K722" s="217"/>
      <c r="L722" s="306"/>
      <c r="M722" s="306"/>
      <c r="N722" s="306"/>
      <c r="O722" s="306"/>
      <c r="P722" s="306"/>
      <c r="Q722" s="215"/>
      <c r="R722" s="5"/>
      <c r="S722" s="5"/>
      <c r="T722" s="5"/>
      <c r="U722" s="5"/>
      <c r="V722" s="5"/>
      <c r="W722" s="5"/>
      <c r="X722" s="5"/>
      <c r="Y722" s="5"/>
      <c r="Z722" s="5"/>
      <c r="AA722" s="5"/>
      <c r="AB722" s="5"/>
      <c r="AC722" s="5"/>
      <c r="AD722" s="5"/>
      <c r="AE722" s="5"/>
      <c r="AF722" s="5"/>
      <c r="AG722" s="5"/>
    </row>
    <row r="723" spans="3:33" ht="12.75" customHeight="1">
      <c r="C723" s="5"/>
      <c r="D723" s="5"/>
      <c r="E723" s="5"/>
      <c r="F723" s="5"/>
      <c r="G723" s="217"/>
      <c r="H723" s="198"/>
      <c r="I723" s="198"/>
      <c r="J723" s="888"/>
      <c r="K723" s="217"/>
      <c r="L723" s="306"/>
      <c r="M723" s="306"/>
      <c r="N723" s="306"/>
      <c r="O723" s="306"/>
      <c r="P723" s="306"/>
      <c r="Q723" s="215"/>
      <c r="R723" s="5"/>
      <c r="S723" s="5"/>
      <c r="T723" s="5"/>
      <c r="U723" s="5"/>
      <c r="V723" s="5"/>
      <c r="W723" s="5"/>
      <c r="X723" s="5"/>
      <c r="Y723" s="5"/>
      <c r="Z723" s="5"/>
      <c r="AA723" s="5"/>
      <c r="AB723" s="5"/>
      <c r="AC723" s="5"/>
      <c r="AD723" s="5"/>
      <c r="AE723" s="5"/>
      <c r="AF723" s="5"/>
      <c r="AG723" s="5"/>
    </row>
    <row r="724" spans="3:33" ht="12.75" customHeight="1">
      <c r="C724" s="5"/>
      <c r="D724" s="5"/>
      <c r="E724" s="5"/>
      <c r="F724" s="5"/>
      <c r="G724" s="217"/>
      <c r="H724" s="198"/>
      <c r="I724" s="198"/>
      <c r="J724" s="888"/>
      <c r="K724" s="217"/>
      <c r="L724" s="306"/>
      <c r="M724" s="306"/>
      <c r="N724" s="306"/>
      <c r="O724" s="306"/>
      <c r="P724" s="306"/>
      <c r="Q724" s="215"/>
      <c r="R724" s="5"/>
      <c r="S724" s="5"/>
      <c r="T724" s="5"/>
      <c r="U724" s="5"/>
      <c r="V724" s="5"/>
      <c r="W724" s="5"/>
      <c r="X724" s="5"/>
      <c r="Y724" s="5"/>
      <c r="Z724" s="5"/>
      <c r="AA724" s="5"/>
      <c r="AB724" s="5"/>
      <c r="AC724" s="5"/>
      <c r="AD724" s="5"/>
      <c r="AE724" s="5"/>
      <c r="AF724" s="5"/>
      <c r="AG724" s="5"/>
    </row>
    <row r="725" spans="3:33" ht="12.75" customHeight="1">
      <c r="C725" s="5"/>
      <c r="D725" s="5"/>
      <c r="E725" s="5"/>
      <c r="F725" s="5"/>
      <c r="G725" s="217"/>
      <c r="H725" s="198"/>
      <c r="I725" s="198"/>
      <c r="J725" s="888"/>
      <c r="K725" s="217"/>
      <c r="L725" s="306"/>
      <c r="M725" s="306"/>
      <c r="N725" s="306"/>
      <c r="O725" s="306"/>
      <c r="P725" s="306"/>
      <c r="Q725" s="215"/>
      <c r="R725" s="5"/>
      <c r="S725" s="5"/>
      <c r="T725" s="5"/>
      <c r="U725" s="5"/>
      <c r="V725" s="5"/>
      <c r="W725" s="5"/>
      <c r="X725" s="5"/>
      <c r="Y725" s="5"/>
      <c r="Z725" s="5"/>
      <c r="AA725" s="5"/>
      <c r="AB725" s="5"/>
      <c r="AC725" s="5"/>
      <c r="AD725" s="5"/>
      <c r="AE725" s="5"/>
      <c r="AF725" s="5"/>
      <c r="AG725" s="5"/>
    </row>
    <row r="726" spans="3:33" ht="12.75" customHeight="1">
      <c r="C726" s="5"/>
      <c r="D726" s="5"/>
      <c r="E726" s="5"/>
      <c r="F726" s="5"/>
      <c r="G726" s="217"/>
      <c r="H726" s="198"/>
      <c r="I726" s="198"/>
      <c r="J726" s="888"/>
      <c r="K726" s="217"/>
      <c r="L726" s="306"/>
      <c r="M726" s="306"/>
      <c r="N726" s="306"/>
      <c r="O726" s="306"/>
      <c r="P726" s="306"/>
      <c r="Q726" s="215"/>
      <c r="R726" s="5"/>
      <c r="S726" s="5"/>
      <c r="T726" s="5"/>
      <c r="U726" s="5"/>
      <c r="V726" s="5"/>
      <c r="W726" s="5"/>
      <c r="X726" s="5"/>
      <c r="Y726" s="5"/>
      <c r="Z726" s="5"/>
      <c r="AA726" s="5"/>
      <c r="AB726" s="5"/>
      <c r="AC726" s="5"/>
      <c r="AD726" s="5"/>
      <c r="AE726" s="5"/>
      <c r="AF726" s="5"/>
      <c r="AG726" s="5"/>
    </row>
    <row r="727" spans="3:33" ht="12.75" customHeight="1">
      <c r="C727" s="5"/>
      <c r="D727" s="5"/>
      <c r="E727" s="5"/>
      <c r="F727" s="5"/>
      <c r="G727" s="217"/>
      <c r="H727" s="198"/>
      <c r="I727" s="198"/>
      <c r="J727" s="888"/>
      <c r="K727" s="217"/>
      <c r="L727" s="306"/>
      <c r="M727" s="306"/>
      <c r="N727" s="306"/>
      <c r="O727" s="306"/>
      <c r="P727" s="306"/>
      <c r="Q727" s="215"/>
      <c r="R727" s="5"/>
      <c r="S727" s="5"/>
      <c r="T727" s="5"/>
      <c r="U727" s="5"/>
      <c r="V727" s="5"/>
      <c r="W727" s="5"/>
      <c r="X727" s="5"/>
      <c r="Y727" s="5"/>
      <c r="Z727" s="5"/>
      <c r="AA727" s="5"/>
      <c r="AB727" s="5"/>
      <c r="AC727" s="5"/>
      <c r="AD727" s="5"/>
      <c r="AE727" s="5"/>
      <c r="AF727" s="5"/>
      <c r="AG727" s="5"/>
    </row>
    <row r="728" spans="3:33" ht="12.75" customHeight="1">
      <c r="C728" s="5"/>
      <c r="D728" s="5"/>
      <c r="E728" s="5"/>
      <c r="F728" s="5"/>
      <c r="G728" s="217"/>
      <c r="H728" s="198"/>
      <c r="I728" s="198"/>
      <c r="J728" s="888"/>
      <c r="K728" s="217"/>
      <c r="L728" s="306"/>
      <c r="M728" s="306"/>
      <c r="N728" s="306"/>
      <c r="O728" s="306"/>
      <c r="P728" s="306"/>
      <c r="Q728" s="215"/>
      <c r="R728" s="5"/>
      <c r="S728" s="5"/>
      <c r="T728" s="5"/>
      <c r="U728" s="5"/>
      <c r="V728" s="5"/>
      <c r="W728" s="5"/>
      <c r="X728" s="5"/>
      <c r="Y728" s="5"/>
      <c r="Z728" s="5"/>
      <c r="AA728" s="5"/>
      <c r="AB728" s="5"/>
      <c r="AC728" s="5"/>
      <c r="AD728" s="5"/>
      <c r="AE728" s="5"/>
      <c r="AF728" s="5"/>
      <c r="AG728" s="5"/>
    </row>
    <row r="729" spans="3:33" ht="12.75" customHeight="1">
      <c r="C729" s="5"/>
      <c r="D729" s="5"/>
      <c r="E729" s="5"/>
      <c r="F729" s="5"/>
      <c r="G729" s="217"/>
      <c r="H729" s="198"/>
      <c r="I729" s="198"/>
      <c r="J729" s="888"/>
      <c r="K729" s="217"/>
      <c r="L729" s="306"/>
      <c r="M729" s="306"/>
      <c r="N729" s="306"/>
      <c r="O729" s="306"/>
      <c r="P729" s="306"/>
      <c r="Q729" s="215"/>
      <c r="R729" s="5"/>
      <c r="S729" s="5"/>
      <c r="T729" s="5"/>
      <c r="U729" s="5"/>
      <c r="V729" s="5"/>
      <c r="W729" s="5"/>
      <c r="X729" s="5"/>
      <c r="Y729" s="5"/>
      <c r="Z729" s="5"/>
      <c r="AA729" s="5"/>
      <c r="AB729" s="5"/>
      <c r="AC729" s="5"/>
      <c r="AD729" s="5"/>
      <c r="AE729" s="5"/>
      <c r="AF729" s="5"/>
      <c r="AG729" s="5"/>
    </row>
    <row r="730" spans="3:33" ht="12.75" customHeight="1">
      <c r="C730" s="5"/>
      <c r="D730" s="5"/>
      <c r="E730" s="5"/>
      <c r="F730" s="5"/>
      <c r="G730" s="217"/>
      <c r="H730" s="198"/>
      <c r="I730" s="198"/>
      <c r="J730" s="888"/>
      <c r="K730" s="217"/>
      <c r="L730" s="306"/>
      <c r="M730" s="306"/>
      <c r="N730" s="306"/>
      <c r="O730" s="306"/>
      <c r="P730" s="306"/>
      <c r="Q730" s="215"/>
      <c r="R730" s="5"/>
      <c r="S730" s="5"/>
      <c r="T730" s="5"/>
      <c r="U730" s="5"/>
      <c r="V730" s="5"/>
      <c r="W730" s="5"/>
      <c r="X730" s="5"/>
      <c r="Y730" s="5"/>
      <c r="Z730" s="5"/>
      <c r="AA730" s="5"/>
      <c r="AB730" s="5"/>
      <c r="AC730" s="5"/>
      <c r="AD730" s="5"/>
      <c r="AE730" s="5"/>
      <c r="AF730" s="5"/>
      <c r="AG730" s="5"/>
    </row>
    <row r="731" spans="3:33" ht="12.75" customHeight="1">
      <c r="C731" s="5"/>
      <c r="D731" s="5"/>
      <c r="E731" s="5"/>
      <c r="F731" s="5"/>
      <c r="G731" s="217"/>
      <c r="H731" s="198"/>
      <c r="I731" s="198"/>
      <c r="J731" s="888"/>
      <c r="K731" s="217"/>
      <c r="L731" s="306"/>
      <c r="M731" s="306"/>
      <c r="N731" s="306"/>
      <c r="O731" s="306"/>
      <c r="P731" s="306"/>
      <c r="Q731" s="215"/>
      <c r="R731" s="5"/>
      <c r="S731" s="5"/>
      <c r="T731" s="5"/>
      <c r="U731" s="5"/>
      <c r="V731" s="5"/>
      <c r="W731" s="5"/>
      <c r="X731" s="5"/>
      <c r="Y731" s="5"/>
      <c r="Z731" s="5"/>
      <c r="AA731" s="5"/>
      <c r="AB731" s="5"/>
      <c r="AC731" s="5"/>
      <c r="AD731" s="5"/>
      <c r="AE731" s="5"/>
      <c r="AF731" s="5"/>
      <c r="AG731" s="5"/>
    </row>
    <row r="732" spans="3:33" ht="12.75" customHeight="1">
      <c r="C732" s="5"/>
      <c r="D732" s="5"/>
      <c r="E732" s="5"/>
      <c r="F732" s="5"/>
      <c r="G732" s="217"/>
      <c r="H732" s="198"/>
      <c r="I732" s="198"/>
      <c r="J732" s="888"/>
      <c r="K732" s="217"/>
      <c r="L732" s="306"/>
      <c r="M732" s="306"/>
      <c r="N732" s="306"/>
      <c r="O732" s="306"/>
      <c r="P732" s="306"/>
      <c r="Q732" s="215"/>
      <c r="R732" s="5"/>
      <c r="S732" s="5"/>
      <c r="T732" s="5"/>
      <c r="U732" s="5"/>
      <c r="V732" s="5"/>
      <c r="W732" s="5"/>
      <c r="X732" s="5"/>
      <c r="Y732" s="5"/>
      <c r="Z732" s="5"/>
      <c r="AA732" s="5"/>
      <c r="AB732" s="5"/>
      <c r="AC732" s="5"/>
      <c r="AD732" s="5"/>
      <c r="AE732" s="5"/>
      <c r="AF732" s="5"/>
      <c r="AG732" s="5"/>
    </row>
    <row r="733" spans="3:33" ht="12.75" customHeight="1">
      <c r="C733" s="5"/>
      <c r="D733" s="5"/>
      <c r="E733" s="5"/>
      <c r="F733" s="5"/>
      <c r="G733" s="217"/>
      <c r="H733" s="198"/>
      <c r="I733" s="198"/>
      <c r="J733" s="888"/>
      <c r="K733" s="217"/>
      <c r="L733" s="306"/>
      <c r="M733" s="306"/>
      <c r="N733" s="306"/>
      <c r="O733" s="306"/>
      <c r="P733" s="306"/>
      <c r="Q733" s="215"/>
      <c r="R733" s="5"/>
      <c r="S733" s="5"/>
      <c r="T733" s="5"/>
      <c r="U733" s="5"/>
      <c r="V733" s="5"/>
      <c r="W733" s="5"/>
      <c r="X733" s="5"/>
      <c r="Y733" s="5"/>
      <c r="Z733" s="5"/>
      <c r="AA733" s="5"/>
      <c r="AB733" s="5"/>
      <c r="AC733" s="5"/>
      <c r="AD733" s="5"/>
      <c r="AE733" s="5"/>
      <c r="AF733" s="5"/>
      <c r="AG733" s="5"/>
    </row>
    <row r="734" spans="3:33" ht="12.75" customHeight="1">
      <c r="C734" s="5"/>
      <c r="D734" s="5"/>
      <c r="E734" s="5"/>
      <c r="F734" s="5"/>
      <c r="G734" s="217"/>
      <c r="H734" s="198"/>
      <c r="I734" s="198"/>
      <c r="J734" s="888"/>
      <c r="K734" s="217"/>
      <c r="L734" s="306"/>
      <c r="M734" s="306"/>
      <c r="N734" s="306"/>
      <c r="O734" s="306"/>
      <c r="P734" s="306"/>
      <c r="Q734" s="215"/>
      <c r="R734" s="5"/>
      <c r="S734" s="5"/>
      <c r="T734" s="5"/>
      <c r="U734" s="5"/>
      <c r="V734" s="5"/>
      <c r="W734" s="5"/>
      <c r="X734" s="5"/>
      <c r="Y734" s="5"/>
      <c r="Z734" s="5"/>
      <c r="AA734" s="5"/>
      <c r="AB734" s="5"/>
      <c r="AC734" s="5"/>
      <c r="AD734" s="5"/>
      <c r="AE734" s="5"/>
      <c r="AF734" s="5"/>
      <c r="AG734" s="5"/>
    </row>
    <row r="735" spans="3:33" ht="12.75" customHeight="1">
      <c r="C735" s="5"/>
      <c r="D735" s="5"/>
      <c r="E735" s="5"/>
      <c r="F735" s="5"/>
      <c r="G735" s="217"/>
      <c r="H735" s="198"/>
      <c r="I735" s="198"/>
      <c r="J735" s="888"/>
      <c r="K735" s="217"/>
      <c r="L735" s="306"/>
      <c r="M735" s="306"/>
      <c r="N735" s="306"/>
      <c r="O735" s="306"/>
      <c r="P735" s="306"/>
      <c r="Q735" s="215"/>
      <c r="R735" s="5"/>
      <c r="S735" s="5"/>
      <c r="T735" s="5"/>
      <c r="U735" s="5"/>
      <c r="V735" s="5"/>
      <c r="W735" s="5"/>
      <c r="X735" s="5"/>
      <c r="Y735" s="5"/>
      <c r="Z735" s="5"/>
      <c r="AA735" s="5"/>
      <c r="AB735" s="5"/>
      <c r="AC735" s="5"/>
      <c r="AD735" s="5"/>
      <c r="AE735" s="5"/>
      <c r="AF735" s="5"/>
      <c r="AG735" s="5"/>
    </row>
    <row r="736" spans="3:33" ht="12.75" customHeight="1">
      <c r="C736" s="5"/>
      <c r="D736" s="5"/>
      <c r="E736" s="5"/>
      <c r="F736" s="5"/>
      <c r="G736" s="217"/>
      <c r="H736" s="198"/>
      <c r="I736" s="198"/>
      <c r="J736" s="888"/>
      <c r="K736" s="217"/>
      <c r="L736" s="306"/>
      <c r="M736" s="306"/>
      <c r="N736" s="306"/>
      <c r="O736" s="306"/>
      <c r="P736" s="306"/>
      <c r="Q736" s="215"/>
      <c r="R736" s="5"/>
      <c r="S736" s="5"/>
      <c r="T736" s="5"/>
      <c r="U736" s="5"/>
      <c r="V736" s="5"/>
      <c r="W736" s="5"/>
      <c r="X736" s="5"/>
      <c r="Y736" s="5"/>
      <c r="Z736" s="5"/>
      <c r="AA736" s="5"/>
      <c r="AB736" s="5"/>
      <c r="AC736" s="5"/>
      <c r="AD736" s="5"/>
      <c r="AE736" s="5"/>
      <c r="AF736" s="5"/>
      <c r="AG736" s="5"/>
    </row>
    <row r="737" spans="3:33" ht="12.75" customHeight="1">
      <c r="C737" s="5"/>
      <c r="D737" s="5"/>
      <c r="E737" s="5"/>
      <c r="F737" s="5"/>
      <c r="G737" s="217"/>
      <c r="H737" s="198"/>
      <c r="I737" s="198"/>
      <c r="J737" s="888"/>
      <c r="K737" s="217"/>
      <c r="L737" s="306"/>
      <c r="M737" s="306"/>
      <c r="N737" s="306"/>
      <c r="O737" s="306"/>
      <c r="P737" s="306"/>
      <c r="Q737" s="215"/>
      <c r="R737" s="5"/>
      <c r="S737" s="5"/>
      <c r="T737" s="5"/>
      <c r="U737" s="5"/>
      <c r="V737" s="5"/>
      <c r="W737" s="5"/>
      <c r="X737" s="5"/>
      <c r="Y737" s="5"/>
      <c r="Z737" s="5"/>
      <c r="AA737" s="5"/>
      <c r="AB737" s="5"/>
      <c r="AC737" s="5"/>
      <c r="AD737" s="5"/>
      <c r="AE737" s="5"/>
      <c r="AF737" s="5"/>
      <c r="AG737" s="5"/>
    </row>
    <row r="738" spans="3:33" ht="12.75" customHeight="1">
      <c r="C738" s="5"/>
      <c r="D738" s="5"/>
      <c r="E738" s="5"/>
      <c r="F738" s="5"/>
      <c r="G738" s="217"/>
      <c r="H738" s="198"/>
      <c r="I738" s="198"/>
      <c r="J738" s="888"/>
      <c r="K738" s="217"/>
      <c r="L738" s="306"/>
      <c r="M738" s="306"/>
      <c r="N738" s="306"/>
      <c r="O738" s="306"/>
      <c r="P738" s="306"/>
      <c r="Q738" s="215"/>
      <c r="R738" s="5"/>
      <c r="S738" s="5"/>
      <c r="T738" s="5"/>
      <c r="U738" s="5"/>
      <c r="V738" s="5"/>
      <c r="W738" s="5"/>
      <c r="X738" s="5"/>
      <c r="Y738" s="5"/>
      <c r="Z738" s="5"/>
      <c r="AA738" s="5"/>
      <c r="AB738" s="5"/>
      <c r="AC738" s="5"/>
      <c r="AD738" s="5"/>
      <c r="AE738" s="5"/>
      <c r="AF738" s="5"/>
      <c r="AG738" s="5"/>
    </row>
    <row r="739" spans="3:33" ht="12.75" customHeight="1">
      <c r="C739" s="5"/>
      <c r="D739" s="5"/>
      <c r="E739" s="5"/>
      <c r="F739" s="5"/>
      <c r="G739" s="217"/>
      <c r="H739" s="198"/>
      <c r="I739" s="198"/>
      <c r="J739" s="888"/>
      <c r="K739" s="217"/>
      <c r="L739" s="306"/>
      <c r="M739" s="306"/>
      <c r="N739" s="306"/>
      <c r="O739" s="306"/>
      <c r="P739" s="306"/>
      <c r="Q739" s="215"/>
      <c r="R739" s="5"/>
      <c r="S739" s="5"/>
      <c r="T739" s="5"/>
      <c r="U739" s="5"/>
      <c r="V739" s="5"/>
      <c r="W739" s="5"/>
      <c r="X739" s="5"/>
      <c r="Y739" s="5"/>
      <c r="Z739" s="5"/>
      <c r="AA739" s="5"/>
      <c r="AB739" s="5"/>
      <c r="AC739" s="5"/>
      <c r="AD739" s="5"/>
      <c r="AE739" s="5"/>
      <c r="AF739" s="5"/>
      <c r="AG739" s="5"/>
    </row>
    <row r="740" spans="3:33" ht="12.75" customHeight="1">
      <c r="C740" s="5"/>
      <c r="D740" s="5"/>
      <c r="E740" s="5"/>
      <c r="F740" s="5"/>
      <c r="G740" s="217"/>
      <c r="H740" s="198"/>
      <c r="I740" s="198"/>
      <c r="J740" s="888"/>
      <c r="K740" s="217"/>
      <c r="L740" s="306"/>
      <c r="M740" s="306"/>
      <c r="N740" s="306"/>
      <c r="O740" s="306"/>
      <c r="P740" s="306"/>
      <c r="Q740" s="215"/>
      <c r="R740" s="5"/>
      <c r="S740" s="5"/>
      <c r="T740" s="5"/>
      <c r="U740" s="5"/>
      <c r="V740" s="5"/>
      <c r="W740" s="5"/>
      <c r="X740" s="5"/>
      <c r="Y740" s="5"/>
      <c r="Z740" s="5"/>
      <c r="AA740" s="5"/>
      <c r="AB740" s="5"/>
      <c r="AC740" s="5"/>
      <c r="AD740" s="5"/>
      <c r="AE740" s="5"/>
      <c r="AF740" s="5"/>
      <c r="AG740" s="5"/>
    </row>
    <row r="741" spans="3:33" ht="12.75" customHeight="1">
      <c r="C741" s="5"/>
      <c r="D741" s="5"/>
      <c r="E741" s="5"/>
      <c r="F741" s="5"/>
      <c r="G741" s="217"/>
      <c r="H741" s="198"/>
      <c r="I741" s="198"/>
      <c r="J741" s="888"/>
      <c r="K741" s="217"/>
      <c r="L741" s="306"/>
      <c r="M741" s="306"/>
      <c r="N741" s="306"/>
      <c r="O741" s="306"/>
      <c r="P741" s="306"/>
      <c r="Q741" s="215"/>
      <c r="R741" s="5"/>
      <c r="S741" s="5"/>
      <c r="T741" s="5"/>
      <c r="U741" s="5"/>
      <c r="V741" s="5"/>
      <c r="W741" s="5"/>
      <c r="X741" s="5"/>
      <c r="Y741" s="5"/>
      <c r="Z741" s="5"/>
      <c r="AA741" s="5"/>
      <c r="AB741" s="5"/>
      <c r="AC741" s="5"/>
      <c r="AD741" s="5"/>
      <c r="AE741" s="5"/>
      <c r="AF741" s="5"/>
      <c r="AG741" s="5"/>
    </row>
    <row r="742" spans="3:33" ht="12.75" customHeight="1">
      <c r="C742" s="5"/>
      <c r="D742" s="5"/>
      <c r="E742" s="5"/>
      <c r="F742" s="5"/>
      <c r="G742" s="217"/>
      <c r="H742" s="198"/>
      <c r="I742" s="198"/>
      <c r="J742" s="888"/>
      <c r="K742" s="217"/>
      <c r="L742" s="306"/>
      <c r="M742" s="306"/>
      <c r="N742" s="306"/>
      <c r="O742" s="306"/>
      <c r="P742" s="306"/>
      <c r="Q742" s="215"/>
      <c r="R742" s="5"/>
      <c r="S742" s="5"/>
      <c r="T742" s="5"/>
      <c r="U742" s="5"/>
      <c r="V742" s="5"/>
      <c r="W742" s="5"/>
      <c r="X742" s="5"/>
      <c r="Y742" s="5"/>
      <c r="Z742" s="5"/>
      <c r="AA742" s="5"/>
      <c r="AB742" s="5"/>
      <c r="AC742" s="5"/>
      <c r="AD742" s="5"/>
      <c r="AE742" s="5"/>
      <c r="AF742" s="5"/>
      <c r="AG742" s="5"/>
    </row>
    <row r="743" spans="3:33" ht="12.75" customHeight="1">
      <c r="C743" s="5"/>
      <c r="D743" s="5"/>
      <c r="E743" s="5"/>
      <c r="F743" s="5"/>
      <c r="G743" s="217"/>
      <c r="H743" s="198"/>
      <c r="I743" s="198"/>
      <c r="J743" s="888"/>
      <c r="K743" s="217"/>
      <c r="L743" s="306"/>
      <c r="M743" s="306"/>
      <c r="N743" s="306"/>
      <c r="O743" s="306"/>
      <c r="P743" s="306"/>
      <c r="Q743" s="215"/>
      <c r="R743" s="5"/>
      <c r="S743" s="5"/>
      <c r="T743" s="5"/>
      <c r="U743" s="5"/>
      <c r="V743" s="5"/>
      <c r="W743" s="5"/>
      <c r="X743" s="5"/>
      <c r="Y743" s="5"/>
      <c r="Z743" s="5"/>
      <c r="AA743" s="5"/>
      <c r="AB743" s="5"/>
      <c r="AC743" s="5"/>
      <c r="AD743" s="5"/>
      <c r="AE743" s="5"/>
      <c r="AF743" s="5"/>
      <c r="AG743" s="5"/>
    </row>
    <row r="744" spans="3:33" ht="12.75" customHeight="1">
      <c r="C744" s="5"/>
      <c r="D744" s="5"/>
      <c r="E744" s="5"/>
      <c r="F744" s="5"/>
      <c r="G744" s="217"/>
      <c r="H744" s="198"/>
      <c r="I744" s="198"/>
      <c r="J744" s="888"/>
      <c r="K744" s="217"/>
      <c r="L744" s="306"/>
      <c r="M744" s="306"/>
      <c r="N744" s="306"/>
      <c r="O744" s="306"/>
      <c r="P744" s="306"/>
      <c r="Q744" s="215"/>
      <c r="R744" s="5"/>
      <c r="S744" s="5"/>
      <c r="T744" s="5"/>
      <c r="U744" s="5"/>
      <c r="V744" s="5"/>
      <c r="W744" s="5"/>
      <c r="X744" s="5"/>
      <c r="Y744" s="5"/>
      <c r="Z744" s="5"/>
      <c r="AA744" s="5"/>
      <c r="AB744" s="5"/>
      <c r="AC744" s="5"/>
      <c r="AD744" s="5"/>
      <c r="AE744" s="5"/>
      <c r="AF744" s="5"/>
      <c r="AG744" s="5"/>
    </row>
    <row r="745" spans="3:33" ht="12.75" customHeight="1">
      <c r="C745" s="5"/>
      <c r="D745" s="5"/>
      <c r="E745" s="5"/>
      <c r="F745" s="5"/>
      <c r="G745" s="217"/>
      <c r="H745" s="198"/>
      <c r="I745" s="198"/>
      <c r="J745" s="888"/>
      <c r="K745" s="217"/>
      <c r="L745" s="306"/>
      <c r="M745" s="306"/>
      <c r="N745" s="306"/>
      <c r="O745" s="306"/>
      <c r="P745" s="306"/>
      <c r="Q745" s="215"/>
      <c r="R745" s="5"/>
      <c r="S745" s="5"/>
      <c r="T745" s="5"/>
      <c r="U745" s="5"/>
      <c r="V745" s="5"/>
      <c r="W745" s="5"/>
      <c r="X745" s="5"/>
      <c r="Y745" s="5"/>
      <c r="Z745" s="5"/>
      <c r="AA745" s="5"/>
      <c r="AB745" s="5"/>
      <c r="AC745" s="5"/>
      <c r="AD745" s="5"/>
      <c r="AE745" s="5"/>
      <c r="AF745" s="5"/>
      <c r="AG745" s="5"/>
    </row>
    <row r="746" spans="3:33" ht="12.75" customHeight="1">
      <c r="C746" s="5"/>
      <c r="D746" s="5"/>
      <c r="E746" s="5"/>
      <c r="F746" s="5"/>
      <c r="G746" s="217"/>
      <c r="H746" s="198"/>
      <c r="I746" s="198"/>
      <c r="J746" s="888"/>
      <c r="K746" s="217"/>
      <c r="L746" s="306"/>
      <c r="M746" s="306"/>
      <c r="N746" s="306"/>
      <c r="O746" s="306"/>
      <c r="P746" s="306"/>
      <c r="Q746" s="215"/>
      <c r="R746" s="5"/>
      <c r="S746" s="5"/>
      <c r="T746" s="5"/>
      <c r="U746" s="5"/>
      <c r="V746" s="5"/>
      <c r="W746" s="5"/>
      <c r="X746" s="5"/>
      <c r="Y746" s="5"/>
      <c r="Z746" s="5"/>
      <c r="AA746" s="5"/>
      <c r="AB746" s="5"/>
      <c r="AC746" s="5"/>
      <c r="AD746" s="5"/>
      <c r="AE746" s="5"/>
      <c r="AF746" s="5"/>
      <c r="AG746" s="5"/>
    </row>
    <row r="747" spans="3:33" ht="12.75" customHeight="1">
      <c r="C747" s="5"/>
      <c r="D747" s="5"/>
      <c r="E747" s="5"/>
      <c r="F747" s="5"/>
      <c r="G747" s="217"/>
      <c r="H747" s="198"/>
      <c r="I747" s="198"/>
      <c r="J747" s="888"/>
      <c r="K747" s="217"/>
      <c r="L747" s="306"/>
      <c r="M747" s="306"/>
      <c r="N747" s="306"/>
      <c r="O747" s="306"/>
      <c r="P747" s="306"/>
      <c r="Q747" s="215"/>
      <c r="R747" s="5"/>
      <c r="S747" s="5"/>
      <c r="T747" s="5"/>
      <c r="U747" s="5"/>
      <c r="V747" s="5"/>
      <c r="W747" s="5"/>
      <c r="X747" s="5"/>
      <c r="Y747" s="5"/>
      <c r="Z747" s="5"/>
      <c r="AA747" s="5"/>
      <c r="AB747" s="5"/>
      <c r="AC747" s="5"/>
      <c r="AD747" s="5"/>
      <c r="AE747" s="5"/>
      <c r="AF747" s="5"/>
      <c r="AG747" s="5"/>
    </row>
    <row r="748" spans="3:33" ht="12.75" customHeight="1">
      <c r="C748" s="5"/>
      <c r="D748" s="5"/>
      <c r="E748" s="5"/>
      <c r="F748" s="5"/>
      <c r="G748" s="217"/>
      <c r="H748" s="198"/>
      <c r="I748" s="198"/>
      <c r="J748" s="888"/>
      <c r="K748" s="217"/>
      <c r="L748" s="306"/>
      <c r="M748" s="306"/>
      <c r="N748" s="306"/>
      <c r="O748" s="306"/>
      <c r="P748" s="306"/>
      <c r="Q748" s="215"/>
      <c r="R748" s="5"/>
      <c r="S748" s="5"/>
      <c r="T748" s="5"/>
      <c r="U748" s="5"/>
      <c r="V748" s="5"/>
      <c r="W748" s="5"/>
      <c r="X748" s="5"/>
      <c r="Y748" s="5"/>
      <c r="Z748" s="5"/>
      <c r="AA748" s="5"/>
      <c r="AB748" s="5"/>
      <c r="AC748" s="5"/>
      <c r="AD748" s="5"/>
      <c r="AE748" s="5"/>
      <c r="AF748" s="5"/>
      <c r="AG748" s="5"/>
    </row>
    <row r="749" spans="3:33" ht="12.75" customHeight="1">
      <c r="C749" s="5"/>
      <c r="D749" s="5"/>
      <c r="E749" s="5"/>
      <c r="F749" s="5"/>
      <c r="G749" s="217"/>
      <c r="H749" s="198"/>
      <c r="I749" s="198"/>
      <c r="J749" s="888"/>
      <c r="K749" s="217"/>
      <c r="L749" s="306"/>
      <c r="M749" s="306"/>
      <c r="N749" s="306"/>
      <c r="O749" s="306"/>
      <c r="P749" s="306"/>
      <c r="Q749" s="215"/>
      <c r="R749" s="5"/>
      <c r="S749" s="5"/>
      <c r="T749" s="5"/>
      <c r="U749" s="5"/>
      <c r="V749" s="5"/>
      <c r="W749" s="5"/>
      <c r="X749" s="5"/>
      <c r="Y749" s="5"/>
      <c r="Z749" s="5"/>
      <c r="AA749" s="5"/>
      <c r="AB749" s="5"/>
      <c r="AC749" s="5"/>
      <c r="AD749" s="5"/>
      <c r="AE749" s="5"/>
      <c r="AF749" s="5"/>
      <c r="AG749" s="5"/>
    </row>
    <row r="750" spans="3:33" ht="12.75" customHeight="1">
      <c r="C750" s="5"/>
      <c r="D750" s="5"/>
      <c r="E750" s="5"/>
      <c r="F750" s="5"/>
      <c r="G750" s="217"/>
      <c r="H750" s="198"/>
      <c r="I750" s="198"/>
      <c r="J750" s="888"/>
      <c r="K750" s="217"/>
      <c r="L750" s="306"/>
      <c r="M750" s="306"/>
      <c r="N750" s="306"/>
      <c r="O750" s="306"/>
      <c r="P750" s="306"/>
      <c r="Q750" s="215"/>
      <c r="R750" s="5"/>
      <c r="S750" s="5"/>
      <c r="T750" s="5"/>
      <c r="U750" s="5"/>
      <c r="V750" s="5"/>
      <c r="W750" s="5"/>
      <c r="X750" s="5"/>
      <c r="Y750" s="5"/>
      <c r="Z750" s="5"/>
      <c r="AA750" s="5"/>
      <c r="AB750" s="5"/>
      <c r="AC750" s="5"/>
      <c r="AD750" s="5"/>
      <c r="AE750" s="5"/>
      <c r="AF750" s="5"/>
      <c r="AG750" s="5"/>
    </row>
    <row r="751" spans="3:33" ht="12.75" customHeight="1">
      <c r="C751" s="5"/>
      <c r="D751" s="5"/>
      <c r="E751" s="5"/>
      <c r="F751" s="5"/>
      <c r="G751" s="217"/>
      <c r="H751" s="198"/>
      <c r="I751" s="198"/>
      <c r="J751" s="888"/>
      <c r="K751" s="217"/>
      <c r="L751" s="306"/>
      <c r="M751" s="306"/>
      <c r="N751" s="306"/>
      <c r="O751" s="306"/>
      <c r="P751" s="306"/>
      <c r="Q751" s="215"/>
      <c r="R751" s="5"/>
      <c r="S751" s="5"/>
      <c r="T751" s="5"/>
      <c r="U751" s="5"/>
      <c r="V751" s="5"/>
      <c r="W751" s="5"/>
      <c r="X751" s="5"/>
      <c r="Y751" s="5"/>
      <c r="Z751" s="5"/>
      <c r="AA751" s="5"/>
      <c r="AB751" s="5"/>
      <c r="AC751" s="5"/>
      <c r="AD751" s="5"/>
      <c r="AE751" s="5"/>
      <c r="AF751" s="5"/>
      <c r="AG751" s="5"/>
    </row>
    <row r="752" spans="3:33" ht="12.75" customHeight="1">
      <c r="C752" s="5"/>
      <c r="D752" s="5"/>
      <c r="E752" s="5"/>
      <c r="F752" s="5"/>
      <c r="G752" s="217"/>
      <c r="H752" s="198"/>
      <c r="I752" s="198"/>
      <c r="J752" s="888"/>
      <c r="K752" s="217"/>
      <c r="L752" s="306"/>
      <c r="M752" s="306"/>
      <c r="N752" s="306"/>
      <c r="O752" s="306"/>
      <c r="P752" s="306"/>
      <c r="Q752" s="215"/>
      <c r="R752" s="5"/>
      <c r="S752" s="5"/>
      <c r="T752" s="5"/>
      <c r="U752" s="5"/>
      <c r="V752" s="5"/>
      <c r="W752" s="5"/>
      <c r="X752" s="5"/>
      <c r="Y752" s="5"/>
      <c r="Z752" s="5"/>
      <c r="AA752" s="5"/>
      <c r="AB752" s="5"/>
      <c r="AC752" s="5"/>
      <c r="AD752" s="5"/>
      <c r="AE752" s="5"/>
      <c r="AF752" s="5"/>
      <c r="AG752" s="5"/>
    </row>
    <row r="753" spans="3:33" ht="12.75" customHeight="1">
      <c r="C753" s="5"/>
      <c r="D753" s="5"/>
      <c r="E753" s="5"/>
      <c r="F753" s="5"/>
      <c r="G753" s="217"/>
      <c r="H753" s="198"/>
      <c r="I753" s="198"/>
      <c r="J753" s="888"/>
      <c r="K753" s="217"/>
      <c r="L753" s="306"/>
      <c r="M753" s="306"/>
      <c r="N753" s="306"/>
      <c r="O753" s="306"/>
      <c r="P753" s="306"/>
      <c r="Q753" s="215"/>
      <c r="R753" s="5"/>
      <c r="S753" s="5"/>
      <c r="T753" s="5"/>
      <c r="U753" s="5"/>
      <c r="V753" s="5"/>
      <c r="W753" s="5"/>
      <c r="X753" s="5"/>
      <c r="Y753" s="5"/>
      <c r="Z753" s="5"/>
      <c r="AA753" s="5"/>
      <c r="AB753" s="5"/>
      <c r="AC753" s="5"/>
      <c r="AD753" s="5"/>
      <c r="AE753" s="5"/>
      <c r="AF753" s="5"/>
      <c r="AG753" s="5"/>
    </row>
    <row r="754" spans="3:33" ht="12.75" customHeight="1">
      <c r="C754" s="5"/>
      <c r="D754" s="5"/>
      <c r="E754" s="5"/>
      <c r="F754" s="5"/>
      <c r="G754" s="217"/>
      <c r="H754" s="198"/>
      <c r="I754" s="198"/>
      <c r="J754" s="888"/>
      <c r="K754" s="217"/>
      <c r="L754" s="306"/>
      <c r="M754" s="306"/>
      <c r="N754" s="306"/>
      <c r="O754" s="306"/>
      <c r="P754" s="306"/>
      <c r="Q754" s="215"/>
      <c r="R754" s="5"/>
      <c r="S754" s="5"/>
      <c r="T754" s="5"/>
      <c r="U754" s="5"/>
      <c r="V754" s="5"/>
      <c r="W754" s="5"/>
      <c r="X754" s="5"/>
      <c r="Y754" s="5"/>
      <c r="Z754" s="5"/>
      <c r="AA754" s="5"/>
      <c r="AB754" s="5"/>
      <c r="AC754" s="5"/>
      <c r="AD754" s="5"/>
      <c r="AE754" s="5"/>
      <c r="AF754" s="5"/>
      <c r="AG754" s="5"/>
    </row>
    <row r="755" spans="3:33" ht="12.75" customHeight="1">
      <c r="C755" s="5"/>
      <c r="D755" s="5"/>
      <c r="E755" s="5"/>
      <c r="F755" s="5"/>
      <c r="G755" s="217"/>
      <c r="H755" s="198"/>
      <c r="I755" s="198"/>
      <c r="J755" s="888"/>
      <c r="K755" s="217"/>
      <c r="L755" s="306"/>
      <c r="M755" s="306"/>
      <c r="N755" s="306"/>
      <c r="O755" s="306"/>
      <c r="P755" s="306"/>
      <c r="Q755" s="215"/>
      <c r="R755" s="5"/>
      <c r="S755" s="5"/>
      <c r="T755" s="5"/>
      <c r="U755" s="5"/>
      <c r="V755" s="5"/>
      <c r="W755" s="5"/>
      <c r="X755" s="5"/>
      <c r="Y755" s="5"/>
      <c r="Z755" s="5"/>
      <c r="AA755" s="5"/>
      <c r="AB755" s="5"/>
      <c r="AC755" s="5"/>
      <c r="AD755" s="5"/>
      <c r="AE755" s="5"/>
      <c r="AF755" s="5"/>
      <c r="AG755" s="5"/>
    </row>
    <row r="756" spans="3:33" ht="12.75" customHeight="1">
      <c r="C756" s="5"/>
      <c r="D756" s="5"/>
      <c r="E756" s="5"/>
      <c r="F756" s="5"/>
      <c r="G756" s="217"/>
      <c r="H756" s="198"/>
      <c r="I756" s="198"/>
      <c r="J756" s="888"/>
      <c r="K756" s="217"/>
      <c r="L756" s="306"/>
      <c r="M756" s="306"/>
      <c r="N756" s="306"/>
      <c r="O756" s="306"/>
      <c r="P756" s="306"/>
      <c r="Q756" s="215"/>
      <c r="R756" s="5"/>
      <c r="S756" s="5"/>
      <c r="T756" s="5"/>
      <c r="U756" s="5"/>
      <c r="V756" s="5"/>
      <c r="W756" s="5"/>
      <c r="X756" s="5"/>
      <c r="Y756" s="5"/>
      <c r="Z756" s="5"/>
      <c r="AA756" s="5"/>
      <c r="AB756" s="5"/>
      <c r="AC756" s="5"/>
      <c r="AD756" s="5"/>
      <c r="AE756" s="5"/>
      <c r="AF756" s="5"/>
      <c r="AG756" s="5"/>
    </row>
    <row r="757" spans="3:33" ht="12.75" customHeight="1">
      <c r="C757" s="5"/>
      <c r="D757" s="5"/>
      <c r="E757" s="5"/>
      <c r="F757" s="5"/>
      <c r="G757" s="217"/>
      <c r="H757" s="198"/>
      <c r="I757" s="198"/>
      <c r="J757" s="888"/>
      <c r="K757" s="217"/>
      <c r="L757" s="306"/>
      <c r="M757" s="306"/>
      <c r="N757" s="306"/>
      <c r="O757" s="306"/>
      <c r="P757" s="306"/>
      <c r="Q757" s="215"/>
      <c r="R757" s="5"/>
      <c r="S757" s="5"/>
      <c r="T757" s="5"/>
      <c r="U757" s="5"/>
      <c r="V757" s="5"/>
      <c r="W757" s="5"/>
      <c r="X757" s="5"/>
      <c r="Y757" s="5"/>
      <c r="Z757" s="5"/>
      <c r="AA757" s="5"/>
      <c r="AB757" s="5"/>
      <c r="AC757" s="5"/>
      <c r="AD757" s="5"/>
      <c r="AE757" s="5"/>
      <c r="AF757" s="5"/>
      <c r="AG757" s="5"/>
    </row>
    <row r="758" spans="3:33" ht="12.75" customHeight="1">
      <c r="C758" s="5"/>
      <c r="D758" s="5"/>
      <c r="E758" s="5"/>
      <c r="F758" s="5"/>
      <c r="G758" s="217"/>
      <c r="H758" s="198"/>
      <c r="I758" s="198"/>
      <c r="J758" s="888"/>
      <c r="K758" s="217"/>
      <c r="L758" s="306"/>
      <c r="M758" s="306"/>
      <c r="N758" s="306"/>
      <c r="O758" s="306"/>
      <c r="P758" s="306"/>
      <c r="Q758" s="215"/>
      <c r="R758" s="5"/>
      <c r="S758" s="5"/>
      <c r="T758" s="5"/>
      <c r="U758" s="5"/>
      <c r="V758" s="5"/>
      <c r="W758" s="5"/>
      <c r="X758" s="5"/>
      <c r="Y758" s="5"/>
      <c r="Z758" s="5"/>
      <c r="AA758" s="5"/>
      <c r="AB758" s="5"/>
      <c r="AC758" s="5"/>
      <c r="AD758" s="5"/>
      <c r="AE758" s="5"/>
      <c r="AF758" s="5"/>
      <c r="AG758" s="5"/>
    </row>
    <row r="759" spans="3:33" ht="12.75" customHeight="1">
      <c r="C759" s="5"/>
      <c r="D759" s="5"/>
      <c r="E759" s="5"/>
      <c r="F759" s="5"/>
      <c r="G759" s="217"/>
      <c r="H759" s="198"/>
      <c r="I759" s="198"/>
      <c r="J759" s="888"/>
      <c r="K759" s="217"/>
      <c r="L759" s="306"/>
      <c r="M759" s="306"/>
      <c r="N759" s="306"/>
      <c r="O759" s="306"/>
      <c r="P759" s="306"/>
      <c r="Q759" s="215"/>
      <c r="R759" s="5"/>
      <c r="S759" s="5"/>
      <c r="T759" s="5"/>
      <c r="U759" s="5"/>
      <c r="V759" s="5"/>
      <c r="W759" s="5"/>
      <c r="X759" s="5"/>
      <c r="Y759" s="5"/>
      <c r="Z759" s="5"/>
      <c r="AA759" s="5"/>
      <c r="AB759" s="5"/>
      <c r="AC759" s="5"/>
      <c r="AD759" s="5"/>
      <c r="AE759" s="5"/>
      <c r="AF759" s="5"/>
      <c r="AG759" s="5"/>
    </row>
    <row r="760" spans="3:33" ht="12.75" customHeight="1">
      <c r="C760" s="5"/>
      <c r="D760" s="5"/>
      <c r="E760" s="5"/>
      <c r="F760" s="5"/>
      <c r="G760" s="217"/>
      <c r="H760" s="198"/>
      <c r="I760" s="198"/>
      <c r="J760" s="888"/>
      <c r="K760" s="217"/>
      <c r="L760" s="306"/>
      <c r="M760" s="306"/>
      <c r="N760" s="306"/>
      <c r="O760" s="306"/>
      <c r="P760" s="306"/>
      <c r="Q760" s="215"/>
      <c r="R760" s="5"/>
      <c r="S760" s="5"/>
      <c r="T760" s="5"/>
      <c r="U760" s="5"/>
      <c r="V760" s="5"/>
      <c r="W760" s="5"/>
      <c r="X760" s="5"/>
      <c r="Y760" s="5"/>
      <c r="Z760" s="5"/>
      <c r="AA760" s="5"/>
      <c r="AB760" s="5"/>
      <c r="AC760" s="5"/>
      <c r="AD760" s="5"/>
      <c r="AE760" s="5"/>
      <c r="AF760" s="5"/>
      <c r="AG760" s="5"/>
    </row>
    <row r="761" spans="3:33" ht="12.75" customHeight="1">
      <c r="C761" s="5"/>
      <c r="D761" s="5"/>
      <c r="E761" s="5"/>
      <c r="F761" s="5"/>
      <c r="G761" s="217"/>
      <c r="H761" s="198"/>
      <c r="I761" s="198"/>
      <c r="J761" s="888"/>
      <c r="K761" s="217"/>
      <c r="L761" s="306"/>
      <c r="M761" s="306"/>
      <c r="N761" s="306"/>
      <c r="O761" s="306"/>
      <c r="P761" s="306"/>
      <c r="Q761" s="215"/>
      <c r="R761" s="5"/>
      <c r="S761" s="5"/>
      <c r="T761" s="5"/>
      <c r="U761" s="5"/>
      <c r="V761" s="5"/>
      <c r="W761" s="5"/>
      <c r="X761" s="5"/>
      <c r="Y761" s="5"/>
      <c r="Z761" s="5"/>
      <c r="AA761" s="5"/>
      <c r="AB761" s="5"/>
      <c r="AC761" s="5"/>
      <c r="AD761" s="5"/>
      <c r="AE761" s="5"/>
      <c r="AF761" s="5"/>
      <c r="AG761" s="5"/>
    </row>
    <row r="762" spans="3:33" ht="12.75" customHeight="1">
      <c r="C762" s="5"/>
      <c r="D762" s="5"/>
      <c r="E762" s="5"/>
      <c r="F762" s="5"/>
      <c r="G762" s="217"/>
      <c r="H762" s="198"/>
      <c r="I762" s="198"/>
      <c r="J762" s="888"/>
      <c r="K762" s="217"/>
      <c r="L762" s="306"/>
      <c r="M762" s="306"/>
      <c r="N762" s="306"/>
      <c r="O762" s="306"/>
      <c r="P762" s="306"/>
      <c r="Q762" s="215"/>
      <c r="R762" s="5"/>
      <c r="S762" s="5"/>
      <c r="T762" s="5"/>
      <c r="U762" s="5"/>
      <c r="V762" s="5"/>
      <c r="W762" s="5"/>
      <c r="X762" s="5"/>
      <c r="Y762" s="5"/>
      <c r="Z762" s="5"/>
      <c r="AA762" s="5"/>
      <c r="AB762" s="5"/>
      <c r="AC762" s="5"/>
      <c r="AD762" s="5"/>
      <c r="AE762" s="5"/>
      <c r="AF762" s="5"/>
      <c r="AG762" s="5"/>
    </row>
    <row r="763" spans="3:33" ht="12.75" customHeight="1">
      <c r="C763" s="5"/>
      <c r="D763" s="5"/>
      <c r="E763" s="5"/>
      <c r="F763" s="5"/>
      <c r="G763" s="217"/>
      <c r="H763" s="198"/>
      <c r="I763" s="198"/>
      <c r="J763" s="888"/>
      <c r="K763" s="217"/>
      <c r="L763" s="306"/>
      <c r="M763" s="306"/>
      <c r="N763" s="306"/>
      <c r="O763" s="306"/>
      <c r="P763" s="306"/>
      <c r="Q763" s="215"/>
      <c r="R763" s="5"/>
      <c r="S763" s="5"/>
      <c r="T763" s="5"/>
      <c r="U763" s="5"/>
      <c r="V763" s="5"/>
      <c r="W763" s="5"/>
      <c r="X763" s="5"/>
      <c r="Y763" s="5"/>
      <c r="Z763" s="5"/>
      <c r="AA763" s="5"/>
      <c r="AB763" s="5"/>
      <c r="AC763" s="5"/>
      <c r="AD763" s="5"/>
      <c r="AE763" s="5"/>
      <c r="AF763" s="5"/>
      <c r="AG763" s="5"/>
    </row>
    <row r="764" spans="3:33" ht="12.75" customHeight="1">
      <c r="C764" s="5"/>
      <c r="D764" s="5"/>
      <c r="E764" s="5"/>
      <c r="F764" s="5"/>
      <c r="G764" s="217"/>
      <c r="H764" s="198"/>
      <c r="I764" s="198"/>
      <c r="J764" s="888"/>
      <c r="K764" s="217"/>
      <c r="L764" s="306"/>
      <c r="M764" s="306"/>
      <c r="N764" s="306"/>
      <c r="O764" s="306"/>
      <c r="P764" s="306"/>
      <c r="Q764" s="215"/>
      <c r="R764" s="5"/>
      <c r="S764" s="5"/>
      <c r="T764" s="5"/>
      <c r="U764" s="5"/>
      <c r="V764" s="5"/>
      <c r="W764" s="5"/>
      <c r="X764" s="5"/>
      <c r="Y764" s="5"/>
      <c r="Z764" s="5"/>
      <c r="AA764" s="5"/>
      <c r="AB764" s="5"/>
      <c r="AC764" s="5"/>
      <c r="AD764" s="5"/>
      <c r="AE764" s="5"/>
      <c r="AF764" s="5"/>
      <c r="AG764" s="5"/>
    </row>
    <row r="765" spans="3:33" ht="12.75" customHeight="1">
      <c r="C765" s="5"/>
      <c r="D765" s="5"/>
      <c r="E765" s="5"/>
      <c r="F765" s="5"/>
      <c r="G765" s="217"/>
      <c r="H765" s="198"/>
      <c r="I765" s="198"/>
      <c r="J765" s="888"/>
      <c r="K765" s="217"/>
      <c r="L765" s="306"/>
      <c r="M765" s="306"/>
      <c r="N765" s="306"/>
      <c r="O765" s="306"/>
      <c r="P765" s="306"/>
      <c r="Q765" s="215"/>
      <c r="R765" s="5"/>
      <c r="S765" s="5"/>
      <c r="T765" s="5"/>
      <c r="U765" s="5"/>
      <c r="V765" s="5"/>
      <c r="W765" s="5"/>
      <c r="X765" s="5"/>
      <c r="Y765" s="5"/>
      <c r="Z765" s="5"/>
      <c r="AA765" s="5"/>
      <c r="AB765" s="5"/>
      <c r="AC765" s="5"/>
      <c r="AD765" s="5"/>
      <c r="AE765" s="5"/>
      <c r="AF765" s="5"/>
      <c r="AG765" s="5"/>
    </row>
    <row r="766" spans="3:33" ht="12.75" customHeight="1">
      <c r="C766" s="5"/>
      <c r="D766" s="5"/>
      <c r="E766" s="5"/>
      <c r="F766" s="5"/>
      <c r="G766" s="217"/>
      <c r="H766" s="198"/>
      <c r="I766" s="198"/>
      <c r="J766" s="888"/>
      <c r="K766" s="217"/>
      <c r="L766" s="306"/>
      <c r="M766" s="306"/>
      <c r="N766" s="306"/>
      <c r="O766" s="306"/>
      <c r="P766" s="306"/>
      <c r="Q766" s="215"/>
      <c r="R766" s="5"/>
      <c r="S766" s="5"/>
      <c r="T766" s="5"/>
      <c r="U766" s="5"/>
      <c r="V766" s="5"/>
      <c r="W766" s="5"/>
      <c r="X766" s="5"/>
      <c r="Y766" s="5"/>
      <c r="Z766" s="5"/>
      <c r="AA766" s="5"/>
      <c r="AB766" s="5"/>
      <c r="AC766" s="5"/>
      <c r="AD766" s="5"/>
      <c r="AE766" s="5"/>
      <c r="AF766" s="5"/>
      <c r="AG766" s="5"/>
    </row>
    <row r="767" spans="3:33" ht="12.75" customHeight="1">
      <c r="C767" s="5"/>
      <c r="D767" s="5"/>
      <c r="E767" s="5"/>
      <c r="F767" s="5"/>
      <c r="G767" s="217"/>
      <c r="H767" s="198"/>
      <c r="I767" s="198"/>
      <c r="J767" s="888"/>
      <c r="K767" s="217"/>
      <c r="L767" s="306"/>
      <c r="M767" s="306"/>
      <c r="N767" s="306"/>
      <c r="O767" s="306"/>
      <c r="P767" s="306"/>
      <c r="Q767" s="215"/>
      <c r="R767" s="5"/>
      <c r="S767" s="5"/>
      <c r="T767" s="5"/>
      <c r="U767" s="5"/>
      <c r="V767" s="5"/>
      <c r="W767" s="5"/>
      <c r="X767" s="5"/>
      <c r="Y767" s="5"/>
      <c r="Z767" s="5"/>
      <c r="AA767" s="5"/>
      <c r="AB767" s="5"/>
      <c r="AC767" s="5"/>
      <c r="AD767" s="5"/>
      <c r="AE767" s="5"/>
      <c r="AF767" s="5"/>
      <c r="AG767" s="5"/>
    </row>
    <row r="768" spans="3:33" ht="12.75" customHeight="1">
      <c r="C768" s="5"/>
      <c r="D768" s="5"/>
      <c r="E768" s="5"/>
      <c r="F768" s="5"/>
      <c r="G768" s="217"/>
      <c r="H768" s="198"/>
      <c r="I768" s="198"/>
      <c r="J768" s="888"/>
      <c r="K768" s="217"/>
      <c r="L768" s="306"/>
      <c r="M768" s="306"/>
      <c r="N768" s="306"/>
      <c r="O768" s="306"/>
      <c r="P768" s="306"/>
      <c r="Q768" s="215"/>
      <c r="R768" s="5"/>
      <c r="S768" s="5"/>
      <c r="T768" s="5"/>
      <c r="U768" s="5"/>
      <c r="V768" s="5"/>
      <c r="W768" s="5"/>
      <c r="X768" s="5"/>
      <c r="Y768" s="5"/>
      <c r="Z768" s="5"/>
      <c r="AA768" s="5"/>
      <c r="AB768" s="5"/>
      <c r="AC768" s="5"/>
      <c r="AD768" s="5"/>
      <c r="AE768" s="5"/>
      <c r="AF768" s="5"/>
      <c r="AG768" s="5"/>
    </row>
    <row r="769" spans="3:33" ht="12.75" customHeight="1">
      <c r="C769" s="5"/>
      <c r="D769" s="5"/>
      <c r="E769" s="5"/>
      <c r="F769" s="5"/>
      <c r="G769" s="217"/>
      <c r="H769" s="198"/>
      <c r="I769" s="198"/>
      <c r="J769" s="888"/>
      <c r="K769" s="217"/>
      <c r="L769" s="306"/>
      <c r="M769" s="306"/>
      <c r="N769" s="306"/>
      <c r="O769" s="306"/>
      <c r="P769" s="306"/>
      <c r="Q769" s="215"/>
      <c r="R769" s="5"/>
      <c r="S769" s="5"/>
      <c r="T769" s="5"/>
      <c r="U769" s="5"/>
      <c r="V769" s="5"/>
      <c r="W769" s="5"/>
      <c r="X769" s="5"/>
      <c r="Y769" s="5"/>
      <c r="Z769" s="5"/>
      <c r="AA769" s="5"/>
      <c r="AB769" s="5"/>
      <c r="AC769" s="5"/>
      <c r="AD769" s="5"/>
      <c r="AE769" s="5"/>
      <c r="AF769" s="5"/>
      <c r="AG769" s="5"/>
    </row>
    <row r="770" spans="3:33" ht="12.75" customHeight="1">
      <c r="C770" s="5"/>
      <c r="D770" s="5"/>
      <c r="E770" s="5"/>
      <c r="F770" s="5"/>
      <c r="G770" s="217"/>
      <c r="H770" s="198"/>
      <c r="I770" s="198"/>
      <c r="J770" s="888"/>
      <c r="K770" s="217"/>
      <c r="L770" s="306"/>
      <c r="M770" s="306"/>
      <c r="N770" s="306"/>
      <c r="O770" s="306"/>
      <c r="P770" s="306"/>
      <c r="Q770" s="215"/>
      <c r="R770" s="5"/>
      <c r="S770" s="5"/>
      <c r="T770" s="5"/>
      <c r="U770" s="5"/>
      <c r="V770" s="5"/>
      <c r="W770" s="5"/>
      <c r="X770" s="5"/>
      <c r="Y770" s="5"/>
      <c r="Z770" s="5"/>
      <c r="AA770" s="5"/>
      <c r="AB770" s="5"/>
      <c r="AC770" s="5"/>
      <c r="AD770" s="5"/>
      <c r="AE770" s="5"/>
      <c r="AF770" s="5"/>
      <c r="AG770" s="5"/>
    </row>
    <row r="771" spans="3:33" ht="12.75" customHeight="1">
      <c r="C771" s="5"/>
      <c r="D771" s="5"/>
      <c r="E771" s="5"/>
      <c r="F771" s="5"/>
      <c r="G771" s="217"/>
      <c r="H771" s="198"/>
      <c r="I771" s="198"/>
      <c r="J771" s="888"/>
      <c r="K771" s="217"/>
      <c r="L771" s="306"/>
      <c r="M771" s="306"/>
      <c r="N771" s="306"/>
      <c r="O771" s="306"/>
      <c r="P771" s="306"/>
      <c r="Q771" s="215"/>
      <c r="R771" s="5"/>
      <c r="S771" s="5"/>
      <c r="T771" s="5"/>
      <c r="U771" s="5"/>
      <c r="V771" s="5"/>
      <c r="W771" s="5"/>
      <c r="X771" s="5"/>
      <c r="Y771" s="5"/>
      <c r="Z771" s="5"/>
      <c r="AA771" s="5"/>
      <c r="AB771" s="5"/>
      <c r="AC771" s="5"/>
      <c r="AD771" s="5"/>
      <c r="AE771" s="5"/>
      <c r="AF771" s="5"/>
      <c r="AG771" s="5"/>
    </row>
    <row r="772" spans="3:33" ht="12.75" customHeight="1">
      <c r="C772" s="5"/>
      <c r="D772" s="5"/>
      <c r="E772" s="5"/>
      <c r="F772" s="5"/>
      <c r="G772" s="217"/>
      <c r="H772" s="198"/>
      <c r="I772" s="198"/>
      <c r="J772" s="888"/>
      <c r="K772" s="217"/>
      <c r="L772" s="306"/>
      <c r="M772" s="306"/>
      <c r="N772" s="306"/>
      <c r="O772" s="306"/>
      <c r="P772" s="306"/>
      <c r="Q772" s="215"/>
      <c r="R772" s="5"/>
      <c r="S772" s="5"/>
      <c r="T772" s="5"/>
      <c r="U772" s="5"/>
      <c r="V772" s="5"/>
      <c r="W772" s="5"/>
      <c r="X772" s="5"/>
      <c r="Y772" s="5"/>
      <c r="Z772" s="5"/>
      <c r="AA772" s="5"/>
      <c r="AB772" s="5"/>
      <c r="AC772" s="5"/>
      <c r="AD772" s="5"/>
      <c r="AE772" s="5"/>
      <c r="AF772" s="5"/>
      <c r="AG772" s="5"/>
    </row>
    <row r="773" spans="3:33" ht="12.75" customHeight="1">
      <c r="C773" s="5"/>
      <c r="D773" s="5"/>
      <c r="E773" s="5"/>
      <c r="F773" s="5"/>
      <c r="G773" s="217"/>
      <c r="H773" s="198"/>
      <c r="I773" s="198"/>
      <c r="J773" s="888"/>
      <c r="K773" s="217"/>
      <c r="L773" s="306"/>
      <c r="M773" s="306"/>
      <c r="N773" s="306"/>
      <c r="O773" s="306"/>
      <c r="P773" s="306"/>
      <c r="Q773" s="215"/>
      <c r="R773" s="5"/>
      <c r="S773" s="5"/>
      <c r="T773" s="5"/>
      <c r="U773" s="5"/>
      <c r="V773" s="5"/>
      <c r="W773" s="5"/>
      <c r="X773" s="5"/>
      <c r="Y773" s="5"/>
      <c r="Z773" s="5"/>
      <c r="AA773" s="5"/>
      <c r="AB773" s="5"/>
      <c r="AC773" s="5"/>
      <c r="AD773" s="5"/>
      <c r="AE773" s="5"/>
      <c r="AF773" s="5"/>
      <c r="AG773" s="5"/>
    </row>
    <row r="774" spans="3:33" ht="12.75" customHeight="1">
      <c r="C774" s="5"/>
      <c r="D774" s="5"/>
      <c r="E774" s="5"/>
      <c r="F774" s="5"/>
      <c r="G774" s="217"/>
      <c r="H774" s="198"/>
      <c r="I774" s="198"/>
      <c r="J774" s="888"/>
      <c r="K774" s="217"/>
      <c r="L774" s="306"/>
      <c r="M774" s="306"/>
      <c r="N774" s="306"/>
      <c r="O774" s="306"/>
      <c r="P774" s="306"/>
      <c r="Q774" s="215"/>
      <c r="R774" s="5"/>
      <c r="S774" s="5"/>
      <c r="T774" s="5"/>
      <c r="U774" s="5"/>
      <c r="V774" s="5"/>
      <c r="W774" s="5"/>
      <c r="X774" s="5"/>
      <c r="Y774" s="5"/>
      <c r="Z774" s="5"/>
      <c r="AA774" s="5"/>
      <c r="AB774" s="5"/>
      <c r="AC774" s="5"/>
      <c r="AD774" s="5"/>
      <c r="AE774" s="5"/>
      <c r="AF774" s="5"/>
      <c r="AG774" s="5"/>
    </row>
    <row r="775" spans="3:33" ht="12.75" customHeight="1">
      <c r="C775" s="5"/>
      <c r="D775" s="5"/>
      <c r="E775" s="5"/>
      <c r="F775" s="5"/>
      <c r="G775" s="217"/>
      <c r="H775" s="198"/>
      <c r="I775" s="198"/>
      <c r="J775" s="888"/>
      <c r="K775" s="217"/>
      <c r="L775" s="306"/>
      <c r="M775" s="306"/>
      <c r="N775" s="306"/>
      <c r="O775" s="306"/>
      <c r="P775" s="306"/>
      <c r="Q775" s="215"/>
      <c r="R775" s="5"/>
      <c r="S775" s="5"/>
      <c r="T775" s="5"/>
      <c r="U775" s="5"/>
      <c r="V775" s="5"/>
      <c r="W775" s="5"/>
      <c r="X775" s="5"/>
      <c r="Y775" s="5"/>
      <c r="Z775" s="5"/>
      <c r="AA775" s="5"/>
      <c r="AB775" s="5"/>
      <c r="AC775" s="5"/>
      <c r="AD775" s="5"/>
      <c r="AE775" s="5"/>
      <c r="AF775" s="5"/>
      <c r="AG775" s="5"/>
    </row>
    <row r="776" spans="3:33" ht="12.75" customHeight="1">
      <c r="C776" s="5"/>
      <c r="D776" s="5"/>
      <c r="E776" s="5"/>
      <c r="F776" s="5"/>
      <c r="G776" s="217"/>
      <c r="H776" s="198"/>
      <c r="I776" s="198"/>
      <c r="J776" s="888"/>
      <c r="K776" s="217"/>
      <c r="L776" s="306"/>
      <c r="M776" s="306"/>
      <c r="N776" s="306"/>
      <c r="O776" s="306"/>
      <c r="P776" s="306"/>
      <c r="Q776" s="215"/>
      <c r="R776" s="5"/>
      <c r="S776" s="5"/>
      <c r="T776" s="5"/>
      <c r="U776" s="5"/>
      <c r="V776" s="5"/>
      <c r="W776" s="5"/>
      <c r="X776" s="5"/>
      <c r="Y776" s="5"/>
      <c r="Z776" s="5"/>
      <c r="AA776" s="5"/>
      <c r="AB776" s="5"/>
      <c r="AC776" s="5"/>
      <c r="AD776" s="5"/>
      <c r="AE776" s="5"/>
      <c r="AF776" s="5"/>
      <c r="AG776" s="5"/>
    </row>
    <row r="777" spans="3:33" ht="12.75" customHeight="1">
      <c r="C777" s="5"/>
      <c r="D777" s="5"/>
      <c r="E777" s="5"/>
      <c r="F777" s="5"/>
      <c r="G777" s="217"/>
      <c r="H777" s="198"/>
      <c r="I777" s="198"/>
      <c r="J777" s="888"/>
      <c r="K777" s="217"/>
      <c r="L777" s="306"/>
      <c r="M777" s="306"/>
      <c r="N777" s="306"/>
      <c r="O777" s="306"/>
      <c r="P777" s="306"/>
      <c r="Q777" s="215"/>
      <c r="R777" s="5"/>
      <c r="S777" s="5"/>
      <c r="T777" s="5"/>
      <c r="U777" s="5"/>
      <c r="V777" s="5"/>
      <c r="W777" s="5"/>
      <c r="X777" s="5"/>
      <c r="Y777" s="5"/>
      <c r="Z777" s="5"/>
      <c r="AA777" s="5"/>
      <c r="AB777" s="5"/>
      <c r="AC777" s="5"/>
      <c r="AD777" s="5"/>
      <c r="AE777" s="5"/>
      <c r="AF777" s="5"/>
      <c r="AG777" s="5"/>
    </row>
    <row r="778" spans="3:33" ht="12.75" customHeight="1">
      <c r="C778" s="5"/>
      <c r="D778" s="5"/>
      <c r="E778" s="5"/>
      <c r="F778" s="5"/>
      <c r="G778" s="217"/>
      <c r="H778" s="198"/>
      <c r="I778" s="198"/>
      <c r="J778" s="888"/>
      <c r="K778" s="217"/>
      <c r="L778" s="306"/>
      <c r="M778" s="306"/>
      <c r="N778" s="306"/>
      <c r="O778" s="306"/>
      <c r="P778" s="306"/>
      <c r="Q778" s="215"/>
      <c r="R778" s="5"/>
      <c r="S778" s="5"/>
      <c r="T778" s="5"/>
      <c r="U778" s="5"/>
      <c r="V778" s="5"/>
      <c r="W778" s="5"/>
      <c r="X778" s="5"/>
      <c r="Y778" s="5"/>
      <c r="Z778" s="5"/>
      <c r="AA778" s="5"/>
      <c r="AB778" s="5"/>
      <c r="AC778" s="5"/>
      <c r="AD778" s="5"/>
      <c r="AE778" s="5"/>
      <c r="AF778" s="5"/>
      <c r="AG778" s="5"/>
    </row>
    <row r="779" spans="3:33" ht="12.75" customHeight="1">
      <c r="C779" s="5"/>
      <c r="D779" s="5"/>
      <c r="E779" s="5"/>
      <c r="F779" s="5"/>
      <c r="G779" s="217"/>
      <c r="H779" s="198"/>
      <c r="I779" s="198"/>
      <c r="J779" s="888"/>
      <c r="K779" s="217"/>
      <c r="L779" s="306"/>
      <c r="M779" s="306"/>
      <c r="N779" s="306"/>
      <c r="O779" s="306"/>
      <c r="P779" s="306"/>
      <c r="Q779" s="215"/>
      <c r="R779" s="5"/>
      <c r="S779" s="5"/>
      <c r="T779" s="5"/>
      <c r="U779" s="5"/>
      <c r="V779" s="5"/>
      <c r="W779" s="5"/>
      <c r="X779" s="5"/>
      <c r="Y779" s="5"/>
      <c r="Z779" s="5"/>
      <c r="AA779" s="5"/>
      <c r="AB779" s="5"/>
      <c r="AC779" s="5"/>
      <c r="AD779" s="5"/>
      <c r="AE779" s="5"/>
      <c r="AF779" s="5"/>
      <c r="AG779" s="5"/>
    </row>
  </sheetData>
  <mergeCells count="23">
    <mergeCell ref="Q51:R51"/>
    <mergeCell ref="J27:K27"/>
    <mergeCell ref="M62:N62"/>
    <mergeCell ref="O62:P62"/>
    <mergeCell ref="O51:P51"/>
    <mergeCell ref="T2:U2"/>
    <mergeCell ref="K8:L8"/>
    <mergeCell ref="J39:O39"/>
    <mergeCell ref="J23:K23"/>
    <mergeCell ref="J24:K24"/>
    <mergeCell ref="J26:K26"/>
    <mergeCell ref="J101:K101"/>
    <mergeCell ref="J32:K32"/>
    <mergeCell ref="J33:K33"/>
    <mergeCell ref="J34:K34"/>
    <mergeCell ref="K62:L62"/>
    <mergeCell ref="K47:N47"/>
    <mergeCell ref="K48:N48"/>
    <mergeCell ref="K49:M49"/>
    <mergeCell ref="K51:L51"/>
    <mergeCell ref="M51:N51"/>
    <mergeCell ref="M41:O43"/>
    <mergeCell ref="J77:O77"/>
  </mergeCells>
  <dataValidations count="1">
    <dataValidation type="list" allowBlank="1" showInputMessage="1" showErrorMessage="1" sqref="F5" xr:uid="{00000000-0002-0000-1600-000000000000}">
      <formula1>$A$81:$A$92</formula1>
    </dataValidation>
  </dataValidations>
  <hyperlinks>
    <hyperlink ref="K47" r:id="rId1" xr:uid="{00000000-0004-0000-1600-000000000000}"/>
    <hyperlink ref="K48" r:id="rId2" xr:uid="{00000000-0004-0000-1600-000001000000}"/>
    <hyperlink ref="K49" r:id="rId3" xr:uid="{00000000-0004-0000-1600-000002000000}"/>
  </hyperlinks>
  <pageMargins left="0.7" right="0.7" top="0.75" bottom="0.75" header="0.3" footer="0.3"/>
  <pageSetup orientation="portrait" horizontalDpi="1200" verticalDpi="1200" r:id="rId4"/>
  <drawing r:id="rId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W995"/>
  <sheetViews>
    <sheetView workbookViewId="0">
      <selection activeCell="B56" sqref="B56"/>
    </sheetView>
  </sheetViews>
  <sheetFormatPr defaultColWidth="14.28515625" defaultRowHeight="15" customHeight="1"/>
  <cols>
    <col min="1" max="1" width="4" customWidth="1"/>
    <col min="2" max="2" width="29.28515625" customWidth="1"/>
    <col min="3" max="3" width="86.140625" bestFit="1" customWidth="1"/>
    <col min="4" max="4" width="14.28515625" customWidth="1"/>
    <col min="5" max="5" width="0.7109375" customWidth="1"/>
    <col min="6" max="6" width="15.7109375" customWidth="1"/>
    <col min="7" max="7" width="15" customWidth="1"/>
    <col min="8" max="8" width="15.7109375" customWidth="1"/>
    <col min="9" max="9" width="31.28515625" customWidth="1"/>
    <col min="10" max="10" width="12.28515625" customWidth="1"/>
    <col min="11" max="23" width="8.7109375" customWidth="1"/>
  </cols>
  <sheetData>
    <row r="1" spans="1:23" ht="20.25">
      <c r="A1" s="408"/>
      <c r="B1" s="155" t="s">
        <v>1224</v>
      </c>
      <c r="C1" s="5" t="s">
        <v>1225</v>
      </c>
    </row>
    <row r="2" spans="1:23" ht="12.75" customHeight="1">
      <c r="A2" s="408"/>
      <c r="C2" s="5" t="s">
        <v>1226</v>
      </c>
    </row>
    <row r="3" spans="1:23" ht="12.75" customHeight="1">
      <c r="A3" s="408"/>
      <c r="C3" s="5"/>
    </row>
    <row r="4" spans="1:23" ht="12.75" customHeight="1">
      <c r="A4" s="408"/>
      <c r="C4" s="5" t="s">
        <v>1227</v>
      </c>
    </row>
    <row r="5" spans="1:23" ht="12.75" customHeight="1">
      <c r="A5" s="408"/>
      <c r="C5" s="5" t="s">
        <v>1228</v>
      </c>
    </row>
    <row r="6" spans="1:23" ht="12.75" customHeight="1">
      <c r="A6" s="408"/>
      <c r="C6" s="5" t="s">
        <v>1229</v>
      </c>
    </row>
    <row r="7" spans="1:23" ht="12.75" customHeight="1">
      <c r="A7" s="408"/>
      <c r="C7" s="5"/>
    </row>
    <row r="8" spans="1:23" ht="12.75" customHeight="1">
      <c r="A8" s="408"/>
      <c r="C8" s="5"/>
    </row>
    <row r="9" spans="1:23" ht="12.75" customHeight="1">
      <c r="A9" s="408"/>
      <c r="C9" s="5" t="s">
        <v>1230</v>
      </c>
    </row>
    <row r="10" spans="1:23" ht="12.75" customHeight="1">
      <c r="A10" s="408"/>
      <c r="C10" s="5" t="s">
        <v>1231</v>
      </c>
    </row>
    <row r="11" spans="1:23" ht="12.75" customHeight="1">
      <c r="A11" s="408"/>
      <c r="C11" s="5" t="s">
        <v>1232</v>
      </c>
    </row>
    <row r="12" spans="1:23" ht="12.75" customHeight="1">
      <c r="A12" s="408"/>
      <c r="C12" s="5"/>
    </row>
    <row r="13" spans="1:23" ht="12.75" customHeight="1">
      <c r="A13" s="408"/>
      <c r="C13" s="5"/>
    </row>
    <row r="14" spans="1:23" ht="12.75" customHeight="1">
      <c r="A14" s="408"/>
      <c r="C14" s="5"/>
      <c r="H14" s="2095"/>
      <c r="I14" s="2096"/>
      <c r="J14" s="2096"/>
      <c r="K14" s="2096"/>
      <c r="L14" s="2097"/>
    </row>
    <row r="15" spans="1:23" ht="12.75" customHeight="1">
      <c r="A15" s="156"/>
      <c r="B15" s="1083"/>
      <c r="C15" s="1487"/>
      <c r="D15" s="1265"/>
      <c r="E15" s="1265"/>
      <c r="F15" s="1265"/>
      <c r="G15" s="157"/>
      <c r="J15" s="158"/>
      <c r="K15" s="70"/>
    </row>
    <row r="16" spans="1:23" ht="12.75" customHeight="1">
      <c r="A16" s="1488"/>
      <c r="B16" s="1489" t="s">
        <v>1233</v>
      </c>
      <c r="C16" s="1733" t="s">
        <v>8</v>
      </c>
      <c r="D16" s="1490" t="s">
        <v>1224</v>
      </c>
      <c r="E16" s="1490"/>
      <c r="F16" s="1490" t="s">
        <v>1234</v>
      </c>
      <c r="G16" s="1491"/>
      <c r="J16" s="158"/>
      <c r="K16" s="70"/>
      <c r="M16" s="5"/>
      <c r="N16" s="5"/>
      <c r="O16" s="5"/>
      <c r="P16" s="5"/>
      <c r="Q16" s="5"/>
      <c r="R16" s="5"/>
      <c r="S16" s="5"/>
      <c r="T16" s="5"/>
      <c r="U16" s="5"/>
      <c r="V16" s="5"/>
      <c r="W16" s="5"/>
    </row>
    <row r="17" spans="1:23" ht="12.75" customHeight="1">
      <c r="A17" s="322">
        <v>1</v>
      </c>
      <c r="B17" s="374" t="s">
        <v>673</v>
      </c>
      <c r="C17" s="375" t="e" vm="1">
        <v>#VALUE!</v>
      </c>
      <c r="D17" s="801" cm="1">
        <f t="array" ref="D17">_FV(C17,"Market cap",TRUE)/1000000000</f>
        <v>273.55230277999999</v>
      </c>
      <c r="E17" s="1491"/>
      <c r="F17" s="5" t="s">
        <v>1235</v>
      </c>
      <c r="G17" s="80"/>
      <c r="J17" s="158"/>
      <c r="K17" s="70"/>
      <c r="M17" s="5"/>
      <c r="N17" s="5"/>
      <c r="O17" s="5"/>
      <c r="P17" s="5"/>
      <c r="Q17" s="5"/>
      <c r="R17" s="5"/>
      <c r="S17" s="5"/>
      <c r="T17" s="5"/>
      <c r="U17" s="5"/>
      <c r="V17" s="5"/>
      <c r="W17" s="5"/>
    </row>
    <row r="18" spans="1:23" ht="12.75" customHeight="1">
      <c r="A18" s="322">
        <f>A17+1</f>
        <v>2</v>
      </c>
      <c r="B18" s="374" t="s">
        <v>674</v>
      </c>
      <c r="C18" s="375" t="e" vm="2">
        <v>#VALUE!</v>
      </c>
      <c r="D18" s="801" cm="1">
        <f t="array" ref="D18">_FV(C18,"Market cap",TRUE)/1000000000</f>
        <v>1667.261</v>
      </c>
      <c r="E18" s="60"/>
      <c r="F18" s="5" t="s">
        <v>1235</v>
      </c>
      <c r="G18" s="80"/>
      <c r="J18" s="158"/>
      <c r="K18" s="70"/>
      <c r="M18" s="5"/>
      <c r="N18" s="5"/>
      <c r="O18" s="5"/>
      <c r="P18" s="5"/>
      <c r="Q18" s="5"/>
      <c r="R18" s="5"/>
      <c r="S18" s="5"/>
      <c r="T18" s="5"/>
      <c r="U18" s="5"/>
      <c r="V18" s="5"/>
      <c r="W18" s="5"/>
    </row>
    <row r="19" spans="1:23" ht="12.75" customHeight="1">
      <c r="A19" s="322">
        <f t="shared" ref="A19:A21" si="0">A18+1</f>
        <v>3</v>
      </c>
      <c r="B19" s="374" t="s">
        <v>539</v>
      </c>
      <c r="C19" s="375" t="e" vm="3">
        <v>#VALUE!</v>
      </c>
      <c r="D19" s="801" cm="1">
        <f t="array" ref="D19">_FV(C19,"Market cap",TRUE)/1000000000</f>
        <v>1523.4427025990001</v>
      </c>
      <c r="E19" s="60"/>
      <c r="F19" s="5" t="s">
        <v>1235</v>
      </c>
      <c r="G19" s="80"/>
      <c r="J19" s="158"/>
      <c r="K19" s="70"/>
      <c r="M19" s="5"/>
      <c r="N19" s="5"/>
      <c r="O19" s="5"/>
      <c r="P19" s="5"/>
      <c r="Q19" s="5"/>
      <c r="R19" s="5"/>
      <c r="S19" s="5"/>
      <c r="T19" s="5"/>
      <c r="U19" s="5"/>
      <c r="V19" s="5"/>
      <c r="W19" s="5"/>
    </row>
    <row r="20" spans="1:23" ht="12.75" customHeight="1">
      <c r="A20" s="322">
        <f t="shared" si="0"/>
        <v>4</v>
      </c>
      <c r="B20" s="374" t="s">
        <v>398</v>
      </c>
      <c r="C20" s="375" t="e" vm="4">
        <v>#VALUE!</v>
      </c>
      <c r="D20" s="801" cm="1">
        <f t="array" ref="D20">_FV(C20,"Market cap",TRUE)/1000000000</f>
        <v>98.915572569000005</v>
      </c>
      <c r="E20" s="1491"/>
      <c r="F20" s="5" t="s">
        <v>1235</v>
      </c>
      <c r="G20" s="80"/>
      <c r="J20" s="158"/>
      <c r="K20" s="70"/>
    </row>
    <row r="21" spans="1:23" ht="12.75" customHeight="1">
      <c r="A21" s="322">
        <f t="shared" si="0"/>
        <v>5</v>
      </c>
      <c r="B21" s="374" t="s">
        <v>720</v>
      </c>
      <c r="C21" s="375" t="e" vm="5">
        <v>#VALUE!</v>
      </c>
      <c r="D21" s="801" cm="1">
        <f t="array" ref="D21">_FV(C21,"Market cap",TRUE)/1000000000</f>
        <v>40.453564065000002</v>
      </c>
      <c r="E21" s="1491"/>
      <c r="F21" s="5" t="s">
        <v>1235</v>
      </c>
      <c r="G21" s="80"/>
      <c r="J21" s="158"/>
      <c r="K21" s="70"/>
    </row>
    <row r="22" spans="1:23" ht="12.75" customHeight="1">
      <c r="A22" s="322">
        <f>A21+1</f>
        <v>6</v>
      </c>
      <c r="B22" s="374" t="s">
        <v>206</v>
      </c>
      <c r="C22" s="375" t="e" vm="7">
        <v>#VALUE!</v>
      </c>
      <c r="D22" s="801" cm="1">
        <f t="array" ref="D22">_FV(C22,"Market cap",TRUE)/1000000000</f>
        <v>3081.1553024999998</v>
      </c>
      <c r="E22" s="1491"/>
      <c r="F22" s="5" t="s">
        <v>1235</v>
      </c>
      <c r="G22" s="80"/>
      <c r="J22" s="158"/>
      <c r="K22" s="70"/>
    </row>
    <row r="23" spans="1:23" ht="12.75" customHeight="1">
      <c r="A23" s="322">
        <f t="shared" ref="A23:A55" si="1">A22+1</f>
        <v>7</v>
      </c>
      <c r="B23" s="374" t="s">
        <v>676</v>
      </c>
      <c r="C23" s="375" t="e" vm="8">
        <v>#VALUE!</v>
      </c>
      <c r="D23" s="801" cm="1">
        <f t="array" ref="D23">_FV(C23,"Market cap",TRUE)/1000000000</f>
        <v>120.134644499</v>
      </c>
      <c r="E23" s="800"/>
      <c r="F23" s="5" t="s">
        <v>1235</v>
      </c>
      <c r="G23" s="80"/>
      <c r="J23" s="158"/>
      <c r="K23" s="70"/>
    </row>
    <row r="24" spans="1:23" ht="12.75" customHeight="1">
      <c r="A24" s="322">
        <f t="shared" si="1"/>
        <v>8</v>
      </c>
      <c r="B24" s="374" t="s">
        <v>723</v>
      </c>
      <c r="C24" s="375" t="e" vm="9">
        <v>#VALUE!</v>
      </c>
      <c r="D24" s="801" cm="1">
        <f t="array" ref="D24">_FV(C24,"Market cap",TRUE)/1000000000</f>
        <v>4.7175229510000003</v>
      </c>
      <c r="E24" s="800"/>
      <c r="F24" s="5" t="s">
        <v>1236</v>
      </c>
      <c r="G24" s="80"/>
      <c r="J24" s="158"/>
      <c r="K24" s="70"/>
    </row>
    <row r="25" spans="1:23" ht="12.75" customHeight="1">
      <c r="A25" s="322">
        <f t="shared" si="1"/>
        <v>9</v>
      </c>
      <c r="B25" s="374" t="s">
        <v>648</v>
      </c>
      <c r="C25" s="375" t="e" vm="10">
        <v>#VALUE!</v>
      </c>
      <c r="D25" s="801">
        <f>7610300000/1000000000</f>
        <v>7.6102999999999996</v>
      </c>
      <c r="E25" s="159"/>
      <c r="F25" s="5" t="s">
        <v>1235</v>
      </c>
      <c r="G25" s="80"/>
      <c r="J25" s="158"/>
      <c r="K25" s="70"/>
    </row>
    <row r="26" spans="1:23" ht="12" customHeight="1">
      <c r="A26" s="322">
        <f t="shared" si="1"/>
        <v>10</v>
      </c>
      <c r="B26" s="374" t="s">
        <v>623</v>
      </c>
      <c r="C26" s="375" t="e" vm="11">
        <v>#VALUE!</v>
      </c>
      <c r="D26" s="801" cm="1">
        <f t="array" ref="D26">_FV(C26,"Market cap",TRUE)/1000000000</f>
        <v>40.824977115000003</v>
      </c>
      <c r="E26" s="159"/>
      <c r="F26" s="5" t="s">
        <v>1235</v>
      </c>
      <c r="G26" s="80"/>
      <c r="J26" s="158"/>
      <c r="K26" s="70"/>
    </row>
    <row r="27" spans="1:23" ht="12" customHeight="1">
      <c r="A27" s="322">
        <f t="shared" si="1"/>
        <v>11</v>
      </c>
      <c r="B27" s="361" t="s">
        <v>1289</v>
      </c>
      <c r="C27" s="375" t="e" vm="6">
        <v>#VALUE!</v>
      </c>
      <c r="D27" s="801">
        <v>169.03299999999999</v>
      </c>
      <c r="E27" s="159"/>
      <c r="F27" s="5" t="s">
        <v>1235</v>
      </c>
      <c r="G27" s="80"/>
      <c r="J27" s="158"/>
      <c r="K27" s="70"/>
    </row>
    <row r="28" spans="1:23" ht="12" customHeight="1">
      <c r="A28" s="322">
        <f t="shared" si="1"/>
        <v>12</v>
      </c>
      <c r="B28" s="361" t="s">
        <v>677</v>
      </c>
      <c r="C28" s="375" t="e" vm="12">
        <v>#VALUE!</v>
      </c>
      <c r="D28" s="801" cm="1">
        <f t="array" ref="D28">_FV(C28,"Market cap",TRUE)/1000000000</f>
        <v>7.3379669170000001</v>
      </c>
      <c r="E28" s="159"/>
      <c r="F28" s="5" t="s">
        <v>1236</v>
      </c>
      <c r="G28" s="80"/>
      <c r="J28" s="158"/>
      <c r="K28" s="70"/>
    </row>
    <row r="29" spans="1:23" ht="12.75" customHeight="1">
      <c r="A29" s="322">
        <f t="shared" si="1"/>
        <v>13</v>
      </c>
      <c r="B29" s="361" t="s">
        <v>725</v>
      </c>
      <c r="C29" s="375" t="e" vm="13">
        <v>#VALUE!</v>
      </c>
      <c r="D29" s="801" cm="1">
        <f t="array" ref="D29">_FV(C29,"Market cap",TRUE)/1000000000</f>
        <v>41.390799999999999</v>
      </c>
      <c r="E29" s="159"/>
      <c r="F29" s="5" t="s">
        <v>1235</v>
      </c>
      <c r="G29" s="80"/>
      <c r="J29" s="158"/>
      <c r="K29" s="70"/>
    </row>
    <row r="30" spans="1:23" ht="12.75" customHeight="1">
      <c r="A30" s="322">
        <f t="shared" si="1"/>
        <v>14</v>
      </c>
      <c r="B30" s="374" t="s">
        <v>1237</v>
      </c>
      <c r="C30" s="375" t="e" vm="21">
        <v>#VALUE!</v>
      </c>
      <c r="D30" s="801" cm="1">
        <f t="array" ref="D30">_FV(C30,"Market cap",TRUE)/1000000000</f>
        <v>856.20125571000005</v>
      </c>
      <c r="E30" s="159"/>
      <c r="F30" s="5" t="s">
        <v>1235</v>
      </c>
      <c r="G30" s="80"/>
      <c r="J30" s="158"/>
      <c r="K30" s="70"/>
    </row>
    <row r="31" spans="1:23" ht="12.75" customHeight="1">
      <c r="A31" s="322">
        <f t="shared" si="1"/>
        <v>15</v>
      </c>
      <c r="B31" s="361" t="s">
        <v>677</v>
      </c>
      <c r="C31" s="375" t="e" vm="12">
        <v>#VALUE!</v>
      </c>
      <c r="D31" s="801">
        <v>6.6920000000000002</v>
      </c>
      <c r="E31" s="159"/>
      <c r="F31" s="5" t="s">
        <v>1235</v>
      </c>
      <c r="G31" s="80"/>
      <c r="J31" s="158"/>
      <c r="K31" s="70"/>
    </row>
    <row r="32" spans="1:23" ht="12.75" customHeight="1">
      <c r="A32" s="322">
        <f t="shared" si="1"/>
        <v>16</v>
      </c>
      <c r="B32" s="361" t="s">
        <v>627</v>
      </c>
      <c r="C32" s="362" t="e" vm="15">
        <v>#VALUE!</v>
      </c>
      <c r="D32" s="801" cm="1">
        <f t="array" ref="D32">_FV(C32,"Market cap",TRUE)/1000000000</f>
        <v>134.09816454599999</v>
      </c>
      <c r="E32" s="159"/>
      <c r="F32" s="5" t="s">
        <v>1235</v>
      </c>
      <c r="G32" s="80"/>
      <c r="J32" s="158"/>
      <c r="K32" s="70"/>
    </row>
    <row r="33" spans="1:11" ht="12.75" customHeight="1">
      <c r="A33" s="322">
        <f t="shared" si="1"/>
        <v>17</v>
      </c>
      <c r="B33" s="361" t="s">
        <v>654</v>
      </c>
      <c r="C33" s="362" t="e" vm="16">
        <v>#VALUE!</v>
      </c>
      <c r="D33" s="801" cm="1">
        <f t="array" ref="D33">_FV(C33,"Market cap",TRUE)/1000000000</f>
        <v>0.43762985799999998</v>
      </c>
      <c r="E33" s="159"/>
      <c r="F33" s="5" t="s">
        <v>1238</v>
      </c>
      <c r="G33" s="80"/>
      <c r="J33" s="158"/>
      <c r="K33" s="70"/>
    </row>
    <row r="34" spans="1:11" ht="12.75" customHeight="1">
      <c r="A34" s="322">
        <f t="shared" si="1"/>
        <v>18</v>
      </c>
      <c r="B34" s="361" t="s">
        <v>1239</v>
      </c>
      <c r="C34" s="362" t="e" vm="17">
        <v>#VALUE!</v>
      </c>
      <c r="D34" s="801" cm="1">
        <f t="array" ref="D34">_FV(C34,"Market cap",TRUE)/1000000000</f>
        <v>31.345281894999999</v>
      </c>
      <c r="E34" s="159"/>
      <c r="F34" s="5" t="s">
        <v>1235</v>
      </c>
      <c r="G34" s="80"/>
      <c r="J34" s="158"/>
      <c r="K34" s="70"/>
    </row>
    <row r="35" spans="1:11" ht="12.75" customHeight="1">
      <c r="A35" s="322">
        <f t="shared" si="1"/>
        <v>19</v>
      </c>
      <c r="B35" s="39" t="s">
        <v>656</v>
      </c>
      <c r="C35" s="362" t="e" vm="18">
        <v>#VALUE!</v>
      </c>
      <c r="D35" s="801" cm="1">
        <f t="array" ref="D35">_FV(C35,"Market cap",TRUE)/1000000000</f>
        <v>110.490756045</v>
      </c>
      <c r="E35" s="159"/>
      <c r="F35" s="5" t="s">
        <v>1235</v>
      </c>
      <c r="G35" s="80"/>
      <c r="J35" s="158"/>
      <c r="K35" s="70"/>
    </row>
    <row r="36" spans="1:11" ht="12.75" customHeight="1">
      <c r="A36" s="322">
        <f t="shared" si="1"/>
        <v>20</v>
      </c>
      <c r="B36" s="39" t="s">
        <v>681</v>
      </c>
      <c r="C36" s="362" t="e" vm="19">
        <v>#VALUE!</v>
      </c>
      <c r="D36" s="801" cm="1">
        <f t="array" ref="D36">_FV(C36,"Market cap",TRUE)/1000000000</f>
        <v>57.281134678000001</v>
      </c>
      <c r="E36" s="159"/>
      <c r="F36" s="5" t="s">
        <v>1235</v>
      </c>
      <c r="G36" s="80"/>
      <c r="J36" s="158"/>
      <c r="K36" s="70"/>
    </row>
    <row r="37" spans="1:11" ht="12.75" customHeight="1">
      <c r="A37" s="322">
        <f t="shared" si="1"/>
        <v>21</v>
      </c>
      <c r="B37" s="126" t="s">
        <v>551</v>
      </c>
      <c r="C37" s="362" t="e" vm="20">
        <v>#VALUE!</v>
      </c>
      <c r="D37" s="801" cm="1">
        <f t="array" ref="D37">_FV(C37,"Market cap",TRUE)/1000000000</f>
        <v>30.483909383</v>
      </c>
      <c r="E37" s="159"/>
      <c r="F37" s="5" t="s">
        <v>1235</v>
      </c>
      <c r="G37" s="80"/>
      <c r="J37" s="158"/>
      <c r="K37" s="70"/>
    </row>
    <row r="38" spans="1:11" ht="12.75" customHeight="1">
      <c r="A38" s="322">
        <f t="shared" si="1"/>
        <v>22</v>
      </c>
      <c r="B38" s="374" t="s">
        <v>40</v>
      </c>
      <c r="C38" s="362" t="e" vm="22">
        <v>#VALUE!</v>
      </c>
      <c r="D38" s="801" cm="1">
        <f t="array" ref="D38">_FV(C38,"Market cap",TRUE)/1000000000</f>
        <v>2719.6876336599998</v>
      </c>
      <c r="E38" s="159"/>
      <c r="F38" s="5" t="s">
        <v>1235</v>
      </c>
      <c r="G38" s="80"/>
      <c r="J38" s="158"/>
      <c r="K38" s="70"/>
    </row>
    <row r="39" spans="1:11" ht="12.75" customHeight="1">
      <c r="A39" s="322">
        <f t="shared" si="1"/>
        <v>23</v>
      </c>
      <c r="B39" s="361" t="s">
        <v>629</v>
      </c>
      <c r="C39" s="362" t="e" vm="24">
        <v>#VALUE!</v>
      </c>
      <c r="D39" s="801" cm="1">
        <f t="array" ref="D39">_FV(C39,"Market cap",TRUE)/1000000000</f>
        <v>1194.2449999999999</v>
      </c>
      <c r="F39" s="5" t="s">
        <v>1235</v>
      </c>
      <c r="J39" s="158"/>
      <c r="K39" s="70"/>
    </row>
    <row r="40" spans="1:11" ht="12.75" customHeight="1">
      <c r="A40" s="322">
        <f t="shared" si="1"/>
        <v>24</v>
      </c>
      <c r="B40" s="374" t="s">
        <v>658</v>
      </c>
      <c r="C40" s="362" t="e" vm="25">
        <v>#VALUE!</v>
      </c>
      <c r="D40" s="801" cm="1">
        <f t="array" ref="D40">_FV(C40,"Market cap",TRUE)/1000000000</f>
        <v>340.97069762000001</v>
      </c>
      <c r="F40" s="5" t="s">
        <v>1235</v>
      </c>
      <c r="J40" s="158"/>
      <c r="K40" s="70"/>
    </row>
    <row r="41" spans="1:11" ht="12.75" customHeight="1">
      <c r="A41" s="322">
        <f t="shared" si="1"/>
        <v>25</v>
      </c>
      <c r="B41" s="374" t="s">
        <v>365</v>
      </c>
      <c r="C41" s="362" t="e" vm="26">
        <v>#VALUE!</v>
      </c>
      <c r="D41" s="801" cm="1">
        <f t="array" ref="D41">_FV(C41,"Market cap",TRUE)/1000000000</f>
        <v>31.393800899999999</v>
      </c>
      <c r="F41" s="5" t="s">
        <v>1235</v>
      </c>
      <c r="J41" s="158"/>
      <c r="K41" s="70"/>
    </row>
    <row r="42" spans="1:11" ht="12.75" customHeight="1">
      <c r="A42" s="322">
        <f t="shared" si="1"/>
        <v>26</v>
      </c>
      <c r="B42" s="374" t="s">
        <v>827</v>
      </c>
      <c r="C42" s="362" t="e" vm="29">
        <v>#VALUE!</v>
      </c>
      <c r="D42" s="801" cm="1">
        <f t="array" ref="D42">_FV(C42,"Market cap",TRUE)/1000000000</f>
        <v>117.72095487</v>
      </c>
      <c r="F42" s="5" t="s">
        <v>1235</v>
      </c>
      <c r="J42" s="158"/>
      <c r="K42" s="70"/>
    </row>
    <row r="43" spans="1:11" ht="12.75" customHeight="1">
      <c r="A43" s="322">
        <f t="shared" si="1"/>
        <v>27</v>
      </c>
      <c r="B43" s="374" t="s">
        <v>731</v>
      </c>
      <c r="C43" s="362" t="e" vm="27">
        <v>#VALUE!</v>
      </c>
      <c r="D43" s="801" cm="1">
        <f t="array" ref="D43">_FV(C43,"Market cap",TRUE)/1000000000</f>
        <v>33.36627</v>
      </c>
      <c r="F43" s="5" t="s">
        <v>1235</v>
      </c>
      <c r="J43" s="158"/>
      <c r="K43" s="70"/>
    </row>
    <row r="44" spans="1:11" ht="12.75" customHeight="1">
      <c r="A44" s="322">
        <f t="shared" si="1"/>
        <v>28</v>
      </c>
      <c r="B44" s="374" t="s">
        <v>659</v>
      </c>
      <c r="C44" s="362" t="e" vm="28">
        <v>#VALUE!</v>
      </c>
      <c r="D44" s="801" cm="1">
        <f t="array" ref="D44">_FV(C44,"Market cap",TRUE)/1000000000</f>
        <v>57.558952142999999</v>
      </c>
      <c r="F44" s="5" t="s">
        <v>1235</v>
      </c>
      <c r="J44" s="158"/>
      <c r="K44" s="70"/>
    </row>
    <row r="45" spans="1:11" ht="12.75" customHeight="1">
      <c r="A45" s="322">
        <f t="shared" si="1"/>
        <v>29</v>
      </c>
      <c r="B45" s="374" t="s">
        <v>1290</v>
      </c>
      <c r="C45" s="362" t="e" vm="30">
        <v>#VALUE!</v>
      </c>
      <c r="D45" s="801">
        <v>242.9</v>
      </c>
      <c r="F45" s="5" t="s">
        <v>1235</v>
      </c>
      <c r="J45" s="158"/>
      <c r="K45" s="70"/>
    </row>
    <row r="46" spans="1:11" ht="12.75" customHeight="1">
      <c r="A46" s="322">
        <f t="shared" si="1"/>
        <v>30</v>
      </c>
      <c r="B46" s="374" t="s">
        <v>829</v>
      </c>
      <c r="C46" s="362" t="e" vm="31">
        <v>#VALUE!</v>
      </c>
      <c r="D46" s="801" cm="1">
        <f t="array" ref="D46">_FV(C46,"Market cap",TRUE)/1000000000</f>
        <v>74.894105370000005</v>
      </c>
      <c r="F46" s="5" t="s">
        <v>1235</v>
      </c>
      <c r="J46" s="158"/>
      <c r="K46" s="70"/>
    </row>
    <row r="47" spans="1:11" ht="12.75" customHeight="1">
      <c r="A47" s="322">
        <f t="shared" si="1"/>
        <v>31</v>
      </c>
      <c r="B47" s="374" t="s">
        <v>1240</v>
      </c>
      <c r="C47" s="362" t="e" vm="32">
        <v>#VALUE!</v>
      </c>
      <c r="D47" s="801" cm="1">
        <f t="array" ref="D47">_FV(C47,"Market cap",TRUE)/1000000000</f>
        <v>4.1114110000000004</v>
      </c>
      <c r="F47" s="5" t="s">
        <v>1241</v>
      </c>
      <c r="J47" s="158"/>
      <c r="K47" s="70"/>
    </row>
    <row r="48" spans="1:11" ht="12.75" customHeight="1">
      <c r="A48" s="322">
        <f t="shared" si="1"/>
        <v>32</v>
      </c>
      <c r="B48" s="374" t="s">
        <v>1242</v>
      </c>
      <c r="C48" s="362" t="e" vm="34">
        <v>#VALUE!</v>
      </c>
      <c r="D48" s="801" cm="1">
        <f t="array" ref="D48">_FV(C48,"Market cap",TRUE)/1000000000</f>
        <v>13.452669999999999</v>
      </c>
      <c r="F48" s="5" t="s">
        <v>1235</v>
      </c>
      <c r="J48" s="158"/>
      <c r="K48" s="70"/>
    </row>
    <row r="49" spans="1:12" ht="12.75" customHeight="1">
      <c r="A49" s="322">
        <f t="shared" si="1"/>
        <v>33</v>
      </c>
      <c r="B49" s="374" t="s">
        <v>683</v>
      </c>
      <c r="C49" s="362" t="e" vm="35">
        <v>#VALUE!</v>
      </c>
      <c r="D49" s="801" cm="1">
        <f t="array" ref="D49">_FV(C49,"Market cap",TRUE)/1000000000</f>
        <v>181.41623325</v>
      </c>
      <c r="F49" s="5" t="s">
        <v>1235</v>
      </c>
      <c r="G49" s="154"/>
      <c r="J49" s="158"/>
      <c r="K49" s="70"/>
    </row>
    <row r="50" spans="1:12" ht="12.75" customHeight="1">
      <c r="A50" s="322">
        <f t="shared" si="1"/>
        <v>34</v>
      </c>
      <c r="B50" s="374" t="s">
        <v>685</v>
      </c>
      <c r="C50" s="362" t="e" vm="36">
        <v>#VALUE!</v>
      </c>
      <c r="D50" s="801" cm="1">
        <f t="array" ref="D50">_FV(C50,"Market cap",TRUE)/1000000000</f>
        <v>475.28129999999999</v>
      </c>
      <c r="F50" s="5" t="s">
        <v>1235</v>
      </c>
      <c r="G50" s="154"/>
      <c r="J50" s="158"/>
      <c r="K50" s="70"/>
    </row>
    <row r="51" spans="1:12" ht="12.75" customHeight="1">
      <c r="A51" s="322">
        <f t="shared" si="1"/>
        <v>35</v>
      </c>
      <c r="B51" s="374" t="s">
        <v>630</v>
      </c>
      <c r="C51" s="362" t="e" vm="37">
        <v>#VALUE!</v>
      </c>
      <c r="D51" s="801" cm="1">
        <f t="array" ref="D51">_FV(C51,"Market cap",TRUE)/1000000000</f>
        <v>102.51394615</v>
      </c>
      <c r="F51" s="5" t="s">
        <v>1235</v>
      </c>
      <c r="G51" s="154"/>
      <c r="J51" s="158"/>
      <c r="K51" s="70"/>
    </row>
    <row r="52" spans="1:12" ht="12.75" customHeight="1">
      <c r="A52" s="322">
        <f t="shared" si="1"/>
        <v>36</v>
      </c>
      <c r="B52" s="361" t="s">
        <v>632</v>
      </c>
      <c r="C52" s="362" t="e" vm="14">
        <v>#VALUE!</v>
      </c>
      <c r="D52" s="801" cm="1">
        <f t="array" ref="D52">_FV(C52,"Market cap",TRUE)/1000000000</f>
        <v>38.089834732</v>
      </c>
      <c r="E52" s="5"/>
      <c r="F52" s="5" t="s">
        <v>1235</v>
      </c>
      <c r="G52" s="154"/>
      <c r="J52" s="158"/>
      <c r="K52" s="70"/>
    </row>
    <row r="53" spans="1:12" ht="12.75" customHeight="1">
      <c r="A53" s="322">
        <f t="shared" si="1"/>
        <v>37</v>
      </c>
      <c r="B53" s="374" t="s">
        <v>661</v>
      </c>
      <c r="C53" s="362" t="e" vm="38">
        <v>#VALUE!</v>
      </c>
      <c r="D53" s="801" cm="1">
        <f t="array" ref="D53">_FV(C53,"Market cap",TRUE)/1000000000</f>
        <v>494.38182210299999</v>
      </c>
      <c r="F53" s="5" t="s">
        <v>1235</v>
      </c>
      <c r="J53" s="158"/>
      <c r="K53" s="70"/>
    </row>
    <row r="54" spans="1:12" ht="12.75" customHeight="1">
      <c r="A54" s="322">
        <f t="shared" si="1"/>
        <v>38</v>
      </c>
      <c r="B54" s="374" t="s">
        <v>1255</v>
      </c>
      <c r="C54" s="362" t="e" vm="39">
        <v>#VALUE!</v>
      </c>
      <c r="D54" s="801" cm="1">
        <f t="array" ref="D54">_FV(C54,"Market cap",TRUE)/1000000000</f>
        <v>29.432864881</v>
      </c>
      <c r="F54" s="5" t="s">
        <v>1235</v>
      </c>
      <c r="J54" s="158"/>
      <c r="K54" s="70"/>
    </row>
    <row r="55" spans="1:12" ht="12.75" customHeight="1">
      <c r="A55" s="322">
        <f t="shared" si="1"/>
        <v>39</v>
      </c>
      <c r="B55" s="374" t="s">
        <v>467</v>
      </c>
      <c r="C55" s="362" t="e" vm="40">
        <v>#VALUE!</v>
      </c>
      <c r="D55" s="801" cm="1">
        <f t="array" ref="D55">_FV(C55,"Market cap",TRUE)/1000000000</f>
        <v>520.77141817899997</v>
      </c>
      <c r="F55" s="5" t="s">
        <v>1235</v>
      </c>
      <c r="J55" s="158"/>
      <c r="K55" s="70"/>
    </row>
    <row r="56" spans="1:12" ht="12.75" customHeight="1">
      <c r="A56" s="408"/>
      <c r="C56" s="341"/>
      <c r="D56" s="338"/>
      <c r="F56" s="5"/>
      <c r="J56" s="158"/>
      <c r="K56" s="161"/>
      <c r="L56" s="162"/>
    </row>
    <row r="57" spans="1:12" ht="12.75" customHeight="1">
      <c r="A57" s="408"/>
      <c r="C57" s="341"/>
      <c r="D57" s="338"/>
      <c r="F57" s="5"/>
      <c r="J57" s="158"/>
    </row>
    <row r="58" spans="1:12" ht="12.75" customHeight="1">
      <c r="A58" s="408"/>
      <c r="C58" s="341"/>
      <c r="D58" s="338"/>
      <c r="F58" s="5"/>
      <c r="J58" s="158"/>
    </row>
    <row r="59" spans="1:12" ht="12.75" customHeight="1">
      <c r="A59" s="408"/>
    </row>
    <row r="60" spans="1:12" ht="12.75" customHeight="1">
      <c r="A60" s="408"/>
    </row>
    <row r="61" spans="1:12" ht="12.75" customHeight="1">
      <c r="A61" s="408"/>
    </row>
    <row r="62" spans="1:12" ht="12.75" customHeight="1">
      <c r="A62" s="408"/>
    </row>
    <row r="63" spans="1:12" ht="12.75" customHeight="1">
      <c r="A63" s="408"/>
    </row>
    <row r="64" spans="1:12" ht="12.75" customHeight="1">
      <c r="A64" s="408"/>
    </row>
    <row r="65" spans="1:7" ht="12.75" customHeight="1">
      <c r="A65" s="408"/>
    </row>
    <row r="66" spans="1:7" ht="12.75" customHeight="1">
      <c r="A66" s="408"/>
    </row>
    <row r="67" spans="1:7" ht="12.75" customHeight="1">
      <c r="A67" s="408"/>
    </row>
    <row r="68" spans="1:7" ht="12.75" customHeight="1">
      <c r="A68" s="408"/>
    </row>
    <row r="69" spans="1:7" ht="12.75" customHeight="1">
      <c r="A69" s="408"/>
    </row>
    <row r="70" spans="1:7" ht="12.75" customHeight="1">
      <c r="A70" s="408"/>
    </row>
    <row r="71" spans="1:7" ht="12.75" customHeight="1">
      <c r="A71" s="408"/>
      <c r="G71" s="4"/>
    </row>
    <row r="72" spans="1:7" ht="12.75" customHeight="1">
      <c r="A72" s="408"/>
    </row>
    <row r="73" spans="1:7" ht="12.75" customHeight="1">
      <c r="A73" s="408"/>
    </row>
    <row r="74" spans="1:7" ht="12.75" customHeight="1">
      <c r="A74" s="408"/>
      <c r="B74" s="5"/>
      <c r="C74" s="60"/>
      <c r="D74" s="159"/>
      <c r="E74" s="159"/>
      <c r="F74" s="163"/>
    </row>
    <row r="75" spans="1:7" ht="12.75" customHeight="1">
      <c r="A75" s="408"/>
    </row>
    <row r="76" spans="1:7" ht="12.75" customHeight="1">
      <c r="A76" s="1371"/>
    </row>
    <row r="77" spans="1:7" ht="12.75" customHeight="1">
      <c r="A77" s="408"/>
    </row>
    <row r="78" spans="1:7" ht="12.75" customHeight="1">
      <c r="A78" s="408"/>
    </row>
    <row r="79" spans="1:7" ht="12.75" customHeight="1">
      <c r="A79" s="408"/>
    </row>
    <row r="80" spans="1:7" ht="12.75" customHeight="1">
      <c r="A80" s="408"/>
    </row>
    <row r="81" spans="1:1" ht="12.75" customHeight="1">
      <c r="A81" s="408"/>
    </row>
    <row r="82" spans="1:1" ht="12.75" customHeight="1">
      <c r="A82" s="408"/>
    </row>
    <row r="83" spans="1:1" ht="12.75" customHeight="1">
      <c r="A83" s="408"/>
    </row>
    <row r="84" spans="1:1" ht="12.75" customHeight="1">
      <c r="A84" s="408"/>
    </row>
    <row r="85" spans="1:1" ht="12.75" customHeight="1">
      <c r="A85" s="408"/>
    </row>
    <row r="86" spans="1:1" ht="12.75" customHeight="1">
      <c r="A86" s="408"/>
    </row>
    <row r="87" spans="1:1" ht="12.75" customHeight="1">
      <c r="A87" s="408"/>
    </row>
    <row r="88" spans="1:1" ht="12.75" customHeight="1">
      <c r="A88" s="408"/>
    </row>
    <row r="89" spans="1:1" ht="12.75" customHeight="1">
      <c r="A89" s="408"/>
    </row>
    <row r="90" spans="1:1" ht="12.75" customHeight="1">
      <c r="A90" s="408"/>
    </row>
    <row r="91" spans="1:1" ht="12.75" customHeight="1">
      <c r="A91" s="408"/>
    </row>
    <row r="92" spans="1:1" ht="12.75" customHeight="1">
      <c r="A92" s="408"/>
    </row>
    <row r="93" spans="1:1" ht="12.75" customHeight="1">
      <c r="A93" s="408"/>
    </row>
    <row r="94" spans="1:1" ht="12.75" customHeight="1">
      <c r="A94" s="408"/>
    </row>
    <row r="95" spans="1:1" ht="12.75" customHeight="1">
      <c r="A95" s="408"/>
    </row>
    <row r="96" spans="1:1" ht="12.75" customHeight="1">
      <c r="A96" s="408"/>
    </row>
    <row r="97" spans="1:1" ht="12.75" customHeight="1">
      <c r="A97" s="408"/>
    </row>
    <row r="98" spans="1:1" ht="12.75" customHeight="1">
      <c r="A98" s="408"/>
    </row>
    <row r="99" spans="1:1" ht="12.75" customHeight="1">
      <c r="A99" s="408"/>
    </row>
    <row r="100" spans="1:1" ht="12.75" customHeight="1">
      <c r="A100" s="408"/>
    </row>
    <row r="101" spans="1:1" ht="12.75" customHeight="1">
      <c r="A101" s="408"/>
    </row>
    <row r="102" spans="1:1" ht="12.75" customHeight="1">
      <c r="A102" s="408"/>
    </row>
    <row r="103" spans="1:1" ht="12.75" customHeight="1">
      <c r="A103" s="408"/>
    </row>
    <row r="104" spans="1:1" ht="12.75" customHeight="1">
      <c r="A104" s="408"/>
    </row>
    <row r="105" spans="1:1" ht="12.75" customHeight="1">
      <c r="A105" s="408"/>
    </row>
    <row r="106" spans="1:1" ht="12.75" customHeight="1">
      <c r="A106" s="408"/>
    </row>
    <row r="107" spans="1:1" ht="12.75" customHeight="1">
      <c r="A107" s="408"/>
    </row>
    <row r="108" spans="1:1" ht="12.75" customHeight="1">
      <c r="A108" s="408"/>
    </row>
    <row r="109" spans="1:1" ht="12.75" customHeight="1">
      <c r="A109" s="408"/>
    </row>
    <row r="110" spans="1:1" ht="12.75" customHeight="1">
      <c r="A110" s="408"/>
    </row>
    <row r="111" spans="1:1" ht="12.75" customHeight="1">
      <c r="A111" s="408"/>
    </row>
    <row r="112" spans="1:1" ht="12.75" customHeight="1">
      <c r="A112" s="408"/>
    </row>
    <row r="113" spans="1:1" ht="12.75" customHeight="1">
      <c r="A113" s="408"/>
    </row>
    <row r="114" spans="1:1" ht="12.75" customHeight="1">
      <c r="A114" s="408"/>
    </row>
    <row r="115" spans="1:1" ht="12.75" customHeight="1">
      <c r="A115" s="408"/>
    </row>
    <row r="116" spans="1:1" ht="12.75" customHeight="1">
      <c r="A116" s="408"/>
    </row>
    <row r="117" spans="1:1" ht="12.75" customHeight="1">
      <c r="A117" s="408"/>
    </row>
    <row r="118" spans="1:1" ht="12.75" customHeight="1">
      <c r="A118" s="408"/>
    </row>
    <row r="119" spans="1:1" ht="12.75" customHeight="1">
      <c r="A119" s="408"/>
    </row>
    <row r="120" spans="1:1" ht="12.75" customHeight="1">
      <c r="A120" s="408"/>
    </row>
    <row r="121" spans="1:1" ht="12.75" customHeight="1">
      <c r="A121" s="408"/>
    </row>
    <row r="122" spans="1:1" ht="12.75" customHeight="1">
      <c r="A122" s="408"/>
    </row>
    <row r="123" spans="1:1" ht="12.75" customHeight="1">
      <c r="A123" s="408"/>
    </row>
    <row r="124" spans="1:1" ht="12.75" customHeight="1">
      <c r="A124" s="408"/>
    </row>
    <row r="125" spans="1:1" ht="12.75" customHeight="1">
      <c r="A125" s="408"/>
    </row>
    <row r="126" spans="1:1" ht="12.75" customHeight="1">
      <c r="A126" s="408"/>
    </row>
    <row r="127" spans="1:1" ht="12.75" customHeight="1">
      <c r="A127" s="408"/>
    </row>
    <row r="128" spans="1:1" ht="12.75" customHeight="1">
      <c r="A128" s="408"/>
    </row>
    <row r="129" spans="1:1" ht="12.75" customHeight="1">
      <c r="A129" s="408"/>
    </row>
    <row r="130" spans="1:1" ht="12.75" customHeight="1">
      <c r="A130" s="408"/>
    </row>
    <row r="131" spans="1:1" ht="12.75" customHeight="1">
      <c r="A131" s="408"/>
    </row>
    <row r="132" spans="1:1" ht="12.75" customHeight="1">
      <c r="A132" s="408"/>
    </row>
    <row r="133" spans="1:1" ht="12.75" customHeight="1">
      <c r="A133" s="408"/>
    </row>
    <row r="134" spans="1:1" ht="12.75" customHeight="1">
      <c r="A134" s="408"/>
    </row>
    <row r="135" spans="1:1" ht="12.75" customHeight="1">
      <c r="A135" s="408"/>
    </row>
    <row r="136" spans="1:1" ht="12.75" customHeight="1">
      <c r="A136" s="408"/>
    </row>
    <row r="137" spans="1:1" ht="12.75" customHeight="1">
      <c r="A137" s="408"/>
    </row>
    <row r="138" spans="1:1" ht="12.75" customHeight="1">
      <c r="A138" s="408"/>
    </row>
    <row r="139" spans="1:1" ht="12.75" customHeight="1">
      <c r="A139" s="408"/>
    </row>
    <row r="140" spans="1:1" ht="12.75" customHeight="1">
      <c r="A140" s="408"/>
    </row>
    <row r="141" spans="1:1" ht="12.75" customHeight="1">
      <c r="A141" s="408"/>
    </row>
    <row r="142" spans="1:1" ht="12.75" customHeight="1">
      <c r="A142" s="408"/>
    </row>
    <row r="143" spans="1:1" ht="12.75" customHeight="1">
      <c r="A143" s="408"/>
    </row>
    <row r="144" spans="1:1" ht="12.75" customHeight="1">
      <c r="A144" s="408"/>
    </row>
    <row r="145" spans="1:1" ht="12.75" customHeight="1">
      <c r="A145" s="408"/>
    </row>
    <row r="146" spans="1:1" ht="12.75" customHeight="1">
      <c r="A146" s="408"/>
    </row>
    <row r="147" spans="1:1" ht="12.75" customHeight="1">
      <c r="A147" s="408"/>
    </row>
    <row r="148" spans="1:1" ht="12.75" customHeight="1">
      <c r="A148" s="408"/>
    </row>
    <row r="149" spans="1:1" ht="12.75" customHeight="1">
      <c r="A149" s="408"/>
    </row>
    <row r="150" spans="1:1" ht="12.75" customHeight="1">
      <c r="A150" s="408"/>
    </row>
    <row r="151" spans="1:1" ht="12.75" customHeight="1">
      <c r="A151" s="408"/>
    </row>
    <row r="152" spans="1:1" ht="12.75" customHeight="1">
      <c r="A152" s="408"/>
    </row>
    <row r="153" spans="1:1" ht="12.75" customHeight="1">
      <c r="A153" s="408"/>
    </row>
    <row r="154" spans="1:1" ht="12.75" customHeight="1">
      <c r="A154" s="408"/>
    </row>
    <row r="155" spans="1:1" ht="12.75" customHeight="1">
      <c r="A155" s="408"/>
    </row>
    <row r="156" spans="1:1" ht="12.75" customHeight="1">
      <c r="A156" s="408"/>
    </row>
    <row r="157" spans="1:1" ht="12.75" customHeight="1">
      <c r="A157" s="408"/>
    </row>
    <row r="158" spans="1:1" ht="12.75" customHeight="1">
      <c r="A158" s="408"/>
    </row>
    <row r="159" spans="1:1" ht="12.75" customHeight="1">
      <c r="A159" s="408"/>
    </row>
    <row r="160" spans="1:1" ht="12.75" customHeight="1">
      <c r="A160" s="408"/>
    </row>
    <row r="161" spans="1:1" ht="12.75" customHeight="1">
      <c r="A161" s="408"/>
    </row>
    <row r="162" spans="1:1" ht="12.75" customHeight="1">
      <c r="A162" s="408"/>
    </row>
    <row r="163" spans="1:1" ht="12.75" customHeight="1">
      <c r="A163" s="408"/>
    </row>
    <row r="164" spans="1:1" ht="12.75" customHeight="1">
      <c r="A164" s="408"/>
    </row>
    <row r="165" spans="1:1" ht="12.75" customHeight="1">
      <c r="A165" s="408"/>
    </row>
    <row r="166" spans="1:1" ht="12.75" customHeight="1">
      <c r="A166" s="408"/>
    </row>
    <row r="167" spans="1:1" ht="12.75" customHeight="1">
      <c r="A167" s="408"/>
    </row>
    <row r="168" spans="1:1" ht="12.75" customHeight="1">
      <c r="A168" s="408"/>
    </row>
    <row r="169" spans="1:1" ht="12.75" customHeight="1">
      <c r="A169" s="408"/>
    </row>
    <row r="170" spans="1:1" ht="12.75" customHeight="1">
      <c r="A170" s="408"/>
    </row>
    <row r="171" spans="1:1" ht="12.75" customHeight="1">
      <c r="A171" s="408"/>
    </row>
    <row r="172" spans="1:1" ht="12.75" customHeight="1">
      <c r="A172" s="408"/>
    </row>
    <row r="173" spans="1:1" ht="12.75" customHeight="1">
      <c r="A173" s="408"/>
    </row>
    <row r="174" spans="1:1" ht="12.75" customHeight="1">
      <c r="A174" s="408"/>
    </row>
    <row r="175" spans="1:1" ht="12.75" customHeight="1">
      <c r="A175" s="408"/>
    </row>
    <row r="176" spans="1:1" ht="12.75" customHeight="1">
      <c r="A176" s="408"/>
    </row>
    <row r="177" spans="1:1" ht="12.75" customHeight="1">
      <c r="A177" s="408"/>
    </row>
    <row r="178" spans="1:1" ht="12.75" customHeight="1">
      <c r="A178" s="408"/>
    </row>
    <row r="179" spans="1:1" ht="12.75" customHeight="1">
      <c r="A179" s="408"/>
    </row>
    <row r="180" spans="1:1" ht="12.75" customHeight="1">
      <c r="A180" s="408"/>
    </row>
    <row r="181" spans="1:1" ht="12.75" customHeight="1">
      <c r="A181" s="408"/>
    </row>
    <row r="182" spans="1:1" ht="12.75" customHeight="1">
      <c r="A182" s="408"/>
    </row>
    <row r="183" spans="1:1" ht="12.75" customHeight="1">
      <c r="A183" s="408"/>
    </row>
    <row r="184" spans="1:1" ht="12.75" customHeight="1">
      <c r="A184" s="408"/>
    </row>
    <row r="185" spans="1:1" ht="12.75" customHeight="1">
      <c r="A185" s="408"/>
    </row>
    <row r="186" spans="1:1" ht="12.75" customHeight="1">
      <c r="A186" s="408"/>
    </row>
    <row r="187" spans="1:1" ht="12.75" customHeight="1">
      <c r="A187" s="408"/>
    </row>
    <row r="188" spans="1:1" ht="12.75" customHeight="1">
      <c r="A188" s="408"/>
    </row>
    <row r="189" spans="1:1" ht="12.75" customHeight="1">
      <c r="A189" s="408"/>
    </row>
    <row r="190" spans="1:1" ht="12.75" customHeight="1">
      <c r="A190" s="408"/>
    </row>
    <row r="191" spans="1:1" ht="12.75" customHeight="1">
      <c r="A191" s="408"/>
    </row>
    <row r="192" spans="1:1" ht="12.75" customHeight="1">
      <c r="A192" s="408"/>
    </row>
    <row r="193" spans="1:1" ht="12.75" customHeight="1">
      <c r="A193" s="408"/>
    </row>
    <row r="194" spans="1:1" ht="12.75" customHeight="1">
      <c r="A194" s="408"/>
    </row>
    <row r="195" spans="1:1" ht="12.75" customHeight="1">
      <c r="A195" s="408"/>
    </row>
    <row r="196" spans="1:1" ht="12.75" customHeight="1">
      <c r="A196" s="408"/>
    </row>
    <row r="197" spans="1:1" ht="12.75" customHeight="1">
      <c r="A197" s="408"/>
    </row>
    <row r="198" spans="1:1" ht="12.75" customHeight="1">
      <c r="A198" s="408"/>
    </row>
    <row r="199" spans="1:1" ht="12.75" customHeight="1">
      <c r="A199" s="408"/>
    </row>
    <row r="200" spans="1:1" ht="12.75" customHeight="1">
      <c r="A200" s="408"/>
    </row>
    <row r="201" spans="1:1" ht="12.75" customHeight="1">
      <c r="A201" s="408"/>
    </row>
    <row r="202" spans="1:1" ht="12.75" customHeight="1">
      <c r="A202" s="408"/>
    </row>
    <row r="203" spans="1:1" ht="12.75" customHeight="1">
      <c r="A203" s="408"/>
    </row>
    <row r="204" spans="1:1" ht="12.75" customHeight="1">
      <c r="A204" s="408"/>
    </row>
    <row r="205" spans="1:1" ht="12.75" customHeight="1">
      <c r="A205" s="408"/>
    </row>
    <row r="206" spans="1:1" ht="12.75" customHeight="1">
      <c r="A206" s="408"/>
    </row>
    <row r="207" spans="1:1" ht="12.75" customHeight="1">
      <c r="A207" s="408"/>
    </row>
    <row r="208" spans="1:1" ht="12.75" customHeight="1">
      <c r="A208" s="408"/>
    </row>
    <row r="209" spans="1:1" ht="12.75" customHeight="1">
      <c r="A209" s="408"/>
    </row>
    <row r="210" spans="1:1" ht="12.75" customHeight="1">
      <c r="A210" s="408"/>
    </row>
    <row r="211" spans="1:1" ht="12.75" customHeight="1">
      <c r="A211" s="408"/>
    </row>
    <row r="212" spans="1:1" ht="12.75" customHeight="1">
      <c r="A212" s="408"/>
    </row>
    <row r="213" spans="1:1" ht="12.75" customHeight="1">
      <c r="A213" s="408"/>
    </row>
    <row r="214" spans="1:1" ht="12.75" customHeight="1">
      <c r="A214" s="408"/>
    </row>
    <row r="215" spans="1:1" ht="12.75" customHeight="1">
      <c r="A215" s="408"/>
    </row>
    <row r="216" spans="1:1" ht="12.75" customHeight="1">
      <c r="A216" s="408"/>
    </row>
    <row r="217" spans="1:1" ht="12.75" customHeight="1">
      <c r="A217" s="408"/>
    </row>
    <row r="218" spans="1:1" ht="12.75" customHeight="1">
      <c r="A218" s="408"/>
    </row>
    <row r="219" spans="1:1" ht="12.75" customHeight="1">
      <c r="A219" s="408"/>
    </row>
    <row r="220" spans="1:1" ht="12.75" customHeight="1">
      <c r="A220" s="408"/>
    </row>
    <row r="221" spans="1:1" ht="12.75" customHeight="1">
      <c r="A221" s="408"/>
    </row>
    <row r="222" spans="1:1" ht="12.75" customHeight="1">
      <c r="A222" s="408"/>
    </row>
    <row r="223" spans="1:1" ht="12.75" customHeight="1">
      <c r="A223" s="408"/>
    </row>
    <row r="224" spans="1:1" ht="12.75" customHeight="1">
      <c r="A224" s="408"/>
    </row>
    <row r="225" spans="1:1" ht="12.75" customHeight="1">
      <c r="A225" s="408"/>
    </row>
    <row r="226" spans="1:1" ht="12.75" customHeight="1">
      <c r="A226" s="408"/>
    </row>
    <row r="227" spans="1:1" ht="12.75" customHeight="1">
      <c r="A227" s="408"/>
    </row>
    <row r="228" spans="1:1" ht="12.75" customHeight="1">
      <c r="A228" s="408"/>
    </row>
    <row r="229" spans="1:1" ht="12.75" customHeight="1">
      <c r="A229" s="408"/>
    </row>
    <row r="230" spans="1:1" ht="12.75" customHeight="1">
      <c r="A230" s="408"/>
    </row>
    <row r="231" spans="1:1" ht="12.75" customHeight="1">
      <c r="A231" s="408"/>
    </row>
    <row r="232" spans="1:1" ht="12.75" customHeight="1">
      <c r="A232" s="408"/>
    </row>
    <row r="233" spans="1:1" ht="12.75" customHeight="1">
      <c r="A233" s="408"/>
    </row>
    <row r="234" spans="1:1" ht="12.75" customHeight="1">
      <c r="A234" s="408"/>
    </row>
    <row r="235" spans="1:1" ht="12.75" customHeight="1">
      <c r="A235" s="408"/>
    </row>
    <row r="236" spans="1:1" ht="12.75" customHeight="1">
      <c r="A236" s="408"/>
    </row>
    <row r="237" spans="1:1" ht="12.75" customHeight="1">
      <c r="A237" s="408"/>
    </row>
    <row r="238" spans="1:1" ht="12.75" customHeight="1">
      <c r="A238" s="408"/>
    </row>
    <row r="239" spans="1:1" ht="12.75" customHeight="1">
      <c r="A239" s="408"/>
    </row>
    <row r="240" spans="1:1" ht="12.75" customHeight="1">
      <c r="A240" s="408"/>
    </row>
    <row r="241" spans="1:1" ht="12.75" customHeight="1">
      <c r="A241" s="408"/>
    </row>
    <row r="242" spans="1:1" ht="12.75" customHeight="1">
      <c r="A242" s="408"/>
    </row>
    <row r="243" spans="1:1" ht="12.75" customHeight="1">
      <c r="A243" s="408"/>
    </row>
    <row r="244" spans="1:1" ht="12.75" customHeight="1">
      <c r="A244" s="408"/>
    </row>
    <row r="245" spans="1:1" ht="12.75" customHeight="1">
      <c r="A245" s="408"/>
    </row>
    <row r="246" spans="1:1" ht="12.75" customHeight="1">
      <c r="A246" s="408"/>
    </row>
    <row r="247" spans="1:1" ht="12.75" customHeight="1">
      <c r="A247" s="408"/>
    </row>
    <row r="248" spans="1:1" ht="12.75" customHeight="1">
      <c r="A248" s="408"/>
    </row>
    <row r="249" spans="1:1" ht="12.75" customHeight="1">
      <c r="A249" s="408"/>
    </row>
    <row r="250" spans="1:1" ht="12.75" customHeight="1">
      <c r="A250" s="408"/>
    </row>
    <row r="251" spans="1:1" ht="12.75" customHeight="1">
      <c r="A251" s="408"/>
    </row>
    <row r="252" spans="1:1" ht="12.75" customHeight="1">
      <c r="A252" s="408"/>
    </row>
    <row r="253" spans="1:1" ht="12.75" customHeight="1">
      <c r="A253" s="408"/>
    </row>
    <row r="254" spans="1:1" ht="12.75" customHeight="1">
      <c r="A254" s="408"/>
    </row>
    <row r="255" spans="1:1" ht="12.75" customHeight="1">
      <c r="A255" s="408"/>
    </row>
    <row r="256" spans="1:1" ht="12.75" customHeight="1">
      <c r="A256" s="408"/>
    </row>
    <row r="257" spans="1:1" ht="12.75" customHeight="1">
      <c r="A257" s="408"/>
    </row>
    <row r="258" spans="1:1" ht="12.75" customHeight="1">
      <c r="A258" s="408"/>
    </row>
    <row r="259" spans="1:1" ht="12.75" customHeight="1">
      <c r="A259" s="408"/>
    </row>
    <row r="260" spans="1:1" ht="12.75" customHeight="1">
      <c r="A260" s="408"/>
    </row>
    <row r="261" spans="1:1" ht="12.75" customHeight="1">
      <c r="A261" s="408"/>
    </row>
    <row r="262" spans="1:1" ht="12.75" customHeight="1">
      <c r="A262" s="408"/>
    </row>
    <row r="263" spans="1:1" ht="12.75" customHeight="1">
      <c r="A263" s="408"/>
    </row>
    <row r="264" spans="1:1" ht="12.75" customHeight="1">
      <c r="A264" s="408"/>
    </row>
    <row r="265" spans="1:1" ht="12.75" customHeight="1">
      <c r="A265" s="408"/>
    </row>
    <row r="266" spans="1:1" ht="12.75" customHeight="1">
      <c r="A266" s="408"/>
    </row>
    <row r="267" spans="1:1" ht="12.75" customHeight="1">
      <c r="A267" s="408"/>
    </row>
    <row r="268" spans="1:1" ht="12.75" customHeight="1">
      <c r="A268" s="408"/>
    </row>
    <row r="269" spans="1:1" ht="12.75" customHeight="1">
      <c r="A269" s="408"/>
    </row>
    <row r="270" spans="1:1" ht="12.75" customHeight="1">
      <c r="A270" s="408"/>
    </row>
    <row r="271" spans="1:1" ht="12.75" customHeight="1">
      <c r="A271" s="408"/>
    </row>
    <row r="272" spans="1:1" ht="12.75" customHeight="1">
      <c r="A272" s="408"/>
    </row>
    <row r="273" spans="1:1" ht="12.75" customHeight="1">
      <c r="A273" s="408"/>
    </row>
    <row r="274" spans="1:1" ht="12.75" customHeight="1">
      <c r="A274" s="408"/>
    </row>
    <row r="275" spans="1:1" ht="12.75" customHeight="1">
      <c r="A275" s="408"/>
    </row>
    <row r="276" spans="1:1" ht="12.75" customHeight="1">
      <c r="A276" s="408"/>
    </row>
    <row r="277" spans="1:1" ht="12.75" customHeight="1">
      <c r="A277" s="408"/>
    </row>
    <row r="278" spans="1:1" ht="12.75" customHeight="1">
      <c r="A278" s="408"/>
    </row>
    <row r="279" spans="1:1" ht="12.75" customHeight="1">
      <c r="A279" s="408"/>
    </row>
    <row r="280" spans="1:1" ht="12.75" customHeight="1">
      <c r="A280" s="408"/>
    </row>
    <row r="281" spans="1:1" ht="12.75" customHeight="1">
      <c r="A281" s="408"/>
    </row>
    <row r="282" spans="1:1" ht="12.75" customHeight="1">
      <c r="A282" s="408"/>
    </row>
    <row r="283" spans="1:1" ht="12.75" customHeight="1">
      <c r="A283" s="408"/>
    </row>
    <row r="284" spans="1:1" ht="12.75" customHeight="1">
      <c r="A284" s="408"/>
    </row>
    <row r="285" spans="1:1" ht="12.75" customHeight="1">
      <c r="A285" s="408"/>
    </row>
    <row r="286" spans="1:1" ht="12.75" customHeight="1">
      <c r="A286" s="408"/>
    </row>
    <row r="287" spans="1:1" ht="12.75" customHeight="1">
      <c r="A287" s="408"/>
    </row>
    <row r="288" spans="1:1" ht="12.75" customHeight="1">
      <c r="A288" s="408"/>
    </row>
    <row r="289" spans="1:1" ht="12.75" customHeight="1">
      <c r="A289" s="408"/>
    </row>
    <row r="290" spans="1:1" ht="12.75" customHeight="1">
      <c r="A290" s="408"/>
    </row>
    <row r="291" spans="1:1" ht="12.75" customHeight="1">
      <c r="A291" s="408"/>
    </row>
    <row r="292" spans="1:1" ht="12.75" customHeight="1">
      <c r="A292" s="408"/>
    </row>
    <row r="293" spans="1:1" ht="12.75" customHeight="1">
      <c r="A293" s="408"/>
    </row>
    <row r="294" spans="1:1" ht="12.75" customHeight="1">
      <c r="A294" s="408"/>
    </row>
    <row r="295" spans="1:1" ht="12.75" customHeight="1">
      <c r="A295" s="408"/>
    </row>
    <row r="296" spans="1:1" ht="12.75" customHeight="1">
      <c r="A296" s="408"/>
    </row>
    <row r="297" spans="1:1" ht="12.75" customHeight="1">
      <c r="A297" s="408"/>
    </row>
    <row r="298" spans="1:1" ht="12.75" customHeight="1">
      <c r="A298" s="408"/>
    </row>
    <row r="299" spans="1:1" ht="12.75" customHeight="1">
      <c r="A299" s="408"/>
    </row>
    <row r="300" spans="1:1" ht="12.75" customHeight="1">
      <c r="A300" s="408"/>
    </row>
    <row r="301" spans="1:1" ht="12.75" customHeight="1">
      <c r="A301" s="408"/>
    </row>
    <row r="302" spans="1:1" ht="12.75" customHeight="1">
      <c r="A302" s="408"/>
    </row>
    <row r="303" spans="1:1" ht="12.75" customHeight="1">
      <c r="A303" s="408"/>
    </row>
    <row r="304" spans="1:1" ht="12.75" customHeight="1">
      <c r="A304" s="408"/>
    </row>
    <row r="305" spans="1:1" ht="12.75" customHeight="1">
      <c r="A305" s="408"/>
    </row>
    <row r="306" spans="1:1" ht="12.75" customHeight="1">
      <c r="A306" s="408"/>
    </row>
    <row r="307" spans="1:1" ht="12.75" customHeight="1">
      <c r="A307" s="408"/>
    </row>
    <row r="308" spans="1:1" ht="12.75" customHeight="1">
      <c r="A308" s="408"/>
    </row>
    <row r="309" spans="1:1" ht="12.75" customHeight="1">
      <c r="A309" s="408"/>
    </row>
    <row r="310" spans="1:1" ht="12.75" customHeight="1">
      <c r="A310" s="408"/>
    </row>
    <row r="311" spans="1:1" ht="12.75" customHeight="1">
      <c r="A311" s="408"/>
    </row>
    <row r="312" spans="1:1" ht="12.75" customHeight="1">
      <c r="A312" s="408"/>
    </row>
    <row r="313" spans="1:1" ht="12.75" customHeight="1">
      <c r="A313" s="408"/>
    </row>
    <row r="314" spans="1:1" ht="12.75" customHeight="1">
      <c r="A314" s="408"/>
    </row>
    <row r="315" spans="1:1" ht="12.75" customHeight="1">
      <c r="A315" s="408"/>
    </row>
    <row r="316" spans="1:1" ht="12.75" customHeight="1">
      <c r="A316" s="408"/>
    </row>
    <row r="317" spans="1:1" ht="12.75" customHeight="1">
      <c r="A317" s="408"/>
    </row>
    <row r="318" spans="1:1" ht="12.75" customHeight="1">
      <c r="A318" s="408"/>
    </row>
    <row r="319" spans="1:1" ht="12.75" customHeight="1">
      <c r="A319" s="408"/>
    </row>
    <row r="320" spans="1:1" ht="12.75" customHeight="1">
      <c r="A320" s="408"/>
    </row>
    <row r="321" spans="1:1" ht="12.75" customHeight="1">
      <c r="A321" s="408"/>
    </row>
    <row r="322" spans="1:1" ht="12.75" customHeight="1">
      <c r="A322" s="408"/>
    </row>
    <row r="323" spans="1:1" ht="12.75" customHeight="1">
      <c r="A323" s="408"/>
    </row>
    <row r="324" spans="1:1" ht="12.75" customHeight="1">
      <c r="A324" s="408"/>
    </row>
    <row r="325" spans="1:1" ht="12.75" customHeight="1">
      <c r="A325" s="408"/>
    </row>
    <row r="326" spans="1:1" ht="12.75" customHeight="1">
      <c r="A326" s="408"/>
    </row>
    <row r="327" spans="1:1" ht="12.75" customHeight="1">
      <c r="A327" s="408"/>
    </row>
    <row r="328" spans="1:1" ht="12.75" customHeight="1">
      <c r="A328" s="408"/>
    </row>
    <row r="329" spans="1:1" ht="12.75" customHeight="1">
      <c r="A329" s="408"/>
    </row>
    <row r="330" spans="1:1" ht="12.75" customHeight="1">
      <c r="A330" s="408"/>
    </row>
    <row r="331" spans="1:1" ht="12.75" customHeight="1">
      <c r="A331" s="408"/>
    </row>
    <row r="332" spans="1:1" ht="12.75" customHeight="1">
      <c r="A332" s="408"/>
    </row>
    <row r="333" spans="1:1" ht="12.75" customHeight="1">
      <c r="A333" s="408"/>
    </row>
    <row r="334" spans="1:1" ht="12.75" customHeight="1">
      <c r="A334" s="408"/>
    </row>
    <row r="335" spans="1:1" ht="12.75" customHeight="1">
      <c r="A335" s="408"/>
    </row>
    <row r="336" spans="1:1" ht="12.75" customHeight="1">
      <c r="A336" s="408"/>
    </row>
    <row r="337" spans="1:1" ht="12.75" customHeight="1">
      <c r="A337" s="408"/>
    </row>
    <row r="338" spans="1:1" ht="12.75" customHeight="1">
      <c r="A338" s="408"/>
    </row>
    <row r="339" spans="1:1" ht="12.75" customHeight="1">
      <c r="A339" s="408"/>
    </row>
    <row r="340" spans="1:1" ht="12.75" customHeight="1">
      <c r="A340" s="408"/>
    </row>
    <row r="341" spans="1:1" ht="12.75" customHeight="1">
      <c r="A341" s="408"/>
    </row>
    <row r="342" spans="1:1" ht="12.75" customHeight="1">
      <c r="A342" s="408"/>
    </row>
    <row r="343" spans="1:1" ht="12.75" customHeight="1">
      <c r="A343" s="408"/>
    </row>
    <row r="344" spans="1:1" ht="12.75" customHeight="1">
      <c r="A344" s="408"/>
    </row>
    <row r="345" spans="1:1" ht="12.75" customHeight="1">
      <c r="A345" s="408"/>
    </row>
    <row r="346" spans="1:1" ht="12.75" customHeight="1">
      <c r="A346" s="408"/>
    </row>
    <row r="347" spans="1:1" ht="12.75" customHeight="1">
      <c r="A347" s="408"/>
    </row>
    <row r="348" spans="1:1" ht="12.75" customHeight="1">
      <c r="A348" s="408"/>
    </row>
    <row r="349" spans="1:1" ht="12.75" customHeight="1">
      <c r="A349" s="408"/>
    </row>
    <row r="350" spans="1:1" ht="12.75" customHeight="1">
      <c r="A350" s="408"/>
    </row>
    <row r="351" spans="1:1" ht="12.75" customHeight="1">
      <c r="A351" s="408"/>
    </row>
    <row r="352" spans="1:1" ht="12.75" customHeight="1">
      <c r="A352" s="408"/>
    </row>
    <row r="353" spans="1:1" ht="12.75" customHeight="1">
      <c r="A353" s="408"/>
    </row>
    <row r="354" spans="1:1" ht="12.75" customHeight="1">
      <c r="A354" s="408"/>
    </row>
    <row r="355" spans="1:1" ht="12.75" customHeight="1">
      <c r="A355" s="408"/>
    </row>
    <row r="356" spans="1:1" ht="12.75" customHeight="1">
      <c r="A356" s="408"/>
    </row>
    <row r="357" spans="1:1" ht="12.75" customHeight="1">
      <c r="A357" s="408"/>
    </row>
    <row r="358" spans="1:1" ht="12.75" customHeight="1">
      <c r="A358" s="408"/>
    </row>
    <row r="359" spans="1:1" ht="12.75" customHeight="1">
      <c r="A359" s="408"/>
    </row>
    <row r="360" spans="1:1" ht="12.75" customHeight="1">
      <c r="A360" s="408"/>
    </row>
    <row r="361" spans="1:1" ht="12.75" customHeight="1">
      <c r="A361" s="408"/>
    </row>
    <row r="362" spans="1:1" ht="12.75" customHeight="1">
      <c r="A362" s="408"/>
    </row>
    <row r="363" spans="1:1" ht="12.75" customHeight="1">
      <c r="A363" s="408"/>
    </row>
    <row r="364" spans="1:1" ht="12.75" customHeight="1">
      <c r="A364" s="408"/>
    </row>
    <row r="365" spans="1:1" ht="12.75" customHeight="1">
      <c r="A365" s="408"/>
    </row>
    <row r="366" spans="1:1" ht="12.75" customHeight="1">
      <c r="A366" s="408"/>
    </row>
    <row r="367" spans="1:1" ht="12.75" customHeight="1">
      <c r="A367" s="408"/>
    </row>
    <row r="368" spans="1:1" ht="12.75" customHeight="1">
      <c r="A368" s="408"/>
    </row>
    <row r="369" spans="1:1" ht="12.75" customHeight="1">
      <c r="A369" s="408"/>
    </row>
    <row r="370" spans="1:1" ht="12.75" customHeight="1">
      <c r="A370" s="408"/>
    </row>
    <row r="371" spans="1:1" ht="12.75" customHeight="1">
      <c r="A371" s="408"/>
    </row>
    <row r="372" spans="1:1" ht="12.75" customHeight="1">
      <c r="A372" s="408"/>
    </row>
    <row r="373" spans="1:1" ht="12.75" customHeight="1">
      <c r="A373" s="408"/>
    </row>
    <row r="374" spans="1:1" ht="12.75" customHeight="1">
      <c r="A374" s="408"/>
    </row>
    <row r="375" spans="1:1" ht="12.75" customHeight="1">
      <c r="A375" s="408"/>
    </row>
    <row r="376" spans="1:1" ht="12.75" customHeight="1">
      <c r="A376" s="408"/>
    </row>
    <row r="377" spans="1:1" ht="12.75" customHeight="1">
      <c r="A377" s="408"/>
    </row>
    <row r="378" spans="1:1" ht="12.75" customHeight="1">
      <c r="A378" s="408"/>
    </row>
    <row r="379" spans="1:1" ht="12.75" customHeight="1">
      <c r="A379" s="408"/>
    </row>
    <row r="380" spans="1:1" ht="12.75" customHeight="1">
      <c r="A380" s="408"/>
    </row>
    <row r="381" spans="1:1" ht="12.75" customHeight="1">
      <c r="A381" s="408"/>
    </row>
    <row r="382" spans="1:1" ht="12.75" customHeight="1">
      <c r="A382" s="408"/>
    </row>
    <row r="383" spans="1:1" ht="12.75" customHeight="1">
      <c r="A383" s="408"/>
    </row>
    <row r="384" spans="1:1" ht="12.75" customHeight="1">
      <c r="A384" s="408"/>
    </row>
    <row r="385" spans="1:1" ht="12.75" customHeight="1">
      <c r="A385" s="408"/>
    </row>
    <row r="386" spans="1:1" ht="12.75" customHeight="1">
      <c r="A386" s="408"/>
    </row>
    <row r="387" spans="1:1" ht="12.75" customHeight="1">
      <c r="A387" s="408"/>
    </row>
    <row r="388" spans="1:1" ht="12.75" customHeight="1">
      <c r="A388" s="408"/>
    </row>
    <row r="389" spans="1:1" ht="12.75" customHeight="1">
      <c r="A389" s="408"/>
    </row>
    <row r="390" spans="1:1" ht="12.75" customHeight="1">
      <c r="A390" s="408"/>
    </row>
    <row r="391" spans="1:1" ht="12.75" customHeight="1">
      <c r="A391" s="408"/>
    </row>
    <row r="392" spans="1:1" ht="12.75" customHeight="1">
      <c r="A392" s="408"/>
    </row>
    <row r="393" spans="1:1" ht="12.75" customHeight="1">
      <c r="A393" s="408"/>
    </row>
    <row r="394" spans="1:1" ht="12.75" customHeight="1">
      <c r="A394" s="408"/>
    </row>
    <row r="395" spans="1:1" ht="12.75" customHeight="1">
      <c r="A395" s="408"/>
    </row>
    <row r="396" spans="1:1" ht="12.75" customHeight="1">
      <c r="A396" s="408"/>
    </row>
    <row r="397" spans="1:1" ht="12.75" customHeight="1">
      <c r="A397" s="408"/>
    </row>
    <row r="398" spans="1:1" ht="12.75" customHeight="1">
      <c r="A398" s="408"/>
    </row>
    <row r="399" spans="1:1" ht="12.75" customHeight="1">
      <c r="A399" s="408"/>
    </row>
    <row r="400" spans="1:1" ht="12.75" customHeight="1">
      <c r="A400" s="408"/>
    </row>
    <row r="401" spans="1:1" ht="12.75" customHeight="1">
      <c r="A401" s="408"/>
    </row>
    <row r="402" spans="1:1" ht="12.75" customHeight="1">
      <c r="A402" s="408"/>
    </row>
    <row r="403" spans="1:1" ht="12.75" customHeight="1">
      <c r="A403" s="408"/>
    </row>
    <row r="404" spans="1:1" ht="12.75" customHeight="1">
      <c r="A404" s="408"/>
    </row>
    <row r="405" spans="1:1" ht="12.75" customHeight="1">
      <c r="A405" s="408"/>
    </row>
    <row r="406" spans="1:1" ht="12.75" customHeight="1">
      <c r="A406" s="408"/>
    </row>
    <row r="407" spans="1:1" ht="12.75" customHeight="1">
      <c r="A407" s="408"/>
    </row>
    <row r="408" spans="1:1" ht="12.75" customHeight="1">
      <c r="A408" s="408"/>
    </row>
    <row r="409" spans="1:1" ht="12.75" customHeight="1">
      <c r="A409" s="408"/>
    </row>
    <row r="410" spans="1:1" ht="12.75" customHeight="1">
      <c r="A410" s="408"/>
    </row>
    <row r="411" spans="1:1" ht="12.75" customHeight="1">
      <c r="A411" s="408"/>
    </row>
    <row r="412" spans="1:1" ht="12.75" customHeight="1">
      <c r="A412" s="408"/>
    </row>
    <row r="413" spans="1:1" ht="12.75" customHeight="1">
      <c r="A413" s="408"/>
    </row>
    <row r="414" spans="1:1" ht="12.75" customHeight="1">
      <c r="A414" s="408"/>
    </row>
    <row r="415" spans="1:1" ht="12.75" customHeight="1">
      <c r="A415" s="408"/>
    </row>
    <row r="416" spans="1:1" ht="12.75" customHeight="1">
      <c r="A416" s="408"/>
    </row>
    <row r="417" spans="1:1" ht="12.75" customHeight="1">
      <c r="A417" s="408"/>
    </row>
    <row r="418" spans="1:1" ht="12.75" customHeight="1">
      <c r="A418" s="408"/>
    </row>
    <row r="419" spans="1:1" ht="12.75" customHeight="1">
      <c r="A419" s="408"/>
    </row>
    <row r="420" spans="1:1" ht="12.75" customHeight="1">
      <c r="A420" s="408"/>
    </row>
    <row r="421" spans="1:1" ht="12.75" customHeight="1">
      <c r="A421" s="408"/>
    </row>
    <row r="422" spans="1:1" ht="12.75" customHeight="1">
      <c r="A422" s="408"/>
    </row>
    <row r="423" spans="1:1" ht="12.75" customHeight="1">
      <c r="A423" s="408"/>
    </row>
    <row r="424" spans="1:1" ht="12.75" customHeight="1">
      <c r="A424" s="408"/>
    </row>
    <row r="425" spans="1:1" ht="12.75" customHeight="1">
      <c r="A425" s="408"/>
    </row>
    <row r="426" spans="1:1" ht="12.75" customHeight="1">
      <c r="A426" s="408"/>
    </row>
    <row r="427" spans="1:1" ht="12.75" customHeight="1">
      <c r="A427" s="408"/>
    </row>
    <row r="428" spans="1:1" ht="12.75" customHeight="1">
      <c r="A428" s="408"/>
    </row>
    <row r="429" spans="1:1" ht="12.75" customHeight="1">
      <c r="A429" s="408"/>
    </row>
    <row r="430" spans="1:1" ht="12.75" customHeight="1">
      <c r="A430" s="408"/>
    </row>
    <row r="431" spans="1:1" ht="12.75" customHeight="1">
      <c r="A431" s="408"/>
    </row>
    <row r="432" spans="1:1" ht="12.75" customHeight="1">
      <c r="A432" s="408"/>
    </row>
    <row r="433" spans="1:1" ht="12.75" customHeight="1">
      <c r="A433" s="408"/>
    </row>
    <row r="434" spans="1:1" ht="12.75" customHeight="1">
      <c r="A434" s="408"/>
    </row>
    <row r="435" spans="1:1" ht="12.75" customHeight="1">
      <c r="A435" s="408"/>
    </row>
    <row r="436" spans="1:1" ht="12.75" customHeight="1">
      <c r="A436" s="408"/>
    </row>
    <row r="437" spans="1:1" ht="12.75" customHeight="1">
      <c r="A437" s="408"/>
    </row>
    <row r="438" spans="1:1" ht="12.75" customHeight="1">
      <c r="A438" s="408"/>
    </row>
    <row r="439" spans="1:1" ht="12.75" customHeight="1">
      <c r="A439" s="408"/>
    </row>
    <row r="440" spans="1:1" ht="12.75" customHeight="1">
      <c r="A440" s="408"/>
    </row>
    <row r="441" spans="1:1" ht="12.75" customHeight="1">
      <c r="A441" s="408"/>
    </row>
    <row r="442" spans="1:1" ht="12.75" customHeight="1">
      <c r="A442" s="408"/>
    </row>
    <row r="443" spans="1:1" ht="12.75" customHeight="1">
      <c r="A443" s="408"/>
    </row>
    <row r="444" spans="1:1" ht="12.75" customHeight="1">
      <c r="A444" s="408"/>
    </row>
    <row r="445" spans="1:1" ht="12.75" customHeight="1">
      <c r="A445" s="408"/>
    </row>
    <row r="446" spans="1:1" ht="12.75" customHeight="1">
      <c r="A446" s="408"/>
    </row>
    <row r="447" spans="1:1" ht="12.75" customHeight="1">
      <c r="A447" s="408"/>
    </row>
    <row r="448" spans="1:1" ht="12.75" customHeight="1">
      <c r="A448" s="408"/>
    </row>
    <row r="449" spans="1:1" ht="12.75" customHeight="1">
      <c r="A449" s="408"/>
    </row>
    <row r="450" spans="1:1" ht="12.75" customHeight="1">
      <c r="A450" s="408"/>
    </row>
    <row r="451" spans="1:1" ht="12.75" customHeight="1">
      <c r="A451" s="408"/>
    </row>
    <row r="452" spans="1:1" ht="12.75" customHeight="1">
      <c r="A452" s="408"/>
    </row>
    <row r="453" spans="1:1" ht="12.75" customHeight="1">
      <c r="A453" s="408"/>
    </row>
    <row r="454" spans="1:1" ht="12.75" customHeight="1">
      <c r="A454" s="408"/>
    </row>
    <row r="455" spans="1:1" ht="12.75" customHeight="1">
      <c r="A455" s="408"/>
    </row>
    <row r="456" spans="1:1" ht="12.75" customHeight="1">
      <c r="A456" s="408"/>
    </row>
    <row r="457" spans="1:1" ht="12.75" customHeight="1">
      <c r="A457" s="408"/>
    </row>
    <row r="458" spans="1:1" ht="12.75" customHeight="1">
      <c r="A458" s="408"/>
    </row>
    <row r="459" spans="1:1" ht="12.75" customHeight="1">
      <c r="A459" s="408"/>
    </row>
    <row r="460" spans="1:1" ht="12.75" customHeight="1">
      <c r="A460" s="408"/>
    </row>
    <row r="461" spans="1:1" ht="12.75" customHeight="1">
      <c r="A461" s="408"/>
    </row>
    <row r="462" spans="1:1" ht="12.75" customHeight="1">
      <c r="A462" s="408"/>
    </row>
    <row r="463" spans="1:1" ht="12.75" customHeight="1">
      <c r="A463" s="408"/>
    </row>
    <row r="464" spans="1:1" ht="12.75" customHeight="1">
      <c r="A464" s="408"/>
    </row>
    <row r="465" spans="1:1" ht="12.75" customHeight="1">
      <c r="A465" s="408"/>
    </row>
    <row r="466" spans="1:1" ht="12.75" customHeight="1">
      <c r="A466" s="408"/>
    </row>
    <row r="467" spans="1:1" ht="12.75" customHeight="1">
      <c r="A467" s="408"/>
    </row>
    <row r="468" spans="1:1" ht="12.75" customHeight="1">
      <c r="A468" s="408"/>
    </row>
    <row r="469" spans="1:1" ht="12.75" customHeight="1">
      <c r="A469" s="408"/>
    </row>
    <row r="470" spans="1:1" ht="12.75" customHeight="1">
      <c r="A470" s="408"/>
    </row>
    <row r="471" spans="1:1" ht="12.75" customHeight="1">
      <c r="A471" s="408"/>
    </row>
    <row r="472" spans="1:1" ht="12.75" customHeight="1">
      <c r="A472" s="408"/>
    </row>
    <row r="473" spans="1:1" ht="12.75" customHeight="1">
      <c r="A473" s="408"/>
    </row>
    <row r="474" spans="1:1" ht="12.75" customHeight="1">
      <c r="A474" s="408"/>
    </row>
    <row r="475" spans="1:1" ht="12.75" customHeight="1">
      <c r="A475" s="408"/>
    </row>
    <row r="476" spans="1:1" ht="12.75" customHeight="1">
      <c r="A476" s="408"/>
    </row>
    <row r="477" spans="1:1" ht="12.75" customHeight="1">
      <c r="A477" s="408"/>
    </row>
    <row r="478" spans="1:1" ht="12.75" customHeight="1">
      <c r="A478" s="408"/>
    </row>
    <row r="479" spans="1:1" ht="12.75" customHeight="1">
      <c r="A479" s="408"/>
    </row>
    <row r="480" spans="1:1" ht="12.75" customHeight="1">
      <c r="A480" s="408"/>
    </row>
    <row r="481" spans="1:1" ht="12.75" customHeight="1">
      <c r="A481" s="408"/>
    </row>
    <row r="482" spans="1:1" ht="12.75" customHeight="1">
      <c r="A482" s="408"/>
    </row>
    <row r="483" spans="1:1" ht="12.75" customHeight="1">
      <c r="A483" s="408"/>
    </row>
    <row r="484" spans="1:1" ht="12.75" customHeight="1">
      <c r="A484" s="408"/>
    </row>
    <row r="485" spans="1:1" ht="12.75" customHeight="1">
      <c r="A485" s="408"/>
    </row>
    <row r="486" spans="1:1" ht="12.75" customHeight="1">
      <c r="A486" s="408"/>
    </row>
    <row r="487" spans="1:1" ht="12.75" customHeight="1">
      <c r="A487" s="408"/>
    </row>
    <row r="488" spans="1:1" ht="12.75" customHeight="1">
      <c r="A488" s="408"/>
    </row>
    <row r="489" spans="1:1" ht="12.75" customHeight="1">
      <c r="A489" s="408"/>
    </row>
    <row r="490" spans="1:1" ht="12.75" customHeight="1">
      <c r="A490" s="408"/>
    </row>
    <row r="491" spans="1:1" ht="12.75" customHeight="1">
      <c r="A491" s="408"/>
    </row>
    <row r="492" spans="1:1" ht="12.75" customHeight="1">
      <c r="A492" s="408"/>
    </row>
    <row r="493" spans="1:1" ht="12.75" customHeight="1">
      <c r="A493" s="408"/>
    </row>
    <row r="494" spans="1:1" ht="12.75" customHeight="1">
      <c r="A494" s="408"/>
    </row>
    <row r="495" spans="1:1" ht="12.75" customHeight="1">
      <c r="A495" s="408"/>
    </row>
    <row r="496" spans="1:1" ht="12.75" customHeight="1">
      <c r="A496" s="408"/>
    </row>
    <row r="497" spans="1:1" ht="12.75" customHeight="1">
      <c r="A497" s="408"/>
    </row>
    <row r="498" spans="1:1" ht="12.75" customHeight="1">
      <c r="A498" s="408"/>
    </row>
    <row r="499" spans="1:1" ht="12.75" customHeight="1">
      <c r="A499" s="408"/>
    </row>
    <row r="500" spans="1:1" ht="12.75" customHeight="1">
      <c r="A500" s="408"/>
    </row>
    <row r="501" spans="1:1" ht="12.75" customHeight="1">
      <c r="A501" s="408"/>
    </row>
    <row r="502" spans="1:1" ht="12.75" customHeight="1">
      <c r="A502" s="408"/>
    </row>
    <row r="503" spans="1:1" ht="12.75" customHeight="1">
      <c r="A503" s="408"/>
    </row>
    <row r="504" spans="1:1" ht="12.75" customHeight="1">
      <c r="A504" s="408"/>
    </row>
    <row r="505" spans="1:1" ht="12.75" customHeight="1">
      <c r="A505" s="408"/>
    </row>
    <row r="506" spans="1:1" ht="12.75" customHeight="1">
      <c r="A506" s="408"/>
    </row>
    <row r="507" spans="1:1" ht="12.75" customHeight="1">
      <c r="A507" s="408"/>
    </row>
    <row r="508" spans="1:1" ht="12.75" customHeight="1">
      <c r="A508" s="408"/>
    </row>
    <row r="509" spans="1:1" ht="12.75" customHeight="1">
      <c r="A509" s="408"/>
    </row>
    <row r="510" spans="1:1" ht="12.75" customHeight="1">
      <c r="A510" s="408"/>
    </row>
    <row r="511" spans="1:1" ht="12.75" customHeight="1">
      <c r="A511" s="408"/>
    </row>
    <row r="512" spans="1:1" ht="12.75" customHeight="1">
      <c r="A512" s="408"/>
    </row>
    <row r="513" spans="1:1" ht="12.75" customHeight="1">
      <c r="A513" s="408"/>
    </row>
    <row r="514" spans="1:1" ht="12.75" customHeight="1">
      <c r="A514" s="408"/>
    </row>
    <row r="515" spans="1:1" ht="12.75" customHeight="1">
      <c r="A515" s="408"/>
    </row>
    <row r="516" spans="1:1" ht="12.75" customHeight="1">
      <c r="A516" s="408"/>
    </row>
    <row r="517" spans="1:1" ht="12.75" customHeight="1">
      <c r="A517" s="408"/>
    </row>
    <row r="518" spans="1:1" ht="12.75" customHeight="1">
      <c r="A518" s="408"/>
    </row>
    <row r="519" spans="1:1" ht="12.75" customHeight="1">
      <c r="A519" s="408"/>
    </row>
    <row r="520" spans="1:1" ht="12.75" customHeight="1">
      <c r="A520" s="408"/>
    </row>
    <row r="521" spans="1:1" ht="12.75" customHeight="1">
      <c r="A521" s="408"/>
    </row>
    <row r="522" spans="1:1" ht="12.75" customHeight="1">
      <c r="A522" s="408"/>
    </row>
    <row r="523" spans="1:1" ht="12.75" customHeight="1">
      <c r="A523" s="408"/>
    </row>
    <row r="524" spans="1:1" ht="12.75" customHeight="1">
      <c r="A524" s="408"/>
    </row>
    <row r="525" spans="1:1" ht="12.75" customHeight="1">
      <c r="A525" s="408"/>
    </row>
    <row r="526" spans="1:1" ht="12.75" customHeight="1">
      <c r="A526" s="408"/>
    </row>
    <row r="527" spans="1:1" ht="12.75" customHeight="1">
      <c r="A527" s="408"/>
    </row>
    <row r="528" spans="1:1" ht="12.75" customHeight="1">
      <c r="A528" s="408"/>
    </row>
    <row r="529" spans="1:1" ht="12.75" customHeight="1">
      <c r="A529" s="408"/>
    </row>
    <row r="530" spans="1:1" ht="12.75" customHeight="1">
      <c r="A530" s="408"/>
    </row>
    <row r="531" spans="1:1" ht="12.75" customHeight="1">
      <c r="A531" s="408"/>
    </row>
    <row r="532" spans="1:1" ht="12.75" customHeight="1">
      <c r="A532" s="408"/>
    </row>
    <row r="533" spans="1:1" ht="12.75" customHeight="1">
      <c r="A533" s="408"/>
    </row>
    <row r="534" spans="1:1" ht="12.75" customHeight="1">
      <c r="A534" s="408"/>
    </row>
    <row r="535" spans="1:1" ht="12.75" customHeight="1">
      <c r="A535" s="408"/>
    </row>
    <row r="536" spans="1:1" ht="12.75" customHeight="1">
      <c r="A536" s="408"/>
    </row>
    <row r="537" spans="1:1" ht="12.75" customHeight="1">
      <c r="A537" s="408"/>
    </row>
    <row r="538" spans="1:1" ht="12.75" customHeight="1">
      <c r="A538" s="408"/>
    </row>
    <row r="539" spans="1:1" ht="12.75" customHeight="1">
      <c r="A539" s="408"/>
    </row>
    <row r="540" spans="1:1" ht="12.75" customHeight="1">
      <c r="A540" s="408"/>
    </row>
    <row r="541" spans="1:1" ht="12.75" customHeight="1">
      <c r="A541" s="408"/>
    </row>
    <row r="542" spans="1:1" ht="12.75" customHeight="1">
      <c r="A542" s="408"/>
    </row>
    <row r="543" spans="1:1" ht="12.75" customHeight="1">
      <c r="A543" s="408"/>
    </row>
    <row r="544" spans="1:1" ht="12.75" customHeight="1">
      <c r="A544" s="408"/>
    </row>
    <row r="545" spans="1:1" ht="12.75" customHeight="1">
      <c r="A545" s="408"/>
    </row>
    <row r="546" spans="1:1" ht="12.75" customHeight="1">
      <c r="A546" s="408"/>
    </row>
    <row r="547" spans="1:1" ht="12.75" customHeight="1">
      <c r="A547" s="408"/>
    </row>
    <row r="548" spans="1:1" ht="12.75" customHeight="1">
      <c r="A548" s="408"/>
    </row>
    <row r="549" spans="1:1" ht="12.75" customHeight="1">
      <c r="A549" s="408"/>
    </row>
    <row r="550" spans="1:1" ht="12.75" customHeight="1">
      <c r="A550" s="408"/>
    </row>
    <row r="551" spans="1:1" ht="12.75" customHeight="1">
      <c r="A551" s="408"/>
    </row>
    <row r="552" spans="1:1" ht="12.75" customHeight="1">
      <c r="A552" s="408"/>
    </row>
    <row r="553" spans="1:1" ht="12.75" customHeight="1">
      <c r="A553" s="408"/>
    </row>
    <row r="554" spans="1:1" ht="12.75" customHeight="1">
      <c r="A554" s="408"/>
    </row>
    <row r="555" spans="1:1" ht="12.75" customHeight="1">
      <c r="A555" s="408"/>
    </row>
    <row r="556" spans="1:1" ht="12.75" customHeight="1">
      <c r="A556" s="408"/>
    </row>
    <row r="557" spans="1:1" ht="12.75" customHeight="1">
      <c r="A557" s="408"/>
    </row>
    <row r="558" spans="1:1" ht="12.75" customHeight="1">
      <c r="A558" s="408"/>
    </row>
    <row r="559" spans="1:1" ht="12.75" customHeight="1">
      <c r="A559" s="408"/>
    </row>
    <row r="560" spans="1:1" ht="12.75" customHeight="1">
      <c r="A560" s="408"/>
    </row>
    <row r="561" spans="1:1" ht="12.75" customHeight="1">
      <c r="A561" s="408"/>
    </row>
    <row r="562" spans="1:1" ht="12.75" customHeight="1">
      <c r="A562" s="408"/>
    </row>
    <row r="563" spans="1:1" ht="12.75" customHeight="1">
      <c r="A563" s="408"/>
    </row>
    <row r="564" spans="1:1" ht="12.75" customHeight="1">
      <c r="A564" s="408"/>
    </row>
    <row r="565" spans="1:1" ht="12.75" customHeight="1">
      <c r="A565" s="408"/>
    </row>
    <row r="566" spans="1:1" ht="12.75" customHeight="1">
      <c r="A566" s="408"/>
    </row>
    <row r="567" spans="1:1" ht="12.75" customHeight="1">
      <c r="A567" s="408"/>
    </row>
    <row r="568" spans="1:1" ht="12.75" customHeight="1">
      <c r="A568" s="408"/>
    </row>
    <row r="569" spans="1:1" ht="12.75" customHeight="1">
      <c r="A569" s="408"/>
    </row>
    <row r="570" spans="1:1" ht="12.75" customHeight="1">
      <c r="A570" s="408"/>
    </row>
    <row r="571" spans="1:1" ht="12.75" customHeight="1">
      <c r="A571" s="408"/>
    </row>
    <row r="572" spans="1:1" ht="12.75" customHeight="1">
      <c r="A572" s="408"/>
    </row>
    <row r="573" spans="1:1" ht="12.75" customHeight="1">
      <c r="A573" s="408"/>
    </row>
    <row r="574" spans="1:1" ht="12.75" customHeight="1">
      <c r="A574" s="408"/>
    </row>
    <row r="575" spans="1:1" ht="12.75" customHeight="1">
      <c r="A575" s="408"/>
    </row>
    <row r="576" spans="1:1" ht="12.75" customHeight="1">
      <c r="A576" s="408"/>
    </row>
    <row r="577" spans="1:1" ht="12.75" customHeight="1">
      <c r="A577" s="408"/>
    </row>
    <row r="578" spans="1:1" ht="12.75" customHeight="1">
      <c r="A578" s="408"/>
    </row>
    <row r="579" spans="1:1" ht="12.75" customHeight="1">
      <c r="A579" s="408"/>
    </row>
    <row r="580" spans="1:1" ht="12.75" customHeight="1">
      <c r="A580" s="408"/>
    </row>
    <row r="581" spans="1:1" ht="12.75" customHeight="1">
      <c r="A581" s="408"/>
    </row>
    <row r="582" spans="1:1" ht="12.75" customHeight="1">
      <c r="A582" s="408"/>
    </row>
    <row r="583" spans="1:1" ht="12.75" customHeight="1">
      <c r="A583" s="408"/>
    </row>
    <row r="584" spans="1:1" ht="12.75" customHeight="1">
      <c r="A584" s="408"/>
    </row>
    <row r="585" spans="1:1" ht="12.75" customHeight="1">
      <c r="A585" s="408"/>
    </row>
    <row r="586" spans="1:1" ht="12.75" customHeight="1">
      <c r="A586" s="408"/>
    </row>
    <row r="587" spans="1:1" ht="12.75" customHeight="1">
      <c r="A587" s="408"/>
    </row>
    <row r="588" spans="1:1" ht="12.75" customHeight="1">
      <c r="A588" s="408"/>
    </row>
    <row r="589" spans="1:1" ht="12.75" customHeight="1">
      <c r="A589" s="408"/>
    </row>
    <row r="590" spans="1:1" ht="12.75" customHeight="1">
      <c r="A590" s="408"/>
    </row>
    <row r="591" spans="1:1" ht="12.75" customHeight="1">
      <c r="A591" s="408"/>
    </row>
    <row r="592" spans="1:1" ht="12.75" customHeight="1">
      <c r="A592" s="408"/>
    </row>
    <row r="593" spans="1:1" ht="12.75" customHeight="1">
      <c r="A593" s="408"/>
    </row>
    <row r="594" spans="1:1" ht="12.75" customHeight="1">
      <c r="A594" s="408"/>
    </row>
    <row r="595" spans="1:1" ht="12.75" customHeight="1">
      <c r="A595" s="408"/>
    </row>
    <row r="596" spans="1:1" ht="12.75" customHeight="1">
      <c r="A596" s="408"/>
    </row>
    <row r="597" spans="1:1" ht="12.75" customHeight="1">
      <c r="A597" s="408"/>
    </row>
    <row r="598" spans="1:1" ht="12.75" customHeight="1">
      <c r="A598" s="408"/>
    </row>
    <row r="599" spans="1:1" ht="12.75" customHeight="1">
      <c r="A599" s="408"/>
    </row>
    <row r="600" spans="1:1" ht="12.75" customHeight="1">
      <c r="A600" s="408"/>
    </row>
    <row r="601" spans="1:1" ht="12.75" customHeight="1">
      <c r="A601" s="408"/>
    </row>
    <row r="602" spans="1:1" ht="12.75" customHeight="1">
      <c r="A602" s="408"/>
    </row>
    <row r="603" spans="1:1" ht="12.75" customHeight="1">
      <c r="A603" s="408"/>
    </row>
    <row r="604" spans="1:1" ht="12.75" customHeight="1">
      <c r="A604" s="408"/>
    </row>
    <row r="605" spans="1:1" ht="12.75" customHeight="1">
      <c r="A605" s="408"/>
    </row>
    <row r="606" spans="1:1" ht="12.75" customHeight="1">
      <c r="A606" s="408"/>
    </row>
    <row r="607" spans="1:1" ht="12.75" customHeight="1">
      <c r="A607" s="408"/>
    </row>
    <row r="608" spans="1:1" ht="12.75" customHeight="1">
      <c r="A608" s="408"/>
    </row>
    <row r="609" spans="1:1" ht="12.75" customHeight="1">
      <c r="A609" s="408"/>
    </row>
    <row r="610" spans="1:1" ht="12.75" customHeight="1">
      <c r="A610" s="408"/>
    </row>
    <row r="611" spans="1:1" ht="12.75" customHeight="1">
      <c r="A611" s="408"/>
    </row>
    <row r="612" spans="1:1" ht="12.75" customHeight="1">
      <c r="A612" s="408"/>
    </row>
    <row r="613" spans="1:1" ht="12.75" customHeight="1">
      <c r="A613" s="408"/>
    </row>
    <row r="614" spans="1:1" ht="12.75" customHeight="1">
      <c r="A614" s="408"/>
    </row>
    <row r="615" spans="1:1" ht="12.75" customHeight="1">
      <c r="A615" s="408"/>
    </row>
    <row r="616" spans="1:1" ht="12.75" customHeight="1">
      <c r="A616" s="408"/>
    </row>
    <row r="617" spans="1:1" ht="12.75" customHeight="1">
      <c r="A617" s="408"/>
    </row>
    <row r="618" spans="1:1" ht="12.75" customHeight="1">
      <c r="A618" s="408"/>
    </row>
    <row r="619" spans="1:1" ht="12.75" customHeight="1">
      <c r="A619" s="408"/>
    </row>
    <row r="620" spans="1:1" ht="12.75" customHeight="1">
      <c r="A620" s="408"/>
    </row>
    <row r="621" spans="1:1" ht="12.75" customHeight="1">
      <c r="A621" s="408"/>
    </row>
    <row r="622" spans="1:1" ht="12.75" customHeight="1">
      <c r="A622" s="408"/>
    </row>
    <row r="623" spans="1:1" ht="12.75" customHeight="1">
      <c r="A623" s="408"/>
    </row>
    <row r="624" spans="1:1" ht="12.75" customHeight="1">
      <c r="A624" s="408"/>
    </row>
    <row r="625" spans="1:1" ht="12.75" customHeight="1">
      <c r="A625" s="408"/>
    </row>
    <row r="626" spans="1:1" ht="12.75" customHeight="1">
      <c r="A626" s="408"/>
    </row>
    <row r="627" spans="1:1" ht="12.75" customHeight="1">
      <c r="A627" s="408"/>
    </row>
    <row r="628" spans="1:1" ht="12.75" customHeight="1">
      <c r="A628" s="408"/>
    </row>
    <row r="629" spans="1:1" ht="12.75" customHeight="1">
      <c r="A629" s="408"/>
    </row>
    <row r="630" spans="1:1" ht="12.75" customHeight="1">
      <c r="A630" s="408"/>
    </row>
    <row r="631" spans="1:1" ht="12.75" customHeight="1">
      <c r="A631" s="408"/>
    </row>
    <row r="632" spans="1:1" ht="12.75" customHeight="1">
      <c r="A632" s="408"/>
    </row>
    <row r="633" spans="1:1" ht="12.75" customHeight="1">
      <c r="A633" s="408"/>
    </row>
    <row r="634" spans="1:1" ht="12.75" customHeight="1">
      <c r="A634" s="408"/>
    </row>
    <row r="635" spans="1:1" ht="12.75" customHeight="1">
      <c r="A635" s="408"/>
    </row>
    <row r="636" spans="1:1" ht="12.75" customHeight="1">
      <c r="A636" s="408"/>
    </row>
    <row r="637" spans="1:1" ht="12.75" customHeight="1">
      <c r="A637" s="408"/>
    </row>
    <row r="638" spans="1:1" ht="12.75" customHeight="1">
      <c r="A638" s="408"/>
    </row>
    <row r="639" spans="1:1" ht="12.75" customHeight="1">
      <c r="A639" s="408"/>
    </row>
    <row r="640" spans="1:1" ht="12.75" customHeight="1">
      <c r="A640" s="408"/>
    </row>
    <row r="641" spans="1:1" ht="12.75" customHeight="1">
      <c r="A641" s="408"/>
    </row>
    <row r="642" spans="1:1" ht="12.75" customHeight="1">
      <c r="A642" s="408"/>
    </row>
    <row r="643" spans="1:1" ht="12.75" customHeight="1">
      <c r="A643" s="408"/>
    </row>
    <row r="644" spans="1:1" ht="12.75" customHeight="1">
      <c r="A644" s="408"/>
    </row>
    <row r="645" spans="1:1" ht="12.75" customHeight="1">
      <c r="A645" s="408"/>
    </row>
    <row r="646" spans="1:1" ht="12.75" customHeight="1">
      <c r="A646" s="408"/>
    </row>
    <row r="647" spans="1:1" ht="12.75" customHeight="1">
      <c r="A647" s="408"/>
    </row>
    <row r="648" spans="1:1" ht="12.75" customHeight="1">
      <c r="A648" s="408"/>
    </row>
    <row r="649" spans="1:1" ht="12.75" customHeight="1">
      <c r="A649" s="408"/>
    </row>
    <row r="650" spans="1:1" ht="12.75" customHeight="1">
      <c r="A650" s="408"/>
    </row>
    <row r="651" spans="1:1" ht="12.75" customHeight="1">
      <c r="A651" s="408"/>
    </row>
    <row r="652" spans="1:1" ht="12.75" customHeight="1">
      <c r="A652" s="408"/>
    </row>
    <row r="653" spans="1:1" ht="12.75" customHeight="1">
      <c r="A653" s="408"/>
    </row>
    <row r="654" spans="1:1" ht="12.75" customHeight="1">
      <c r="A654" s="408"/>
    </row>
    <row r="655" spans="1:1" ht="12.75" customHeight="1">
      <c r="A655" s="408"/>
    </row>
    <row r="656" spans="1:1" ht="12.75" customHeight="1">
      <c r="A656" s="408"/>
    </row>
    <row r="657" spans="1:1" ht="12.75" customHeight="1">
      <c r="A657" s="408"/>
    </row>
    <row r="658" spans="1:1" ht="12.75" customHeight="1">
      <c r="A658" s="408"/>
    </row>
    <row r="659" spans="1:1" ht="12.75" customHeight="1">
      <c r="A659" s="408"/>
    </row>
    <row r="660" spans="1:1" ht="12.75" customHeight="1">
      <c r="A660" s="408"/>
    </row>
    <row r="661" spans="1:1" ht="12.75" customHeight="1">
      <c r="A661" s="408"/>
    </row>
    <row r="662" spans="1:1" ht="12.75" customHeight="1">
      <c r="A662" s="408"/>
    </row>
    <row r="663" spans="1:1" ht="12.75" customHeight="1">
      <c r="A663" s="408"/>
    </row>
    <row r="664" spans="1:1" ht="12.75" customHeight="1">
      <c r="A664" s="408"/>
    </row>
    <row r="665" spans="1:1" ht="12.75" customHeight="1">
      <c r="A665" s="408"/>
    </row>
    <row r="666" spans="1:1" ht="12.75" customHeight="1">
      <c r="A666" s="408"/>
    </row>
    <row r="667" spans="1:1" ht="12.75" customHeight="1">
      <c r="A667" s="408"/>
    </row>
    <row r="668" spans="1:1" ht="12.75" customHeight="1">
      <c r="A668" s="408"/>
    </row>
    <row r="669" spans="1:1" ht="12.75" customHeight="1">
      <c r="A669" s="408"/>
    </row>
    <row r="670" spans="1:1" ht="12.75" customHeight="1">
      <c r="A670" s="408"/>
    </row>
    <row r="671" spans="1:1" ht="12.75" customHeight="1">
      <c r="A671" s="408"/>
    </row>
    <row r="672" spans="1:1" ht="12.75" customHeight="1">
      <c r="A672" s="408"/>
    </row>
    <row r="673" spans="1:1" ht="12.75" customHeight="1">
      <c r="A673" s="408"/>
    </row>
    <row r="674" spans="1:1" ht="12.75" customHeight="1">
      <c r="A674" s="408"/>
    </row>
    <row r="675" spans="1:1" ht="12.75" customHeight="1">
      <c r="A675" s="408"/>
    </row>
    <row r="676" spans="1:1" ht="12.75" customHeight="1">
      <c r="A676" s="408"/>
    </row>
    <row r="677" spans="1:1" ht="12.75" customHeight="1">
      <c r="A677" s="408"/>
    </row>
    <row r="678" spans="1:1" ht="12.75" customHeight="1">
      <c r="A678" s="408"/>
    </row>
    <row r="679" spans="1:1" ht="12.75" customHeight="1">
      <c r="A679" s="408"/>
    </row>
    <row r="680" spans="1:1" ht="12.75" customHeight="1">
      <c r="A680" s="408"/>
    </row>
    <row r="681" spans="1:1" ht="12.75" customHeight="1">
      <c r="A681" s="408"/>
    </row>
    <row r="682" spans="1:1" ht="12.75" customHeight="1">
      <c r="A682" s="408"/>
    </row>
    <row r="683" spans="1:1" ht="12.75" customHeight="1">
      <c r="A683" s="408"/>
    </row>
    <row r="684" spans="1:1" ht="12.75" customHeight="1">
      <c r="A684" s="408"/>
    </row>
    <row r="685" spans="1:1" ht="12.75" customHeight="1">
      <c r="A685" s="408"/>
    </row>
    <row r="686" spans="1:1" ht="12.75" customHeight="1">
      <c r="A686" s="408"/>
    </row>
    <row r="687" spans="1:1" ht="12.75" customHeight="1">
      <c r="A687" s="408"/>
    </row>
    <row r="688" spans="1:1" ht="12.75" customHeight="1">
      <c r="A688" s="408"/>
    </row>
    <row r="689" spans="1:1" ht="12.75" customHeight="1">
      <c r="A689" s="408"/>
    </row>
    <row r="690" spans="1:1" ht="12.75" customHeight="1">
      <c r="A690" s="408"/>
    </row>
    <row r="691" spans="1:1" ht="12.75" customHeight="1">
      <c r="A691" s="408"/>
    </row>
    <row r="692" spans="1:1" ht="12.75" customHeight="1">
      <c r="A692" s="408"/>
    </row>
    <row r="693" spans="1:1" ht="12.75" customHeight="1">
      <c r="A693" s="408"/>
    </row>
    <row r="694" spans="1:1" ht="12.75" customHeight="1">
      <c r="A694" s="408"/>
    </row>
    <row r="695" spans="1:1" ht="12.75" customHeight="1">
      <c r="A695" s="408"/>
    </row>
    <row r="696" spans="1:1" ht="12.75" customHeight="1">
      <c r="A696" s="408"/>
    </row>
    <row r="697" spans="1:1" ht="12.75" customHeight="1">
      <c r="A697" s="408"/>
    </row>
    <row r="698" spans="1:1" ht="12.75" customHeight="1">
      <c r="A698" s="408"/>
    </row>
    <row r="699" spans="1:1" ht="12.75" customHeight="1">
      <c r="A699" s="408"/>
    </row>
    <row r="700" spans="1:1" ht="12.75" customHeight="1">
      <c r="A700" s="408"/>
    </row>
    <row r="701" spans="1:1" ht="12.75" customHeight="1">
      <c r="A701" s="408"/>
    </row>
    <row r="702" spans="1:1" ht="12.75" customHeight="1">
      <c r="A702" s="408"/>
    </row>
    <row r="703" spans="1:1" ht="12.75" customHeight="1">
      <c r="A703" s="408"/>
    </row>
    <row r="704" spans="1:1" ht="12.75" customHeight="1">
      <c r="A704" s="408"/>
    </row>
    <row r="705" spans="1:1" ht="12.75" customHeight="1">
      <c r="A705" s="408"/>
    </row>
    <row r="706" spans="1:1" ht="12.75" customHeight="1">
      <c r="A706" s="408"/>
    </row>
    <row r="707" spans="1:1" ht="12.75" customHeight="1">
      <c r="A707" s="408"/>
    </row>
    <row r="708" spans="1:1" ht="12.75" customHeight="1">
      <c r="A708" s="408"/>
    </row>
    <row r="709" spans="1:1" ht="12.75" customHeight="1">
      <c r="A709" s="408"/>
    </row>
    <row r="710" spans="1:1" ht="12.75" customHeight="1">
      <c r="A710" s="408"/>
    </row>
    <row r="711" spans="1:1" ht="12.75" customHeight="1">
      <c r="A711" s="408"/>
    </row>
    <row r="712" spans="1:1" ht="12.75" customHeight="1">
      <c r="A712" s="408"/>
    </row>
    <row r="713" spans="1:1" ht="12.75" customHeight="1">
      <c r="A713" s="408"/>
    </row>
    <row r="714" spans="1:1" ht="12.75" customHeight="1">
      <c r="A714" s="408"/>
    </row>
    <row r="715" spans="1:1" ht="12.75" customHeight="1">
      <c r="A715" s="408"/>
    </row>
    <row r="716" spans="1:1" ht="12.75" customHeight="1">
      <c r="A716" s="408"/>
    </row>
    <row r="717" spans="1:1" ht="12.75" customHeight="1">
      <c r="A717" s="408"/>
    </row>
    <row r="718" spans="1:1" ht="12.75" customHeight="1">
      <c r="A718" s="408"/>
    </row>
    <row r="719" spans="1:1" ht="12.75" customHeight="1">
      <c r="A719" s="408"/>
    </row>
    <row r="720" spans="1:1" ht="12.75" customHeight="1">
      <c r="A720" s="408"/>
    </row>
    <row r="721" spans="1:1" ht="12.75" customHeight="1">
      <c r="A721" s="408"/>
    </row>
    <row r="722" spans="1:1" ht="12.75" customHeight="1">
      <c r="A722" s="408"/>
    </row>
    <row r="723" spans="1:1" ht="12.75" customHeight="1">
      <c r="A723" s="408"/>
    </row>
    <row r="724" spans="1:1" ht="12.75" customHeight="1">
      <c r="A724" s="408"/>
    </row>
    <row r="725" spans="1:1" ht="12.75" customHeight="1">
      <c r="A725" s="408"/>
    </row>
    <row r="726" spans="1:1" ht="12.75" customHeight="1">
      <c r="A726" s="408"/>
    </row>
    <row r="727" spans="1:1" ht="12.75" customHeight="1">
      <c r="A727" s="408"/>
    </row>
    <row r="728" spans="1:1" ht="12.75" customHeight="1">
      <c r="A728" s="408"/>
    </row>
    <row r="729" spans="1:1" ht="12.75" customHeight="1">
      <c r="A729" s="408"/>
    </row>
    <row r="730" spans="1:1" ht="12.75" customHeight="1">
      <c r="A730" s="408"/>
    </row>
    <row r="731" spans="1:1" ht="12.75" customHeight="1">
      <c r="A731" s="408"/>
    </row>
    <row r="732" spans="1:1" ht="12.75" customHeight="1">
      <c r="A732" s="408"/>
    </row>
    <row r="733" spans="1:1" ht="12.75" customHeight="1">
      <c r="A733" s="408"/>
    </row>
    <row r="734" spans="1:1" ht="12.75" customHeight="1">
      <c r="A734" s="408"/>
    </row>
    <row r="735" spans="1:1" ht="12.75" customHeight="1">
      <c r="A735" s="408"/>
    </row>
    <row r="736" spans="1:1" ht="12.75" customHeight="1">
      <c r="A736" s="408"/>
    </row>
    <row r="737" spans="1:1" ht="12.75" customHeight="1">
      <c r="A737" s="408"/>
    </row>
    <row r="738" spans="1:1" ht="12.75" customHeight="1">
      <c r="A738" s="408"/>
    </row>
    <row r="739" spans="1:1" ht="12.75" customHeight="1">
      <c r="A739" s="408"/>
    </row>
    <row r="740" spans="1:1" ht="12.75" customHeight="1">
      <c r="A740" s="408"/>
    </row>
    <row r="741" spans="1:1" ht="12.75" customHeight="1">
      <c r="A741" s="408"/>
    </row>
    <row r="742" spans="1:1" ht="12.75" customHeight="1">
      <c r="A742" s="408"/>
    </row>
    <row r="743" spans="1:1" ht="12.75" customHeight="1">
      <c r="A743" s="408"/>
    </row>
    <row r="744" spans="1:1" ht="12.75" customHeight="1">
      <c r="A744" s="408"/>
    </row>
    <row r="745" spans="1:1" ht="12.75" customHeight="1">
      <c r="A745" s="408"/>
    </row>
    <row r="746" spans="1:1" ht="12.75" customHeight="1">
      <c r="A746" s="408"/>
    </row>
    <row r="747" spans="1:1" ht="12.75" customHeight="1">
      <c r="A747" s="408"/>
    </row>
    <row r="748" spans="1:1" ht="12.75" customHeight="1">
      <c r="A748" s="408"/>
    </row>
    <row r="749" spans="1:1" ht="12.75" customHeight="1">
      <c r="A749" s="408"/>
    </row>
    <row r="750" spans="1:1" ht="12.75" customHeight="1">
      <c r="A750" s="408"/>
    </row>
    <row r="751" spans="1:1" ht="12.75" customHeight="1">
      <c r="A751" s="408"/>
    </row>
    <row r="752" spans="1:1" ht="12.75" customHeight="1">
      <c r="A752" s="408"/>
    </row>
    <row r="753" spans="1:1" ht="12.75" customHeight="1">
      <c r="A753" s="408"/>
    </row>
    <row r="754" spans="1:1" ht="12.75" customHeight="1">
      <c r="A754" s="408"/>
    </row>
    <row r="755" spans="1:1" ht="12.75" customHeight="1">
      <c r="A755" s="408"/>
    </row>
    <row r="756" spans="1:1" ht="12.75" customHeight="1">
      <c r="A756" s="408"/>
    </row>
    <row r="757" spans="1:1" ht="12.75" customHeight="1">
      <c r="A757" s="408"/>
    </row>
    <row r="758" spans="1:1" ht="12.75" customHeight="1">
      <c r="A758" s="408"/>
    </row>
    <row r="759" spans="1:1" ht="12.75" customHeight="1">
      <c r="A759" s="408"/>
    </row>
    <row r="760" spans="1:1" ht="12.75" customHeight="1">
      <c r="A760" s="408"/>
    </row>
    <row r="761" spans="1:1" ht="12.75" customHeight="1">
      <c r="A761" s="408"/>
    </row>
    <row r="762" spans="1:1" ht="12.75" customHeight="1">
      <c r="A762" s="408"/>
    </row>
    <row r="763" spans="1:1" ht="12.75" customHeight="1">
      <c r="A763" s="408"/>
    </row>
    <row r="764" spans="1:1" ht="12.75" customHeight="1">
      <c r="A764" s="408"/>
    </row>
    <row r="765" spans="1:1" ht="12.75" customHeight="1">
      <c r="A765" s="408"/>
    </row>
    <row r="766" spans="1:1" ht="12.75" customHeight="1">
      <c r="A766" s="408"/>
    </row>
    <row r="767" spans="1:1" ht="12.75" customHeight="1">
      <c r="A767" s="408"/>
    </row>
    <row r="768" spans="1:1" ht="12.75" customHeight="1">
      <c r="A768" s="408"/>
    </row>
    <row r="769" spans="1:1" ht="12.75" customHeight="1">
      <c r="A769" s="408"/>
    </row>
    <row r="770" spans="1:1" ht="12.75" customHeight="1">
      <c r="A770" s="408"/>
    </row>
    <row r="771" spans="1:1" ht="12.75" customHeight="1">
      <c r="A771" s="408"/>
    </row>
    <row r="772" spans="1:1" ht="12.75" customHeight="1">
      <c r="A772" s="408"/>
    </row>
    <row r="773" spans="1:1" ht="12.75" customHeight="1">
      <c r="A773" s="408"/>
    </row>
    <row r="774" spans="1:1" ht="12.75" customHeight="1">
      <c r="A774" s="408"/>
    </row>
    <row r="775" spans="1:1" ht="12.75" customHeight="1">
      <c r="A775" s="408"/>
    </row>
    <row r="776" spans="1:1" ht="12.75" customHeight="1">
      <c r="A776" s="408"/>
    </row>
    <row r="777" spans="1:1" ht="12.75" customHeight="1">
      <c r="A777" s="408"/>
    </row>
    <row r="778" spans="1:1" ht="12.75" customHeight="1">
      <c r="A778" s="408"/>
    </row>
    <row r="779" spans="1:1" ht="12.75" customHeight="1">
      <c r="A779" s="408"/>
    </row>
    <row r="780" spans="1:1" ht="12.75" customHeight="1">
      <c r="A780" s="408"/>
    </row>
    <row r="781" spans="1:1" ht="12.75" customHeight="1">
      <c r="A781" s="408"/>
    </row>
    <row r="782" spans="1:1" ht="12.75" customHeight="1">
      <c r="A782" s="408"/>
    </row>
    <row r="783" spans="1:1" ht="12.75" customHeight="1">
      <c r="A783" s="408"/>
    </row>
    <row r="784" spans="1:1" ht="12.75" customHeight="1">
      <c r="A784" s="408"/>
    </row>
    <row r="785" spans="1:1" ht="12.75" customHeight="1">
      <c r="A785" s="408"/>
    </row>
    <row r="786" spans="1:1" ht="12.75" customHeight="1">
      <c r="A786" s="408"/>
    </row>
    <row r="787" spans="1:1" ht="12.75" customHeight="1">
      <c r="A787" s="408"/>
    </row>
    <row r="788" spans="1:1" ht="12.75" customHeight="1">
      <c r="A788" s="408"/>
    </row>
    <row r="789" spans="1:1" ht="12.75" customHeight="1">
      <c r="A789" s="408"/>
    </row>
    <row r="790" spans="1:1" ht="12.75" customHeight="1">
      <c r="A790" s="408"/>
    </row>
    <row r="791" spans="1:1" ht="12.75" customHeight="1">
      <c r="A791" s="408"/>
    </row>
    <row r="792" spans="1:1" ht="12.75" customHeight="1">
      <c r="A792" s="408"/>
    </row>
    <row r="793" spans="1:1" ht="12.75" customHeight="1">
      <c r="A793" s="408"/>
    </row>
    <row r="794" spans="1:1" ht="12.75" customHeight="1">
      <c r="A794" s="408"/>
    </row>
    <row r="795" spans="1:1" ht="12.75" customHeight="1">
      <c r="A795" s="408"/>
    </row>
    <row r="796" spans="1:1" ht="12.75" customHeight="1">
      <c r="A796" s="408"/>
    </row>
    <row r="797" spans="1:1" ht="12.75" customHeight="1">
      <c r="A797" s="408"/>
    </row>
    <row r="798" spans="1:1" ht="12.75" customHeight="1">
      <c r="A798" s="408"/>
    </row>
    <row r="799" spans="1:1" ht="12.75" customHeight="1">
      <c r="A799" s="408"/>
    </row>
    <row r="800" spans="1:1" ht="12.75" customHeight="1">
      <c r="A800" s="408"/>
    </row>
    <row r="801" spans="1:1" ht="12.75" customHeight="1">
      <c r="A801" s="408"/>
    </row>
    <row r="802" spans="1:1" ht="12.75" customHeight="1">
      <c r="A802" s="408"/>
    </row>
    <row r="803" spans="1:1" ht="12.75" customHeight="1">
      <c r="A803" s="408"/>
    </row>
    <row r="804" spans="1:1" ht="12.75" customHeight="1">
      <c r="A804" s="408"/>
    </row>
    <row r="805" spans="1:1" ht="12.75" customHeight="1">
      <c r="A805" s="408"/>
    </row>
    <row r="806" spans="1:1" ht="12.75" customHeight="1">
      <c r="A806" s="408"/>
    </row>
    <row r="807" spans="1:1" ht="12.75" customHeight="1">
      <c r="A807" s="408"/>
    </row>
    <row r="808" spans="1:1" ht="12.75" customHeight="1">
      <c r="A808" s="408"/>
    </row>
    <row r="809" spans="1:1" ht="12.75" customHeight="1">
      <c r="A809" s="408"/>
    </row>
    <row r="810" spans="1:1" ht="12.75" customHeight="1">
      <c r="A810" s="408"/>
    </row>
    <row r="811" spans="1:1" ht="12.75" customHeight="1">
      <c r="A811" s="408"/>
    </row>
    <row r="812" spans="1:1" ht="12.75" customHeight="1">
      <c r="A812" s="408"/>
    </row>
    <row r="813" spans="1:1" ht="12.75" customHeight="1">
      <c r="A813" s="408"/>
    </row>
    <row r="814" spans="1:1" ht="12.75" customHeight="1">
      <c r="A814" s="408"/>
    </row>
    <row r="815" spans="1:1" ht="12.75" customHeight="1">
      <c r="A815" s="408"/>
    </row>
    <row r="816" spans="1:1" ht="12.75" customHeight="1">
      <c r="A816" s="408"/>
    </row>
    <row r="817" spans="1:1" ht="12.75" customHeight="1">
      <c r="A817" s="408"/>
    </row>
    <row r="818" spans="1:1" ht="12.75" customHeight="1">
      <c r="A818" s="408"/>
    </row>
    <row r="819" spans="1:1" ht="12.75" customHeight="1">
      <c r="A819" s="408"/>
    </row>
    <row r="820" spans="1:1" ht="12.75" customHeight="1">
      <c r="A820" s="408"/>
    </row>
    <row r="821" spans="1:1" ht="12.75" customHeight="1">
      <c r="A821" s="408"/>
    </row>
    <row r="822" spans="1:1" ht="12.75" customHeight="1">
      <c r="A822" s="408"/>
    </row>
    <row r="823" spans="1:1" ht="12.75" customHeight="1">
      <c r="A823" s="408"/>
    </row>
    <row r="824" spans="1:1" ht="12.75" customHeight="1">
      <c r="A824" s="408"/>
    </row>
    <row r="825" spans="1:1" ht="12.75" customHeight="1">
      <c r="A825" s="408"/>
    </row>
    <row r="826" spans="1:1" ht="12.75" customHeight="1">
      <c r="A826" s="408"/>
    </row>
    <row r="827" spans="1:1" ht="12.75" customHeight="1">
      <c r="A827" s="408"/>
    </row>
    <row r="828" spans="1:1" ht="12.75" customHeight="1">
      <c r="A828" s="408"/>
    </row>
    <row r="829" spans="1:1" ht="12.75" customHeight="1">
      <c r="A829" s="408"/>
    </row>
    <row r="830" spans="1:1" ht="12.75" customHeight="1">
      <c r="A830" s="408"/>
    </row>
    <row r="831" spans="1:1" ht="12.75" customHeight="1">
      <c r="A831" s="408"/>
    </row>
    <row r="832" spans="1:1" ht="12.75" customHeight="1">
      <c r="A832" s="408"/>
    </row>
    <row r="833" spans="1:1" ht="12.75" customHeight="1">
      <c r="A833" s="408"/>
    </row>
    <row r="834" spans="1:1" ht="12.75" customHeight="1">
      <c r="A834" s="408"/>
    </row>
    <row r="835" spans="1:1" ht="12.75" customHeight="1">
      <c r="A835" s="408"/>
    </row>
    <row r="836" spans="1:1" ht="12.75" customHeight="1">
      <c r="A836" s="408"/>
    </row>
    <row r="837" spans="1:1" ht="12.75" customHeight="1">
      <c r="A837" s="408"/>
    </row>
    <row r="838" spans="1:1" ht="12.75" customHeight="1">
      <c r="A838" s="408"/>
    </row>
    <row r="839" spans="1:1" ht="12.75" customHeight="1">
      <c r="A839" s="408"/>
    </row>
    <row r="840" spans="1:1" ht="12.75" customHeight="1">
      <c r="A840" s="408"/>
    </row>
    <row r="841" spans="1:1" ht="12.75" customHeight="1">
      <c r="A841" s="408"/>
    </row>
    <row r="842" spans="1:1" ht="12.75" customHeight="1">
      <c r="A842" s="408"/>
    </row>
    <row r="843" spans="1:1" ht="12.75" customHeight="1">
      <c r="A843" s="408"/>
    </row>
    <row r="844" spans="1:1" ht="12.75" customHeight="1">
      <c r="A844" s="408"/>
    </row>
    <row r="845" spans="1:1" ht="12.75" customHeight="1">
      <c r="A845" s="408"/>
    </row>
    <row r="846" spans="1:1" ht="12.75" customHeight="1">
      <c r="A846" s="408"/>
    </row>
    <row r="847" spans="1:1" ht="12.75" customHeight="1">
      <c r="A847" s="408"/>
    </row>
    <row r="848" spans="1:1" ht="12.75" customHeight="1">
      <c r="A848" s="408"/>
    </row>
    <row r="849" spans="1:1" ht="12.75" customHeight="1">
      <c r="A849" s="408"/>
    </row>
    <row r="850" spans="1:1" ht="12.75" customHeight="1">
      <c r="A850" s="408"/>
    </row>
    <row r="851" spans="1:1" ht="12.75" customHeight="1">
      <c r="A851" s="408"/>
    </row>
    <row r="852" spans="1:1" ht="12.75" customHeight="1">
      <c r="A852" s="408"/>
    </row>
    <row r="853" spans="1:1" ht="12.75" customHeight="1">
      <c r="A853" s="408"/>
    </row>
    <row r="854" spans="1:1" ht="12.75" customHeight="1">
      <c r="A854" s="408"/>
    </row>
    <row r="855" spans="1:1" ht="12.75" customHeight="1">
      <c r="A855" s="408"/>
    </row>
    <row r="856" spans="1:1" ht="12.75" customHeight="1">
      <c r="A856" s="408"/>
    </row>
    <row r="857" spans="1:1" ht="12.75" customHeight="1">
      <c r="A857" s="408"/>
    </row>
    <row r="858" spans="1:1" ht="12.75" customHeight="1">
      <c r="A858" s="408"/>
    </row>
    <row r="859" spans="1:1" ht="12.75" customHeight="1">
      <c r="A859" s="408"/>
    </row>
    <row r="860" spans="1:1" ht="12.75" customHeight="1">
      <c r="A860" s="408"/>
    </row>
    <row r="861" spans="1:1" ht="12.75" customHeight="1">
      <c r="A861" s="408"/>
    </row>
    <row r="862" spans="1:1" ht="12.75" customHeight="1">
      <c r="A862" s="408"/>
    </row>
    <row r="863" spans="1:1" ht="12.75" customHeight="1">
      <c r="A863" s="408"/>
    </row>
    <row r="864" spans="1:1" ht="12.75" customHeight="1">
      <c r="A864" s="408"/>
    </row>
    <row r="865" spans="1:1" ht="12.75" customHeight="1">
      <c r="A865" s="408"/>
    </row>
    <row r="866" spans="1:1" ht="12.75" customHeight="1">
      <c r="A866" s="408"/>
    </row>
    <row r="867" spans="1:1" ht="12.75" customHeight="1">
      <c r="A867" s="408"/>
    </row>
    <row r="868" spans="1:1" ht="12.75" customHeight="1">
      <c r="A868" s="408"/>
    </row>
    <row r="869" spans="1:1" ht="12.75" customHeight="1">
      <c r="A869" s="408"/>
    </row>
    <row r="870" spans="1:1" ht="12.75" customHeight="1">
      <c r="A870" s="408"/>
    </row>
    <row r="871" spans="1:1" ht="12.75" customHeight="1">
      <c r="A871" s="408"/>
    </row>
    <row r="872" spans="1:1" ht="12.75" customHeight="1">
      <c r="A872" s="408"/>
    </row>
    <row r="873" spans="1:1" ht="12.75" customHeight="1">
      <c r="A873" s="408"/>
    </row>
    <row r="874" spans="1:1" ht="12.75" customHeight="1">
      <c r="A874" s="408"/>
    </row>
    <row r="875" spans="1:1" ht="12.75" customHeight="1">
      <c r="A875" s="408"/>
    </row>
    <row r="876" spans="1:1" ht="12.75" customHeight="1">
      <c r="A876" s="408"/>
    </row>
    <row r="877" spans="1:1" ht="12.75" customHeight="1">
      <c r="A877" s="408"/>
    </row>
    <row r="878" spans="1:1" ht="12.75" customHeight="1">
      <c r="A878" s="408"/>
    </row>
    <row r="879" spans="1:1" ht="12.75" customHeight="1">
      <c r="A879" s="408"/>
    </row>
    <row r="880" spans="1:1" ht="12.75" customHeight="1">
      <c r="A880" s="408"/>
    </row>
    <row r="881" spans="1:1" ht="12.75" customHeight="1">
      <c r="A881" s="408"/>
    </row>
    <row r="882" spans="1:1" ht="12.75" customHeight="1">
      <c r="A882" s="408"/>
    </row>
    <row r="883" spans="1:1" ht="12.75" customHeight="1">
      <c r="A883" s="408"/>
    </row>
    <row r="884" spans="1:1" ht="12.75" customHeight="1">
      <c r="A884" s="408"/>
    </row>
    <row r="885" spans="1:1" ht="12.75" customHeight="1">
      <c r="A885" s="408"/>
    </row>
    <row r="886" spans="1:1" ht="12.75" customHeight="1">
      <c r="A886" s="408"/>
    </row>
    <row r="887" spans="1:1" ht="12.75" customHeight="1">
      <c r="A887" s="408"/>
    </row>
    <row r="888" spans="1:1" ht="12.75" customHeight="1">
      <c r="A888" s="408"/>
    </row>
    <row r="889" spans="1:1" ht="12.75" customHeight="1">
      <c r="A889" s="408"/>
    </row>
    <row r="890" spans="1:1" ht="12.75" customHeight="1">
      <c r="A890" s="408"/>
    </row>
    <row r="891" spans="1:1" ht="12.75" customHeight="1">
      <c r="A891" s="408"/>
    </row>
    <row r="892" spans="1:1" ht="12.75" customHeight="1">
      <c r="A892" s="408"/>
    </row>
    <row r="893" spans="1:1" ht="12.75" customHeight="1">
      <c r="A893" s="408"/>
    </row>
    <row r="894" spans="1:1" ht="12.75" customHeight="1">
      <c r="A894" s="408"/>
    </row>
    <row r="895" spans="1:1" ht="12.75" customHeight="1">
      <c r="A895" s="408"/>
    </row>
    <row r="896" spans="1:1" ht="12.75" customHeight="1">
      <c r="A896" s="408"/>
    </row>
    <row r="897" spans="1:1" ht="12.75" customHeight="1">
      <c r="A897" s="408"/>
    </row>
    <row r="898" spans="1:1" ht="12.75" customHeight="1">
      <c r="A898" s="408"/>
    </row>
    <row r="899" spans="1:1" ht="12.75" customHeight="1">
      <c r="A899" s="408"/>
    </row>
    <row r="900" spans="1:1" ht="12.75" customHeight="1">
      <c r="A900" s="408"/>
    </row>
    <row r="901" spans="1:1" ht="12.75" customHeight="1">
      <c r="A901" s="408"/>
    </row>
    <row r="902" spans="1:1" ht="12.75" customHeight="1">
      <c r="A902" s="408"/>
    </row>
    <row r="903" spans="1:1" ht="12.75" customHeight="1">
      <c r="A903" s="408"/>
    </row>
    <row r="904" spans="1:1" ht="12.75" customHeight="1">
      <c r="A904" s="408"/>
    </row>
    <row r="905" spans="1:1" ht="12.75" customHeight="1">
      <c r="A905" s="408"/>
    </row>
    <row r="906" spans="1:1" ht="12.75" customHeight="1">
      <c r="A906" s="408"/>
    </row>
    <row r="907" spans="1:1" ht="12.75" customHeight="1">
      <c r="A907" s="408"/>
    </row>
    <row r="908" spans="1:1" ht="12.75" customHeight="1">
      <c r="A908" s="408"/>
    </row>
    <row r="909" spans="1:1" ht="12.75" customHeight="1">
      <c r="A909" s="408"/>
    </row>
    <row r="910" spans="1:1" ht="12.75" customHeight="1">
      <c r="A910" s="408"/>
    </row>
    <row r="911" spans="1:1" ht="12.75" customHeight="1">
      <c r="A911" s="408"/>
    </row>
    <row r="912" spans="1:1" ht="12.75" customHeight="1">
      <c r="A912" s="408"/>
    </row>
    <row r="913" spans="1:1" ht="12.75" customHeight="1">
      <c r="A913" s="408"/>
    </row>
    <row r="914" spans="1:1" ht="12.75" customHeight="1">
      <c r="A914" s="408"/>
    </row>
    <row r="915" spans="1:1" ht="12.75" customHeight="1">
      <c r="A915" s="408"/>
    </row>
    <row r="916" spans="1:1" ht="12.75" customHeight="1">
      <c r="A916" s="408"/>
    </row>
    <row r="917" spans="1:1" ht="12.75" customHeight="1">
      <c r="A917" s="408"/>
    </row>
    <row r="918" spans="1:1" ht="12.75" customHeight="1">
      <c r="A918" s="408"/>
    </row>
    <row r="919" spans="1:1" ht="12.75" customHeight="1">
      <c r="A919" s="408"/>
    </row>
    <row r="920" spans="1:1" ht="12.75" customHeight="1">
      <c r="A920" s="408"/>
    </row>
    <row r="921" spans="1:1" ht="12.75" customHeight="1">
      <c r="A921" s="408"/>
    </row>
    <row r="922" spans="1:1" ht="12.75" customHeight="1">
      <c r="A922" s="408"/>
    </row>
    <row r="923" spans="1:1" ht="12.75" customHeight="1">
      <c r="A923" s="408"/>
    </row>
    <row r="924" spans="1:1" ht="12.75" customHeight="1">
      <c r="A924" s="408"/>
    </row>
    <row r="925" spans="1:1" ht="12.75" customHeight="1">
      <c r="A925" s="408"/>
    </row>
    <row r="926" spans="1:1" ht="12.75" customHeight="1">
      <c r="A926" s="408"/>
    </row>
    <row r="927" spans="1:1" ht="12.75" customHeight="1">
      <c r="A927" s="408"/>
    </row>
    <row r="928" spans="1:1" ht="12.75" customHeight="1">
      <c r="A928" s="408"/>
    </row>
    <row r="929" spans="1:1" ht="12.75" customHeight="1">
      <c r="A929" s="408"/>
    </row>
    <row r="930" spans="1:1" ht="12.75" customHeight="1">
      <c r="A930" s="408"/>
    </row>
    <row r="931" spans="1:1" ht="12.75" customHeight="1">
      <c r="A931" s="408"/>
    </row>
    <row r="932" spans="1:1" ht="12.75" customHeight="1">
      <c r="A932" s="408"/>
    </row>
    <row r="933" spans="1:1" ht="12.75" customHeight="1">
      <c r="A933" s="408"/>
    </row>
    <row r="934" spans="1:1" ht="12.75" customHeight="1">
      <c r="A934" s="408"/>
    </row>
    <row r="935" spans="1:1" ht="12.75" customHeight="1">
      <c r="A935" s="408"/>
    </row>
    <row r="936" spans="1:1" ht="12.75" customHeight="1">
      <c r="A936" s="408"/>
    </row>
    <row r="937" spans="1:1" ht="12.75" customHeight="1">
      <c r="A937" s="408"/>
    </row>
    <row r="938" spans="1:1" ht="12.75" customHeight="1">
      <c r="A938" s="408"/>
    </row>
    <row r="939" spans="1:1" ht="12.75" customHeight="1">
      <c r="A939" s="408"/>
    </row>
    <row r="940" spans="1:1" ht="12.75" customHeight="1">
      <c r="A940" s="408"/>
    </row>
    <row r="941" spans="1:1" ht="12.75" customHeight="1">
      <c r="A941" s="408"/>
    </row>
    <row r="942" spans="1:1" ht="12.75" customHeight="1">
      <c r="A942" s="408"/>
    </row>
    <row r="943" spans="1:1" ht="12.75" customHeight="1">
      <c r="A943" s="408"/>
    </row>
    <row r="944" spans="1:1" ht="12.75" customHeight="1">
      <c r="A944" s="408"/>
    </row>
    <row r="945" spans="1:1" ht="12.75" customHeight="1">
      <c r="A945" s="408"/>
    </row>
    <row r="946" spans="1:1" ht="12.75" customHeight="1">
      <c r="A946" s="408"/>
    </row>
    <row r="947" spans="1:1" ht="12.75" customHeight="1">
      <c r="A947" s="408"/>
    </row>
    <row r="948" spans="1:1" ht="12.75" customHeight="1">
      <c r="A948" s="408"/>
    </row>
    <row r="949" spans="1:1" ht="12.75" customHeight="1">
      <c r="A949" s="408"/>
    </row>
    <row r="950" spans="1:1" ht="12.75" customHeight="1">
      <c r="A950" s="408"/>
    </row>
    <row r="951" spans="1:1" ht="12.75" customHeight="1">
      <c r="A951" s="408"/>
    </row>
    <row r="952" spans="1:1" ht="12.75" customHeight="1">
      <c r="A952" s="408"/>
    </row>
    <row r="953" spans="1:1" ht="12.75" customHeight="1">
      <c r="A953" s="408"/>
    </row>
    <row r="954" spans="1:1" ht="12.75" customHeight="1">
      <c r="A954" s="408"/>
    </row>
    <row r="955" spans="1:1" ht="12.75" customHeight="1">
      <c r="A955" s="408"/>
    </row>
    <row r="956" spans="1:1" ht="12.75" customHeight="1">
      <c r="A956" s="408"/>
    </row>
    <row r="957" spans="1:1" ht="12.75" customHeight="1">
      <c r="A957" s="408"/>
    </row>
    <row r="958" spans="1:1" ht="12.75" customHeight="1">
      <c r="A958" s="408"/>
    </row>
    <row r="959" spans="1:1" ht="12.75" customHeight="1">
      <c r="A959" s="408"/>
    </row>
    <row r="960" spans="1:1" ht="12.75" customHeight="1">
      <c r="A960" s="408"/>
    </row>
    <row r="961" spans="1:1" ht="12.75" customHeight="1">
      <c r="A961" s="408"/>
    </row>
    <row r="962" spans="1:1" ht="12.75" customHeight="1">
      <c r="A962" s="408"/>
    </row>
    <row r="963" spans="1:1" ht="12.75" customHeight="1">
      <c r="A963" s="408"/>
    </row>
    <row r="964" spans="1:1" ht="12.75" customHeight="1">
      <c r="A964" s="408"/>
    </row>
    <row r="965" spans="1:1" ht="12.75" customHeight="1">
      <c r="A965" s="408"/>
    </row>
    <row r="966" spans="1:1" ht="12.75" customHeight="1">
      <c r="A966" s="408"/>
    </row>
    <row r="967" spans="1:1" ht="12.75" customHeight="1">
      <c r="A967" s="408"/>
    </row>
    <row r="968" spans="1:1" ht="12.75" customHeight="1">
      <c r="A968" s="408"/>
    </row>
    <row r="969" spans="1:1" ht="12.75" customHeight="1">
      <c r="A969" s="408"/>
    </row>
    <row r="970" spans="1:1" ht="12.75" customHeight="1">
      <c r="A970" s="408"/>
    </row>
    <row r="971" spans="1:1" ht="12.75" customHeight="1">
      <c r="A971" s="408"/>
    </row>
    <row r="972" spans="1:1" ht="12.75" customHeight="1">
      <c r="A972" s="408"/>
    </row>
    <row r="973" spans="1:1" ht="12.75" customHeight="1">
      <c r="A973" s="408"/>
    </row>
    <row r="974" spans="1:1" ht="12.75" customHeight="1">
      <c r="A974" s="408"/>
    </row>
    <row r="975" spans="1:1" ht="12.75" customHeight="1">
      <c r="A975" s="408"/>
    </row>
    <row r="976" spans="1:1" ht="12.75" customHeight="1">
      <c r="A976" s="408"/>
    </row>
    <row r="977" spans="1:1" ht="12.75" customHeight="1">
      <c r="A977" s="408"/>
    </row>
    <row r="978" spans="1:1" ht="12.75" customHeight="1">
      <c r="A978" s="408"/>
    </row>
    <row r="979" spans="1:1" ht="12.75" customHeight="1">
      <c r="A979" s="408"/>
    </row>
    <row r="980" spans="1:1" ht="12.75" customHeight="1">
      <c r="A980" s="408"/>
    </row>
    <row r="981" spans="1:1" ht="12.75" customHeight="1">
      <c r="A981" s="408"/>
    </row>
    <row r="982" spans="1:1" ht="12.75" customHeight="1">
      <c r="A982" s="408"/>
    </row>
    <row r="983" spans="1:1" ht="12.75" customHeight="1">
      <c r="A983" s="408"/>
    </row>
    <row r="984" spans="1:1" ht="12.75" customHeight="1">
      <c r="A984" s="408"/>
    </row>
    <row r="985" spans="1:1" ht="12.75" customHeight="1">
      <c r="A985" s="408"/>
    </row>
    <row r="986" spans="1:1" ht="12.75" customHeight="1">
      <c r="A986" s="408"/>
    </row>
    <row r="987" spans="1:1" ht="12.75" customHeight="1">
      <c r="A987" s="408"/>
    </row>
    <row r="988" spans="1:1" ht="12.75" customHeight="1">
      <c r="A988" s="408"/>
    </row>
    <row r="989" spans="1:1" ht="12.75" customHeight="1">
      <c r="A989" s="408"/>
    </row>
    <row r="990" spans="1:1" ht="12.75" customHeight="1">
      <c r="A990" s="408"/>
    </row>
    <row r="991" spans="1:1" ht="12.75" customHeight="1">
      <c r="A991" s="408"/>
    </row>
    <row r="992" spans="1:1" ht="12.75" customHeight="1">
      <c r="A992" s="408"/>
    </row>
    <row r="993" spans="1:1" ht="12.75" customHeight="1">
      <c r="A993" s="408"/>
    </row>
    <row r="994" spans="1:1" ht="12.75" customHeight="1">
      <c r="A994" s="408"/>
    </row>
    <row r="995" spans="1:1" ht="12.75" customHeight="1">
      <c r="A995" s="408"/>
    </row>
  </sheetData>
  <mergeCells count="1">
    <mergeCell ref="H14:L14"/>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4" workbookViewId="0"/>
  </sheetViews>
  <sheetFormatPr defaultColWidth="14.28515625" defaultRowHeight="15" customHeight="1"/>
  <cols>
    <col min="1" max="1" width="3" customWidth="1"/>
    <col min="2" max="2" width="31.28515625" customWidth="1"/>
    <col min="3" max="3" width="6.28515625" customWidth="1"/>
    <col min="4" max="4" width="6.7109375" customWidth="1"/>
    <col min="5" max="5" width="5.28515625" customWidth="1"/>
    <col min="6" max="6" width="10.28515625" customWidth="1"/>
    <col min="7" max="7" width="7" customWidth="1"/>
    <col min="8" max="8" width="1.7109375" customWidth="1"/>
    <col min="9" max="9" width="6.7109375" customWidth="1"/>
    <col min="10" max="10" width="8" customWidth="1"/>
    <col min="11" max="11" width="10.28515625" customWidth="1"/>
    <col min="12" max="12" width="7.28515625" customWidth="1"/>
    <col min="13" max="13" width="6.7109375" customWidth="1"/>
    <col min="14" max="14" width="10.28515625" customWidth="1"/>
    <col min="15" max="15" width="8.28515625" customWidth="1"/>
    <col min="16" max="16" width="14.28515625" customWidth="1"/>
    <col min="17" max="17" width="3.28515625" customWidth="1"/>
    <col min="18" max="18" width="14.7109375" customWidth="1"/>
    <col min="19" max="19" width="12.28515625" hidden="1" customWidth="1"/>
    <col min="20" max="20" width="6" customWidth="1"/>
    <col min="21" max="21" width="5.28515625" hidden="1" customWidth="1"/>
    <col min="22" max="22" width="5.28515625" customWidth="1"/>
    <col min="23" max="23" width="10.28515625" hidden="1" customWidth="1"/>
    <col min="24" max="24" width="5.28515625" customWidth="1"/>
    <col min="25" max="25" width="8.28515625" hidden="1" customWidth="1"/>
    <col min="26" max="26" width="9" customWidth="1"/>
  </cols>
  <sheetData>
    <row r="1" spans="1:26" ht="19.5" customHeight="1">
      <c r="A1" s="309"/>
      <c r="B1" s="1984" t="s">
        <v>0</v>
      </c>
      <c r="C1" s="1985"/>
      <c r="D1" s="1985"/>
      <c r="E1" s="1985"/>
      <c r="F1" s="1985"/>
      <c r="G1" s="1985"/>
      <c r="H1" s="1985"/>
      <c r="I1" s="1985"/>
      <c r="J1" s="1985"/>
      <c r="K1" s="1985"/>
      <c r="L1" s="1985"/>
      <c r="M1" s="1985"/>
      <c r="N1" s="1985"/>
      <c r="O1" s="2000"/>
      <c r="P1" s="989"/>
      <c r="Q1" s="990"/>
      <c r="R1" s="990"/>
      <c r="S1" s="990"/>
      <c r="T1" s="990"/>
      <c r="U1" s="990"/>
      <c r="V1" s="990"/>
      <c r="W1" s="990"/>
      <c r="X1" s="990"/>
      <c r="Y1" s="990"/>
      <c r="Z1" s="990"/>
    </row>
    <row r="2" spans="1:26" ht="10.5" customHeight="1">
      <c r="A2" s="309"/>
      <c r="B2" s="1986" t="s">
        <v>147</v>
      </c>
      <c r="C2" s="1985"/>
      <c r="D2" s="1985"/>
      <c r="E2" s="1985"/>
      <c r="F2" s="1985"/>
      <c r="G2" s="1985"/>
      <c r="H2" s="1985"/>
      <c r="I2" s="1985"/>
      <c r="J2" s="1985"/>
      <c r="K2" s="1985"/>
      <c r="L2" s="1985"/>
      <c r="M2" s="1985"/>
      <c r="N2" s="1985"/>
      <c r="O2" s="2000"/>
      <c r="P2" s="991"/>
      <c r="Q2" s="345"/>
      <c r="R2" s="345"/>
      <c r="S2" s="345"/>
      <c r="T2" s="345"/>
      <c r="U2" s="345"/>
      <c r="V2" s="345"/>
      <c r="W2" s="345"/>
      <c r="X2" s="345"/>
      <c r="Y2" s="345"/>
      <c r="Z2" s="345"/>
    </row>
    <row r="3" spans="1:26" ht="12.75" customHeight="1">
      <c r="A3" s="309"/>
      <c r="B3" s="2001"/>
      <c r="C3" s="1985"/>
      <c r="D3" s="1985"/>
      <c r="E3" s="1985"/>
      <c r="F3" s="1985"/>
      <c r="G3" s="1985"/>
      <c r="H3" s="1985"/>
      <c r="I3" s="1985"/>
      <c r="J3" s="1985"/>
      <c r="K3" s="1985"/>
      <c r="L3" s="1985"/>
      <c r="M3" s="1985"/>
      <c r="N3" s="1985"/>
      <c r="O3" s="2000"/>
      <c r="P3" s="991"/>
      <c r="Q3" s="992"/>
      <c r="R3" s="992"/>
      <c r="S3" s="992"/>
      <c r="T3" s="992"/>
      <c r="U3" s="992"/>
      <c r="V3" s="992"/>
      <c r="W3" s="992"/>
      <c r="X3" s="992"/>
      <c r="Y3" s="992"/>
      <c r="Z3" s="992"/>
    </row>
    <row r="4" spans="1:26" ht="6" customHeight="1">
      <c r="A4" s="309"/>
      <c r="B4" s="894"/>
      <c r="C4" s="894"/>
      <c r="D4" s="894"/>
      <c r="E4" s="894"/>
      <c r="F4" s="894"/>
      <c r="G4" s="894"/>
      <c r="H4" s="894"/>
      <c r="I4" s="894"/>
      <c r="J4" s="894"/>
      <c r="K4" s="894"/>
      <c r="L4" s="894"/>
      <c r="M4" s="894"/>
      <c r="N4" s="894"/>
      <c r="O4" s="993"/>
      <c r="P4" s="994"/>
      <c r="Q4" s="933"/>
      <c r="R4" s="933"/>
      <c r="S4" s="933"/>
      <c r="T4" s="933"/>
      <c r="U4" s="933"/>
      <c r="V4" s="933"/>
      <c r="W4" s="933"/>
      <c r="X4" s="933"/>
      <c r="Y4" s="933"/>
      <c r="Z4" s="933"/>
    </row>
    <row r="5" spans="1:26" ht="13.5" customHeight="1">
      <c r="A5" s="897"/>
      <c r="B5" s="897"/>
      <c r="C5" s="898"/>
      <c r="D5" s="1988" t="s">
        <v>3</v>
      </c>
      <c r="E5" s="1989"/>
      <c r="F5" s="1989"/>
      <c r="G5" s="1989"/>
      <c r="H5" s="1989"/>
      <c r="I5" s="1989"/>
      <c r="J5" s="1989"/>
      <c r="K5" s="1989"/>
      <c r="L5" s="1990"/>
      <c r="M5" s="899"/>
      <c r="N5" s="1991"/>
      <c r="O5" s="2002"/>
      <c r="P5" s="995"/>
      <c r="Q5" s="996"/>
      <c r="R5" s="309"/>
      <c r="S5" s="309"/>
      <c r="T5" s="309"/>
      <c r="U5" s="309"/>
      <c r="V5" s="309"/>
      <c r="W5" s="309"/>
      <c r="X5" s="309"/>
      <c r="Y5" s="309"/>
      <c r="Z5" s="309"/>
    </row>
    <row r="6" spans="1:26" ht="12" customHeight="1">
      <c r="A6" s="309"/>
      <c r="B6" s="345"/>
      <c r="C6" s="936"/>
      <c r="D6" s="1993">
        <v>38352</v>
      </c>
      <c r="E6" s="1981"/>
      <c r="F6" s="1981"/>
      <c r="G6" s="1981"/>
      <c r="H6" s="937"/>
      <c r="I6" s="1994">
        <v>38717</v>
      </c>
      <c r="J6" s="1981"/>
      <c r="K6" s="1981"/>
      <c r="L6" s="1983"/>
      <c r="M6" s="345"/>
      <c r="N6" s="308" t="s">
        <v>5</v>
      </c>
      <c r="O6" s="15" t="s">
        <v>6</v>
      </c>
      <c r="P6" s="997"/>
      <c r="Q6" s="308"/>
      <c r="R6" s="309"/>
      <c r="S6" s="309"/>
      <c r="T6" s="309"/>
      <c r="U6" s="309"/>
      <c r="V6" s="309"/>
      <c r="W6" s="309"/>
      <c r="X6" s="309"/>
      <c r="Y6" s="309"/>
      <c r="Z6" s="309"/>
    </row>
    <row r="7" spans="1:26" ht="12" customHeight="1">
      <c r="A7" s="309"/>
      <c r="B7" s="941" t="s">
        <v>7</v>
      </c>
      <c r="C7" s="942" t="s">
        <v>8</v>
      </c>
      <c r="D7" s="16" t="s">
        <v>9</v>
      </c>
      <c r="E7" s="943" t="s">
        <v>10</v>
      </c>
      <c r="F7" s="943" t="s">
        <v>11</v>
      </c>
      <c r="G7" s="943" t="s">
        <v>12</v>
      </c>
      <c r="H7" s="943"/>
      <c r="I7" s="943" t="s">
        <v>9</v>
      </c>
      <c r="J7" s="943" t="s">
        <v>10</v>
      </c>
      <c r="K7" s="998" t="s">
        <v>11</v>
      </c>
      <c r="L7" s="999" t="s">
        <v>12</v>
      </c>
      <c r="M7" s="941"/>
      <c r="N7" s="943" t="s">
        <v>15</v>
      </c>
      <c r="O7" s="999" t="s">
        <v>15</v>
      </c>
      <c r="P7" s="997"/>
      <c r="Q7" s="308"/>
      <c r="R7" s="309"/>
      <c r="S7" s="309"/>
      <c r="T7" s="309"/>
      <c r="U7" s="309"/>
      <c r="V7" s="309"/>
      <c r="W7" s="309"/>
      <c r="X7" s="309"/>
      <c r="Y7" s="309"/>
      <c r="Z7" s="309"/>
    </row>
    <row r="8" spans="1:26" ht="12" customHeight="1">
      <c r="A8" s="1000">
        <v>1</v>
      </c>
      <c r="B8" s="309" t="s">
        <v>148</v>
      </c>
      <c r="C8" s="985" t="s">
        <v>149</v>
      </c>
      <c r="D8" s="921"/>
      <c r="E8" s="308"/>
      <c r="F8" s="308"/>
      <c r="G8" s="308"/>
      <c r="H8" s="308"/>
      <c r="I8" s="940">
        <v>50</v>
      </c>
      <c r="J8" s="947">
        <v>37.200000000000003</v>
      </c>
      <c r="K8" s="948">
        <f t="shared" ref="K8:K32" si="0">J8*I8</f>
        <v>1860.0000000000002</v>
      </c>
      <c r="L8" s="965">
        <v>2.5609819739082641E-2</v>
      </c>
      <c r="M8" s="345"/>
      <c r="N8" s="1001"/>
      <c r="O8" s="17">
        <f>(J8-Transactions!C1694)/Transactions!C1694</f>
        <v>-6.5326633165829012E-2</v>
      </c>
      <c r="P8" s="326" t="str">
        <f>IF(O8&lt;-0.15,"SELL","")</f>
        <v/>
      </c>
      <c r="Q8" s="308"/>
      <c r="R8" s="309"/>
      <c r="S8" s="309"/>
      <c r="T8" s="309"/>
      <c r="U8" s="309"/>
      <c r="V8" s="309"/>
      <c r="W8" s="309"/>
      <c r="X8" s="309"/>
      <c r="Y8" s="309"/>
      <c r="Z8" s="309"/>
    </row>
    <row r="9" spans="1:26" ht="12.75" customHeight="1">
      <c r="A9" s="1000">
        <v>2</v>
      </c>
      <c r="B9" s="309" t="s">
        <v>150</v>
      </c>
      <c r="C9" s="985" t="s">
        <v>19</v>
      </c>
      <c r="D9" s="921"/>
      <c r="E9" s="308"/>
      <c r="F9" s="308"/>
      <c r="G9" s="308"/>
      <c r="H9" s="308"/>
      <c r="I9" s="940">
        <v>25</v>
      </c>
      <c r="J9" s="947">
        <v>68.23</v>
      </c>
      <c r="K9" s="948">
        <f t="shared" si="0"/>
        <v>1705.75</v>
      </c>
      <c r="L9" s="965">
        <v>2.1241654259057982E-2</v>
      </c>
      <c r="M9" s="345"/>
      <c r="N9" s="949"/>
      <c r="O9" s="965">
        <f>(J9-Transactions!C1785)/Transactions!C1785</f>
        <v>-5.7596685082872946E-2</v>
      </c>
      <c r="P9" s="326" t="str">
        <f>IF(O9&lt;-0.15,"SELL","")</f>
        <v/>
      </c>
      <c r="Q9" s="308"/>
      <c r="R9" s="309"/>
      <c r="S9" s="309"/>
      <c r="T9" s="309"/>
      <c r="U9" s="309"/>
      <c r="V9" s="309"/>
      <c r="W9" s="309"/>
      <c r="X9" s="309"/>
      <c r="Y9" s="309"/>
      <c r="Z9" s="309"/>
    </row>
    <row r="10" spans="1:26" ht="12.75" customHeight="1">
      <c r="A10" s="1000">
        <v>3</v>
      </c>
      <c r="B10" s="309" t="s">
        <v>20</v>
      </c>
      <c r="C10" s="985" t="s">
        <v>21</v>
      </c>
      <c r="D10" s="921"/>
      <c r="E10" s="308"/>
      <c r="F10" s="308"/>
      <c r="G10" s="308"/>
      <c r="H10" s="308"/>
      <c r="I10" s="940">
        <v>100</v>
      </c>
      <c r="J10" s="940">
        <v>44.26</v>
      </c>
      <c r="K10" s="948">
        <f t="shared" si="0"/>
        <v>4426</v>
      </c>
      <c r="L10" s="965">
        <v>5.5214127085267482E-2</v>
      </c>
      <c r="M10" s="345"/>
      <c r="N10" s="949"/>
      <c r="O10" s="965">
        <f>(J10-Transactions!C1698)/Transactions!C1698</f>
        <v>1.2558613659531088</v>
      </c>
      <c r="P10" s="326"/>
      <c r="Q10" s="308"/>
      <c r="R10" s="309"/>
      <c r="S10" s="309"/>
      <c r="T10" s="309"/>
      <c r="U10" s="309"/>
      <c r="V10" s="309"/>
      <c r="W10" s="309"/>
      <c r="X10" s="309"/>
      <c r="Y10" s="309"/>
      <c r="Z10" s="309"/>
    </row>
    <row r="11" spans="1:26" ht="12.75" customHeight="1">
      <c r="A11" s="1000">
        <v>4</v>
      </c>
      <c r="B11" s="309" t="s">
        <v>151</v>
      </c>
      <c r="C11" s="985" t="s">
        <v>152</v>
      </c>
      <c r="D11" s="921"/>
      <c r="E11" s="308"/>
      <c r="F11" s="308"/>
      <c r="G11" s="308"/>
      <c r="H11" s="308"/>
      <c r="I11" s="940">
        <v>200</v>
      </c>
      <c r="J11" s="940">
        <v>17.12</v>
      </c>
      <c r="K11" s="948">
        <f t="shared" si="0"/>
        <v>3424</v>
      </c>
      <c r="L11" s="965">
        <v>4.5150595404148716E-2</v>
      </c>
      <c r="M11" s="345"/>
      <c r="N11" s="949"/>
      <c r="O11" s="965">
        <f>(J11-Transactions!C1712)/Transactions!C1712</f>
        <v>-2.1154945683247425E-2</v>
      </c>
      <c r="P11" s="326"/>
      <c r="Q11" s="308"/>
      <c r="R11" s="309"/>
      <c r="S11" s="309"/>
      <c r="T11" s="309"/>
      <c r="U11" s="309"/>
      <c r="V11" s="309"/>
      <c r="W11" s="309"/>
      <c r="X11" s="309"/>
      <c r="Y11" s="309"/>
      <c r="Z11" s="309"/>
    </row>
    <row r="12" spans="1:26" ht="12.75" customHeight="1">
      <c r="A12" s="1000">
        <v>5</v>
      </c>
      <c r="B12" s="959" t="s">
        <v>153</v>
      </c>
      <c r="C12" s="309" t="s">
        <v>154</v>
      </c>
      <c r="D12" s="946"/>
      <c r="E12" s="947"/>
      <c r="F12" s="948"/>
      <c r="G12" s="949"/>
      <c r="H12" s="949"/>
      <c r="I12" s="950">
        <v>30</v>
      </c>
      <c r="J12" s="964">
        <v>40.31</v>
      </c>
      <c r="K12" s="948">
        <f t="shared" si="0"/>
        <v>1209.3000000000002</v>
      </c>
      <c r="L12" s="965">
        <v>1.6042377647878185E-2</v>
      </c>
      <c r="M12" s="309"/>
      <c r="N12" s="1001"/>
      <c r="O12" s="965">
        <f>(J12-Transactions!C1792)/Transactions!C1792</f>
        <v>-3.44910179640718E-2</v>
      </c>
      <c r="P12" s="326"/>
      <c r="Q12" s="309"/>
      <c r="R12" s="309"/>
      <c r="S12" s="309"/>
      <c r="T12" s="309"/>
      <c r="U12" s="309"/>
      <c r="V12" s="309"/>
      <c r="W12" s="309"/>
      <c r="X12" s="309"/>
      <c r="Y12" s="309"/>
      <c r="Z12" s="309"/>
    </row>
    <row r="13" spans="1:26" ht="12.75" customHeight="1">
      <c r="A13" s="1000">
        <v>6</v>
      </c>
      <c r="B13" s="959" t="s">
        <v>155</v>
      </c>
      <c r="C13" s="309" t="s">
        <v>156</v>
      </c>
      <c r="D13" s="946"/>
      <c r="E13" s="947"/>
      <c r="F13" s="948"/>
      <c r="G13" s="949"/>
      <c r="H13" s="949"/>
      <c r="I13" s="950">
        <v>25</v>
      </c>
      <c r="J13" s="964">
        <v>89.7</v>
      </c>
      <c r="K13" s="948">
        <f t="shared" si="0"/>
        <v>2242.5</v>
      </c>
      <c r="L13" s="965">
        <v>2.8347976566531732E-2</v>
      </c>
      <c r="M13" s="309"/>
      <c r="N13" s="1001"/>
      <c r="O13" s="965">
        <f>(J13-Transactions!C1684)/Transactions!C1684</f>
        <v>2.2805017103762829E-2</v>
      </c>
      <c r="P13" s="326"/>
      <c r="Q13" s="309"/>
      <c r="R13" s="309"/>
      <c r="S13" s="309"/>
      <c r="T13" s="309"/>
      <c r="U13" s="309"/>
      <c r="V13" s="309"/>
      <c r="W13" s="309"/>
      <c r="X13" s="309"/>
      <c r="Y13" s="309"/>
      <c r="Z13" s="309"/>
    </row>
    <row r="14" spans="1:26" ht="12.75" customHeight="1">
      <c r="A14" s="1000">
        <v>7</v>
      </c>
      <c r="B14" s="959" t="s">
        <v>24</v>
      </c>
      <c r="C14" s="309" t="s">
        <v>25</v>
      </c>
      <c r="D14" s="946"/>
      <c r="E14" s="947"/>
      <c r="F14" s="948"/>
      <c r="G14" s="949"/>
      <c r="H14" s="949"/>
      <c r="I14" s="950">
        <v>40</v>
      </c>
      <c r="J14" s="964">
        <v>55.78</v>
      </c>
      <c r="K14" s="948">
        <f t="shared" si="0"/>
        <v>2231.1999999999998</v>
      </c>
      <c r="L14" s="965">
        <v>2.9816917170433829E-2</v>
      </c>
      <c r="M14" s="309"/>
      <c r="N14" s="1001"/>
      <c r="O14" s="965">
        <f>(J14-Transactions!C1718)/Transactions!C1718</f>
        <v>1.1982266009852218</v>
      </c>
      <c r="P14" s="326"/>
      <c r="Q14" s="309"/>
      <c r="R14" s="309"/>
      <c r="S14" s="309"/>
      <c r="T14" s="309"/>
      <c r="U14" s="309"/>
      <c r="V14" s="309"/>
      <c r="W14" s="309"/>
      <c r="X14" s="309"/>
      <c r="Y14" s="309"/>
      <c r="Z14" s="309"/>
    </row>
    <row r="15" spans="1:26" ht="12.75" customHeight="1">
      <c r="A15" s="1000">
        <v>8</v>
      </c>
      <c r="B15" s="309" t="s">
        <v>97</v>
      </c>
      <c r="C15" s="309" t="s">
        <v>157</v>
      </c>
      <c r="D15" s="946">
        <v>55</v>
      </c>
      <c r="E15" s="947">
        <v>27.74</v>
      </c>
      <c r="F15" s="948">
        <f>D15*E15</f>
        <v>1525.6999999999998</v>
      </c>
      <c r="G15" s="949">
        <f>F15/$F$57</f>
        <v>1.8490361427969275E-2</v>
      </c>
      <c r="H15" s="949"/>
      <c r="I15" s="950">
        <v>55</v>
      </c>
      <c r="J15" s="964">
        <v>38.880000000000003</v>
      </c>
      <c r="K15" s="948">
        <f t="shared" si="0"/>
        <v>2138.4</v>
      </c>
      <c r="L15" s="965">
        <v>2.4754870536723834E-2</v>
      </c>
      <c r="M15" s="309"/>
      <c r="N15" s="949">
        <f>(K15-F15)/F15</f>
        <v>0.40158615717375651</v>
      </c>
      <c r="O15" s="965">
        <v>0.91826686361398346</v>
      </c>
      <c r="P15" s="326"/>
      <c r="Q15" s="309"/>
      <c r="R15" s="309"/>
      <c r="S15" s="309"/>
      <c r="T15" s="309"/>
      <c r="U15" s="309"/>
      <c r="V15" s="309"/>
      <c r="W15" s="309"/>
      <c r="X15" s="309"/>
      <c r="Y15" s="309"/>
      <c r="Z15" s="309"/>
    </row>
    <row r="16" spans="1:26" ht="12.75" customHeight="1">
      <c r="A16" s="1000">
        <v>9</v>
      </c>
      <c r="B16" s="309" t="s">
        <v>103</v>
      </c>
      <c r="C16" s="309" t="s">
        <v>104</v>
      </c>
      <c r="D16" s="946">
        <v>60</v>
      </c>
      <c r="E16" s="947">
        <v>60.75</v>
      </c>
      <c r="F16" s="948">
        <f>D16*E16</f>
        <v>3645</v>
      </c>
      <c r="G16" s="949">
        <f>F16/$F$57</f>
        <v>4.4174718099854501E-2</v>
      </c>
      <c r="H16" s="949"/>
      <c r="I16" s="950">
        <v>60</v>
      </c>
      <c r="J16" s="964">
        <v>51.49</v>
      </c>
      <c r="K16" s="948">
        <f t="shared" si="0"/>
        <v>3089.4</v>
      </c>
      <c r="L16" s="965">
        <v>3.9576352375657063E-2</v>
      </c>
      <c r="M16" s="309"/>
      <c r="N16" s="949">
        <f>(K16-F16)/F16</f>
        <v>-0.15242798353909462</v>
      </c>
      <c r="O16" s="965">
        <v>0.21754385964912287</v>
      </c>
      <c r="P16" s="326"/>
      <c r="Q16" s="309"/>
      <c r="R16" s="309"/>
      <c r="S16" s="309"/>
      <c r="T16" s="309"/>
      <c r="U16" s="309"/>
      <c r="V16" s="309"/>
      <c r="W16" s="309"/>
      <c r="X16" s="309"/>
      <c r="Y16" s="309"/>
      <c r="Z16" s="309"/>
    </row>
    <row r="17" spans="1:26" ht="12.75" customHeight="1">
      <c r="A17" s="1000">
        <v>10</v>
      </c>
      <c r="B17" s="309" t="s">
        <v>107</v>
      </c>
      <c r="C17" s="309" t="s">
        <v>108</v>
      </c>
      <c r="D17" s="946">
        <v>40</v>
      </c>
      <c r="E17" s="947">
        <v>49.52</v>
      </c>
      <c r="F17" s="948">
        <f>D17*E17</f>
        <v>1980.8000000000002</v>
      </c>
      <c r="G17" s="949">
        <f>F17/$F$57</f>
        <v>2.4005838576733003E-2</v>
      </c>
      <c r="H17" s="949"/>
      <c r="I17" s="950">
        <v>40</v>
      </c>
      <c r="J17" s="964">
        <v>49.64</v>
      </c>
      <c r="K17" s="948">
        <f t="shared" si="0"/>
        <v>1985.6</v>
      </c>
      <c r="L17" s="965">
        <v>2.4801902406936489E-2</v>
      </c>
      <c r="M17" s="309"/>
      <c r="N17" s="949">
        <f>(K17-F17)/F17</f>
        <v>2.4232633279481657E-3</v>
      </c>
      <c r="O17" s="965">
        <v>1.6977894322088014</v>
      </c>
      <c r="P17" s="326"/>
      <c r="Q17" s="309"/>
      <c r="R17" s="309"/>
      <c r="S17" s="309"/>
      <c r="T17" s="309"/>
      <c r="U17" s="309"/>
      <c r="V17" s="309"/>
      <c r="W17" s="309"/>
      <c r="X17" s="309"/>
      <c r="Y17" s="309"/>
      <c r="Z17" s="309"/>
    </row>
    <row r="18" spans="1:26" ht="12.75" customHeight="1">
      <c r="A18" s="1000">
        <v>11</v>
      </c>
      <c r="B18" s="309" t="s">
        <v>109</v>
      </c>
      <c r="C18" s="309" t="s">
        <v>110</v>
      </c>
      <c r="D18" s="946">
        <v>136</v>
      </c>
      <c r="E18" s="947">
        <v>23.39</v>
      </c>
      <c r="F18" s="948">
        <f>D18*E18</f>
        <v>3181.04</v>
      </c>
      <c r="G18" s="949">
        <f>F18/$F$57</f>
        <v>3.8551864270057933E-2</v>
      </c>
      <c r="H18" s="949"/>
      <c r="I18" s="950">
        <v>136</v>
      </c>
      <c r="J18" s="964">
        <v>24.96</v>
      </c>
      <c r="K18" s="948">
        <f t="shared" si="0"/>
        <v>3394.56</v>
      </c>
      <c r="L18" s="965">
        <v>4.4844437257230176E-2</v>
      </c>
      <c r="M18" s="309"/>
      <c r="N18" s="949">
        <f>(K18-F18)/F18</f>
        <v>6.7122702009405719E-2</v>
      </c>
      <c r="O18" s="965">
        <v>0.78611229499139712</v>
      </c>
      <c r="P18" s="326"/>
      <c r="Q18" s="309"/>
      <c r="R18" s="309"/>
      <c r="S18" s="309"/>
      <c r="T18" s="309"/>
      <c r="U18" s="309"/>
      <c r="V18" s="309"/>
      <c r="W18" s="309"/>
      <c r="X18" s="309"/>
      <c r="Y18" s="309"/>
      <c r="Z18" s="309"/>
    </row>
    <row r="19" spans="1:26" ht="12.75" customHeight="1">
      <c r="A19" s="1000">
        <v>12</v>
      </c>
      <c r="B19" s="309" t="s">
        <v>158</v>
      </c>
      <c r="C19" s="309" t="s">
        <v>159</v>
      </c>
      <c r="D19" s="946"/>
      <c r="E19" s="947"/>
      <c r="F19" s="948"/>
      <c r="G19" s="949"/>
      <c r="H19" s="949"/>
      <c r="I19" s="950">
        <v>100</v>
      </c>
      <c r="J19" s="964">
        <v>27.15</v>
      </c>
      <c r="K19" s="948">
        <f t="shared" si="0"/>
        <v>2715</v>
      </c>
      <c r="L19" s="965">
        <v>3.4636073186744221E-2</v>
      </c>
      <c r="M19" s="309"/>
      <c r="N19" s="949"/>
      <c r="O19" s="965">
        <f>(J19-Transactions!C1756)/Transactions!C1756</f>
        <v>0.44031830238726771</v>
      </c>
      <c r="P19" s="326"/>
      <c r="Q19" s="309"/>
      <c r="R19" s="309"/>
      <c r="S19" s="309"/>
      <c r="T19" s="309"/>
      <c r="U19" s="309"/>
      <c r="V19" s="309"/>
      <c r="W19" s="309"/>
      <c r="X19" s="309"/>
      <c r="Y19" s="309"/>
      <c r="Z19" s="309"/>
    </row>
    <row r="20" spans="1:26" ht="12.75" customHeight="1">
      <c r="A20" s="1000">
        <v>13</v>
      </c>
      <c r="B20" s="309" t="s">
        <v>40</v>
      </c>
      <c r="C20" s="309" t="s">
        <v>41</v>
      </c>
      <c r="D20" s="946"/>
      <c r="E20" s="947"/>
      <c r="F20" s="948"/>
      <c r="G20" s="949"/>
      <c r="H20" s="949"/>
      <c r="I20" s="950">
        <v>150</v>
      </c>
      <c r="J20" s="964">
        <v>26.15</v>
      </c>
      <c r="K20" s="948">
        <f t="shared" si="0"/>
        <v>3922.5</v>
      </c>
      <c r="L20" s="965">
        <v>5.3539019379063336E-2</v>
      </c>
      <c r="M20" s="309"/>
      <c r="N20" s="949"/>
      <c r="O20" s="965">
        <f>(J20-Transactions!C1774)/Transactions!C1774</f>
        <v>2.7101335428122455E-2</v>
      </c>
      <c r="P20" s="326"/>
      <c r="Q20" s="309"/>
      <c r="R20" s="309"/>
      <c r="S20" s="309"/>
      <c r="T20" s="309"/>
      <c r="U20" s="309"/>
      <c r="V20" s="309"/>
      <c r="W20" s="309"/>
      <c r="X20" s="309"/>
      <c r="Y20" s="309"/>
      <c r="Z20" s="309"/>
    </row>
    <row r="21" spans="1:26" ht="12.75" customHeight="1">
      <c r="A21" s="1000">
        <v>14</v>
      </c>
      <c r="B21" s="309" t="s">
        <v>160</v>
      </c>
      <c r="C21" s="309" t="s">
        <v>161</v>
      </c>
      <c r="D21" s="946"/>
      <c r="E21" s="947"/>
      <c r="F21" s="948"/>
      <c r="G21" s="949"/>
      <c r="H21" s="949"/>
      <c r="I21" s="950">
        <v>40</v>
      </c>
      <c r="J21" s="964">
        <v>66.72</v>
      </c>
      <c r="K21" s="948">
        <f t="shared" si="0"/>
        <v>2668.8</v>
      </c>
      <c r="L21" s="965">
        <v>3.456391470093851E-2</v>
      </c>
      <c r="M21" s="309"/>
      <c r="N21" s="949"/>
      <c r="O21" s="965">
        <f>(J21-Transactions!C1710)/Transactions!C1710</f>
        <v>7.61290322580645E-2</v>
      </c>
      <c r="P21" s="326"/>
      <c r="Q21" s="309"/>
      <c r="R21" s="309"/>
      <c r="S21" s="309"/>
      <c r="T21" s="309"/>
      <c r="U21" s="309"/>
      <c r="V21" s="309"/>
      <c r="W21" s="309"/>
      <c r="X21" s="309"/>
      <c r="Y21" s="309"/>
      <c r="Z21" s="309"/>
    </row>
    <row r="22" spans="1:26" ht="12.75" customHeight="1">
      <c r="A22" s="1000">
        <v>15</v>
      </c>
      <c r="B22" s="309" t="s">
        <v>162</v>
      </c>
      <c r="C22" s="309" t="s">
        <v>163</v>
      </c>
      <c r="D22" s="946"/>
      <c r="E22" s="947"/>
      <c r="F22" s="948"/>
      <c r="G22" s="949"/>
      <c r="H22" s="949"/>
      <c r="I22" s="950">
        <v>100</v>
      </c>
      <c r="J22" s="964">
        <v>32.950000000000003</v>
      </c>
      <c r="K22" s="948">
        <f t="shared" si="0"/>
        <v>3295.0000000000005</v>
      </c>
      <c r="L22" s="965">
        <v>4.0795315368017934E-2</v>
      </c>
      <c r="M22" s="309"/>
      <c r="N22" s="949"/>
      <c r="O22" s="965">
        <f>(J22-Transactions!C1686)/Transactions!C1686</f>
        <v>2.7439975054568213E-2</v>
      </c>
      <c r="P22" s="326"/>
      <c r="Q22" s="309"/>
      <c r="R22" s="309"/>
      <c r="S22" s="309"/>
      <c r="T22" s="309"/>
      <c r="U22" s="309"/>
      <c r="V22" s="309"/>
      <c r="W22" s="309"/>
      <c r="X22" s="309"/>
      <c r="Y22" s="309"/>
      <c r="Z22" s="309"/>
    </row>
    <row r="23" spans="1:26" ht="12.75" customHeight="1">
      <c r="A23" s="1000">
        <v>16</v>
      </c>
      <c r="B23" s="309" t="s">
        <v>164</v>
      </c>
      <c r="C23" s="309" t="s">
        <v>165</v>
      </c>
      <c r="D23" s="946"/>
      <c r="E23" s="947"/>
      <c r="F23" s="948"/>
      <c r="G23" s="949"/>
      <c r="H23" s="949"/>
      <c r="I23" s="950">
        <v>30</v>
      </c>
      <c r="J23" s="964">
        <v>59.08</v>
      </c>
      <c r="K23" s="948">
        <f t="shared" si="0"/>
        <v>1772.3999999999999</v>
      </c>
      <c r="L23" s="965">
        <v>2.2853623290182125E-2</v>
      </c>
      <c r="M23" s="309"/>
      <c r="N23" s="949"/>
      <c r="O23" s="965">
        <f>(J23-Transactions!C1793)/Transactions!C1793</f>
        <v>8.8029465930018438E-2</v>
      </c>
      <c r="P23" s="326"/>
      <c r="Q23" s="309"/>
      <c r="R23" s="309"/>
      <c r="S23" s="309"/>
      <c r="T23" s="309"/>
      <c r="U23" s="309"/>
      <c r="V23" s="309"/>
      <c r="W23" s="309"/>
      <c r="X23" s="309"/>
      <c r="Y23" s="309"/>
      <c r="Z23" s="309"/>
    </row>
    <row r="24" spans="1:26" ht="12.75" customHeight="1">
      <c r="A24" s="1000">
        <v>17</v>
      </c>
      <c r="B24" s="309" t="s">
        <v>117</v>
      </c>
      <c r="C24" s="309" t="s">
        <v>118</v>
      </c>
      <c r="D24" s="946">
        <v>100</v>
      </c>
      <c r="E24" s="947">
        <v>33.93</v>
      </c>
      <c r="F24" s="948">
        <f>D24*E24</f>
        <v>3393</v>
      </c>
      <c r="G24" s="949">
        <f>F24/$F$57</f>
        <v>4.1120663515173198E-2</v>
      </c>
      <c r="H24" s="949"/>
      <c r="I24" s="950">
        <v>100</v>
      </c>
      <c r="J24" s="964">
        <v>30.59</v>
      </c>
      <c r="K24" s="948">
        <f t="shared" si="0"/>
        <v>3059</v>
      </c>
      <c r="L24" s="965">
        <v>4.2908528166613932E-2</v>
      </c>
      <c r="M24" s="309"/>
      <c r="N24" s="949">
        <f>(K24-F24)/F24</f>
        <v>-9.843796050692602E-2</v>
      </c>
      <c r="O24" s="965">
        <v>-0.12022110951650992</v>
      </c>
      <c r="P24" s="326"/>
      <c r="Q24" s="309"/>
      <c r="R24" s="309"/>
      <c r="S24" s="309"/>
      <c r="T24" s="309"/>
      <c r="U24" s="309"/>
      <c r="V24" s="309"/>
      <c r="W24" s="309"/>
      <c r="X24" s="309"/>
      <c r="Y24" s="309"/>
      <c r="Z24" s="309"/>
    </row>
    <row r="25" spans="1:26" ht="12.75" customHeight="1">
      <c r="A25" s="1000">
        <v>18</v>
      </c>
      <c r="B25" s="309" t="s">
        <v>59</v>
      </c>
      <c r="C25" s="309" t="s">
        <v>60</v>
      </c>
      <c r="D25" s="946"/>
      <c r="E25" s="947"/>
      <c r="F25" s="948"/>
      <c r="G25" s="949"/>
      <c r="H25" s="949"/>
      <c r="I25" s="950">
        <v>50</v>
      </c>
      <c r="J25" s="964">
        <v>44.84</v>
      </c>
      <c r="K25" s="948">
        <f t="shared" si="0"/>
        <v>2242</v>
      </c>
      <c r="L25" s="965">
        <v>2.9179087697686866E-2</v>
      </c>
      <c r="M25" s="309"/>
      <c r="N25" s="949"/>
      <c r="O25" s="965">
        <f>(J25-Transactions!C1758)/Transactions!C1758</f>
        <v>0.13375474083438701</v>
      </c>
      <c r="P25" s="326"/>
      <c r="Q25" s="309"/>
      <c r="R25" s="309"/>
      <c r="S25" s="309"/>
      <c r="T25" s="309"/>
      <c r="U25" s="309"/>
      <c r="V25" s="309"/>
      <c r="W25" s="309"/>
      <c r="X25" s="309"/>
      <c r="Y25" s="309"/>
      <c r="Z25" s="309"/>
    </row>
    <row r="26" spans="1:26" ht="12.75" customHeight="1">
      <c r="A26" s="1000">
        <v>19</v>
      </c>
      <c r="B26" s="309" t="s">
        <v>166</v>
      </c>
      <c r="C26" s="309" t="s">
        <v>167</v>
      </c>
      <c r="D26" s="946"/>
      <c r="E26" s="947"/>
      <c r="F26" s="948"/>
      <c r="G26" s="949"/>
      <c r="H26" s="949"/>
      <c r="I26" s="950">
        <v>30</v>
      </c>
      <c r="J26" s="964">
        <v>50.2</v>
      </c>
      <c r="K26" s="948">
        <f t="shared" si="0"/>
        <v>1506</v>
      </c>
      <c r="L26" s="965">
        <v>1.9795907454164863E-2</v>
      </c>
      <c r="M26" s="309"/>
      <c r="N26" s="949"/>
      <c r="O26" s="965">
        <f>(J26-Transactions!C1690)/Transactions!C1690</f>
        <v>0.58760278304870339</v>
      </c>
      <c r="P26" s="326"/>
      <c r="Q26" s="309"/>
      <c r="R26" s="309"/>
      <c r="S26" s="309"/>
      <c r="T26" s="309"/>
      <c r="U26" s="309"/>
      <c r="V26" s="309"/>
      <c r="W26" s="309"/>
      <c r="X26" s="309"/>
      <c r="Y26" s="309"/>
      <c r="Z26" s="309"/>
    </row>
    <row r="27" spans="1:26" ht="12.75" customHeight="1">
      <c r="A27" s="1000">
        <v>20</v>
      </c>
      <c r="B27" s="309" t="s">
        <v>168</v>
      </c>
      <c r="C27" s="309" t="s">
        <v>169</v>
      </c>
      <c r="D27" s="946"/>
      <c r="E27" s="947"/>
      <c r="F27" s="948"/>
      <c r="G27" s="949"/>
      <c r="H27" s="949"/>
      <c r="I27" s="950">
        <v>100</v>
      </c>
      <c r="J27" s="964">
        <v>30.01</v>
      </c>
      <c r="K27" s="948">
        <f t="shared" si="0"/>
        <v>3001</v>
      </c>
      <c r="L27" s="965">
        <v>3.9609854529781156E-2</v>
      </c>
      <c r="M27" s="309"/>
      <c r="N27" s="949"/>
      <c r="O27" s="965">
        <f>(J27-Transactions!C1692)/Transactions!C1692</f>
        <v>-0.38892282630828751</v>
      </c>
      <c r="P27" s="326"/>
      <c r="Q27" s="309"/>
      <c r="R27" s="309"/>
      <c r="S27" s="309"/>
      <c r="T27" s="309"/>
      <c r="U27" s="309"/>
      <c r="V27" s="309"/>
      <c r="W27" s="309"/>
      <c r="X27" s="309"/>
      <c r="Y27" s="309"/>
      <c r="Z27" s="309"/>
    </row>
    <row r="28" spans="1:26" ht="12.75" customHeight="1">
      <c r="A28" s="1000">
        <v>21</v>
      </c>
      <c r="B28" s="309" t="s">
        <v>46</v>
      </c>
      <c r="C28" s="309" t="s">
        <v>47</v>
      </c>
      <c r="D28" s="946"/>
      <c r="E28" s="947"/>
      <c r="F28" s="948"/>
      <c r="G28" s="949"/>
      <c r="H28" s="949"/>
      <c r="I28" s="950">
        <v>75</v>
      </c>
      <c r="J28" s="964">
        <v>43.01</v>
      </c>
      <c r="K28" s="948">
        <f t="shared" si="0"/>
        <v>3225.75</v>
      </c>
      <c r="L28" s="965">
        <v>4.2918192249534338E-2</v>
      </c>
      <c r="M28" s="309"/>
      <c r="N28" s="949"/>
      <c r="O28" s="965">
        <f>(J28-Transactions!C1706)/Transactions!C1706</f>
        <v>0.1156939040207523</v>
      </c>
      <c r="P28" s="326"/>
      <c r="Q28" s="309"/>
      <c r="R28" s="309"/>
      <c r="S28" s="309"/>
      <c r="T28" s="309"/>
      <c r="U28" s="309"/>
      <c r="V28" s="309"/>
      <c r="W28" s="309"/>
      <c r="X28" s="309"/>
      <c r="Y28" s="309"/>
      <c r="Z28" s="309"/>
    </row>
    <row r="29" spans="1:26" ht="12.75" customHeight="1">
      <c r="A29" s="1000">
        <v>22</v>
      </c>
      <c r="B29" s="309" t="s">
        <v>121</v>
      </c>
      <c r="C29" s="309" t="s">
        <v>122</v>
      </c>
      <c r="D29" s="946">
        <v>50</v>
      </c>
      <c r="E29" s="947">
        <v>62.67</v>
      </c>
      <c r="F29" s="948">
        <f>D29*E29</f>
        <v>3133.5</v>
      </c>
      <c r="G29" s="949">
        <f>F29/$F$57</f>
        <v>3.7975714448804959E-2</v>
      </c>
      <c r="H29" s="949"/>
      <c r="I29" s="950">
        <v>100</v>
      </c>
      <c r="J29" s="964">
        <v>32.549999999999997</v>
      </c>
      <c r="K29" s="948">
        <f t="shared" si="0"/>
        <v>3254.9999999999995</v>
      </c>
      <c r="L29" s="965">
        <v>4.2135401532981259E-2</v>
      </c>
      <c r="M29" s="309"/>
      <c r="N29" s="949">
        <f>(K29-F29)/F29</f>
        <v>3.8774533269506799E-2</v>
      </c>
      <c r="O29" s="965">
        <v>0.70328779022611076</v>
      </c>
      <c r="P29" s="326"/>
      <c r="Q29" s="309"/>
      <c r="R29" s="309"/>
      <c r="S29" s="309"/>
      <c r="T29" s="309"/>
      <c r="U29" s="309"/>
      <c r="V29" s="309"/>
      <c r="W29" s="309"/>
      <c r="X29" s="309"/>
      <c r="Y29" s="309"/>
      <c r="Z29" s="309"/>
    </row>
    <row r="30" spans="1:26" ht="12.75" customHeight="1">
      <c r="A30" s="1000">
        <v>23</v>
      </c>
      <c r="B30" s="309" t="s">
        <v>170</v>
      </c>
      <c r="C30" s="309" t="s">
        <v>171</v>
      </c>
      <c r="D30" s="946"/>
      <c r="E30" s="947"/>
      <c r="F30" s="948"/>
      <c r="G30" s="949"/>
      <c r="H30" s="949"/>
      <c r="I30" s="950">
        <v>50</v>
      </c>
      <c r="J30" s="964">
        <v>104.62</v>
      </c>
      <c r="K30" s="948">
        <f t="shared" si="0"/>
        <v>5231</v>
      </c>
      <c r="L30" s="965">
        <v>6.2384876612210621E-2</v>
      </c>
      <c r="M30" s="309"/>
      <c r="N30" s="949"/>
      <c r="O30" s="965">
        <f>(J30-Transactions!C1798)/Transactions!C1798</f>
        <v>0.33189051559516242</v>
      </c>
      <c r="P30" s="326"/>
      <c r="Q30" s="309"/>
      <c r="R30" s="309"/>
      <c r="S30" s="309"/>
      <c r="T30" s="309"/>
      <c r="U30" s="309"/>
      <c r="V30" s="309"/>
      <c r="W30" s="309"/>
      <c r="X30" s="309"/>
      <c r="Y30" s="309"/>
      <c r="Z30" s="309"/>
    </row>
    <row r="31" spans="1:26" ht="12.75" customHeight="1">
      <c r="A31" s="1000">
        <v>24</v>
      </c>
      <c r="B31" s="309" t="s">
        <v>172</v>
      </c>
      <c r="C31" s="309" t="s">
        <v>173</v>
      </c>
      <c r="D31" s="946"/>
      <c r="E31" s="947"/>
      <c r="F31" s="948"/>
      <c r="G31" s="949"/>
      <c r="H31" s="949"/>
      <c r="I31" s="950">
        <v>50</v>
      </c>
      <c r="J31" s="964">
        <v>62.14</v>
      </c>
      <c r="K31" s="948">
        <f t="shared" si="0"/>
        <v>3107</v>
      </c>
      <c r="L31" s="965">
        <v>4.076954448023018E-2</v>
      </c>
      <c r="M31" s="309"/>
      <c r="N31" s="949"/>
      <c r="O31" s="965">
        <f>(J31-Transactions!C1716)/Transactions!C1716</f>
        <v>0.12613265675969557</v>
      </c>
      <c r="P31" s="326"/>
      <c r="Q31" s="309"/>
      <c r="R31" s="309"/>
      <c r="S31" s="309"/>
      <c r="T31" s="309"/>
      <c r="U31" s="309"/>
      <c r="V31" s="309"/>
      <c r="W31" s="309"/>
      <c r="X31" s="309"/>
      <c r="Y31" s="309"/>
      <c r="Z31" s="309"/>
    </row>
    <row r="32" spans="1:26" ht="12.75" customHeight="1">
      <c r="A32" s="1000">
        <v>25</v>
      </c>
      <c r="B32" s="309" t="s">
        <v>174</v>
      </c>
      <c r="C32" s="309" t="s">
        <v>175</v>
      </c>
      <c r="D32" s="946"/>
      <c r="E32" s="947"/>
      <c r="F32" s="948"/>
      <c r="G32" s="949"/>
      <c r="H32" s="949"/>
      <c r="I32" s="950">
        <v>50</v>
      </c>
      <c r="J32" s="964">
        <v>44.26</v>
      </c>
      <c r="K32" s="948">
        <f t="shared" si="0"/>
        <v>2213</v>
      </c>
      <c r="L32" s="965">
        <v>2.9765375394858316E-2</v>
      </c>
      <c r="M32" s="309"/>
      <c r="N32" s="949"/>
      <c r="O32" s="965">
        <f>(J32-Transactions!C1702)/Transactions!C1702</f>
        <v>-4.5091693635383026E-2</v>
      </c>
      <c r="P32" s="326"/>
      <c r="Q32" s="309"/>
      <c r="R32" s="309"/>
      <c r="S32" s="309"/>
      <c r="T32" s="309"/>
      <c r="U32" s="309"/>
      <c r="V32" s="309"/>
      <c r="W32" s="309"/>
      <c r="X32" s="309"/>
      <c r="Y32" s="309"/>
      <c r="Z32" s="309"/>
    </row>
    <row r="33" spans="1:26" ht="12.75" customHeight="1">
      <c r="A33" s="1000"/>
      <c r="B33" s="309"/>
      <c r="C33" s="309"/>
      <c r="D33" s="946"/>
      <c r="E33" s="947"/>
      <c r="F33" s="948"/>
      <c r="G33" s="949"/>
      <c r="H33" s="949"/>
      <c r="I33" s="950"/>
      <c r="J33" s="964"/>
      <c r="K33" s="948"/>
      <c r="L33" s="965"/>
      <c r="M33" s="309"/>
      <c r="N33" s="949"/>
      <c r="O33" s="965"/>
      <c r="P33" s="326"/>
      <c r="Q33" s="309"/>
      <c r="R33" s="309"/>
      <c r="S33" s="309"/>
      <c r="T33" s="309"/>
      <c r="U33" s="309"/>
      <c r="V33" s="309"/>
      <c r="W33" s="309"/>
      <c r="X33" s="309"/>
      <c r="Y33" s="309"/>
      <c r="Z33" s="309"/>
    </row>
    <row r="34" spans="1:26" ht="12.75" customHeight="1">
      <c r="A34" s="18"/>
      <c r="B34" s="1002" t="s">
        <v>52</v>
      </c>
      <c r="C34" s="972"/>
      <c r="D34" s="1003"/>
      <c r="E34" s="1004"/>
      <c r="F34" s="1005"/>
      <c r="G34" s="1006"/>
      <c r="H34" s="1006"/>
      <c r="I34" s="1007"/>
      <c r="J34" s="1008"/>
      <c r="K34" s="1009"/>
      <c r="L34" s="19"/>
      <c r="M34" s="972"/>
      <c r="N34" s="1006"/>
      <c r="O34" s="20"/>
      <c r="P34" s="326" t="str">
        <f>IF(O34&lt;-0.15,"SELL","")</f>
        <v/>
      </c>
      <c r="Q34" s="309"/>
      <c r="R34" s="309"/>
      <c r="S34" s="309"/>
      <c r="T34" s="309"/>
      <c r="U34" s="309"/>
      <c r="V34" s="309"/>
      <c r="W34" s="309"/>
      <c r="X34" s="309"/>
      <c r="Y34" s="309"/>
      <c r="Z34" s="309"/>
    </row>
    <row r="35" spans="1:26" ht="12.75" customHeight="1">
      <c r="A35" s="1000">
        <v>1</v>
      </c>
      <c r="B35" s="309" t="s">
        <v>84</v>
      </c>
      <c r="C35" s="309" t="s">
        <v>85</v>
      </c>
      <c r="D35" s="946">
        <v>200</v>
      </c>
      <c r="E35" s="947">
        <v>35.67</v>
      </c>
      <c r="F35" s="948">
        <f>D35*E35</f>
        <v>7134</v>
      </c>
      <c r="G35" s="949">
        <f>F35/$F$57</f>
        <v>8.6458830980620571E-2</v>
      </c>
      <c r="H35" s="949"/>
      <c r="I35" s="950"/>
      <c r="J35" s="964"/>
      <c r="K35" s="1010"/>
      <c r="L35" s="965"/>
      <c r="M35" s="309"/>
      <c r="N35" s="949">
        <v>5.9855620970002708E-2</v>
      </c>
      <c r="O35" s="965">
        <v>0.61669741993282012</v>
      </c>
      <c r="P35" s="326"/>
      <c r="Q35" s="309"/>
      <c r="R35" s="309"/>
      <c r="S35" s="309"/>
      <c r="T35" s="309"/>
      <c r="U35" s="309"/>
      <c r="V35" s="309"/>
      <c r="W35" s="309"/>
      <c r="X35" s="309"/>
      <c r="Y35" s="309"/>
      <c r="Z35" s="309"/>
    </row>
    <row r="36" spans="1:26" ht="12.75" customHeight="1">
      <c r="A36" s="1000">
        <v>2</v>
      </c>
      <c r="B36" s="959" t="s">
        <v>90</v>
      </c>
      <c r="C36" s="309" t="s">
        <v>91</v>
      </c>
      <c r="D36" s="946">
        <v>75</v>
      </c>
      <c r="E36" s="947">
        <v>17.12</v>
      </c>
      <c r="F36" s="948">
        <f>D36*E36</f>
        <v>1284</v>
      </c>
      <c r="G36" s="949">
        <f>F36/$F$57</f>
        <v>1.5561135264804713E-2</v>
      </c>
      <c r="H36" s="949"/>
      <c r="I36" s="950"/>
      <c r="J36" s="964"/>
      <c r="K36" s="1010"/>
      <c r="L36" s="965"/>
      <c r="M36" s="309"/>
      <c r="N36" s="949">
        <v>-0.19411214953271028</v>
      </c>
      <c r="O36" s="965">
        <v>-0.62916650244893424</v>
      </c>
      <c r="P36" s="326"/>
      <c r="Q36" s="309"/>
      <c r="R36" s="309"/>
      <c r="S36" s="309"/>
      <c r="T36" s="309"/>
      <c r="U36" s="309"/>
      <c r="V36" s="309"/>
      <c r="W36" s="309"/>
      <c r="X36" s="309"/>
      <c r="Y36" s="309"/>
      <c r="Z36" s="309"/>
    </row>
    <row r="37" spans="1:26" ht="12.75" customHeight="1">
      <c r="A37" s="1000">
        <v>3</v>
      </c>
      <c r="B37" s="959" t="s">
        <v>92</v>
      </c>
      <c r="C37" s="309" t="s">
        <v>93</v>
      </c>
      <c r="D37" s="946">
        <v>34</v>
      </c>
      <c r="E37" s="947">
        <v>18.850000000000001</v>
      </c>
      <c r="F37" s="948">
        <f>D37*E37</f>
        <v>640.90000000000009</v>
      </c>
      <c r="G37" s="949">
        <f>F37/$F$57</f>
        <v>7.7672364417549393E-3</v>
      </c>
      <c r="H37" s="949"/>
      <c r="I37" s="950"/>
      <c r="J37" s="964"/>
      <c r="K37" s="1010"/>
      <c r="L37" s="965"/>
      <c r="M37" s="309"/>
      <c r="N37" s="949">
        <v>-0.3024434389140272</v>
      </c>
      <c r="O37" s="965">
        <v>-0.57594923501569795</v>
      </c>
      <c r="P37" s="326"/>
      <c r="Q37" s="309"/>
      <c r="R37" s="309"/>
      <c r="S37" s="309"/>
      <c r="T37" s="309"/>
      <c r="U37" s="309"/>
      <c r="V37" s="309"/>
      <c r="W37" s="309"/>
      <c r="X37" s="309"/>
      <c r="Y37" s="309"/>
      <c r="Z37" s="309"/>
    </row>
    <row r="38" spans="1:26" ht="12.75" customHeight="1">
      <c r="A38" s="1000">
        <v>4</v>
      </c>
      <c r="B38" s="309" t="s">
        <v>176</v>
      </c>
      <c r="C38" s="134" t="s">
        <v>177</v>
      </c>
      <c r="D38" s="940"/>
      <c r="E38" s="546"/>
      <c r="F38" s="1010"/>
      <c r="G38" s="949"/>
      <c r="H38" s="949"/>
      <c r="I38" s="309"/>
      <c r="J38" s="309"/>
      <c r="K38" s="309"/>
      <c r="L38" s="965"/>
      <c r="M38" s="345"/>
      <c r="N38" s="949">
        <v>-0.10328694257924674</v>
      </c>
      <c r="O38" s="965">
        <v>-0.10328694257924674</v>
      </c>
      <c r="P38" s="326" t="str">
        <f>IF(O38&lt;-0.15,"SELL","")</f>
        <v/>
      </c>
      <c r="Q38" s="308"/>
      <c r="R38" s="309"/>
      <c r="S38" s="309"/>
      <c r="T38" s="309"/>
      <c r="U38" s="309"/>
      <c r="V38" s="309"/>
      <c r="W38" s="309"/>
      <c r="X38" s="309"/>
      <c r="Y38" s="309"/>
      <c r="Z38" s="309"/>
    </row>
    <row r="39" spans="1:26" ht="13.5" customHeight="1">
      <c r="A39" s="1000">
        <v>5</v>
      </c>
      <c r="B39" s="959" t="s">
        <v>99</v>
      </c>
      <c r="C39" s="309" t="s">
        <v>100</v>
      </c>
      <c r="D39" s="946">
        <v>121</v>
      </c>
      <c r="E39" s="947">
        <v>49.25</v>
      </c>
      <c r="F39" s="948">
        <f>D39*E39</f>
        <v>5959.25</v>
      </c>
      <c r="G39" s="949">
        <f>F39/$F$57</f>
        <v>7.2221725332389006E-2</v>
      </c>
      <c r="H39" s="949"/>
      <c r="I39" s="950"/>
      <c r="J39" s="964"/>
      <c r="K39" s="1010"/>
      <c r="L39" s="965"/>
      <c r="M39" s="309"/>
      <c r="N39" s="949">
        <v>-0.74266305323656501</v>
      </c>
      <c r="O39" s="965">
        <v>-0.63644451187422657</v>
      </c>
      <c r="P39" s="326"/>
      <c r="Q39" s="309"/>
      <c r="R39" s="309"/>
      <c r="S39" s="309"/>
      <c r="T39" s="309"/>
      <c r="U39" s="309"/>
      <c r="V39" s="309"/>
      <c r="W39" s="309"/>
      <c r="X39" s="309"/>
      <c r="Y39" s="309"/>
      <c r="Z39" s="309"/>
    </row>
    <row r="40" spans="1:26" ht="12.75" customHeight="1">
      <c r="A40" s="1000">
        <v>6</v>
      </c>
      <c r="B40" s="309" t="s">
        <v>123</v>
      </c>
      <c r="C40" s="309" t="s">
        <v>124</v>
      </c>
      <c r="D40" s="946">
        <v>215</v>
      </c>
      <c r="E40" s="947">
        <v>25.13</v>
      </c>
      <c r="F40" s="948">
        <f>D40*E40</f>
        <v>5402.95</v>
      </c>
      <c r="G40" s="949">
        <f>F40/$F$57</f>
        <v>6.5479778644062792E-2</v>
      </c>
      <c r="H40" s="949"/>
      <c r="I40" s="950"/>
      <c r="J40" s="964"/>
      <c r="K40" s="1010"/>
      <c r="L40" s="965"/>
      <c r="M40" s="309"/>
      <c r="N40" s="949">
        <v>-0.16787976938524329</v>
      </c>
      <c r="O40" s="965">
        <v>-5.7612623565218263E-2</v>
      </c>
      <c r="P40" s="326"/>
      <c r="Q40" s="309"/>
      <c r="R40" s="309"/>
      <c r="S40" s="309"/>
      <c r="T40" s="309"/>
      <c r="U40" s="309"/>
      <c r="V40" s="309"/>
      <c r="W40" s="309"/>
      <c r="X40" s="309"/>
      <c r="Y40" s="309"/>
      <c r="Z40" s="309"/>
    </row>
    <row r="41" spans="1:26" ht="12.75" customHeight="1">
      <c r="A41" s="1000">
        <v>7</v>
      </c>
      <c r="B41" s="309" t="s">
        <v>111</v>
      </c>
      <c r="C41" s="309" t="s">
        <v>112</v>
      </c>
      <c r="D41" s="946">
        <v>100</v>
      </c>
      <c r="E41" s="947">
        <v>26.89</v>
      </c>
      <c r="F41" s="948">
        <f>D41*E41</f>
        <v>2689</v>
      </c>
      <c r="G41" s="949">
        <f>F41/$F$57</f>
        <v>3.2588701500825448E-2</v>
      </c>
      <c r="H41" s="949"/>
      <c r="I41" s="950"/>
      <c r="J41" s="964"/>
      <c r="K41" s="1010"/>
      <c r="L41" s="965"/>
      <c r="M41" s="309"/>
      <c r="N41" s="949">
        <v>-0.11259204165117136</v>
      </c>
      <c r="O41" s="965">
        <v>-0.3667121072462991</v>
      </c>
      <c r="P41" s="326"/>
      <c r="Q41" s="309"/>
      <c r="R41" s="309"/>
      <c r="S41" s="309"/>
      <c r="T41" s="309"/>
      <c r="U41" s="309"/>
      <c r="V41" s="309"/>
      <c r="W41" s="309"/>
      <c r="X41" s="309"/>
      <c r="Y41" s="309"/>
      <c r="Z41" s="309"/>
    </row>
    <row r="42" spans="1:26" ht="12.75" customHeight="1">
      <c r="A42" s="1000">
        <v>8</v>
      </c>
      <c r="B42" s="309" t="s">
        <v>115</v>
      </c>
      <c r="C42" s="309" t="s">
        <v>116</v>
      </c>
      <c r="D42" s="946">
        <v>60</v>
      </c>
      <c r="E42" s="947">
        <v>21.77</v>
      </c>
      <c r="F42" s="948">
        <f>D42*E42</f>
        <v>1306.2</v>
      </c>
      <c r="G42" s="949">
        <f>F42/$F$57</f>
        <v>1.5830182930598066E-2</v>
      </c>
      <c r="H42" s="949"/>
      <c r="I42" s="950"/>
      <c r="J42" s="964"/>
      <c r="K42" s="1010"/>
      <c r="L42" s="965"/>
      <c r="M42" s="309"/>
      <c r="N42" s="949">
        <v>0.27576940744143302</v>
      </c>
      <c r="O42" s="965">
        <v>0.29761487607167036</v>
      </c>
      <c r="P42" s="326"/>
      <c r="Q42" s="309"/>
      <c r="R42" s="309"/>
      <c r="S42" s="309"/>
      <c r="T42" s="309"/>
      <c r="U42" s="309"/>
      <c r="V42" s="309"/>
      <c r="W42" s="309"/>
      <c r="X42" s="309"/>
      <c r="Y42" s="309"/>
      <c r="Z42" s="309"/>
    </row>
    <row r="43" spans="1:26" ht="12.75" customHeight="1">
      <c r="A43" s="1000">
        <v>9</v>
      </c>
      <c r="B43" s="309" t="s">
        <v>178</v>
      </c>
      <c r="C43" s="309" t="s">
        <v>179</v>
      </c>
      <c r="D43" s="946"/>
      <c r="E43" s="947"/>
      <c r="F43" s="948"/>
      <c r="G43" s="949"/>
      <c r="H43" s="949"/>
      <c r="I43" s="950"/>
      <c r="J43" s="964"/>
      <c r="K43" s="1010"/>
      <c r="L43" s="965"/>
      <c r="M43" s="309"/>
      <c r="N43" s="949">
        <v>-1.1597372366775185E-2</v>
      </c>
      <c r="O43" s="965">
        <v>-1.1597372366775185E-2</v>
      </c>
      <c r="P43" s="326"/>
      <c r="Q43" s="309"/>
      <c r="R43" s="309"/>
      <c r="S43" s="309"/>
      <c r="T43" s="309"/>
      <c r="U43" s="309"/>
      <c r="V43" s="309"/>
      <c r="W43" s="309"/>
      <c r="X43" s="309"/>
      <c r="Y43" s="309"/>
      <c r="Z43" s="309"/>
    </row>
    <row r="44" spans="1:26" ht="12.75" customHeight="1">
      <c r="A44" s="1000">
        <v>10</v>
      </c>
      <c r="B44" s="959" t="s">
        <v>101</v>
      </c>
      <c r="C44" s="309" t="s">
        <v>102</v>
      </c>
      <c r="D44" s="946">
        <v>40</v>
      </c>
      <c r="E44" s="947">
        <v>44.86</v>
      </c>
      <c r="F44" s="948">
        <f>D44*E44</f>
        <v>1794.4</v>
      </c>
      <c r="G44" s="949">
        <f>F44/$F$57</f>
        <v>2.1746807725206835E-2</v>
      </c>
      <c r="H44" s="949"/>
      <c r="I44" s="950"/>
      <c r="J44" s="964"/>
      <c r="K44" s="1010"/>
      <c r="L44" s="965"/>
      <c r="M44" s="309"/>
      <c r="N44" s="949">
        <v>-0.23327574676772186</v>
      </c>
      <c r="O44" s="965">
        <v>-0.16990364484346054</v>
      </c>
      <c r="P44" s="326"/>
      <c r="Q44" s="309"/>
      <c r="R44" s="309"/>
      <c r="S44" s="309"/>
      <c r="T44" s="309"/>
      <c r="U44" s="309"/>
      <c r="V44" s="309"/>
      <c r="W44" s="309"/>
      <c r="X44" s="309"/>
      <c r="Y44" s="309"/>
      <c r="Z44" s="309"/>
    </row>
    <row r="45" spans="1:26" ht="12.75" customHeight="1">
      <c r="A45" s="1000">
        <v>11</v>
      </c>
      <c r="B45" s="959" t="s">
        <v>88</v>
      </c>
      <c r="C45" s="309" t="s">
        <v>89</v>
      </c>
      <c r="D45" s="946">
        <v>20</v>
      </c>
      <c r="E45" s="309">
        <v>25.7</v>
      </c>
      <c r="F45" s="948">
        <f>D45*E45</f>
        <v>514</v>
      </c>
      <c r="G45" s="949">
        <f>F45/$F$57</f>
        <v>6.2293018116118554E-3</v>
      </c>
      <c r="H45" s="949"/>
      <c r="I45" s="950"/>
      <c r="J45" s="964"/>
      <c r="K45" s="1010"/>
      <c r="L45" s="965"/>
      <c r="M45" s="309"/>
      <c r="N45" s="949">
        <v>-3.6556420233463074E-2</v>
      </c>
      <c r="O45" s="965">
        <v>0.14629290988634519</v>
      </c>
      <c r="P45" s="326"/>
      <c r="Q45" s="309"/>
      <c r="R45" s="309"/>
      <c r="S45" s="309"/>
      <c r="T45" s="309"/>
      <c r="U45" s="309"/>
      <c r="V45" s="309"/>
      <c r="W45" s="309"/>
      <c r="X45" s="309"/>
      <c r="Y45" s="309"/>
      <c r="Z45" s="309"/>
    </row>
    <row r="46" spans="1:26" ht="12.75" customHeight="1">
      <c r="A46" s="1000">
        <v>12</v>
      </c>
      <c r="B46" s="309" t="s">
        <v>180</v>
      </c>
      <c r="C46" s="309" t="s">
        <v>181</v>
      </c>
      <c r="D46" s="946"/>
      <c r="E46" s="947"/>
      <c r="F46" s="948"/>
      <c r="G46" s="949"/>
      <c r="H46" s="949"/>
      <c r="I46" s="950"/>
      <c r="J46" s="964"/>
      <c r="K46" s="1010"/>
      <c r="L46" s="965"/>
      <c r="M46" s="309"/>
      <c r="N46" s="949">
        <v>-0.30895242542424972</v>
      </c>
      <c r="O46" s="965">
        <v>-0.30895242542424972</v>
      </c>
      <c r="P46" s="326"/>
      <c r="Q46" s="309"/>
      <c r="R46" s="309"/>
      <c r="S46" s="309"/>
      <c r="T46" s="309"/>
      <c r="U46" s="309"/>
      <c r="V46" s="309"/>
      <c r="W46" s="309"/>
      <c r="X46" s="309"/>
      <c r="Y46" s="309"/>
      <c r="Z46" s="309"/>
    </row>
    <row r="47" spans="1:26" ht="12.75" customHeight="1">
      <c r="A47" s="1000">
        <v>13</v>
      </c>
      <c r="B47" s="959" t="s">
        <v>125</v>
      </c>
      <c r="C47" s="309" t="s">
        <v>126</v>
      </c>
      <c r="D47" s="946">
        <v>43</v>
      </c>
      <c r="E47" s="947">
        <v>22.15</v>
      </c>
      <c r="F47" s="948">
        <f>D47*E47</f>
        <v>952.44999999999993</v>
      </c>
      <c r="G47" s="949">
        <f>F47/$F$57</f>
        <v>1.1542993211030566E-2</v>
      </c>
      <c r="H47" s="949"/>
      <c r="I47" s="950"/>
      <c r="J47" s="964"/>
      <c r="K47" s="1010"/>
      <c r="L47" s="965"/>
      <c r="M47" s="309"/>
      <c r="N47" s="949">
        <v>-0.65020735996640244</v>
      </c>
      <c r="O47" s="965">
        <v>-0.75854121671570829</v>
      </c>
      <c r="P47" s="326"/>
      <c r="Q47" s="309"/>
      <c r="R47" s="309"/>
      <c r="S47" s="309"/>
      <c r="T47" s="309"/>
      <c r="U47" s="309"/>
      <c r="V47" s="309"/>
      <c r="W47" s="309"/>
      <c r="X47" s="309"/>
      <c r="Y47" s="309"/>
      <c r="Z47" s="309"/>
    </row>
    <row r="48" spans="1:26" ht="12.75" customHeight="1">
      <c r="A48" s="1000">
        <v>14</v>
      </c>
      <c r="B48" s="959" t="s">
        <v>94</v>
      </c>
      <c r="C48" s="309" t="s">
        <v>95</v>
      </c>
      <c r="D48" s="946">
        <v>30</v>
      </c>
      <c r="E48" s="947">
        <v>26.78</v>
      </c>
      <c r="F48" s="948">
        <f>D48*E48</f>
        <v>803.40000000000009</v>
      </c>
      <c r="G48" s="949">
        <f>F48/$F$57</f>
        <v>9.7366168783053798E-3</v>
      </c>
      <c r="H48" s="949"/>
      <c r="I48" s="950"/>
      <c r="J48" s="964"/>
      <c r="K48" s="1010"/>
      <c r="L48" s="965"/>
      <c r="M48" s="309"/>
      <c r="N48" s="949">
        <v>-0.21445108289768505</v>
      </c>
      <c r="O48" s="965">
        <v>-0.3788348539876577</v>
      </c>
      <c r="P48" s="326"/>
      <c r="Q48" s="309"/>
      <c r="R48" s="309"/>
      <c r="S48" s="309"/>
      <c r="T48" s="309"/>
      <c r="U48" s="309"/>
      <c r="V48" s="309"/>
      <c r="W48" s="309"/>
      <c r="X48" s="309"/>
      <c r="Y48" s="309"/>
      <c r="Z48" s="309"/>
    </row>
    <row r="49" spans="1:26" ht="12.75" customHeight="1">
      <c r="A49" s="1000">
        <v>15</v>
      </c>
      <c r="B49" s="309" t="s">
        <v>119</v>
      </c>
      <c r="C49" s="309" t="s">
        <v>120</v>
      </c>
      <c r="D49" s="946">
        <v>200</v>
      </c>
      <c r="E49" s="947">
        <v>37.049999999999997</v>
      </c>
      <c r="F49" s="948">
        <f>D49*E49</f>
        <v>7409.9999999999991</v>
      </c>
      <c r="G49" s="949">
        <f>F49/$F$57</f>
        <v>8.9803747906700079E-2</v>
      </c>
      <c r="H49" s="949"/>
      <c r="I49" s="950"/>
      <c r="J49" s="964"/>
      <c r="K49" s="1010"/>
      <c r="L49" s="965"/>
      <c r="M49" s="309"/>
      <c r="N49" s="949">
        <v>-0.14086099865047219</v>
      </c>
      <c r="O49" s="965">
        <v>-0.26674392785888396</v>
      </c>
      <c r="P49" s="326"/>
      <c r="Q49" s="309"/>
      <c r="R49" s="309"/>
      <c r="S49" s="309"/>
      <c r="T49" s="309"/>
      <c r="U49" s="309"/>
      <c r="V49" s="309"/>
      <c r="W49" s="309"/>
      <c r="X49" s="309"/>
      <c r="Y49" s="309"/>
      <c r="Z49" s="309"/>
    </row>
    <row r="50" spans="1:26" ht="12.75" customHeight="1">
      <c r="A50" s="1000">
        <v>16</v>
      </c>
      <c r="B50" s="959" t="s">
        <v>105</v>
      </c>
      <c r="C50" s="309" t="s">
        <v>106</v>
      </c>
      <c r="D50" s="946">
        <v>32</v>
      </c>
      <c r="E50" s="947">
        <v>17.190000000000001</v>
      </c>
      <c r="F50" s="948">
        <f>D50*E50</f>
        <v>550.08000000000004</v>
      </c>
      <c r="G50" s="949">
        <f>F50/$F$57</f>
        <v>6.6665648648471781E-3</v>
      </c>
      <c r="H50" s="949"/>
      <c r="I50" s="950"/>
      <c r="J50" s="964"/>
      <c r="K50" s="1010"/>
      <c r="L50" s="965"/>
      <c r="M50" s="309"/>
      <c r="N50" s="949">
        <v>-3.5831151832460793E-2</v>
      </c>
      <c r="O50" s="965">
        <v>-0.21857549924711439</v>
      </c>
      <c r="P50" s="326"/>
      <c r="Q50" s="309"/>
      <c r="R50" s="309"/>
      <c r="S50" s="309"/>
      <c r="T50" s="309"/>
      <c r="U50" s="309"/>
      <c r="V50" s="309"/>
      <c r="W50" s="309"/>
      <c r="X50" s="309"/>
      <c r="Y50" s="309"/>
      <c r="Z50" s="309"/>
    </row>
    <row r="51" spans="1:26" ht="12.75" customHeight="1">
      <c r="A51" s="1000">
        <v>17</v>
      </c>
      <c r="B51" s="309" t="s">
        <v>113</v>
      </c>
      <c r="C51" s="5" t="s">
        <v>114</v>
      </c>
      <c r="D51" s="946">
        <v>150</v>
      </c>
      <c r="E51" s="947">
        <v>19.7</v>
      </c>
      <c r="F51" s="948">
        <f>D51*E51</f>
        <v>2955</v>
      </c>
      <c r="G51" s="949">
        <f>F51/$F$57</f>
        <v>3.5812425784655703E-2</v>
      </c>
      <c r="H51" s="949"/>
      <c r="I51" s="950"/>
      <c r="J51" s="964"/>
      <c r="K51" s="1010"/>
      <c r="L51" s="965"/>
      <c r="M51" s="309"/>
      <c r="N51" s="949">
        <v>-8.2060913705583535E-2</v>
      </c>
      <c r="O51" s="965">
        <v>-0.27141594892990739</v>
      </c>
      <c r="P51" s="326"/>
      <c r="Q51" s="309"/>
      <c r="R51" s="309"/>
      <c r="S51" s="309"/>
      <c r="T51" s="309"/>
      <c r="U51" s="309"/>
      <c r="V51" s="309"/>
      <c r="W51" s="309"/>
      <c r="X51" s="309"/>
      <c r="Y51" s="309"/>
      <c r="Z51" s="309"/>
    </row>
    <row r="52" spans="1:26" ht="8.25" customHeight="1">
      <c r="A52" s="18"/>
      <c r="B52" s="1011"/>
      <c r="C52" s="972"/>
      <c r="D52" s="1003"/>
      <c r="E52" s="1004"/>
      <c r="F52" s="1005"/>
      <c r="G52" s="1006"/>
      <c r="H52" s="1006"/>
      <c r="I52" s="1007"/>
      <c r="J52" s="1008"/>
      <c r="K52" s="1009"/>
      <c r="L52" s="19"/>
      <c r="M52" s="972"/>
      <c r="N52" s="1006"/>
      <c r="O52" s="20"/>
      <c r="P52" s="326"/>
      <c r="Q52" s="952"/>
      <c r="R52" s="309"/>
      <c r="S52" s="309"/>
      <c r="T52" s="309"/>
      <c r="U52" s="309"/>
      <c r="V52" s="309"/>
      <c r="W52" s="309"/>
      <c r="X52" s="309"/>
      <c r="Y52" s="309"/>
      <c r="Z52" s="309"/>
    </row>
    <row r="53" spans="1:26" ht="12.75" customHeight="1">
      <c r="A53" s="309"/>
      <c r="B53" s="345" t="s">
        <v>63</v>
      </c>
      <c r="C53" s="345"/>
      <c r="D53" s="921"/>
      <c r="E53" s="308"/>
      <c r="F53" s="922">
        <f>SUM(F12:F52)</f>
        <v>56254.67</v>
      </c>
      <c r="G53" s="967">
        <f>F53/$F$57</f>
        <v>0.68176520961600595</v>
      </c>
      <c r="H53" s="968"/>
      <c r="I53" s="308"/>
      <c r="J53" s="308"/>
      <c r="K53" s="1012">
        <f>SUM(K8:K32)</f>
        <v>68920.160000000003</v>
      </c>
      <c r="L53" s="969">
        <f>K53/$K$57</f>
        <v>0.89052775017317565</v>
      </c>
      <c r="M53" s="345"/>
      <c r="N53" s="970"/>
      <c r="O53" s="1013"/>
      <c r="P53" s="326"/>
      <c r="Q53" s="309"/>
      <c r="R53" s="309"/>
      <c r="S53" s="309"/>
      <c r="T53" s="309"/>
      <c r="U53" s="309"/>
      <c r="V53" s="309"/>
      <c r="W53" s="309"/>
      <c r="X53" s="309"/>
      <c r="Y53" s="309"/>
      <c r="Z53" s="309"/>
    </row>
    <row r="54" spans="1:26" ht="6.75" customHeight="1">
      <c r="A54" s="309"/>
      <c r="B54" s="345"/>
      <c r="C54" s="345"/>
      <c r="D54" s="921"/>
      <c r="E54" s="922"/>
      <c r="F54" s="966"/>
      <c r="G54" s="967"/>
      <c r="H54" s="968"/>
      <c r="I54" s="308"/>
      <c r="J54" s="922"/>
      <c r="K54" s="1014"/>
      <c r="L54" s="969"/>
      <c r="M54" s="345"/>
      <c r="N54" s="968"/>
      <c r="O54" s="134"/>
      <c r="P54" s="326"/>
      <c r="Q54" s="309"/>
      <c r="R54" s="309"/>
      <c r="S54" s="309"/>
      <c r="T54" s="309"/>
      <c r="U54" s="309"/>
      <c r="V54" s="309"/>
      <c r="W54" s="309"/>
      <c r="X54" s="309"/>
      <c r="Y54" s="309"/>
      <c r="Z54" s="309"/>
    </row>
    <row r="55" spans="1:26" ht="12.75" customHeight="1">
      <c r="A55" s="309"/>
      <c r="B55" s="345" t="s">
        <v>64</v>
      </c>
      <c r="C55" s="345"/>
      <c r="D55" s="921"/>
      <c r="E55" s="922"/>
      <c r="F55" s="922">
        <v>26258.59</v>
      </c>
      <c r="G55" s="967">
        <f>F55/$F$57</f>
        <v>0.31823479038399405</v>
      </c>
      <c r="H55" s="968"/>
      <c r="I55" s="308"/>
      <c r="J55" s="922"/>
      <c r="K55" s="1012">
        <v>8472.33</v>
      </c>
      <c r="L55" s="969">
        <f>K55/$K$57</f>
        <v>0.10947224982682427</v>
      </c>
      <c r="M55" s="345"/>
      <c r="N55" s="968"/>
      <c r="O55" s="134"/>
      <c r="P55" s="326"/>
      <c r="Q55" s="309"/>
      <c r="R55" s="977"/>
      <c r="S55" s="977"/>
      <c r="T55" s="309"/>
      <c r="U55" s="309"/>
      <c r="V55" s="309"/>
      <c r="W55" s="309"/>
      <c r="X55" s="309"/>
      <c r="Y55" s="309"/>
      <c r="Z55" s="309"/>
    </row>
    <row r="56" spans="1:26" ht="12.75" customHeight="1">
      <c r="A56" s="923"/>
      <c r="B56" s="924" t="s">
        <v>65</v>
      </c>
      <c r="C56" s="924"/>
      <c r="D56" s="6"/>
      <c r="E56" s="925"/>
      <c r="F56" s="978"/>
      <c r="G56" s="979"/>
      <c r="H56" s="980"/>
      <c r="I56" s="925"/>
      <c r="J56" s="925"/>
      <c r="K56" s="1015"/>
      <c r="L56" s="21"/>
      <c r="M56" s="924"/>
      <c r="N56" s="981"/>
      <c r="O56" s="22"/>
      <c r="P56" s="326"/>
      <c r="Q56" s="309"/>
      <c r="R56" s="309"/>
      <c r="S56" s="309"/>
      <c r="T56" s="309"/>
      <c r="U56" s="309"/>
      <c r="V56" s="309"/>
      <c r="W56" s="309"/>
      <c r="X56" s="309"/>
      <c r="Y56" s="309"/>
      <c r="Z56" s="309"/>
    </row>
    <row r="57" spans="1:26" ht="12.75" customHeight="1">
      <c r="A57" s="309"/>
      <c r="B57" s="345" t="s">
        <v>66</v>
      </c>
      <c r="C57" s="345"/>
      <c r="D57" s="927"/>
      <c r="E57" s="928"/>
      <c r="F57" s="982">
        <f>SUM(F53:F56)</f>
        <v>82513.259999999995</v>
      </c>
      <c r="G57" s="983">
        <f>SUM(G53:G56)</f>
        <v>1</v>
      </c>
      <c r="H57" s="983"/>
      <c r="I57" s="928"/>
      <c r="J57" s="928"/>
      <c r="K57" s="1016">
        <v>77392.490000000005</v>
      </c>
      <c r="L57" s="23">
        <f>SUM(L53:L56)</f>
        <v>0.99999999999999989</v>
      </c>
      <c r="M57" s="345"/>
      <c r="N57" s="24">
        <f>(K57-F57)/F57</f>
        <v>-6.2059964665073103E-2</v>
      </c>
      <c r="O57" s="309"/>
      <c r="P57" s="326"/>
      <c r="Q57" s="309"/>
      <c r="R57" s="309"/>
      <c r="S57" s="309"/>
      <c r="T57" s="309"/>
      <c r="U57" s="309"/>
      <c r="V57" s="309"/>
      <c r="W57" s="309"/>
      <c r="X57" s="309"/>
      <c r="Y57" s="309"/>
      <c r="Z57" s="309"/>
    </row>
    <row r="58" spans="1:26" ht="12.75" customHeight="1">
      <c r="A58" s="309"/>
      <c r="B58" s="309"/>
      <c r="C58" s="985"/>
      <c r="D58" s="940"/>
      <c r="E58" s="940"/>
      <c r="F58" s="940"/>
      <c r="G58" s="940"/>
      <c r="H58" s="940"/>
      <c r="I58" s="940"/>
      <c r="J58" s="940"/>
      <c r="K58" s="1017"/>
      <c r="L58" s="949"/>
      <c r="M58" s="309"/>
      <c r="N58" s="309"/>
      <c r="O58" s="309"/>
      <c r="P58" s="326"/>
      <c r="Q58" s="309"/>
      <c r="R58" s="309"/>
      <c r="S58" s="309"/>
      <c r="T58" s="309"/>
      <c r="U58" s="309"/>
      <c r="V58" s="309"/>
      <c r="W58" s="309"/>
      <c r="X58" s="309"/>
      <c r="Y58" s="309"/>
      <c r="Z58" s="309"/>
    </row>
    <row r="59" spans="1:26" ht="12.75" customHeight="1">
      <c r="A59" s="309"/>
      <c r="B59" s="872"/>
      <c r="C59" s="873"/>
      <c r="D59" s="872"/>
      <c r="E59" s="879"/>
      <c r="F59" s="986"/>
      <c r="G59" s="881"/>
      <c r="H59" s="879"/>
      <c r="I59" s="879"/>
      <c r="J59" s="879"/>
      <c r="K59" s="1018"/>
      <c r="L59" s="881"/>
      <c r="M59" s="879"/>
      <c r="N59" s="872"/>
      <c r="O59" s="987"/>
      <c r="P59" s="1019"/>
      <c r="Q59" s="987"/>
      <c r="R59" s="309"/>
      <c r="S59" s="309"/>
      <c r="T59" s="309"/>
      <c r="U59" s="309"/>
      <c r="V59" s="309"/>
      <c r="W59" s="309"/>
      <c r="X59" s="309"/>
      <c r="Y59" s="309"/>
      <c r="Z59" s="309"/>
    </row>
    <row r="60" spans="1:26" ht="12.75" customHeight="1">
      <c r="A60" s="309"/>
      <c r="B60" s="309" t="s">
        <v>141</v>
      </c>
      <c r="C60" s="309"/>
      <c r="D60" s="309"/>
      <c r="E60" s="309"/>
      <c r="F60" s="955">
        <v>1211.92</v>
      </c>
      <c r="G60" s="309"/>
      <c r="H60" s="309"/>
      <c r="I60" s="309"/>
      <c r="J60" s="309"/>
      <c r="K60" s="1020">
        <v>1248.3</v>
      </c>
      <c r="L60" s="309"/>
      <c r="M60" s="309"/>
      <c r="N60" s="956">
        <f>(K60-F60)/F60</f>
        <v>3.001848306818922E-2</v>
      </c>
      <c r="O60" s="309"/>
      <c r="P60" s="326"/>
      <c r="Q60" s="309"/>
      <c r="R60" s="309"/>
      <c r="S60" s="309"/>
      <c r="T60" s="309"/>
      <c r="U60" s="309"/>
      <c r="V60" s="309"/>
      <c r="W60" s="309"/>
      <c r="X60" s="309"/>
      <c r="Y60" s="309"/>
      <c r="Z60" s="309"/>
    </row>
    <row r="61" spans="1:26" ht="12.75" customHeight="1">
      <c r="A61" s="309"/>
      <c r="B61" s="309" t="s">
        <v>182</v>
      </c>
      <c r="C61" s="309"/>
      <c r="D61" s="309"/>
      <c r="E61" s="309"/>
      <c r="F61" s="309">
        <v>394.9</v>
      </c>
      <c r="G61" s="309"/>
      <c r="H61" s="309"/>
      <c r="I61" s="309"/>
      <c r="J61" s="309"/>
      <c r="K61" s="1020">
        <v>416.5</v>
      </c>
      <c r="L61" s="309"/>
      <c r="M61" s="309"/>
      <c r="N61" s="956">
        <f>(K61-F61)/F61</f>
        <v>5.4697391744745569E-2</v>
      </c>
      <c r="O61" s="309"/>
      <c r="P61" s="326"/>
      <c r="Q61" s="309"/>
      <c r="R61" s="309"/>
      <c r="S61" s="309"/>
      <c r="T61" s="309"/>
      <c r="U61" s="309"/>
      <c r="V61" s="309"/>
      <c r="W61" s="309"/>
      <c r="X61" s="309"/>
      <c r="Y61" s="309"/>
      <c r="Z61" s="309"/>
    </row>
    <row r="62" spans="1:26" ht="12.75" customHeight="1">
      <c r="A62" s="309"/>
      <c r="B62" s="309"/>
      <c r="C62" s="309"/>
      <c r="D62" s="309"/>
      <c r="E62" s="309"/>
      <c r="F62" s="309"/>
      <c r="G62" s="309"/>
      <c r="H62" s="309"/>
      <c r="I62" s="309"/>
      <c r="J62" s="309"/>
      <c r="K62" s="1020"/>
      <c r="L62" s="309"/>
      <c r="M62" s="309"/>
      <c r="N62" s="956"/>
      <c r="O62" s="309"/>
      <c r="P62" s="326"/>
      <c r="Q62" s="309"/>
      <c r="R62" s="309"/>
      <c r="S62" s="309"/>
      <c r="T62" s="309"/>
      <c r="U62" s="309"/>
      <c r="V62" s="309"/>
      <c r="W62" s="309"/>
      <c r="X62" s="309"/>
      <c r="Y62" s="309"/>
      <c r="Z62" s="309"/>
    </row>
    <row r="63" spans="1:26" ht="12.75" customHeight="1">
      <c r="A63" s="309"/>
      <c r="B63" s="309"/>
      <c r="C63" s="309"/>
      <c r="D63" s="309"/>
      <c r="E63" s="309"/>
      <c r="F63" s="309"/>
      <c r="G63" s="309"/>
      <c r="H63" s="309"/>
      <c r="I63" s="309"/>
      <c r="J63" s="309"/>
      <c r="K63" s="1020"/>
      <c r="L63" s="309"/>
      <c r="M63" s="309"/>
      <c r="N63" s="309"/>
      <c r="O63" s="309"/>
      <c r="P63" s="326"/>
      <c r="Q63" s="309"/>
      <c r="R63" s="309"/>
      <c r="S63" s="309"/>
      <c r="T63" s="309"/>
      <c r="U63" s="309"/>
      <c r="V63" s="309"/>
      <c r="W63" s="309"/>
      <c r="X63" s="309"/>
      <c r="Y63" s="309"/>
      <c r="Z63" s="309"/>
    </row>
    <row r="64" spans="1:26" ht="12.75" customHeight="1">
      <c r="A64" s="309"/>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row>
    <row r="65" spans="1:26" ht="12.75" customHeight="1">
      <c r="A65" s="309"/>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row>
    <row r="66" spans="1:26" ht="12.75" customHeight="1">
      <c r="A66" s="309"/>
      <c r="B66" s="309"/>
      <c r="C66" s="309"/>
      <c r="D66" s="309"/>
      <c r="E66" s="309"/>
      <c r="F66" s="309"/>
      <c r="G66" s="309"/>
      <c r="H66" s="309"/>
      <c r="I66" s="309"/>
      <c r="J66" s="309"/>
      <c r="K66" s="1020"/>
      <c r="L66" s="309"/>
      <c r="M66" s="309"/>
      <c r="N66" s="309"/>
      <c r="O66" s="309"/>
      <c r="P66" s="326"/>
      <c r="Q66" s="309"/>
      <c r="R66" s="309"/>
      <c r="S66" s="309"/>
      <c r="T66" s="309"/>
      <c r="U66" s="309"/>
      <c r="V66" s="309"/>
      <c r="W66" s="309"/>
      <c r="X66" s="309"/>
      <c r="Y66" s="309"/>
      <c r="Z66" s="309"/>
    </row>
    <row r="67" spans="1:26" ht="12.75" customHeight="1">
      <c r="A67" s="309"/>
      <c r="B67" s="309"/>
      <c r="C67" s="309"/>
      <c r="D67" s="309"/>
      <c r="E67" s="309"/>
      <c r="F67" s="309"/>
      <c r="G67" s="309"/>
      <c r="H67" s="309"/>
      <c r="I67" s="309"/>
      <c r="J67" s="309"/>
      <c r="K67" s="1020"/>
      <c r="L67" s="309"/>
      <c r="M67" s="309"/>
      <c r="N67" s="309"/>
      <c r="O67" s="309"/>
      <c r="P67" s="326"/>
      <c r="Q67" s="309"/>
      <c r="R67" s="309"/>
      <c r="S67" s="309"/>
      <c r="T67" s="309"/>
      <c r="U67" s="309"/>
      <c r="V67" s="309"/>
      <c r="W67" s="309"/>
      <c r="X67" s="309"/>
      <c r="Y67" s="309"/>
      <c r="Z67" s="309"/>
    </row>
    <row r="68" spans="1:26" ht="12.75" customHeight="1">
      <c r="A68" s="309"/>
      <c r="B68" s="309"/>
      <c r="C68" s="309"/>
      <c r="D68" s="309"/>
      <c r="E68" s="309"/>
      <c r="F68" s="309"/>
      <c r="G68" s="309"/>
      <c r="H68" s="309"/>
      <c r="I68" s="309"/>
      <c r="J68" s="309"/>
      <c r="K68" s="1020"/>
      <c r="L68" s="309"/>
      <c r="M68" s="309"/>
      <c r="N68" s="309"/>
      <c r="O68" s="309"/>
      <c r="P68" s="326"/>
      <c r="Q68" s="309"/>
      <c r="R68" s="309"/>
      <c r="S68" s="309"/>
      <c r="T68" s="309"/>
      <c r="U68" s="309"/>
      <c r="V68" s="309"/>
      <c r="W68" s="309"/>
      <c r="X68" s="309"/>
      <c r="Y68" s="309"/>
      <c r="Z68" s="309"/>
    </row>
    <row r="69" spans="1:26" ht="12.75" customHeight="1">
      <c r="A69" s="309"/>
      <c r="B69" s="309"/>
      <c r="C69" s="309"/>
      <c r="D69" s="309"/>
      <c r="E69" s="309"/>
      <c r="F69" s="309"/>
      <c r="G69" s="309"/>
      <c r="H69" s="309"/>
      <c r="I69" s="309"/>
      <c r="J69" s="309"/>
      <c r="K69" s="1020"/>
      <c r="L69" s="309"/>
      <c r="M69" s="309"/>
      <c r="N69" s="309"/>
      <c r="O69" s="309"/>
      <c r="P69" s="326"/>
      <c r="Q69" s="309"/>
      <c r="R69" s="309"/>
      <c r="S69" s="309"/>
      <c r="T69" s="309"/>
      <c r="U69" s="309"/>
      <c r="V69" s="309"/>
      <c r="W69" s="309"/>
      <c r="X69" s="309"/>
      <c r="Y69" s="309"/>
      <c r="Z69" s="309"/>
    </row>
    <row r="70" spans="1:26" ht="12.75" customHeight="1">
      <c r="A70" s="309"/>
      <c r="B70" s="309"/>
      <c r="C70" s="309"/>
      <c r="D70" s="309"/>
      <c r="E70" s="309"/>
      <c r="F70" s="309"/>
      <c r="G70" s="309"/>
      <c r="H70" s="309"/>
      <c r="I70" s="309"/>
      <c r="J70" s="309"/>
      <c r="K70" s="1020"/>
      <c r="L70" s="309"/>
      <c r="M70" s="309"/>
      <c r="N70" s="309"/>
      <c r="O70" s="309"/>
      <c r="P70" s="326"/>
      <c r="Q70" s="309"/>
      <c r="R70" s="309"/>
      <c r="S70" s="309"/>
      <c r="T70" s="309"/>
      <c r="U70" s="309"/>
      <c r="V70" s="309"/>
      <c r="W70" s="309"/>
      <c r="X70" s="309"/>
      <c r="Y70" s="309"/>
      <c r="Z70" s="309"/>
    </row>
    <row r="71" spans="1:26" ht="12.75" customHeight="1">
      <c r="A71" s="309"/>
      <c r="B71" s="309"/>
      <c r="C71" s="309"/>
      <c r="D71" s="309"/>
      <c r="E71" s="309"/>
      <c r="F71" s="309"/>
      <c r="G71" s="309"/>
      <c r="H71" s="309"/>
      <c r="I71" s="309"/>
      <c r="J71" s="309"/>
      <c r="K71" s="1020"/>
      <c r="L71" s="309"/>
      <c r="M71" s="309"/>
      <c r="N71" s="309"/>
      <c r="O71" s="309"/>
      <c r="P71" s="326"/>
      <c r="Q71" s="309"/>
      <c r="R71" s="309"/>
      <c r="S71" s="309"/>
      <c r="T71" s="309"/>
      <c r="U71" s="309"/>
      <c r="V71" s="309"/>
      <c r="W71" s="309"/>
      <c r="X71" s="309"/>
      <c r="Y71" s="309"/>
      <c r="Z71" s="309"/>
    </row>
    <row r="72" spans="1:26" ht="12.75" customHeight="1">
      <c r="A72" s="309"/>
      <c r="B72" s="309"/>
      <c r="C72" s="309"/>
      <c r="D72" s="309"/>
      <c r="E72" s="309"/>
      <c r="F72" s="309"/>
      <c r="G72" s="309"/>
      <c r="H72" s="309"/>
      <c r="I72" s="309"/>
      <c r="J72" s="309"/>
      <c r="K72" s="1020"/>
      <c r="L72" s="309"/>
      <c r="M72" s="309"/>
      <c r="N72" s="309"/>
      <c r="O72" s="309"/>
      <c r="P72" s="326"/>
      <c r="Q72" s="309"/>
      <c r="R72" s="309"/>
      <c r="S72" s="309"/>
      <c r="T72" s="309"/>
      <c r="U72" s="309"/>
      <c r="V72" s="309"/>
      <c r="W72" s="309"/>
      <c r="X72" s="309"/>
      <c r="Y72" s="309"/>
      <c r="Z72" s="309"/>
    </row>
    <row r="73" spans="1:26" ht="12.75" customHeight="1">
      <c r="A73" s="309"/>
      <c r="B73" s="309"/>
      <c r="C73" s="309"/>
      <c r="D73" s="309"/>
      <c r="E73" s="309"/>
      <c r="F73" s="309"/>
      <c r="G73" s="309"/>
      <c r="H73" s="309"/>
      <c r="I73" s="309"/>
      <c r="J73" s="309"/>
      <c r="K73" s="1020"/>
      <c r="L73" s="309"/>
      <c r="M73" s="309"/>
      <c r="N73" s="309"/>
      <c r="O73" s="309"/>
      <c r="P73" s="326"/>
      <c r="Q73" s="309"/>
      <c r="R73" s="309"/>
      <c r="S73" s="309"/>
      <c r="T73" s="309"/>
      <c r="U73" s="309"/>
      <c r="V73" s="309"/>
      <c r="W73" s="309"/>
      <c r="X73" s="309"/>
      <c r="Y73" s="309"/>
      <c r="Z73" s="309"/>
    </row>
    <row r="74" spans="1:26" ht="12.75" customHeight="1">
      <c r="A74" s="309"/>
      <c r="B74" s="309"/>
      <c r="C74" s="309"/>
      <c r="D74" s="309"/>
      <c r="E74" s="309"/>
      <c r="F74" s="309"/>
      <c r="G74" s="309"/>
      <c r="H74" s="309"/>
      <c r="I74" s="309"/>
      <c r="J74" s="309"/>
      <c r="K74" s="1020"/>
      <c r="L74" s="309"/>
      <c r="M74" s="309"/>
      <c r="N74" s="309"/>
      <c r="O74" s="309"/>
      <c r="P74" s="326"/>
      <c r="Q74" s="309"/>
      <c r="R74" s="309"/>
      <c r="S74" s="309"/>
      <c r="T74" s="309"/>
      <c r="U74" s="309"/>
      <c r="V74" s="309"/>
      <c r="W74" s="309"/>
      <c r="X74" s="309"/>
      <c r="Y74" s="309"/>
      <c r="Z74" s="309"/>
    </row>
    <row r="75" spans="1:26" ht="12.75" customHeight="1">
      <c r="A75" s="309"/>
      <c r="B75" s="309"/>
      <c r="C75" s="309"/>
      <c r="D75" s="309"/>
      <c r="E75" s="309"/>
      <c r="F75" s="309"/>
      <c r="G75" s="309"/>
      <c r="H75" s="309"/>
      <c r="I75" s="309"/>
      <c r="J75" s="309"/>
      <c r="K75" s="1020"/>
      <c r="L75" s="309"/>
      <c r="M75" s="309"/>
      <c r="N75" s="309"/>
      <c r="O75" s="309"/>
      <c r="P75" s="326"/>
      <c r="Q75" s="309"/>
      <c r="R75" s="309"/>
      <c r="S75" s="309"/>
      <c r="T75" s="309"/>
      <c r="U75" s="309"/>
      <c r="V75" s="309"/>
      <c r="W75" s="309"/>
      <c r="X75" s="309"/>
      <c r="Y75" s="309"/>
      <c r="Z75" s="309"/>
    </row>
    <row r="76" spans="1:26" ht="12.75" customHeight="1">
      <c r="A76" s="309"/>
      <c r="B76" s="309"/>
      <c r="C76" s="309"/>
      <c r="D76" s="309"/>
      <c r="E76" s="309"/>
      <c r="F76" s="309"/>
      <c r="G76" s="309"/>
      <c r="H76" s="309"/>
      <c r="I76" s="309"/>
      <c r="J76" s="309"/>
      <c r="K76" s="1020"/>
      <c r="L76" s="309"/>
      <c r="M76" s="309"/>
      <c r="N76" s="309"/>
      <c r="O76" s="309"/>
      <c r="P76" s="326"/>
      <c r="Q76" s="309"/>
      <c r="R76" s="309"/>
      <c r="S76" s="309"/>
      <c r="T76" s="309"/>
      <c r="U76" s="309"/>
      <c r="V76" s="309"/>
      <c r="W76" s="309"/>
      <c r="X76" s="309"/>
      <c r="Y76" s="309"/>
      <c r="Z76" s="309"/>
    </row>
    <row r="77" spans="1:26" ht="12.75" customHeight="1">
      <c r="A77" s="309"/>
      <c r="B77" s="309"/>
      <c r="C77" s="309"/>
      <c r="D77" s="309"/>
      <c r="E77" s="309"/>
      <c r="F77" s="309"/>
      <c r="G77" s="309"/>
      <c r="H77" s="309"/>
      <c r="I77" s="309"/>
      <c r="J77" s="309"/>
      <c r="K77" s="1020"/>
      <c r="L77" s="309"/>
      <c r="M77" s="309"/>
      <c r="N77" s="309"/>
      <c r="O77" s="309"/>
      <c r="P77" s="326"/>
      <c r="Q77" s="309"/>
      <c r="R77" s="309"/>
      <c r="S77" s="309"/>
      <c r="T77" s="309"/>
      <c r="U77" s="309"/>
      <c r="V77" s="309"/>
      <c r="W77" s="309"/>
      <c r="X77" s="309"/>
      <c r="Y77" s="309"/>
      <c r="Z77" s="309"/>
    </row>
    <row r="78" spans="1:26" ht="12.75" customHeight="1">
      <c r="A78" s="309"/>
      <c r="B78" s="309"/>
      <c r="C78" s="309"/>
      <c r="D78" s="309"/>
      <c r="E78" s="309"/>
      <c r="F78" s="309"/>
      <c r="G78" s="309"/>
      <c r="H78" s="309"/>
      <c r="I78" s="309"/>
      <c r="J78" s="309"/>
      <c r="K78" s="1020"/>
      <c r="L78" s="309"/>
      <c r="M78" s="309"/>
      <c r="N78" s="309"/>
      <c r="O78" s="309"/>
      <c r="P78" s="326"/>
      <c r="Q78" s="309"/>
      <c r="R78" s="309"/>
      <c r="S78" s="309"/>
      <c r="T78" s="309"/>
      <c r="U78" s="309"/>
      <c r="V78" s="309"/>
      <c r="W78" s="309"/>
      <c r="X78" s="309"/>
      <c r="Y78" s="309"/>
      <c r="Z78" s="309"/>
    </row>
    <row r="79" spans="1:26" ht="12.75" customHeight="1">
      <c r="A79" s="309"/>
      <c r="B79" s="309"/>
      <c r="C79" s="309"/>
      <c r="D79" s="309"/>
      <c r="E79" s="309"/>
      <c r="F79" s="309"/>
      <c r="G79" s="309"/>
      <c r="H79" s="309"/>
      <c r="I79" s="309"/>
      <c r="J79" s="309"/>
      <c r="K79" s="1020"/>
      <c r="L79" s="309"/>
      <c r="M79" s="309"/>
      <c r="N79" s="309"/>
      <c r="O79" s="309"/>
      <c r="P79" s="326"/>
      <c r="Q79" s="309"/>
      <c r="R79" s="309"/>
      <c r="S79" s="309"/>
      <c r="T79" s="309"/>
      <c r="U79" s="309"/>
      <c r="V79" s="309"/>
      <c r="W79" s="309"/>
      <c r="X79" s="309"/>
      <c r="Y79" s="309"/>
      <c r="Z79" s="309"/>
    </row>
    <row r="80" spans="1:26" ht="12.75" customHeight="1">
      <c r="A80" s="309"/>
      <c r="B80" s="309"/>
      <c r="C80" s="309"/>
      <c r="D80" s="309"/>
      <c r="E80" s="309"/>
      <c r="F80" s="309"/>
      <c r="G80" s="309"/>
      <c r="H80" s="309"/>
      <c r="I80" s="309"/>
      <c r="J80" s="309"/>
      <c r="K80" s="1020"/>
      <c r="L80" s="309"/>
      <c r="M80" s="309"/>
      <c r="N80" s="309"/>
      <c r="O80" s="309"/>
      <c r="P80" s="326"/>
      <c r="Q80" s="309"/>
      <c r="R80" s="309"/>
      <c r="S80" s="309"/>
      <c r="T80" s="309"/>
      <c r="U80" s="309"/>
      <c r="V80" s="309"/>
      <c r="W80" s="309"/>
      <c r="X80" s="309"/>
      <c r="Y80" s="309"/>
      <c r="Z80" s="309"/>
    </row>
    <row r="81" spans="1:26" ht="12.75" customHeight="1">
      <c r="A81" s="309"/>
      <c r="B81" s="309"/>
      <c r="C81" s="309"/>
      <c r="D81" s="309"/>
      <c r="E81" s="309"/>
      <c r="F81" s="309"/>
      <c r="G81" s="309"/>
      <c r="H81" s="309"/>
      <c r="I81" s="309"/>
      <c r="J81" s="309"/>
      <c r="K81" s="1020"/>
      <c r="L81" s="309"/>
      <c r="M81" s="309"/>
      <c r="N81" s="309"/>
      <c r="O81" s="309"/>
      <c r="P81" s="326"/>
      <c r="Q81" s="309"/>
      <c r="R81" s="309"/>
      <c r="S81" s="309"/>
      <c r="T81" s="309"/>
      <c r="U81" s="309"/>
      <c r="V81" s="309"/>
      <c r="W81" s="309"/>
      <c r="X81" s="309"/>
      <c r="Y81" s="309"/>
      <c r="Z81" s="309"/>
    </row>
    <row r="82" spans="1:26" ht="12.75" customHeight="1">
      <c r="A82" s="309"/>
      <c r="B82" s="309"/>
      <c r="C82" s="309"/>
      <c r="D82" s="309"/>
      <c r="E82" s="309"/>
      <c r="F82" s="309"/>
      <c r="G82" s="309"/>
      <c r="H82" s="309"/>
      <c r="I82" s="309"/>
      <c r="J82" s="309"/>
      <c r="K82" s="1020"/>
      <c r="L82" s="309"/>
      <c r="M82" s="309"/>
      <c r="N82" s="309"/>
      <c r="O82" s="309"/>
      <c r="P82" s="326"/>
      <c r="Q82" s="309"/>
      <c r="R82" s="309"/>
      <c r="S82" s="309"/>
      <c r="T82" s="309"/>
      <c r="U82" s="309"/>
      <c r="V82" s="309"/>
      <c r="W82" s="309"/>
      <c r="X82" s="309"/>
      <c r="Y82" s="309"/>
      <c r="Z82" s="309"/>
    </row>
    <row r="83" spans="1:26" ht="12.75" customHeight="1">
      <c r="A83" s="309"/>
      <c r="B83" s="309"/>
      <c r="C83" s="309"/>
      <c r="D83" s="309"/>
      <c r="E83" s="309"/>
      <c r="F83" s="309"/>
      <c r="G83" s="309"/>
      <c r="H83" s="309"/>
      <c r="I83" s="309"/>
      <c r="J83" s="309"/>
      <c r="K83" s="1020"/>
      <c r="L83" s="309"/>
      <c r="M83" s="309"/>
      <c r="N83" s="309"/>
      <c r="O83" s="309"/>
      <c r="P83" s="326"/>
      <c r="Q83" s="309"/>
      <c r="R83" s="309"/>
      <c r="S83" s="309"/>
      <c r="T83" s="309"/>
      <c r="U83" s="309"/>
      <c r="V83" s="309"/>
      <c r="W83" s="309"/>
      <c r="X83" s="309"/>
      <c r="Y83" s="309"/>
      <c r="Z83" s="309"/>
    </row>
    <row r="84" spans="1:26" ht="12.75" customHeight="1">
      <c r="A84" s="309"/>
      <c r="B84" s="309"/>
      <c r="C84" s="309"/>
      <c r="D84" s="309"/>
      <c r="E84" s="309"/>
      <c r="F84" s="309"/>
      <c r="G84" s="309"/>
      <c r="H84" s="309"/>
      <c r="I84" s="309"/>
      <c r="J84" s="309"/>
      <c r="K84" s="1020"/>
      <c r="L84" s="309"/>
      <c r="M84" s="309"/>
      <c r="N84" s="309"/>
      <c r="O84" s="309"/>
      <c r="P84" s="326"/>
      <c r="Q84" s="309"/>
      <c r="R84" s="309"/>
      <c r="S84" s="309"/>
      <c r="T84" s="309"/>
      <c r="U84" s="309"/>
      <c r="V84" s="309"/>
      <c r="W84" s="309"/>
      <c r="X84" s="309"/>
      <c r="Y84" s="309"/>
      <c r="Z84" s="309"/>
    </row>
    <row r="85" spans="1:26" ht="12.75" customHeight="1">
      <c r="A85" s="309"/>
      <c r="B85" s="309"/>
      <c r="C85" s="309"/>
      <c r="D85" s="309"/>
      <c r="E85" s="309"/>
      <c r="F85" s="309"/>
      <c r="G85" s="309"/>
      <c r="H85" s="309"/>
      <c r="I85" s="309"/>
      <c r="J85" s="309"/>
      <c r="K85" s="1020"/>
      <c r="L85" s="309"/>
      <c r="M85" s="309"/>
      <c r="N85" s="309"/>
      <c r="O85" s="309"/>
      <c r="P85" s="326"/>
      <c r="Q85" s="309"/>
      <c r="R85" s="309"/>
      <c r="S85" s="309"/>
      <c r="T85" s="309"/>
      <c r="U85" s="309"/>
      <c r="V85" s="309"/>
      <c r="W85" s="309"/>
      <c r="X85" s="309"/>
      <c r="Y85" s="309"/>
      <c r="Z85" s="309"/>
    </row>
    <row r="86" spans="1:26" ht="12.75" customHeight="1">
      <c r="A86" s="309"/>
      <c r="B86" s="309"/>
      <c r="C86" s="309"/>
      <c r="D86" s="309"/>
      <c r="E86" s="309"/>
      <c r="F86" s="309"/>
      <c r="G86" s="309"/>
      <c r="H86" s="309"/>
      <c r="I86" s="309"/>
      <c r="J86" s="309"/>
      <c r="K86" s="1020"/>
      <c r="L86" s="309"/>
      <c r="M86" s="309"/>
      <c r="N86" s="309"/>
      <c r="O86" s="309"/>
      <c r="P86" s="326"/>
      <c r="Q86" s="309"/>
      <c r="R86" s="309"/>
      <c r="S86" s="309"/>
      <c r="T86" s="309"/>
      <c r="U86" s="309"/>
      <c r="V86" s="309"/>
      <c r="W86" s="309"/>
      <c r="X86" s="309"/>
      <c r="Y86" s="309"/>
      <c r="Z86" s="309"/>
    </row>
    <row r="87" spans="1:26" ht="12.75" customHeight="1">
      <c r="A87" s="309"/>
      <c r="B87" s="309"/>
      <c r="C87" s="309"/>
      <c r="D87" s="309"/>
      <c r="E87" s="309"/>
      <c r="F87" s="309"/>
      <c r="G87" s="309"/>
      <c r="H87" s="309"/>
      <c r="I87" s="309"/>
      <c r="J87" s="309"/>
      <c r="K87" s="1020"/>
      <c r="L87" s="309"/>
      <c r="M87" s="309"/>
      <c r="N87" s="309"/>
      <c r="O87" s="309"/>
      <c r="P87" s="326"/>
      <c r="Q87" s="309"/>
      <c r="R87" s="309"/>
      <c r="S87" s="309"/>
      <c r="T87" s="309"/>
      <c r="U87" s="309"/>
      <c r="V87" s="309"/>
      <c r="W87" s="309"/>
      <c r="X87" s="309"/>
      <c r="Y87" s="309"/>
      <c r="Z87" s="309"/>
    </row>
    <row r="88" spans="1:26" ht="12.75" customHeight="1">
      <c r="A88" s="309"/>
      <c r="B88" s="309"/>
      <c r="C88" s="309"/>
      <c r="D88" s="309"/>
      <c r="E88" s="309"/>
      <c r="F88" s="309"/>
      <c r="G88" s="309"/>
      <c r="H88" s="309"/>
      <c r="I88" s="309"/>
      <c r="J88" s="309"/>
      <c r="K88" s="1020"/>
      <c r="L88" s="309"/>
      <c r="M88" s="309"/>
      <c r="N88" s="309"/>
      <c r="O88" s="309"/>
      <c r="P88" s="326"/>
      <c r="Q88" s="309"/>
      <c r="R88" s="309"/>
      <c r="S88" s="309"/>
      <c r="T88" s="309"/>
      <c r="U88" s="309"/>
      <c r="V88" s="309"/>
      <c r="W88" s="309"/>
      <c r="X88" s="309"/>
      <c r="Y88" s="309"/>
      <c r="Z88" s="309"/>
    </row>
    <row r="89" spans="1:26" ht="12.75" customHeight="1">
      <c r="A89" s="309"/>
      <c r="B89" s="309"/>
      <c r="C89" s="309"/>
      <c r="D89" s="309"/>
      <c r="E89" s="309"/>
      <c r="F89" s="309"/>
      <c r="G89" s="309"/>
      <c r="H89" s="309"/>
      <c r="I89" s="309"/>
      <c r="J89" s="309"/>
      <c r="K89" s="1020"/>
      <c r="L89" s="309"/>
      <c r="M89" s="309"/>
      <c r="N89" s="309"/>
      <c r="O89" s="309"/>
      <c r="P89" s="326"/>
      <c r="Q89" s="309"/>
      <c r="R89" s="309"/>
      <c r="S89" s="309"/>
      <c r="T89" s="309"/>
      <c r="U89" s="309"/>
      <c r="V89" s="309"/>
      <c r="W89" s="309"/>
      <c r="X89" s="309"/>
      <c r="Y89" s="309"/>
      <c r="Z89" s="309"/>
    </row>
    <row r="90" spans="1:26" ht="12.75" customHeight="1">
      <c r="A90" s="309"/>
      <c r="B90" s="309"/>
      <c r="C90" s="309"/>
      <c r="D90" s="309"/>
      <c r="E90" s="309"/>
      <c r="F90" s="309"/>
      <c r="G90" s="309"/>
      <c r="H90" s="309"/>
      <c r="I90" s="309"/>
      <c r="J90" s="309"/>
      <c r="K90" s="1020"/>
      <c r="L90" s="309"/>
      <c r="M90" s="309"/>
      <c r="N90" s="309"/>
      <c r="O90" s="309"/>
      <c r="P90" s="326"/>
      <c r="Q90" s="309"/>
      <c r="R90" s="309"/>
      <c r="S90" s="309"/>
      <c r="T90" s="309"/>
      <c r="U90" s="309"/>
      <c r="V90" s="309"/>
      <c r="W90" s="309"/>
      <c r="X90" s="309"/>
      <c r="Y90" s="309"/>
      <c r="Z90" s="309"/>
    </row>
    <row r="91" spans="1:26" ht="12.75" customHeight="1">
      <c r="A91" s="309"/>
      <c r="B91" s="309"/>
      <c r="C91" s="309"/>
      <c r="D91" s="309"/>
      <c r="E91" s="309"/>
      <c r="F91" s="309"/>
      <c r="G91" s="309"/>
      <c r="H91" s="309"/>
      <c r="I91" s="309"/>
      <c r="J91" s="309"/>
      <c r="K91" s="1020"/>
      <c r="L91" s="309"/>
      <c r="M91" s="309"/>
      <c r="N91" s="309"/>
      <c r="O91" s="309"/>
      <c r="P91" s="326"/>
      <c r="Q91" s="309"/>
      <c r="R91" s="309"/>
      <c r="S91" s="309"/>
      <c r="T91" s="309"/>
      <c r="U91" s="309"/>
      <c r="V91" s="309"/>
      <c r="W91" s="309"/>
      <c r="X91" s="309"/>
      <c r="Y91" s="309"/>
      <c r="Z91" s="309"/>
    </row>
    <row r="92" spans="1:26" ht="12.75" customHeight="1">
      <c r="A92" s="309"/>
      <c r="B92" s="309"/>
      <c r="C92" s="309"/>
      <c r="D92" s="309"/>
      <c r="E92" s="309"/>
      <c r="F92" s="309"/>
      <c r="G92" s="309"/>
      <c r="H92" s="309"/>
      <c r="I92" s="309"/>
      <c r="J92" s="309"/>
      <c r="K92" s="1020"/>
      <c r="L92" s="309"/>
      <c r="M92" s="309"/>
      <c r="N92" s="309"/>
      <c r="O92" s="309"/>
      <c r="P92" s="326"/>
      <c r="Q92" s="309"/>
      <c r="R92" s="309"/>
      <c r="S92" s="309"/>
      <c r="T92" s="309"/>
      <c r="U92" s="309"/>
      <c r="V92" s="309"/>
      <c r="W92" s="309"/>
      <c r="X92" s="309"/>
      <c r="Y92" s="309"/>
      <c r="Z92" s="309"/>
    </row>
    <row r="93" spans="1:26" ht="12.75" customHeight="1">
      <c r="A93" s="309"/>
      <c r="B93" s="309"/>
      <c r="C93" s="309"/>
      <c r="D93" s="309"/>
      <c r="E93" s="309"/>
      <c r="F93" s="309"/>
      <c r="G93" s="309"/>
      <c r="H93" s="309"/>
      <c r="I93" s="309"/>
      <c r="J93" s="309"/>
      <c r="K93" s="1020"/>
      <c r="L93" s="309"/>
      <c r="M93" s="309"/>
      <c r="N93" s="309"/>
      <c r="O93" s="309"/>
      <c r="P93" s="326"/>
      <c r="Q93" s="309"/>
      <c r="R93" s="309"/>
      <c r="S93" s="309"/>
      <c r="T93" s="309"/>
      <c r="U93" s="309"/>
      <c r="V93" s="309"/>
      <c r="W93" s="309"/>
      <c r="X93" s="309"/>
      <c r="Y93" s="309"/>
      <c r="Z93" s="309"/>
    </row>
    <row r="94" spans="1:26" ht="12.75" customHeight="1">
      <c r="A94" s="309"/>
      <c r="B94" s="309"/>
      <c r="C94" s="309"/>
      <c r="D94" s="309"/>
      <c r="E94" s="309"/>
      <c r="F94" s="309"/>
      <c r="G94" s="309"/>
      <c r="H94" s="309"/>
      <c r="I94" s="309"/>
      <c r="J94" s="309"/>
      <c r="K94" s="1020"/>
      <c r="L94" s="309"/>
      <c r="M94" s="309"/>
      <c r="N94" s="309"/>
      <c r="O94" s="309"/>
      <c r="P94" s="326"/>
      <c r="Q94" s="309"/>
      <c r="R94" s="309"/>
      <c r="S94" s="309"/>
      <c r="T94" s="309"/>
      <c r="U94" s="309"/>
      <c r="V94" s="309"/>
      <c r="W94" s="309"/>
      <c r="X94" s="309"/>
      <c r="Y94" s="309"/>
      <c r="Z94" s="309"/>
    </row>
    <row r="95" spans="1:26" ht="12.75" customHeight="1">
      <c r="A95" s="309"/>
      <c r="B95" s="309"/>
      <c r="C95" s="309"/>
      <c r="D95" s="309"/>
      <c r="E95" s="309"/>
      <c r="F95" s="309"/>
      <c r="G95" s="309"/>
      <c r="H95" s="309"/>
      <c r="I95" s="309"/>
      <c r="J95" s="309"/>
      <c r="K95" s="1020"/>
      <c r="L95" s="309"/>
      <c r="M95" s="309"/>
      <c r="N95" s="309"/>
      <c r="O95" s="309"/>
      <c r="P95" s="326"/>
      <c r="Q95" s="309"/>
      <c r="R95" s="309"/>
      <c r="S95" s="309"/>
      <c r="T95" s="309"/>
      <c r="U95" s="309"/>
      <c r="V95" s="309"/>
      <c r="W95" s="309"/>
      <c r="X95" s="309"/>
      <c r="Y95" s="309"/>
      <c r="Z95" s="309"/>
    </row>
    <row r="96" spans="1:26" ht="12.75" customHeight="1">
      <c r="A96" s="309"/>
      <c r="B96" s="309"/>
      <c r="C96" s="309"/>
      <c r="D96" s="309"/>
      <c r="E96" s="309"/>
      <c r="F96" s="309"/>
      <c r="G96" s="309"/>
      <c r="H96" s="309"/>
      <c r="I96" s="309"/>
      <c r="J96" s="309"/>
      <c r="K96" s="1020"/>
      <c r="L96" s="309"/>
      <c r="M96" s="309"/>
      <c r="N96" s="309"/>
      <c r="O96" s="309"/>
      <c r="P96" s="326"/>
      <c r="Q96" s="309"/>
      <c r="R96" s="309"/>
      <c r="S96" s="309"/>
      <c r="T96" s="309"/>
      <c r="U96" s="309"/>
      <c r="V96" s="309"/>
      <c r="W96" s="309"/>
      <c r="X96" s="309"/>
      <c r="Y96" s="309"/>
      <c r="Z96" s="309"/>
    </row>
    <row r="97" spans="1:26" ht="12.75" customHeight="1">
      <c r="A97" s="309"/>
      <c r="B97" s="309"/>
      <c r="C97" s="309"/>
      <c r="D97" s="309"/>
      <c r="E97" s="309"/>
      <c r="F97" s="309"/>
      <c r="G97" s="309"/>
      <c r="H97" s="309"/>
      <c r="I97" s="309"/>
      <c r="J97" s="309"/>
      <c r="K97" s="1020"/>
      <c r="L97" s="309"/>
      <c r="M97" s="309"/>
      <c r="N97" s="309"/>
      <c r="O97" s="309"/>
      <c r="P97" s="326"/>
      <c r="Q97" s="309"/>
      <c r="R97" s="309"/>
      <c r="S97" s="309"/>
      <c r="T97" s="309"/>
      <c r="U97" s="309"/>
      <c r="V97" s="309"/>
      <c r="W97" s="309"/>
      <c r="X97" s="309"/>
      <c r="Y97" s="309"/>
      <c r="Z97" s="309"/>
    </row>
    <row r="98" spans="1:26" ht="12.75" customHeight="1">
      <c r="A98" s="309"/>
      <c r="B98" s="309"/>
      <c r="C98" s="309"/>
      <c r="D98" s="309"/>
      <c r="E98" s="309"/>
      <c r="F98" s="309"/>
      <c r="G98" s="309"/>
      <c r="H98" s="309"/>
      <c r="I98" s="309"/>
      <c r="J98" s="309"/>
      <c r="K98" s="1020"/>
      <c r="L98" s="309"/>
      <c r="M98" s="309"/>
      <c r="N98" s="309"/>
      <c r="O98" s="309"/>
      <c r="P98" s="326"/>
      <c r="Q98" s="309"/>
      <c r="R98" s="309"/>
      <c r="S98" s="309"/>
      <c r="T98" s="309"/>
      <c r="U98" s="309"/>
      <c r="V98" s="309"/>
      <c r="W98" s="309"/>
      <c r="X98" s="309"/>
      <c r="Y98" s="309"/>
      <c r="Z98" s="309"/>
    </row>
    <row r="99" spans="1:26" ht="12.75" customHeight="1">
      <c r="A99" s="309"/>
      <c r="B99" s="309"/>
      <c r="C99" s="309"/>
      <c r="D99" s="309"/>
      <c r="E99" s="309"/>
      <c r="F99" s="309"/>
      <c r="G99" s="309"/>
      <c r="H99" s="309"/>
      <c r="I99" s="309"/>
      <c r="J99" s="309"/>
      <c r="K99" s="1020"/>
      <c r="L99" s="309"/>
      <c r="M99" s="309"/>
      <c r="N99" s="309"/>
      <c r="O99" s="309"/>
      <c r="P99" s="326"/>
      <c r="Q99" s="309"/>
      <c r="R99" s="309"/>
      <c r="S99" s="309"/>
      <c r="T99" s="309"/>
      <c r="U99" s="309"/>
      <c r="V99" s="309"/>
      <c r="W99" s="309"/>
      <c r="X99" s="309"/>
      <c r="Y99" s="309"/>
      <c r="Z99" s="309"/>
    </row>
    <row r="100" spans="1:26" ht="12.75" customHeight="1">
      <c r="A100" s="309"/>
      <c r="B100" s="309"/>
      <c r="C100" s="309"/>
      <c r="D100" s="309"/>
      <c r="E100" s="309"/>
      <c r="F100" s="309"/>
      <c r="G100" s="309"/>
      <c r="H100" s="309"/>
      <c r="I100" s="309"/>
      <c r="J100" s="309"/>
      <c r="K100" s="1020"/>
      <c r="L100" s="309"/>
      <c r="M100" s="309"/>
      <c r="N100" s="309"/>
      <c r="O100" s="309"/>
      <c r="P100" s="326"/>
      <c r="Q100" s="309"/>
      <c r="R100" s="309"/>
      <c r="S100" s="309"/>
      <c r="T100" s="309"/>
      <c r="U100" s="309"/>
      <c r="V100" s="309"/>
      <c r="W100" s="309"/>
      <c r="X100" s="309"/>
      <c r="Y100" s="309"/>
      <c r="Z100" s="309"/>
    </row>
    <row r="101" spans="1:26" ht="12.75" customHeight="1">
      <c r="A101" s="309"/>
      <c r="B101" s="309"/>
      <c r="C101" s="309"/>
      <c r="D101" s="309"/>
      <c r="E101" s="309"/>
      <c r="F101" s="309"/>
      <c r="G101" s="309"/>
      <c r="H101" s="309"/>
      <c r="I101" s="309"/>
      <c r="J101" s="309"/>
      <c r="K101" s="1020"/>
      <c r="L101" s="309"/>
      <c r="M101" s="309"/>
      <c r="N101" s="309"/>
      <c r="O101" s="309"/>
      <c r="P101" s="326"/>
      <c r="Q101" s="309"/>
      <c r="R101" s="309"/>
      <c r="S101" s="309"/>
      <c r="T101" s="309"/>
      <c r="U101" s="309"/>
      <c r="V101" s="309"/>
      <c r="W101" s="309"/>
      <c r="X101" s="309"/>
      <c r="Y101" s="309"/>
      <c r="Z101" s="309"/>
    </row>
    <row r="102" spans="1:26" ht="12.75" customHeight="1">
      <c r="A102" s="309"/>
      <c r="B102" s="309"/>
      <c r="C102" s="309"/>
      <c r="D102" s="309"/>
      <c r="E102" s="309"/>
      <c r="F102" s="309"/>
      <c r="G102" s="309"/>
      <c r="H102" s="309"/>
      <c r="I102" s="309"/>
      <c r="J102" s="309"/>
      <c r="K102" s="1020"/>
      <c r="L102" s="309"/>
      <c r="M102" s="309"/>
      <c r="N102" s="309"/>
      <c r="O102" s="309"/>
      <c r="P102" s="326"/>
      <c r="Q102" s="309"/>
      <c r="R102" s="309"/>
      <c r="S102" s="309"/>
      <c r="T102" s="309"/>
      <c r="U102" s="309"/>
      <c r="V102" s="309"/>
      <c r="W102" s="309"/>
      <c r="X102" s="309"/>
      <c r="Y102" s="309"/>
      <c r="Z102" s="309"/>
    </row>
    <row r="103" spans="1:26" ht="12.75" customHeight="1">
      <c r="A103" s="309"/>
      <c r="B103" s="309"/>
      <c r="C103" s="309"/>
      <c r="D103" s="309"/>
      <c r="E103" s="309"/>
      <c r="F103" s="309"/>
      <c r="G103" s="309"/>
      <c r="H103" s="309"/>
      <c r="I103" s="309"/>
      <c r="J103" s="309"/>
      <c r="K103" s="1020"/>
      <c r="L103" s="309"/>
      <c r="M103" s="309"/>
      <c r="N103" s="309"/>
      <c r="O103" s="309"/>
      <c r="P103" s="326"/>
      <c r="Q103" s="309"/>
      <c r="R103" s="309"/>
      <c r="S103" s="309"/>
      <c r="T103" s="309"/>
      <c r="U103" s="309"/>
      <c r="V103" s="309"/>
      <c r="W103" s="309"/>
      <c r="X103" s="309"/>
      <c r="Y103" s="309"/>
      <c r="Z103" s="309"/>
    </row>
    <row r="104" spans="1:26" ht="12.75" customHeight="1">
      <c r="A104" s="309"/>
      <c r="B104" s="309"/>
      <c r="C104" s="309"/>
      <c r="D104" s="309"/>
      <c r="E104" s="309"/>
      <c r="F104" s="309"/>
      <c r="G104" s="309"/>
      <c r="H104" s="309"/>
      <c r="I104" s="309"/>
      <c r="J104" s="309"/>
      <c r="K104" s="1020"/>
      <c r="L104" s="309"/>
      <c r="M104" s="309"/>
      <c r="N104" s="309"/>
      <c r="O104" s="309"/>
      <c r="P104" s="326"/>
      <c r="Q104" s="309"/>
      <c r="R104" s="309"/>
      <c r="S104" s="309"/>
      <c r="T104" s="309"/>
      <c r="U104" s="309"/>
      <c r="V104" s="309"/>
      <c r="W104" s="309"/>
      <c r="X104" s="309"/>
      <c r="Y104" s="309"/>
      <c r="Z104" s="309"/>
    </row>
    <row r="105" spans="1:26" ht="12.75" customHeight="1">
      <c r="A105" s="309"/>
      <c r="B105" s="309"/>
      <c r="C105" s="309"/>
      <c r="D105" s="309"/>
      <c r="E105" s="309"/>
      <c r="F105" s="309"/>
      <c r="G105" s="309"/>
      <c r="H105" s="309"/>
      <c r="I105" s="309"/>
      <c r="J105" s="309"/>
      <c r="K105" s="1020"/>
      <c r="L105" s="309"/>
      <c r="M105" s="309"/>
      <c r="N105" s="309"/>
      <c r="O105" s="309"/>
      <c r="P105" s="326"/>
      <c r="Q105" s="309"/>
      <c r="R105" s="309"/>
      <c r="S105" s="309"/>
      <c r="T105" s="309"/>
      <c r="U105" s="309"/>
      <c r="V105" s="309"/>
      <c r="W105" s="309"/>
      <c r="X105" s="309"/>
      <c r="Y105" s="309"/>
      <c r="Z105" s="309"/>
    </row>
    <row r="106" spans="1:26" ht="12.75" customHeight="1">
      <c r="A106" s="309"/>
      <c r="B106" s="309"/>
      <c r="C106" s="309"/>
      <c r="D106" s="309"/>
      <c r="E106" s="309"/>
      <c r="F106" s="309"/>
      <c r="G106" s="309"/>
      <c r="H106" s="309"/>
      <c r="I106" s="309"/>
      <c r="J106" s="309"/>
      <c r="K106" s="1020"/>
      <c r="L106" s="309"/>
      <c r="M106" s="309"/>
      <c r="N106" s="309"/>
      <c r="O106" s="309"/>
      <c r="P106" s="326"/>
      <c r="Q106" s="309"/>
      <c r="R106" s="309"/>
      <c r="S106" s="309"/>
      <c r="T106" s="309"/>
      <c r="U106" s="309"/>
      <c r="V106" s="309"/>
      <c r="W106" s="309"/>
      <c r="X106" s="309"/>
      <c r="Y106" s="309"/>
      <c r="Z106" s="309"/>
    </row>
    <row r="107" spans="1:26" ht="12.75" customHeight="1">
      <c r="A107" s="309"/>
      <c r="B107" s="309"/>
      <c r="C107" s="309"/>
      <c r="D107" s="309"/>
      <c r="E107" s="309"/>
      <c r="F107" s="309"/>
      <c r="G107" s="309"/>
      <c r="H107" s="309"/>
      <c r="I107" s="309"/>
      <c r="J107" s="309"/>
      <c r="K107" s="1020"/>
      <c r="L107" s="309"/>
      <c r="M107" s="309"/>
      <c r="N107" s="309"/>
      <c r="O107" s="309"/>
      <c r="P107" s="326"/>
      <c r="Q107" s="309"/>
      <c r="R107" s="309"/>
      <c r="S107" s="309"/>
      <c r="T107" s="309"/>
      <c r="U107" s="309"/>
      <c r="V107" s="309"/>
      <c r="W107" s="309"/>
      <c r="X107" s="309"/>
      <c r="Y107" s="309"/>
      <c r="Z107" s="309"/>
    </row>
    <row r="108" spans="1:26" ht="12.75" customHeight="1">
      <c r="A108" s="309"/>
      <c r="B108" s="309"/>
      <c r="C108" s="309"/>
      <c r="D108" s="309"/>
      <c r="E108" s="309"/>
      <c r="F108" s="309"/>
      <c r="G108" s="309"/>
      <c r="H108" s="309"/>
      <c r="I108" s="309"/>
      <c r="J108" s="309"/>
      <c r="K108" s="1020"/>
      <c r="L108" s="309"/>
      <c r="M108" s="309"/>
      <c r="N108" s="309"/>
      <c r="O108" s="309"/>
      <c r="P108" s="326"/>
      <c r="Q108" s="309"/>
      <c r="R108" s="309"/>
      <c r="S108" s="309"/>
      <c r="T108" s="309"/>
      <c r="U108" s="309"/>
      <c r="V108" s="309"/>
      <c r="W108" s="309"/>
      <c r="X108" s="309"/>
      <c r="Y108" s="309"/>
      <c r="Z108" s="309"/>
    </row>
    <row r="109" spans="1:26" ht="12.75" customHeight="1">
      <c r="A109" s="309"/>
      <c r="B109" s="309"/>
      <c r="C109" s="309"/>
      <c r="D109" s="309"/>
      <c r="E109" s="309"/>
      <c r="F109" s="309"/>
      <c r="G109" s="309"/>
      <c r="H109" s="309"/>
      <c r="I109" s="309"/>
      <c r="J109" s="309"/>
      <c r="K109" s="1020"/>
      <c r="L109" s="309"/>
      <c r="M109" s="309"/>
      <c r="N109" s="309"/>
      <c r="O109" s="309"/>
      <c r="P109" s="326"/>
      <c r="Q109" s="309"/>
      <c r="R109" s="309"/>
      <c r="S109" s="309"/>
      <c r="T109" s="309"/>
      <c r="U109" s="309"/>
      <c r="V109" s="309"/>
      <c r="W109" s="309"/>
      <c r="X109" s="309"/>
      <c r="Y109" s="309"/>
      <c r="Z109" s="309"/>
    </row>
    <row r="110" spans="1:26" ht="12.75" customHeight="1">
      <c r="A110" s="309"/>
      <c r="B110" s="309"/>
      <c r="C110" s="309"/>
      <c r="D110" s="309"/>
      <c r="E110" s="309"/>
      <c r="F110" s="309"/>
      <c r="G110" s="309"/>
      <c r="H110" s="309"/>
      <c r="I110" s="309"/>
      <c r="J110" s="309"/>
      <c r="K110" s="1020"/>
      <c r="L110" s="309"/>
      <c r="M110" s="309"/>
      <c r="N110" s="309"/>
      <c r="O110" s="309"/>
      <c r="P110" s="326"/>
      <c r="Q110" s="309"/>
      <c r="R110" s="309"/>
      <c r="S110" s="309"/>
      <c r="T110" s="309"/>
      <c r="U110" s="309"/>
      <c r="V110" s="309"/>
      <c r="W110" s="309"/>
      <c r="X110" s="309"/>
      <c r="Y110" s="309"/>
      <c r="Z110" s="309"/>
    </row>
    <row r="111" spans="1:26" ht="12.75" customHeight="1">
      <c r="A111" s="309"/>
      <c r="B111" s="309"/>
      <c r="C111" s="309"/>
      <c r="D111" s="309"/>
      <c r="E111" s="309"/>
      <c r="F111" s="309"/>
      <c r="G111" s="309"/>
      <c r="H111" s="309"/>
      <c r="I111" s="309"/>
      <c r="J111" s="309"/>
      <c r="K111" s="1020"/>
      <c r="L111" s="309"/>
      <c r="M111" s="309"/>
      <c r="N111" s="309"/>
      <c r="O111" s="309"/>
      <c r="P111" s="326"/>
      <c r="Q111" s="309"/>
      <c r="R111" s="309"/>
      <c r="S111" s="309"/>
      <c r="T111" s="309"/>
      <c r="U111" s="309"/>
      <c r="V111" s="309"/>
      <c r="W111" s="309"/>
      <c r="X111" s="309"/>
      <c r="Y111" s="309"/>
      <c r="Z111" s="309"/>
    </row>
    <row r="112" spans="1:26" ht="12.75" customHeight="1">
      <c r="A112" s="309"/>
      <c r="B112" s="309"/>
      <c r="C112" s="309"/>
      <c r="D112" s="309"/>
      <c r="E112" s="309"/>
      <c r="F112" s="309"/>
      <c r="G112" s="309"/>
      <c r="H112" s="309"/>
      <c r="I112" s="309"/>
      <c r="J112" s="309"/>
      <c r="K112" s="1020"/>
      <c r="L112" s="309"/>
      <c r="M112" s="309"/>
      <c r="N112" s="309"/>
      <c r="O112" s="309"/>
      <c r="P112" s="326"/>
      <c r="Q112" s="309"/>
      <c r="R112" s="309"/>
      <c r="S112" s="309"/>
      <c r="T112" s="309"/>
      <c r="U112" s="309"/>
      <c r="V112" s="309"/>
      <c r="W112" s="309"/>
      <c r="X112" s="309"/>
      <c r="Y112" s="309"/>
      <c r="Z112" s="309"/>
    </row>
    <row r="113" spans="1:26" ht="12.75" customHeight="1">
      <c r="A113" s="309"/>
      <c r="B113" s="309"/>
      <c r="C113" s="309"/>
      <c r="D113" s="309"/>
      <c r="E113" s="309"/>
      <c r="F113" s="309"/>
      <c r="G113" s="309"/>
      <c r="H113" s="309"/>
      <c r="I113" s="309"/>
      <c r="J113" s="309"/>
      <c r="K113" s="1020"/>
      <c r="L113" s="309"/>
      <c r="M113" s="309"/>
      <c r="N113" s="309"/>
      <c r="O113" s="309"/>
      <c r="P113" s="326"/>
      <c r="Q113" s="309"/>
      <c r="R113" s="309"/>
      <c r="S113" s="309"/>
      <c r="T113" s="309"/>
      <c r="U113" s="309"/>
      <c r="V113" s="309"/>
      <c r="W113" s="309"/>
      <c r="X113" s="309"/>
      <c r="Y113" s="309"/>
      <c r="Z113" s="309"/>
    </row>
    <row r="114" spans="1:26" ht="12.75" customHeight="1">
      <c r="A114" s="309"/>
      <c r="B114" s="309"/>
      <c r="C114" s="309"/>
      <c r="D114" s="309"/>
      <c r="E114" s="309"/>
      <c r="F114" s="309"/>
      <c r="G114" s="309"/>
      <c r="H114" s="309"/>
      <c r="I114" s="309"/>
      <c r="J114" s="309"/>
      <c r="K114" s="1020"/>
      <c r="L114" s="309"/>
      <c r="M114" s="309"/>
      <c r="N114" s="309"/>
      <c r="O114" s="309"/>
      <c r="P114" s="326"/>
      <c r="Q114" s="309"/>
      <c r="R114" s="309"/>
      <c r="S114" s="309"/>
      <c r="T114" s="309"/>
      <c r="U114" s="309"/>
      <c r="V114" s="309"/>
      <c r="W114" s="309"/>
      <c r="X114" s="309"/>
      <c r="Y114" s="309"/>
      <c r="Z114" s="309"/>
    </row>
    <row r="115" spans="1:26" ht="12.75" customHeight="1">
      <c r="A115" s="309"/>
      <c r="B115" s="309"/>
      <c r="C115" s="309"/>
      <c r="D115" s="309"/>
      <c r="E115" s="309"/>
      <c r="F115" s="309"/>
      <c r="G115" s="309"/>
      <c r="H115" s="309"/>
      <c r="I115" s="309"/>
      <c r="J115" s="309"/>
      <c r="K115" s="1020"/>
      <c r="L115" s="309"/>
      <c r="M115" s="309"/>
      <c r="N115" s="309"/>
      <c r="O115" s="309"/>
      <c r="P115" s="326"/>
      <c r="Q115" s="309"/>
      <c r="R115" s="309"/>
      <c r="S115" s="309"/>
      <c r="T115" s="309"/>
      <c r="U115" s="309"/>
      <c r="V115" s="309"/>
      <c r="W115" s="309"/>
      <c r="X115" s="309"/>
      <c r="Y115" s="309"/>
      <c r="Z115" s="309"/>
    </row>
    <row r="116" spans="1:26" ht="12.75" customHeight="1">
      <c r="A116" s="309"/>
      <c r="B116" s="309"/>
      <c r="C116" s="309"/>
      <c r="D116" s="309"/>
      <c r="E116" s="309"/>
      <c r="F116" s="309"/>
      <c r="G116" s="309"/>
      <c r="H116" s="309"/>
      <c r="I116" s="309"/>
      <c r="J116" s="309"/>
      <c r="K116" s="1020"/>
      <c r="L116" s="309"/>
      <c r="M116" s="309"/>
      <c r="N116" s="309"/>
      <c r="O116" s="309"/>
      <c r="P116" s="326"/>
      <c r="Q116" s="309"/>
      <c r="R116" s="309"/>
      <c r="S116" s="309"/>
      <c r="T116" s="309"/>
      <c r="U116" s="309"/>
      <c r="V116" s="309"/>
      <c r="W116" s="309"/>
      <c r="X116" s="309"/>
      <c r="Y116" s="309"/>
      <c r="Z116" s="309"/>
    </row>
    <row r="117" spans="1:26" ht="12.75" customHeight="1">
      <c r="A117" s="309"/>
      <c r="B117" s="309"/>
      <c r="C117" s="309"/>
      <c r="D117" s="309"/>
      <c r="E117" s="309"/>
      <c r="F117" s="309"/>
      <c r="G117" s="309"/>
      <c r="H117" s="309"/>
      <c r="I117" s="309"/>
      <c r="J117" s="309"/>
      <c r="K117" s="1020"/>
      <c r="L117" s="309"/>
      <c r="M117" s="309"/>
      <c r="N117" s="309"/>
      <c r="O117" s="309"/>
      <c r="P117" s="326"/>
      <c r="Q117" s="309"/>
      <c r="R117" s="309"/>
      <c r="S117" s="309"/>
      <c r="T117" s="309"/>
      <c r="U117" s="309"/>
      <c r="V117" s="309"/>
      <c r="W117" s="309"/>
      <c r="X117" s="309"/>
      <c r="Y117" s="309"/>
      <c r="Z117" s="309"/>
    </row>
    <row r="118" spans="1:26" ht="12.75" customHeight="1">
      <c r="A118" s="309"/>
      <c r="B118" s="309"/>
      <c r="C118" s="309"/>
      <c r="D118" s="309"/>
      <c r="E118" s="309"/>
      <c r="F118" s="309"/>
      <c r="G118" s="309"/>
      <c r="H118" s="309"/>
      <c r="I118" s="309"/>
      <c r="J118" s="309"/>
      <c r="K118" s="1020"/>
      <c r="L118" s="309"/>
      <c r="M118" s="309"/>
      <c r="N118" s="309"/>
      <c r="O118" s="309"/>
      <c r="P118" s="326"/>
      <c r="Q118" s="309"/>
      <c r="R118" s="309"/>
      <c r="S118" s="309"/>
      <c r="T118" s="309"/>
      <c r="U118" s="309"/>
      <c r="V118" s="309"/>
      <c r="W118" s="309"/>
      <c r="X118" s="309"/>
      <c r="Y118" s="309"/>
      <c r="Z118" s="309"/>
    </row>
    <row r="119" spans="1:26" ht="12.75" customHeight="1">
      <c r="A119" s="309"/>
      <c r="B119" s="309"/>
      <c r="C119" s="309"/>
      <c r="D119" s="309"/>
      <c r="E119" s="309"/>
      <c r="F119" s="309"/>
      <c r="G119" s="309"/>
      <c r="H119" s="309"/>
      <c r="I119" s="309"/>
      <c r="J119" s="309"/>
      <c r="K119" s="1020"/>
      <c r="L119" s="309"/>
      <c r="M119" s="309"/>
      <c r="N119" s="309"/>
      <c r="O119" s="309"/>
      <c r="P119" s="326"/>
      <c r="Q119" s="309"/>
      <c r="R119" s="309"/>
      <c r="S119" s="309"/>
      <c r="T119" s="309"/>
      <c r="U119" s="309"/>
      <c r="V119" s="309"/>
      <c r="W119" s="309"/>
      <c r="X119" s="309"/>
      <c r="Y119" s="309"/>
      <c r="Z119" s="309"/>
    </row>
    <row r="120" spans="1:26" ht="12.75" customHeight="1">
      <c r="A120" s="309"/>
      <c r="B120" s="309"/>
      <c r="C120" s="309"/>
      <c r="D120" s="309"/>
      <c r="E120" s="309"/>
      <c r="F120" s="309"/>
      <c r="G120" s="309"/>
      <c r="H120" s="309"/>
      <c r="I120" s="309"/>
      <c r="J120" s="309"/>
      <c r="K120" s="1020"/>
      <c r="L120" s="309"/>
      <c r="M120" s="309"/>
      <c r="N120" s="309"/>
      <c r="O120" s="309"/>
      <c r="P120" s="326"/>
      <c r="Q120" s="309"/>
      <c r="R120" s="309"/>
      <c r="S120" s="309"/>
      <c r="T120" s="309"/>
      <c r="U120" s="309"/>
      <c r="V120" s="309"/>
      <c r="W120" s="309"/>
      <c r="X120" s="309"/>
      <c r="Y120" s="309"/>
      <c r="Z120" s="309"/>
    </row>
    <row r="121" spans="1:26" ht="12.75" customHeight="1">
      <c r="A121" s="309"/>
      <c r="B121" s="309"/>
      <c r="C121" s="309"/>
      <c r="D121" s="309"/>
      <c r="E121" s="309"/>
      <c r="F121" s="309"/>
      <c r="G121" s="309"/>
      <c r="H121" s="309"/>
      <c r="I121" s="309"/>
      <c r="J121" s="309"/>
      <c r="K121" s="1020"/>
      <c r="L121" s="309"/>
      <c r="M121" s="309"/>
      <c r="N121" s="309"/>
      <c r="O121" s="309"/>
      <c r="P121" s="326"/>
      <c r="Q121" s="309"/>
      <c r="R121" s="309"/>
      <c r="S121" s="309"/>
      <c r="T121" s="309"/>
      <c r="U121" s="309"/>
      <c r="V121" s="309"/>
      <c r="W121" s="309"/>
      <c r="X121" s="309"/>
      <c r="Y121" s="309"/>
      <c r="Z121" s="309"/>
    </row>
    <row r="122" spans="1:26" ht="12.75" customHeight="1">
      <c r="A122" s="309"/>
      <c r="B122" s="309"/>
      <c r="C122" s="309"/>
      <c r="D122" s="309"/>
      <c r="E122" s="309"/>
      <c r="F122" s="309"/>
      <c r="G122" s="309"/>
      <c r="H122" s="309"/>
      <c r="I122" s="309"/>
      <c r="J122" s="309"/>
      <c r="K122" s="1020"/>
      <c r="L122" s="309"/>
      <c r="M122" s="309"/>
      <c r="N122" s="309"/>
      <c r="O122" s="309"/>
      <c r="P122" s="326"/>
      <c r="Q122" s="309"/>
      <c r="R122" s="309"/>
      <c r="S122" s="309"/>
      <c r="T122" s="309"/>
      <c r="U122" s="309"/>
      <c r="V122" s="309"/>
      <c r="W122" s="309"/>
      <c r="X122" s="309"/>
      <c r="Y122" s="309"/>
      <c r="Z122" s="309"/>
    </row>
    <row r="123" spans="1:26" ht="12.75" customHeight="1">
      <c r="A123" s="309"/>
      <c r="B123" s="309"/>
      <c r="C123" s="309"/>
      <c r="D123" s="309"/>
      <c r="E123" s="309"/>
      <c r="F123" s="309"/>
      <c r="G123" s="309"/>
      <c r="H123" s="309"/>
      <c r="I123" s="309"/>
      <c r="J123" s="309"/>
      <c r="K123" s="1020"/>
      <c r="L123" s="309"/>
      <c r="M123" s="309"/>
      <c r="N123" s="309"/>
      <c r="O123" s="309"/>
      <c r="P123" s="326"/>
      <c r="Q123" s="309"/>
      <c r="R123" s="309"/>
      <c r="S123" s="309"/>
      <c r="T123" s="309"/>
      <c r="U123" s="309"/>
      <c r="V123" s="309"/>
      <c r="W123" s="309"/>
      <c r="X123" s="309"/>
      <c r="Y123" s="309"/>
      <c r="Z123" s="309"/>
    </row>
    <row r="124" spans="1:26" ht="12.75" customHeight="1">
      <c r="A124" s="309"/>
      <c r="B124" s="309"/>
      <c r="C124" s="309"/>
      <c r="D124" s="309"/>
      <c r="E124" s="309"/>
      <c r="F124" s="309"/>
      <c r="G124" s="309"/>
      <c r="H124" s="309"/>
      <c r="I124" s="309"/>
      <c r="J124" s="309"/>
      <c r="K124" s="1020"/>
      <c r="L124" s="309"/>
      <c r="M124" s="309"/>
      <c r="N124" s="309"/>
      <c r="O124" s="309"/>
      <c r="P124" s="326"/>
      <c r="Q124" s="309"/>
      <c r="R124" s="309"/>
      <c r="S124" s="309"/>
      <c r="T124" s="309"/>
      <c r="U124" s="309"/>
      <c r="V124" s="309"/>
      <c r="W124" s="309"/>
      <c r="X124" s="309"/>
      <c r="Y124" s="309"/>
      <c r="Z124" s="309"/>
    </row>
    <row r="125" spans="1:26" ht="12.75" customHeight="1">
      <c r="A125" s="309"/>
      <c r="B125" s="309"/>
      <c r="C125" s="309"/>
      <c r="D125" s="309"/>
      <c r="E125" s="309"/>
      <c r="F125" s="309"/>
      <c r="G125" s="309"/>
      <c r="H125" s="309"/>
      <c r="I125" s="309"/>
      <c r="J125" s="309"/>
      <c r="K125" s="1020"/>
      <c r="L125" s="309"/>
      <c r="M125" s="309"/>
      <c r="N125" s="309"/>
      <c r="O125" s="309"/>
      <c r="P125" s="326"/>
      <c r="Q125" s="309"/>
      <c r="R125" s="309"/>
      <c r="S125" s="309"/>
      <c r="T125" s="309"/>
      <c r="U125" s="309"/>
      <c r="V125" s="309"/>
      <c r="W125" s="309"/>
      <c r="X125" s="309"/>
      <c r="Y125" s="309"/>
      <c r="Z125" s="309"/>
    </row>
    <row r="126" spans="1:26" ht="12.75" customHeight="1">
      <c r="A126" s="309"/>
      <c r="B126" s="309"/>
      <c r="C126" s="309"/>
      <c r="D126" s="309"/>
      <c r="E126" s="309"/>
      <c r="F126" s="309"/>
      <c r="G126" s="309"/>
      <c r="H126" s="309"/>
      <c r="I126" s="309"/>
      <c r="J126" s="309"/>
      <c r="K126" s="1020"/>
      <c r="L126" s="309"/>
      <c r="M126" s="309"/>
      <c r="N126" s="309"/>
      <c r="O126" s="309"/>
      <c r="P126" s="326"/>
      <c r="Q126" s="309"/>
      <c r="R126" s="309"/>
      <c r="S126" s="309"/>
      <c r="T126" s="309"/>
      <c r="U126" s="309"/>
      <c r="V126" s="309"/>
      <c r="W126" s="309"/>
      <c r="X126" s="309"/>
      <c r="Y126" s="309"/>
      <c r="Z126" s="309"/>
    </row>
    <row r="127" spans="1:26" ht="12.75" customHeight="1">
      <c r="A127" s="309"/>
      <c r="B127" s="309"/>
      <c r="C127" s="309"/>
      <c r="D127" s="309"/>
      <c r="E127" s="309"/>
      <c r="F127" s="309"/>
      <c r="G127" s="309"/>
      <c r="H127" s="309"/>
      <c r="I127" s="309"/>
      <c r="J127" s="309"/>
      <c r="K127" s="1020"/>
      <c r="L127" s="309"/>
      <c r="M127" s="309"/>
      <c r="N127" s="309"/>
      <c r="O127" s="309"/>
      <c r="P127" s="326"/>
      <c r="Q127" s="309"/>
      <c r="R127" s="309"/>
      <c r="S127" s="309"/>
      <c r="T127" s="309"/>
      <c r="U127" s="309"/>
      <c r="V127" s="309"/>
      <c r="W127" s="309"/>
      <c r="X127" s="309"/>
      <c r="Y127" s="309"/>
      <c r="Z127" s="309"/>
    </row>
    <row r="128" spans="1:26" ht="12.75" customHeight="1">
      <c r="A128" s="309"/>
      <c r="B128" s="309"/>
      <c r="C128" s="309"/>
      <c r="D128" s="309"/>
      <c r="E128" s="309"/>
      <c r="F128" s="309"/>
      <c r="G128" s="309"/>
      <c r="H128" s="309"/>
      <c r="I128" s="309"/>
      <c r="J128" s="309"/>
      <c r="K128" s="1020"/>
      <c r="L128" s="309"/>
      <c r="M128" s="309"/>
      <c r="N128" s="309"/>
      <c r="O128" s="309"/>
      <c r="P128" s="326"/>
      <c r="Q128" s="309"/>
      <c r="R128" s="309"/>
      <c r="S128" s="309"/>
      <c r="T128" s="309"/>
      <c r="U128" s="309"/>
      <c r="V128" s="309"/>
      <c r="W128" s="309"/>
      <c r="X128" s="309"/>
      <c r="Y128" s="309"/>
      <c r="Z128" s="309"/>
    </row>
    <row r="129" spans="1:26" ht="12.75" customHeight="1">
      <c r="A129" s="309"/>
      <c r="B129" s="309"/>
      <c r="C129" s="309"/>
      <c r="D129" s="309"/>
      <c r="E129" s="309"/>
      <c r="F129" s="309"/>
      <c r="G129" s="309"/>
      <c r="H129" s="309"/>
      <c r="I129" s="309"/>
      <c r="J129" s="309"/>
      <c r="K129" s="1020"/>
      <c r="L129" s="309"/>
      <c r="M129" s="309"/>
      <c r="N129" s="309"/>
      <c r="O129" s="309"/>
      <c r="P129" s="326"/>
      <c r="Q129" s="309"/>
      <c r="R129" s="309"/>
      <c r="S129" s="309"/>
      <c r="T129" s="309"/>
      <c r="U129" s="309"/>
      <c r="V129" s="309"/>
      <c r="W129" s="309"/>
      <c r="X129" s="309"/>
      <c r="Y129" s="309"/>
      <c r="Z129" s="309"/>
    </row>
    <row r="130" spans="1:26" ht="12.75" customHeight="1">
      <c r="A130" s="309"/>
      <c r="B130" s="309"/>
      <c r="C130" s="309"/>
      <c r="D130" s="309"/>
      <c r="E130" s="309"/>
      <c r="F130" s="309"/>
      <c r="G130" s="309"/>
      <c r="H130" s="309"/>
      <c r="I130" s="309"/>
      <c r="J130" s="309"/>
      <c r="K130" s="1020"/>
      <c r="L130" s="309"/>
      <c r="M130" s="309"/>
      <c r="N130" s="309"/>
      <c r="O130" s="309"/>
      <c r="P130" s="326"/>
      <c r="Q130" s="309"/>
      <c r="R130" s="309"/>
      <c r="S130" s="309"/>
      <c r="T130" s="309"/>
      <c r="U130" s="309"/>
      <c r="V130" s="309"/>
      <c r="W130" s="309"/>
      <c r="X130" s="309"/>
      <c r="Y130" s="309"/>
      <c r="Z130" s="309"/>
    </row>
    <row r="131" spans="1:26" ht="12.75" customHeight="1">
      <c r="A131" s="309"/>
      <c r="B131" s="309"/>
      <c r="C131" s="309"/>
      <c r="D131" s="309"/>
      <c r="E131" s="309"/>
      <c r="F131" s="309"/>
      <c r="G131" s="309"/>
      <c r="H131" s="309"/>
      <c r="I131" s="309"/>
      <c r="J131" s="309"/>
      <c r="K131" s="1020"/>
      <c r="L131" s="309"/>
      <c r="M131" s="309"/>
      <c r="N131" s="309"/>
      <c r="O131" s="309"/>
      <c r="P131" s="326"/>
      <c r="Q131" s="309"/>
      <c r="R131" s="309"/>
      <c r="S131" s="309"/>
      <c r="T131" s="309"/>
      <c r="U131" s="309"/>
      <c r="V131" s="309"/>
      <c r="W131" s="309"/>
      <c r="X131" s="309"/>
      <c r="Y131" s="309"/>
      <c r="Z131" s="309"/>
    </row>
    <row r="132" spans="1:26" ht="12.75" customHeight="1">
      <c r="A132" s="309"/>
      <c r="B132" s="309"/>
      <c r="C132" s="309"/>
      <c r="D132" s="309"/>
      <c r="E132" s="309"/>
      <c r="F132" s="309"/>
      <c r="G132" s="309"/>
      <c r="H132" s="309"/>
      <c r="I132" s="309"/>
      <c r="J132" s="309"/>
      <c r="K132" s="1020"/>
      <c r="L132" s="309"/>
      <c r="M132" s="309"/>
      <c r="N132" s="309"/>
      <c r="O132" s="309"/>
      <c r="P132" s="326"/>
      <c r="Q132" s="309"/>
      <c r="R132" s="309"/>
      <c r="S132" s="309"/>
      <c r="T132" s="309"/>
      <c r="U132" s="309"/>
      <c r="V132" s="309"/>
      <c r="W132" s="309"/>
      <c r="X132" s="309"/>
      <c r="Y132" s="309"/>
      <c r="Z132" s="309"/>
    </row>
    <row r="133" spans="1:26" ht="12.75" customHeight="1">
      <c r="A133" s="309"/>
      <c r="B133" s="309"/>
      <c r="C133" s="309"/>
      <c r="D133" s="309"/>
      <c r="E133" s="309"/>
      <c r="F133" s="309"/>
      <c r="G133" s="309"/>
      <c r="H133" s="309"/>
      <c r="I133" s="309"/>
      <c r="J133" s="309"/>
      <c r="K133" s="1020"/>
      <c r="L133" s="309"/>
      <c r="M133" s="309"/>
      <c r="N133" s="309"/>
      <c r="O133" s="309"/>
      <c r="P133" s="326"/>
      <c r="Q133" s="309"/>
      <c r="R133" s="309"/>
      <c r="S133" s="309"/>
      <c r="T133" s="309"/>
      <c r="U133" s="309"/>
      <c r="V133" s="309"/>
      <c r="W133" s="309"/>
      <c r="X133" s="309"/>
      <c r="Y133" s="309"/>
      <c r="Z133" s="309"/>
    </row>
    <row r="134" spans="1:26" ht="12.75" customHeight="1">
      <c r="A134" s="309"/>
      <c r="B134" s="309"/>
      <c r="C134" s="309"/>
      <c r="D134" s="309"/>
      <c r="E134" s="309"/>
      <c r="F134" s="309"/>
      <c r="G134" s="309"/>
      <c r="H134" s="309"/>
      <c r="I134" s="309"/>
      <c r="J134" s="309"/>
      <c r="K134" s="1020"/>
      <c r="L134" s="309"/>
      <c r="M134" s="309"/>
      <c r="N134" s="309"/>
      <c r="O134" s="309"/>
      <c r="P134" s="326"/>
      <c r="Q134" s="309"/>
      <c r="R134" s="309"/>
      <c r="S134" s="309"/>
      <c r="T134" s="309"/>
      <c r="U134" s="309"/>
      <c r="V134" s="309"/>
      <c r="W134" s="309"/>
      <c r="X134" s="309"/>
      <c r="Y134" s="309"/>
      <c r="Z134" s="309"/>
    </row>
    <row r="135" spans="1:26" ht="12.75" customHeight="1">
      <c r="A135" s="309"/>
      <c r="B135" s="309"/>
      <c r="C135" s="309"/>
      <c r="D135" s="309"/>
      <c r="E135" s="309"/>
      <c r="F135" s="309"/>
      <c r="G135" s="309"/>
      <c r="H135" s="309"/>
      <c r="I135" s="309"/>
      <c r="J135" s="309"/>
      <c r="K135" s="1020"/>
      <c r="L135" s="309"/>
      <c r="M135" s="309"/>
      <c r="N135" s="309"/>
      <c r="O135" s="309"/>
      <c r="P135" s="326"/>
      <c r="Q135" s="309"/>
      <c r="R135" s="309"/>
      <c r="S135" s="309"/>
      <c r="T135" s="309"/>
      <c r="U135" s="309"/>
      <c r="V135" s="309"/>
      <c r="W135" s="309"/>
      <c r="X135" s="309"/>
      <c r="Y135" s="309"/>
      <c r="Z135" s="309"/>
    </row>
    <row r="136" spans="1:26" ht="12.75" customHeight="1">
      <c r="A136" s="309"/>
      <c r="B136" s="309"/>
      <c r="C136" s="309"/>
      <c r="D136" s="309"/>
      <c r="E136" s="309"/>
      <c r="F136" s="309"/>
      <c r="G136" s="309"/>
      <c r="H136" s="309"/>
      <c r="I136" s="309"/>
      <c r="J136" s="309"/>
      <c r="K136" s="1020"/>
      <c r="L136" s="309"/>
      <c r="M136" s="309"/>
      <c r="N136" s="309"/>
      <c r="O136" s="309"/>
      <c r="P136" s="326"/>
      <c r="Q136" s="309"/>
      <c r="R136" s="309"/>
      <c r="S136" s="309"/>
      <c r="T136" s="309"/>
      <c r="U136" s="309"/>
      <c r="V136" s="309"/>
      <c r="W136" s="309"/>
      <c r="X136" s="309"/>
      <c r="Y136" s="309"/>
      <c r="Z136" s="309"/>
    </row>
    <row r="137" spans="1:26" ht="12.75" customHeight="1">
      <c r="A137" s="309"/>
      <c r="B137" s="309"/>
      <c r="C137" s="309"/>
      <c r="D137" s="309"/>
      <c r="E137" s="309"/>
      <c r="F137" s="309"/>
      <c r="G137" s="309"/>
      <c r="H137" s="309"/>
      <c r="I137" s="309"/>
      <c r="J137" s="309"/>
      <c r="K137" s="1020"/>
      <c r="L137" s="309"/>
      <c r="M137" s="309"/>
      <c r="N137" s="309"/>
      <c r="O137" s="309"/>
      <c r="P137" s="326"/>
      <c r="Q137" s="309"/>
      <c r="R137" s="309"/>
      <c r="S137" s="309"/>
      <c r="T137" s="309"/>
      <c r="U137" s="309"/>
      <c r="V137" s="309"/>
      <c r="W137" s="309"/>
      <c r="X137" s="309"/>
      <c r="Y137" s="309"/>
      <c r="Z137" s="309"/>
    </row>
    <row r="138" spans="1:26" ht="12.75" customHeight="1">
      <c r="A138" s="309"/>
      <c r="B138" s="309"/>
      <c r="C138" s="309"/>
      <c r="D138" s="309"/>
      <c r="E138" s="309"/>
      <c r="F138" s="309"/>
      <c r="G138" s="309"/>
      <c r="H138" s="309"/>
      <c r="I138" s="309"/>
      <c r="J138" s="309"/>
      <c r="K138" s="1020"/>
      <c r="L138" s="309"/>
      <c r="M138" s="309"/>
      <c r="N138" s="309"/>
      <c r="O138" s="309"/>
      <c r="P138" s="326"/>
      <c r="Q138" s="309"/>
      <c r="R138" s="309"/>
      <c r="S138" s="309"/>
      <c r="T138" s="309"/>
      <c r="U138" s="309"/>
      <c r="V138" s="309"/>
      <c r="W138" s="309"/>
      <c r="X138" s="309"/>
      <c r="Y138" s="309"/>
      <c r="Z138" s="309"/>
    </row>
    <row r="139" spans="1:26" ht="12.75" customHeight="1">
      <c r="A139" s="309"/>
      <c r="B139" s="309"/>
      <c r="C139" s="309"/>
      <c r="D139" s="309"/>
      <c r="E139" s="309"/>
      <c r="F139" s="309"/>
      <c r="G139" s="309"/>
      <c r="H139" s="309"/>
      <c r="I139" s="309"/>
      <c r="J139" s="309"/>
      <c r="K139" s="1020"/>
      <c r="L139" s="309"/>
      <c r="M139" s="309"/>
      <c r="N139" s="309"/>
      <c r="O139" s="309"/>
      <c r="P139" s="326"/>
      <c r="Q139" s="309"/>
      <c r="R139" s="309"/>
      <c r="S139" s="309"/>
      <c r="T139" s="309"/>
      <c r="U139" s="309"/>
      <c r="V139" s="309"/>
      <c r="W139" s="309"/>
      <c r="X139" s="309"/>
      <c r="Y139" s="309"/>
      <c r="Z139" s="309"/>
    </row>
    <row r="140" spans="1:26" ht="12.75" customHeight="1">
      <c r="A140" s="309"/>
      <c r="B140" s="309"/>
      <c r="C140" s="309"/>
      <c r="D140" s="309"/>
      <c r="E140" s="309"/>
      <c r="F140" s="309"/>
      <c r="G140" s="309"/>
      <c r="H140" s="309"/>
      <c r="I140" s="309"/>
      <c r="J140" s="309"/>
      <c r="K140" s="1020"/>
      <c r="L140" s="309"/>
      <c r="M140" s="309"/>
      <c r="N140" s="309"/>
      <c r="O140" s="309"/>
      <c r="P140" s="326"/>
      <c r="Q140" s="309"/>
      <c r="R140" s="309"/>
      <c r="S140" s="309"/>
      <c r="T140" s="309"/>
      <c r="U140" s="309"/>
      <c r="V140" s="309"/>
      <c r="W140" s="309"/>
      <c r="X140" s="309"/>
      <c r="Y140" s="309"/>
      <c r="Z140" s="309"/>
    </row>
    <row r="141" spans="1:26" ht="12.75" customHeight="1">
      <c r="A141" s="309"/>
      <c r="B141" s="309"/>
      <c r="C141" s="309"/>
      <c r="D141" s="309"/>
      <c r="E141" s="309"/>
      <c r="F141" s="309"/>
      <c r="G141" s="309"/>
      <c r="H141" s="309"/>
      <c r="I141" s="309"/>
      <c r="J141" s="309"/>
      <c r="K141" s="1020"/>
      <c r="L141" s="309"/>
      <c r="M141" s="309"/>
      <c r="N141" s="309"/>
      <c r="O141" s="309"/>
      <c r="P141" s="326"/>
      <c r="Q141" s="309"/>
      <c r="R141" s="309"/>
      <c r="S141" s="309"/>
      <c r="T141" s="309"/>
      <c r="U141" s="309"/>
      <c r="V141" s="309"/>
      <c r="W141" s="309"/>
      <c r="X141" s="309"/>
      <c r="Y141" s="309"/>
      <c r="Z141" s="309"/>
    </row>
    <row r="142" spans="1:26" ht="12.75" customHeight="1">
      <c r="A142" s="309"/>
      <c r="B142" s="309"/>
      <c r="C142" s="309"/>
      <c r="D142" s="309"/>
      <c r="E142" s="309"/>
      <c r="F142" s="309"/>
      <c r="G142" s="309"/>
      <c r="H142" s="309"/>
      <c r="I142" s="309"/>
      <c r="J142" s="309"/>
      <c r="K142" s="1020"/>
      <c r="L142" s="309"/>
      <c r="M142" s="309"/>
      <c r="N142" s="309"/>
      <c r="O142" s="309"/>
      <c r="P142" s="326"/>
      <c r="Q142" s="309"/>
      <c r="R142" s="309"/>
      <c r="S142" s="309"/>
      <c r="T142" s="309"/>
      <c r="U142" s="309"/>
      <c r="V142" s="309"/>
      <c r="W142" s="309"/>
      <c r="X142" s="309"/>
      <c r="Y142" s="309"/>
      <c r="Z142" s="309"/>
    </row>
    <row r="143" spans="1:26" ht="12.75" customHeight="1">
      <c r="A143" s="309"/>
      <c r="B143" s="309"/>
      <c r="C143" s="309"/>
      <c r="D143" s="309"/>
      <c r="E143" s="309"/>
      <c r="F143" s="309"/>
      <c r="G143" s="309"/>
      <c r="H143" s="309"/>
      <c r="I143" s="309"/>
      <c r="J143" s="309"/>
      <c r="K143" s="1020"/>
      <c r="L143" s="309"/>
      <c r="M143" s="309"/>
      <c r="N143" s="309"/>
      <c r="O143" s="309"/>
      <c r="P143" s="326"/>
      <c r="Q143" s="309"/>
      <c r="R143" s="309"/>
      <c r="S143" s="309"/>
      <c r="T143" s="309"/>
      <c r="U143" s="309"/>
      <c r="V143" s="309"/>
      <c r="W143" s="309"/>
      <c r="X143" s="309"/>
      <c r="Y143" s="309"/>
      <c r="Z143" s="309"/>
    </row>
    <row r="144" spans="1:26" ht="12.75" customHeight="1">
      <c r="A144" s="309"/>
      <c r="B144" s="309"/>
      <c r="C144" s="309"/>
      <c r="D144" s="309"/>
      <c r="E144" s="309"/>
      <c r="F144" s="309"/>
      <c r="G144" s="309"/>
      <c r="H144" s="309"/>
      <c r="I144" s="309"/>
      <c r="J144" s="309"/>
      <c r="K144" s="1020"/>
      <c r="L144" s="309"/>
      <c r="M144" s="309"/>
      <c r="N144" s="309"/>
      <c r="O144" s="309"/>
      <c r="P144" s="326"/>
      <c r="Q144" s="309"/>
      <c r="R144" s="309"/>
      <c r="S144" s="309"/>
      <c r="T144" s="309"/>
      <c r="U144" s="309"/>
      <c r="V144" s="309"/>
      <c r="W144" s="309"/>
      <c r="X144" s="309"/>
      <c r="Y144" s="309"/>
      <c r="Z144" s="309"/>
    </row>
    <row r="145" spans="1:26" ht="12.75" customHeight="1">
      <c r="A145" s="309"/>
      <c r="B145" s="309"/>
      <c r="C145" s="309"/>
      <c r="D145" s="309"/>
      <c r="E145" s="309"/>
      <c r="F145" s="309"/>
      <c r="G145" s="309"/>
      <c r="H145" s="309"/>
      <c r="I145" s="309"/>
      <c r="J145" s="309"/>
      <c r="K145" s="1020"/>
      <c r="L145" s="309"/>
      <c r="M145" s="309"/>
      <c r="N145" s="309"/>
      <c r="O145" s="309"/>
      <c r="P145" s="326"/>
      <c r="Q145" s="309"/>
      <c r="R145" s="309"/>
      <c r="S145" s="309"/>
      <c r="T145" s="309"/>
      <c r="U145" s="309"/>
      <c r="V145" s="309"/>
      <c r="W145" s="309"/>
      <c r="X145" s="309"/>
      <c r="Y145" s="309"/>
      <c r="Z145" s="309"/>
    </row>
    <row r="146" spans="1:26" ht="12.75" customHeight="1">
      <c r="A146" s="309"/>
      <c r="B146" s="309"/>
      <c r="C146" s="309"/>
      <c r="D146" s="309"/>
      <c r="E146" s="309"/>
      <c r="F146" s="309"/>
      <c r="G146" s="309"/>
      <c r="H146" s="309"/>
      <c r="I146" s="309"/>
      <c r="J146" s="309"/>
      <c r="K146" s="1020"/>
      <c r="L146" s="309"/>
      <c r="M146" s="309"/>
      <c r="N146" s="309"/>
      <c r="O146" s="309"/>
      <c r="P146" s="326"/>
      <c r="Q146" s="309"/>
      <c r="R146" s="309"/>
      <c r="S146" s="309"/>
      <c r="T146" s="309"/>
      <c r="U146" s="309"/>
      <c r="V146" s="309"/>
      <c r="W146" s="309"/>
      <c r="X146" s="309"/>
      <c r="Y146" s="309"/>
      <c r="Z146" s="309"/>
    </row>
    <row r="147" spans="1:26" ht="12.75" customHeight="1">
      <c r="A147" s="309"/>
      <c r="B147" s="309"/>
      <c r="C147" s="309"/>
      <c r="D147" s="309"/>
      <c r="E147" s="309"/>
      <c r="F147" s="309"/>
      <c r="G147" s="309"/>
      <c r="H147" s="309"/>
      <c r="I147" s="309"/>
      <c r="J147" s="309"/>
      <c r="K147" s="1020"/>
      <c r="L147" s="309"/>
      <c r="M147" s="309"/>
      <c r="N147" s="309"/>
      <c r="O147" s="309"/>
      <c r="P147" s="326"/>
      <c r="Q147" s="309"/>
      <c r="R147" s="309"/>
      <c r="S147" s="309"/>
      <c r="T147" s="309"/>
      <c r="U147" s="309"/>
      <c r="V147" s="309"/>
      <c r="W147" s="309"/>
      <c r="X147" s="309"/>
      <c r="Y147" s="309"/>
      <c r="Z147" s="309"/>
    </row>
    <row r="148" spans="1:26" ht="12.75" customHeight="1">
      <c r="A148" s="309"/>
      <c r="B148" s="309"/>
      <c r="C148" s="309"/>
      <c r="D148" s="309"/>
      <c r="E148" s="309"/>
      <c r="F148" s="309"/>
      <c r="G148" s="309"/>
      <c r="H148" s="309"/>
      <c r="I148" s="309"/>
      <c r="J148" s="309"/>
      <c r="K148" s="1020"/>
      <c r="L148" s="309"/>
      <c r="M148" s="309"/>
      <c r="N148" s="309"/>
      <c r="O148" s="309"/>
      <c r="P148" s="326"/>
      <c r="Q148" s="309"/>
      <c r="R148" s="309"/>
      <c r="S148" s="309"/>
      <c r="T148" s="309"/>
      <c r="U148" s="309"/>
      <c r="V148" s="309"/>
      <c r="W148" s="309"/>
      <c r="X148" s="309"/>
      <c r="Y148" s="309"/>
      <c r="Z148" s="309"/>
    </row>
    <row r="149" spans="1:26" ht="12.75" customHeight="1">
      <c r="A149" s="309"/>
      <c r="B149" s="309"/>
      <c r="C149" s="309"/>
      <c r="D149" s="309"/>
      <c r="E149" s="309"/>
      <c r="F149" s="309"/>
      <c r="G149" s="309"/>
      <c r="H149" s="309"/>
      <c r="I149" s="309"/>
      <c r="J149" s="309"/>
      <c r="K149" s="1020"/>
      <c r="L149" s="309"/>
      <c r="M149" s="309"/>
      <c r="N149" s="309"/>
      <c r="O149" s="309"/>
      <c r="P149" s="326"/>
      <c r="Q149" s="309"/>
      <c r="R149" s="309"/>
      <c r="S149" s="309"/>
      <c r="T149" s="309"/>
      <c r="U149" s="309"/>
      <c r="V149" s="309"/>
      <c r="W149" s="309"/>
      <c r="X149" s="309"/>
      <c r="Y149" s="309"/>
      <c r="Z149" s="309"/>
    </row>
    <row r="150" spans="1:26" ht="12.75" customHeight="1">
      <c r="A150" s="309"/>
      <c r="B150" s="309"/>
      <c r="C150" s="309"/>
      <c r="D150" s="309"/>
      <c r="E150" s="309"/>
      <c r="F150" s="309"/>
      <c r="G150" s="309"/>
      <c r="H150" s="309"/>
      <c r="I150" s="309"/>
      <c r="J150" s="309"/>
      <c r="K150" s="1020"/>
      <c r="L150" s="309"/>
      <c r="M150" s="309"/>
      <c r="N150" s="309"/>
      <c r="O150" s="309"/>
      <c r="P150" s="326"/>
      <c r="Q150" s="309"/>
      <c r="R150" s="309"/>
      <c r="S150" s="309"/>
      <c r="T150" s="309"/>
      <c r="U150" s="309"/>
      <c r="V150" s="309"/>
      <c r="W150" s="309"/>
      <c r="X150" s="309"/>
      <c r="Y150" s="309"/>
      <c r="Z150" s="309"/>
    </row>
    <row r="151" spans="1:26" ht="12.75" customHeight="1">
      <c r="A151" s="309"/>
      <c r="B151" s="309"/>
      <c r="C151" s="309"/>
      <c r="D151" s="309"/>
      <c r="E151" s="309"/>
      <c r="F151" s="309"/>
      <c r="G151" s="309"/>
      <c r="H151" s="309"/>
      <c r="I151" s="309"/>
      <c r="J151" s="309"/>
      <c r="K151" s="1020"/>
      <c r="L151" s="309"/>
      <c r="M151" s="309"/>
      <c r="N151" s="309"/>
      <c r="O151" s="309"/>
      <c r="P151" s="326"/>
      <c r="Q151" s="309"/>
      <c r="R151" s="309"/>
      <c r="S151" s="309"/>
      <c r="T151" s="309"/>
      <c r="U151" s="309"/>
      <c r="V151" s="309"/>
      <c r="W151" s="309"/>
      <c r="X151" s="309"/>
      <c r="Y151" s="309"/>
      <c r="Z151" s="309"/>
    </row>
    <row r="152" spans="1:26" ht="12.75" customHeight="1">
      <c r="A152" s="309"/>
      <c r="B152" s="309"/>
      <c r="C152" s="309"/>
      <c r="D152" s="309"/>
      <c r="E152" s="309"/>
      <c r="F152" s="309"/>
      <c r="G152" s="309"/>
      <c r="H152" s="309"/>
      <c r="I152" s="309"/>
      <c r="J152" s="309"/>
      <c r="K152" s="1020"/>
      <c r="L152" s="309"/>
      <c r="M152" s="309"/>
      <c r="N152" s="309"/>
      <c r="O152" s="309"/>
      <c r="P152" s="326"/>
      <c r="Q152" s="309"/>
      <c r="R152" s="309"/>
      <c r="S152" s="309"/>
      <c r="T152" s="309"/>
      <c r="U152" s="309"/>
      <c r="V152" s="309"/>
      <c r="W152" s="309"/>
      <c r="X152" s="309"/>
      <c r="Y152" s="309"/>
      <c r="Z152" s="309"/>
    </row>
    <row r="153" spans="1:26" ht="12.75" customHeight="1">
      <c r="A153" s="309"/>
      <c r="B153" s="309"/>
      <c r="C153" s="309"/>
      <c r="D153" s="309"/>
      <c r="E153" s="309"/>
      <c r="F153" s="309"/>
      <c r="G153" s="309"/>
      <c r="H153" s="309"/>
      <c r="I153" s="309"/>
      <c r="J153" s="309"/>
      <c r="K153" s="1020"/>
      <c r="L153" s="309"/>
      <c r="M153" s="309"/>
      <c r="N153" s="309"/>
      <c r="O153" s="309"/>
      <c r="P153" s="326"/>
      <c r="Q153" s="309"/>
      <c r="R153" s="309"/>
      <c r="S153" s="309"/>
      <c r="T153" s="309"/>
      <c r="U153" s="309"/>
      <c r="V153" s="309"/>
      <c r="W153" s="309"/>
      <c r="X153" s="309"/>
      <c r="Y153" s="309"/>
      <c r="Z153" s="309"/>
    </row>
    <row r="154" spans="1:26" ht="12.75" customHeight="1">
      <c r="A154" s="309"/>
      <c r="B154" s="309"/>
      <c r="C154" s="309"/>
      <c r="D154" s="309"/>
      <c r="E154" s="309"/>
      <c r="F154" s="309"/>
      <c r="G154" s="309"/>
      <c r="H154" s="309"/>
      <c r="I154" s="309"/>
      <c r="J154" s="309"/>
      <c r="K154" s="1020"/>
      <c r="L154" s="309"/>
      <c r="M154" s="309"/>
      <c r="N154" s="309"/>
      <c r="O154" s="309"/>
      <c r="P154" s="326"/>
      <c r="Q154" s="309"/>
      <c r="R154" s="309"/>
      <c r="S154" s="309"/>
      <c r="T154" s="309"/>
      <c r="U154" s="309"/>
      <c r="V154" s="309"/>
      <c r="W154" s="309"/>
      <c r="X154" s="309"/>
      <c r="Y154" s="309"/>
      <c r="Z154" s="309"/>
    </row>
    <row r="155" spans="1:26" ht="12.75" customHeight="1">
      <c r="A155" s="309"/>
      <c r="B155" s="309"/>
      <c r="C155" s="309"/>
      <c r="D155" s="309"/>
      <c r="E155" s="309"/>
      <c r="F155" s="309"/>
      <c r="G155" s="309"/>
      <c r="H155" s="309"/>
      <c r="I155" s="309"/>
      <c r="J155" s="309"/>
      <c r="K155" s="1020"/>
      <c r="L155" s="309"/>
      <c r="M155" s="309"/>
      <c r="N155" s="309"/>
      <c r="O155" s="309"/>
      <c r="P155" s="326"/>
      <c r="Q155" s="309"/>
      <c r="R155" s="309"/>
      <c r="S155" s="309"/>
      <c r="T155" s="309"/>
      <c r="U155" s="309"/>
      <c r="V155" s="309"/>
      <c r="W155" s="309"/>
      <c r="X155" s="309"/>
      <c r="Y155" s="309"/>
      <c r="Z155" s="309"/>
    </row>
    <row r="156" spans="1:26" ht="12.75" customHeight="1">
      <c r="A156" s="309"/>
      <c r="B156" s="309"/>
      <c r="C156" s="309"/>
      <c r="D156" s="309"/>
      <c r="E156" s="309"/>
      <c r="F156" s="309"/>
      <c r="G156" s="309"/>
      <c r="H156" s="309"/>
      <c r="I156" s="309"/>
      <c r="J156" s="309"/>
      <c r="K156" s="1020"/>
      <c r="L156" s="309"/>
      <c r="M156" s="309"/>
      <c r="N156" s="309"/>
      <c r="O156" s="309"/>
      <c r="P156" s="326"/>
      <c r="Q156" s="309"/>
      <c r="R156" s="309"/>
      <c r="S156" s="309"/>
      <c r="T156" s="309"/>
      <c r="U156" s="309"/>
      <c r="V156" s="309"/>
      <c r="W156" s="309"/>
      <c r="X156" s="309"/>
      <c r="Y156" s="309"/>
      <c r="Z156" s="309"/>
    </row>
    <row r="157" spans="1:26" ht="12.75" customHeight="1">
      <c r="A157" s="309"/>
      <c r="B157" s="309"/>
      <c r="C157" s="309"/>
      <c r="D157" s="309"/>
      <c r="E157" s="309"/>
      <c r="F157" s="309"/>
      <c r="G157" s="309"/>
      <c r="H157" s="309"/>
      <c r="I157" s="309"/>
      <c r="J157" s="309"/>
      <c r="K157" s="1020"/>
      <c r="L157" s="309"/>
      <c r="M157" s="309"/>
      <c r="N157" s="309"/>
      <c r="O157" s="309"/>
      <c r="P157" s="326"/>
      <c r="Q157" s="309"/>
      <c r="R157" s="309"/>
      <c r="S157" s="309"/>
      <c r="T157" s="309"/>
      <c r="U157" s="309"/>
      <c r="V157" s="309"/>
      <c r="W157" s="309"/>
      <c r="X157" s="309"/>
      <c r="Y157" s="309"/>
      <c r="Z157" s="309"/>
    </row>
    <row r="158" spans="1:26" ht="12.75" customHeight="1">
      <c r="A158" s="309"/>
      <c r="B158" s="309"/>
      <c r="C158" s="309"/>
      <c r="D158" s="309"/>
      <c r="E158" s="309"/>
      <c r="F158" s="309"/>
      <c r="G158" s="309"/>
      <c r="H158" s="309"/>
      <c r="I158" s="309"/>
      <c r="J158" s="309"/>
      <c r="K158" s="1020"/>
      <c r="L158" s="309"/>
      <c r="M158" s="309"/>
      <c r="N158" s="309"/>
      <c r="O158" s="309"/>
      <c r="P158" s="326"/>
      <c r="Q158" s="309"/>
      <c r="R158" s="309"/>
      <c r="S158" s="309"/>
      <c r="T158" s="309"/>
      <c r="U158" s="309"/>
      <c r="V158" s="309"/>
      <c r="W158" s="309"/>
      <c r="X158" s="309"/>
      <c r="Y158" s="309"/>
      <c r="Z158" s="309"/>
    </row>
    <row r="159" spans="1:26" ht="12.75" customHeight="1">
      <c r="A159" s="309"/>
      <c r="B159" s="309"/>
      <c r="C159" s="309"/>
      <c r="D159" s="309"/>
      <c r="E159" s="309"/>
      <c r="F159" s="309"/>
      <c r="G159" s="309"/>
      <c r="H159" s="309"/>
      <c r="I159" s="309"/>
      <c r="J159" s="309"/>
      <c r="K159" s="1020"/>
      <c r="L159" s="309"/>
      <c r="M159" s="309"/>
      <c r="N159" s="309"/>
      <c r="O159" s="309"/>
      <c r="P159" s="326"/>
      <c r="Q159" s="309"/>
      <c r="R159" s="309"/>
      <c r="S159" s="309"/>
      <c r="T159" s="309"/>
      <c r="U159" s="309"/>
      <c r="V159" s="309"/>
      <c r="W159" s="309"/>
      <c r="X159" s="309"/>
      <c r="Y159" s="309"/>
      <c r="Z159" s="309"/>
    </row>
    <row r="160" spans="1:26" ht="12.75" customHeight="1">
      <c r="A160" s="309"/>
      <c r="B160" s="309"/>
      <c r="C160" s="309"/>
      <c r="D160" s="309"/>
      <c r="E160" s="309"/>
      <c r="F160" s="309"/>
      <c r="G160" s="309"/>
      <c r="H160" s="309"/>
      <c r="I160" s="309"/>
      <c r="J160" s="309"/>
      <c r="K160" s="1020"/>
      <c r="L160" s="309"/>
      <c r="M160" s="309"/>
      <c r="N160" s="309"/>
      <c r="O160" s="309"/>
      <c r="P160" s="326"/>
      <c r="Q160" s="309"/>
      <c r="R160" s="309"/>
      <c r="S160" s="309"/>
      <c r="T160" s="309"/>
      <c r="U160" s="309"/>
      <c r="V160" s="309"/>
      <c r="W160" s="309"/>
      <c r="X160" s="309"/>
      <c r="Y160" s="309"/>
      <c r="Z160" s="309"/>
    </row>
    <row r="161" spans="1:26" ht="12.75" customHeight="1">
      <c r="A161" s="309"/>
      <c r="B161" s="309"/>
      <c r="C161" s="309"/>
      <c r="D161" s="309"/>
      <c r="E161" s="309"/>
      <c r="F161" s="309"/>
      <c r="G161" s="309"/>
      <c r="H161" s="309"/>
      <c r="I161" s="309"/>
      <c r="J161" s="309"/>
      <c r="K161" s="1020"/>
      <c r="L161" s="309"/>
      <c r="M161" s="309"/>
      <c r="N161" s="309"/>
      <c r="O161" s="309"/>
      <c r="P161" s="326"/>
      <c r="Q161" s="309"/>
      <c r="R161" s="309"/>
      <c r="S161" s="309"/>
      <c r="T161" s="309"/>
      <c r="U161" s="309"/>
      <c r="V161" s="309"/>
      <c r="W161" s="309"/>
      <c r="X161" s="309"/>
      <c r="Y161" s="309"/>
      <c r="Z161" s="309"/>
    </row>
    <row r="162" spans="1:26" ht="12.75" customHeight="1">
      <c r="A162" s="309"/>
      <c r="B162" s="309"/>
      <c r="C162" s="309"/>
      <c r="D162" s="309"/>
      <c r="E162" s="309"/>
      <c r="F162" s="309"/>
      <c r="G162" s="309"/>
      <c r="H162" s="309"/>
      <c r="I162" s="309"/>
      <c r="J162" s="309"/>
      <c r="K162" s="1020"/>
      <c r="L162" s="309"/>
      <c r="M162" s="309"/>
      <c r="N162" s="309"/>
      <c r="O162" s="309"/>
      <c r="P162" s="326"/>
      <c r="Q162" s="309"/>
      <c r="R162" s="309"/>
      <c r="S162" s="309"/>
      <c r="T162" s="309"/>
      <c r="U162" s="309"/>
      <c r="V162" s="309"/>
      <c r="W162" s="309"/>
      <c r="X162" s="309"/>
      <c r="Y162" s="309"/>
      <c r="Z162" s="309"/>
    </row>
    <row r="163" spans="1:26" ht="12.75" customHeight="1">
      <c r="A163" s="309"/>
      <c r="B163" s="309"/>
      <c r="C163" s="309"/>
      <c r="D163" s="309"/>
      <c r="E163" s="309"/>
      <c r="F163" s="309"/>
      <c r="G163" s="309"/>
      <c r="H163" s="309"/>
      <c r="I163" s="309"/>
      <c r="J163" s="309"/>
      <c r="K163" s="1020"/>
      <c r="L163" s="309"/>
      <c r="M163" s="309"/>
      <c r="N163" s="309"/>
      <c r="O163" s="309"/>
      <c r="P163" s="326"/>
      <c r="Q163" s="309"/>
      <c r="R163" s="309"/>
      <c r="S163" s="309"/>
      <c r="T163" s="309"/>
      <c r="U163" s="309"/>
      <c r="V163" s="309"/>
      <c r="W163" s="309"/>
      <c r="X163" s="309"/>
      <c r="Y163" s="309"/>
      <c r="Z163" s="309"/>
    </row>
    <row r="164" spans="1:26" ht="12.75" customHeight="1">
      <c r="A164" s="309"/>
      <c r="B164" s="309"/>
      <c r="C164" s="309"/>
      <c r="D164" s="309"/>
      <c r="E164" s="309"/>
      <c r="F164" s="309"/>
      <c r="G164" s="309"/>
      <c r="H164" s="309"/>
      <c r="I164" s="309"/>
      <c r="J164" s="309"/>
      <c r="K164" s="1020"/>
      <c r="L164" s="309"/>
      <c r="M164" s="309"/>
      <c r="N164" s="309"/>
      <c r="O164" s="309"/>
      <c r="P164" s="326"/>
      <c r="Q164" s="309"/>
      <c r="R164" s="309"/>
      <c r="S164" s="309"/>
      <c r="T164" s="309"/>
      <c r="U164" s="309"/>
      <c r="V164" s="309"/>
      <c r="W164" s="309"/>
      <c r="X164" s="309"/>
      <c r="Y164" s="309"/>
      <c r="Z164" s="309"/>
    </row>
    <row r="165" spans="1:26" ht="12.75" customHeight="1">
      <c r="A165" s="309"/>
      <c r="B165" s="309"/>
      <c r="C165" s="309"/>
      <c r="D165" s="309"/>
      <c r="E165" s="309"/>
      <c r="F165" s="309"/>
      <c r="G165" s="309"/>
      <c r="H165" s="309"/>
      <c r="I165" s="309"/>
      <c r="J165" s="309"/>
      <c r="K165" s="1020"/>
      <c r="L165" s="309"/>
      <c r="M165" s="309"/>
      <c r="N165" s="309"/>
      <c r="O165" s="309"/>
      <c r="P165" s="326"/>
      <c r="Q165" s="309"/>
      <c r="R165" s="309"/>
      <c r="S165" s="309"/>
      <c r="T165" s="309"/>
      <c r="U165" s="309"/>
      <c r="V165" s="309"/>
      <c r="W165" s="309"/>
      <c r="X165" s="309"/>
      <c r="Y165" s="309"/>
      <c r="Z165" s="309"/>
    </row>
    <row r="166" spans="1:26" ht="12.75" customHeight="1">
      <c r="A166" s="309"/>
      <c r="B166" s="309"/>
      <c r="C166" s="309"/>
      <c r="D166" s="309"/>
      <c r="E166" s="309"/>
      <c r="F166" s="309"/>
      <c r="G166" s="309"/>
      <c r="H166" s="309"/>
      <c r="I166" s="309"/>
      <c r="J166" s="309"/>
      <c r="K166" s="1020"/>
      <c r="L166" s="309"/>
      <c r="M166" s="309"/>
      <c r="N166" s="309"/>
      <c r="O166" s="309"/>
      <c r="P166" s="326"/>
      <c r="Q166" s="309"/>
      <c r="R166" s="309"/>
      <c r="S166" s="309"/>
      <c r="T166" s="309"/>
      <c r="U166" s="309"/>
      <c r="V166" s="309"/>
      <c r="W166" s="309"/>
      <c r="X166" s="309"/>
      <c r="Y166" s="309"/>
      <c r="Z166" s="309"/>
    </row>
    <row r="167" spans="1:26" ht="12.75" customHeight="1">
      <c r="A167" s="309"/>
      <c r="B167" s="309"/>
      <c r="C167" s="309"/>
      <c r="D167" s="309"/>
      <c r="E167" s="309"/>
      <c r="F167" s="309"/>
      <c r="G167" s="309"/>
      <c r="H167" s="309"/>
      <c r="I167" s="309"/>
      <c r="J167" s="309"/>
      <c r="K167" s="1020"/>
      <c r="L167" s="309"/>
      <c r="M167" s="309"/>
      <c r="N167" s="309"/>
      <c r="O167" s="309"/>
      <c r="P167" s="326"/>
      <c r="Q167" s="309"/>
      <c r="R167" s="309"/>
      <c r="S167" s="309"/>
      <c r="T167" s="309"/>
      <c r="U167" s="309"/>
      <c r="V167" s="309"/>
      <c r="W167" s="309"/>
      <c r="X167" s="309"/>
      <c r="Y167" s="309"/>
      <c r="Z167" s="309"/>
    </row>
    <row r="168" spans="1:26" ht="12.75" customHeight="1">
      <c r="A168" s="309"/>
      <c r="B168" s="309"/>
      <c r="C168" s="309"/>
      <c r="D168" s="309"/>
      <c r="E168" s="309"/>
      <c r="F168" s="309"/>
      <c r="G168" s="309"/>
      <c r="H168" s="309"/>
      <c r="I168" s="309"/>
      <c r="J168" s="309"/>
      <c r="K168" s="1020"/>
      <c r="L168" s="309"/>
      <c r="M168" s="309"/>
      <c r="N168" s="309"/>
      <c r="O168" s="309"/>
      <c r="P168" s="326"/>
      <c r="Q168" s="309"/>
      <c r="R168" s="309"/>
      <c r="S168" s="309"/>
      <c r="T168" s="309"/>
      <c r="U168" s="309"/>
      <c r="V168" s="309"/>
      <c r="W168" s="309"/>
      <c r="X168" s="309"/>
      <c r="Y168" s="309"/>
      <c r="Z168" s="309"/>
    </row>
    <row r="169" spans="1:26" ht="12.75" customHeight="1">
      <c r="A169" s="309"/>
      <c r="B169" s="309"/>
      <c r="C169" s="309"/>
      <c r="D169" s="309"/>
      <c r="E169" s="309"/>
      <c r="F169" s="309"/>
      <c r="G169" s="309"/>
      <c r="H169" s="309"/>
      <c r="I169" s="309"/>
      <c r="J169" s="309"/>
      <c r="K169" s="1020"/>
      <c r="L169" s="309"/>
      <c r="M169" s="309"/>
      <c r="N169" s="309"/>
      <c r="O169" s="309"/>
      <c r="P169" s="326"/>
      <c r="Q169" s="309"/>
      <c r="R169" s="309"/>
      <c r="S169" s="309"/>
      <c r="T169" s="309"/>
      <c r="U169" s="309"/>
      <c r="V169" s="309"/>
      <c r="W169" s="309"/>
      <c r="X169" s="309"/>
      <c r="Y169" s="309"/>
      <c r="Z169" s="309"/>
    </row>
    <row r="170" spans="1:26" ht="12.75" customHeight="1">
      <c r="A170" s="309"/>
      <c r="B170" s="309"/>
      <c r="C170" s="309"/>
      <c r="D170" s="309"/>
      <c r="E170" s="309"/>
      <c r="F170" s="309"/>
      <c r="G170" s="309"/>
      <c r="H170" s="309"/>
      <c r="I170" s="309"/>
      <c r="J170" s="309"/>
      <c r="K170" s="1020"/>
      <c r="L170" s="309"/>
      <c r="M170" s="309"/>
      <c r="N170" s="309"/>
      <c r="O170" s="309"/>
      <c r="P170" s="326"/>
      <c r="Q170" s="309"/>
      <c r="R170" s="309"/>
      <c r="S170" s="309"/>
      <c r="T170" s="309"/>
      <c r="U170" s="309"/>
      <c r="V170" s="309"/>
      <c r="W170" s="309"/>
      <c r="X170" s="309"/>
      <c r="Y170" s="309"/>
      <c r="Z170" s="309"/>
    </row>
    <row r="171" spans="1:26" ht="12.75" customHeight="1">
      <c r="A171" s="309"/>
      <c r="B171" s="309"/>
      <c r="C171" s="309"/>
      <c r="D171" s="309"/>
      <c r="E171" s="309"/>
      <c r="F171" s="309"/>
      <c r="G171" s="309"/>
      <c r="H171" s="309"/>
      <c r="I171" s="309"/>
      <c r="J171" s="309"/>
      <c r="K171" s="1020"/>
      <c r="L171" s="309"/>
      <c r="M171" s="309"/>
      <c r="N171" s="309"/>
      <c r="O171" s="309"/>
      <c r="P171" s="326"/>
      <c r="Q171" s="309"/>
      <c r="R171" s="309"/>
      <c r="S171" s="309"/>
      <c r="T171" s="309"/>
      <c r="U171" s="309"/>
      <c r="V171" s="309"/>
      <c r="W171" s="309"/>
      <c r="X171" s="309"/>
      <c r="Y171" s="309"/>
      <c r="Z171" s="309"/>
    </row>
    <row r="172" spans="1:26" ht="12.75" customHeight="1">
      <c r="A172" s="309"/>
      <c r="B172" s="309"/>
      <c r="C172" s="309"/>
      <c r="D172" s="309"/>
      <c r="E172" s="309"/>
      <c r="F172" s="309"/>
      <c r="G172" s="309"/>
      <c r="H172" s="309"/>
      <c r="I172" s="309"/>
      <c r="J172" s="309"/>
      <c r="K172" s="1020"/>
      <c r="L172" s="309"/>
      <c r="M172" s="309"/>
      <c r="N172" s="309"/>
      <c r="O172" s="309"/>
      <c r="P172" s="326"/>
      <c r="Q172" s="309"/>
      <c r="R172" s="309"/>
      <c r="S172" s="309"/>
      <c r="T172" s="309"/>
      <c r="U172" s="309"/>
      <c r="V172" s="309"/>
      <c r="W172" s="309"/>
      <c r="X172" s="309"/>
      <c r="Y172" s="309"/>
      <c r="Z172" s="309"/>
    </row>
    <row r="173" spans="1:26" ht="12.75" customHeight="1">
      <c r="A173" s="309"/>
      <c r="B173" s="309"/>
      <c r="C173" s="309"/>
      <c r="D173" s="309"/>
      <c r="E173" s="309"/>
      <c r="F173" s="309"/>
      <c r="G173" s="309"/>
      <c r="H173" s="309"/>
      <c r="I173" s="309"/>
      <c r="J173" s="309"/>
      <c r="K173" s="1020"/>
      <c r="L173" s="309"/>
      <c r="M173" s="309"/>
      <c r="N173" s="309"/>
      <c r="O173" s="309"/>
      <c r="P173" s="326"/>
      <c r="Q173" s="309"/>
      <c r="R173" s="309"/>
      <c r="S173" s="309"/>
      <c r="T173" s="309"/>
      <c r="U173" s="309"/>
      <c r="V173" s="309"/>
      <c r="W173" s="309"/>
      <c r="X173" s="309"/>
      <c r="Y173" s="309"/>
      <c r="Z173" s="309"/>
    </row>
    <row r="174" spans="1:26" ht="12.75" customHeight="1">
      <c r="A174" s="309"/>
      <c r="B174" s="309"/>
      <c r="C174" s="309"/>
      <c r="D174" s="309"/>
      <c r="E174" s="309"/>
      <c r="F174" s="309"/>
      <c r="G174" s="309"/>
      <c r="H174" s="309"/>
      <c r="I174" s="309"/>
      <c r="J174" s="309"/>
      <c r="K174" s="1020"/>
      <c r="L174" s="309"/>
      <c r="M174" s="309"/>
      <c r="N174" s="309"/>
      <c r="O174" s="309"/>
      <c r="P174" s="326"/>
      <c r="Q174" s="309"/>
      <c r="R174" s="309"/>
      <c r="S174" s="309"/>
      <c r="T174" s="309"/>
      <c r="U174" s="309"/>
      <c r="V174" s="309"/>
      <c r="W174" s="309"/>
      <c r="X174" s="309"/>
      <c r="Y174" s="309"/>
      <c r="Z174" s="309"/>
    </row>
    <row r="175" spans="1:26" ht="12.75" customHeight="1">
      <c r="A175" s="309"/>
      <c r="B175" s="309"/>
      <c r="C175" s="309"/>
      <c r="D175" s="309"/>
      <c r="E175" s="309"/>
      <c r="F175" s="309"/>
      <c r="G175" s="309"/>
      <c r="H175" s="309"/>
      <c r="I175" s="309"/>
      <c r="J175" s="309"/>
      <c r="K175" s="1020"/>
      <c r="L175" s="309"/>
      <c r="M175" s="309"/>
      <c r="N175" s="309"/>
      <c r="O175" s="309"/>
      <c r="P175" s="326"/>
      <c r="Q175" s="309"/>
      <c r="R175" s="309"/>
      <c r="S175" s="309"/>
      <c r="T175" s="309"/>
      <c r="U175" s="309"/>
      <c r="V175" s="309"/>
      <c r="W175" s="309"/>
      <c r="X175" s="309"/>
      <c r="Y175" s="309"/>
      <c r="Z175" s="309"/>
    </row>
    <row r="176" spans="1:26" ht="12.75" customHeight="1">
      <c r="A176" s="309"/>
      <c r="B176" s="309"/>
      <c r="C176" s="309"/>
      <c r="D176" s="309"/>
      <c r="E176" s="309"/>
      <c r="F176" s="309"/>
      <c r="G176" s="309"/>
      <c r="H176" s="309"/>
      <c r="I176" s="309"/>
      <c r="J176" s="309"/>
      <c r="K176" s="1020"/>
      <c r="L176" s="309"/>
      <c r="M176" s="309"/>
      <c r="N176" s="309"/>
      <c r="O176" s="309"/>
      <c r="P176" s="326"/>
      <c r="Q176" s="309"/>
      <c r="R176" s="309"/>
      <c r="S176" s="309"/>
      <c r="T176" s="309"/>
      <c r="U176" s="309"/>
      <c r="V176" s="309"/>
      <c r="W176" s="309"/>
      <c r="X176" s="309"/>
      <c r="Y176" s="309"/>
      <c r="Z176" s="309"/>
    </row>
    <row r="177" spans="1:26" ht="12.75" customHeight="1">
      <c r="A177" s="309"/>
      <c r="B177" s="309"/>
      <c r="C177" s="309"/>
      <c r="D177" s="309"/>
      <c r="E177" s="309"/>
      <c r="F177" s="309"/>
      <c r="G177" s="309"/>
      <c r="H177" s="309"/>
      <c r="I177" s="309"/>
      <c r="J177" s="309"/>
      <c r="K177" s="1020"/>
      <c r="L177" s="309"/>
      <c r="M177" s="309"/>
      <c r="N177" s="309"/>
      <c r="O177" s="309"/>
      <c r="P177" s="326"/>
      <c r="Q177" s="309"/>
      <c r="R177" s="309"/>
      <c r="S177" s="309"/>
      <c r="T177" s="309"/>
      <c r="U177" s="309"/>
      <c r="V177" s="309"/>
      <c r="W177" s="309"/>
      <c r="X177" s="309"/>
      <c r="Y177" s="309"/>
      <c r="Z177" s="309"/>
    </row>
    <row r="178" spans="1:26" ht="12.75" customHeight="1">
      <c r="A178" s="309"/>
      <c r="B178" s="309"/>
      <c r="C178" s="309"/>
      <c r="D178" s="309"/>
      <c r="E178" s="309"/>
      <c r="F178" s="309"/>
      <c r="G178" s="309"/>
      <c r="H178" s="309"/>
      <c r="I178" s="309"/>
      <c r="J178" s="309"/>
      <c r="K178" s="1020"/>
      <c r="L178" s="309"/>
      <c r="M178" s="309"/>
      <c r="N178" s="309"/>
      <c r="O178" s="309"/>
      <c r="P178" s="326"/>
      <c r="Q178" s="309"/>
      <c r="R178" s="309"/>
      <c r="S178" s="309"/>
      <c r="T178" s="309"/>
      <c r="U178" s="309"/>
      <c r="V178" s="309"/>
      <c r="W178" s="309"/>
      <c r="X178" s="309"/>
      <c r="Y178" s="309"/>
      <c r="Z178" s="309"/>
    </row>
    <row r="179" spans="1:26" ht="12.75" customHeight="1">
      <c r="A179" s="309"/>
      <c r="B179" s="309"/>
      <c r="C179" s="309"/>
      <c r="D179" s="309"/>
      <c r="E179" s="309"/>
      <c r="F179" s="309"/>
      <c r="G179" s="309"/>
      <c r="H179" s="309"/>
      <c r="I179" s="309"/>
      <c r="J179" s="309"/>
      <c r="K179" s="1020"/>
      <c r="L179" s="309"/>
      <c r="M179" s="309"/>
      <c r="N179" s="309"/>
      <c r="O179" s="309"/>
      <c r="P179" s="326"/>
      <c r="Q179" s="309"/>
      <c r="R179" s="309"/>
      <c r="S179" s="309"/>
      <c r="T179" s="309"/>
      <c r="U179" s="309"/>
      <c r="V179" s="309"/>
      <c r="W179" s="309"/>
      <c r="X179" s="309"/>
      <c r="Y179" s="309"/>
      <c r="Z179" s="309"/>
    </row>
    <row r="180" spans="1:26" ht="12.75" customHeight="1">
      <c r="A180" s="309"/>
      <c r="B180" s="309"/>
      <c r="C180" s="309"/>
      <c r="D180" s="309"/>
      <c r="E180" s="309"/>
      <c r="F180" s="309"/>
      <c r="G180" s="309"/>
      <c r="H180" s="309"/>
      <c r="I180" s="309"/>
      <c r="J180" s="309"/>
      <c r="K180" s="1020"/>
      <c r="L180" s="309"/>
      <c r="M180" s="309"/>
      <c r="N180" s="309"/>
      <c r="O180" s="309"/>
      <c r="P180" s="326"/>
      <c r="Q180" s="309"/>
      <c r="R180" s="309"/>
      <c r="S180" s="309"/>
      <c r="T180" s="309"/>
      <c r="U180" s="309"/>
      <c r="V180" s="309"/>
      <c r="W180" s="309"/>
      <c r="X180" s="309"/>
      <c r="Y180" s="309"/>
      <c r="Z180" s="309"/>
    </row>
    <row r="181" spans="1:26" ht="12.75" customHeight="1">
      <c r="A181" s="309"/>
      <c r="B181" s="309"/>
      <c r="C181" s="309"/>
      <c r="D181" s="309"/>
      <c r="E181" s="309"/>
      <c r="F181" s="309"/>
      <c r="G181" s="309"/>
      <c r="H181" s="309"/>
      <c r="I181" s="309"/>
      <c r="J181" s="309"/>
      <c r="K181" s="1020"/>
      <c r="L181" s="309"/>
      <c r="M181" s="309"/>
      <c r="N181" s="309"/>
      <c r="O181" s="309"/>
      <c r="P181" s="326"/>
      <c r="Q181" s="309"/>
      <c r="R181" s="309"/>
      <c r="S181" s="309"/>
      <c r="T181" s="309"/>
      <c r="U181" s="309"/>
      <c r="V181" s="309"/>
      <c r="W181" s="309"/>
      <c r="X181" s="309"/>
      <c r="Y181" s="309"/>
      <c r="Z181" s="309"/>
    </row>
    <row r="182" spans="1:26" ht="12.75" customHeight="1">
      <c r="A182" s="309"/>
      <c r="B182" s="309"/>
      <c r="C182" s="309"/>
      <c r="D182" s="309"/>
      <c r="E182" s="309"/>
      <c r="F182" s="309"/>
      <c r="G182" s="309"/>
      <c r="H182" s="309"/>
      <c r="I182" s="309"/>
      <c r="J182" s="309"/>
      <c r="K182" s="1020"/>
      <c r="L182" s="309"/>
      <c r="M182" s="309"/>
      <c r="N182" s="309"/>
      <c r="O182" s="309"/>
      <c r="P182" s="326"/>
      <c r="Q182" s="309"/>
      <c r="R182" s="309"/>
      <c r="S182" s="309"/>
      <c r="T182" s="309"/>
      <c r="U182" s="309"/>
      <c r="V182" s="309"/>
      <c r="W182" s="309"/>
      <c r="X182" s="309"/>
      <c r="Y182" s="309"/>
      <c r="Z182" s="309"/>
    </row>
    <row r="183" spans="1:26" ht="12.75" customHeight="1">
      <c r="A183" s="309"/>
      <c r="B183" s="309"/>
      <c r="C183" s="309"/>
      <c r="D183" s="309"/>
      <c r="E183" s="309"/>
      <c r="F183" s="309"/>
      <c r="G183" s="309"/>
      <c r="H183" s="309"/>
      <c r="I183" s="309"/>
      <c r="J183" s="309"/>
      <c r="K183" s="1020"/>
      <c r="L183" s="309"/>
      <c r="M183" s="309"/>
      <c r="N183" s="309"/>
      <c r="O183" s="309"/>
      <c r="P183" s="326"/>
      <c r="Q183" s="309"/>
      <c r="R183" s="309"/>
      <c r="S183" s="309"/>
      <c r="T183" s="309"/>
      <c r="U183" s="309"/>
      <c r="V183" s="309"/>
      <c r="W183" s="309"/>
      <c r="X183" s="309"/>
      <c r="Y183" s="309"/>
      <c r="Z183" s="309"/>
    </row>
    <row r="184" spans="1:26" ht="12.75" customHeight="1">
      <c r="A184" s="309"/>
      <c r="B184" s="309"/>
      <c r="C184" s="309"/>
      <c r="D184" s="309"/>
      <c r="E184" s="309"/>
      <c r="F184" s="309"/>
      <c r="G184" s="309"/>
      <c r="H184" s="309"/>
      <c r="I184" s="309"/>
      <c r="J184" s="309"/>
      <c r="K184" s="1020"/>
      <c r="L184" s="309"/>
      <c r="M184" s="309"/>
      <c r="N184" s="309"/>
      <c r="O184" s="309"/>
      <c r="P184" s="326"/>
      <c r="Q184" s="309"/>
      <c r="R184" s="309"/>
      <c r="S184" s="309"/>
      <c r="T184" s="309"/>
      <c r="U184" s="309"/>
      <c r="V184" s="309"/>
      <c r="W184" s="309"/>
      <c r="X184" s="309"/>
      <c r="Y184" s="309"/>
      <c r="Z184" s="309"/>
    </row>
    <row r="185" spans="1:26" ht="12.75" customHeight="1">
      <c r="A185" s="309"/>
      <c r="B185" s="309"/>
      <c r="C185" s="309"/>
      <c r="D185" s="309"/>
      <c r="E185" s="309"/>
      <c r="F185" s="309"/>
      <c r="G185" s="309"/>
      <c r="H185" s="309"/>
      <c r="I185" s="309"/>
      <c r="J185" s="309"/>
      <c r="K185" s="1020"/>
      <c r="L185" s="309"/>
      <c r="M185" s="309"/>
      <c r="N185" s="309"/>
      <c r="O185" s="309"/>
      <c r="P185" s="326"/>
      <c r="Q185" s="309"/>
      <c r="R185" s="309"/>
      <c r="S185" s="309"/>
      <c r="T185" s="309"/>
      <c r="U185" s="309"/>
      <c r="V185" s="309"/>
      <c r="W185" s="309"/>
      <c r="X185" s="309"/>
      <c r="Y185" s="309"/>
      <c r="Z185" s="309"/>
    </row>
    <row r="186" spans="1:26" ht="12.75" customHeight="1">
      <c r="A186" s="309"/>
      <c r="B186" s="309"/>
      <c r="C186" s="309"/>
      <c r="D186" s="309"/>
      <c r="E186" s="309"/>
      <c r="F186" s="309"/>
      <c r="G186" s="309"/>
      <c r="H186" s="309"/>
      <c r="I186" s="309"/>
      <c r="J186" s="309"/>
      <c r="K186" s="1020"/>
      <c r="L186" s="309"/>
      <c r="M186" s="309"/>
      <c r="N186" s="309"/>
      <c r="O186" s="309"/>
      <c r="P186" s="326"/>
      <c r="Q186" s="309"/>
      <c r="R186" s="309"/>
      <c r="S186" s="309"/>
      <c r="T186" s="309"/>
      <c r="U186" s="309"/>
      <c r="V186" s="309"/>
      <c r="W186" s="309"/>
      <c r="X186" s="309"/>
      <c r="Y186" s="309"/>
      <c r="Z186" s="309"/>
    </row>
    <row r="187" spans="1:26" ht="12.75" customHeight="1">
      <c r="A187" s="309"/>
      <c r="B187" s="309"/>
      <c r="C187" s="309"/>
      <c r="D187" s="309"/>
      <c r="E187" s="309"/>
      <c r="F187" s="309"/>
      <c r="G187" s="309"/>
      <c r="H187" s="309"/>
      <c r="I187" s="309"/>
      <c r="J187" s="309"/>
      <c r="K187" s="1020"/>
      <c r="L187" s="309"/>
      <c r="M187" s="309"/>
      <c r="N187" s="309"/>
      <c r="O187" s="309"/>
      <c r="P187" s="326"/>
      <c r="Q187" s="309"/>
      <c r="R187" s="309"/>
      <c r="S187" s="309"/>
      <c r="T187" s="309"/>
      <c r="U187" s="309"/>
      <c r="V187" s="309"/>
      <c r="W187" s="309"/>
      <c r="X187" s="309"/>
      <c r="Y187" s="309"/>
      <c r="Z187" s="309"/>
    </row>
    <row r="188" spans="1:26" ht="12.75" customHeight="1">
      <c r="A188" s="309"/>
      <c r="B188" s="309"/>
      <c r="C188" s="309"/>
      <c r="D188" s="309"/>
      <c r="E188" s="309"/>
      <c r="F188" s="309"/>
      <c r="G188" s="309"/>
      <c r="H188" s="309"/>
      <c r="I188" s="309"/>
      <c r="J188" s="309"/>
      <c r="K188" s="1020"/>
      <c r="L188" s="309"/>
      <c r="M188" s="309"/>
      <c r="N188" s="309"/>
      <c r="O188" s="309"/>
      <c r="P188" s="326"/>
      <c r="Q188" s="309"/>
      <c r="R188" s="309"/>
      <c r="S188" s="309"/>
      <c r="T188" s="309"/>
      <c r="U188" s="309"/>
      <c r="V188" s="309"/>
      <c r="W188" s="309"/>
      <c r="X188" s="309"/>
      <c r="Y188" s="309"/>
      <c r="Z188" s="309"/>
    </row>
    <row r="189" spans="1:26" ht="12.75" customHeight="1">
      <c r="A189" s="309"/>
      <c r="B189" s="309"/>
      <c r="C189" s="309"/>
      <c r="D189" s="309"/>
      <c r="E189" s="309"/>
      <c r="F189" s="309"/>
      <c r="G189" s="309"/>
      <c r="H189" s="309"/>
      <c r="I189" s="309"/>
      <c r="J189" s="309"/>
      <c r="K189" s="1020"/>
      <c r="L189" s="309"/>
      <c r="M189" s="309"/>
      <c r="N189" s="309"/>
      <c r="O189" s="309"/>
      <c r="P189" s="326"/>
      <c r="Q189" s="309"/>
      <c r="R189" s="309"/>
      <c r="S189" s="309"/>
      <c r="T189" s="309"/>
      <c r="U189" s="309"/>
      <c r="V189" s="309"/>
      <c r="W189" s="309"/>
      <c r="X189" s="309"/>
      <c r="Y189" s="309"/>
      <c r="Z189" s="309"/>
    </row>
    <row r="190" spans="1:26" ht="12.75" customHeight="1">
      <c r="A190" s="309"/>
      <c r="B190" s="309"/>
      <c r="C190" s="309"/>
      <c r="D190" s="309"/>
      <c r="E190" s="309"/>
      <c r="F190" s="309"/>
      <c r="G190" s="309"/>
      <c r="H190" s="309"/>
      <c r="I190" s="309"/>
      <c r="J190" s="309"/>
      <c r="K190" s="1020"/>
      <c r="L190" s="309"/>
      <c r="M190" s="309"/>
      <c r="N190" s="309"/>
      <c r="O190" s="309"/>
      <c r="P190" s="326"/>
      <c r="Q190" s="309"/>
      <c r="R190" s="309"/>
      <c r="S190" s="309"/>
      <c r="T190" s="309"/>
      <c r="U190" s="309"/>
      <c r="V190" s="309"/>
      <c r="W190" s="309"/>
      <c r="X190" s="309"/>
      <c r="Y190" s="309"/>
      <c r="Z190" s="309"/>
    </row>
    <row r="191" spans="1:26" ht="12.75" customHeight="1">
      <c r="A191" s="309"/>
      <c r="B191" s="309"/>
      <c r="C191" s="309"/>
      <c r="D191" s="309"/>
      <c r="E191" s="309"/>
      <c r="F191" s="309"/>
      <c r="G191" s="309"/>
      <c r="H191" s="309"/>
      <c r="I191" s="309"/>
      <c r="J191" s="309"/>
      <c r="K191" s="1020"/>
      <c r="L191" s="309"/>
      <c r="M191" s="309"/>
      <c r="N191" s="309"/>
      <c r="O191" s="309"/>
      <c r="P191" s="326"/>
      <c r="Q191" s="309"/>
      <c r="R191" s="309"/>
      <c r="S191" s="309"/>
      <c r="T191" s="309"/>
      <c r="U191" s="309"/>
      <c r="V191" s="309"/>
      <c r="W191" s="309"/>
      <c r="X191" s="309"/>
      <c r="Y191" s="309"/>
      <c r="Z191" s="309"/>
    </row>
    <row r="192" spans="1:26" ht="12.75" customHeight="1">
      <c r="A192" s="309"/>
      <c r="B192" s="309"/>
      <c r="C192" s="309"/>
      <c r="D192" s="309"/>
      <c r="E192" s="309"/>
      <c r="F192" s="309"/>
      <c r="G192" s="309"/>
      <c r="H192" s="309"/>
      <c r="I192" s="309"/>
      <c r="J192" s="309"/>
      <c r="K192" s="1020"/>
      <c r="L192" s="309"/>
      <c r="M192" s="309"/>
      <c r="N192" s="309"/>
      <c r="O192" s="309"/>
      <c r="P192" s="326"/>
      <c r="Q192" s="309"/>
      <c r="R192" s="309"/>
      <c r="S192" s="309"/>
      <c r="T192" s="309"/>
      <c r="U192" s="309"/>
      <c r="V192" s="309"/>
      <c r="W192" s="309"/>
      <c r="X192" s="309"/>
      <c r="Y192" s="309"/>
      <c r="Z192" s="309"/>
    </row>
    <row r="193" spans="1:26" ht="12.75" customHeight="1">
      <c r="A193" s="309"/>
      <c r="B193" s="309"/>
      <c r="C193" s="309"/>
      <c r="D193" s="309"/>
      <c r="E193" s="309"/>
      <c r="F193" s="309"/>
      <c r="G193" s="309"/>
      <c r="H193" s="309"/>
      <c r="I193" s="309"/>
      <c r="J193" s="309"/>
      <c r="K193" s="1020"/>
      <c r="L193" s="309"/>
      <c r="M193" s="309"/>
      <c r="N193" s="309"/>
      <c r="O193" s="309"/>
      <c r="P193" s="326"/>
      <c r="Q193" s="309"/>
      <c r="R193" s="309"/>
      <c r="S193" s="309"/>
      <c r="T193" s="309"/>
      <c r="U193" s="309"/>
      <c r="V193" s="309"/>
      <c r="W193" s="309"/>
      <c r="X193" s="309"/>
      <c r="Y193" s="309"/>
      <c r="Z193" s="309"/>
    </row>
    <row r="194" spans="1:26" ht="12.75" customHeight="1">
      <c r="A194" s="309"/>
      <c r="B194" s="309"/>
      <c r="C194" s="309"/>
      <c r="D194" s="309"/>
      <c r="E194" s="309"/>
      <c r="F194" s="309"/>
      <c r="G194" s="309"/>
      <c r="H194" s="309"/>
      <c r="I194" s="309"/>
      <c r="J194" s="309"/>
      <c r="K194" s="1020"/>
      <c r="L194" s="309"/>
      <c r="M194" s="309"/>
      <c r="N194" s="309"/>
      <c r="O194" s="309"/>
      <c r="P194" s="326"/>
      <c r="Q194" s="309"/>
      <c r="R194" s="309"/>
      <c r="S194" s="309"/>
      <c r="T194" s="309"/>
      <c r="U194" s="309"/>
      <c r="V194" s="309"/>
      <c r="W194" s="309"/>
      <c r="X194" s="309"/>
      <c r="Y194" s="309"/>
      <c r="Z194" s="309"/>
    </row>
    <row r="195" spans="1:26" ht="12.75" customHeight="1">
      <c r="A195" s="309"/>
      <c r="B195" s="309"/>
      <c r="C195" s="309"/>
      <c r="D195" s="309"/>
      <c r="E195" s="309"/>
      <c r="F195" s="309"/>
      <c r="G195" s="309"/>
      <c r="H195" s="309"/>
      <c r="I195" s="309"/>
      <c r="J195" s="309"/>
      <c r="K195" s="1020"/>
      <c r="L195" s="309"/>
      <c r="M195" s="309"/>
      <c r="N195" s="309"/>
      <c r="O195" s="309"/>
      <c r="P195" s="326"/>
      <c r="Q195" s="309"/>
      <c r="R195" s="309"/>
      <c r="S195" s="309"/>
      <c r="T195" s="309"/>
      <c r="U195" s="309"/>
      <c r="V195" s="309"/>
      <c r="W195" s="309"/>
      <c r="X195" s="309"/>
      <c r="Y195" s="309"/>
      <c r="Z195" s="309"/>
    </row>
    <row r="196" spans="1:26" ht="12.75" customHeight="1">
      <c r="A196" s="309"/>
      <c r="B196" s="309"/>
      <c r="C196" s="309"/>
      <c r="D196" s="309"/>
      <c r="E196" s="309"/>
      <c r="F196" s="309"/>
      <c r="G196" s="309"/>
      <c r="H196" s="309"/>
      <c r="I196" s="309"/>
      <c r="J196" s="309"/>
      <c r="K196" s="1020"/>
      <c r="L196" s="309"/>
      <c r="M196" s="309"/>
      <c r="N196" s="309"/>
      <c r="O196" s="309"/>
      <c r="P196" s="326"/>
      <c r="Q196" s="309"/>
      <c r="R196" s="309"/>
      <c r="S196" s="309"/>
      <c r="T196" s="309"/>
      <c r="U196" s="309"/>
      <c r="V196" s="309"/>
      <c r="W196" s="309"/>
      <c r="X196" s="309"/>
      <c r="Y196" s="309"/>
      <c r="Z196" s="309"/>
    </row>
    <row r="197" spans="1:26" ht="12.75" customHeight="1">
      <c r="A197" s="309"/>
      <c r="B197" s="309"/>
      <c r="C197" s="309"/>
      <c r="D197" s="309"/>
      <c r="E197" s="309"/>
      <c r="F197" s="309"/>
      <c r="G197" s="309"/>
      <c r="H197" s="309"/>
      <c r="I197" s="309"/>
      <c r="J197" s="309"/>
      <c r="K197" s="1020"/>
      <c r="L197" s="309"/>
      <c r="M197" s="309"/>
      <c r="N197" s="309"/>
      <c r="O197" s="309"/>
      <c r="P197" s="326"/>
      <c r="Q197" s="309"/>
      <c r="R197" s="309"/>
      <c r="S197" s="309"/>
      <c r="T197" s="309"/>
      <c r="U197" s="309"/>
      <c r="V197" s="309"/>
      <c r="W197" s="309"/>
      <c r="X197" s="309"/>
      <c r="Y197" s="309"/>
      <c r="Z197" s="309"/>
    </row>
    <row r="198" spans="1:26" ht="12.75" customHeight="1">
      <c r="A198" s="309"/>
      <c r="B198" s="309"/>
      <c r="C198" s="309"/>
      <c r="D198" s="309"/>
      <c r="E198" s="309"/>
      <c r="F198" s="309"/>
      <c r="G198" s="309"/>
      <c r="H198" s="309"/>
      <c r="I198" s="309"/>
      <c r="J198" s="309"/>
      <c r="K198" s="1020"/>
      <c r="L198" s="309"/>
      <c r="M198" s="309"/>
      <c r="N198" s="309"/>
      <c r="O198" s="309"/>
      <c r="P198" s="326"/>
      <c r="Q198" s="309"/>
      <c r="R198" s="309"/>
      <c r="S198" s="309"/>
      <c r="T198" s="309"/>
      <c r="U198" s="309"/>
      <c r="V198" s="309"/>
      <c r="W198" s="309"/>
      <c r="X198" s="309"/>
      <c r="Y198" s="309"/>
      <c r="Z198" s="309"/>
    </row>
    <row r="199" spans="1:26" ht="12.75" customHeight="1">
      <c r="A199" s="309"/>
      <c r="B199" s="309"/>
      <c r="C199" s="309"/>
      <c r="D199" s="309"/>
      <c r="E199" s="309"/>
      <c r="F199" s="309"/>
      <c r="G199" s="309"/>
      <c r="H199" s="309"/>
      <c r="I199" s="309"/>
      <c r="J199" s="309"/>
      <c r="K199" s="1020"/>
      <c r="L199" s="309"/>
      <c r="M199" s="309"/>
      <c r="N199" s="309"/>
      <c r="O199" s="309"/>
      <c r="P199" s="326"/>
      <c r="Q199" s="309"/>
      <c r="R199" s="309"/>
      <c r="S199" s="309"/>
      <c r="T199" s="309"/>
      <c r="U199" s="309"/>
      <c r="V199" s="309"/>
      <c r="W199" s="309"/>
      <c r="X199" s="309"/>
      <c r="Y199" s="309"/>
      <c r="Z199" s="309"/>
    </row>
    <row r="200" spans="1:26" ht="12.75" customHeight="1">
      <c r="A200" s="309"/>
      <c r="B200" s="309"/>
      <c r="C200" s="309"/>
      <c r="D200" s="309"/>
      <c r="E200" s="309"/>
      <c r="F200" s="309"/>
      <c r="G200" s="309"/>
      <c r="H200" s="309"/>
      <c r="I200" s="309"/>
      <c r="J200" s="309"/>
      <c r="K200" s="1020"/>
      <c r="L200" s="309"/>
      <c r="M200" s="309"/>
      <c r="N200" s="309"/>
      <c r="O200" s="309"/>
      <c r="P200" s="326"/>
      <c r="Q200" s="309"/>
      <c r="R200" s="309"/>
      <c r="S200" s="309"/>
      <c r="T200" s="309"/>
      <c r="U200" s="309"/>
      <c r="V200" s="309"/>
      <c r="W200" s="309"/>
      <c r="X200" s="309"/>
      <c r="Y200" s="309"/>
      <c r="Z200" s="309"/>
    </row>
    <row r="201" spans="1:26" ht="12.75" customHeight="1">
      <c r="A201" s="309"/>
      <c r="B201" s="309"/>
      <c r="C201" s="309"/>
      <c r="D201" s="309"/>
      <c r="E201" s="309"/>
      <c r="F201" s="309"/>
      <c r="G201" s="309"/>
      <c r="H201" s="309"/>
      <c r="I201" s="309"/>
      <c r="J201" s="309"/>
      <c r="K201" s="1020"/>
      <c r="L201" s="309"/>
      <c r="M201" s="309"/>
      <c r="N201" s="309"/>
      <c r="O201" s="309"/>
      <c r="P201" s="326"/>
      <c r="Q201" s="309"/>
      <c r="R201" s="309"/>
      <c r="S201" s="309"/>
      <c r="T201" s="309"/>
      <c r="U201" s="309"/>
      <c r="V201" s="309"/>
      <c r="W201" s="309"/>
      <c r="X201" s="309"/>
      <c r="Y201" s="309"/>
      <c r="Z201" s="309"/>
    </row>
    <row r="202" spans="1:26" ht="12.75" customHeight="1">
      <c r="A202" s="309"/>
      <c r="B202" s="309"/>
      <c r="C202" s="309"/>
      <c r="D202" s="309"/>
      <c r="E202" s="309"/>
      <c r="F202" s="309"/>
      <c r="G202" s="309"/>
      <c r="H202" s="309"/>
      <c r="I202" s="309"/>
      <c r="J202" s="309"/>
      <c r="K202" s="1020"/>
      <c r="L202" s="309"/>
      <c r="M202" s="309"/>
      <c r="N202" s="309"/>
      <c r="O202" s="309"/>
      <c r="P202" s="326"/>
      <c r="Q202" s="309"/>
      <c r="R202" s="309"/>
      <c r="S202" s="309"/>
      <c r="T202" s="309"/>
      <c r="U202" s="309"/>
      <c r="V202" s="309"/>
      <c r="W202" s="309"/>
      <c r="X202" s="309"/>
      <c r="Y202" s="309"/>
      <c r="Z202" s="309"/>
    </row>
    <row r="203" spans="1:26" ht="12.75" customHeight="1">
      <c r="A203" s="309"/>
      <c r="B203" s="309"/>
      <c r="C203" s="309"/>
      <c r="D203" s="309"/>
      <c r="E203" s="309"/>
      <c r="F203" s="309"/>
      <c r="G203" s="309"/>
      <c r="H203" s="309"/>
      <c r="I203" s="309"/>
      <c r="J203" s="309"/>
      <c r="K203" s="1020"/>
      <c r="L203" s="309"/>
      <c r="M203" s="309"/>
      <c r="N203" s="309"/>
      <c r="O203" s="309"/>
      <c r="P203" s="326"/>
      <c r="Q203" s="309"/>
      <c r="R203" s="309"/>
      <c r="S203" s="309"/>
      <c r="T203" s="309"/>
      <c r="U203" s="309"/>
      <c r="V203" s="309"/>
      <c r="W203" s="309"/>
      <c r="X203" s="309"/>
      <c r="Y203" s="309"/>
      <c r="Z203" s="309"/>
    </row>
    <row r="204" spans="1:26" ht="12.75" customHeight="1">
      <c r="A204" s="309"/>
      <c r="B204" s="309"/>
      <c r="C204" s="309"/>
      <c r="D204" s="309"/>
      <c r="E204" s="309"/>
      <c r="F204" s="309"/>
      <c r="G204" s="309"/>
      <c r="H204" s="309"/>
      <c r="I204" s="309"/>
      <c r="J204" s="309"/>
      <c r="K204" s="1020"/>
      <c r="L204" s="309"/>
      <c r="M204" s="309"/>
      <c r="N204" s="309"/>
      <c r="O204" s="309"/>
      <c r="P204" s="326"/>
      <c r="Q204" s="309"/>
      <c r="R204" s="309"/>
      <c r="S204" s="309"/>
      <c r="T204" s="309"/>
      <c r="U204" s="309"/>
      <c r="V204" s="309"/>
      <c r="W204" s="309"/>
      <c r="X204" s="309"/>
      <c r="Y204" s="309"/>
      <c r="Z204" s="309"/>
    </row>
    <row r="205" spans="1:26" ht="12.75" customHeight="1">
      <c r="A205" s="309"/>
      <c r="B205" s="309"/>
      <c r="C205" s="309"/>
      <c r="D205" s="309"/>
      <c r="E205" s="309"/>
      <c r="F205" s="309"/>
      <c r="G205" s="309"/>
      <c r="H205" s="309"/>
      <c r="I205" s="309"/>
      <c r="J205" s="309"/>
      <c r="K205" s="1020"/>
      <c r="L205" s="309"/>
      <c r="M205" s="309"/>
      <c r="N205" s="309"/>
      <c r="O205" s="309"/>
      <c r="P205" s="326"/>
      <c r="Q205" s="309"/>
      <c r="R205" s="309"/>
      <c r="S205" s="309"/>
      <c r="T205" s="309"/>
      <c r="U205" s="309"/>
      <c r="V205" s="309"/>
      <c r="W205" s="309"/>
      <c r="X205" s="309"/>
      <c r="Y205" s="309"/>
      <c r="Z205" s="309"/>
    </row>
    <row r="206" spans="1:26" ht="12.75" customHeight="1">
      <c r="A206" s="309"/>
      <c r="B206" s="309"/>
      <c r="C206" s="309"/>
      <c r="D206" s="309"/>
      <c r="E206" s="309"/>
      <c r="F206" s="309"/>
      <c r="G206" s="309"/>
      <c r="H206" s="309"/>
      <c r="I206" s="309"/>
      <c r="J206" s="309"/>
      <c r="K206" s="1020"/>
      <c r="L206" s="309"/>
      <c r="M206" s="309"/>
      <c r="N206" s="309"/>
      <c r="O206" s="309"/>
      <c r="P206" s="326"/>
      <c r="Q206" s="309"/>
      <c r="R206" s="309"/>
      <c r="S206" s="309"/>
      <c r="T206" s="309"/>
      <c r="U206" s="309"/>
      <c r="V206" s="309"/>
      <c r="W206" s="309"/>
      <c r="X206" s="309"/>
      <c r="Y206" s="309"/>
      <c r="Z206" s="309"/>
    </row>
    <row r="207" spans="1:26" ht="12.75" customHeight="1">
      <c r="A207" s="309"/>
      <c r="B207" s="309"/>
      <c r="C207" s="309"/>
      <c r="D207" s="309"/>
      <c r="E207" s="309"/>
      <c r="F207" s="309"/>
      <c r="G207" s="309"/>
      <c r="H207" s="309"/>
      <c r="I207" s="309"/>
      <c r="J207" s="309"/>
      <c r="K207" s="1020"/>
      <c r="L207" s="309"/>
      <c r="M207" s="309"/>
      <c r="N207" s="309"/>
      <c r="O207" s="309"/>
      <c r="P207" s="326"/>
      <c r="Q207" s="309"/>
      <c r="R207" s="309"/>
      <c r="S207" s="309"/>
      <c r="T207" s="309"/>
      <c r="U207" s="309"/>
      <c r="V207" s="309"/>
      <c r="W207" s="309"/>
      <c r="X207" s="309"/>
      <c r="Y207" s="309"/>
      <c r="Z207" s="309"/>
    </row>
    <row r="208" spans="1:26" ht="12.75" customHeight="1">
      <c r="A208" s="309"/>
      <c r="B208" s="309"/>
      <c r="C208" s="309"/>
      <c r="D208" s="309"/>
      <c r="E208" s="309"/>
      <c r="F208" s="309"/>
      <c r="G208" s="309"/>
      <c r="H208" s="309"/>
      <c r="I208" s="309"/>
      <c r="J208" s="309"/>
      <c r="K208" s="1020"/>
      <c r="L208" s="309"/>
      <c r="M208" s="309"/>
      <c r="N208" s="309"/>
      <c r="O208" s="309"/>
      <c r="P208" s="326"/>
      <c r="Q208" s="309"/>
      <c r="R208" s="309"/>
      <c r="S208" s="309"/>
      <c r="T208" s="309"/>
      <c r="U208" s="309"/>
      <c r="V208" s="309"/>
      <c r="W208" s="309"/>
      <c r="X208" s="309"/>
      <c r="Y208" s="309"/>
      <c r="Z208" s="309"/>
    </row>
    <row r="209" spans="1:26" ht="12.75" customHeight="1">
      <c r="A209" s="309"/>
      <c r="B209" s="309"/>
      <c r="C209" s="309"/>
      <c r="D209" s="309"/>
      <c r="E209" s="309"/>
      <c r="F209" s="309"/>
      <c r="G209" s="309"/>
      <c r="H209" s="309"/>
      <c r="I209" s="309"/>
      <c r="J209" s="309"/>
      <c r="K209" s="1020"/>
      <c r="L209" s="309"/>
      <c r="M209" s="309"/>
      <c r="N209" s="309"/>
      <c r="O209" s="309"/>
      <c r="P209" s="326"/>
      <c r="Q209" s="309"/>
      <c r="R209" s="309"/>
      <c r="S209" s="309"/>
      <c r="T209" s="309"/>
      <c r="U209" s="309"/>
      <c r="V209" s="309"/>
      <c r="W209" s="309"/>
      <c r="X209" s="309"/>
      <c r="Y209" s="309"/>
      <c r="Z209" s="309"/>
    </row>
    <row r="210" spans="1:26" ht="12.75" customHeight="1">
      <c r="A210" s="309"/>
      <c r="B210" s="309"/>
      <c r="C210" s="309"/>
      <c r="D210" s="309"/>
      <c r="E210" s="309"/>
      <c r="F210" s="309"/>
      <c r="G210" s="309"/>
      <c r="H210" s="309"/>
      <c r="I210" s="309"/>
      <c r="J210" s="309"/>
      <c r="K210" s="1020"/>
      <c r="L210" s="309"/>
      <c r="M210" s="309"/>
      <c r="N210" s="309"/>
      <c r="O210" s="309"/>
      <c r="P210" s="326"/>
      <c r="Q210" s="309"/>
      <c r="R210" s="309"/>
      <c r="S210" s="309"/>
      <c r="T210" s="309"/>
      <c r="U210" s="309"/>
      <c r="V210" s="309"/>
      <c r="W210" s="309"/>
      <c r="X210" s="309"/>
      <c r="Y210" s="309"/>
      <c r="Z210" s="309"/>
    </row>
    <row r="211" spans="1:26" ht="12.75" customHeight="1">
      <c r="A211" s="309"/>
      <c r="B211" s="309"/>
      <c r="C211" s="309"/>
      <c r="D211" s="309"/>
      <c r="E211" s="309"/>
      <c r="F211" s="309"/>
      <c r="G211" s="309"/>
      <c r="H211" s="309"/>
      <c r="I211" s="309"/>
      <c r="J211" s="309"/>
      <c r="K211" s="1020"/>
      <c r="L211" s="309"/>
      <c r="M211" s="309"/>
      <c r="N211" s="309"/>
      <c r="O211" s="309"/>
      <c r="P211" s="326"/>
      <c r="Q211" s="309"/>
      <c r="R211" s="309"/>
      <c r="S211" s="309"/>
      <c r="T211" s="309"/>
      <c r="U211" s="309"/>
      <c r="V211" s="309"/>
      <c r="W211" s="309"/>
      <c r="X211" s="309"/>
      <c r="Y211" s="309"/>
      <c r="Z211" s="309"/>
    </row>
    <row r="212" spans="1:26" ht="12.75" customHeight="1">
      <c r="A212" s="309"/>
      <c r="B212" s="309"/>
      <c r="C212" s="309"/>
      <c r="D212" s="309"/>
      <c r="E212" s="309"/>
      <c r="F212" s="309"/>
      <c r="G212" s="309"/>
      <c r="H212" s="309"/>
      <c r="I212" s="309"/>
      <c r="J212" s="309"/>
      <c r="K212" s="1020"/>
      <c r="L212" s="309"/>
      <c r="M212" s="309"/>
      <c r="N212" s="309"/>
      <c r="O212" s="309"/>
      <c r="P212" s="326"/>
      <c r="Q212" s="309"/>
      <c r="R212" s="309"/>
      <c r="S212" s="309"/>
      <c r="T212" s="309"/>
      <c r="U212" s="309"/>
      <c r="V212" s="309"/>
      <c r="W212" s="309"/>
      <c r="X212" s="309"/>
      <c r="Y212" s="309"/>
      <c r="Z212" s="309"/>
    </row>
    <row r="213" spans="1:26" ht="12.75" customHeight="1">
      <c r="A213" s="309"/>
      <c r="B213" s="309"/>
      <c r="C213" s="309"/>
      <c r="D213" s="309"/>
      <c r="E213" s="309"/>
      <c r="F213" s="309"/>
      <c r="G213" s="309"/>
      <c r="H213" s="309"/>
      <c r="I213" s="309"/>
      <c r="J213" s="309"/>
      <c r="K213" s="1020"/>
      <c r="L213" s="309"/>
      <c r="M213" s="309"/>
      <c r="N213" s="309"/>
      <c r="O213" s="309"/>
      <c r="P213" s="326"/>
      <c r="Q213" s="309"/>
      <c r="R213" s="309"/>
      <c r="S213" s="309"/>
      <c r="T213" s="309"/>
      <c r="U213" s="309"/>
      <c r="V213" s="309"/>
      <c r="W213" s="309"/>
      <c r="X213" s="309"/>
      <c r="Y213" s="309"/>
      <c r="Z213" s="309"/>
    </row>
    <row r="214" spans="1:26" ht="12.75" customHeight="1">
      <c r="A214" s="309"/>
      <c r="B214" s="309"/>
      <c r="C214" s="309"/>
      <c r="D214" s="309"/>
      <c r="E214" s="309"/>
      <c r="F214" s="309"/>
      <c r="G214" s="309"/>
      <c r="H214" s="309"/>
      <c r="I214" s="309"/>
      <c r="J214" s="309"/>
      <c r="K214" s="1020"/>
      <c r="L214" s="309"/>
      <c r="M214" s="309"/>
      <c r="N214" s="309"/>
      <c r="O214" s="309"/>
      <c r="P214" s="326"/>
      <c r="Q214" s="309"/>
      <c r="R214" s="309"/>
      <c r="S214" s="309"/>
      <c r="T214" s="309"/>
      <c r="U214" s="309"/>
      <c r="V214" s="309"/>
      <c r="W214" s="309"/>
      <c r="X214" s="309"/>
      <c r="Y214" s="309"/>
      <c r="Z214" s="309"/>
    </row>
    <row r="215" spans="1:26" ht="12.75" customHeight="1">
      <c r="A215" s="309"/>
      <c r="B215" s="309"/>
      <c r="C215" s="309"/>
      <c r="D215" s="309"/>
      <c r="E215" s="309"/>
      <c r="F215" s="309"/>
      <c r="G215" s="309"/>
      <c r="H215" s="309"/>
      <c r="I215" s="309"/>
      <c r="J215" s="309"/>
      <c r="K215" s="1020"/>
      <c r="L215" s="309"/>
      <c r="M215" s="309"/>
      <c r="N215" s="309"/>
      <c r="O215" s="309"/>
      <c r="P215" s="326"/>
      <c r="Q215" s="309"/>
      <c r="R215" s="309"/>
      <c r="S215" s="309"/>
      <c r="T215" s="309"/>
      <c r="U215" s="309"/>
      <c r="V215" s="309"/>
      <c r="W215" s="309"/>
      <c r="X215" s="309"/>
      <c r="Y215" s="309"/>
      <c r="Z215" s="309"/>
    </row>
    <row r="216" spans="1:26" ht="12.75" customHeight="1">
      <c r="A216" s="309"/>
      <c r="B216" s="309"/>
      <c r="C216" s="309"/>
      <c r="D216" s="309"/>
      <c r="E216" s="309"/>
      <c r="F216" s="309"/>
      <c r="G216" s="309"/>
      <c r="H216" s="309"/>
      <c r="I216" s="309"/>
      <c r="J216" s="309"/>
      <c r="K216" s="1020"/>
      <c r="L216" s="309"/>
      <c r="M216" s="309"/>
      <c r="N216" s="309"/>
      <c r="O216" s="309"/>
      <c r="P216" s="326"/>
      <c r="Q216" s="309"/>
      <c r="R216" s="309"/>
      <c r="S216" s="309"/>
      <c r="T216" s="309"/>
      <c r="U216" s="309"/>
      <c r="V216" s="309"/>
      <c r="W216" s="309"/>
      <c r="X216" s="309"/>
      <c r="Y216" s="309"/>
      <c r="Z216" s="309"/>
    </row>
    <row r="217" spans="1:26" ht="12.75" customHeight="1">
      <c r="A217" s="309"/>
      <c r="B217" s="309"/>
      <c r="C217" s="309"/>
      <c r="D217" s="309"/>
      <c r="E217" s="309"/>
      <c r="F217" s="309"/>
      <c r="G217" s="309"/>
      <c r="H217" s="309"/>
      <c r="I217" s="309"/>
      <c r="J217" s="309"/>
      <c r="K217" s="1020"/>
      <c r="L217" s="309"/>
      <c r="M217" s="309"/>
      <c r="N217" s="309"/>
      <c r="O217" s="309"/>
      <c r="P217" s="326"/>
      <c r="Q217" s="309"/>
      <c r="R217" s="309"/>
      <c r="S217" s="309"/>
      <c r="T217" s="309"/>
      <c r="U217" s="309"/>
      <c r="V217" s="309"/>
      <c r="W217" s="309"/>
      <c r="X217" s="309"/>
      <c r="Y217" s="309"/>
      <c r="Z217" s="309"/>
    </row>
    <row r="218" spans="1:26" ht="12.75" customHeight="1">
      <c r="A218" s="309"/>
      <c r="B218" s="309"/>
      <c r="C218" s="309"/>
      <c r="D218" s="309"/>
      <c r="E218" s="309"/>
      <c r="F218" s="309"/>
      <c r="G218" s="309"/>
      <c r="H218" s="309"/>
      <c r="I218" s="309"/>
      <c r="J218" s="309"/>
      <c r="K218" s="1020"/>
      <c r="L218" s="309"/>
      <c r="M218" s="309"/>
      <c r="N218" s="309"/>
      <c r="O218" s="309"/>
      <c r="P218" s="326"/>
      <c r="Q218" s="309"/>
      <c r="R218" s="309"/>
      <c r="S218" s="309"/>
      <c r="T218" s="309"/>
      <c r="U218" s="309"/>
      <c r="V218" s="309"/>
      <c r="W218" s="309"/>
      <c r="X218" s="309"/>
      <c r="Y218" s="309"/>
      <c r="Z218" s="309"/>
    </row>
    <row r="219" spans="1:26" ht="12.75" customHeight="1">
      <c r="A219" s="309"/>
      <c r="B219" s="309"/>
      <c r="C219" s="309"/>
      <c r="D219" s="309"/>
      <c r="E219" s="309"/>
      <c r="F219" s="309"/>
      <c r="G219" s="309"/>
      <c r="H219" s="309"/>
      <c r="I219" s="309"/>
      <c r="J219" s="309"/>
      <c r="K219" s="1020"/>
      <c r="L219" s="309"/>
      <c r="M219" s="309"/>
      <c r="N219" s="309"/>
      <c r="O219" s="309"/>
      <c r="P219" s="326"/>
      <c r="Q219" s="309"/>
      <c r="R219" s="309"/>
      <c r="S219" s="309"/>
      <c r="T219" s="309"/>
      <c r="U219" s="309"/>
      <c r="V219" s="309"/>
      <c r="W219" s="309"/>
      <c r="X219" s="309"/>
      <c r="Y219" s="309"/>
      <c r="Z219" s="309"/>
    </row>
    <row r="220" spans="1:26" ht="12.75" customHeight="1">
      <c r="A220" s="309"/>
      <c r="B220" s="309"/>
      <c r="C220" s="309"/>
      <c r="D220" s="309"/>
      <c r="E220" s="309"/>
      <c r="F220" s="309"/>
      <c r="G220" s="309"/>
      <c r="H220" s="309"/>
      <c r="I220" s="309"/>
      <c r="J220" s="309"/>
      <c r="K220" s="1020"/>
      <c r="L220" s="309"/>
      <c r="M220" s="309"/>
      <c r="N220" s="309"/>
      <c r="O220" s="309"/>
      <c r="P220" s="326"/>
      <c r="Q220" s="309"/>
      <c r="R220" s="309"/>
      <c r="S220" s="309"/>
      <c r="T220" s="309"/>
      <c r="U220" s="309"/>
      <c r="V220" s="309"/>
      <c r="W220" s="309"/>
      <c r="X220" s="309"/>
      <c r="Y220" s="309"/>
      <c r="Z220" s="309"/>
    </row>
    <row r="221" spans="1:26" ht="12.75" customHeight="1">
      <c r="A221" s="309"/>
      <c r="B221" s="309"/>
      <c r="C221" s="309"/>
      <c r="D221" s="309"/>
      <c r="E221" s="309"/>
      <c r="F221" s="309"/>
      <c r="G221" s="309"/>
      <c r="H221" s="309"/>
      <c r="I221" s="309"/>
      <c r="J221" s="309"/>
      <c r="K221" s="1020"/>
      <c r="L221" s="309"/>
      <c r="M221" s="309"/>
      <c r="N221" s="309"/>
      <c r="O221" s="309"/>
      <c r="P221" s="326"/>
      <c r="Q221" s="309"/>
      <c r="R221" s="309"/>
      <c r="S221" s="309"/>
      <c r="T221" s="309"/>
      <c r="U221" s="309"/>
      <c r="V221" s="309"/>
      <c r="W221" s="309"/>
      <c r="X221" s="309"/>
      <c r="Y221" s="309"/>
      <c r="Z221" s="309"/>
    </row>
    <row r="222" spans="1:26" ht="12.75" customHeight="1">
      <c r="A222" s="309"/>
      <c r="B222" s="309"/>
      <c r="C222" s="309"/>
      <c r="D222" s="309"/>
      <c r="E222" s="309"/>
      <c r="F222" s="309"/>
      <c r="G222" s="309"/>
      <c r="H222" s="309"/>
      <c r="I222" s="309"/>
      <c r="J222" s="309"/>
      <c r="K222" s="1020"/>
      <c r="L222" s="309"/>
      <c r="M222" s="309"/>
      <c r="N222" s="309"/>
      <c r="O222" s="309"/>
      <c r="P222" s="326"/>
      <c r="Q222" s="309"/>
      <c r="R222" s="309"/>
      <c r="S222" s="309"/>
      <c r="T222" s="309"/>
      <c r="U222" s="309"/>
      <c r="V222" s="309"/>
      <c r="W222" s="309"/>
      <c r="X222" s="309"/>
      <c r="Y222" s="309"/>
      <c r="Z222" s="309"/>
    </row>
    <row r="223" spans="1:26" ht="12.75" customHeight="1">
      <c r="A223" s="309"/>
      <c r="B223" s="309"/>
      <c r="C223" s="309"/>
      <c r="D223" s="309"/>
      <c r="E223" s="309"/>
      <c r="F223" s="309"/>
      <c r="G223" s="309"/>
      <c r="H223" s="309"/>
      <c r="I223" s="309"/>
      <c r="J223" s="309"/>
      <c r="K223" s="1020"/>
      <c r="L223" s="309"/>
      <c r="M223" s="309"/>
      <c r="N223" s="309"/>
      <c r="O223" s="309"/>
      <c r="P223" s="326"/>
      <c r="Q223" s="309"/>
      <c r="R223" s="309"/>
      <c r="S223" s="309"/>
      <c r="T223" s="309"/>
      <c r="U223" s="309"/>
      <c r="V223" s="309"/>
      <c r="W223" s="309"/>
      <c r="X223" s="309"/>
      <c r="Y223" s="309"/>
      <c r="Z223" s="309"/>
    </row>
    <row r="224" spans="1:26" ht="12.75" customHeight="1">
      <c r="A224" s="309"/>
      <c r="B224" s="309"/>
      <c r="C224" s="309"/>
      <c r="D224" s="309"/>
      <c r="E224" s="309"/>
      <c r="F224" s="309"/>
      <c r="G224" s="309"/>
      <c r="H224" s="309"/>
      <c r="I224" s="309"/>
      <c r="J224" s="309"/>
      <c r="K224" s="1020"/>
      <c r="L224" s="309"/>
      <c r="M224" s="309"/>
      <c r="N224" s="309"/>
      <c r="O224" s="309"/>
      <c r="P224" s="326"/>
      <c r="Q224" s="309"/>
      <c r="R224" s="309"/>
      <c r="S224" s="309"/>
      <c r="T224" s="309"/>
      <c r="U224" s="309"/>
      <c r="V224" s="309"/>
      <c r="W224" s="309"/>
      <c r="X224" s="309"/>
      <c r="Y224" s="309"/>
      <c r="Z224" s="309"/>
    </row>
    <row r="225" spans="1:26" ht="12.75" customHeight="1">
      <c r="A225" s="309"/>
      <c r="B225" s="309"/>
      <c r="C225" s="309"/>
      <c r="D225" s="309"/>
      <c r="E225" s="309"/>
      <c r="F225" s="309"/>
      <c r="G225" s="309"/>
      <c r="H225" s="309"/>
      <c r="I225" s="309"/>
      <c r="J225" s="309"/>
      <c r="K225" s="1020"/>
      <c r="L225" s="309"/>
      <c r="M225" s="309"/>
      <c r="N225" s="309"/>
      <c r="O225" s="309"/>
      <c r="P225" s="326"/>
      <c r="Q225" s="309"/>
      <c r="R225" s="309"/>
      <c r="S225" s="309"/>
      <c r="T225" s="309"/>
      <c r="U225" s="309"/>
      <c r="V225" s="309"/>
      <c r="W225" s="309"/>
      <c r="X225" s="309"/>
      <c r="Y225" s="309"/>
      <c r="Z225" s="309"/>
    </row>
    <row r="226" spans="1:26" ht="12.75" customHeight="1">
      <c r="A226" s="309"/>
      <c r="B226" s="309"/>
      <c r="C226" s="309"/>
      <c r="D226" s="309"/>
      <c r="E226" s="309"/>
      <c r="F226" s="309"/>
      <c r="G226" s="309"/>
      <c r="H226" s="309"/>
      <c r="I226" s="309"/>
      <c r="J226" s="309"/>
      <c r="K226" s="1020"/>
      <c r="L226" s="309"/>
      <c r="M226" s="309"/>
      <c r="N226" s="309"/>
      <c r="O226" s="309"/>
      <c r="P226" s="326"/>
      <c r="Q226" s="309"/>
      <c r="R226" s="309"/>
      <c r="S226" s="309"/>
      <c r="T226" s="309"/>
      <c r="U226" s="309"/>
      <c r="V226" s="309"/>
      <c r="W226" s="309"/>
      <c r="X226" s="309"/>
      <c r="Y226" s="309"/>
      <c r="Z226" s="309"/>
    </row>
    <row r="227" spans="1:26" ht="12.75" customHeight="1">
      <c r="A227" s="309"/>
      <c r="B227" s="309"/>
      <c r="C227" s="309"/>
      <c r="D227" s="309"/>
      <c r="E227" s="309"/>
      <c r="F227" s="309"/>
      <c r="G227" s="309"/>
      <c r="H227" s="309"/>
      <c r="I227" s="309"/>
      <c r="J227" s="309"/>
      <c r="K227" s="1020"/>
      <c r="L227" s="309"/>
      <c r="M227" s="309"/>
      <c r="N227" s="309"/>
      <c r="O227" s="309"/>
      <c r="P227" s="326"/>
      <c r="Q227" s="309"/>
      <c r="R227" s="309"/>
      <c r="S227" s="309"/>
      <c r="T227" s="309"/>
      <c r="U227" s="309"/>
      <c r="V227" s="309"/>
      <c r="W227" s="309"/>
      <c r="X227" s="309"/>
      <c r="Y227" s="309"/>
      <c r="Z227" s="309"/>
    </row>
    <row r="228" spans="1:26" ht="12.75" customHeight="1">
      <c r="A228" s="309"/>
      <c r="B228" s="309"/>
      <c r="C228" s="309"/>
      <c r="D228" s="309"/>
      <c r="E228" s="309"/>
      <c r="F228" s="309"/>
      <c r="G228" s="309"/>
      <c r="H228" s="309"/>
      <c r="I228" s="309"/>
      <c r="J228" s="309"/>
      <c r="K228" s="1020"/>
      <c r="L228" s="309"/>
      <c r="M228" s="309"/>
      <c r="N228" s="309"/>
      <c r="O228" s="309"/>
      <c r="P228" s="326"/>
      <c r="Q228" s="309"/>
      <c r="R228" s="309"/>
      <c r="S228" s="309"/>
      <c r="T228" s="309"/>
      <c r="U228" s="309"/>
      <c r="V228" s="309"/>
      <c r="W228" s="309"/>
      <c r="X228" s="309"/>
      <c r="Y228" s="309"/>
      <c r="Z228" s="309"/>
    </row>
    <row r="229" spans="1:26" ht="12.75" customHeight="1">
      <c r="A229" s="309"/>
      <c r="B229" s="309"/>
      <c r="C229" s="309"/>
      <c r="D229" s="309"/>
      <c r="E229" s="309"/>
      <c r="F229" s="309"/>
      <c r="G229" s="309"/>
      <c r="H229" s="309"/>
      <c r="I229" s="309"/>
      <c r="J229" s="309"/>
      <c r="K229" s="1020"/>
      <c r="L229" s="309"/>
      <c r="M229" s="309"/>
      <c r="N229" s="309"/>
      <c r="O229" s="309"/>
      <c r="P229" s="326"/>
      <c r="Q229" s="309"/>
      <c r="R229" s="309"/>
      <c r="S229" s="309"/>
      <c r="T229" s="309"/>
      <c r="U229" s="309"/>
      <c r="V229" s="309"/>
      <c r="W229" s="309"/>
      <c r="X229" s="309"/>
      <c r="Y229" s="309"/>
      <c r="Z229" s="309"/>
    </row>
    <row r="230" spans="1:26" ht="12.75" customHeight="1">
      <c r="A230" s="309"/>
      <c r="B230" s="309"/>
      <c r="C230" s="309"/>
      <c r="D230" s="309"/>
      <c r="E230" s="309"/>
      <c r="F230" s="309"/>
      <c r="G230" s="309"/>
      <c r="H230" s="309"/>
      <c r="I230" s="309"/>
      <c r="J230" s="309"/>
      <c r="K230" s="1020"/>
      <c r="L230" s="309"/>
      <c r="M230" s="309"/>
      <c r="N230" s="309"/>
      <c r="O230" s="309"/>
      <c r="P230" s="326"/>
      <c r="Q230" s="309"/>
      <c r="R230" s="309"/>
      <c r="S230" s="309"/>
      <c r="T230" s="309"/>
      <c r="U230" s="309"/>
      <c r="V230" s="309"/>
      <c r="W230" s="309"/>
      <c r="X230" s="309"/>
      <c r="Y230" s="309"/>
      <c r="Z230" s="309"/>
    </row>
    <row r="231" spans="1:26" ht="12.75" customHeight="1">
      <c r="A231" s="309"/>
      <c r="B231" s="309"/>
      <c r="C231" s="309"/>
      <c r="D231" s="309"/>
      <c r="E231" s="309"/>
      <c r="F231" s="309"/>
      <c r="G231" s="309"/>
      <c r="H231" s="309"/>
      <c r="I231" s="309"/>
      <c r="J231" s="309"/>
      <c r="K231" s="1020"/>
      <c r="L231" s="309"/>
      <c r="M231" s="309"/>
      <c r="N231" s="309"/>
      <c r="O231" s="309"/>
      <c r="P231" s="326"/>
      <c r="Q231" s="309"/>
      <c r="R231" s="309"/>
      <c r="S231" s="309"/>
      <c r="T231" s="309"/>
      <c r="U231" s="309"/>
      <c r="V231" s="309"/>
      <c r="W231" s="309"/>
      <c r="X231" s="309"/>
      <c r="Y231" s="309"/>
      <c r="Z231" s="309"/>
    </row>
    <row r="232" spans="1:26" ht="12.75" customHeight="1">
      <c r="A232" s="309"/>
      <c r="B232" s="309"/>
      <c r="C232" s="309"/>
      <c r="D232" s="309"/>
      <c r="E232" s="309"/>
      <c r="F232" s="309"/>
      <c r="G232" s="309"/>
      <c r="H232" s="309"/>
      <c r="I232" s="309"/>
      <c r="J232" s="309"/>
      <c r="K232" s="1020"/>
      <c r="L232" s="309"/>
      <c r="M232" s="309"/>
      <c r="N232" s="309"/>
      <c r="O232" s="309"/>
      <c r="P232" s="326"/>
      <c r="Q232" s="309"/>
      <c r="R232" s="309"/>
      <c r="S232" s="309"/>
      <c r="T232" s="309"/>
      <c r="U232" s="309"/>
      <c r="V232" s="309"/>
      <c r="W232" s="309"/>
      <c r="X232" s="309"/>
      <c r="Y232" s="309"/>
      <c r="Z232" s="309"/>
    </row>
    <row r="233" spans="1:26" ht="12.75" customHeight="1">
      <c r="A233" s="309"/>
      <c r="B233" s="309"/>
      <c r="C233" s="309"/>
      <c r="D233" s="309"/>
      <c r="E233" s="309"/>
      <c r="F233" s="309"/>
      <c r="G233" s="309"/>
      <c r="H233" s="309"/>
      <c r="I233" s="309"/>
      <c r="J233" s="309"/>
      <c r="K233" s="1020"/>
      <c r="L233" s="309"/>
      <c r="M233" s="309"/>
      <c r="N233" s="309"/>
      <c r="O233" s="309"/>
      <c r="P233" s="326"/>
      <c r="Q233" s="309"/>
      <c r="R233" s="309"/>
      <c r="S233" s="309"/>
      <c r="T233" s="309"/>
      <c r="U233" s="309"/>
      <c r="V233" s="309"/>
      <c r="W233" s="309"/>
      <c r="X233" s="309"/>
      <c r="Y233" s="309"/>
      <c r="Z233" s="309"/>
    </row>
    <row r="234" spans="1:26" ht="12.75" customHeight="1">
      <c r="A234" s="309"/>
      <c r="B234" s="309"/>
      <c r="C234" s="309"/>
      <c r="D234" s="309"/>
      <c r="E234" s="309"/>
      <c r="F234" s="309"/>
      <c r="G234" s="309"/>
      <c r="H234" s="309"/>
      <c r="I234" s="309"/>
      <c r="J234" s="309"/>
      <c r="K234" s="1020"/>
      <c r="L234" s="309"/>
      <c r="M234" s="309"/>
      <c r="N234" s="309"/>
      <c r="O234" s="309"/>
      <c r="P234" s="326"/>
      <c r="Q234" s="309"/>
      <c r="R234" s="309"/>
      <c r="S234" s="309"/>
      <c r="T234" s="309"/>
      <c r="U234" s="309"/>
      <c r="V234" s="309"/>
      <c r="W234" s="309"/>
      <c r="X234" s="309"/>
      <c r="Y234" s="309"/>
      <c r="Z234" s="309"/>
    </row>
    <row r="235" spans="1:26" ht="12.75" customHeight="1">
      <c r="A235" s="309"/>
      <c r="B235" s="309"/>
      <c r="C235" s="309"/>
      <c r="D235" s="309"/>
      <c r="E235" s="309"/>
      <c r="F235" s="309"/>
      <c r="G235" s="309"/>
      <c r="H235" s="309"/>
      <c r="I235" s="309"/>
      <c r="J235" s="309"/>
      <c r="K235" s="1020"/>
      <c r="L235" s="309"/>
      <c r="M235" s="309"/>
      <c r="N235" s="309"/>
      <c r="O235" s="309"/>
      <c r="P235" s="326"/>
      <c r="Q235" s="309"/>
      <c r="R235" s="309"/>
      <c r="S235" s="309"/>
      <c r="T235" s="309"/>
      <c r="U235" s="309"/>
      <c r="V235" s="309"/>
      <c r="W235" s="309"/>
      <c r="X235" s="309"/>
      <c r="Y235" s="309"/>
      <c r="Z235" s="309"/>
    </row>
    <row r="236" spans="1:26" ht="12.75" customHeight="1">
      <c r="A236" s="309"/>
      <c r="B236" s="309"/>
      <c r="C236" s="309"/>
      <c r="D236" s="309"/>
      <c r="E236" s="309"/>
      <c r="F236" s="309"/>
      <c r="G236" s="309"/>
      <c r="H236" s="309"/>
      <c r="I236" s="309"/>
      <c r="J236" s="309"/>
      <c r="K236" s="1020"/>
      <c r="L236" s="309"/>
      <c r="M236" s="309"/>
      <c r="N236" s="309"/>
      <c r="O236" s="309"/>
      <c r="P236" s="326"/>
      <c r="Q236" s="309"/>
      <c r="R236" s="309"/>
      <c r="S236" s="309"/>
      <c r="T236" s="309"/>
      <c r="U236" s="309"/>
      <c r="V236" s="309"/>
      <c r="W236" s="309"/>
      <c r="X236" s="309"/>
      <c r="Y236" s="309"/>
      <c r="Z236" s="309"/>
    </row>
    <row r="237" spans="1:26" ht="12.75" customHeight="1">
      <c r="A237" s="309"/>
      <c r="B237" s="309"/>
      <c r="C237" s="309"/>
      <c r="D237" s="309"/>
      <c r="E237" s="309"/>
      <c r="F237" s="309"/>
      <c r="G237" s="309"/>
      <c r="H237" s="309"/>
      <c r="I237" s="309"/>
      <c r="J237" s="309"/>
      <c r="K237" s="1020"/>
      <c r="L237" s="309"/>
      <c r="M237" s="309"/>
      <c r="N237" s="309"/>
      <c r="O237" s="309"/>
      <c r="P237" s="326"/>
      <c r="Q237" s="309"/>
      <c r="R237" s="309"/>
      <c r="S237" s="309"/>
      <c r="T237" s="309"/>
      <c r="U237" s="309"/>
      <c r="V237" s="309"/>
      <c r="W237" s="309"/>
      <c r="X237" s="309"/>
      <c r="Y237" s="309"/>
      <c r="Z237" s="309"/>
    </row>
    <row r="238" spans="1:26" ht="12.75" customHeight="1">
      <c r="A238" s="309"/>
      <c r="B238" s="309"/>
      <c r="C238" s="309"/>
      <c r="D238" s="309"/>
      <c r="E238" s="309"/>
      <c r="F238" s="309"/>
      <c r="G238" s="309"/>
      <c r="H238" s="309"/>
      <c r="I238" s="309"/>
      <c r="J238" s="309"/>
      <c r="K238" s="1020"/>
      <c r="L238" s="309"/>
      <c r="M238" s="309"/>
      <c r="N238" s="309"/>
      <c r="O238" s="309"/>
      <c r="P238" s="326"/>
      <c r="Q238" s="309"/>
      <c r="R238" s="309"/>
      <c r="S238" s="309"/>
      <c r="T238" s="309"/>
      <c r="U238" s="309"/>
      <c r="V238" s="309"/>
      <c r="W238" s="309"/>
      <c r="X238" s="309"/>
      <c r="Y238" s="309"/>
      <c r="Z238" s="309"/>
    </row>
    <row r="239" spans="1:26" ht="12.75" customHeight="1">
      <c r="A239" s="309"/>
      <c r="B239" s="309"/>
      <c r="C239" s="309"/>
      <c r="D239" s="309"/>
      <c r="E239" s="309"/>
      <c r="F239" s="309"/>
      <c r="G239" s="309"/>
      <c r="H239" s="309"/>
      <c r="I239" s="309"/>
      <c r="J239" s="309"/>
      <c r="K239" s="1020"/>
      <c r="L239" s="309"/>
      <c r="M239" s="309"/>
      <c r="N239" s="309"/>
      <c r="O239" s="309"/>
      <c r="P239" s="326"/>
      <c r="Q239" s="309"/>
      <c r="R239" s="309"/>
      <c r="S239" s="309"/>
      <c r="T239" s="309"/>
      <c r="U239" s="309"/>
      <c r="V239" s="309"/>
      <c r="W239" s="309"/>
      <c r="X239" s="309"/>
      <c r="Y239" s="309"/>
      <c r="Z239" s="309"/>
    </row>
    <row r="240" spans="1:26" ht="12.75" customHeight="1">
      <c r="A240" s="309"/>
      <c r="B240" s="309"/>
      <c r="C240" s="309"/>
      <c r="D240" s="309"/>
      <c r="E240" s="309"/>
      <c r="F240" s="309"/>
      <c r="G240" s="309"/>
      <c r="H240" s="309"/>
      <c r="I240" s="309"/>
      <c r="J240" s="309"/>
      <c r="K240" s="1020"/>
      <c r="L240" s="309"/>
      <c r="M240" s="309"/>
      <c r="N240" s="309"/>
      <c r="O240" s="309"/>
      <c r="P240" s="326"/>
      <c r="Q240" s="309"/>
      <c r="R240" s="309"/>
      <c r="S240" s="309"/>
      <c r="T240" s="309"/>
      <c r="U240" s="309"/>
      <c r="V240" s="309"/>
      <c r="W240" s="309"/>
      <c r="X240" s="309"/>
      <c r="Y240" s="309"/>
      <c r="Z240" s="309"/>
    </row>
    <row r="241" spans="1:26" ht="12.75" customHeight="1">
      <c r="A241" s="309"/>
      <c r="B241" s="309"/>
      <c r="C241" s="309"/>
      <c r="D241" s="309"/>
      <c r="E241" s="309"/>
      <c r="F241" s="309"/>
      <c r="G241" s="309"/>
      <c r="H241" s="309"/>
      <c r="I241" s="309"/>
      <c r="J241" s="309"/>
      <c r="K241" s="1020"/>
      <c r="L241" s="309"/>
      <c r="M241" s="309"/>
      <c r="N241" s="309"/>
      <c r="O241" s="309"/>
      <c r="P241" s="326"/>
      <c r="Q241" s="309"/>
      <c r="R241" s="309"/>
      <c r="S241" s="309"/>
      <c r="T241" s="309"/>
      <c r="U241" s="309"/>
      <c r="V241" s="309"/>
      <c r="W241" s="309"/>
      <c r="X241" s="309"/>
      <c r="Y241" s="309"/>
      <c r="Z241" s="309"/>
    </row>
    <row r="242" spans="1:26" ht="12.75" customHeight="1">
      <c r="A242" s="309"/>
      <c r="B242" s="309"/>
      <c r="C242" s="309"/>
      <c r="D242" s="309"/>
      <c r="E242" s="309"/>
      <c r="F242" s="309"/>
      <c r="G242" s="309"/>
      <c r="H242" s="309"/>
      <c r="I242" s="309"/>
      <c r="J242" s="309"/>
      <c r="K242" s="1020"/>
      <c r="L242" s="309"/>
      <c r="M242" s="309"/>
      <c r="N242" s="309"/>
      <c r="O242" s="309"/>
      <c r="P242" s="326"/>
      <c r="Q242" s="309"/>
      <c r="R242" s="309"/>
      <c r="S242" s="309"/>
      <c r="T242" s="309"/>
      <c r="U242" s="309"/>
      <c r="V242" s="309"/>
      <c r="W242" s="309"/>
      <c r="X242" s="309"/>
      <c r="Y242" s="309"/>
      <c r="Z242" s="309"/>
    </row>
    <row r="243" spans="1:26" ht="12.75" customHeight="1">
      <c r="A243" s="309"/>
      <c r="B243" s="309"/>
      <c r="C243" s="309"/>
      <c r="D243" s="309"/>
      <c r="E243" s="309"/>
      <c r="F243" s="309"/>
      <c r="G243" s="309"/>
      <c r="H243" s="309"/>
      <c r="I243" s="309"/>
      <c r="J243" s="309"/>
      <c r="K243" s="1020"/>
      <c r="L243" s="309"/>
      <c r="M243" s="309"/>
      <c r="N243" s="309"/>
      <c r="O243" s="309"/>
      <c r="P243" s="326"/>
      <c r="Q243" s="309"/>
      <c r="R243" s="309"/>
      <c r="S243" s="309"/>
      <c r="T243" s="309"/>
      <c r="U243" s="309"/>
      <c r="V243" s="309"/>
      <c r="W243" s="309"/>
      <c r="X243" s="309"/>
      <c r="Y243" s="309"/>
      <c r="Z243" s="309"/>
    </row>
    <row r="244" spans="1:26" ht="12.75" customHeight="1">
      <c r="A244" s="309"/>
      <c r="B244" s="309"/>
      <c r="C244" s="309"/>
      <c r="D244" s="309"/>
      <c r="E244" s="309"/>
      <c r="F244" s="309"/>
      <c r="G244" s="309"/>
      <c r="H244" s="309"/>
      <c r="I244" s="309"/>
      <c r="J244" s="309"/>
      <c r="K244" s="1020"/>
      <c r="L244" s="309"/>
      <c r="M244" s="309"/>
      <c r="N244" s="309"/>
      <c r="O244" s="309"/>
      <c r="P244" s="326"/>
      <c r="Q244" s="309"/>
      <c r="R244" s="309"/>
      <c r="S244" s="309"/>
      <c r="T244" s="309"/>
      <c r="U244" s="309"/>
      <c r="V244" s="309"/>
      <c r="W244" s="309"/>
      <c r="X244" s="309"/>
      <c r="Y244" s="309"/>
      <c r="Z244" s="309"/>
    </row>
    <row r="245" spans="1:26" ht="12.75" customHeight="1">
      <c r="A245" s="309"/>
      <c r="B245" s="309"/>
      <c r="C245" s="309"/>
      <c r="D245" s="309"/>
      <c r="E245" s="309"/>
      <c r="F245" s="309"/>
      <c r="G245" s="309"/>
      <c r="H245" s="309"/>
      <c r="I245" s="309"/>
      <c r="J245" s="309"/>
      <c r="K245" s="1020"/>
      <c r="L245" s="309"/>
      <c r="M245" s="309"/>
      <c r="N245" s="309"/>
      <c r="O245" s="309"/>
      <c r="P245" s="326"/>
      <c r="Q245" s="309"/>
      <c r="R245" s="309"/>
      <c r="S245" s="309"/>
      <c r="T245" s="309"/>
      <c r="U245" s="309"/>
      <c r="V245" s="309"/>
      <c r="W245" s="309"/>
      <c r="X245" s="309"/>
      <c r="Y245" s="309"/>
      <c r="Z245" s="309"/>
    </row>
    <row r="246" spans="1:26" ht="12.75" customHeight="1">
      <c r="A246" s="309"/>
      <c r="B246" s="309"/>
      <c r="C246" s="309"/>
      <c r="D246" s="309"/>
      <c r="E246" s="309"/>
      <c r="F246" s="309"/>
      <c r="G246" s="309"/>
      <c r="H246" s="309"/>
      <c r="I246" s="309"/>
      <c r="J246" s="309"/>
      <c r="K246" s="1020"/>
      <c r="L246" s="309"/>
      <c r="M246" s="309"/>
      <c r="N246" s="309"/>
      <c r="O246" s="309"/>
      <c r="P246" s="326"/>
      <c r="Q246" s="309"/>
      <c r="R246" s="309"/>
      <c r="S246" s="309"/>
      <c r="T246" s="309"/>
      <c r="U246" s="309"/>
      <c r="V246" s="309"/>
      <c r="W246" s="309"/>
      <c r="X246" s="309"/>
      <c r="Y246" s="309"/>
      <c r="Z246" s="309"/>
    </row>
    <row r="247" spans="1:26" ht="12.75" customHeight="1">
      <c r="A247" s="309"/>
      <c r="B247" s="309"/>
      <c r="C247" s="309"/>
      <c r="D247" s="309"/>
      <c r="E247" s="309"/>
      <c r="F247" s="309"/>
      <c r="G247" s="309"/>
      <c r="H247" s="309"/>
      <c r="I247" s="309"/>
      <c r="J247" s="309"/>
      <c r="K247" s="1020"/>
      <c r="L247" s="309"/>
      <c r="M247" s="309"/>
      <c r="N247" s="309"/>
      <c r="O247" s="309"/>
      <c r="P247" s="326"/>
      <c r="Q247" s="309"/>
      <c r="R247" s="309"/>
      <c r="S247" s="309"/>
      <c r="T247" s="309"/>
      <c r="U247" s="309"/>
      <c r="V247" s="309"/>
      <c r="W247" s="309"/>
      <c r="X247" s="309"/>
      <c r="Y247" s="309"/>
      <c r="Z247" s="309"/>
    </row>
    <row r="248" spans="1:26" ht="12.75" customHeight="1">
      <c r="A248" s="309"/>
      <c r="B248" s="309"/>
      <c r="C248" s="309"/>
      <c r="D248" s="309"/>
      <c r="E248" s="309"/>
      <c r="F248" s="309"/>
      <c r="G248" s="309"/>
      <c r="H248" s="309"/>
      <c r="I248" s="309"/>
      <c r="J248" s="309"/>
      <c r="K248" s="1020"/>
      <c r="L248" s="309"/>
      <c r="M248" s="309"/>
      <c r="N248" s="309"/>
      <c r="O248" s="309"/>
      <c r="P248" s="326"/>
      <c r="Q248" s="309"/>
      <c r="R248" s="309"/>
      <c r="S248" s="309"/>
      <c r="T248" s="309"/>
      <c r="U248" s="309"/>
      <c r="V248" s="309"/>
      <c r="W248" s="309"/>
      <c r="X248" s="309"/>
      <c r="Y248" s="309"/>
      <c r="Z248" s="309"/>
    </row>
    <row r="249" spans="1:26" ht="12.75" customHeight="1">
      <c r="A249" s="309"/>
      <c r="B249" s="309"/>
      <c r="C249" s="309"/>
      <c r="D249" s="309"/>
      <c r="E249" s="309"/>
      <c r="F249" s="309"/>
      <c r="G249" s="309"/>
      <c r="H249" s="309"/>
      <c r="I249" s="309"/>
      <c r="J249" s="309"/>
      <c r="K249" s="1020"/>
      <c r="L249" s="309"/>
      <c r="M249" s="309"/>
      <c r="N249" s="309"/>
      <c r="O249" s="309"/>
      <c r="P249" s="326"/>
      <c r="Q249" s="309"/>
      <c r="R249" s="309"/>
      <c r="S249" s="309"/>
      <c r="T249" s="309"/>
      <c r="U249" s="309"/>
      <c r="V249" s="309"/>
      <c r="W249" s="309"/>
      <c r="X249" s="309"/>
      <c r="Y249" s="309"/>
      <c r="Z249" s="309"/>
    </row>
    <row r="250" spans="1:26" ht="12.75" customHeight="1">
      <c r="A250" s="309"/>
      <c r="B250" s="309"/>
      <c r="C250" s="309"/>
      <c r="D250" s="309"/>
      <c r="E250" s="309"/>
      <c r="F250" s="309"/>
      <c r="G250" s="309"/>
      <c r="H250" s="309"/>
      <c r="I250" s="309"/>
      <c r="J250" s="309"/>
      <c r="K250" s="1020"/>
      <c r="L250" s="309"/>
      <c r="M250" s="309"/>
      <c r="N250" s="309"/>
      <c r="O250" s="309"/>
      <c r="P250" s="326"/>
      <c r="Q250" s="309"/>
      <c r="R250" s="309"/>
      <c r="S250" s="309"/>
      <c r="T250" s="309"/>
      <c r="U250" s="309"/>
      <c r="V250" s="309"/>
      <c r="W250" s="309"/>
      <c r="X250" s="309"/>
      <c r="Y250" s="309"/>
      <c r="Z250" s="309"/>
    </row>
    <row r="251" spans="1:26" ht="12.75" customHeight="1">
      <c r="A251" s="309"/>
      <c r="B251" s="309"/>
      <c r="C251" s="309"/>
      <c r="D251" s="309"/>
      <c r="E251" s="309"/>
      <c r="F251" s="309"/>
      <c r="G251" s="309"/>
      <c r="H251" s="309"/>
      <c r="I251" s="309"/>
      <c r="J251" s="309"/>
      <c r="K251" s="1020"/>
      <c r="L251" s="309"/>
      <c r="M251" s="309"/>
      <c r="N251" s="309"/>
      <c r="O251" s="309"/>
      <c r="P251" s="326"/>
      <c r="Q251" s="309"/>
      <c r="R251" s="309"/>
      <c r="S251" s="309"/>
      <c r="T251" s="309"/>
      <c r="U251" s="309"/>
      <c r="V251" s="309"/>
      <c r="W251" s="309"/>
      <c r="X251" s="309"/>
      <c r="Y251" s="309"/>
      <c r="Z251" s="309"/>
    </row>
    <row r="252" spans="1:26" ht="12.75" customHeight="1">
      <c r="A252" s="309"/>
      <c r="B252" s="309"/>
      <c r="C252" s="309"/>
      <c r="D252" s="309"/>
      <c r="E252" s="309"/>
      <c r="F252" s="309"/>
      <c r="G252" s="309"/>
      <c r="H252" s="309"/>
      <c r="I252" s="309"/>
      <c r="J252" s="309"/>
      <c r="K252" s="1020"/>
      <c r="L252" s="309"/>
      <c r="M252" s="309"/>
      <c r="N252" s="309"/>
      <c r="O252" s="309"/>
      <c r="P252" s="326"/>
      <c r="Q252" s="309"/>
      <c r="R252" s="309"/>
      <c r="S252" s="309"/>
      <c r="T252" s="309"/>
      <c r="U252" s="309"/>
      <c r="V252" s="309"/>
      <c r="W252" s="309"/>
      <c r="X252" s="309"/>
      <c r="Y252" s="309"/>
      <c r="Z252" s="309"/>
    </row>
    <row r="253" spans="1:26" ht="12.75" customHeight="1">
      <c r="A253" s="309"/>
      <c r="B253" s="309"/>
      <c r="C253" s="309"/>
      <c r="D253" s="309"/>
      <c r="E253" s="309"/>
      <c r="F253" s="309"/>
      <c r="G253" s="309"/>
      <c r="H253" s="309"/>
      <c r="I253" s="309"/>
      <c r="J253" s="309"/>
      <c r="K253" s="1020"/>
      <c r="L253" s="309"/>
      <c r="M253" s="309"/>
      <c r="N253" s="309"/>
      <c r="O253" s="309"/>
      <c r="P253" s="326"/>
      <c r="Q253" s="309"/>
      <c r="R253" s="309"/>
      <c r="S253" s="309"/>
      <c r="T253" s="309"/>
      <c r="U253" s="309"/>
      <c r="V253" s="309"/>
      <c r="W253" s="309"/>
      <c r="X253" s="309"/>
      <c r="Y253" s="309"/>
      <c r="Z253" s="309"/>
    </row>
    <row r="254" spans="1:26" ht="12.75" customHeight="1">
      <c r="A254" s="309"/>
      <c r="B254" s="309"/>
      <c r="C254" s="309"/>
      <c r="D254" s="309"/>
      <c r="E254" s="309"/>
      <c r="F254" s="309"/>
      <c r="G254" s="309"/>
      <c r="H254" s="309"/>
      <c r="I254" s="309"/>
      <c r="J254" s="309"/>
      <c r="K254" s="1020"/>
      <c r="L254" s="309"/>
      <c r="M254" s="309"/>
      <c r="N254" s="309"/>
      <c r="O254" s="309"/>
      <c r="P254" s="326"/>
      <c r="Q254" s="309"/>
      <c r="R254" s="309"/>
      <c r="S254" s="309"/>
      <c r="T254" s="309"/>
      <c r="U254" s="309"/>
      <c r="V254" s="309"/>
      <c r="W254" s="309"/>
      <c r="X254" s="309"/>
      <c r="Y254" s="309"/>
      <c r="Z254" s="309"/>
    </row>
    <row r="255" spans="1:26" ht="12.75" customHeight="1">
      <c r="A255" s="309"/>
      <c r="B255" s="309"/>
      <c r="C255" s="309"/>
      <c r="D255" s="309"/>
      <c r="E255" s="309"/>
      <c r="F255" s="309"/>
      <c r="G255" s="309"/>
      <c r="H255" s="309"/>
      <c r="I255" s="309"/>
      <c r="J255" s="309"/>
      <c r="K255" s="1020"/>
      <c r="L255" s="309"/>
      <c r="M255" s="309"/>
      <c r="N255" s="309"/>
      <c r="O255" s="309"/>
      <c r="P255" s="326"/>
      <c r="Q255" s="309"/>
      <c r="R255" s="309"/>
      <c r="S255" s="309"/>
      <c r="T255" s="309"/>
      <c r="U255" s="309"/>
      <c r="V255" s="309"/>
      <c r="W255" s="309"/>
      <c r="X255" s="309"/>
      <c r="Y255" s="309"/>
      <c r="Z255" s="309"/>
    </row>
    <row r="256" spans="1:26" ht="12.75" customHeight="1">
      <c r="A256" s="309"/>
      <c r="B256" s="309"/>
      <c r="C256" s="309"/>
      <c r="D256" s="309"/>
      <c r="E256" s="309"/>
      <c r="F256" s="309"/>
      <c r="G256" s="309"/>
      <c r="H256" s="309"/>
      <c r="I256" s="309"/>
      <c r="J256" s="309"/>
      <c r="K256" s="1020"/>
      <c r="L256" s="309"/>
      <c r="M256" s="309"/>
      <c r="N256" s="309"/>
      <c r="O256" s="309"/>
      <c r="P256" s="326"/>
      <c r="Q256" s="309"/>
      <c r="R256" s="309"/>
      <c r="S256" s="309"/>
      <c r="T256" s="309"/>
      <c r="U256" s="309"/>
      <c r="V256" s="309"/>
      <c r="W256" s="309"/>
      <c r="X256" s="309"/>
      <c r="Y256" s="309"/>
      <c r="Z256" s="309"/>
    </row>
    <row r="257" spans="1:26" ht="12.75" customHeight="1">
      <c r="A257" s="309"/>
      <c r="B257" s="309"/>
      <c r="C257" s="309"/>
      <c r="D257" s="309"/>
      <c r="E257" s="309"/>
      <c r="F257" s="309"/>
      <c r="G257" s="309"/>
      <c r="H257" s="309"/>
      <c r="I257" s="309"/>
      <c r="J257" s="309"/>
      <c r="K257" s="1020"/>
      <c r="L257" s="309"/>
      <c r="M257" s="309"/>
      <c r="N257" s="309"/>
      <c r="O257" s="309"/>
      <c r="P257" s="326"/>
      <c r="Q257" s="309"/>
      <c r="R257" s="309"/>
      <c r="S257" s="309"/>
      <c r="T257" s="309"/>
      <c r="U257" s="309"/>
      <c r="V257" s="309"/>
      <c r="W257" s="309"/>
      <c r="X257" s="309"/>
      <c r="Y257" s="309"/>
      <c r="Z257" s="309"/>
    </row>
    <row r="258" spans="1:26" ht="12.75" customHeight="1">
      <c r="A258" s="309"/>
      <c r="B258" s="309"/>
      <c r="C258" s="309"/>
      <c r="D258" s="309"/>
      <c r="E258" s="309"/>
      <c r="F258" s="309"/>
      <c r="G258" s="309"/>
      <c r="H258" s="309"/>
      <c r="I258" s="309"/>
      <c r="J258" s="309"/>
      <c r="K258" s="1020"/>
      <c r="L258" s="309"/>
      <c r="M258" s="309"/>
      <c r="N258" s="309"/>
      <c r="O258" s="309"/>
      <c r="P258" s="326"/>
      <c r="Q258" s="309"/>
      <c r="R258" s="309"/>
      <c r="S258" s="309"/>
      <c r="T258" s="309"/>
      <c r="U258" s="309"/>
      <c r="V258" s="309"/>
      <c r="W258" s="309"/>
      <c r="X258" s="309"/>
      <c r="Y258" s="309"/>
      <c r="Z258" s="309"/>
    </row>
    <row r="259" spans="1:26" ht="12.75" customHeight="1">
      <c r="A259" s="309"/>
      <c r="B259" s="309"/>
      <c r="C259" s="309"/>
      <c r="D259" s="309"/>
      <c r="E259" s="309"/>
      <c r="F259" s="309"/>
      <c r="G259" s="309"/>
      <c r="H259" s="309"/>
      <c r="I259" s="309"/>
      <c r="J259" s="309"/>
      <c r="K259" s="1020"/>
      <c r="L259" s="309"/>
      <c r="M259" s="309"/>
      <c r="N259" s="309"/>
      <c r="O259" s="309"/>
      <c r="P259" s="326"/>
      <c r="Q259" s="309"/>
      <c r="R259" s="309"/>
      <c r="S259" s="309"/>
      <c r="T259" s="309"/>
      <c r="U259" s="309"/>
      <c r="V259" s="309"/>
      <c r="W259" s="309"/>
      <c r="X259" s="309"/>
      <c r="Y259" s="309"/>
      <c r="Z259" s="309"/>
    </row>
    <row r="260" spans="1:26" ht="12.75" customHeight="1">
      <c r="A260" s="309"/>
      <c r="B260" s="309"/>
      <c r="C260" s="309"/>
      <c r="D260" s="309"/>
      <c r="E260" s="309"/>
      <c r="F260" s="309"/>
      <c r="G260" s="309"/>
      <c r="H260" s="309"/>
      <c r="I260" s="309"/>
      <c r="J260" s="309"/>
      <c r="K260" s="1020"/>
      <c r="L260" s="309"/>
      <c r="M260" s="309"/>
      <c r="N260" s="309"/>
      <c r="O260" s="309"/>
      <c r="P260" s="326"/>
      <c r="Q260" s="309"/>
      <c r="R260" s="309"/>
      <c r="S260" s="309"/>
      <c r="T260" s="309"/>
      <c r="U260" s="309"/>
      <c r="V260" s="309"/>
      <c r="W260" s="309"/>
      <c r="X260" s="309"/>
      <c r="Y260" s="309"/>
      <c r="Z260" s="309"/>
    </row>
    <row r="261" spans="1:26" ht="12.75" customHeight="1">
      <c r="A261" s="309"/>
      <c r="B261" s="309"/>
      <c r="C261" s="309"/>
      <c r="D261" s="309"/>
      <c r="E261" s="309"/>
      <c r="F261" s="309"/>
      <c r="G261" s="309"/>
      <c r="H261" s="309"/>
      <c r="I261" s="309"/>
      <c r="J261" s="309"/>
      <c r="K261" s="1020"/>
      <c r="L261" s="309"/>
      <c r="M261" s="309"/>
      <c r="N261" s="309"/>
      <c r="O261" s="309"/>
      <c r="P261" s="326"/>
      <c r="Q261" s="309"/>
      <c r="R261" s="309"/>
      <c r="S261" s="309"/>
      <c r="T261" s="309"/>
      <c r="U261" s="309"/>
      <c r="V261" s="309"/>
      <c r="W261" s="309"/>
      <c r="X261" s="309"/>
      <c r="Y261" s="309"/>
      <c r="Z261" s="309"/>
    </row>
    <row r="262" spans="1:26" ht="12.75" customHeight="1">
      <c r="A262" s="309"/>
      <c r="B262" s="309"/>
      <c r="C262" s="309"/>
      <c r="D262" s="309"/>
      <c r="E262" s="309"/>
      <c r="F262" s="309"/>
      <c r="G262" s="309"/>
      <c r="H262" s="309"/>
      <c r="I262" s="309"/>
      <c r="J262" s="309"/>
      <c r="K262" s="1020"/>
      <c r="L262" s="309"/>
      <c r="M262" s="309"/>
      <c r="N262" s="309"/>
      <c r="O262" s="309"/>
      <c r="P262" s="326"/>
      <c r="Q262" s="309"/>
      <c r="R262" s="309"/>
      <c r="S262" s="309"/>
      <c r="T262" s="309"/>
      <c r="U262" s="309"/>
      <c r="V262" s="309"/>
      <c r="W262" s="309"/>
      <c r="X262" s="309"/>
      <c r="Y262" s="309"/>
      <c r="Z262" s="309"/>
    </row>
    <row r="263" spans="1:26" ht="12.75" customHeight="1">
      <c r="A263" s="309"/>
      <c r="B263" s="309"/>
      <c r="C263" s="309"/>
      <c r="D263" s="309"/>
      <c r="E263" s="309"/>
      <c r="F263" s="309"/>
      <c r="G263" s="309"/>
      <c r="H263" s="309"/>
      <c r="I263" s="309"/>
      <c r="J263" s="309"/>
      <c r="K263" s="1020"/>
      <c r="L263" s="309"/>
      <c r="M263" s="309"/>
      <c r="N263" s="309"/>
      <c r="O263" s="309"/>
      <c r="P263" s="326"/>
      <c r="Q263" s="309"/>
      <c r="R263" s="309"/>
      <c r="S263" s="309"/>
      <c r="T263" s="309"/>
      <c r="U263" s="309"/>
      <c r="V263" s="309"/>
      <c r="W263" s="309"/>
      <c r="X263" s="309"/>
      <c r="Y263" s="309"/>
      <c r="Z263" s="309"/>
    </row>
    <row r="264" spans="1:26" ht="12.75" customHeight="1">
      <c r="A264" s="309"/>
      <c r="B264" s="309"/>
      <c r="C264" s="309"/>
      <c r="D264" s="309"/>
      <c r="E264" s="309"/>
      <c r="F264" s="309"/>
      <c r="G264" s="309"/>
      <c r="H264" s="309"/>
      <c r="I264" s="309"/>
      <c r="J264" s="309"/>
      <c r="K264" s="1020"/>
      <c r="L264" s="309"/>
      <c r="M264" s="309"/>
      <c r="N264" s="309"/>
      <c r="O264" s="309"/>
      <c r="P264" s="326"/>
      <c r="Q264" s="309"/>
      <c r="R264" s="309"/>
      <c r="S264" s="309"/>
      <c r="T264" s="309"/>
      <c r="U264" s="309"/>
      <c r="V264" s="309"/>
      <c r="W264" s="309"/>
      <c r="X264" s="309"/>
      <c r="Y264" s="309"/>
      <c r="Z264" s="309"/>
    </row>
    <row r="265" spans="1:26" ht="12.75" customHeight="1">
      <c r="A265" s="309"/>
      <c r="B265" s="309"/>
      <c r="C265" s="309"/>
      <c r="D265" s="309"/>
      <c r="E265" s="309"/>
      <c r="F265" s="309"/>
      <c r="G265" s="309"/>
      <c r="H265" s="309"/>
      <c r="I265" s="309"/>
      <c r="J265" s="309"/>
      <c r="K265" s="1020"/>
      <c r="L265" s="309"/>
      <c r="M265" s="309"/>
      <c r="N265" s="309"/>
      <c r="O265" s="309"/>
      <c r="P265" s="326"/>
      <c r="Q265" s="309"/>
      <c r="R265" s="309"/>
      <c r="S265" s="309"/>
      <c r="T265" s="309"/>
      <c r="U265" s="309"/>
      <c r="V265" s="309"/>
      <c r="W265" s="309"/>
      <c r="X265" s="309"/>
      <c r="Y265" s="309"/>
      <c r="Z265" s="309"/>
    </row>
    <row r="266" spans="1:26" ht="12.75" customHeight="1">
      <c r="A266" s="309"/>
      <c r="B266" s="309"/>
      <c r="C266" s="309"/>
      <c r="D266" s="309"/>
      <c r="E266" s="309"/>
      <c r="F266" s="309"/>
      <c r="G266" s="309"/>
      <c r="H266" s="309"/>
      <c r="I266" s="309"/>
      <c r="J266" s="309"/>
      <c r="K266" s="1020"/>
      <c r="L266" s="309"/>
      <c r="M266" s="309"/>
      <c r="N266" s="309"/>
      <c r="O266" s="309"/>
      <c r="P266" s="326"/>
      <c r="Q266" s="309"/>
      <c r="R266" s="309"/>
      <c r="S266" s="309"/>
      <c r="T266" s="309"/>
      <c r="U266" s="309"/>
      <c r="V266" s="309"/>
      <c r="W266" s="309"/>
      <c r="X266" s="309"/>
      <c r="Y266" s="309"/>
      <c r="Z266" s="309"/>
    </row>
    <row r="267" spans="1:26" ht="12.75" customHeight="1">
      <c r="A267" s="309"/>
      <c r="B267" s="309"/>
      <c r="C267" s="309"/>
      <c r="D267" s="309"/>
      <c r="E267" s="309"/>
      <c r="F267" s="309"/>
      <c r="G267" s="309"/>
      <c r="H267" s="309"/>
      <c r="I267" s="309"/>
      <c r="J267" s="309"/>
      <c r="K267" s="1020"/>
      <c r="L267" s="309"/>
      <c r="M267" s="309"/>
      <c r="N267" s="309"/>
      <c r="O267" s="309"/>
      <c r="P267" s="326"/>
      <c r="Q267" s="309"/>
      <c r="R267" s="309"/>
      <c r="S267" s="309"/>
      <c r="T267" s="309"/>
      <c r="U267" s="309"/>
      <c r="V267" s="309"/>
      <c r="W267" s="309"/>
      <c r="X267" s="309"/>
      <c r="Y267" s="309"/>
      <c r="Z267" s="309"/>
    </row>
    <row r="268" spans="1:26" ht="12.75" customHeight="1">
      <c r="A268" s="309"/>
      <c r="B268" s="309"/>
      <c r="C268" s="309"/>
      <c r="D268" s="309"/>
      <c r="E268" s="309"/>
      <c r="F268" s="309"/>
      <c r="G268" s="309"/>
      <c r="H268" s="309"/>
      <c r="I268" s="309"/>
      <c r="J268" s="309"/>
      <c r="K268" s="1020"/>
      <c r="L268" s="309"/>
      <c r="M268" s="309"/>
      <c r="N268" s="309"/>
      <c r="O268" s="309"/>
      <c r="P268" s="326"/>
      <c r="Q268" s="309"/>
      <c r="R268" s="309"/>
      <c r="S268" s="309"/>
      <c r="T268" s="309"/>
      <c r="U268" s="309"/>
      <c r="V268" s="309"/>
      <c r="W268" s="309"/>
      <c r="X268" s="309"/>
      <c r="Y268" s="309"/>
      <c r="Z268" s="309"/>
    </row>
    <row r="269" spans="1:26" ht="12.75" customHeight="1">
      <c r="A269" s="309"/>
      <c r="B269" s="309"/>
      <c r="C269" s="309"/>
      <c r="D269" s="309"/>
      <c r="E269" s="309"/>
      <c r="F269" s="309"/>
      <c r="G269" s="309"/>
      <c r="H269" s="309"/>
      <c r="I269" s="309"/>
      <c r="J269" s="309"/>
      <c r="K269" s="1020"/>
      <c r="L269" s="309"/>
      <c r="M269" s="309"/>
      <c r="N269" s="309"/>
      <c r="O269" s="309"/>
      <c r="P269" s="326"/>
      <c r="Q269" s="309"/>
      <c r="R269" s="309"/>
      <c r="S269" s="309"/>
      <c r="T269" s="309"/>
      <c r="U269" s="309"/>
      <c r="V269" s="309"/>
      <c r="W269" s="309"/>
      <c r="X269" s="309"/>
      <c r="Y269" s="309"/>
      <c r="Z269" s="309"/>
    </row>
    <row r="270" spans="1:26" ht="12.75" customHeight="1">
      <c r="A270" s="309"/>
      <c r="B270" s="309"/>
      <c r="C270" s="309"/>
      <c r="D270" s="309"/>
      <c r="E270" s="309"/>
      <c r="F270" s="309"/>
      <c r="G270" s="309"/>
      <c r="H270" s="309"/>
      <c r="I270" s="309"/>
      <c r="J270" s="309"/>
      <c r="K270" s="1020"/>
      <c r="L270" s="309"/>
      <c r="M270" s="309"/>
      <c r="N270" s="309"/>
      <c r="O270" s="309"/>
      <c r="P270" s="326"/>
      <c r="Q270" s="309"/>
      <c r="R270" s="309"/>
      <c r="S270" s="309"/>
      <c r="T270" s="309"/>
      <c r="U270" s="309"/>
      <c r="V270" s="309"/>
      <c r="W270" s="309"/>
      <c r="X270" s="309"/>
      <c r="Y270" s="309"/>
      <c r="Z270" s="309"/>
    </row>
    <row r="271" spans="1:26" ht="12.75" customHeight="1">
      <c r="A271" s="309"/>
      <c r="B271" s="309"/>
      <c r="C271" s="309"/>
      <c r="D271" s="309"/>
      <c r="E271" s="309"/>
      <c r="F271" s="309"/>
      <c r="G271" s="309"/>
      <c r="H271" s="309"/>
      <c r="I271" s="309"/>
      <c r="J271" s="309"/>
      <c r="K271" s="1020"/>
      <c r="L271" s="309"/>
      <c r="M271" s="309"/>
      <c r="N271" s="309"/>
      <c r="O271" s="309"/>
      <c r="P271" s="326"/>
      <c r="Q271" s="309"/>
      <c r="R271" s="309"/>
      <c r="S271" s="309"/>
      <c r="T271" s="309"/>
      <c r="U271" s="309"/>
      <c r="V271" s="309"/>
      <c r="W271" s="309"/>
      <c r="X271" s="309"/>
      <c r="Y271" s="309"/>
      <c r="Z271" s="309"/>
    </row>
    <row r="272" spans="1:26" ht="12.75" customHeight="1">
      <c r="A272" s="309"/>
      <c r="B272" s="309"/>
      <c r="C272" s="309"/>
      <c r="D272" s="309"/>
      <c r="E272" s="309"/>
      <c r="F272" s="309"/>
      <c r="G272" s="309"/>
      <c r="H272" s="309"/>
      <c r="I272" s="309"/>
      <c r="J272" s="309"/>
      <c r="K272" s="1020"/>
      <c r="L272" s="309"/>
      <c r="M272" s="309"/>
      <c r="N272" s="309"/>
      <c r="O272" s="309"/>
      <c r="P272" s="326"/>
      <c r="Q272" s="309"/>
      <c r="R272" s="309"/>
      <c r="S272" s="309"/>
      <c r="T272" s="309"/>
      <c r="U272" s="309"/>
      <c r="V272" s="309"/>
      <c r="W272" s="309"/>
      <c r="X272" s="309"/>
      <c r="Y272" s="309"/>
      <c r="Z272" s="309"/>
    </row>
    <row r="273" spans="1:26" ht="12.75" customHeight="1">
      <c r="A273" s="309"/>
      <c r="B273" s="309"/>
      <c r="C273" s="309"/>
      <c r="D273" s="309"/>
      <c r="E273" s="309"/>
      <c r="F273" s="309"/>
      <c r="G273" s="309"/>
      <c r="H273" s="309"/>
      <c r="I273" s="309"/>
      <c r="J273" s="309"/>
      <c r="K273" s="1020"/>
      <c r="L273" s="309"/>
      <c r="M273" s="309"/>
      <c r="N273" s="309"/>
      <c r="O273" s="309"/>
      <c r="P273" s="326"/>
      <c r="Q273" s="309"/>
      <c r="R273" s="309"/>
      <c r="S273" s="309"/>
      <c r="T273" s="309"/>
      <c r="U273" s="309"/>
      <c r="V273" s="309"/>
      <c r="W273" s="309"/>
      <c r="X273" s="309"/>
      <c r="Y273" s="309"/>
      <c r="Z273" s="309"/>
    </row>
    <row r="274" spans="1:26" ht="12.75" customHeight="1">
      <c r="A274" s="309"/>
      <c r="B274" s="309"/>
      <c r="C274" s="309"/>
      <c r="D274" s="309"/>
      <c r="E274" s="309"/>
      <c r="F274" s="309"/>
      <c r="G274" s="309"/>
      <c r="H274" s="309"/>
      <c r="I274" s="309"/>
      <c r="J274" s="309"/>
      <c r="K274" s="1020"/>
      <c r="L274" s="309"/>
      <c r="M274" s="309"/>
      <c r="N274" s="309"/>
      <c r="O274" s="309"/>
      <c r="P274" s="326"/>
      <c r="Q274" s="309"/>
      <c r="R274" s="309"/>
      <c r="S274" s="309"/>
      <c r="T274" s="309"/>
      <c r="U274" s="309"/>
      <c r="V274" s="309"/>
      <c r="W274" s="309"/>
      <c r="X274" s="309"/>
      <c r="Y274" s="309"/>
      <c r="Z274" s="309"/>
    </row>
    <row r="275" spans="1:26" ht="12.75" customHeight="1">
      <c r="A275" s="309"/>
      <c r="B275" s="309"/>
      <c r="C275" s="309"/>
      <c r="D275" s="309"/>
      <c r="E275" s="309"/>
      <c r="F275" s="309"/>
      <c r="G275" s="309"/>
      <c r="H275" s="309"/>
      <c r="I275" s="309"/>
      <c r="J275" s="309"/>
      <c r="K275" s="1020"/>
      <c r="L275" s="309"/>
      <c r="M275" s="309"/>
      <c r="N275" s="309"/>
      <c r="O275" s="309"/>
      <c r="P275" s="326"/>
      <c r="Q275" s="309"/>
      <c r="R275" s="309"/>
      <c r="S275" s="309"/>
      <c r="T275" s="309"/>
      <c r="U275" s="309"/>
      <c r="V275" s="309"/>
      <c r="W275" s="309"/>
      <c r="X275" s="309"/>
      <c r="Y275" s="309"/>
      <c r="Z275" s="309"/>
    </row>
    <row r="276" spans="1:26" ht="12.75" customHeight="1">
      <c r="A276" s="309"/>
      <c r="B276" s="309"/>
      <c r="C276" s="309"/>
      <c r="D276" s="309"/>
      <c r="E276" s="309"/>
      <c r="F276" s="309"/>
      <c r="G276" s="309"/>
      <c r="H276" s="309"/>
      <c r="I276" s="309"/>
      <c r="J276" s="309"/>
      <c r="K276" s="1020"/>
      <c r="L276" s="309"/>
      <c r="M276" s="309"/>
      <c r="N276" s="309"/>
      <c r="O276" s="309"/>
      <c r="P276" s="326"/>
      <c r="Q276" s="309"/>
      <c r="R276" s="309"/>
      <c r="S276" s="309"/>
      <c r="T276" s="309"/>
      <c r="U276" s="309"/>
      <c r="V276" s="309"/>
      <c r="W276" s="309"/>
      <c r="X276" s="309"/>
      <c r="Y276" s="309"/>
      <c r="Z276" s="309"/>
    </row>
    <row r="277" spans="1:26" ht="12.75" customHeight="1">
      <c r="A277" s="309"/>
      <c r="B277" s="309"/>
      <c r="C277" s="309"/>
      <c r="D277" s="309"/>
      <c r="E277" s="309"/>
      <c r="F277" s="309"/>
      <c r="G277" s="309"/>
      <c r="H277" s="309"/>
      <c r="I277" s="309"/>
      <c r="J277" s="309"/>
      <c r="K277" s="1020"/>
      <c r="L277" s="309"/>
      <c r="M277" s="309"/>
      <c r="N277" s="309"/>
      <c r="O277" s="309"/>
      <c r="P277" s="326"/>
      <c r="Q277" s="309"/>
      <c r="R277" s="309"/>
      <c r="S277" s="309"/>
      <c r="T277" s="309"/>
      <c r="U277" s="309"/>
      <c r="V277" s="309"/>
      <c r="W277" s="309"/>
      <c r="X277" s="309"/>
      <c r="Y277" s="309"/>
      <c r="Z277" s="309"/>
    </row>
    <row r="278" spans="1:26" ht="12.75" customHeight="1">
      <c r="A278" s="309"/>
      <c r="B278" s="309"/>
      <c r="C278" s="309"/>
      <c r="D278" s="309"/>
      <c r="E278" s="309"/>
      <c r="F278" s="309"/>
      <c r="G278" s="309"/>
      <c r="H278" s="309"/>
      <c r="I278" s="309"/>
      <c r="J278" s="309"/>
      <c r="K278" s="1020"/>
      <c r="L278" s="309"/>
      <c r="M278" s="309"/>
      <c r="N278" s="309"/>
      <c r="O278" s="309"/>
      <c r="P278" s="326"/>
      <c r="Q278" s="309"/>
      <c r="R278" s="309"/>
      <c r="S278" s="309"/>
      <c r="T278" s="309"/>
      <c r="U278" s="309"/>
      <c r="V278" s="309"/>
      <c r="W278" s="309"/>
      <c r="X278" s="309"/>
      <c r="Y278" s="309"/>
      <c r="Z278" s="309"/>
    </row>
    <row r="279" spans="1:26" ht="12.75" customHeight="1">
      <c r="A279" s="309"/>
      <c r="B279" s="309"/>
      <c r="C279" s="309"/>
      <c r="D279" s="309"/>
      <c r="E279" s="309"/>
      <c r="F279" s="309"/>
      <c r="G279" s="309"/>
      <c r="H279" s="309"/>
      <c r="I279" s="309"/>
      <c r="J279" s="309"/>
      <c r="K279" s="1020"/>
      <c r="L279" s="309"/>
      <c r="M279" s="309"/>
      <c r="N279" s="309"/>
      <c r="O279" s="309"/>
      <c r="P279" s="326"/>
      <c r="Q279" s="309"/>
      <c r="R279" s="309"/>
      <c r="S279" s="309"/>
      <c r="T279" s="309"/>
      <c r="U279" s="309"/>
      <c r="V279" s="309"/>
      <c r="W279" s="309"/>
      <c r="X279" s="309"/>
      <c r="Y279" s="309"/>
      <c r="Z279" s="309"/>
    </row>
    <row r="280" spans="1:26" ht="12.75" customHeight="1">
      <c r="A280" s="309"/>
      <c r="B280" s="309"/>
      <c r="C280" s="309"/>
      <c r="D280" s="309"/>
      <c r="E280" s="309"/>
      <c r="F280" s="309"/>
      <c r="G280" s="309"/>
      <c r="H280" s="309"/>
      <c r="I280" s="309"/>
      <c r="J280" s="309"/>
      <c r="K280" s="1020"/>
      <c r="L280" s="309"/>
      <c r="M280" s="309"/>
      <c r="N280" s="309"/>
      <c r="O280" s="309"/>
      <c r="P280" s="326"/>
      <c r="Q280" s="309"/>
      <c r="R280" s="309"/>
      <c r="S280" s="309"/>
      <c r="T280" s="309"/>
      <c r="U280" s="309"/>
      <c r="V280" s="309"/>
      <c r="W280" s="309"/>
      <c r="X280" s="309"/>
      <c r="Y280" s="309"/>
      <c r="Z280" s="309"/>
    </row>
    <row r="281" spans="1:26" ht="12.75" customHeight="1">
      <c r="A281" s="309"/>
      <c r="B281" s="309"/>
      <c r="C281" s="309"/>
      <c r="D281" s="309"/>
      <c r="E281" s="309"/>
      <c r="F281" s="309"/>
      <c r="G281" s="309"/>
      <c r="H281" s="309"/>
      <c r="I281" s="309"/>
      <c r="J281" s="309"/>
      <c r="K281" s="1020"/>
      <c r="L281" s="309"/>
      <c r="M281" s="309"/>
      <c r="N281" s="309"/>
      <c r="O281" s="309"/>
      <c r="P281" s="326"/>
      <c r="Q281" s="309"/>
      <c r="R281" s="309"/>
      <c r="S281" s="309"/>
      <c r="T281" s="309"/>
      <c r="U281" s="309"/>
      <c r="V281" s="309"/>
      <c r="W281" s="309"/>
      <c r="X281" s="309"/>
      <c r="Y281" s="309"/>
      <c r="Z281" s="309"/>
    </row>
    <row r="282" spans="1:26" ht="12.75" customHeight="1">
      <c r="A282" s="309"/>
      <c r="B282" s="309"/>
      <c r="C282" s="309"/>
      <c r="D282" s="309"/>
      <c r="E282" s="309"/>
      <c r="F282" s="309"/>
      <c r="G282" s="309"/>
      <c r="H282" s="309"/>
      <c r="I282" s="309"/>
      <c r="J282" s="309"/>
      <c r="K282" s="1020"/>
      <c r="L282" s="309"/>
      <c r="M282" s="309"/>
      <c r="N282" s="309"/>
      <c r="O282" s="309"/>
      <c r="P282" s="326"/>
      <c r="Q282" s="309"/>
      <c r="R282" s="309"/>
      <c r="S282" s="309"/>
      <c r="T282" s="309"/>
      <c r="U282" s="309"/>
      <c r="V282" s="309"/>
      <c r="W282" s="309"/>
      <c r="X282" s="309"/>
      <c r="Y282" s="309"/>
      <c r="Z282" s="309"/>
    </row>
    <row r="283" spans="1:26" ht="12.75" customHeight="1">
      <c r="A283" s="309"/>
      <c r="B283" s="309"/>
      <c r="C283" s="309"/>
      <c r="D283" s="309"/>
      <c r="E283" s="309"/>
      <c r="F283" s="309"/>
      <c r="G283" s="309"/>
      <c r="H283" s="309"/>
      <c r="I283" s="309"/>
      <c r="J283" s="309"/>
      <c r="K283" s="1020"/>
      <c r="L283" s="309"/>
      <c r="M283" s="309"/>
      <c r="N283" s="309"/>
      <c r="O283" s="309"/>
      <c r="P283" s="326"/>
      <c r="Q283" s="309"/>
      <c r="R283" s="309"/>
      <c r="S283" s="309"/>
      <c r="T283" s="309"/>
      <c r="U283" s="309"/>
      <c r="V283" s="309"/>
      <c r="W283" s="309"/>
      <c r="X283" s="309"/>
      <c r="Y283" s="309"/>
      <c r="Z283" s="309"/>
    </row>
    <row r="284" spans="1:26" ht="12.75" customHeight="1">
      <c r="A284" s="309"/>
      <c r="B284" s="309"/>
      <c r="C284" s="309"/>
      <c r="D284" s="309"/>
      <c r="E284" s="309"/>
      <c r="F284" s="309"/>
      <c r="G284" s="309"/>
      <c r="H284" s="309"/>
      <c r="I284" s="309"/>
      <c r="J284" s="309"/>
      <c r="K284" s="1020"/>
      <c r="L284" s="309"/>
      <c r="M284" s="309"/>
      <c r="N284" s="309"/>
      <c r="O284" s="309"/>
      <c r="P284" s="326"/>
      <c r="Q284" s="309"/>
      <c r="R284" s="309"/>
      <c r="S284" s="309"/>
      <c r="T284" s="309"/>
      <c r="U284" s="309"/>
      <c r="V284" s="309"/>
      <c r="W284" s="309"/>
      <c r="X284" s="309"/>
      <c r="Y284" s="309"/>
      <c r="Z284" s="309"/>
    </row>
    <row r="285" spans="1:26" ht="12.75" customHeight="1">
      <c r="A285" s="309"/>
      <c r="B285" s="309"/>
      <c r="C285" s="309"/>
      <c r="D285" s="309"/>
      <c r="E285" s="309"/>
      <c r="F285" s="309"/>
      <c r="G285" s="309"/>
      <c r="H285" s="309"/>
      <c r="I285" s="309"/>
      <c r="J285" s="309"/>
      <c r="K285" s="1020"/>
      <c r="L285" s="309"/>
      <c r="M285" s="309"/>
      <c r="N285" s="309"/>
      <c r="O285" s="309"/>
      <c r="P285" s="326"/>
      <c r="Q285" s="309"/>
      <c r="R285" s="309"/>
      <c r="S285" s="309"/>
      <c r="T285" s="309"/>
      <c r="U285" s="309"/>
      <c r="V285" s="309"/>
      <c r="W285" s="309"/>
      <c r="X285" s="309"/>
      <c r="Y285" s="309"/>
      <c r="Z285" s="309"/>
    </row>
    <row r="286" spans="1:26" ht="12.75" customHeight="1">
      <c r="A286" s="309"/>
      <c r="B286" s="309"/>
      <c r="C286" s="309"/>
      <c r="D286" s="309"/>
      <c r="E286" s="309"/>
      <c r="F286" s="309"/>
      <c r="G286" s="309"/>
      <c r="H286" s="309"/>
      <c r="I286" s="309"/>
      <c r="J286" s="309"/>
      <c r="K286" s="1020"/>
      <c r="L286" s="309"/>
      <c r="M286" s="309"/>
      <c r="N286" s="309"/>
      <c r="O286" s="309"/>
      <c r="P286" s="326"/>
      <c r="Q286" s="309"/>
      <c r="R286" s="309"/>
      <c r="S286" s="309"/>
      <c r="T286" s="309"/>
      <c r="U286" s="309"/>
      <c r="V286" s="309"/>
      <c r="W286" s="309"/>
      <c r="X286" s="309"/>
      <c r="Y286" s="309"/>
      <c r="Z286" s="309"/>
    </row>
    <row r="287" spans="1:26" ht="12.75" customHeight="1">
      <c r="A287" s="309"/>
      <c r="B287" s="309"/>
      <c r="C287" s="309"/>
      <c r="D287" s="309"/>
      <c r="E287" s="309"/>
      <c r="F287" s="309"/>
      <c r="G287" s="309"/>
      <c r="H287" s="309"/>
      <c r="I287" s="309"/>
      <c r="J287" s="309"/>
      <c r="K287" s="1020"/>
      <c r="L287" s="309"/>
      <c r="M287" s="309"/>
      <c r="N287" s="309"/>
      <c r="O287" s="309"/>
      <c r="P287" s="326"/>
      <c r="Q287" s="309"/>
      <c r="R287" s="309"/>
      <c r="S287" s="309"/>
      <c r="T287" s="309"/>
      <c r="U287" s="309"/>
      <c r="V287" s="309"/>
      <c r="W287" s="309"/>
      <c r="X287" s="309"/>
      <c r="Y287" s="309"/>
      <c r="Z287" s="309"/>
    </row>
    <row r="288" spans="1:26" ht="12.75" customHeight="1">
      <c r="A288" s="309"/>
      <c r="B288" s="309"/>
      <c r="C288" s="309"/>
      <c r="D288" s="309"/>
      <c r="E288" s="309"/>
      <c r="F288" s="309"/>
      <c r="G288" s="309"/>
      <c r="H288" s="309"/>
      <c r="I288" s="309"/>
      <c r="J288" s="309"/>
      <c r="K288" s="1020"/>
      <c r="L288" s="309"/>
      <c r="M288" s="309"/>
      <c r="N288" s="309"/>
      <c r="O288" s="309"/>
      <c r="P288" s="326"/>
      <c r="Q288" s="309"/>
      <c r="R288" s="309"/>
      <c r="S288" s="309"/>
      <c r="T288" s="309"/>
      <c r="U288" s="309"/>
      <c r="V288" s="309"/>
      <c r="W288" s="309"/>
      <c r="X288" s="309"/>
      <c r="Y288" s="309"/>
      <c r="Z288" s="309"/>
    </row>
    <row r="289" spans="1:26" ht="12.75" customHeight="1">
      <c r="A289" s="309"/>
      <c r="B289" s="309"/>
      <c r="C289" s="309"/>
      <c r="D289" s="309"/>
      <c r="E289" s="309"/>
      <c r="F289" s="309"/>
      <c r="G289" s="309"/>
      <c r="H289" s="309"/>
      <c r="I289" s="309"/>
      <c r="J289" s="309"/>
      <c r="K289" s="1020"/>
      <c r="L289" s="309"/>
      <c r="M289" s="309"/>
      <c r="N289" s="309"/>
      <c r="O289" s="309"/>
      <c r="P289" s="326"/>
      <c r="Q289" s="309"/>
      <c r="R289" s="309"/>
      <c r="S289" s="309"/>
      <c r="T289" s="309"/>
      <c r="U289" s="309"/>
      <c r="V289" s="309"/>
      <c r="W289" s="309"/>
      <c r="X289" s="309"/>
      <c r="Y289" s="309"/>
      <c r="Z289" s="309"/>
    </row>
    <row r="290" spans="1:26" ht="12.75" customHeight="1">
      <c r="A290" s="309"/>
      <c r="B290" s="309"/>
      <c r="C290" s="309"/>
      <c r="D290" s="309"/>
      <c r="E290" s="309"/>
      <c r="F290" s="309"/>
      <c r="G290" s="309"/>
      <c r="H290" s="309"/>
      <c r="I290" s="309"/>
      <c r="J290" s="309"/>
      <c r="K290" s="1020"/>
      <c r="L290" s="309"/>
      <c r="M290" s="309"/>
      <c r="N290" s="309"/>
      <c r="O290" s="309"/>
      <c r="P290" s="326"/>
      <c r="Q290" s="309"/>
      <c r="R290" s="309"/>
      <c r="S290" s="309"/>
      <c r="T290" s="309"/>
      <c r="U290" s="309"/>
      <c r="V290" s="309"/>
      <c r="W290" s="309"/>
      <c r="X290" s="309"/>
      <c r="Y290" s="309"/>
      <c r="Z290" s="309"/>
    </row>
    <row r="291" spans="1:26" ht="12.75" customHeight="1">
      <c r="A291" s="309"/>
      <c r="B291" s="309"/>
      <c r="C291" s="309"/>
      <c r="D291" s="309"/>
      <c r="E291" s="309"/>
      <c r="F291" s="309"/>
      <c r="G291" s="309"/>
      <c r="H291" s="309"/>
      <c r="I291" s="309"/>
      <c r="J291" s="309"/>
      <c r="K291" s="1020"/>
      <c r="L291" s="309"/>
      <c r="M291" s="309"/>
      <c r="N291" s="309"/>
      <c r="O291" s="309"/>
      <c r="P291" s="326"/>
      <c r="Q291" s="309"/>
      <c r="R291" s="309"/>
      <c r="S291" s="309"/>
      <c r="T291" s="309"/>
      <c r="U291" s="309"/>
      <c r="V291" s="309"/>
      <c r="W291" s="309"/>
      <c r="X291" s="309"/>
      <c r="Y291" s="309"/>
      <c r="Z291" s="309"/>
    </row>
    <row r="292" spans="1:26" ht="12.75" customHeight="1">
      <c r="A292" s="309"/>
      <c r="B292" s="309"/>
      <c r="C292" s="309"/>
      <c r="D292" s="309"/>
      <c r="E292" s="309"/>
      <c r="F292" s="309"/>
      <c r="G292" s="309"/>
      <c r="H292" s="309"/>
      <c r="I292" s="309"/>
      <c r="J292" s="309"/>
      <c r="K292" s="1020"/>
      <c r="L292" s="309"/>
      <c r="M292" s="309"/>
      <c r="N292" s="309"/>
      <c r="O292" s="309"/>
      <c r="P292" s="326"/>
      <c r="Q292" s="309"/>
      <c r="R292" s="309"/>
      <c r="S292" s="309"/>
      <c r="T292" s="309"/>
      <c r="U292" s="309"/>
      <c r="V292" s="309"/>
      <c r="W292" s="309"/>
      <c r="X292" s="309"/>
      <c r="Y292" s="309"/>
      <c r="Z292" s="309"/>
    </row>
    <row r="293" spans="1:26" ht="12.75" customHeight="1">
      <c r="A293" s="309"/>
      <c r="B293" s="309"/>
      <c r="C293" s="309"/>
      <c r="D293" s="309"/>
      <c r="E293" s="309"/>
      <c r="F293" s="309"/>
      <c r="G293" s="309"/>
      <c r="H293" s="309"/>
      <c r="I293" s="309"/>
      <c r="J293" s="309"/>
      <c r="K293" s="1020"/>
      <c r="L293" s="309"/>
      <c r="M293" s="309"/>
      <c r="N293" s="309"/>
      <c r="O293" s="309"/>
      <c r="P293" s="326"/>
      <c r="Q293" s="309"/>
      <c r="R293" s="309"/>
      <c r="S293" s="309"/>
      <c r="T293" s="309"/>
      <c r="U293" s="309"/>
      <c r="V293" s="309"/>
      <c r="W293" s="309"/>
      <c r="X293" s="309"/>
      <c r="Y293" s="309"/>
      <c r="Z293" s="309"/>
    </row>
    <row r="294" spans="1:26" ht="12.75" customHeight="1">
      <c r="A294" s="309"/>
      <c r="B294" s="309"/>
      <c r="C294" s="309"/>
      <c r="D294" s="309"/>
      <c r="E294" s="309"/>
      <c r="F294" s="309"/>
      <c r="G294" s="309"/>
      <c r="H294" s="309"/>
      <c r="I294" s="309"/>
      <c r="J294" s="309"/>
      <c r="K294" s="1020"/>
      <c r="L294" s="309"/>
      <c r="M294" s="309"/>
      <c r="N294" s="309"/>
      <c r="O294" s="309"/>
      <c r="P294" s="326"/>
      <c r="Q294" s="309"/>
      <c r="R294" s="309"/>
      <c r="S294" s="309"/>
      <c r="T294" s="309"/>
      <c r="U294" s="309"/>
      <c r="V294" s="309"/>
      <c r="W294" s="309"/>
      <c r="X294" s="309"/>
      <c r="Y294" s="309"/>
      <c r="Z294" s="309"/>
    </row>
    <row r="295" spans="1:26" ht="12.75" customHeight="1">
      <c r="A295" s="309"/>
      <c r="B295" s="309"/>
      <c r="C295" s="309"/>
      <c r="D295" s="309"/>
      <c r="E295" s="309"/>
      <c r="F295" s="309"/>
      <c r="G295" s="309"/>
      <c r="H295" s="309"/>
      <c r="I295" s="309"/>
      <c r="J295" s="309"/>
      <c r="K295" s="1020"/>
      <c r="L295" s="309"/>
      <c r="M295" s="309"/>
      <c r="N295" s="309"/>
      <c r="O295" s="309"/>
      <c r="P295" s="326"/>
      <c r="Q295" s="309"/>
      <c r="R295" s="309"/>
      <c r="S295" s="309"/>
      <c r="T295" s="309"/>
      <c r="U295" s="309"/>
      <c r="V295" s="309"/>
      <c r="W295" s="309"/>
      <c r="X295" s="309"/>
      <c r="Y295" s="309"/>
      <c r="Z295" s="309"/>
    </row>
    <row r="296" spans="1:26" ht="12.75" customHeight="1">
      <c r="A296" s="309"/>
      <c r="B296" s="309"/>
      <c r="C296" s="309"/>
      <c r="D296" s="309"/>
      <c r="E296" s="309"/>
      <c r="F296" s="309"/>
      <c r="G296" s="309"/>
      <c r="H296" s="309"/>
      <c r="I296" s="309"/>
      <c r="J296" s="309"/>
      <c r="K296" s="1020"/>
      <c r="L296" s="309"/>
      <c r="M296" s="309"/>
      <c r="N296" s="309"/>
      <c r="O296" s="309"/>
      <c r="P296" s="326"/>
      <c r="Q296" s="309"/>
      <c r="R296" s="309"/>
      <c r="S296" s="309"/>
      <c r="T296" s="309"/>
      <c r="U296" s="309"/>
      <c r="V296" s="309"/>
      <c r="W296" s="309"/>
      <c r="X296" s="309"/>
      <c r="Y296" s="309"/>
      <c r="Z296" s="309"/>
    </row>
    <row r="297" spans="1:26" ht="12.75" customHeight="1">
      <c r="A297" s="309"/>
      <c r="B297" s="309"/>
      <c r="C297" s="309"/>
      <c r="D297" s="309"/>
      <c r="E297" s="309"/>
      <c r="F297" s="309"/>
      <c r="G297" s="309"/>
      <c r="H297" s="309"/>
      <c r="I297" s="309"/>
      <c r="J297" s="309"/>
      <c r="K297" s="1020"/>
      <c r="L297" s="309"/>
      <c r="M297" s="309"/>
      <c r="N297" s="309"/>
      <c r="O297" s="309"/>
      <c r="P297" s="326"/>
      <c r="Q297" s="309"/>
      <c r="R297" s="309"/>
      <c r="S297" s="309"/>
      <c r="T297" s="309"/>
      <c r="U297" s="309"/>
      <c r="V297" s="309"/>
      <c r="W297" s="309"/>
      <c r="X297" s="309"/>
      <c r="Y297" s="309"/>
      <c r="Z297" s="309"/>
    </row>
    <row r="298" spans="1:26" ht="12.75" customHeight="1">
      <c r="A298" s="309"/>
      <c r="B298" s="309"/>
      <c r="C298" s="309"/>
      <c r="D298" s="309"/>
      <c r="E298" s="309"/>
      <c r="F298" s="309"/>
      <c r="G298" s="309"/>
      <c r="H298" s="309"/>
      <c r="I298" s="309"/>
      <c r="J298" s="309"/>
      <c r="K298" s="1020"/>
      <c r="L298" s="309"/>
      <c r="M298" s="309"/>
      <c r="N298" s="309"/>
      <c r="O298" s="309"/>
      <c r="P298" s="326"/>
      <c r="Q298" s="309"/>
      <c r="R298" s="309"/>
      <c r="S298" s="309"/>
      <c r="T298" s="309"/>
      <c r="U298" s="309"/>
      <c r="V298" s="309"/>
      <c r="W298" s="309"/>
      <c r="X298" s="309"/>
      <c r="Y298" s="309"/>
      <c r="Z298" s="309"/>
    </row>
    <row r="299" spans="1:26" ht="12.75" customHeight="1">
      <c r="A299" s="309"/>
      <c r="B299" s="309"/>
      <c r="C299" s="309"/>
      <c r="D299" s="309"/>
      <c r="E299" s="309"/>
      <c r="F299" s="309"/>
      <c r="G299" s="309"/>
      <c r="H299" s="309"/>
      <c r="I299" s="309"/>
      <c r="J299" s="309"/>
      <c r="K299" s="1020"/>
      <c r="L299" s="309"/>
      <c r="M299" s="309"/>
      <c r="N299" s="309"/>
      <c r="O299" s="309"/>
      <c r="P299" s="326"/>
      <c r="Q299" s="309"/>
      <c r="R299" s="309"/>
      <c r="S299" s="309"/>
      <c r="T299" s="309"/>
      <c r="U299" s="309"/>
      <c r="V299" s="309"/>
      <c r="W299" s="309"/>
      <c r="X299" s="309"/>
      <c r="Y299" s="309"/>
      <c r="Z299" s="309"/>
    </row>
    <row r="300" spans="1:26" ht="12.75" customHeight="1">
      <c r="A300" s="309"/>
      <c r="B300" s="309"/>
      <c r="C300" s="309"/>
      <c r="D300" s="309"/>
      <c r="E300" s="309"/>
      <c r="F300" s="309"/>
      <c r="G300" s="309"/>
      <c r="H300" s="309"/>
      <c r="I300" s="309"/>
      <c r="J300" s="309"/>
      <c r="K300" s="1020"/>
      <c r="L300" s="309"/>
      <c r="M300" s="309"/>
      <c r="N300" s="309"/>
      <c r="O300" s="309"/>
      <c r="P300" s="326"/>
      <c r="Q300" s="309"/>
      <c r="R300" s="309"/>
      <c r="S300" s="309"/>
      <c r="T300" s="309"/>
      <c r="U300" s="309"/>
      <c r="V300" s="309"/>
      <c r="W300" s="309"/>
      <c r="X300" s="309"/>
      <c r="Y300" s="309"/>
      <c r="Z300" s="309"/>
    </row>
    <row r="301" spans="1:26" ht="12.75" customHeight="1">
      <c r="A301" s="309"/>
      <c r="B301" s="309"/>
      <c r="C301" s="309"/>
      <c r="D301" s="309"/>
      <c r="E301" s="309"/>
      <c r="F301" s="309"/>
      <c r="G301" s="309"/>
      <c r="H301" s="309"/>
      <c r="I301" s="309"/>
      <c r="J301" s="309"/>
      <c r="K301" s="1020"/>
      <c r="L301" s="309"/>
      <c r="M301" s="309"/>
      <c r="N301" s="309"/>
      <c r="O301" s="309"/>
      <c r="P301" s="326"/>
      <c r="Q301" s="309"/>
      <c r="R301" s="309"/>
      <c r="S301" s="309"/>
      <c r="T301" s="309"/>
      <c r="U301" s="309"/>
      <c r="V301" s="309"/>
      <c r="W301" s="309"/>
      <c r="X301" s="309"/>
      <c r="Y301" s="309"/>
      <c r="Z301" s="309"/>
    </row>
    <row r="302" spans="1:26" ht="12.75" customHeight="1">
      <c r="A302" s="309"/>
      <c r="B302" s="309"/>
      <c r="C302" s="309"/>
      <c r="D302" s="309"/>
      <c r="E302" s="309"/>
      <c r="F302" s="309"/>
      <c r="G302" s="309"/>
      <c r="H302" s="309"/>
      <c r="I302" s="309"/>
      <c r="J302" s="309"/>
      <c r="K302" s="1020"/>
      <c r="L302" s="309"/>
      <c r="M302" s="309"/>
      <c r="N302" s="309"/>
      <c r="O302" s="309"/>
      <c r="P302" s="326"/>
      <c r="Q302" s="309"/>
      <c r="R302" s="309"/>
      <c r="S302" s="309"/>
      <c r="T302" s="309"/>
      <c r="U302" s="309"/>
      <c r="V302" s="309"/>
      <c r="W302" s="309"/>
      <c r="X302" s="309"/>
      <c r="Y302" s="309"/>
      <c r="Z302" s="309"/>
    </row>
    <row r="303" spans="1:26" ht="12.75" customHeight="1">
      <c r="A303" s="309"/>
      <c r="B303" s="309"/>
      <c r="C303" s="309"/>
      <c r="D303" s="309"/>
      <c r="E303" s="309"/>
      <c r="F303" s="309"/>
      <c r="G303" s="309"/>
      <c r="H303" s="309"/>
      <c r="I303" s="309"/>
      <c r="J303" s="309"/>
      <c r="K303" s="1020"/>
      <c r="L303" s="309"/>
      <c r="M303" s="309"/>
      <c r="N303" s="309"/>
      <c r="O303" s="309"/>
      <c r="P303" s="326"/>
      <c r="Q303" s="309"/>
      <c r="R303" s="309"/>
      <c r="S303" s="309"/>
      <c r="T303" s="309"/>
      <c r="U303" s="309"/>
      <c r="V303" s="309"/>
      <c r="W303" s="309"/>
      <c r="X303" s="309"/>
      <c r="Y303" s="309"/>
      <c r="Z303" s="309"/>
    </row>
    <row r="304" spans="1:26" ht="12.75" customHeight="1">
      <c r="A304" s="309"/>
      <c r="B304" s="309"/>
      <c r="C304" s="309"/>
      <c r="D304" s="309"/>
      <c r="E304" s="309"/>
      <c r="F304" s="309"/>
      <c r="G304" s="309"/>
      <c r="H304" s="309"/>
      <c r="I304" s="309"/>
      <c r="J304" s="309"/>
      <c r="K304" s="1020"/>
      <c r="L304" s="309"/>
      <c r="M304" s="309"/>
      <c r="N304" s="309"/>
      <c r="O304" s="309"/>
      <c r="P304" s="326"/>
      <c r="Q304" s="309"/>
      <c r="R304" s="309"/>
      <c r="S304" s="309"/>
      <c r="T304" s="309"/>
      <c r="U304" s="309"/>
      <c r="V304" s="309"/>
      <c r="W304" s="309"/>
      <c r="X304" s="309"/>
      <c r="Y304" s="309"/>
      <c r="Z304" s="309"/>
    </row>
    <row r="305" spans="1:26" ht="12.75" customHeight="1">
      <c r="A305" s="309"/>
      <c r="B305" s="309"/>
      <c r="C305" s="309"/>
      <c r="D305" s="309"/>
      <c r="E305" s="309"/>
      <c r="F305" s="309"/>
      <c r="G305" s="309"/>
      <c r="H305" s="309"/>
      <c r="I305" s="309"/>
      <c r="J305" s="309"/>
      <c r="K305" s="1020"/>
      <c r="L305" s="309"/>
      <c r="M305" s="309"/>
      <c r="N305" s="309"/>
      <c r="O305" s="309"/>
      <c r="P305" s="326"/>
      <c r="Q305" s="309"/>
      <c r="R305" s="309"/>
      <c r="S305" s="309"/>
      <c r="T305" s="309"/>
      <c r="U305" s="309"/>
      <c r="V305" s="309"/>
      <c r="W305" s="309"/>
      <c r="X305" s="309"/>
      <c r="Y305" s="309"/>
      <c r="Z305" s="309"/>
    </row>
    <row r="306" spans="1:26" ht="12.75" customHeight="1">
      <c r="A306" s="309"/>
      <c r="B306" s="309"/>
      <c r="C306" s="309"/>
      <c r="D306" s="309"/>
      <c r="E306" s="309"/>
      <c r="F306" s="309"/>
      <c r="G306" s="309"/>
      <c r="H306" s="309"/>
      <c r="I306" s="309"/>
      <c r="J306" s="309"/>
      <c r="K306" s="1020"/>
      <c r="L306" s="309"/>
      <c r="M306" s="309"/>
      <c r="N306" s="309"/>
      <c r="O306" s="309"/>
      <c r="P306" s="326"/>
      <c r="Q306" s="309"/>
      <c r="R306" s="309"/>
      <c r="S306" s="309"/>
      <c r="T306" s="309"/>
      <c r="U306" s="309"/>
      <c r="V306" s="309"/>
      <c r="W306" s="309"/>
      <c r="X306" s="309"/>
      <c r="Y306" s="309"/>
      <c r="Z306" s="309"/>
    </row>
    <row r="307" spans="1:26" ht="12.75" customHeight="1">
      <c r="A307" s="309"/>
      <c r="B307" s="309"/>
      <c r="C307" s="309"/>
      <c r="D307" s="309"/>
      <c r="E307" s="309"/>
      <c r="F307" s="309"/>
      <c r="G307" s="309"/>
      <c r="H307" s="309"/>
      <c r="I307" s="309"/>
      <c r="J307" s="309"/>
      <c r="K307" s="1020"/>
      <c r="L307" s="309"/>
      <c r="M307" s="309"/>
      <c r="N307" s="309"/>
      <c r="O307" s="309"/>
      <c r="P307" s="326"/>
      <c r="Q307" s="309"/>
      <c r="R307" s="309"/>
      <c r="S307" s="309"/>
      <c r="T307" s="309"/>
      <c r="U307" s="309"/>
      <c r="V307" s="309"/>
      <c r="W307" s="309"/>
      <c r="X307" s="309"/>
      <c r="Y307" s="309"/>
      <c r="Z307" s="309"/>
    </row>
    <row r="308" spans="1:26" ht="12.75" customHeight="1">
      <c r="A308" s="309"/>
      <c r="B308" s="309"/>
      <c r="C308" s="309"/>
      <c r="D308" s="309"/>
      <c r="E308" s="309"/>
      <c r="F308" s="309"/>
      <c r="G308" s="309"/>
      <c r="H308" s="309"/>
      <c r="I308" s="309"/>
      <c r="J308" s="309"/>
      <c r="K308" s="1020"/>
      <c r="L308" s="309"/>
      <c r="M308" s="309"/>
      <c r="N308" s="309"/>
      <c r="O308" s="309"/>
      <c r="P308" s="326"/>
      <c r="Q308" s="309"/>
      <c r="R308" s="309"/>
      <c r="S308" s="309"/>
      <c r="T308" s="309"/>
      <c r="U308" s="309"/>
      <c r="V308" s="309"/>
      <c r="W308" s="309"/>
      <c r="X308" s="309"/>
      <c r="Y308" s="309"/>
      <c r="Z308" s="309"/>
    </row>
    <row r="309" spans="1:26" ht="12.75" customHeight="1">
      <c r="A309" s="309"/>
      <c r="B309" s="309"/>
      <c r="C309" s="309"/>
      <c r="D309" s="309"/>
      <c r="E309" s="309"/>
      <c r="F309" s="309"/>
      <c r="G309" s="309"/>
      <c r="H309" s="309"/>
      <c r="I309" s="309"/>
      <c r="J309" s="309"/>
      <c r="K309" s="1020"/>
      <c r="L309" s="309"/>
      <c r="M309" s="309"/>
      <c r="N309" s="309"/>
      <c r="O309" s="309"/>
      <c r="P309" s="326"/>
      <c r="Q309" s="309"/>
      <c r="R309" s="309"/>
      <c r="S309" s="309"/>
      <c r="T309" s="309"/>
      <c r="U309" s="309"/>
      <c r="V309" s="309"/>
      <c r="W309" s="309"/>
      <c r="X309" s="309"/>
      <c r="Y309" s="309"/>
      <c r="Z309" s="309"/>
    </row>
    <row r="310" spans="1:26" ht="12.75" customHeight="1">
      <c r="A310" s="309"/>
      <c r="B310" s="309"/>
      <c r="C310" s="309"/>
      <c r="D310" s="309"/>
      <c r="E310" s="309"/>
      <c r="F310" s="309"/>
      <c r="G310" s="309"/>
      <c r="H310" s="309"/>
      <c r="I310" s="309"/>
      <c r="J310" s="309"/>
      <c r="K310" s="1020"/>
      <c r="L310" s="309"/>
      <c r="M310" s="309"/>
      <c r="N310" s="309"/>
      <c r="O310" s="309"/>
      <c r="P310" s="326"/>
      <c r="Q310" s="309"/>
      <c r="R310" s="309"/>
      <c r="S310" s="309"/>
      <c r="T310" s="309"/>
      <c r="U310" s="309"/>
      <c r="V310" s="309"/>
      <c r="W310" s="309"/>
      <c r="X310" s="309"/>
      <c r="Y310" s="309"/>
      <c r="Z310" s="309"/>
    </row>
    <row r="311" spans="1:26" ht="12.75" customHeight="1">
      <c r="A311" s="309"/>
      <c r="B311" s="309"/>
      <c r="C311" s="309"/>
      <c r="D311" s="309"/>
      <c r="E311" s="309"/>
      <c r="F311" s="309"/>
      <c r="G311" s="309"/>
      <c r="H311" s="309"/>
      <c r="I311" s="309"/>
      <c r="J311" s="309"/>
      <c r="K311" s="1020"/>
      <c r="L311" s="309"/>
      <c r="M311" s="309"/>
      <c r="N311" s="309"/>
      <c r="O311" s="309"/>
      <c r="P311" s="326"/>
      <c r="Q311" s="309"/>
      <c r="R311" s="309"/>
      <c r="S311" s="309"/>
      <c r="T311" s="309"/>
      <c r="U311" s="309"/>
      <c r="V311" s="309"/>
      <c r="W311" s="309"/>
      <c r="X311" s="309"/>
      <c r="Y311" s="309"/>
      <c r="Z311" s="309"/>
    </row>
    <row r="312" spans="1:26" ht="12.75" customHeight="1">
      <c r="A312" s="309"/>
      <c r="B312" s="309"/>
      <c r="C312" s="309"/>
      <c r="D312" s="309"/>
      <c r="E312" s="309"/>
      <c r="F312" s="309"/>
      <c r="G312" s="309"/>
      <c r="H312" s="309"/>
      <c r="I312" s="309"/>
      <c r="J312" s="309"/>
      <c r="K312" s="1020"/>
      <c r="L312" s="309"/>
      <c r="M312" s="309"/>
      <c r="N312" s="309"/>
      <c r="O312" s="309"/>
      <c r="P312" s="326"/>
      <c r="Q312" s="309"/>
      <c r="R312" s="309"/>
      <c r="S312" s="309"/>
      <c r="T312" s="309"/>
      <c r="U312" s="309"/>
      <c r="V312" s="309"/>
      <c r="W312" s="309"/>
      <c r="X312" s="309"/>
      <c r="Y312" s="309"/>
      <c r="Z312" s="309"/>
    </row>
    <row r="313" spans="1:26" ht="12.75" customHeight="1">
      <c r="A313" s="309"/>
      <c r="B313" s="309"/>
      <c r="C313" s="309"/>
      <c r="D313" s="309"/>
      <c r="E313" s="309"/>
      <c r="F313" s="309"/>
      <c r="G313" s="309"/>
      <c r="H313" s="309"/>
      <c r="I313" s="309"/>
      <c r="J313" s="309"/>
      <c r="K313" s="1020"/>
      <c r="L313" s="309"/>
      <c r="M313" s="309"/>
      <c r="N313" s="309"/>
      <c r="O313" s="309"/>
      <c r="P313" s="326"/>
      <c r="Q313" s="309"/>
      <c r="R313" s="309"/>
      <c r="S313" s="309"/>
      <c r="T313" s="309"/>
      <c r="U313" s="309"/>
      <c r="V313" s="309"/>
      <c r="W313" s="309"/>
      <c r="X313" s="309"/>
      <c r="Y313" s="309"/>
      <c r="Z313" s="309"/>
    </row>
    <row r="314" spans="1:26" ht="12.75" customHeight="1">
      <c r="A314" s="309"/>
      <c r="B314" s="309"/>
      <c r="C314" s="309"/>
      <c r="D314" s="309"/>
      <c r="E314" s="309"/>
      <c r="F314" s="309"/>
      <c r="G314" s="309"/>
      <c r="H314" s="309"/>
      <c r="I314" s="309"/>
      <c r="J314" s="309"/>
      <c r="K314" s="1020"/>
      <c r="L314" s="309"/>
      <c r="M314" s="309"/>
      <c r="N314" s="309"/>
      <c r="O314" s="309"/>
      <c r="P314" s="326"/>
      <c r="Q314" s="309"/>
      <c r="R314" s="309"/>
      <c r="S314" s="309"/>
      <c r="T314" s="309"/>
      <c r="U314" s="309"/>
      <c r="V314" s="309"/>
      <c r="W314" s="309"/>
      <c r="X314" s="309"/>
      <c r="Y314" s="309"/>
      <c r="Z314" s="309"/>
    </row>
    <row r="315" spans="1:26" ht="12.75" customHeight="1">
      <c r="A315" s="309"/>
      <c r="B315" s="309"/>
      <c r="C315" s="309"/>
      <c r="D315" s="309"/>
      <c r="E315" s="309"/>
      <c r="F315" s="309"/>
      <c r="G315" s="309"/>
      <c r="H315" s="309"/>
      <c r="I315" s="309"/>
      <c r="J315" s="309"/>
      <c r="K315" s="1020"/>
      <c r="L315" s="309"/>
      <c r="M315" s="309"/>
      <c r="N315" s="309"/>
      <c r="O315" s="309"/>
      <c r="P315" s="326"/>
      <c r="Q315" s="309"/>
      <c r="R315" s="309"/>
      <c r="S315" s="309"/>
      <c r="T315" s="309"/>
      <c r="U315" s="309"/>
      <c r="V315" s="309"/>
      <c r="W315" s="309"/>
      <c r="X315" s="309"/>
      <c r="Y315" s="309"/>
      <c r="Z315" s="309"/>
    </row>
    <row r="316" spans="1:26" ht="12.75" customHeight="1">
      <c r="A316" s="309"/>
      <c r="B316" s="309"/>
      <c r="C316" s="309"/>
      <c r="D316" s="309"/>
      <c r="E316" s="309"/>
      <c r="F316" s="309"/>
      <c r="G316" s="309"/>
      <c r="H316" s="309"/>
      <c r="I316" s="309"/>
      <c r="J316" s="309"/>
      <c r="K316" s="1020"/>
      <c r="L316" s="309"/>
      <c r="M316" s="309"/>
      <c r="N316" s="309"/>
      <c r="O316" s="309"/>
      <c r="P316" s="326"/>
      <c r="Q316" s="309"/>
      <c r="R316" s="309"/>
      <c r="S316" s="309"/>
      <c r="T316" s="309"/>
      <c r="U316" s="309"/>
      <c r="V316" s="309"/>
      <c r="W316" s="309"/>
      <c r="X316" s="309"/>
      <c r="Y316" s="309"/>
      <c r="Z316" s="309"/>
    </row>
    <row r="317" spans="1:26" ht="12.75" customHeight="1">
      <c r="A317" s="309"/>
      <c r="B317" s="309"/>
      <c r="C317" s="309"/>
      <c r="D317" s="309"/>
      <c r="E317" s="309"/>
      <c r="F317" s="309"/>
      <c r="G317" s="309"/>
      <c r="H317" s="309"/>
      <c r="I317" s="309"/>
      <c r="J317" s="309"/>
      <c r="K317" s="1020"/>
      <c r="L317" s="309"/>
      <c r="M317" s="309"/>
      <c r="N317" s="309"/>
      <c r="O317" s="309"/>
      <c r="P317" s="326"/>
      <c r="Q317" s="309"/>
      <c r="R317" s="309"/>
      <c r="S317" s="309"/>
      <c r="T317" s="309"/>
      <c r="U317" s="309"/>
      <c r="V317" s="309"/>
      <c r="W317" s="309"/>
      <c r="X317" s="309"/>
      <c r="Y317" s="309"/>
      <c r="Z317" s="309"/>
    </row>
    <row r="318" spans="1:26" ht="12.75" customHeight="1">
      <c r="A318" s="309"/>
      <c r="B318" s="309"/>
      <c r="C318" s="309"/>
      <c r="D318" s="309"/>
      <c r="E318" s="309"/>
      <c r="F318" s="309"/>
      <c r="G318" s="309"/>
      <c r="H318" s="309"/>
      <c r="I318" s="309"/>
      <c r="J318" s="309"/>
      <c r="K318" s="1020"/>
      <c r="L318" s="309"/>
      <c r="M318" s="309"/>
      <c r="N318" s="309"/>
      <c r="O318" s="309"/>
      <c r="P318" s="326"/>
      <c r="Q318" s="309"/>
      <c r="R318" s="309"/>
      <c r="S318" s="309"/>
      <c r="T318" s="309"/>
      <c r="U318" s="309"/>
      <c r="V318" s="309"/>
      <c r="W318" s="309"/>
      <c r="X318" s="309"/>
      <c r="Y318" s="309"/>
      <c r="Z318" s="309"/>
    </row>
    <row r="319" spans="1:26" ht="12.75" customHeight="1">
      <c r="A319" s="309"/>
      <c r="B319" s="309"/>
      <c r="C319" s="309"/>
      <c r="D319" s="309"/>
      <c r="E319" s="309"/>
      <c r="F319" s="309"/>
      <c r="G319" s="309"/>
      <c r="H319" s="309"/>
      <c r="I319" s="309"/>
      <c r="J319" s="309"/>
      <c r="K319" s="1020"/>
      <c r="L319" s="309"/>
      <c r="M319" s="309"/>
      <c r="N319" s="309"/>
      <c r="O319" s="309"/>
      <c r="P319" s="326"/>
      <c r="Q319" s="309"/>
      <c r="R319" s="309"/>
      <c r="S319" s="309"/>
      <c r="T319" s="309"/>
      <c r="U319" s="309"/>
      <c r="V319" s="309"/>
      <c r="W319" s="309"/>
      <c r="X319" s="309"/>
      <c r="Y319" s="309"/>
      <c r="Z319" s="309"/>
    </row>
    <row r="320" spans="1:26" ht="12.75" customHeight="1">
      <c r="A320" s="309"/>
      <c r="B320" s="309"/>
      <c r="C320" s="309"/>
      <c r="D320" s="309"/>
      <c r="E320" s="309"/>
      <c r="F320" s="309"/>
      <c r="G320" s="309"/>
      <c r="H320" s="309"/>
      <c r="I320" s="309"/>
      <c r="J320" s="309"/>
      <c r="K320" s="1020"/>
      <c r="L320" s="309"/>
      <c r="M320" s="309"/>
      <c r="N320" s="309"/>
      <c r="O320" s="309"/>
      <c r="P320" s="326"/>
      <c r="Q320" s="309"/>
      <c r="R320" s="309"/>
      <c r="S320" s="309"/>
      <c r="T320" s="309"/>
      <c r="U320" s="309"/>
      <c r="V320" s="309"/>
      <c r="W320" s="309"/>
      <c r="X320" s="309"/>
      <c r="Y320" s="309"/>
      <c r="Z320" s="309"/>
    </row>
    <row r="321" spans="1:26" ht="12.75" customHeight="1">
      <c r="A321" s="309"/>
      <c r="B321" s="309"/>
      <c r="C321" s="309"/>
      <c r="D321" s="309"/>
      <c r="E321" s="309"/>
      <c r="F321" s="309"/>
      <c r="G321" s="309"/>
      <c r="H321" s="309"/>
      <c r="I321" s="309"/>
      <c r="J321" s="309"/>
      <c r="K321" s="1020"/>
      <c r="L321" s="309"/>
      <c r="M321" s="309"/>
      <c r="N321" s="309"/>
      <c r="O321" s="309"/>
      <c r="P321" s="326"/>
      <c r="Q321" s="309"/>
      <c r="R321" s="309"/>
      <c r="S321" s="309"/>
      <c r="T321" s="309"/>
      <c r="U321" s="309"/>
      <c r="V321" s="309"/>
      <c r="W321" s="309"/>
      <c r="X321" s="309"/>
      <c r="Y321" s="309"/>
      <c r="Z321" s="309"/>
    </row>
    <row r="322" spans="1:26" ht="12.75" customHeight="1">
      <c r="A322" s="309"/>
      <c r="B322" s="309"/>
      <c r="C322" s="309"/>
      <c r="D322" s="309"/>
      <c r="E322" s="309"/>
      <c r="F322" s="309"/>
      <c r="G322" s="309"/>
      <c r="H322" s="309"/>
      <c r="I322" s="309"/>
      <c r="J322" s="309"/>
      <c r="K322" s="1020"/>
      <c r="L322" s="309"/>
      <c r="M322" s="309"/>
      <c r="N322" s="309"/>
      <c r="O322" s="309"/>
      <c r="P322" s="326"/>
      <c r="Q322" s="309"/>
      <c r="R322" s="309"/>
      <c r="S322" s="309"/>
      <c r="T322" s="309"/>
      <c r="U322" s="309"/>
      <c r="V322" s="309"/>
      <c r="W322" s="309"/>
      <c r="X322" s="309"/>
      <c r="Y322" s="309"/>
      <c r="Z322" s="309"/>
    </row>
    <row r="323" spans="1:26" ht="12.75" customHeight="1">
      <c r="A323" s="309"/>
      <c r="B323" s="309"/>
      <c r="C323" s="309"/>
      <c r="D323" s="309"/>
      <c r="E323" s="309"/>
      <c r="F323" s="309"/>
      <c r="G323" s="309"/>
      <c r="H323" s="309"/>
      <c r="I323" s="309"/>
      <c r="J323" s="309"/>
      <c r="K323" s="1020"/>
      <c r="L323" s="309"/>
      <c r="M323" s="309"/>
      <c r="N323" s="309"/>
      <c r="O323" s="309"/>
      <c r="P323" s="326"/>
      <c r="Q323" s="309"/>
      <c r="R323" s="309"/>
      <c r="S323" s="309"/>
      <c r="T323" s="309"/>
      <c r="U323" s="309"/>
      <c r="V323" s="309"/>
      <c r="W323" s="309"/>
      <c r="X323" s="309"/>
      <c r="Y323" s="309"/>
      <c r="Z323" s="309"/>
    </row>
    <row r="324" spans="1:26" ht="12.75" customHeight="1">
      <c r="A324" s="309"/>
      <c r="B324" s="309"/>
      <c r="C324" s="309"/>
      <c r="D324" s="309"/>
      <c r="E324" s="309"/>
      <c r="F324" s="309"/>
      <c r="G324" s="309"/>
      <c r="H324" s="309"/>
      <c r="I324" s="309"/>
      <c r="J324" s="309"/>
      <c r="K324" s="1020"/>
      <c r="L324" s="309"/>
      <c r="M324" s="309"/>
      <c r="N324" s="309"/>
      <c r="O324" s="309"/>
      <c r="P324" s="326"/>
      <c r="Q324" s="309"/>
      <c r="R324" s="309"/>
      <c r="S324" s="309"/>
      <c r="T324" s="309"/>
      <c r="U324" s="309"/>
      <c r="V324" s="309"/>
      <c r="W324" s="309"/>
      <c r="X324" s="309"/>
      <c r="Y324" s="309"/>
      <c r="Z324" s="309"/>
    </row>
    <row r="325" spans="1:26" ht="12.75" customHeight="1">
      <c r="A325" s="309"/>
      <c r="B325" s="309"/>
      <c r="C325" s="309"/>
      <c r="D325" s="309"/>
      <c r="E325" s="309"/>
      <c r="F325" s="309"/>
      <c r="G325" s="309"/>
      <c r="H325" s="309"/>
      <c r="I325" s="309"/>
      <c r="J325" s="309"/>
      <c r="K325" s="1020"/>
      <c r="L325" s="309"/>
      <c r="M325" s="309"/>
      <c r="N325" s="309"/>
      <c r="O325" s="309"/>
      <c r="P325" s="326"/>
      <c r="Q325" s="309"/>
      <c r="R325" s="309"/>
      <c r="S325" s="309"/>
      <c r="T325" s="309"/>
      <c r="U325" s="309"/>
      <c r="V325" s="309"/>
      <c r="W325" s="309"/>
      <c r="X325" s="309"/>
      <c r="Y325" s="309"/>
      <c r="Z325" s="309"/>
    </row>
    <row r="326" spans="1:26" ht="12.75" customHeight="1">
      <c r="A326" s="309"/>
      <c r="B326" s="309"/>
      <c r="C326" s="309"/>
      <c r="D326" s="309"/>
      <c r="E326" s="309"/>
      <c r="F326" s="309"/>
      <c r="G326" s="309"/>
      <c r="H326" s="309"/>
      <c r="I326" s="309"/>
      <c r="J326" s="309"/>
      <c r="K326" s="1020"/>
      <c r="L326" s="309"/>
      <c r="M326" s="309"/>
      <c r="N326" s="309"/>
      <c r="O326" s="309"/>
      <c r="P326" s="326"/>
      <c r="Q326" s="309"/>
      <c r="R326" s="309"/>
      <c r="S326" s="309"/>
      <c r="T326" s="309"/>
      <c r="U326" s="309"/>
      <c r="V326" s="309"/>
      <c r="W326" s="309"/>
      <c r="X326" s="309"/>
      <c r="Y326" s="309"/>
      <c r="Z326" s="309"/>
    </row>
    <row r="327" spans="1:26" ht="12.75" customHeight="1">
      <c r="A327" s="309"/>
      <c r="B327" s="309"/>
      <c r="C327" s="309"/>
      <c r="D327" s="309"/>
      <c r="E327" s="309"/>
      <c r="F327" s="309"/>
      <c r="G327" s="309"/>
      <c r="H327" s="309"/>
      <c r="I327" s="309"/>
      <c r="J327" s="309"/>
      <c r="K327" s="1020"/>
      <c r="L327" s="309"/>
      <c r="M327" s="309"/>
      <c r="N327" s="309"/>
      <c r="O327" s="309"/>
      <c r="P327" s="326"/>
      <c r="Q327" s="309"/>
      <c r="R327" s="309"/>
      <c r="S327" s="309"/>
      <c r="T327" s="309"/>
      <c r="U327" s="309"/>
      <c r="V327" s="309"/>
      <c r="W327" s="309"/>
      <c r="X327" s="309"/>
      <c r="Y327" s="309"/>
      <c r="Z327" s="309"/>
    </row>
    <row r="328" spans="1:26" ht="12.75" customHeight="1">
      <c r="A328" s="309"/>
      <c r="B328" s="309"/>
      <c r="C328" s="309"/>
      <c r="D328" s="309"/>
      <c r="E328" s="309"/>
      <c r="F328" s="309"/>
      <c r="G328" s="309"/>
      <c r="H328" s="309"/>
      <c r="I328" s="309"/>
      <c r="J328" s="309"/>
      <c r="K328" s="1020"/>
      <c r="L328" s="309"/>
      <c r="M328" s="309"/>
      <c r="N328" s="309"/>
      <c r="O328" s="309"/>
      <c r="P328" s="326"/>
      <c r="Q328" s="309"/>
      <c r="R328" s="309"/>
      <c r="S328" s="309"/>
      <c r="T328" s="309"/>
      <c r="U328" s="309"/>
      <c r="V328" s="309"/>
      <c r="W328" s="309"/>
      <c r="X328" s="309"/>
      <c r="Y328" s="309"/>
      <c r="Z328" s="309"/>
    </row>
    <row r="329" spans="1:26" ht="12.75" customHeight="1">
      <c r="A329" s="309"/>
      <c r="B329" s="309"/>
      <c r="C329" s="309"/>
      <c r="D329" s="309"/>
      <c r="E329" s="309"/>
      <c r="F329" s="309"/>
      <c r="G329" s="309"/>
      <c r="H329" s="309"/>
      <c r="I329" s="309"/>
      <c r="J329" s="309"/>
      <c r="K329" s="1020"/>
      <c r="L329" s="309"/>
      <c r="M329" s="309"/>
      <c r="N329" s="309"/>
      <c r="O329" s="309"/>
      <c r="P329" s="326"/>
      <c r="Q329" s="309"/>
      <c r="R329" s="309"/>
      <c r="S329" s="309"/>
      <c r="T329" s="309"/>
      <c r="U329" s="309"/>
      <c r="V329" s="309"/>
      <c r="W329" s="309"/>
      <c r="X329" s="309"/>
      <c r="Y329" s="309"/>
      <c r="Z329" s="309"/>
    </row>
    <row r="330" spans="1:26" ht="12.75" customHeight="1">
      <c r="A330" s="309"/>
      <c r="B330" s="309"/>
      <c r="C330" s="309"/>
      <c r="D330" s="309"/>
      <c r="E330" s="309"/>
      <c r="F330" s="309"/>
      <c r="G330" s="309"/>
      <c r="H330" s="309"/>
      <c r="I330" s="309"/>
      <c r="J330" s="309"/>
      <c r="K330" s="1020"/>
      <c r="L330" s="309"/>
      <c r="M330" s="309"/>
      <c r="N330" s="309"/>
      <c r="O330" s="309"/>
      <c r="P330" s="326"/>
      <c r="Q330" s="309"/>
      <c r="R330" s="309"/>
      <c r="S330" s="309"/>
      <c r="T330" s="309"/>
      <c r="U330" s="309"/>
      <c r="V330" s="309"/>
      <c r="W330" s="309"/>
      <c r="X330" s="309"/>
      <c r="Y330" s="309"/>
      <c r="Z330" s="309"/>
    </row>
    <row r="331" spans="1:26" ht="12.75" customHeight="1">
      <c r="A331" s="309"/>
      <c r="B331" s="309"/>
      <c r="C331" s="309"/>
      <c r="D331" s="309"/>
      <c r="E331" s="309"/>
      <c r="F331" s="309"/>
      <c r="G331" s="309"/>
      <c r="H331" s="309"/>
      <c r="I331" s="309"/>
      <c r="J331" s="309"/>
      <c r="K331" s="1020"/>
      <c r="L331" s="309"/>
      <c r="M331" s="309"/>
      <c r="N331" s="309"/>
      <c r="O331" s="309"/>
      <c r="P331" s="326"/>
      <c r="Q331" s="309"/>
      <c r="R331" s="309"/>
      <c r="S331" s="309"/>
      <c r="T331" s="309"/>
      <c r="U331" s="309"/>
      <c r="V331" s="309"/>
      <c r="W331" s="309"/>
      <c r="X331" s="309"/>
      <c r="Y331" s="309"/>
      <c r="Z331" s="309"/>
    </row>
    <row r="332" spans="1:26" ht="12.75" customHeight="1">
      <c r="A332" s="309"/>
      <c r="B332" s="309"/>
      <c r="C332" s="309"/>
      <c r="D332" s="309"/>
      <c r="E332" s="309"/>
      <c r="F332" s="309"/>
      <c r="G332" s="309"/>
      <c r="H332" s="309"/>
      <c r="I332" s="309"/>
      <c r="J332" s="309"/>
      <c r="K332" s="1020"/>
      <c r="L332" s="309"/>
      <c r="M332" s="309"/>
      <c r="N332" s="309"/>
      <c r="O332" s="309"/>
      <c r="P332" s="326"/>
      <c r="Q332" s="309"/>
      <c r="R332" s="309"/>
      <c r="S332" s="309"/>
      <c r="T332" s="309"/>
      <c r="U332" s="309"/>
      <c r="V332" s="309"/>
      <c r="W332" s="309"/>
      <c r="X332" s="309"/>
      <c r="Y332" s="309"/>
      <c r="Z332" s="309"/>
    </row>
    <row r="333" spans="1:26" ht="12.75" customHeight="1">
      <c r="A333" s="309"/>
      <c r="B333" s="309"/>
      <c r="C333" s="309"/>
      <c r="D333" s="309"/>
      <c r="E333" s="309"/>
      <c r="F333" s="309"/>
      <c r="G333" s="309"/>
      <c r="H333" s="309"/>
      <c r="I333" s="309"/>
      <c r="J333" s="309"/>
      <c r="K333" s="1020"/>
      <c r="L333" s="309"/>
      <c r="M333" s="309"/>
      <c r="N333" s="309"/>
      <c r="O333" s="309"/>
      <c r="P333" s="326"/>
      <c r="Q333" s="309"/>
      <c r="R333" s="309"/>
      <c r="S333" s="309"/>
      <c r="T333" s="309"/>
      <c r="U333" s="309"/>
      <c r="V333" s="309"/>
      <c r="W333" s="309"/>
      <c r="X333" s="309"/>
      <c r="Y333" s="309"/>
      <c r="Z333" s="309"/>
    </row>
    <row r="334" spans="1:26" ht="12.75" customHeight="1">
      <c r="A334" s="309"/>
      <c r="B334" s="309"/>
      <c r="C334" s="309"/>
      <c r="D334" s="309"/>
      <c r="E334" s="309"/>
      <c r="F334" s="309"/>
      <c r="G334" s="309"/>
      <c r="H334" s="309"/>
      <c r="I334" s="309"/>
      <c r="J334" s="309"/>
      <c r="K334" s="1020"/>
      <c r="L334" s="309"/>
      <c r="M334" s="309"/>
      <c r="N334" s="309"/>
      <c r="O334" s="309"/>
      <c r="P334" s="326"/>
      <c r="Q334" s="309"/>
      <c r="R334" s="309"/>
      <c r="S334" s="309"/>
      <c r="T334" s="309"/>
      <c r="U334" s="309"/>
      <c r="V334" s="309"/>
      <c r="W334" s="309"/>
      <c r="X334" s="309"/>
      <c r="Y334" s="309"/>
      <c r="Z334" s="309"/>
    </row>
    <row r="335" spans="1:26" ht="12.75" customHeight="1">
      <c r="A335" s="309"/>
      <c r="B335" s="309"/>
      <c r="C335" s="309"/>
      <c r="D335" s="309"/>
      <c r="E335" s="309"/>
      <c r="F335" s="309"/>
      <c r="G335" s="309"/>
      <c r="H335" s="309"/>
      <c r="I335" s="309"/>
      <c r="J335" s="309"/>
      <c r="K335" s="1020"/>
      <c r="L335" s="309"/>
      <c r="M335" s="309"/>
      <c r="N335" s="309"/>
      <c r="O335" s="309"/>
      <c r="P335" s="326"/>
      <c r="Q335" s="309"/>
      <c r="R335" s="309"/>
      <c r="S335" s="309"/>
      <c r="T335" s="309"/>
      <c r="U335" s="309"/>
      <c r="V335" s="309"/>
      <c r="W335" s="309"/>
      <c r="X335" s="309"/>
      <c r="Y335" s="309"/>
      <c r="Z335" s="309"/>
    </row>
    <row r="336" spans="1:26" ht="12.75" customHeight="1">
      <c r="A336" s="309"/>
      <c r="B336" s="309"/>
      <c r="C336" s="309"/>
      <c r="D336" s="309"/>
      <c r="E336" s="309"/>
      <c r="F336" s="309"/>
      <c r="G336" s="309"/>
      <c r="H336" s="309"/>
      <c r="I336" s="309"/>
      <c r="J336" s="309"/>
      <c r="K336" s="1020"/>
      <c r="L336" s="309"/>
      <c r="M336" s="309"/>
      <c r="N336" s="309"/>
      <c r="O336" s="309"/>
      <c r="P336" s="326"/>
      <c r="Q336" s="309"/>
      <c r="R336" s="309"/>
      <c r="S336" s="309"/>
      <c r="T336" s="309"/>
      <c r="U336" s="309"/>
      <c r="V336" s="309"/>
      <c r="W336" s="309"/>
      <c r="X336" s="309"/>
      <c r="Y336" s="309"/>
      <c r="Z336" s="309"/>
    </row>
    <row r="337" spans="1:26" ht="12.75" customHeight="1">
      <c r="A337" s="309"/>
      <c r="B337" s="309"/>
      <c r="C337" s="309"/>
      <c r="D337" s="309"/>
      <c r="E337" s="309"/>
      <c r="F337" s="309"/>
      <c r="G337" s="309"/>
      <c r="H337" s="309"/>
      <c r="I337" s="309"/>
      <c r="J337" s="309"/>
      <c r="K337" s="1020"/>
      <c r="L337" s="309"/>
      <c r="M337" s="309"/>
      <c r="N337" s="309"/>
      <c r="O337" s="309"/>
      <c r="P337" s="326"/>
      <c r="Q337" s="309"/>
      <c r="R337" s="309"/>
      <c r="S337" s="309"/>
      <c r="T337" s="309"/>
      <c r="U337" s="309"/>
      <c r="V337" s="309"/>
      <c r="W337" s="309"/>
      <c r="X337" s="309"/>
      <c r="Y337" s="309"/>
      <c r="Z337" s="309"/>
    </row>
    <row r="338" spans="1:26" ht="12.75" customHeight="1">
      <c r="A338" s="309"/>
      <c r="B338" s="309"/>
      <c r="C338" s="309"/>
      <c r="D338" s="309"/>
      <c r="E338" s="309"/>
      <c r="F338" s="309"/>
      <c r="G338" s="309"/>
      <c r="H338" s="309"/>
      <c r="I338" s="309"/>
      <c r="J338" s="309"/>
      <c r="K338" s="1020"/>
      <c r="L338" s="309"/>
      <c r="M338" s="309"/>
      <c r="N338" s="309"/>
      <c r="O338" s="309"/>
      <c r="P338" s="326"/>
      <c r="Q338" s="309"/>
      <c r="R338" s="309"/>
      <c r="S338" s="309"/>
      <c r="T338" s="309"/>
      <c r="U338" s="309"/>
      <c r="V338" s="309"/>
      <c r="W338" s="309"/>
      <c r="X338" s="309"/>
      <c r="Y338" s="309"/>
      <c r="Z338" s="309"/>
    </row>
    <row r="339" spans="1:26" ht="12.75" customHeight="1">
      <c r="A339" s="309"/>
      <c r="B339" s="309"/>
      <c r="C339" s="309"/>
      <c r="D339" s="309"/>
      <c r="E339" s="309"/>
      <c r="F339" s="309"/>
      <c r="G339" s="309"/>
      <c r="H339" s="309"/>
      <c r="I339" s="309"/>
      <c r="J339" s="309"/>
      <c r="K339" s="1020"/>
      <c r="L339" s="309"/>
      <c r="M339" s="309"/>
      <c r="N339" s="309"/>
      <c r="O339" s="309"/>
      <c r="P339" s="326"/>
      <c r="Q339" s="309"/>
      <c r="R339" s="309"/>
      <c r="S339" s="309"/>
      <c r="T339" s="309"/>
      <c r="U339" s="309"/>
      <c r="V339" s="309"/>
      <c r="W339" s="309"/>
      <c r="X339" s="309"/>
      <c r="Y339" s="309"/>
      <c r="Z339" s="309"/>
    </row>
    <row r="340" spans="1:26" ht="12.75" customHeight="1">
      <c r="A340" s="309"/>
      <c r="B340" s="309"/>
      <c r="C340" s="309"/>
      <c r="D340" s="309"/>
      <c r="E340" s="309"/>
      <c r="F340" s="309"/>
      <c r="G340" s="309"/>
      <c r="H340" s="309"/>
      <c r="I340" s="309"/>
      <c r="J340" s="309"/>
      <c r="K340" s="1020"/>
      <c r="L340" s="309"/>
      <c r="M340" s="309"/>
      <c r="N340" s="309"/>
      <c r="O340" s="309"/>
      <c r="P340" s="326"/>
      <c r="Q340" s="309"/>
      <c r="R340" s="309"/>
      <c r="S340" s="309"/>
      <c r="T340" s="309"/>
      <c r="U340" s="309"/>
      <c r="V340" s="309"/>
      <c r="W340" s="309"/>
      <c r="X340" s="309"/>
      <c r="Y340" s="309"/>
      <c r="Z340" s="309"/>
    </row>
    <row r="341" spans="1:26" ht="12.75" customHeight="1">
      <c r="A341" s="309"/>
      <c r="B341" s="309"/>
      <c r="C341" s="309"/>
      <c r="D341" s="309"/>
      <c r="E341" s="309"/>
      <c r="F341" s="309"/>
      <c r="G341" s="309"/>
      <c r="H341" s="309"/>
      <c r="I341" s="309"/>
      <c r="J341" s="309"/>
      <c r="K341" s="1020"/>
      <c r="L341" s="309"/>
      <c r="M341" s="309"/>
      <c r="N341" s="309"/>
      <c r="O341" s="309"/>
      <c r="P341" s="326"/>
      <c r="Q341" s="309"/>
      <c r="R341" s="309"/>
      <c r="S341" s="309"/>
      <c r="T341" s="309"/>
      <c r="U341" s="309"/>
      <c r="V341" s="309"/>
      <c r="W341" s="309"/>
      <c r="X341" s="309"/>
      <c r="Y341" s="309"/>
      <c r="Z341" s="309"/>
    </row>
    <row r="342" spans="1:26" ht="12.75" customHeight="1">
      <c r="A342" s="309"/>
      <c r="B342" s="309"/>
      <c r="C342" s="309"/>
      <c r="D342" s="309"/>
      <c r="E342" s="309"/>
      <c r="F342" s="309"/>
      <c r="G342" s="309"/>
      <c r="H342" s="309"/>
      <c r="I342" s="309"/>
      <c r="J342" s="309"/>
      <c r="K342" s="1020"/>
      <c r="L342" s="309"/>
      <c r="M342" s="309"/>
      <c r="N342" s="309"/>
      <c r="O342" s="309"/>
      <c r="P342" s="326"/>
      <c r="Q342" s="309"/>
      <c r="R342" s="309"/>
      <c r="S342" s="309"/>
      <c r="T342" s="309"/>
      <c r="U342" s="309"/>
      <c r="V342" s="309"/>
      <c r="W342" s="309"/>
      <c r="X342" s="309"/>
      <c r="Y342" s="309"/>
      <c r="Z342" s="309"/>
    </row>
    <row r="343" spans="1:26" ht="12.75" customHeight="1">
      <c r="A343" s="309"/>
      <c r="B343" s="309"/>
      <c r="C343" s="309"/>
      <c r="D343" s="309"/>
      <c r="E343" s="309"/>
      <c r="F343" s="309"/>
      <c r="G343" s="309"/>
      <c r="H343" s="309"/>
      <c r="I343" s="309"/>
      <c r="J343" s="309"/>
      <c r="K343" s="1020"/>
      <c r="L343" s="309"/>
      <c r="M343" s="309"/>
      <c r="N343" s="309"/>
      <c r="O343" s="309"/>
      <c r="P343" s="326"/>
      <c r="Q343" s="309"/>
      <c r="R343" s="309"/>
      <c r="S343" s="309"/>
      <c r="T343" s="309"/>
      <c r="U343" s="309"/>
      <c r="V343" s="309"/>
      <c r="W343" s="309"/>
      <c r="X343" s="309"/>
      <c r="Y343" s="309"/>
      <c r="Z343" s="309"/>
    </row>
    <row r="344" spans="1:26" ht="12.75" customHeight="1">
      <c r="A344" s="309"/>
      <c r="B344" s="309"/>
      <c r="C344" s="309"/>
      <c r="D344" s="309"/>
      <c r="E344" s="309"/>
      <c r="F344" s="309"/>
      <c r="G344" s="309"/>
      <c r="H344" s="309"/>
      <c r="I344" s="309"/>
      <c r="J344" s="309"/>
      <c r="K344" s="1020"/>
      <c r="L344" s="309"/>
      <c r="M344" s="309"/>
      <c r="N344" s="309"/>
      <c r="O344" s="309"/>
      <c r="P344" s="326"/>
      <c r="Q344" s="309"/>
      <c r="R344" s="309"/>
      <c r="S344" s="309"/>
      <c r="T344" s="309"/>
      <c r="U344" s="309"/>
      <c r="V344" s="309"/>
      <c r="W344" s="309"/>
      <c r="X344" s="309"/>
      <c r="Y344" s="309"/>
      <c r="Z344" s="309"/>
    </row>
    <row r="345" spans="1:26" ht="12.75" customHeight="1">
      <c r="A345" s="309"/>
      <c r="B345" s="309"/>
      <c r="C345" s="309"/>
      <c r="D345" s="309"/>
      <c r="E345" s="309"/>
      <c r="F345" s="309"/>
      <c r="G345" s="309"/>
      <c r="H345" s="309"/>
      <c r="I345" s="309"/>
      <c r="J345" s="309"/>
      <c r="K345" s="1020"/>
      <c r="L345" s="309"/>
      <c r="M345" s="309"/>
      <c r="N345" s="309"/>
      <c r="O345" s="309"/>
      <c r="P345" s="326"/>
      <c r="Q345" s="309"/>
      <c r="R345" s="309"/>
      <c r="S345" s="309"/>
      <c r="T345" s="309"/>
      <c r="U345" s="309"/>
      <c r="V345" s="309"/>
      <c r="W345" s="309"/>
      <c r="X345" s="309"/>
      <c r="Y345" s="309"/>
      <c r="Z345" s="309"/>
    </row>
    <row r="346" spans="1:26" ht="12.75" customHeight="1">
      <c r="A346" s="309"/>
      <c r="B346" s="309"/>
      <c r="C346" s="309"/>
      <c r="D346" s="309"/>
      <c r="E346" s="309"/>
      <c r="F346" s="309"/>
      <c r="G346" s="309"/>
      <c r="H346" s="309"/>
      <c r="I346" s="309"/>
      <c r="J346" s="309"/>
      <c r="K346" s="1020"/>
      <c r="L346" s="309"/>
      <c r="M346" s="309"/>
      <c r="N346" s="309"/>
      <c r="O346" s="309"/>
      <c r="P346" s="326"/>
      <c r="Q346" s="309"/>
      <c r="R346" s="309"/>
      <c r="S346" s="309"/>
      <c r="T346" s="309"/>
      <c r="U346" s="309"/>
      <c r="V346" s="309"/>
      <c r="W346" s="309"/>
      <c r="X346" s="309"/>
      <c r="Y346" s="309"/>
      <c r="Z346" s="309"/>
    </row>
    <row r="347" spans="1:26" ht="12.75" customHeight="1">
      <c r="A347" s="309"/>
      <c r="B347" s="309"/>
      <c r="C347" s="309"/>
      <c r="D347" s="309"/>
      <c r="E347" s="309"/>
      <c r="F347" s="309"/>
      <c r="G347" s="309"/>
      <c r="H347" s="309"/>
      <c r="I347" s="309"/>
      <c r="J347" s="309"/>
      <c r="K347" s="1020"/>
      <c r="L347" s="309"/>
      <c r="M347" s="309"/>
      <c r="N347" s="309"/>
      <c r="O347" s="309"/>
      <c r="P347" s="326"/>
      <c r="Q347" s="309"/>
      <c r="R347" s="309"/>
      <c r="S347" s="309"/>
      <c r="T347" s="309"/>
      <c r="U347" s="309"/>
      <c r="V347" s="309"/>
      <c r="W347" s="309"/>
      <c r="X347" s="309"/>
      <c r="Y347" s="309"/>
      <c r="Z347" s="309"/>
    </row>
    <row r="348" spans="1:26" ht="12.75" customHeight="1">
      <c r="A348" s="309"/>
      <c r="B348" s="309"/>
      <c r="C348" s="309"/>
      <c r="D348" s="309"/>
      <c r="E348" s="309"/>
      <c r="F348" s="309"/>
      <c r="G348" s="309"/>
      <c r="H348" s="309"/>
      <c r="I348" s="309"/>
      <c r="J348" s="309"/>
      <c r="K348" s="1020"/>
      <c r="L348" s="309"/>
      <c r="M348" s="309"/>
      <c r="N348" s="309"/>
      <c r="O348" s="309"/>
      <c r="P348" s="326"/>
      <c r="Q348" s="309"/>
      <c r="R348" s="309"/>
      <c r="S348" s="309"/>
      <c r="T348" s="309"/>
      <c r="U348" s="309"/>
      <c r="V348" s="309"/>
      <c r="W348" s="309"/>
      <c r="X348" s="309"/>
      <c r="Y348" s="309"/>
      <c r="Z348" s="309"/>
    </row>
    <row r="349" spans="1:26" ht="12.75" customHeight="1">
      <c r="A349" s="309"/>
      <c r="B349" s="309"/>
      <c r="C349" s="309"/>
      <c r="D349" s="309"/>
      <c r="E349" s="309"/>
      <c r="F349" s="309"/>
      <c r="G349" s="309"/>
      <c r="H349" s="309"/>
      <c r="I349" s="309"/>
      <c r="J349" s="309"/>
      <c r="K349" s="1020"/>
      <c r="L349" s="309"/>
      <c r="M349" s="309"/>
      <c r="N349" s="309"/>
      <c r="O349" s="309"/>
      <c r="P349" s="326"/>
      <c r="Q349" s="309"/>
      <c r="R349" s="309"/>
      <c r="S349" s="309"/>
      <c r="T349" s="309"/>
      <c r="U349" s="309"/>
      <c r="V349" s="309"/>
      <c r="W349" s="309"/>
      <c r="X349" s="309"/>
      <c r="Y349" s="309"/>
      <c r="Z349" s="309"/>
    </row>
    <row r="350" spans="1:26" ht="12.75" customHeight="1">
      <c r="A350" s="309"/>
      <c r="B350" s="309"/>
      <c r="C350" s="309"/>
      <c r="D350" s="309"/>
      <c r="E350" s="309"/>
      <c r="F350" s="309"/>
      <c r="G350" s="309"/>
      <c r="H350" s="309"/>
      <c r="I350" s="309"/>
      <c r="J350" s="309"/>
      <c r="K350" s="1020"/>
      <c r="L350" s="309"/>
      <c r="M350" s="309"/>
      <c r="N350" s="309"/>
      <c r="O350" s="309"/>
      <c r="P350" s="326"/>
      <c r="Q350" s="309"/>
      <c r="R350" s="309"/>
      <c r="S350" s="309"/>
      <c r="T350" s="309"/>
      <c r="U350" s="309"/>
      <c r="V350" s="309"/>
      <c r="W350" s="309"/>
      <c r="X350" s="309"/>
      <c r="Y350" s="309"/>
      <c r="Z350" s="309"/>
    </row>
    <row r="351" spans="1:26" ht="12.75" customHeight="1">
      <c r="A351" s="309"/>
      <c r="B351" s="309"/>
      <c r="C351" s="309"/>
      <c r="D351" s="309"/>
      <c r="E351" s="309"/>
      <c r="F351" s="309"/>
      <c r="G351" s="309"/>
      <c r="H351" s="309"/>
      <c r="I351" s="309"/>
      <c r="J351" s="309"/>
      <c r="K351" s="1020"/>
      <c r="L351" s="309"/>
      <c r="M351" s="309"/>
      <c r="N351" s="309"/>
      <c r="O351" s="309"/>
      <c r="P351" s="326"/>
      <c r="Q351" s="309"/>
      <c r="R351" s="309"/>
      <c r="S351" s="309"/>
      <c r="T351" s="309"/>
      <c r="U351" s="309"/>
      <c r="V351" s="309"/>
      <c r="W351" s="309"/>
      <c r="X351" s="309"/>
      <c r="Y351" s="309"/>
      <c r="Z351" s="309"/>
    </row>
    <row r="352" spans="1:26" ht="12.75" customHeight="1">
      <c r="A352" s="309"/>
      <c r="B352" s="309"/>
      <c r="C352" s="309"/>
      <c r="D352" s="309"/>
      <c r="E352" s="309"/>
      <c r="F352" s="309"/>
      <c r="G352" s="309"/>
      <c r="H352" s="309"/>
      <c r="I352" s="309"/>
      <c r="J352" s="309"/>
      <c r="K352" s="1020"/>
      <c r="L352" s="309"/>
      <c r="M352" s="309"/>
      <c r="N352" s="309"/>
      <c r="O352" s="309"/>
      <c r="P352" s="326"/>
      <c r="Q352" s="309"/>
      <c r="R352" s="309"/>
      <c r="S352" s="309"/>
      <c r="T352" s="309"/>
      <c r="U352" s="309"/>
      <c r="V352" s="309"/>
      <c r="W352" s="309"/>
      <c r="X352" s="309"/>
      <c r="Y352" s="309"/>
      <c r="Z352" s="309"/>
    </row>
    <row r="353" spans="1:26" ht="12.75" customHeight="1">
      <c r="A353" s="309"/>
      <c r="B353" s="309"/>
      <c r="C353" s="309"/>
      <c r="D353" s="309"/>
      <c r="E353" s="309"/>
      <c r="F353" s="309"/>
      <c r="G353" s="309"/>
      <c r="H353" s="309"/>
      <c r="I353" s="309"/>
      <c r="J353" s="309"/>
      <c r="K353" s="1020"/>
      <c r="L353" s="309"/>
      <c r="M353" s="309"/>
      <c r="N353" s="309"/>
      <c r="O353" s="309"/>
      <c r="P353" s="326"/>
      <c r="Q353" s="309"/>
      <c r="R353" s="309"/>
      <c r="S353" s="309"/>
      <c r="T353" s="309"/>
      <c r="U353" s="309"/>
      <c r="V353" s="309"/>
      <c r="W353" s="309"/>
      <c r="X353" s="309"/>
      <c r="Y353" s="309"/>
      <c r="Z353" s="309"/>
    </row>
    <row r="354" spans="1:26" ht="12.75" customHeight="1">
      <c r="A354" s="309"/>
      <c r="B354" s="309"/>
      <c r="C354" s="309"/>
      <c r="D354" s="309"/>
      <c r="E354" s="309"/>
      <c r="F354" s="309"/>
      <c r="G354" s="309"/>
      <c r="H354" s="309"/>
      <c r="I354" s="309"/>
      <c r="J354" s="309"/>
      <c r="K354" s="1020"/>
      <c r="L354" s="309"/>
      <c r="M354" s="309"/>
      <c r="N354" s="309"/>
      <c r="O354" s="309"/>
      <c r="P354" s="326"/>
      <c r="Q354" s="309"/>
      <c r="R354" s="309"/>
      <c r="S354" s="309"/>
      <c r="T354" s="309"/>
      <c r="U354" s="309"/>
      <c r="V354" s="309"/>
      <c r="W354" s="309"/>
      <c r="X354" s="309"/>
      <c r="Y354" s="309"/>
      <c r="Z354" s="309"/>
    </row>
    <row r="355" spans="1:26" ht="12.75" customHeight="1">
      <c r="A355" s="309"/>
      <c r="B355" s="309"/>
      <c r="C355" s="309"/>
      <c r="D355" s="309"/>
      <c r="E355" s="309"/>
      <c r="F355" s="309"/>
      <c r="G355" s="309"/>
      <c r="H355" s="309"/>
      <c r="I355" s="309"/>
      <c r="J355" s="309"/>
      <c r="K355" s="1020"/>
      <c r="L355" s="309"/>
      <c r="M355" s="309"/>
      <c r="N355" s="309"/>
      <c r="O355" s="309"/>
      <c r="P355" s="326"/>
      <c r="Q355" s="309"/>
      <c r="R355" s="309"/>
      <c r="S355" s="309"/>
      <c r="T355" s="309"/>
      <c r="U355" s="309"/>
      <c r="V355" s="309"/>
      <c r="W355" s="309"/>
      <c r="X355" s="309"/>
      <c r="Y355" s="309"/>
      <c r="Z355" s="309"/>
    </row>
    <row r="356" spans="1:26" ht="12.75" customHeight="1">
      <c r="A356" s="309"/>
      <c r="B356" s="309"/>
      <c r="C356" s="309"/>
      <c r="D356" s="309"/>
      <c r="E356" s="309"/>
      <c r="F356" s="309"/>
      <c r="G356" s="309"/>
      <c r="H356" s="309"/>
      <c r="I356" s="309"/>
      <c r="J356" s="309"/>
      <c r="K356" s="1020"/>
      <c r="L356" s="309"/>
      <c r="M356" s="309"/>
      <c r="N356" s="309"/>
      <c r="O356" s="309"/>
      <c r="P356" s="326"/>
      <c r="Q356" s="309"/>
      <c r="R356" s="309"/>
      <c r="S356" s="309"/>
      <c r="T356" s="309"/>
      <c r="U356" s="309"/>
      <c r="V356" s="309"/>
      <c r="W356" s="309"/>
      <c r="X356" s="309"/>
      <c r="Y356" s="309"/>
      <c r="Z356" s="309"/>
    </row>
    <row r="357" spans="1:26" ht="12.75" customHeight="1">
      <c r="A357" s="309"/>
      <c r="B357" s="309"/>
      <c r="C357" s="309"/>
      <c r="D357" s="309"/>
      <c r="E357" s="309"/>
      <c r="F357" s="309"/>
      <c r="G357" s="309"/>
      <c r="H357" s="309"/>
      <c r="I357" s="309"/>
      <c r="J357" s="309"/>
      <c r="K357" s="1020"/>
      <c r="L357" s="309"/>
      <c r="M357" s="309"/>
      <c r="N357" s="309"/>
      <c r="O357" s="309"/>
      <c r="P357" s="326"/>
      <c r="Q357" s="309"/>
      <c r="R357" s="309"/>
      <c r="S357" s="309"/>
      <c r="T357" s="309"/>
      <c r="U357" s="309"/>
      <c r="V357" s="309"/>
      <c r="W357" s="309"/>
      <c r="X357" s="309"/>
      <c r="Y357" s="309"/>
      <c r="Z357" s="309"/>
    </row>
    <row r="358" spans="1:26" ht="12.75" customHeight="1">
      <c r="A358" s="309"/>
      <c r="B358" s="309"/>
      <c r="C358" s="309"/>
      <c r="D358" s="309"/>
      <c r="E358" s="309"/>
      <c r="F358" s="309"/>
      <c r="G358" s="309"/>
      <c r="H358" s="309"/>
      <c r="I358" s="309"/>
      <c r="J358" s="309"/>
      <c r="K358" s="1020"/>
      <c r="L358" s="309"/>
      <c r="M358" s="309"/>
      <c r="N358" s="309"/>
      <c r="O358" s="309"/>
      <c r="P358" s="326"/>
      <c r="Q358" s="309"/>
      <c r="R358" s="309"/>
      <c r="S358" s="309"/>
      <c r="T358" s="309"/>
      <c r="U358" s="309"/>
      <c r="V358" s="309"/>
      <c r="W358" s="309"/>
      <c r="X358" s="309"/>
      <c r="Y358" s="309"/>
      <c r="Z358" s="309"/>
    </row>
    <row r="359" spans="1:26" ht="12.75" customHeight="1">
      <c r="A359" s="309"/>
      <c r="B359" s="309"/>
      <c r="C359" s="309"/>
      <c r="D359" s="309"/>
      <c r="E359" s="309"/>
      <c r="F359" s="309"/>
      <c r="G359" s="309"/>
      <c r="H359" s="309"/>
      <c r="I359" s="309"/>
      <c r="J359" s="309"/>
      <c r="K359" s="1020"/>
      <c r="L359" s="309"/>
      <c r="M359" s="309"/>
      <c r="N359" s="309"/>
      <c r="O359" s="309"/>
      <c r="P359" s="326"/>
      <c r="Q359" s="309"/>
      <c r="R359" s="309"/>
      <c r="S359" s="309"/>
      <c r="T359" s="309"/>
      <c r="U359" s="309"/>
      <c r="V359" s="309"/>
      <c r="W359" s="309"/>
      <c r="X359" s="309"/>
      <c r="Y359" s="309"/>
      <c r="Z359" s="309"/>
    </row>
    <row r="360" spans="1:26" ht="12.75" customHeight="1">
      <c r="A360" s="309"/>
      <c r="B360" s="309"/>
      <c r="C360" s="309"/>
      <c r="D360" s="309"/>
      <c r="E360" s="309"/>
      <c r="F360" s="309"/>
      <c r="G360" s="309"/>
      <c r="H360" s="309"/>
      <c r="I360" s="309"/>
      <c r="J360" s="309"/>
      <c r="K360" s="1020"/>
      <c r="L360" s="309"/>
      <c r="M360" s="309"/>
      <c r="N360" s="309"/>
      <c r="O360" s="309"/>
      <c r="P360" s="326"/>
      <c r="Q360" s="309"/>
      <c r="R360" s="309"/>
      <c r="S360" s="309"/>
      <c r="T360" s="309"/>
      <c r="U360" s="309"/>
      <c r="V360" s="309"/>
      <c r="W360" s="309"/>
      <c r="X360" s="309"/>
      <c r="Y360" s="309"/>
      <c r="Z360" s="309"/>
    </row>
    <row r="361" spans="1:26" ht="12.75" customHeight="1">
      <c r="A361" s="309"/>
      <c r="B361" s="309"/>
      <c r="C361" s="309"/>
      <c r="D361" s="309"/>
      <c r="E361" s="309"/>
      <c r="F361" s="309"/>
      <c r="G361" s="309"/>
      <c r="H361" s="309"/>
      <c r="I361" s="309"/>
      <c r="J361" s="309"/>
      <c r="K361" s="1020"/>
      <c r="L361" s="309"/>
      <c r="M361" s="309"/>
      <c r="N361" s="309"/>
      <c r="O361" s="309"/>
      <c r="P361" s="326"/>
      <c r="Q361" s="309"/>
      <c r="R361" s="309"/>
      <c r="S361" s="309"/>
      <c r="T361" s="309"/>
      <c r="U361" s="309"/>
      <c r="V361" s="309"/>
      <c r="W361" s="309"/>
      <c r="X361" s="309"/>
      <c r="Y361" s="309"/>
      <c r="Z361" s="309"/>
    </row>
    <row r="362" spans="1:26" ht="12.75" customHeight="1">
      <c r="A362" s="309"/>
      <c r="B362" s="309"/>
      <c r="C362" s="309"/>
      <c r="D362" s="309"/>
      <c r="E362" s="309"/>
      <c r="F362" s="309"/>
      <c r="G362" s="309"/>
      <c r="H362" s="309"/>
      <c r="I362" s="309"/>
      <c r="J362" s="309"/>
      <c r="K362" s="1020"/>
      <c r="L362" s="309"/>
      <c r="M362" s="309"/>
      <c r="N362" s="309"/>
      <c r="O362" s="309"/>
      <c r="P362" s="326"/>
      <c r="Q362" s="309"/>
      <c r="R362" s="309"/>
      <c r="S362" s="309"/>
      <c r="T362" s="309"/>
      <c r="U362" s="309"/>
      <c r="V362" s="309"/>
      <c r="W362" s="309"/>
      <c r="X362" s="309"/>
      <c r="Y362" s="309"/>
      <c r="Z362" s="309"/>
    </row>
    <row r="363" spans="1:26" ht="12.75" customHeight="1">
      <c r="A363" s="309"/>
      <c r="B363" s="309"/>
      <c r="C363" s="309"/>
      <c r="D363" s="309"/>
      <c r="E363" s="309"/>
      <c r="F363" s="309"/>
      <c r="G363" s="309"/>
      <c r="H363" s="309"/>
      <c r="I363" s="309"/>
      <c r="J363" s="309"/>
      <c r="K363" s="1020"/>
      <c r="L363" s="309"/>
      <c r="M363" s="309"/>
      <c r="N363" s="309"/>
      <c r="O363" s="309"/>
      <c r="P363" s="326"/>
      <c r="Q363" s="309"/>
      <c r="R363" s="309"/>
      <c r="S363" s="309"/>
      <c r="T363" s="309"/>
      <c r="U363" s="309"/>
      <c r="V363" s="309"/>
      <c r="W363" s="309"/>
      <c r="X363" s="309"/>
      <c r="Y363" s="309"/>
      <c r="Z363" s="309"/>
    </row>
    <row r="364" spans="1:26" ht="12.75" customHeight="1">
      <c r="A364" s="309"/>
      <c r="B364" s="309"/>
      <c r="C364" s="309"/>
      <c r="D364" s="309"/>
      <c r="E364" s="309"/>
      <c r="F364" s="309"/>
      <c r="G364" s="309"/>
      <c r="H364" s="309"/>
      <c r="I364" s="309"/>
      <c r="J364" s="309"/>
      <c r="K364" s="1020"/>
      <c r="L364" s="309"/>
      <c r="M364" s="309"/>
      <c r="N364" s="309"/>
      <c r="O364" s="309"/>
      <c r="P364" s="326"/>
      <c r="Q364" s="309"/>
      <c r="R364" s="309"/>
      <c r="S364" s="309"/>
      <c r="T364" s="309"/>
      <c r="U364" s="309"/>
      <c r="V364" s="309"/>
      <c r="W364" s="309"/>
      <c r="X364" s="309"/>
      <c r="Y364" s="309"/>
      <c r="Z364" s="309"/>
    </row>
    <row r="365" spans="1:26" ht="12.75" customHeight="1">
      <c r="A365" s="309"/>
      <c r="B365" s="309"/>
      <c r="C365" s="309"/>
      <c r="D365" s="309"/>
      <c r="E365" s="309"/>
      <c r="F365" s="309"/>
      <c r="G365" s="309"/>
      <c r="H365" s="309"/>
      <c r="I365" s="309"/>
      <c r="J365" s="309"/>
      <c r="K365" s="1020"/>
      <c r="L365" s="309"/>
      <c r="M365" s="309"/>
      <c r="N365" s="309"/>
      <c r="O365" s="309"/>
      <c r="P365" s="326"/>
      <c r="Q365" s="309"/>
      <c r="R365" s="309"/>
      <c r="S365" s="309"/>
      <c r="T365" s="309"/>
      <c r="U365" s="309"/>
      <c r="V365" s="309"/>
      <c r="W365" s="309"/>
      <c r="X365" s="309"/>
      <c r="Y365" s="309"/>
      <c r="Z365" s="309"/>
    </row>
    <row r="366" spans="1:26" ht="12.75" customHeight="1">
      <c r="A366" s="309"/>
      <c r="B366" s="309"/>
      <c r="C366" s="309"/>
      <c r="D366" s="309"/>
      <c r="E366" s="309"/>
      <c r="F366" s="309"/>
      <c r="G366" s="309"/>
      <c r="H366" s="309"/>
      <c r="I366" s="309"/>
      <c r="J366" s="309"/>
      <c r="K366" s="1020"/>
      <c r="L366" s="309"/>
      <c r="M366" s="309"/>
      <c r="N366" s="309"/>
      <c r="O366" s="309"/>
      <c r="P366" s="326"/>
      <c r="Q366" s="309"/>
      <c r="R366" s="309"/>
      <c r="S366" s="309"/>
      <c r="T366" s="309"/>
      <c r="U366" s="309"/>
      <c r="V366" s="309"/>
      <c r="W366" s="309"/>
      <c r="X366" s="309"/>
      <c r="Y366" s="309"/>
      <c r="Z366" s="309"/>
    </row>
    <row r="367" spans="1:26" ht="12.75" customHeight="1">
      <c r="A367" s="309"/>
      <c r="B367" s="309"/>
      <c r="C367" s="309"/>
      <c r="D367" s="309"/>
      <c r="E367" s="309"/>
      <c r="F367" s="309"/>
      <c r="G367" s="309"/>
      <c r="H367" s="309"/>
      <c r="I367" s="309"/>
      <c r="J367" s="309"/>
      <c r="K367" s="1020"/>
      <c r="L367" s="309"/>
      <c r="M367" s="309"/>
      <c r="N367" s="309"/>
      <c r="O367" s="309"/>
      <c r="P367" s="326"/>
      <c r="Q367" s="309"/>
      <c r="R367" s="309"/>
      <c r="S367" s="309"/>
      <c r="T367" s="309"/>
      <c r="U367" s="309"/>
      <c r="V367" s="309"/>
      <c r="W367" s="309"/>
      <c r="X367" s="309"/>
      <c r="Y367" s="309"/>
      <c r="Z367" s="309"/>
    </row>
    <row r="368" spans="1:26" ht="12.75" customHeight="1">
      <c r="A368" s="309"/>
      <c r="B368" s="309"/>
      <c r="C368" s="309"/>
      <c r="D368" s="309"/>
      <c r="E368" s="309"/>
      <c r="F368" s="309"/>
      <c r="G368" s="309"/>
      <c r="H368" s="309"/>
      <c r="I368" s="309"/>
      <c r="J368" s="309"/>
      <c r="K368" s="1020"/>
      <c r="L368" s="309"/>
      <c r="M368" s="309"/>
      <c r="N368" s="309"/>
      <c r="O368" s="309"/>
      <c r="P368" s="326"/>
      <c r="Q368" s="309"/>
      <c r="R368" s="309"/>
      <c r="S368" s="309"/>
      <c r="T368" s="309"/>
      <c r="U368" s="309"/>
      <c r="V368" s="309"/>
      <c r="W368" s="309"/>
      <c r="X368" s="309"/>
      <c r="Y368" s="309"/>
      <c r="Z368" s="309"/>
    </row>
    <row r="369" spans="1:26" ht="12.75" customHeight="1">
      <c r="A369" s="309"/>
      <c r="B369" s="309"/>
      <c r="C369" s="309"/>
      <c r="D369" s="309"/>
      <c r="E369" s="309"/>
      <c r="F369" s="309"/>
      <c r="G369" s="309"/>
      <c r="H369" s="309"/>
      <c r="I369" s="309"/>
      <c r="J369" s="309"/>
      <c r="K369" s="1020"/>
      <c r="L369" s="309"/>
      <c r="M369" s="309"/>
      <c r="N369" s="309"/>
      <c r="O369" s="309"/>
      <c r="P369" s="326"/>
      <c r="Q369" s="309"/>
      <c r="R369" s="309"/>
      <c r="S369" s="309"/>
      <c r="T369" s="309"/>
      <c r="U369" s="309"/>
      <c r="V369" s="309"/>
      <c r="W369" s="309"/>
      <c r="X369" s="309"/>
      <c r="Y369" s="309"/>
      <c r="Z369" s="309"/>
    </row>
    <row r="370" spans="1:26" ht="12.75" customHeight="1">
      <c r="A370" s="309"/>
      <c r="B370" s="309"/>
      <c r="C370" s="309"/>
      <c r="D370" s="309"/>
      <c r="E370" s="309"/>
      <c r="F370" s="309"/>
      <c r="G370" s="309"/>
      <c r="H370" s="309"/>
      <c r="I370" s="309"/>
      <c r="J370" s="309"/>
      <c r="K370" s="1020"/>
      <c r="L370" s="309"/>
      <c r="M370" s="309"/>
      <c r="N370" s="309"/>
      <c r="O370" s="309"/>
      <c r="P370" s="326"/>
      <c r="Q370" s="309"/>
      <c r="R370" s="309"/>
      <c r="S370" s="309"/>
      <c r="T370" s="309"/>
      <c r="U370" s="309"/>
      <c r="V370" s="309"/>
      <c r="W370" s="309"/>
      <c r="X370" s="309"/>
      <c r="Y370" s="309"/>
      <c r="Z370" s="309"/>
    </row>
    <row r="371" spans="1:26" ht="12.75" customHeight="1">
      <c r="A371" s="309"/>
      <c r="B371" s="309"/>
      <c r="C371" s="309"/>
      <c r="D371" s="309"/>
      <c r="E371" s="309"/>
      <c r="F371" s="309"/>
      <c r="G371" s="309"/>
      <c r="H371" s="309"/>
      <c r="I371" s="309"/>
      <c r="J371" s="309"/>
      <c r="K371" s="1020"/>
      <c r="L371" s="309"/>
      <c r="M371" s="309"/>
      <c r="N371" s="309"/>
      <c r="O371" s="309"/>
      <c r="P371" s="326"/>
      <c r="Q371" s="309"/>
      <c r="R371" s="309"/>
      <c r="S371" s="309"/>
      <c r="T371" s="309"/>
      <c r="U371" s="309"/>
      <c r="V371" s="309"/>
      <c r="W371" s="309"/>
      <c r="X371" s="309"/>
      <c r="Y371" s="309"/>
      <c r="Z371" s="309"/>
    </row>
    <row r="372" spans="1:26" ht="12.75" customHeight="1">
      <c r="A372" s="309"/>
      <c r="B372" s="309"/>
      <c r="C372" s="309"/>
      <c r="D372" s="309"/>
      <c r="E372" s="309"/>
      <c r="F372" s="309"/>
      <c r="G372" s="309"/>
      <c r="H372" s="309"/>
      <c r="I372" s="309"/>
      <c r="J372" s="309"/>
      <c r="K372" s="1020"/>
      <c r="L372" s="309"/>
      <c r="M372" s="309"/>
      <c r="N372" s="309"/>
      <c r="O372" s="309"/>
      <c r="P372" s="326"/>
      <c r="Q372" s="309"/>
      <c r="R372" s="309"/>
      <c r="S372" s="309"/>
      <c r="T372" s="309"/>
      <c r="U372" s="309"/>
      <c r="V372" s="309"/>
      <c r="W372" s="309"/>
      <c r="X372" s="309"/>
      <c r="Y372" s="309"/>
      <c r="Z372" s="309"/>
    </row>
    <row r="373" spans="1:26" ht="12.75" customHeight="1">
      <c r="A373" s="309"/>
      <c r="B373" s="309"/>
      <c r="C373" s="309"/>
      <c r="D373" s="309"/>
      <c r="E373" s="309"/>
      <c r="F373" s="309"/>
      <c r="G373" s="309"/>
      <c r="H373" s="309"/>
      <c r="I373" s="309"/>
      <c r="J373" s="309"/>
      <c r="K373" s="1020"/>
      <c r="L373" s="309"/>
      <c r="M373" s="309"/>
      <c r="N373" s="309"/>
      <c r="O373" s="309"/>
      <c r="P373" s="326"/>
      <c r="Q373" s="309"/>
      <c r="R373" s="309"/>
      <c r="S373" s="309"/>
      <c r="T373" s="309"/>
      <c r="U373" s="309"/>
      <c r="V373" s="309"/>
      <c r="W373" s="309"/>
      <c r="X373" s="309"/>
      <c r="Y373" s="309"/>
      <c r="Z373" s="309"/>
    </row>
    <row r="374" spans="1:26" ht="12.75" customHeight="1">
      <c r="A374" s="309"/>
      <c r="B374" s="309"/>
      <c r="C374" s="309"/>
      <c r="D374" s="309"/>
      <c r="E374" s="309"/>
      <c r="F374" s="309"/>
      <c r="G374" s="309"/>
      <c r="H374" s="309"/>
      <c r="I374" s="309"/>
      <c r="J374" s="309"/>
      <c r="K374" s="1020"/>
      <c r="L374" s="309"/>
      <c r="M374" s="309"/>
      <c r="N374" s="309"/>
      <c r="O374" s="309"/>
      <c r="P374" s="326"/>
      <c r="Q374" s="309"/>
      <c r="R374" s="309"/>
      <c r="S374" s="309"/>
      <c r="T374" s="309"/>
      <c r="U374" s="309"/>
      <c r="V374" s="309"/>
      <c r="W374" s="309"/>
      <c r="X374" s="309"/>
      <c r="Y374" s="309"/>
      <c r="Z374" s="309"/>
    </row>
    <row r="375" spans="1:26" ht="12.75" customHeight="1">
      <c r="A375" s="309"/>
      <c r="B375" s="309"/>
      <c r="C375" s="309"/>
      <c r="D375" s="309"/>
      <c r="E375" s="309"/>
      <c r="F375" s="309"/>
      <c r="G375" s="309"/>
      <c r="H375" s="309"/>
      <c r="I375" s="309"/>
      <c r="J375" s="309"/>
      <c r="K375" s="1020"/>
      <c r="L375" s="309"/>
      <c r="M375" s="309"/>
      <c r="N375" s="309"/>
      <c r="O375" s="309"/>
      <c r="P375" s="326"/>
      <c r="Q375" s="309"/>
      <c r="R375" s="309"/>
      <c r="S375" s="309"/>
      <c r="T375" s="309"/>
      <c r="U375" s="309"/>
      <c r="V375" s="309"/>
      <c r="W375" s="309"/>
      <c r="X375" s="309"/>
      <c r="Y375" s="309"/>
      <c r="Z375" s="309"/>
    </row>
    <row r="376" spans="1:26" ht="12.75" customHeight="1">
      <c r="A376" s="309"/>
      <c r="B376" s="309"/>
      <c r="C376" s="309"/>
      <c r="D376" s="309"/>
      <c r="E376" s="309"/>
      <c r="F376" s="309"/>
      <c r="G376" s="309"/>
      <c r="H376" s="309"/>
      <c r="I376" s="309"/>
      <c r="J376" s="309"/>
      <c r="K376" s="1020"/>
      <c r="L376" s="309"/>
      <c r="M376" s="309"/>
      <c r="N376" s="309"/>
      <c r="O376" s="309"/>
      <c r="P376" s="326"/>
      <c r="Q376" s="309"/>
      <c r="R376" s="309"/>
      <c r="S376" s="309"/>
      <c r="T376" s="309"/>
      <c r="U376" s="309"/>
      <c r="V376" s="309"/>
      <c r="W376" s="309"/>
      <c r="X376" s="309"/>
      <c r="Y376" s="309"/>
      <c r="Z376" s="309"/>
    </row>
    <row r="377" spans="1:26" ht="12.75" customHeight="1">
      <c r="A377" s="309"/>
      <c r="B377" s="309"/>
      <c r="C377" s="309"/>
      <c r="D377" s="309"/>
      <c r="E377" s="309"/>
      <c r="F377" s="309"/>
      <c r="G377" s="309"/>
      <c r="H377" s="309"/>
      <c r="I377" s="309"/>
      <c r="J377" s="309"/>
      <c r="K377" s="1020"/>
      <c r="L377" s="309"/>
      <c r="M377" s="309"/>
      <c r="N377" s="309"/>
      <c r="O377" s="309"/>
      <c r="P377" s="326"/>
      <c r="Q377" s="309"/>
      <c r="R377" s="309"/>
      <c r="S377" s="309"/>
      <c r="T377" s="309"/>
      <c r="U377" s="309"/>
      <c r="V377" s="309"/>
      <c r="W377" s="309"/>
      <c r="X377" s="309"/>
      <c r="Y377" s="309"/>
      <c r="Z377" s="309"/>
    </row>
    <row r="378" spans="1:26" ht="12.75" customHeight="1">
      <c r="A378" s="309"/>
      <c r="B378" s="309"/>
      <c r="C378" s="309"/>
      <c r="D378" s="309"/>
      <c r="E378" s="309"/>
      <c r="F378" s="309"/>
      <c r="G378" s="309"/>
      <c r="H378" s="309"/>
      <c r="I378" s="309"/>
      <c r="J378" s="309"/>
      <c r="K378" s="1020"/>
      <c r="L378" s="309"/>
      <c r="M378" s="309"/>
      <c r="N378" s="309"/>
      <c r="O378" s="309"/>
      <c r="P378" s="326"/>
      <c r="Q378" s="309"/>
      <c r="R378" s="309"/>
      <c r="S378" s="309"/>
      <c r="T378" s="309"/>
      <c r="U378" s="309"/>
      <c r="V378" s="309"/>
      <c r="W378" s="309"/>
      <c r="X378" s="309"/>
      <c r="Y378" s="309"/>
      <c r="Z378" s="309"/>
    </row>
    <row r="379" spans="1:26" ht="12.75" customHeight="1">
      <c r="A379" s="309"/>
      <c r="B379" s="309"/>
      <c r="C379" s="309"/>
      <c r="D379" s="309"/>
      <c r="E379" s="309"/>
      <c r="F379" s="309"/>
      <c r="G379" s="309"/>
      <c r="H379" s="309"/>
      <c r="I379" s="309"/>
      <c r="J379" s="309"/>
      <c r="K379" s="1020"/>
      <c r="L379" s="309"/>
      <c r="M379" s="309"/>
      <c r="N379" s="309"/>
      <c r="O379" s="309"/>
      <c r="P379" s="326"/>
      <c r="Q379" s="309"/>
      <c r="R379" s="309"/>
      <c r="S379" s="309"/>
      <c r="T379" s="309"/>
      <c r="U379" s="309"/>
      <c r="V379" s="309"/>
      <c r="W379" s="309"/>
      <c r="X379" s="309"/>
      <c r="Y379" s="309"/>
      <c r="Z379" s="309"/>
    </row>
    <row r="380" spans="1:26" ht="12.75" customHeight="1">
      <c r="A380" s="309"/>
      <c r="B380" s="309"/>
      <c r="C380" s="309"/>
      <c r="D380" s="309"/>
      <c r="E380" s="309"/>
      <c r="F380" s="309"/>
      <c r="G380" s="309"/>
      <c r="H380" s="309"/>
      <c r="I380" s="309"/>
      <c r="J380" s="309"/>
      <c r="K380" s="1020"/>
      <c r="L380" s="309"/>
      <c r="M380" s="309"/>
      <c r="N380" s="309"/>
      <c r="O380" s="309"/>
      <c r="P380" s="326"/>
      <c r="Q380" s="309"/>
      <c r="R380" s="309"/>
      <c r="S380" s="309"/>
      <c r="T380" s="309"/>
      <c r="U380" s="309"/>
      <c r="V380" s="309"/>
      <c r="W380" s="309"/>
      <c r="X380" s="309"/>
      <c r="Y380" s="309"/>
      <c r="Z380" s="309"/>
    </row>
    <row r="381" spans="1:26" ht="12.75" customHeight="1">
      <c r="A381" s="309"/>
      <c r="B381" s="309"/>
      <c r="C381" s="309"/>
      <c r="D381" s="309"/>
      <c r="E381" s="309"/>
      <c r="F381" s="309"/>
      <c r="G381" s="309"/>
      <c r="H381" s="309"/>
      <c r="I381" s="309"/>
      <c r="J381" s="309"/>
      <c r="K381" s="1020"/>
      <c r="L381" s="309"/>
      <c r="M381" s="309"/>
      <c r="N381" s="309"/>
      <c r="O381" s="309"/>
      <c r="P381" s="326"/>
      <c r="Q381" s="309"/>
      <c r="R381" s="309"/>
      <c r="S381" s="309"/>
      <c r="T381" s="309"/>
      <c r="U381" s="309"/>
      <c r="V381" s="309"/>
      <c r="W381" s="309"/>
      <c r="X381" s="309"/>
      <c r="Y381" s="309"/>
      <c r="Z381" s="309"/>
    </row>
    <row r="382" spans="1:26" ht="12.75" customHeight="1">
      <c r="A382" s="309"/>
      <c r="B382" s="309"/>
      <c r="C382" s="309"/>
      <c r="D382" s="309"/>
      <c r="E382" s="309"/>
      <c r="F382" s="309"/>
      <c r="G382" s="309"/>
      <c r="H382" s="309"/>
      <c r="I382" s="309"/>
      <c r="J382" s="309"/>
      <c r="K382" s="1020"/>
      <c r="L382" s="309"/>
      <c r="M382" s="309"/>
      <c r="N382" s="309"/>
      <c r="O382" s="309"/>
      <c r="P382" s="326"/>
      <c r="Q382" s="309"/>
      <c r="R382" s="309"/>
      <c r="S382" s="309"/>
      <c r="T382" s="309"/>
      <c r="U382" s="309"/>
      <c r="V382" s="309"/>
      <c r="W382" s="309"/>
      <c r="X382" s="309"/>
      <c r="Y382" s="309"/>
      <c r="Z382" s="309"/>
    </row>
    <row r="383" spans="1:26" ht="12.75" customHeight="1">
      <c r="A383" s="309"/>
      <c r="B383" s="309"/>
      <c r="C383" s="309"/>
      <c r="D383" s="309"/>
      <c r="E383" s="309"/>
      <c r="F383" s="309"/>
      <c r="G383" s="309"/>
      <c r="H383" s="309"/>
      <c r="I383" s="309"/>
      <c r="J383" s="309"/>
      <c r="K383" s="1020"/>
      <c r="L383" s="309"/>
      <c r="M383" s="309"/>
      <c r="N383" s="309"/>
      <c r="O383" s="309"/>
      <c r="P383" s="326"/>
      <c r="Q383" s="309"/>
      <c r="R383" s="309"/>
      <c r="S383" s="309"/>
      <c r="T383" s="309"/>
      <c r="U383" s="309"/>
      <c r="V383" s="309"/>
      <c r="W383" s="309"/>
      <c r="X383" s="309"/>
      <c r="Y383" s="309"/>
      <c r="Z383" s="309"/>
    </row>
    <row r="384" spans="1:26" ht="12.75" customHeight="1">
      <c r="A384" s="309"/>
      <c r="B384" s="309"/>
      <c r="C384" s="309"/>
      <c r="D384" s="309"/>
      <c r="E384" s="309"/>
      <c r="F384" s="309"/>
      <c r="G384" s="309"/>
      <c r="H384" s="309"/>
      <c r="I384" s="309"/>
      <c r="J384" s="309"/>
      <c r="K384" s="1020"/>
      <c r="L384" s="309"/>
      <c r="M384" s="309"/>
      <c r="N384" s="309"/>
      <c r="O384" s="309"/>
      <c r="P384" s="326"/>
      <c r="Q384" s="309"/>
      <c r="R384" s="309"/>
      <c r="S384" s="309"/>
      <c r="T384" s="309"/>
      <c r="U384" s="309"/>
      <c r="V384" s="309"/>
      <c r="W384" s="309"/>
      <c r="X384" s="309"/>
      <c r="Y384" s="309"/>
      <c r="Z384" s="309"/>
    </row>
    <row r="385" spans="1:26" ht="12.75" customHeight="1">
      <c r="A385" s="309"/>
      <c r="B385" s="309"/>
      <c r="C385" s="309"/>
      <c r="D385" s="309"/>
      <c r="E385" s="309"/>
      <c r="F385" s="309"/>
      <c r="G385" s="309"/>
      <c r="H385" s="309"/>
      <c r="I385" s="309"/>
      <c r="J385" s="309"/>
      <c r="K385" s="1020"/>
      <c r="L385" s="309"/>
      <c r="M385" s="309"/>
      <c r="N385" s="309"/>
      <c r="O385" s="309"/>
      <c r="P385" s="326"/>
      <c r="Q385" s="309"/>
      <c r="R385" s="309"/>
      <c r="S385" s="309"/>
      <c r="T385" s="309"/>
      <c r="U385" s="309"/>
      <c r="V385" s="309"/>
      <c r="W385" s="309"/>
      <c r="X385" s="309"/>
      <c r="Y385" s="309"/>
      <c r="Z385" s="309"/>
    </row>
    <row r="386" spans="1:26" ht="12.75" customHeight="1">
      <c r="A386" s="309"/>
      <c r="B386" s="309"/>
      <c r="C386" s="309"/>
      <c r="D386" s="309"/>
      <c r="E386" s="309"/>
      <c r="F386" s="309"/>
      <c r="G386" s="309"/>
      <c r="H386" s="309"/>
      <c r="I386" s="309"/>
      <c r="J386" s="309"/>
      <c r="K386" s="1020"/>
      <c r="L386" s="309"/>
      <c r="M386" s="309"/>
      <c r="N386" s="309"/>
      <c r="O386" s="309"/>
      <c r="P386" s="326"/>
      <c r="Q386" s="309"/>
      <c r="R386" s="309"/>
      <c r="S386" s="309"/>
      <c r="T386" s="309"/>
      <c r="U386" s="309"/>
      <c r="V386" s="309"/>
      <c r="W386" s="309"/>
      <c r="X386" s="309"/>
      <c r="Y386" s="309"/>
      <c r="Z386" s="309"/>
    </row>
    <row r="387" spans="1:26" ht="12.75" customHeight="1">
      <c r="A387" s="309"/>
      <c r="B387" s="309"/>
      <c r="C387" s="309"/>
      <c r="D387" s="309"/>
      <c r="E387" s="309"/>
      <c r="F387" s="309"/>
      <c r="G387" s="309"/>
      <c r="H387" s="309"/>
      <c r="I387" s="309"/>
      <c r="J387" s="309"/>
      <c r="K387" s="1020"/>
      <c r="L387" s="309"/>
      <c r="M387" s="309"/>
      <c r="N387" s="309"/>
      <c r="O387" s="309"/>
      <c r="P387" s="326"/>
      <c r="Q387" s="309"/>
      <c r="R387" s="309"/>
      <c r="S387" s="309"/>
      <c r="T387" s="309"/>
      <c r="U387" s="309"/>
      <c r="V387" s="309"/>
      <c r="W387" s="309"/>
      <c r="X387" s="309"/>
      <c r="Y387" s="309"/>
      <c r="Z387" s="309"/>
    </row>
    <row r="388" spans="1:26" ht="12.75" customHeight="1">
      <c r="A388" s="309"/>
      <c r="B388" s="309"/>
      <c r="C388" s="309"/>
      <c r="D388" s="309"/>
      <c r="E388" s="309"/>
      <c r="F388" s="309"/>
      <c r="G388" s="309"/>
      <c r="H388" s="309"/>
      <c r="I388" s="309"/>
      <c r="J388" s="309"/>
      <c r="K388" s="1020"/>
      <c r="L388" s="309"/>
      <c r="M388" s="309"/>
      <c r="N388" s="309"/>
      <c r="O388" s="309"/>
      <c r="P388" s="326"/>
      <c r="Q388" s="309"/>
      <c r="R388" s="309"/>
      <c r="S388" s="309"/>
      <c r="T388" s="309"/>
      <c r="U388" s="309"/>
      <c r="V388" s="309"/>
      <c r="W388" s="309"/>
      <c r="X388" s="309"/>
      <c r="Y388" s="309"/>
      <c r="Z388" s="309"/>
    </row>
    <row r="389" spans="1:26" ht="12.75" customHeight="1">
      <c r="A389" s="309"/>
      <c r="B389" s="309"/>
      <c r="C389" s="309"/>
      <c r="D389" s="309"/>
      <c r="E389" s="309"/>
      <c r="F389" s="309"/>
      <c r="G389" s="309"/>
      <c r="H389" s="309"/>
      <c r="I389" s="309"/>
      <c r="J389" s="309"/>
      <c r="K389" s="1020"/>
      <c r="L389" s="309"/>
      <c r="M389" s="309"/>
      <c r="N389" s="309"/>
      <c r="O389" s="309"/>
      <c r="P389" s="326"/>
      <c r="Q389" s="309"/>
      <c r="R389" s="309"/>
      <c r="S389" s="309"/>
      <c r="T389" s="309"/>
      <c r="U389" s="309"/>
      <c r="V389" s="309"/>
      <c r="W389" s="309"/>
      <c r="X389" s="309"/>
      <c r="Y389" s="309"/>
      <c r="Z389" s="309"/>
    </row>
    <row r="390" spans="1:26" ht="12.75" customHeight="1">
      <c r="A390" s="309"/>
      <c r="B390" s="309"/>
      <c r="C390" s="309"/>
      <c r="D390" s="309"/>
      <c r="E390" s="309"/>
      <c r="F390" s="309"/>
      <c r="G390" s="309"/>
      <c r="H390" s="309"/>
      <c r="I390" s="309"/>
      <c r="J390" s="309"/>
      <c r="K390" s="1020"/>
      <c r="L390" s="309"/>
      <c r="M390" s="309"/>
      <c r="N390" s="309"/>
      <c r="O390" s="309"/>
      <c r="P390" s="326"/>
      <c r="Q390" s="309"/>
      <c r="R390" s="309"/>
      <c r="S390" s="309"/>
      <c r="T390" s="309"/>
      <c r="U390" s="309"/>
      <c r="V390" s="309"/>
      <c r="W390" s="309"/>
      <c r="X390" s="309"/>
      <c r="Y390" s="309"/>
      <c r="Z390" s="309"/>
    </row>
    <row r="391" spans="1:26" ht="12.75" customHeight="1">
      <c r="A391" s="309"/>
      <c r="B391" s="309"/>
      <c r="C391" s="309"/>
      <c r="D391" s="309"/>
      <c r="E391" s="309"/>
      <c r="F391" s="309"/>
      <c r="G391" s="309"/>
      <c r="H391" s="309"/>
      <c r="I391" s="309"/>
      <c r="J391" s="309"/>
      <c r="K391" s="1020"/>
      <c r="L391" s="309"/>
      <c r="M391" s="309"/>
      <c r="N391" s="309"/>
      <c r="O391" s="309"/>
      <c r="P391" s="326"/>
      <c r="Q391" s="309"/>
      <c r="R391" s="309"/>
      <c r="S391" s="309"/>
      <c r="T391" s="309"/>
      <c r="U391" s="309"/>
      <c r="V391" s="309"/>
      <c r="W391" s="309"/>
      <c r="X391" s="309"/>
      <c r="Y391" s="309"/>
      <c r="Z391" s="309"/>
    </row>
    <row r="392" spans="1:26" ht="12.75" customHeight="1">
      <c r="A392" s="309"/>
      <c r="B392" s="309"/>
      <c r="C392" s="309"/>
      <c r="D392" s="309"/>
      <c r="E392" s="309"/>
      <c r="F392" s="309"/>
      <c r="G392" s="309"/>
      <c r="H392" s="309"/>
      <c r="I392" s="309"/>
      <c r="J392" s="309"/>
      <c r="K392" s="1020"/>
      <c r="L392" s="309"/>
      <c r="M392" s="309"/>
      <c r="N392" s="309"/>
      <c r="O392" s="309"/>
      <c r="P392" s="326"/>
      <c r="Q392" s="309"/>
      <c r="R392" s="309"/>
      <c r="S392" s="309"/>
      <c r="T392" s="309"/>
      <c r="U392" s="309"/>
      <c r="V392" s="309"/>
      <c r="W392" s="309"/>
      <c r="X392" s="309"/>
      <c r="Y392" s="309"/>
      <c r="Z392" s="309"/>
    </row>
    <row r="393" spans="1:26" ht="12.75" customHeight="1">
      <c r="A393" s="309"/>
      <c r="B393" s="309"/>
      <c r="C393" s="309"/>
      <c r="D393" s="309"/>
      <c r="E393" s="309"/>
      <c r="F393" s="309"/>
      <c r="G393" s="309"/>
      <c r="H393" s="309"/>
      <c r="I393" s="309"/>
      <c r="J393" s="309"/>
      <c r="K393" s="1020"/>
      <c r="L393" s="309"/>
      <c r="M393" s="309"/>
      <c r="N393" s="309"/>
      <c r="O393" s="309"/>
      <c r="P393" s="326"/>
      <c r="Q393" s="309"/>
      <c r="R393" s="309"/>
      <c r="S393" s="309"/>
      <c r="T393" s="309"/>
      <c r="U393" s="309"/>
      <c r="V393" s="309"/>
      <c r="W393" s="309"/>
      <c r="X393" s="309"/>
      <c r="Y393" s="309"/>
      <c r="Z393" s="309"/>
    </row>
    <row r="394" spans="1:26" ht="12.75" customHeight="1">
      <c r="A394" s="309"/>
      <c r="B394" s="309"/>
      <c r="C394" s="309"/>
      <c r="D394" s="309"/>
      <c r="E394" s="309"/>
      <c r="F394" s="309"/>
      <c r="G394" s="309"/>
      <c r="H394" s="309"/>
      <c r="I394" s="309"/>
      <c r="J394" s="309"/>
      <c r="K394" s="1020"/>
      <c r="L394" s="309"/>
      <c r="M394" s="309"/>
      <c r="N394" s="309"/>
      <c r="O394" s="309"/>
      <c r="P394" s="326"/>
      <c r="Q394" s="309"/>
      <c r="R394" s="309"/>
      <c r="S394" s="309"/>
      <c r="T394" s="309"/>
      <c r="U394" s="309"/>
      <c r="V394" s="309"/>
      <c r="W394" s="309"/>
      <c r="X394" s="309"/>
      <c r="Y394" s="309"/>
      <c r="Z394" s="309"/>
    </row>
    <row r="395" spans="1:26" ht="12.75" customHeight="1">
      <c r="A395" s="309"/>
      <c r="B395" s="309"/>
      <c r="C395" s="309"/>
      <c r="D395" s="309"/>
      <c r="E395" s="309"/>
      <c r="F395" s="309"/>
      <c r="G395" s="309"/>
      <c r="H395" s="309"/>
      <c r="I395" s="309"/>
      <c r="J395" s="309"/>
      <c r="K395" s="1020"/>
      <c r="L395" s="309"/>
      <c r="M395" s="309"/>
      <c r="N395" s="309"/>
      <c r="O395" s="309"/>
      <c r="P395" s="326"/>
      <c r="Q395" s="309"/>
      <c r="R395" s="309"/>
      <c r="S395" s="309"/>
      <c r="T395" s="309"/>
      <c r="U395" s="309"/>
      <c r="V395" s="309"/>
      <c r="W395" s="309"/>
      <c r="X395" s="309"/>
      <c r="Y395" s="309"/>
      <c r="Z395" s="309"/>
    </row>
    <row r="396" spans="1:26" ht="12.75" customHeight="1">
      <c r="A396" s="309"/>
      <c r="B396" s="309"/>
      <c r="C396" s="309"/>
      <c r="D396" s="309"/>
      <c r="E396" s="309"/>
      <c r="F396" s="309"/>
      <c r="G396" s="309"/>
      <c r="H396" s="309"/>
      <c r="I396" s="309"/>
      <c r="J396" s="309"/>
      <c r="K396" s="1020"/>
      <c r="L396" s="309"/>
      <c r="M396" s="309"/>
      <c r="N396" s="309"/>
      <c r="O396" s="309"/>
      <c r="P396" s="326"/>
      <c r="Q396" s="309"/>
      <c r="R396" s="309"/>
      <c r="S396" s="309"/>
      <c r="T396" s="309"/>
      <c r="U396" s="309"/>
      <c r="V396" s="309"/>
      <c r="W396" s="309"/>
      <c r="X396" s="309"/>
      <c r="Y396" s="309"/>
      <c r="Z396" s="309"/>
    </row>
    <row r="397" spans="1:26" ht="12.75" customHeight="1">
      <c r="A397" s="309"/>
      <c r="B397" s="309"/>
      <c r="C397" s="309"/>
      <c r="D397" s="309"/>
      <c r="E397" s="309"/>
      <c r="F397" s="309"/>
      <c r="G397" s="309"/>
      <c r="H397" s="309"/>
      <c r="I397" s="309"/>
      <c r="J397" s="309"/>
      <c r="K397" s="1020"/>
      <c r="L397" s="309"/>
      <c r="M397" s="309"/>
      <c r="N397" s="309"/>
      <c r="O397" s="309"/>
      <c r="P397" s="326"/>
      <c r="Q397" s="309"/>
      <c r="R397" s="309"/>
      <c r="S397" s="309"/>
      <c r="T397" s="309"/>
      <c r="U397" s="309"/>
      <c r="V397" s="309"/>
      <c r="W397" s="309"/>
      <c r="X397" s="309"/>
      <c r="Y397" s="309"/>
      <c r="Z397" s="309"/>
    </row>
    <row r="398" spans="1:26" ht="12.75" customHeight="1">
      <c r="A398" s="309"/>
      <c r="B398" s="309"/>
      <c r="C398" s="309"/>
      <c r="D398" s="309"/>
      <c r="E398" s="309"/>
      <c r="F398" s="309"/>
      <c r="G398" s="309"/>
      <c r="H398" s="309"/>
      <c r="I398" s="309"/>
      <c r="J398" s="309"/>
      <c r="K398" s="1020"/>
      <c r="L398" s="309"/>
      <c r="M398" s="309"/>
      <c r="N398" s="309"/>
      <c r="O398" s="309"/>
      <c r="P398" s="326"/>
      <c r="Q398" s="309"/>
      <c r="R398" s="309"/>
      <c r="S398" s="309"/>
      <c r="T398" s="309"/>
      <c r="U398" s="309"/>
      <c r="V398" s="309"/>
      <c r="W398" s="309"/>
      <c r="X398" s="309"/>
      <c r="Y398" s="309"/>
      <c r="Z398" s="309"/>
    </row>
    <row r="399" spans="1:26" ht="12.75" customHeight="1">
      <c r="A399" s="309"/>
      <c r="B399" s="309"/>
      <c r="C399" s="309"/>
      <c r="D399" s="309"/>
      <c r="E399" s="309"/>
      <c r="F399" s="309"/>
      <c r="G399" s="309"/>
      <c r="H399" s="309"/>
      <c r="I399" s="309"/>
      <c r="J399" s="309"/>
      <c r="K399" s="1020"/>
      <c r="L399" s="309"/>
      <c r="M399" s="309"/>
      <c r="N399" s="309"/>
      <c r="O399" s="309"/>
      <c r="P399" s="326"/>
      <c r="Q399" s="309"/>
      <c r="R399" s="309"/>
      <c r="S399" s="309"/>
      <c r="T399" s="309"/>
      <c r="U399" s="309"/>
      <c r="V399" s="309"/>
      <c r="W399" s="309"/>
      <c r="X399" s="309"/>
      <c r="Y399" s="309"/>
      <c r="Z399" s="309"/>
    </row>
    <row r="400" spans="1:26" ht="12.75" customHeight="1">
      <c r="A400" s="309"/>
      <c r="B400" s="309"/>
      <c r="C400" s="309"/>
      <c r="D400" s="309"/>
      <c r="E400" s="309"/>
      <c r="F400" s="309"/>
      <c r="G400" s="309"/>
      <c r="H400" s="309"/>
      <c r="I400" s="309"/>
      <c r="J400" s="309"/>
      <c r="K400" s="1020"/>
      <c r="L400" s="309"/>
      <c r="M400" s="309"/>
      <c r="N400" s="309"/>
      <c r="O400" s="309"/>
      <c r="P400" s="326"/>
      <c r="Q400" s="309"/>
      <c r="R400" s="309"/>
      <c r="S400" s="309"/>
      <c r="T400" s="309"/>
      <c r="U400" s="309"/>
      <c r="V400" s="309"/>
      <c r="W400" s="309"/>
      <c r="X400" s="309"/>
      <c r="Y400" s="309"/>
      <c r="Z400" s="309"/>
    </row>
    <row r="401" spans="1:26" ht="12.75" customHeight="1">
      <c r="A401" s="309"/>
      <c r="B401" s="309"/>
      <c r="C401" s="309"/>
      <c r="D401" s="309"/>
      <c r="E401" s="309"/>
      <c r="F401" s="309"/>
      <c r="G401" s="309"/>
      <c r="H401" s="309"/>
      <c r="I401" s="309"/>
      <c r="J401" s="309"/>
      <c r="K401" s="1020"/>
      <c r="L401" s="309"/>
      <c r="M401" s="309"/>
      <c r="N401" s="309"/>
      <c r="O401" s="309"/>
      <c r="P401" s="326"/>
      <c r="Q401" s="309"/>
      <c r="R401" s="309"/>
      <c r="S401" s="309"/>
      <c r="T401" s="309"/>
      <c r="U401" s="309"/>
      <c r="V401" s="309"/>
      <c r="W401" s="309"/>
      <c r="X401" s="309"/>
      <c r="Y401" s="309"/>
      <c r="Z401" s="309"/>
    </row>
    <row r="402" spans="1:26" ht="12.75" customHeight="1">
      <c r="A402" s="309"/>
      <c r="B402" s="309"/>
      <c r="C402" s="309"/>
      <c r="D402" s="309"/>
      <c r="E402" s="309"/>
      <c r="F402" s="309"/>
      <c r="G402" s="309"/>
      <c r="H402" s="309"/>
      <c r="I402" s="309"/>
      <c r="J402" s="309"/>
      <c r="K402" s="1020"/>
      <c r="L402" s="309"/>
      <c r="M402" s="309"/>
      <c r="N402" s="309"/>
      <c r="O402" s="309"/>
      <c r="P402" s="326"/>
      <c r="Q402" s="309"/>
      <c r="R402" s="309"/>
      <c r="S402" s="309"/>
      <c r="T402" s="309"/>
      <c r="U402" s="309"/>
      <c r="V402" s="309"/>
      <c r="W402" s="309"/>
      <c r="X402" s="309"/>
      <c r="Y402" s="309"/>
      <c r="Z402" s="309"/>
    </row>
    <row r="403" spans="1:26" ht="12.75" customHeight="1">
      <c r="A403" s="309"/>
      <c r="B403" s="309"/>
      <c r="C403" s="309"/>
      <c r="D403" s="309"/>
      <c r="E403" s="309"/>
      <c r="F403" s="309"/>
      <c r="G403" s="309"/>
      <c r="H403" s="309"/>
      <c r="I403" s="309"/>
      <c r="J403" s="309"/>
      <c r="K403" s="1020"/>
      <c r="L403" s="309"/>
      <c r="M403" s="309"/>
      <c r="N403" s="309"/>
      <c r="O403" s="309"/>
      <c r="P403" s="326"/>
      <c r="Q403" s="309"/>
      <c r="R403" s="309"/>
      <c r="S403" s="309"/>
      <c r="T403" s="309"/>
      <c r="U403" s="309"/>
      <c r="V403" s="309"/>
      <c r="W403" s="309"/>
      <c r="X403" s="309"/>
      <c r="Y403" s="309"/>
      <c r="Z403" s="309"/>
    </row>
    <row r="404" spans="1:26" ht="12.75" customHeight="1">
      <c r="A404" s="309"/>
      <c r="B404" s="309"/>
      <c r="C404" s="309"/>
      <c r="D404" s="309"/>
      <c r="E404" s="309"/>
      <c r="F404" s="309"/>
      <c r="G404" s="309"/>
      <c r="H404" s="309"/>
      <c r="I404" s="309"/>
      <c r="J404" s="309"/>
      <c r="K404" s="1020"/>
      <c r="L404" s="309"/>
      <c r="M404" s="309"/>
      <c r="N404" s="309"/>
      <c r="O404" s="309"/>
      <c r="P404" s="326"/>
      <c r="Q404" s="309"/>
      <c r="R404" s="309"/>
      <c r="S404" s="309"/>
      <c r="T404" s="309"/>
      <c r="U404" s="309"/>
      <c r="V404" s="309"/>
      <c r="W404" s="309"/>
      <c r="X404" s="309"/>
      <c r="Y404" s="309"/>
      <c r="Z404" s="309"/>
    </row>
    <row r="405" spans="1:26" ht="12.75" customHeight="1">
      <c r="A405" s="309"/>
      <c r="B405" s="309"/>
      <c r="C405" s="309"/>
      <c r="D405" s="309"/>
      <c r="E405" s="309"/>
      <c r="F405" s="309"/>
      <c r="G405" s="309"/>
      <c r="H405" s="309"/>
      <c r="I405" s="309"/>
      <c r="J405" s="309"/>
      <c r="K405" s="1020"/>
      <c r="L405" s="309"/>
      <c r="M405" s="309"/>
      <c r="N405" s="309"/>
      <c r="O405" s="309"/>
      <c r="P405" s="326"/>
      <c r="Q405" s="309"/>
      <c r="R405" s="309"/>
      <c r="S405" s="309"/>
      <c r="T405" s="309"/>
      <c r="U405" s="309"/>
      <c r="V405" s="309"/>
      <c r="W405" s="309"/>
      <c r="X405" s="309"/>
      <c r="Y405" s="309"/>
      <c r="Z405" s="309"/>
    </row>
    <row r="406" spans="1:26" ht="12.75" customHeight="1">
      <c r="A406" s="309"/>
      <c r="B406" s="309"/>
      <c r="C406" s="309"/>
      <c r="D406" s="309"/>
      <c r="E406" s="309"/>
      <c r="F406" s="309"/>
      <c r="G406" s="309"/>
      <c r="H406" s="309"/>
      <c r="I406" s="309"/>
      <c r="J406" s="309"/>
      <c r="K406" s="1020"/>
      <c r="L406" s="309"/>
      <c r="M406" s="309"/>
      <c r="N406" s="309"/>
      <c r="O406" s="309"/>
      <c r="P406" s="326"/>
      <c r="Q406" s="309"/>
      <c r="R406" s="309"/>
      <c r="S406" s="309"/>
      <c r="T406" s="309"/>
      <c r="U406" s="309"/>
      <c r="V406" s="309"/>
      <c r="W406" s="309"/>
      <c r="X406" s="309"/>
      <c r="Y406" s="309"/>
      <c r="Z406" s="309"/>
    </row>
    <row r="407" spans="1:26" ht="12.75" customHeight="1">
      <c r="A407" s="309"/>
      <c r="B407" s="309"/>
      <c r="C407" s="309"/>
      <c r="D407" s="309"/>
      <c r="E407" s="309"/>
      <c r="F407" s="309"/>
      <c r="G407" s="309"/>
      <c r="H407" s="309"/>
      <c r="I407" s="309"/>
      <c r="J407" s="309"/>
      <c r="K407" s="1020"/>
      <c r="L407" s="309"/>
      <c r="M407" s="309"/>
      <c r="N407" s="309"/>
      <c r="O407" s="309"/>
      <c r="P407" s="326"/>
      <c r="Q407" s="309"/>
      <c r="R407" s="309"/>
      <c r="S407" s="309"/>
      <c r="T407" s="309"/>
      <c r="U407" s="309"/>
      <c r="V407" s="309"/>
      <c r="W407" s="309"/>
      <c r="X407" s="309"/>
      <c r="Y407" s="309"/>
      <c r="Z407" s="309"/>
    </row>
    <row r="408" spans="1:26" ht="12.75" customHeight="1">
      <c r="A408" s="309"/>
      <c r="B408" s="309"/>
      <c r="C408" s="309"/>
      <c r="D408" s="309"/>
      <c r="E408" s="309"/>
      <c r="F408" s="309"/>
      <c r="G408" s="309"/>
      <c r="H408" s="309"/>
      <c r="I408" s="309"/>
      <c r="J408" s="309"/>
      <c r="K408" s="1020"/>
      <c r="L408" s="309"/>
      <c r="M408" s="309"/>
      <c r="N408" s="309"/>
      <c r="O408" s="309"/>
      <c r="P408" s="326"/>
      <c r="Q408" s="309"/>
      <c r="R408" s="309"/>
      <c r="S408" s="309"/>
      <c r="T408" s="309"/>
      <c r="U408" s="309"/>
      <c r="V408" s="309"/>
      <c r="W408" s="309"/>
      <c r="X408" s="309"/>
      <c r="Y408" s="309"/>
      <c r="Z408" s="309"/>
    </row>
    <row r="409" spans="1:26" ht="12.75" customHeight="1">
      <c r="A409" s="309"/>
      <c r="B409" s="309"/>
      <c r="C409" s="309"/>
      <c r="D409" s="309"/>
      <c r="E409" s="309"/>
      <c r="F409" s="309"/>
      <c r="G409" s="309"/>
      <c r="H409" s="309"/>
      <c r="I409" s="309"/>
      <c r="J409" s="309"/>
      <c r="K409" s="1020"/>
      <c r="L409" s="309"/>
      <c r="M409" s="309"/>
      <c r="N409" s="309"/>
      <c r="O409" s="309"/>
      <c r="P409" s="326"/>
      <c r="Q409" s="309"/>
      <c r="R409" s="309"/>
      <c r="S409" s="309"/>
      <c r="T409" s="309"/>
      <c r="U409" s="309"/>
      <c r="V409" s="309"/>
      <c r="W409" s="309"/>
      <c r="X409" s="309"/>
      <c r="Y409" s="309"/>
      <c r="Z409" s="309"/>
    </row>
    <row r="410" spans="1:26" ht="12.75" customHeight="1">
      <c r="A410" s="309"/>
      <c r="B410" s="309"/>
      <c r="C410" s="309"/>
      <c r="D410" s="309"/>
      <c r="E410" s="309"/>
      <c r="F410" s="309"/>
      <c r="G410" s="309"/>
      <c r="H410" s="309"/>
      <c r="I410" s="309"/>
      <c r="J410" s="309"/>
      <c r="K410" s="1020"/>
      <c r="L410" s="309"/>
      <c r="M410" s="309"/>
      <c r="N410" s="309"/>
      <c r="O410" s="309"/>
      <c r="P410" s="326"/>
      <c r="Q410" s="309"/>
      <c r="R410" s="309"/>
      <c r="S410" s="309"/>
      <c r="T410" s="309"/>
      <c r="U410" s="309"/>
      <c r="V410" s="309"/>
      <c r="W410" s="309"/>
      <c r="X410" s="309"/>
      <c r="Y410" s="309"/>
      <c r="Z410" s="309"/>
    </row>
    <row r="411" spans="1:26" ht="12.75" customHeight="1">
      <c r="A411" s="309"/>
      <c r="B411" s="309"/>
      <c r="C411" s="309"/>
      <c r="D411" s="309"/>
      <c r="E411" s="309"/>
      <c r="F411" s="309"/>
      <c r="G411" s="309"/>
      <c r="H411" s="309"/>
      <c r="I411" s="309"/>
      <c r="J411" s="309"/>
      <c r="K411" s="1020"/>
      <c r="L411" s="309"/>
      <c r="M411" s="309"/>
      <c r="N411" s="309"/>
      <c r="O411" s="309"/>
      <c r="P411" s="326"/>
      <c r="Q411" s="309"/>
      <c r="R411" s="309"/>
      <c r="S411" s="309"/>
      <c r="T411" s="309"/>
      <c r="U411" s="309"/>
      <c r="V411" s="309"/>
      <c r="W411" s="309"/>
      <c r="X411" s="309"/>
      <c r="Y411" s="309"/>
      <c r="Z411" s="309"/>
    </row>
    <row r="412" spans="1:26" ht="12.75" customHeight="1">
      <c r="A412" s="309"/>
      <c r="B412" s="309"/>
      <c r="C412" s="309"/>
      <c r="D412" s="309"/>
      <c r="E412" s="309"/>
      <c r="F412" s="309"/>
      <c r="G412" s="309"/>
      <c r="H412" s="309"/>
      <c r="I412" s="309"/>
      <c r="J412" s="309"/>
      <c r="K412" s="1020"/>
      <c r="L412" s="309"/>
      <c r="M412" s="309"/>
      <c r="N412" s="309"/>
      <c r="O412" s="309"/>
      <c r="P412" s="326"/>
      <c r="Q412" s="309"/>
      <c r="R412" s="309"/>
      <c r="S412" s="309"/>
      <c r="T412" s="309"/>
      <c r="U412" s="309"/>
      <c r="V412" s="309"/>
      <c r="W412" s="309"/>
      <c r="X412" s="309"/>
      <c r="Y412" s="309"/>
      <c r="Z412" s="309"/>
    </row>
    <row r="413" spans="1:26" ht="12.75" customHeight="1">
      <c r="A413" s="309"/>
      <c r="B413" s="309"/>
      <c r="C413" s="309"/>
      <c r="D413" s="309"/>
      <c r="E413" s="309"/>
      <c r="F413" s="309"/>
      <c r="G413" s="309"/>
      <c r="H413" s="309"/>
      <c r="I413" s="309"/>
      <c r="J413" s="309"/>
      <c r="K413" s="1020"/>
      <c r="L413" s="309"/>
      <c r="M413" s="309"/>
      <c r="N413" s="309"/>
      <c r="O413" s="309"/>
      <c r="P413" s="326"/>
      <c r="Q413" s="309"/>
      <c r="R413" s="309"/>
      <c r="S413" s="309"/>
      <c r="T413" s="309"/>
      <c r="U413" s="309"/>
      <c r="V413" s="309"/>
      <c r="W413" s="309"/>
      <c r="X413" s="309"/>
      <c r="Y413" s="309"/>
      <c r="Z413" s="309"/>
    </row>
    <row r="414" spans="1:26" ht="12.75" customHeight="1">
      <c r="A414" s="309"/>
      <c r="B414" s="309"/>
      <c r="C414" s="309"/>
      <c r="D414" s="309"/>
      <c r="E414" s="309"/>
      <c r="F414" s="309"/>
      <c r="G414" s="309"/>
      <c r="H414" s="309"/>
      <c r="I414" s="309"/>
      <c r="J414" s="309"/>
      <c r="K414" s="1020"/>
      <c r="L414" s="309"/>
      <c r="M414" s="309"/>
      <c r="N414" s="309"/>
      <c r="O414" s="309"/>
      <c r="P414" s="326"/>
      <c r="Q414" s="309"/>
      <c r="R414" s="309"/>
      <c r="S414" s="309"/>
      <c r="T414" s="309"/>
      <c r="U414" s="309"/>
      <c r="V414" s="309"/>
      <c r="W414" s="309"/>
      <c r="X414" s="309"/>
      <c r="Y414" s="309"/>
      <c r="Z414" s="309"/>
    </row>
    <row r="415" spans="1:26" ht="12.75" customHeight="1">
      <c r="A415" s="309"/>
      <c r="B415" s="309"/>
      <c r="C415" s="309"/>
      <c r="D415" s="309"/>
      <c r="E415" s="309"/>
      <c r="F415" s="309"/>
      <c r="G415" s="309"/>
      <c r="H415" s="309"/>
      <c r="I415" s="309"/>
      <c r="J415" s="309"/>
      <c r="K415" s="1020"/>
      <c r="L415" s="309"/>
      <c r="M415" s="309"/>
      <c r="N415" s="309"/>
      <c r="O415" s="309"/>
      <c r="P415" s="326"/>
      <c r="Q415" s="309"/>
      <c r="R415" s="309"/>
      <c r="S415" s="309"/>
      <c r="T415" s="309"/>
      <c r="U415" s="309"/>
      <c r="V415" s="309"/>
      <c r="W415" s="309"/>
      <c r="X415" s="309"/>
      <c r="Y415" s="309"/>
      <c r="Z415" s="309"/>
    </row>
    <row r="416" spans="1:26" ht="12.75" customHeight="1">
      <c r="A416" s="309"/>
      <c r="B416" s="309"/>
      <c r="C416" s="309"/>
      <c r="D416" s="309"/>
      <c r="E416" s="309"/>
      <c r="F416" s="309"/>
      <c r="G416" s="309"/>
      <c r="H416" s="309"/>
      <c r="I416" s="309"/>
      <c r="J416" s="309"/>
      <c r="K416" s="1020"/>
      <c r="L416" s="309"/>
      <c r="M416" s="309"/>
      <c r="N416" s="309"/>
      <c r="O416" s="309"/>
      <c r="P416" s="326"/>
      <c r="Q416" s="309"/>
      <c r="R416" s="309"/>
      <c r="S416" s="309"/>
      <c r="T416" s="309"/>
      <c r="U416" s="309"/>
      <c r="V416" s="309"/>
      <c r="W416" s="309"/>
      <c r="X416" s="309"/>
      <c r="Y416" s="309"/>
      <c r="Z416" s="309"/>
    </row>
    <row r="417" spans="1:26" ht="12.75" customHeight="1">
      <c r="A417" s="309"/>
      <c r="B417" s="309"/>
      <c r="C417" s="309"/>
      <c r="D417" s="309"/>
      <c r="E417" s="309"/>
      <c r="F417" s="309"/>
      <c r="G417" s="309"/>
      <c r="H417" s="309"/>
      <c r="I417" s="309"/>
      <c r="J417" s="309"/>
      <c r="K417" s="1020"/>
      <c r="L417" s="309"/>
      <c r="M417" s="309"/>
      <c r="N417" s="309"/>
      <c r="O417" s="309"/>
      <c r="P417" s="326"/>
      <c r="Q417" s="309"/>
      <c r="R417" s="309"/>
      <c r="S417" s="309"/>
      <c r="T417" s="309"/>
      <c r="U417" s="309"/>
      <c r="V417" s="309"/>
      <c r="W417" s="309"/>
      <c r="X417" s="309"/>
      <c r="Y417" s="309"/>
      <c r="Z417" s="309"/>
    </row>
    <row r="418" spans="1:26" ht="12.75" customHeight="1">
      <c r="A418" s="309"/>
      <c r="B418" s="309"/>
      <c r="C418" s="309"/>
      <c r="D418" s="309"/>
      <c r="E418" s="309"/>
      <c r="F418" s="309"/>
      <c r="G418" s="309"/>
      <c r="H418" s="309"/>
      <c r="I418" s="309"/>
      <c r="J418" s="309"/>
      <c r="K418" s="1020"/>
      <c r="L418" s="309"/>
      <c r="M418" s="309"/>
      <c r="N418" s="309"/>
      <c r="O418" s="309"/>
      <c r="P418" s="326"/>
      <c r="Q418" s="309"/>
      <c r="R418" s="309"/>
      <c r="S418" s="309"/>
      <c r="T418" s="309"/>
      <c r="U418" s="309"/>
      <c r="V418" s="309"/>
      <c r="W418" s="309"/>
      <c r="X418" s="309"/>
      <c r="Y418" s="309"/>
      <c r="Z418" s="309"/>
    </row>
    <row r="419" spans="1:26" ht="12.75" customHeight="1">
      <c r="A419" s="309"/>
      <c r="B419" s="309"/>
      <c r="C419" s="309"/>
      <c r="D419" s="309"/>
      <c r="E419" s="309"/>
      <c r="F419" s="309"/>
      <c r="G419" s="309"/>
      <c r="H419" s="309"/>
      <c r="I419" s="309"/>
      <c r="J419" s="309"/>
      <c r="K419" s="1020"/>
      <c r="L419" s="309"/>
      <c r="M419" s="309"/>
      <c r="N419" s="309"/>
      <c r="O419" s="309"/>
      <c r="P419" s="326"/>
      <c r="Q419" s="309"/>
      <c r="R419" s="309"/>
      <c r="S419" s="309"/>
      <c r="T419" s="309"/>
      <c r="U419" s="309"/>
      <c r="V419" s="309"/>
      <c r="W419" s="309"/>
      <c r="X419" s="309"/>
      <c r="Y419" s="309"/>
      <c r="Z419" s="309"/>
    </row>
    <row r="420" spans="1:26" ht="12.75" customHeight="1">
      <c r="A420" s="309"/>
      <c r="B420" s="309"/>
      <c r="C420" s="309"/>
      <c r="D420" s="309"/>
      <c r="E420" s="309"/>
      <c r="F420" s="309"/>
      <c r="G420" s="309"/>
      <c r="H420" s="309"/>
      <c r="I420" s="309"/>
      <c r="J420" s="309"/>
      <c r="K420" s="1020"/>
      <c r="L420" s="309"/>
      <c r="M420" s="309"/>
      <c r="N420" s="309"/>
      <c r="O420" s="309"/>
      <c r="P420" s="326"/>
      <c r="Q420" s="309"/>
      <c r="R420" s="309"/>
      <c r="S420" s="309"/>
      <c r="T420" s="309"/>
      <c r="U420" s="309"/>
      <c r="V420" s="309"/>
      <c r="W420" s="309"/>
      <c r="X420" s="309"/>
      <c r="Y420" s="309"/>
      <c r="Z420" s="309"/>
    </row>
    <row r="421" spans="1:26" ht="12.75" customHeight="1">
      <c r="A421" s="309"/>
      <c r="B421" s="309"/>
      <c r="C421" s="309"/>
      <c r="D421" s="309"/>
      <c r="E421" s="309"/>
      <c r="F421" s="309"/>
      <c r="G421" s="309"/>
      <c r="H421" s="309"/>
      <c r="I421" s="309"/>
      <c r="J421" s="309"/>
      <c r="K421" s="1020"/>
      <c r="L421" s="309"/>
      <c r="M421" s="309"/>
      <c r="N421" s="309"/>
      <c r="O421" s="309"/>
      <c r="P421" s="326"/>
      <c r="Q421" s="309"/>
      <c r="R421" s="309"/>
      <c r="S421" s="309"/>
      <c r="T421" s="309"/>
      <c r="U421" s="309"/>
      <c r="V421" s="309"/>
      <c r="W421" s="309"/>
      <c r="X421" s="309"/>
      <c r="Y421" s="309"/>
      <c r="Z421" s="309"/>
    </row>
    <row r="422" spans="1:26" ht="12.75" customHeight="1">
      <c r="A422" s="309"/>
      <c r="B422" s="309"/>
      <c r="C422" s="309"/>
      <c r="D422" s="309"/>
      <c r="E422" s="309"/>
      <c r="F422" s="309"/>
      <c r="G422" s="309"/>
      <c r="H422" s="309"/>
      <c r="I422" s="309"/>
      <c r="J422" s="309"/>
      <c r="K422" s="1020"/>
      <c r="L422" s="309"/>
      <c r="M422" s="309"/>
      <c r="N422" s="309"/>
      <c r="O422" s="309"/>
      <c r="P422" s="326"/>
      <c r="Q422" s="309"/>
      <c r="R422" s="309"/>
      <c r="S422" s="309"/>
      <c r="T422" s="309"/>
      <c r="U422" s="309"/>
      <c r="V422" s="309"/>
      <c r="W422" s="309"/>
      <c r="X422" s="309"/>
      <c r="Y422" s="309"/>
      <c r="Z422" s="309"/>
    </row>
    <row r="423" spans="1:26" ht="12.75" customHeight="1">
      <c r="A423" s="309"/>
      <c r="B423" s="309"/>
      <c r="C423" s="309"/>
      <c r="D423" s="309"/>
      <c r="E423" s="309"/>
      <c r="F423" s="309"/>
      <c r="G423" s="309"/>
      <c r="H423" s="309"/>
      <c r="I423" s="309"/>
      <c r="J423" s="309"/>
      <c r="K423" s="1020"/>
      <c r="L423" s="309"/>
      <c r="M423" s="309"/>
      <c r="N423" s="309"/>
      <c r="O423" s="309"/>
      <c r="P423" s="326"/>
      <c r="Q423" s="309"/>
      <c r="R423" s="309"/>
      <c r="S423" s="309"/>
      <c r="T423" s="309"/>
      <c r="U423" s="309"/>
      <c r="V423" s="309"/>
      <c r="W423" s="309"/>
      <c r="X423" s="309"/>
      <c r="Y423" s="309"/>
      <c r="Z423" s="309"/>
    </row>
    <row r="424" spans="1:26" ht="12.75" customHeight="1">
      <c r="A424" s="309"/>
      <c r="B424" s="309"/>
      <c r="C424" s="309"/>
      <c r="D424" s="309"/>
      <c r="E424" s="309"/>
      <c r="F424" s="309"/>
      <c r="G424" s="309"/>
      <c r="H424" s="309"/>
      <c r="I424" s="309"/>
      <c r="J424" s="309"/>
      <c r="K424" s="1020"/>
      <c r="L424" s="309"/>
      <c r="M424" s="309"/>
      <c r="N424" s="309"/>
      <c r="O424" s="309"/>
      <c r="P424" s="326"/>
      <c r="Q424" s="309"/>
      <c r="R424" s="309"/>
      <c r="S424" s="309"/>
      <c r="T424" s="309"/>
      <c r="U424" s="309"/>
      <c r="V424" s="309"/>
      <c r="W424" s="309"/>
      <c r="X424" s="309"/>
      <c r="Y424" s="309"/>
      <c r="Z424" s="309"/>
    </row>
    <row r="425" spans="1:26" ht="12.75" customHeight="1">
      <c r="A425" s="309"/>
      <c r="B425" s="309"/>
      <c r="C425" s="309"/>
      <c r="D425" s="309"/>
      <c r="E425" s="309"/>
      <c r="F425" s="309"/>
      <c r="G425" s="309"/>
      <c r="H425" s="309"/>
      <c r="I425" s="309"/>
      <c r="J425" s="309"/>
      <c r="K425" s="1020"/>
      <c r="L425" s="309"/>
      <c r="M425" s="309"/>
      <c r="N425" s="309"/>
      <c r="O425" s="309"/>
      <c r="P425" s="326"/>
      <c r="Q425" s="309"/>
      <c r="R425" s="309"/>
      <c r="S425" s="309"/>
      <c r="T425" s="309"/>
      <c r="U425" s="309"/>
      <c r="V425" s="309"/>
      <c r="W425" s="309"/>
      <c r="X425" s="309"/>
      <c r="Y425" s="309"/>
      <c r="Z425" s="309"/>
    </row>
    <row r="426" spans="1:26" ht="12.75" customHeight="1">
      <c r="A426" s="309"/>
      <c r="B426" s="309"/>
      <c r="C426" s="309"/>
      <c r="D426" s="309"/>
      <c r="E426" s="309"/>
      <c r="F426" s="309"/>
      <c r="G426" s="309"/>
      <c r="H426" s="309"/>
      <c r="I426" s="309"/>
      <c r="J426" s="309"/>
      <c r="K426" s="1020"/>
      <c r="L426" s="309"/>
      <c r="M426" s="309"/>
      <c r="N426" s="309"/>
      <c r="O426" s="309"/>
      <c r="P426" s="326"/>
      <c r="Q426" s="309"/>
      <c r="R426" s="309"/>
      <c r="S426" s="309"/>
      <c r="T426" s="309"/>
      <c r="U426" s="309"/>
      <c r="V426" s="309"/>
      <c r="W426" s="309"/>
      <c r="X426" s="309"/>
      <c r="Y426" s="309"/>
      <c r="Z426" s="309"/>
    </row>
    <row r="427" spans="1:26" ht="12.75" customHeight="1">
      <c r="A427" s="309"/>
      <c r="B427" s="309"/>
      <c r="C427" s="309"/>
      <c r="D427" s="309"/>
      <c r="E427" s="309"/>
      <c r="F427" s="309"/>
      <c r="G427" s="309"/>
      <c r="H427" s="309"/>
      <c r="I427" s="309"/>
      <c r="J427" s="309"/>
      <c r="K427" s="1020"/>
      <c r="L427" s="309"/>
      <c r="M427" s="309"/>
      <c r="N427" s="309"/>
      <c r="O427" s="309"/>
      <c r="P427" s="326"/>
      <c r="Q427" s="309"/>
      <c r="R427" s="309"/>
      <c r="S427" s="309"/>
      <c r="T427" s="309"/>
      <c r="U427" s="309"/>
      <c r="V427" s="309"/>
      <c r="W427" s="309"/>
      <c r="X427" s="309"/>
      <c r="Y427" s="309"/>
      <c r="Z427" s="309"/>
    </row>
    <row r="428" spans="1:26" ht="12.75" customHeight="1">
      <c r="A428" s="309"/>
      <c r="B428" s="309"/>
      <c r="C428" s="309"/>
      <c r="D428" s="309"/>
      <c r="E428" s="309"/>
      <c r="F428" s="309"/>
      <c r="G428" s="309"/>
      <c r="H428" s="309"/>
      <c r="I428" s="309"/>
      <c r="J428" s="309"/>
      <c r="K428" s="1020"/>
      <c r="L428" s="309"/>
      <c r="M428" s="309"/>
      <c r="N428" s="309"/>
      <c r="O428" s="309"/>
      <c r="P428" s="326"/>
      <c r="Q428" s="309"/>
      <c r="R428" s="309"/>
      <c r="S428" s="309"/>
      <c r="T428" s="309"/>
      <c r="U428" s="309"/>
      <c r="V428" s="309"/>
      <c r="W428" s="309"/>
      <c r="X428" s="309"/>
      <c r="Y428" s="309"/>
      <c r="Z428" s="309"/>
    </row>
    <row r="429" spans="1:26" ht="12.75" customHeight="1">
      <c r="A429" s="309"/>
      <c r="B429" s="309"/>
      <c r="C429" s="309"/>
      <c r="D429" s="309"/>
      <c r="E429" s="309"/>
      <c r="F429" s="309"/>
      <c r="G429" s="309"/>
      <c r="H429" s="309"/>
      <c r="I429" s="309"/>
      <c r="J429" s="309"/>
      <c r="K429" s="1020"/>
      <c r="L429" s="309"/>
      <c r="M429" s="309"/>
      <c r="N429" s="309"/>
      <c r="O429" s="309"/>
      <c r="P429" s="326"/>
      <c r="Q429" s="309"/>
      <c r="R429" s="309"/>
      <c r="S429" s="309"/>
      <c r="T429" s="309"/>
      <c r="U429" s="309"/>
      <c r="V429" s="309"/>
      <c r="W429" s="309"/>
      <c r="X429" s="309"/>
      <c r="Y429" s="309"/>
      <c r="Z429" s="309"/>
    </row>
    <row r="430" spans="1:26" ht="12.75" customHeight="1">
      <c r="A430" s="309"/>
      <c r="B430" s="309"/>
      <c r="C430" s="309"/>
      <c r="D430" s="309"/>
      <c r="E430" s="309"/>
      <c r="F430" s="309"/>
      <c r="G430" s="309"/>
      <c r="H430" s="309"/>
      <c r="I430" s="309"/>
      <c r="J430" s="309"/>
      <c r="K430" s="1020"/>
      <c r="L430" s="309"/>
      <c r="M430" s="309"/>
      <c r="N430" s="309"/>
      <c r="O430" s="309"/>
      <c r="P430" s="326"/>
      <c r="Q430" s="309"/>
      <c r="R430" s="309"/>
      <c r="S430" s="309"/>
      <c r="T430" s="309"/>
      <c r="U430" s="309"/>
      <c r="V430" s="309"/>
      <c r="W430" s="309"/>
      <c r="X430" s="309"/>
      <c r="Y430" s="309"/>
      <c r="Z430" s="309"/>
    </row>
    <row r="431" spans="1:26" ht="12.75" customHeight="1">
      <c r="A431" s="309"/>
      <c r="B431" s="309"/>
      <c r="C431" s="309"/>
      <c r="D431" s="309"/>
      <c r="E431" s="309"/>
      <c r="F431" s="309"/>
      <c r="G431" s="309"/>
      <c r="H431" s="309"/>
      <c r="I431" s="309"/>
      <c r="J431" s="309"/>
      <c r="K431" s="1020"/>
      <c r="L431" s="309"/>
      <c r="M431" s="309"/>
      <c r="N431" s="309"/>
      <c r="O431" s="309"/>
      <c r="P431" s="326"/>
      <c r="Q431" s="309"/>
      <c r="R431" s="309"/>
      <c r="S431" s="309"/>
      <c r="T431" s="309"/>
      <c r="U431" s="309"/>
      <c r="V431" s="309"/>
      <c r="W431" s="309"/>
      <c r="X431" s="309"/>
      <c r="Y431" s="309"/>
      <c r="Z431" s="309"/>
    </row>
    <row r="432" spans="1:26" ht="12.75" customHeight="1">
      <c r="A432" s="309"/>
      <c r="B432" s="309"/>
      <c r="C432" s="309"/>
      <c r="D432" s="309"/>
      <c r="E432" s="309"/>
      <c r="F432" s="309"/>
      <c r="G432" s="309"/>
      <c r="H432" s="309"/>
      <c r="I432" s="309"/>
      <c r="J432" s="309"/>
      <c r="K432" s="1020"/>
      <c r="L432" s="309"/>
      <c r="M432" s="309"/>
      <c r="N432" s="309"/>
      <c r="O432" s="309"/>
      <c r="P432" s="326"/>
      <c r="Q432" s="309"/>
      <c r="R432" s="309"/>
      <c r="S432" s="309"/>
      <c r="T432" s="309"/>
      <c r="U432" s="309"/>
      <c r="V432" s="309"/>
      <c r="W432" s="309"/>
      <c r="X432" s="309"/>
      <c r="Y432" s="309"/>
      <c r="Z432" s="309"/>
    </row>
    <row r="433" spans="1:26" ht="12.75" customHeight="1">
      <c r="A433" s="309"/>
      <c r="B433" s="309"/>
      <c r="C433" s="309"/>
      <c r="D433" s="309"/>
      <c r="E433" s="309"/>
      <c r="F433" s="309"/>
      <c r="G433" s="309"/>
      <c r="H433" s="309"/>
      <c r="I433" s="309"/>
      <c r="J433" s="309"/>
      <c r="K433" s="1020"/>
      <c r="L433" s="309"/>
      <c r="M433" s="309"/>
      <c r="N433" s="309"/>
      <c r="O433" s="309"/>
      <c r="P433" s="326"/>
      <c r="Q433" s="309"/>
      <c r="R433" s="309"/>
      <c r="S433" s="309"/>
      <c r="T433" s="309"/>
      <c r="U433" s="309"/>
      <c r="V433" s="309"/>
      <c r="W433" s="309"/>
      <c r="X433" s="309"/>
      <c r="Y433" s="309"/>
      <c r="Z433" s="309"/>
    </row>
    <row r="434" spans="1:26" ht="12.75" customHeight="1">
      <c r="A434" s="309"/>
      <c r="B434" s="309"/>
      <c r="C434" s="309"/>
      <c r="D434" s="309"/>
      <c r="E434" s="309"/>
      <c r="F434" s="309"/>
      <c r="G434" s="309"/>
      <c r="H434" s="309"/>
      <c r="I434" s="309"/>
      <c r="J434" s="309"/>
      <c r="K434" s="1020"/>
      <c r="L434" s="309"/>
      <c r="M434" s="309"/>
      <c r="N434" s="309"/>
      <c r="O434" s="309"/>
      <c r="P434" s="326"/>
      <c r="Q434" s="309"/>
      <c r="R434" s="309"/>
      <c r="S434" s="309"/>
      <c r="T434" s="309"/>
      <c r="U434" s="309"/>
      <c r="V434" s="309"/>
      <c r="W434" s="309"/>
      <c r="X434" s="309"/>
      <c r="Y434" s="309"/>
      <c r="Z434" s="309"/>
    </row>
    <row r="435" spans="1:26" ht="12.75" customHeight="1">
      <c r="A435" s="309"/>
      <c r="B435" s="309"/>
      <c r="C435" s="309"/>
      <c r="D435" s="309"/>
      <c r="E435" s="309"/>
      <c r="F435" s="309"/>
      <c r="G435" s="309"/>
      <c r="H435" s="309"/>
      <c r="I435" s="309"/>
      <c r="J435" s="309"/>
      <c r="K435" s="1020"/>
      <c r="L435" s="309"/>
      <c r="M435" s="309"/>
      <c r="N435" s="309"/>
      <c r="O435" s="309"/>
      <c r="P435" s="326"/>
      <c r="Q435" s="309"/>
      <c r="R435" s="309"/>
      <c r="S435" s="309"/>
      <c r="T435" s="309"/>
      <c r="U435" s="309"/>
      <c r="V435" s="309"/>
      <c r="W435" s="309"/>
      <c r="X435" s="309"/>
      <c r="Y435" s="309"/>
      <c r="Z435" s="309"/>
    </row>
    <row r="436" spans="1:26" ht="12.75" customHeight="1">
      <c r="A436" s="309"/>
      <c r="B436" s="309"/>
      <c r="C436" s="309"/>
      <c r="D436" s="309"/>
      <c r="E436" s="309"/>
      <c r="F436" s="309"/>
      <c r="G436" s="309"/>
      <c r="H436" s="309"/>
      <c r="I436" s="309"/>
      <c r="J436" s="309"/>
      <c r="K436" s="1020"/>
      <c r="L436" s="309"/>
      <c r="M436" s="309"/>
      <c r="N436" s="309"/>
      <c r="O436" s="309"/>
      <c r="P436" s="326"/>
      <c r="Q436" s="309"/>
      <c r="R436" s="309"/>
      <c r="S436" s="309"/>
      <c r="T436" s="309"/>
      <c r="U436" s="309"/>
      <c r="V436" s="309"/>
      <c r="W436" s="309"/>
      <c r="X436" s="309"/>
      <c r="Y436" s="309"/>
      <c r="Z436" s="309"/>
    </row>
    <row r="437" spans="1:26" ht="12.75" customHeight="1">
      <c r="A437" s="309"/>
      <c r="B437" s="309"/>
      <c r="C437" s="309"/>
      <c r="D437" s="309"/>
      <c r="E437" s="309"/>
      <c r="F437" s="309"/>
      <c r="G437" s="309"/>
      <c r="H437" s="309"/>
      <c r="I437" s="309"/>
      <c r="J437" s="309"/>
      <c r="K437" s="1020"/>
      <c r="L437" s="309"/>
      <c r="M437" s="309"/>
      <c r="N437" s="309"/>
      <c r="O437" s="309"/>
      <c r="P437" s="326"/>
      <c r="Q437" s="309"/>
      <c r="R437" s="309"/>
      <c r="S437" s="309"/>
      <c r="T437" s="309"/>
      <c r="U437" s="309"/>
      <c r="V437" s="309"/>
      <c r="W437" s="309"/>
      <c r="X437" s="309"/>
      <c r="Y437" s="309"/>
      <c r="Z437" s="309"/>
    </row>
    <row r="438" spans="1:26" ht="12.75" customHeight="1">
      <c r="A438" s="309"/>
      <c r="B438" s="309"/>
      <c r="C438" s="309"/>
      <c r="D438" s="309"/>
      <c r="E438" s="309"/>
      <c r="F438" s="309"/>
      <c r="G438" s="309"/>
      <c r="H438" s="309"/>
      <c r="I438" s="309"/>
      <c r="J438" s="309"/>
      <c r="K438" s="1020"/>
      <c r="L438" s="309"/>
      <c r="M438" s="309"/>
      <c r="N438" s="309"/>
      <c r="O438" s="309"/>
      <c r="P438" s="326"/>
      <c r="Q438" s="309"/>
      <c r="R438" s="309"/>
      <c r="S438" s="309"/>
      <c r="T438" s="309"/>
      <c r="U438" s="309"/>
      <c r="V438" s="309"/>
      <c r="W438" s="309"/>
      <c r="X438" s="309"/>
      <c r="Y438" s="309"/>
      <c r="Z438" s="309"/>
    </row>
    <row r="439" spans="1:26" ht="12.75" customHeight="1">
      <c r="A439" s="309"/>
      <c r="B439" s="309"/>
      <c r="C439" s="309"/>
      <c r="D439" s="309"/>
      <c r="E439" s="309"/>
      <c r="F439" s="309"/>
      <c r="G439" s="309"/>
      <c r="H439" s="309"/>
      <c r="I439" s="309"/>
      <c r="J439" s="309"/>
      <c r="K439" s="1020"/>
      <c r="L439" s="309"/>
      <c r="M439" s="309"/>
      <c r="N439" s="309"/>
      <c r="O439" s="309"/>
      <c r="P439" s="326"/>
      <c r="Q439" s="309"/>
      <c r="R439" s="309"/>
      <c r="S439" s="309"/>
      <c r="T439" s="309"/>
      <c r="U439" s="309"/>
      <c r="V439" s="309"/>
      <c r="W439" s="309"/>
      <c r="X439" s="309"/>
      <c r="Y439" s="309"/>
      <c r="Z439" s="309"/>
    </row>
    <row r="440" spans="1:26" ht="12.75" customHeight="1">
      <c r="A440" s="309"/>
      <c r="B440" s="309"/>
      <c r="C440" s="309"/>
      <c r="D440" s="309"/>
      <c r="E440" s="309"/>
      <c r="F440" s="309"/>
      <c r="G440" s="309"/>
      <c r="H440" s="309"/>
      <c r="I440" s="309"/>
      <c r="J440" s="309"/>
      <c r="K440" s="1020"/>
      <c r="L440" s="309"/>
      <c r="M440" s="309"/>
      <c r="N440" s="309"/>
      <c r="O440" s="309"/>
      <c r="P440" s="326"/>
      <c r="Q440" s="309"/>
      <c r="R440" s="309"/>
      <c r="S440" s="309"/>
      <c r="T440" s="309"/>
      <c r="U440" s="309"/>
      <c r="V440" s="309"/>
      <c r="W440" s="309"/>
      <c r="X440" s="309"/>
      <c r="Y440" s="309"/>
      <c r="Z440" s="309"/>
    </row>
    <row r="441" spans="1:26" ht="12.75" customHeight="1">
      <c r="A441" s="309"/>
      <c r="B441" s="309"/>
      <c r="C441" s="309"/>
      <c r="D441" s="309"/>
      <c r="E441" s="309"/>
      <c r="F441" s="309"/>
      <c r="G441" s="309"/>
      <c r="H441" s="309"/>
      <c r="I441" s="309"/>
      <c r="J441" s="309"/>
      <c r="K441" s="1020"/>
      <c r="L441" s="309"/>
      <c r="M441" s="309"/>
      <c r="N441" s="309"/>
      <c r="O441" s="309"/>
      <c r="P441" s="326"/>
      <c r="Q441" s="309"/>
      <c r="R441" s="309"/>
      <c r="S441" s="309"/>
      <c r="T441" s="309"/>
      <c r="U441" s="309"/>
      <c r="V441" s="309"/>
      <c r="W441" s="309"/>
      <c r="X441" s="309"/>
      <c r="Y441" s="309"/>
      <c r="Z441" s="309"/>
    </row>
    <row r="442" spans="1:26" ht="12.75" customHeight="1">
      <c r="A442" s="309"/>
      <c r="B442" s="309"/>
      <c r="C442" s="309"/>
      <c r="D442" s="309"/>
      <c r="E442" s="309"/>
      <c r="F442" s="309"/>
      <c r="G442" s="309"/>
      <c r="H442" s="309"/>
      <c r="I442" s="309"/>
      <c r="J442" s="309"/>
      <c r="K442" s="1020"/>
      <c r="L442" s="309"/>
      <c r="M442" s="309"/>
      <c r="N442" s="309"/>
      <c r="O442" s="309"/>
      <c r="P442" s="326"/>
      <c r="Q442" s="309"/>
      <c r="R442" s="309"/>
      <c r="S442" s="309"/>
      <c r="T442" s="309"/>
      <c r="U442" s="309"/>
      <c r="V442" s="309"/>
      <c r="W442" s="309"/>
      <c r="X442" s="309"/>
      <c r="Y442" s="309"/>
      <c r="Z442" s="309"/>
    </row>
    <row r="443" spans="1:26" ht="12.75" customHeight="1">
      <c r="A443" s="309"/>
      <c r="B443" s="309"/>
      <c r="C443" s="309"/>
      <c r="D443" s="309"/>
      <c r="E443" s="309"/>
      <c r="F443" s="309"/>
      <c r="G443" s="309"/>
      <c r="H443" s="309"/>
      <c r="I443" s="309"/>
      <c r="J443" s="309"/>
      <c r="K443" s="1020"/>
      <c r="L443" s="309"/>
      <c r="M443" s="309"/>
      <c r="N443" s="309"/>
      <c r="O443" s="309"/>
      <c r="P443" s="326"/>
      <c r="Q443" s="309"/>
      <c r="R443" s="309"/>
      <c r="S443" s="309"/>
      <c r="T443" s="309"/>
      <c r="U443" s="309"/>
      <c r="V443" s="309"/>
      <c r="W443" s="309"/>
      <c r="X443" s="309"/>
      <c r="Y443" s="309"/>
      <c r="Z443" s="309"/>
    </row>
    <row r="444" spans="1:26" ht="12.75" customHeight="1">
      <c r="A444" s="309"/>
      <c r="B444" s="309"/>
      <c r="C444" s="309"/>
      <c r="D444" s="309"/>
      <c r="E444" s="309"/>
      <c r="F444" s="309"/>
      <c r="G444" s="309"/>
      <c r="H444" s="309"/>
      <c r="I444" s="309"/>
      <c r="J444" s="309"/>
      <c r="K444" s="1020"/>
      <c r="L444" s="309"/>
      <c r="M444" s="309"/>
      <c r="N444" s="309"/>
      <c r="O444" s="309"/>
      <c r="P444" s="326"/>
      <c r="Q444" s="309"/>
      <c r="R444" s="309"/>
      <c r="S444" s="309"/>
      <c r="T444" s="309"/>
      <c r="U444" s="309"/>
      <c r="V444" s="309"/>
      <c r="W444" s="309"/>
      <c r="X444" s="309"/>
      <c r="Y444" s="309"/>
      <c r="Z444" s="309"/>
    </row>
    <row r="445" spans="1:26" ht="12.75" customHeight="1">
      <c r="A445" s="309"/>
      <c r="B445" s="309"/>
      <c r="C445" s="309"/>
      <c r="D445" s="309"/>
      <c r="E445" s="309"/>
      <c r="F445" s="309"/>
      <c r="G445" s="309"/>
      <c r="H445" s="309"/>
      <c r="I445" s="309"/>
      <c r="J445" s="309"/>
      <c r="K445" s="1020"/>
      <c r="L445" s="309"/>
      <c r="M445" s="309"/>
      <c r="N445" s="309"/>
      <c r="O445" s="309"/>
      <c r="P445" s="326"/>
      <c r="Q445" s="309"/>
      <c r="R445" s="309"/>
      <c r="S445" s="309"/>
      <c r="T445" s="309"/>
      <c r="U445" s="309"/>
      <c r="V445" s="309"/>
      <c r="W445" s="309"/>
      <c r="X445" s="309"/>
      <c r="Y445" s="309"/>
      <c r="Z445" s="309"/>
    </row>
    <row r="446" spans="1:26" ht="12.75" customHeight="1">
      <c r="A446" s="309"/>
      <c r="B446" s="309"/>
      <c r="C446" s="309"/>
      <c r="D446" s="309"/>
      <c r="E446" s="309"/>
      <c r="F446" s="309"/>
      <c r="G446" s="309"/>
      <c r="H446" s="309"/>
      <c r="I446" s="309"/>
      <c r="J446" s="309"/>
      <c r="K446" s="1020"/>
      <c r="L446" s="309"/>
      <c r="M446" s="309"/>
      <c r="N446" s="309"/>
      <c r="O446" s="309"/>
      <c r="P446" s="326"/>
      <c r="Q446" s="309"/>
      <c r="R446" s="309"/>
      <c r="S446" s="309"/>
      <c r="T446" s="309"/>
      <c r="U446" s="309"/>
      <c r="V446" s="309"/>
      <c r="W446" s="309"/>
      <c r="X446" s="309"/>
      <c r="Y446" s="309"/>
      <c r="Z446" s="309"/>
    </row>
    <row r="447" spans="1:26" ht="12.75" customHeight="1">
      <c r="A447" s="309"/>
      <c r="B447" s="309"/>
      <c r="C447" s="309"/>
      <c r="D447" s="309"/>
      <c r="E447" s="309"/>
      <c r="F447" s="309"/>
      <c r="G447" s="309"/>
      <c r="H447" s="309"/>
      <c r="I447" s="309"/>
      <c r="J447" s="309"/>
      <c r="K447" s="1020"/>
      <c r="L447" s="309"/>
      <c r="M447" s="309"/>
      <c r="N447" s="309"/>
      <c r="O447" s="309"/>
      <c r="P447" s="326"/>
      <c r="Q447" s="309"/>
      <c r="R447" s="309"/>
      <c r="S447" s="309"/>
      <c r="T447" s="309"/>
      <c r="U447" s="309"/>
      <c r="V447" s="309"/>
      <c r="W447" s="309"/>
      <c r="X447" s="309"/>
      <c r="Y447" s="309"/>
      <c r="Z447" s="309"/>
    </row>
    <row r="448" spans="1:26" ht="12.75" customHeight="1">
      <c r="A448" s="309"/>
      <c r="B448" s="309"/>
      <c r="C448" s="309"/>
      <c r="D448" s="309"/>
      <c r="E448" s="309"/>
      <c r="F448" s="309"/>
      <c r="G448" s="309"/>
      <c r="H448" s="309"/>
      <c r="I448" s="309"/>
      <c r="J448" s="309"/>
      <c r="K448" s="1020"/>
      <c r="L448" s="309"/>
      <c r="M448" s="309"/>
      <c r="N448" s="309"/>
      <c r="O448" s="309"/>
      <c r="P448" s="326"/>
      <c r="Q448" s="309"/>
      <c r="R448" s="309"/>
      <c r="S448" s="309"/>
      <c r="T448" s="309"/>
      <c r="U448" s="309"/>
      <c r="V448" s="309"/>
      <c r="W448" s="309"/>
      <c r="X448" s="309"/>
      <c r="Y448" s="309"/>
      <c r="Z448" s="309"/>
    </row>
    <row r="449" spans="1:26" ht="12.75" customHeight="1">
      <c r="A449" s="309"/>
      <c r="B449" s="309"/>
      <c r="C449" s="309"/>
      <c r="D449" s="309"/>
      <c r="E449" s="309"/>
      <c r="F449" s="309"/>
      <c r="G449" s="309"/>
      <c r="H449" s="309"/>
      <c r="I449" s="309"/>
      <c r="J449" s="309"/>
      <c r="K449" s="1020"/>
      <c r="L449" s="309"/>
      <c r="M449" s="309"/>
      <c r="N449" s="309"/>
      <c r="O449" s="309"/>
      <c r="P449" s="326"/>
      <c r="Q449" s="309"/>
      <c r="R449" s="309"/>
      <c r="S449" s="309"/>
      <c r="T449" s="309"/>
      <c r="U449" s="309"/>
      <c r="V449" s="309"/>
      <c r="W449" s="309"/>
      <c r="X449" s="309"/>
      <c r="Y449" s="309"/>
      <c r="Z449" s="309"/>
    </row>
    <row r="450" spans="1:26" ht="12.75" customHeight="1">
      <c r="A450" s="309"/>
      <c r="B450" s="309"/>
      <c r="C450" s="309"/>
      <c r="D450" s="309"/>
      <c r="E450" s="309"/>
      <c r="F450" s="309"/>
      <c r="G450" s="309"/>
      <c r="H450" s="309"/>
      <c r="I450" s="309"/>
      <c r="J450" s="309"/>
      <c r="K450" s="1020"/>
      <c r="L450" s="309"/>
      <c r="M450" s="309"/>
      <c r="N450" s="309"/>
      <c r="O450" s="309"/>
      <c r="P450" s="326"/>
      <c r="Q450" s="309"/>
      <c r="R450" s="309"/>
      <c r="S450" s="309"/>
      <c r="T450" s="309"/>
      <c r="U450" s="309"/>
      <c r="V450" s="309"/>
      <c r="W450" s="309"/>
      <c r="X450" s="309"/>
      <c r="Y450" s="309"/>
      <c r="Z450" s="309"/>
    </row>
    <row r="451" spans="1:26" ht="12.75" customHeight="1">
      <c r="A451" s="309"/>
      <c r="B451" s="309"/>
      <c r="C451" s="309"/>
      <c r="D451" s="309"/>
      <c r="E451" s="309"/>
      <c r="F451" s="309"/>
      <c r="G451" s="309"/>
      <c r="H451" s="309"/>
      <c r="I451" s="309"/>
      <c r="J451" s="309"/>
      <c r="K451" s="1020"/>
      <c r="L451" s="309"/>
      <c r="M451" s="309"/>
      <c r="N451" s="309"/>
      <c r="O451" s="309"/>
      <c r="P451" s="326"/>
      <c r="Q451" s="309"/>
      <c r="R451" s="309"/>
      <c r="S451" s="309"/>
      <c r="T451" s="309"/>
      <c r="U451" s="309"/>
      <c r="V451" s="309"/>
      <c r="W451" s="309"/>
      <c r="X451" s="309"/>
      <c r="Y451" s="309"/>
      <c r="Z451" s="309"/>
    </row>
    <row r="452" spans="1:26" ht="12.75" customHeight="1">
      <c r="A452" s="309"/>
      <c r="B452" s="309"/>
      <c r="C452" s="309"/>
      <c r="D452" s="309"/>
      <c r="E452" s="309"/>
      <c r="F452" s="309"/>
      <c r="G452" s="309"/>
      <c r="H452" s="309"/>
      <c r="I452" s="309"/>
      <c r="J452" s="309"/>
      <c r="K452" s="1020"/>
      <c r="L452" s="309"/>
      <c r="M452" s="309"/>
      <c r="N452" s="309"/>
      <c r="O452" s="309"/>
      <c r="P452" s="326"/>
      <c r="Q452" s="309"/>
      <c r="R452" s="309"/>
      <c r="S452" s="309"/>
      <c r="T452" s="309"/>
      <c r="U452" s="309"/>
      <c r="V452" s="309"/>
      <c r="W452" s="309"/>
      <c r="X452" s="309"/>
      <c r="Y452" s="309"/>
      <c r="Z452" s="309"/>
    </row>
    <row r="453" spans="1:26" ht="12.75" customHeight="1">
      <c r="A453" s="309"/>
      <c r="B453" s="309"/>
      <c r="C453" s="309"/>
      <c r="D453" s="309"/>
      <c r="E453" s="309"/>
      <c r="F453" s="309"/>
      <c r="G453" s="309"/>
      <c r="H453" s="309"/>
      <c r="I453" s="309"/>
      <c r="J453" s="309"/>
      <c r="K453" s="1020"/>
      <c r="L453" s="309"/>
      <c r="M453" s="309"/>
      <c r="N453" s="309"/>
      <c r="O453" s="309"/>
      <c r="P453" s="326"/>
      <c r="Q453" s="309"/>
      <c r="R453" s="309"/>
      <c r="S453" s="309"/>
      <c r="T453" s="309"/>
      <c r="U453" s="309"/>
      <c r="V453" s="309"/>
      <c r="W453" s="309"/>
      <c r="X453" s="309"/>
      <c r="Y453" s="309"/>
      <c r="Z453" s="309"/>
    </row>
    <row r="454" spans="1:26" ht="12.75" customHeight="1">
      <c r="A454" s="309"/>
      <c r="B454" s="309"/>
      <c r="C454" s="309"/>
      <c r="D454" s="309"/>
      <c r="E454" s="309"/>
      <c r="F454" s="309"/>
      <c r="G454" s="309"/>
      <c r="H454" s="309"/>
      <c r="I454" s="309"/>
      <c r="J454" s="309"/>
      <c r="K454" s="1020"/>
      <c r="L454" s="309"/>
      <c r="M454" s="309"/>
      <c r="N454" s="309"/>
      <c r="O454" s="309"/>
      <c r="P454" s="326"/>
      <c r="Q454" s="309"/>
      <c r="R454" s="309"/>
      <c r="S454" s="309"/>
      <c r="T454" s="309"/>
      <c r="U454" s="309"/>
      <c r="V454" s="309"/>
      <c r="W454" s="309"/>
      <c r="X454" s="309"/>
      <c r="Y454" s="309"/>
      <c r="Z454" s="309"/>
    </row>
    <row r="455" spans="1:26" ht="12.75" customHeight="1">
      <c r="A455" s="309"/>
      <c r="B455" s="309"/>
      <c r="C455" s="309"/>
      <c r="D455" s="309"/>
      <c r="E455" s="309"/>
      <c r="F455" s="309"/>
      <c r="G455" s="309"/>
      <c r="H455" s="309"/>
      <c r="I455" s="309"/>
      <c r="J455" s="309"/>
      <c r="K455" s="1020"/>
      <c r="L455" s="309"/>
      <c r="M455" s="309"/>
      <c r="N455" s="309"/>
      <c r="O455" s="309"/>
      <c r="P455" s="326"/>
      <c r="Q455" s="309"/>
      <c r="R455" s="309"/>
      <c r="S455" s="309"/>
      <c r="T455" s="309"/>
      <c r="U455" s="309"/>
      <c r="V455" s="309"/>
      <c r="W455" s="309"/>
      <c r="X455" s="309"/>
      <c r="Y455" s="309"/>
      <c r="Z455" s="309"/>
    </row>
    <row r="456" spans="1:26" ht="12.75" customHeight="1">
      <c r="A456" s="309"/>
      <c r="B456" s="309"/>
      <c r="C456" s="309"/>
      <c r="D456" s="309"/>
      <c r="E456" s="309"/>
      <c r="F456" s="309"/>
      <c r="G456" s="309"/>
      <c r="H456" s="309"/>
      <c r="I456" s="309"/>
      <c r="J456" s="309"/>
      <c r="K456" s="1020"/>
      <c r="L456" s="309"/>
      <c r="M456" s="309"/>
      <c r="N456" s="309"/>
      <c r="O456" s="309"/>
      <c r="P456" s="326"/>
      <c r="Q456" s="309"/>
      <c r="R456" s="309"/>
      <c r="S456" s="309"/>
      <c r="T456" s="309"/>
      <c r="U456" s="309"/>
      <c r="V456" s="309"/>
      <c r="W456" s="309"/>
      <c r="X456" s="309"/>
      <c r="Y456" s="309"/>
      <c r="Z456" s="309"/>
    </row>
    <row r="457" spans="1:26" ht="12.75" customHeight="1">
      <c r="A457" s="309"/>
      <c r="B457" s="309"/>
      <c r="C457" s="309"/>
      <c r="D457" s="309"/>
      <c r="E457" s="309"/>
      <c r="F457" s="309"/>
      <c r="G457" s="309"/>
      <c r="H457" s="309"/>
      <c r="I457" s="309"/>
      <c r="J457" s="309"/>
      <c r="K457" s="1020"/>
      <c r="L457" s="309"/>
      <c r="M457" s="309"/>
      <c r="N457" s="309"/>
      <c r="O457" s="309"/>
      <c r="P457" s="326"/>
      <c r="Q457" s="309"/>
      <c r="R457" s="309"/>
      <c r="S457" s="309"/>
      <c r="T457" s="309"/>
      <c r="U457" s="309"/>
      <c r="V457" s="309"/>
      <c r="W457" s="309"/>
      <c r="X457" s="309"/>
      <c r="Y457" s="309"/>
      <c r="Z457" s="309"/>
    </row>
    <row r="458" spans="1:26" ht="12.75" customHeight="1">
      <c r="A458" s="309"/>
      <c r="B458" s="309"/>
      <c r="C458" s="309"/>
      <c r="D458" s="309"/>
      <c r="E458" s="309"/>
      <c r="F458" s="309"/>
      <c r="G458" s="309"/>
      <c r="H458" s="309"/>
      <c r="I458" s="309"/>
      <c r="J458" s="309"/>
      <c r="K458" s="1020"/>
      <c r="L458" s="309"/>
      <c r="M458" s="309"/>
      <c r="N458" s="309"/>
      <c r="O458" s="309"/>
      <c r="P458" s="326"/>
      <c r="Q458" s="309"/>
      <c r="R458" s="309"/>
      <c r="S458" s="309"/>
      <c r="T458" s="309"/>
      <c r="U458" s="309"/>
      <c r="V458" s="309"/>
      <c r="W458" s="309"/>
      <c r="X458" s="309"/>
      <c r="Y458" s="309"/>
      <c r="Z458" s="309"/>
    </row>
    <row r="459" spans="1:26" ht="12.75" customHeight="1">
      <c r="A459" s="309"/>
      <c r="B459" s="309"/>
      <c r="C459" s="309"/>
      <c r="D459" s="309"/>
      <c r="E459" s="309"/>
      <c r="F459" s="309"/>
      <c r="G459" s="309"/>
      <c r="H459" s="309"/>
      <c r="I459" s="309"/>
      <c r="J459" s="309"/>
      <c r="K459" s="1020"/>
      <c r="L459" s="309"/>
      <c r="M459" s="309"/>
      <c r="N459" s="309"/>
      <c r="O459" s="309"/>
      <c r="P459" s="326"/>
      <c r="Q459" s="309"/>
      <c r="R459" s="309"/>
      <c r="S459" s="309"/>
      <c r="T459" s="309"/>
      <c r="U459" s="309"/>
      <c r="V459" s="309"/>
      <c r="W459" s="309"/>
      <c r="X459" s="309"/>
      <c r="Y459" s="309"/>
      <c r="Z459" s="309"/>
    </row>
    <row r="460" spans="1:26" ht="12.75" customHeight="1">
      <c r="A460" s="309"/>
      <c r="B460" s="309"/>
      <c r="C460" s="309"/>
      <c r="D460" s="309"/>
      <c r="E460" s="309"/>
      <c r="F460" s="309"/>
      <c r="G460" s="309"/>
      <c r="H460" s="309"/>
      <c r="I460" s="309"/>
      <c r="J460" s="309"/>
      <c r="K460" s="1020"/>
      <c r="L460" s="309"/>
      <c r="M460" s="309"/>
      <c r="N460" s="309"/>
      <c r="O460" s="309"/>
      <c r="P460" s="326"/>
      <c r="Q460" s="309"/>
      <c r="R460" s="309"/>
      <c r="S460" s="309"/>
      <c r="T460" s="309"/>
      <c r="U460" s="309"/>
      <c r="V460" s="309"/>
      <c r="W460" s="309"/>
      <c r="X460" s="309"/>
      <c r="Y460" s="309"/>
      <c r="Z460" s="309"/>
    </row>
    <row r="461" spans="1:26" ht="12.75" customHeight="1">
      <c r="A461" s="309"/>
      <c r="B461" s="309"/>
      <c r="C461" s="309"/>
      <c r="D461" s="309"/>
      <c r="E461" s="309"/>
      <c r="F461" s="309"/>
      <c r="G461" s="309"/>
      <c r="H461" s="309"/>
      <c r="I461" s="309"/>
      <c r="J461" s="309"/>
      <c r="K461" s="1020"/>
      <c r="L461" s="309"/>
      <c r="M461" s="309"/>
      <c r="N461" s="309"/>
      <c r="O461" s="309"/>
      <c r="P461" s="326"/>
      <c r="Q461" s="309"/>
      <c r="R461" s="309"/>
      <c r="S461" s="309"/>
      <c r="T461" s="309"/>
      <c r="U461" s="309"/>
      <c r="V461" s="309"/>
      <c r="W461" s="309"/>
      <c r="X461" s="309"/>
      <c r="Y461" s="309"/>
      <c r="Z461" s="309"/>
    </row>
    <row r="462" spans="1:26" ht="12.75" customHeight="1">
      <c r="A462" s="309"/>
      <c r="B462" s="309"/>
      <c r="C462" s="309"/>
      <c r="D462" s="309"/>
      <c r="E462" s="309"/>
      <c r="F462" s="309"/>
      <c r="G462" s="309"/>
      <c r="H462" s="309"/>
      <c r="I462" s="309"/>
      <c r="J462" s="309"/>
      <c r="K462" s="1020"/>
      <c r="L462" s="309"/>
      <c r="M462" s="309"/>
      <c r="N462" s="309"/>
      <c r="O462" s="309"/>
      <c r="P462" s="326"/>
      <c r="Q462" s="309"/>
      <c r="R462" s="309"/>
      <c r="S462" s="309"/>
      <c r="T462" s="309"/>
      <c r="U462" s="309"/>
      <c r="V462" s="309"/>
      <c r="W462" s="309"/>
      <c r="X462" s="309"/>
      <c r="Y462" s="309"/>
      <c r="Z462" s="309"/>
    </row>
    <row r="463" spans="1:26" ht="12.75" customHeight="1">
      <c r="A463" s="309"/>
      <c r="B463" s="309"/>
      <c r="C463" s="309"/>
      <c r="D463" s="309"/>
      <c r="E463" s="309"/>
      <c r="F463" s="309"/>
      <c r="G463" s="309"/>
      <c r="H463" s="309"/>
      <c r="I463" s="309"/>
      <c r="J463" s="309"/>
      <c r="K463" s="1020"/>
      <c r="L463" s="309"/>
      <c r="M463" s="309"/>
      <c r="N463" s="309"/>
      <c r="O463" s="309"/>
      <c r="P463" s="326"/>
      <c r="Q463" s="309"/>
      <c r="R463" s="309"/>
      <c r="S463" s="309"/>
      <c r="T463" s="309"/>
      <c r="U463" s="309"/>
      <c r="V463" s="309"/>
      <c r="W463" s="309"/>
      <c r="X463" s="309"/>
      <c r="Y463" s="309"/>
      <c r="Z463" s="309"/>
    </row>
    <row r="464" spans="1:26" ht="12.75" customHeight="1">
      <c r="A464" s="309"/>
      <c r="B464" s="309"/>
      <c r="C464" s="309"/>
      <c r="D464" s="309"/>
      <c r="E464" s="309"/>
      <c r="F464" s="309"/>
      <c r="G464" s="309"/>
      <c r="H464" s="309"/>
      <c r="I464" s="309"/>
      <c r="J464" s="309"/>
      <c r="K464" s="1020"/>
      <c r="L464" s="309"/>
      <c r="M464" s="309"/>
      <c r="N464" s="309"/>
      <c r="O464" s="309"/>
      <c r="P464" s="326"/>
      <c r="Q464" s="309"/>
      <c r="R464" s="309"/>
      <c r="S464" s="309"/>
      <c r="T464" s="309"/>
      <c r="U464" s="309"/>
      <c r="V464" s="309"/>
      <c r="W464" s="309"/>
      <c r="X464" s="309"/>
      <c r="Y464" s="309"/>
      <c r="Z464" s="309"/>
    </row>
    <row r="465" spans="1:26" ht="12.75" customHeight="1">
      <c r="A465" s="309"/>
      <c r="B465" s="309"/>
      <c r="C465" s="309"/>
      <c r="D465" s="309"/>
      <c r="E465" s="309"/>
      <c r="F465" s="309"/>
      <c r="G465" s="309"/>
      <c r="H465" s="309"/>
      <c r="I465" s="309"/>
      <c r="J465" s="309"/>
      <c r="K465" s="1020"/>
      <c r="L465" s="309"/>
      <c r="M465" s="309"/>
      <c r="N465" s="309"/>
      <c r="O465" s="309"/>
      <c r="P465" s="326"/>
      <c r="Q465" s="309"/>
      <c r="R465" s="309"/>
      <c r="S465" s="309"/>
      <c r="T465" s="309"/>
      <c r="U465" s="309"/>
      <c r="V465" s="309"/>
      <c r="W465" s="309"/>
      <c r="X465" s="309"/>
      <c r="Y465" s="309"/>
      <c r="Z465" s="309"/>
    </row>
    <row r="466" spans="1:26" ht="12.75" customHeight="1">
      <c r="A466" s="309"/>
      <c r="B466" s="309"/>
      <c r="C466" s="309"/>
      <c r="D466" s="309"/>
      <c r="E466" s="309"/>
      <c r="F466" s="309"/>
      <c r="G466" s="309"/>
      <c r="H466" s="309"/>
      <c r="I466" s="309"/>
      <c r="J466" s="309"/>
      <c r="K466" s="1020"/>
      <c r="L466" s="309"/>
      <c r="M466" s="309"/>
      <c r="N466" s="309"/>
      <c r="O466" s="309"/>
      <c r="P466" s="326"/>
      <c r="Q466" s="309"/>
      <c r="R466" s="309"/>
      <c r="S466" s="309"/>
      <c r="T466" s="309"/>
      <c r="U466" s="309"/>
      <c r="V466" s="309"/>
      <c r="W466" s="309"/>
      <c r="X466" s="309"/>
      <c r="Y466" s="309"/>
      <c r="Z466" s="309"/>
    </row>
    <row r="467" spans="1:26" ht="12.75" customHeight="1">
      <c r="A467" s="309"/>
      <c r="B467" s="309"/>
      <c r="C467" s="309"/>
      <c r="D467" s="309"/>
      <c r="E467" s="309"/>
      <c r="F467" s="309"/>
      <c r="G467" s="309"/>
      <c r="H467" s="309"/>
      <c r="I467" s="309"/>
      <c r="J467" s="309"/>
      <c r="K467" s="1020"/>
      <c r="L467" s="309"/>
      <c r="M467" s="309"/>
      <c r="N467" s="309"/>
      <c r="O467" s="309"/>
      <c r="P467" s="326"/>
      <c r="Q467" s="309"/>
      <c r="R467" s="309"/>
      <c r="S467" s="309"/>
      <c r="T467" s="309"/>
      <c r="U467" s="309"/>
      <c r="V467" s="309"/>
      <c r="W467" s="309"/>
      <c r="X467" s="309"/>
      <c r="Y467" s="309"/>
      <c r="Z467" s="309"/>
    </row>
    <row r="468" spans="1:26" ht="12.75" customHeight="1">
      <c r="A468" s="309"/>
      <c r="B468" s="309"/>
      <c r="C468" s="309"/>
      <c r="D468" s="309"/>
      <c r="E468" s="309"/>
      <c r="F468" s="309"/>
      <c r="G468" s="309"/>
      <c r="H468" s="309"/>
      <c r="I468" s="309"/>
      <c r="J468" s="309"/>
      <c r="K468" s="1020"/>
      <c r="L468" s="309"/>
      <c r="M468" s="309"/>
      <c r="N468" s="309"/>
      <c r="O468" s="309"/>
      <c r="P468" s="326"/>
      <c r="Q468" s="309"/>
      <c r="R468" s="309"/>
      <c r="S468" s="309"/>
      <c r="T468" s="309"/>
      <c r="U468" s="309"/>
      <c r="V468" s="309"/>
      <c r="W468" s="309"/>
      <c r="X468" s="309"/>
      <c r="Y468" s="309"/>
      <c r="Z468" s="309"/>
    </row>
    <row r="469" spans="1:26" ht="12.75" customHeight="1">
      <c r="A469" s="309"/>
      <c r="B469" s="309"/>
      <c r="C469" s="309"/>
      <c r="D469" s="309"/>
      <c r="E469" s="309"/>
      <c r="F469" s="309"/>
      <c r="G469" s="309"/>
      <c r="H469" s="309"/>
      <c r="I469" s="309"/>
      <c r="J469" s="309"/>
      <c r="K469" s="1020"/>
      <c r="L469" s="309"/>
      <c r="M469" s="309"/>
      <c r="N469" s="309"/>
      <c r="O469" s="309"/>
      <c r="P469" s="326"/>
      <c r="Q469" s="309"/>
      <c r="R469" s="309"/>
      <c r="S469" s="309"/>
      <c r="T469" s="309"/>
      <c r="U469" s="309"/>
      <c r="V469" s="309"/>
      <c r="W469" s="309"/>
      <c r="X469" s="309"/>
      <c r="Y469" s="309"/>
      <c r="Z469" s="309"/>
    </row>
    <row r="470" spans="1:26" ht="12.75" customHeight="1">
      <c r="A470" s="309"/>
      <c r="B470" s="309"/>
      <c r="C470" s="309"/>
      <c r="D470" s="309"/>
      <c r="E470" s="309"/>
      <c r="F470" s="309"/>
      <c r="G470" s="309"/>
      <c r="H470" s="309"/>
      <c r="I470" s="309"/>
      <c r="J470" s="309"/>
      <c r="K470" s="1020"/>
      <c r="L470" s="309"/>
      <c r="M470" s="309"/>
      <c r="N470" s="309"/>
      <c r="O470" s="309"/>
      <c r="P470" s="326"/>
      <c r="Q470" s="309"/>
      <c r="R470" s="309"/>
      <c r="S470" s="309"/>
      <c r="T470" s="309"/>
      <c r="U470" s="309"/>
      <c r="V470" s="309"/>
      <c r="W470" s="309"/>
      <c r="X470" s="309"/>
      <c r="Y470" s="309"/>
      <c r="Z470" s="309"/>
    </row>
    <row r="471" spans="1:26" ht="12.75" customHeight="1">
      <c r="A471" s="309"/>
      <c r="B471" s="309"/>
      <c r="C471" s="309"/>
      <c r="D471" s="309"/>
      <c r="E471" s="309"/>
      <c r="F471" s="309"/>
      <c r="G471" s="309"/>
      <c r="H471" s="309"/>
      <c r="I471" s="309"/>
      <c r="J471" s="309"/>
      <c r="K471" s="1020"/>
      <c r="L471" s="309"/>
      <c r="M471" s="309"/>
      <c r="N471" s="309"/>
      <c r="O471" s="309"/>
      <c r="P471" s="326"/>
      <c r="Q471" s="309"/>
      <c r="R471" s="309"/>
      <c r="S471" s="309"/>
      <c r="T471" s="309"/>
      <c r="U471" s="309"/>
      <c r="V471" s="309"/>
      <c r="W471" s="309"/>
      <c r="X471" s="309"/>
      <c r="Y471" s="309"/>
      <c r="Z471" s="309"/>
    </row>
    <row r="472" spans="1:26" ht="12.75" customHeight="1">
      <c r="A472" s="309"/>
      <c r="B472" s="309"/>
      <c r="C472" s="309"/>
      <c r="D472" s="309"/>
      <c r="E472" s="309"/>
      <c r="F472" s="309"/>
      <c r="G472" s="309"/>
      <c r="H472" s="309"/>
      <c r="I472" s="309"/>
      <c r="J472" s="309"/>
      <c r="K472" s="1020"/>
      <c r="L472" s="309"/>
      <c r="M472" s="309"/>
      <c r="N472" s="309"/>
      <c r="O472" s="309"/>
      <c r="P472" s="326"/>
      <c r="Q472" s="309"/>
      <c r="R472" s="309"/>
      <c r="S472" s="309"/>
      <c r="T472" s="309"/>
      <c r="U472" s="309"/>
      <c r="V472" s="309"/>
      <c r="W472" s="309"/>
      <c r="X472" s="309"/>
      <c r="Y472" s="309"/>
      <c r="Z472" s="309"/>
    </row>
    <row r="473" spans="1:26" ht="12.75" customHeight="1">
      <c r="A473" s="309"/>
      <c r="B473" s="309"/>
      <c r="C473" s="309"/>
      <c r="D473" s="309"/>
      <c r="E473" s="309"/>
      <c r="F473" s="309"/>
      <c r="G473" s="309"/>
      <c r="H473" s="309"/>
      <c r="I473" s="309"/>
      <c r="J473" s="309"/>
      <c r="K473" s="1020"/>
      <c r="L473" s="309"/>
      <c r="M473" s="309"/>
      <c r="N473" s="309"/>
      <c r="O473" s="309"/>
      <c r="P473" s="326"/>
      <c r="Q473" s="309"/>
      <c r="R473" s="309"/>
      <c r="S473" s="309"/>
      <c r="T473" s="309"/>
      <c r="U473" s="309"/>
      <c r="V473" s="309"/>
      <c r="W473" s="309"/>
      <c r="X473" s="309"/>
      <c r="Y473" s="309"/>
      <c r="Z473" s="309"/>
    </row>
    <row r="474" spans="1:26" ht="12.75" customHeight="1">
      <c r="A474" s="309"/>
      <c r="B474" s="309"/>
      <c r="C474" s="309"/>
      <c r="D474" s="309"/>
      <c r="E474" s="309"/>
      <c r="F474" s="309"/>
      <c r="G474" s="309"/>
      <c r="H474" s="309"/>
      <c r="I474" s="309"/>
      <c r="J474" s="309"/>
      <c r="K474" s="1020"/>
      <c r="L474" s="309"/>
      <c r="M474" s="309"/>
      <c r="N474" s="309"/>
      <c r="O474" s="309"/>
      <c r="P474" s="326"/>
      <c r="Q474" s="309"/>
      <c r="R474" s="309"/>
      <c r="S474" s="309"/>
      <c r="T474" s="309"/>
      <c r="U474" s="309"/>
      <c r="V474" s="309"/>
      <c r="W474" s="309"/>
      <c r="X474" s="309"/>
      <c r="Y474" s="309"/>
      <c r="Z474" s="309"/>
    </row>
    <row r="475" spans="1:26" ht="12.75" customHeight="1">
      <c r="A475" s="309"/>
      <c r="B475" s="309"/>
      <c r="C475" s="309"/>
      <c r="D475" s="309"/>
      <c r="E475" s="309"/>
      <c r="F475" s="309"/>
      <c r="G475" s="309"/>
      <c r="H475" s="309"/>
      <c r="I475" s="309"/>
      <c r="J475" s="309"/>
      <c r="K475" s="1020"/>
      <c r="L475" s="309"/>
      <c r="M475" s="309"/>
      <c r="N475" s="309"/>
      <c r="O475" s="309"/>
      <c r="P475" s="326"/>
      <c r="Q475" s="309"/>
      <c r="R475" s="309"/>
      <c r="S475" s="309"/>
      <c r="T475" s="309"/>
      <c r="U475" s="309"/>
      <c r="V475" s="309"/>
      <c r="W475" s="309"/>
      <c r="X475" s="309"/>
      <c r="Y475" s="309"/>
      <c r="Z475" s="309"/>
    </row>
    <row r="476" spans="1:26" ht="12.75" customHeight="1">
      <c r="A476" s="309"/>
      <c r="B476" s="309"/>
      <c r="C476" s="309"/>
      <c r="D476" s="309"/>
      <c r="E476" s="309"/>
      <c r="F476" s="309"/>
      <c r="G476" s="309"/>
      <c r="H476" s="309"/>
      <c r="I476" s="309"/>
      <c r="J476" s="309"/>
      <c r="K476" s="1020"/>
      <c r="L476" s="309"/>
      <c r="M476" s="309"/>
      <c r="N476" s="309"/>
      <c r="O476" s="309"/>
      <c r="P476" s="326"/>
      <c r="Q476" s="309"/>
      <c r="R476" s="309"/>
      <c r="S476" s="309"/>
      <c r="T476" s="309"/>
      <c r="U476" s="309"/>
      <c r="V476" s="309"/>
      <c r="W476" s="309"/>
      <c r="X476" s="309"/>
      <c r="Y476" s="309"/>
      <c r="Z476" s="309"/>
    </row>
    <row r="477" spans="1:26" ht="12.75" customHeight="1">
      <c r="A477" s="309"/>
      <c r="B477" s="309"/>
      <c r="C477" s="309"/>
      <c r="D477" s="309"/>
      <c r="E477" s="309"/>
      <c r="F477" s="309"/>
      <c r="G477" s="309"/>
      <c r="H477" s="309"/>
      <c r="I477" s="309"/>
      <c r="J477" s="309"/>
      <c r="K477" s="1020"/>
      <c r="L477" s="309"/>
      <c r="M477" s="309"/>
      <c r="N477" s="309"/>
      <c r="O477" s="309"/>
      <c r="P477" s="326"/>
      <c r="Q477" s="309"/>
      <c r="R477" s="309"/>
      <c r="S477" s="309"/>
      <c r="T477" s="309"/>
      <c r="U477" s="309"/>
      <c r="V477" s="309"/>
      <c r="W477" s="309"/>
      <c r="X477" s="309"/>
      <c r="Y477" s="309"/>
      <c r="Z477" s="309"/>
    </row>
    <row r="478" spans="1:26" ht="12.75" customHeight="1">
      <c r="A478" s="309"/>
      <c r="B478" s="309"/>
      <c r="C478" s="309"/>
      <c r="D478" s="309"/>
      <c r="E478" s="309"/>
      <c r="F478" s="309"/>
      <c r="G478" s="309"/>
      <c r="H478" s="309"/>
      <c r="I478" s="309"/>
      <c r="J478" s="309"/>
      <c r="K478" s="1020"/>
      <c r="L478" s="309"/>
      <c r="M478" s="309"/>
      <c r="N478" s="309"/>
      <c r="O478" s="309"/>
      <c r="P478" s="326"/>
      <c r="Q478" s="309"/>
      <c r="R478" s="309"/>
      <c r="S478" s="309"/>
      <c r="T478" s="309"/>
      <c r="U478" s="309"/>
      <c r="V478" s="309"/>
      <c r="W478" s="309"/>
      <c r="X478" s="309"/>
      <c r="Y478" s="309"/>
      <c r="Z478" s="309"/>
    </row>
    <row r="479" spans="1:26" ht="12.75" customHeight="1">
      <c r="A479" s="309"/>
      <c r="B479" s="309"/>
      <c r="C479" s="309"/>
      <c r="D479" s="309"/>
      <c r="E479" s="309"/>
      <c r="F479" s="309"/>
      <c r="G479" s="309"/>
      <c r="H479" s="309"/>
      <c r="I479" s="309"/>
      <c r="J479" s="309"/>
      <c r="K479" s="1020"/>
      <c r="L479" s="309"/>
      <c r="M479" s="309"/>
      <c r="N479" s="309"/>
      <c r="O479" s="309"/>
      <c r="P479" s="326"/>
      <c r="Q479" s="309"/>
      <c r="R479" s="309"/>
      <c r="S479" s="309"/>
      <c r="T479" s="309"/>
      <c r="U479" s="309"/>
      <c r="V479" s="309"/>
      <c r="W479" s="309"/>
      <c r="X479" s="309"/>
      <c r="Y479" s="309"/>
      <c r="Z479" s="309"/>
    </row>
    <row r="480" spans="1:26" ht="12.75" customHeight="1">
      <c r="A480" s="309"/>
      <c r="B480" s="309"/>
      <c r="C480" s="309"/>
      <c r="D480" s="309"/>
      <c r="E480" s="309"/>
      <c r="F480" s="309"/>
      <c r="G480" s="309"/>
      <c r="H480" s="309"/>
      <c r="I480" s="309"/>
      <c r="J480" s="309"/>
      <c r="K480" s="1020"/>
      <c r="L480" s="309"/>
      <c r="M480" s="309"/>
      <c r="N480" s="309"/>
      <c r="O480" s="309"/>
      <c r="P480" s="326"/>
      <c r="Q480" s="309"/>
      <c r="R480" s="309"/>
      <c r="S480" s="309"/>
      <c r="T480" s="309"/>
      <c r="U480" s="309"/>
      <c r="V480" s="309"/>
      <c r="W480" s="309"/>
      <c r="X480" s="309"/>
      <c r="Y480" s="309"/>
      <c r="Z480" s="309"/>
    </row>
    <row r="481" spans="1:26" ht="12.75" customHeight="1">
      <c r="A481" s="309"/>
      <c r="B481" s="309"/>
      <c r="C481" s="309"/>
      <c r="D481" s="309"/>
      <c r="E481" s="309"/>
      <c r="F481" s="309"/>
      <c r="G481" s="309"/>
      <c r="H481" s="309"/>
      <c r="I481" s="309"/>
      <c r="J481" s="309"/>
      <c r="K481" s="1020"/>
      <c r="L481" s="309"/>
      <c r="M481" s="309"/>
      <c r="N481" s="309"/>
      <c r="O481" s="309"/>
      <c r="P481" s="326"/>
      <c r="Q481" s="309"/>
      <c r="R481" s="309"/>
      <c r="S481" s="309"/>
      <c r="T481" s="309"/>
      <c r="U481" s="309"/>
      <c r="V481" s="309"/>
      <c r="W481" s="309"/>
      <c r="X481" s="309"/>
      <c r="Y481" s="309"/>
      <c r="Z481" s="309"/>
    </row>
    <row r="482" spans="1:26" ht="12.75" customHeight="1">
      <c r="A482" s="309"/>
      <c r="B482" s="309"/>
      <c r="C482" s="309"/>
      <c r="D482" s="309"/>
      <c r="E482" s="309"/>
      <c r="F482" s="309"/>
      <c r="G482" s="309"/>
      <c r="H482" s="309"/>
      <c r="I482" s="309"/>
      <c r="J482" s="309"/>
      <c r="K482" s="1020"/>
      <c r="L482" s="309"/>
      <c r="M482" s="309"/>
      <c r="N482" s="309"/>
      <c r="O482" s="309"/>
      <c r="P482" s="326"/>
      <c r="Q482" s="309"/>
      <c r="R482" s="309"/>
      <c r="S482" s="309"/>
      <c r="T482" s="309"/>
      <c r="U482" s="309"/>
      <c r="V482" s="309"/>
      <c r="W482" s="309"/>
      <c r="X482" s="309"/>
      <c r="Y482" s="309"/>
      <c r="Z482" s="309"/>
    </row>
    <row r="483" spans="1:26" ht="12.75" customHeight="1">
      <c r="A483" s="309"/>
      <c r="B483" s="309"/>
      <c r="C483" s="309"/>
      <c r="D483" s="309"/>
      <c r="E483" s="309"/>
      <c r="F483" s="309"/>
      <c r="G483" s="309"/>
      <c r="H483" s="309"/>
      <c r="I483" s="309"/>
      <c r="J483" s="309"/>
      <c r="K483" s="1020"/>
      <c r="L483" s="309"/>
      <c r="M483" s="309"/>
      <c r="N483" s="309"/>
      <c r="O483" s="309"/>
      <c r="P483" s="326"/>
      <c r="Q483" s="309"/>
      <c r="R483" s="309"/>
      <c r="S483" s="309"/>
      <c r="T483" s="309"/>
      <c r="U483" s="309"/>
      <c r="V483" s="309"/>
      <c r="W483" s="309"/>
      <c r="X483" s="309"/>
      <c r="Y483" s="309"/>
      <c r="Z483" s="309"/>
    </row>
    <row r="484" spans="1:26" ht="12.75" customHeight="1">
      <c r="A484" s="309"/>
      <c r="B484" s="309"/>
      <c r="C484" s="309"/>
      <c r="D484" s="309"/>
      <c r="E484" s="309"/>
      <c r="F484" s="309"/>
      <c r="G484" s="309"/>
      <c r="H484" s="309"/>
      <c r="I484" s="309"/>
      <c r="J484" s="309"/>
      <c r="K484" s="1020"/>
      <c r="L484" s="309"/>
      <c r="M484" s="309"/>
      <c r="N484" s="309"/>
      <c r="O484" s="309"/>
      <c r="P484" s="326"/>
      <c r="Q484" s="309"/>
      <c r="R484" s="309"/>
      <c r="S484" s="309"/>
      <c r="T484" s="309"/>
      <c r="U484" s="309"/>
      <c r="V484" s="309"/>
      <c r="W484" s="309"/>
      <c r="X484" s="309"/>
      <c r="Y484" s="309"/>
      <c r="Z484" s="309"/>
    </row>
    <row r="485" spans="1:26" ht="12.75" customHeight="1">
      <c r="A485" s="309"/>
      <c r="B485" s="309"/>
      <c r="C485" s="309"/>
      <c r="D485" s="309"/>
      <c r="E485" s="309"/>
      <c r="F485" s="309"/>
      <c r="G485" s="309"/>
      <c r="H485" s="309"/>
      <c r="I485" s="309"/>
      <c r="J485" s="309"/>
      <c r="K485" s="1020"/>
      <c r="L485" s="309"/>
      <c r="M485" s="309"/>
      <c r="N485" s="309"/>
      <c r="O485" s="309"/>
      <c r="P485" s="326"/>
      <c r="Q485" s="309"/>
      <c r="R485" s="309"/>
      <c r="S485" s="309"/>
      <c r="T485" s="309"/>
      <c r="U485" s="309"/>
      <c r="V485" s="309"/>
      <c r="W485" s="309"/>
      <c r="X485" s="309"/>
      <c r="Y485" s="309"/>
      <c r="Z485" s="309"/>
    </row>
    <row r="486" spans="1:26" ht="12.75" customHeight="1">
      <c r="A486" s="309"/>
      <c r="B486" s="309"/>
      <c r="C486" s="309"/>
      <c r="D486" s="309"/>
      <c r="E486" s="309"/>
      <c r="F486" s="309"/>
      <c r="G486" s="309"/>
      <c r="H486" s="309"/>
      <c r="I486" s="309"/>
      <c r="J486" s="309"/>
      <c r="K486" s="1020"/>
      <c r="L486" s="309"/>
      <c r="M486" s="309"/>
      <c r="N486" s="309"/>
      <c r="O486" s="309"/>
      <c r="P486" s="326"/>
      <c r="Q486" s="309"/>
      <c r="R486" s="309"/>
      <c r="S486" s="309"/>
      <c r="T486" s="309"/>
      <c r="U486" s="309"/>
      <c r="V486" s="309"/>
      <c r="W486" s="309"/>
      <c r="X486" s="309"/>
      <c r="Y486" s="309"/>
      <c r="Z486" s="309"/>
    </row>
    <row r="487" spans="1:26" ht="12.75" customHeight="1">
      <c r="A487" s="309"/>
      <c r="B487" s="309"/>
      <c r="C487" s="309"/>
      <c r="D487" s="309"/>
      <c r="E487" s="309"/>
      <c r="F487" s="309"/>
      <c r="G487" s="309"/>
      <c r="H487" s="309"/>
      <c r="I487" s="309"/>
      <c r="J487" s="309"/>
      <c r="K487" s="1020"/>
      <c r="L487" s="309"/>
      <c r="M487" s="309"/>
      <c r="N487" s="309"/>
      <c r="O487" s="309"/>
      <c r="P487" s="326"/>
      <c r="Q487" s="309"/>
      <c r="R487" s="309"/>
      <c r="S487" s="309"/>
      <c r="T487" s="309"/>
      <c r="U487" s="309"/>
      <c r="V487" s="309"/>
      <c r="W487" s="309"/>
      <c r="X487" s="309"/>
      <c r="Y487" s="309"/>
      <c r="Z487" s="309"/>
    </row>
    <row r="488" spans="1:26" ht="12.75" customHeight="1">
      <c r="A488" s="309"/>
      <c r="B488" s="309"/>
      <c r="C488" s="309"/>
      <c r="D488" s="309"/>
      <c r="E488" s="309"/>
      <c r="F488" s="309"/>
      <c r="G488" s="309"/>
      <c r="H488" s="309"/>
      <c r="I488" s="309"/>
      <c r="J488" s="309"/>
      <c r="K488" s="1020"/>
      <c r="L488" s="309"/>
      <c r="M488" s="309"/>
      <c r="N488" s="309"/>
      <c r="O488" s="309"/>
      <c r="P488" s="326"/>
      <c r="Q488" s="309"/>
      <c r="R488" s="309"/>
      <c r="S488" s="309"/>
      <c r="T488" s="309"/>
      <c r="U488" s="309"/>
      <c r="V488" s="309"/>
      <c r="W488" s="309"/>
      <c r="X488" s="309"/>
      <c r="Y488" s="309"/>
      <c r="Z488" s="309"/>
    </row>
    <row r="489" spans="1:26" ht="12.75" customHeight="1">
      <c r="A489" s="309"/>
      <c r="B489" s="309"/>
      <c r="C489" s="309"/>
      <c r="D489" s="309"/>
      <c r="E489" s="309"/>
      <c r="F489" s="309"/>
      <c r="G489" s="309"/>
      <c r="H489" s="309"/>
      <c r="I489" s="309"/>
      <c r="J489" s="309"/>
      <c r="K489" s="1020"/>
      <c r="L489" s="309"/>
      <c r="M489" s="309"/>
      <c r="N489" s="309"/>
      <c r="O489" s="309"/>
      <c r="P489" s="326"/>
      <c r="Q489" s="309"/>
      <c r="R489" s="309"/>
      <c r="S489" s="309"/>
      <c r="T489" s="309"/>
      <c r="U489" s="309"/>
      <c r="V489" s="309"/>
      <c r="W489" s="309"/>
      <c r="X489" s="309"/>
      <c r="Y489" s="309"/>
      <c r="Z489" s="309"/>
    </row>
    <row r="490" spans="1:26" ht="12.75" customHeight="1">
      <c r="A490" s="309"/>
      <c r="B490" s="309"/>
      <c r="C490" s="309"/>
      <c r="D490" s="309"/>
      <c r="E490" s="309"/>
      <c r="F490" s="309"/>
      <c r="G490" s="309"/>
      <c r="H490" s="309"/>
      <c r="I490" s="309"/>
      <c r="J490" s="309"/>
      <c r="K490" s="1020"/>
      <c r="L490" s="309"/>
      <c r="M490" s="309"/>
      <c r="N490" s="309"/>
      <c r="O490" s="309"/>
      <c r="P490" s="326"/>
      <c r="Q490" s="309"/>
      <c r="R490" s="309"/>
      <c r="S490" s="309"/>
      <c r="T490" s="309"/>
      <c r="U490" s="309"/>
      <c r="V490" s="309"/>
      <c r="W490" s="309"/>
      <c r="X490" s="309"/>
      <c r="Y490" s="309"/>
      <c r="Z490" s="309"/>
    </row>
    <row r="491" spans="1:26" ht="12.75" customHeight="1">
      <c r="A491" s="309"/>
      <c r="B491" s="309"/>
      <c r="C491" s="309"/>
      <c r="D491" s="309"/>
      <c r="E491" s="309"/>
      <c r="F491" s="309"/>
      <c r="G491" s="309"/>
      <c r="H491" s="309"/>
      <c r="I491" s="309"/>
      <c r="J491" s="309"/>
      <c r="K491" s="1020"/>
      <c r="L491" s="309"/>
      <c r="M491" s="309"/>
      <c r="N491" s="309"/>
      <c r="O491" s="309"/>
      <c r="P491" s="326"/>
      <c r="Q491" s="309"/>
      <c r="R491" s="309"/>
      <c r="S491" s="309"/>
      <c r="T491" s="309"/>
      <c r="U491" s="309"/>
      <c r="V491" s="309"/>
      <c r="W491" s="309"/>
      <c r="X491" s="309"/>
      <c r="Y491" s="309"/>
      <c r="Z491" s="309"/>
    </row>
    <row r="492" spans="1:26" ht="12.75" customHeight="1">
      <c r="A492" s="309"/>
      <c r="B492" s="309"/>
      <c r="C492" s="309"/>
      <c r="D492" s="309"/>
      <c r="E492" s="309"/>
      <c r="F492" s="309"/>
      <c r="G492" s="309"/>
      <c r="H492" s="309"/>
      <c r="I492" s="309"/>
      <c r="J492" s="309"/>
      <c r="K492" s="1020"/>
      <c r="L492" s="309"/>
      <c r="M492" s="309"/>
      <c r="N492" s="309"/>
      <c r="O492" s="309"/>
      <c r="P492" s="326"/>
      <c r="Q492" s="309"/>
      <c r="R492" s="309"/>
      <c r="S492" s="309"/>
      <c r="T492" s="309"/>
      <c r="U492" s="309"/>
      <c r="V492" s="309"/>
      <c r="W492" s="309"/>
      <c r="X492" s="309"/>
      <c r="Y492" s="309"/>
      <c r="Z492" s="309"/>
    </row>
    <row r="493" spans="1:26" ht="12.75" customHeight="1">
      <c r="A493" s="309"/>
      <c r="B493" s="309"/>
      <c r="C493" s="309"/>
      <c r="D493" s="309"/>
      <c r="E493" s="309"/>
      <c r="F493" s="309"/>
      <c r="G493" s="309"/>
      <c r="H493" s="309"/>
      <c r="I493" s="309"/>
      <c r="J493" s="309"/>
      <c r="K493" s="1020"/>
      <c r="L493" s="309"/>
      <c r="M493" s="309"/>
      <c r="N493" s="309"/>
      <c r="O493" s="309"/>
      <c r="P493" s="326"/>
      <c r="Q493" s="309"/>
      <c r="R493" s="309"/>
      <c r="S493" s="309"/>
      <c r="T493" s="309"/>
      <c r="U493" s="309"/>
      <c r="V493" s="309"/>
      <c r="W493" s="309"/>
      <c r="X493" s="309"/>
      <c r="Y493" s="309"/>
      <c r="Z493" s="309"/>
    </row>
    <row r="494" spans="1:26" ht="12.75" customHeight="1">
      <c r="A494" s="309"/>
      <c r="B494" s="309"/>
      <c r="C494" s="309"/>
      <c r="D494" s="309"/>
      <c r="E494" s="309"/>
      <c r="F494" s="309"/>
      <c r="G494" s="309"/>
      <c r="H494" s="309"/>
      <c r="I494" s="309"/>
      <c r="J494" s="309"/>
      <c r="K494" s="1020"/>
      <c r="L494" s="309"/>
      <c r="M494" s="309"/>
      <c r="N494" s="309"/>
      <c r="O494" s="309"/>
      <c r="P494" s="326"/>
      <c r="Q494" s="309"/>
      <c r="R494" s="309"/>
      <c r="S494" s="309"/>
      <c r="T494" s="309"/>
      <c r="U494" s="309"/>
      <c r="V494" s="309"/>
      <c r="W494" s="309"/>
      <c r="X494" s="309"/>
      <c r="Y494" s="309"/>
      <c r="Z494" s="309"/>
    </row>
    <row r="495" spans="1:26" ht="12.75" customHeight="1">
      <c r="A495" s="309"/>
      <c r="B495" s="309"/>
      <c r="C495" s="309"/>
      <c r="D495" s="309"/>
      <c r="E495" s="309"/>
      <c r="F495" s="309"/>
      <c r="G495" s="309"/>
      <c r="H495" s="309"/>
      <c r="I495" s="309"/>
      <c r="J495" s="309"/>
      <c r="K495" s="1020"/>
      <c r="L495" s="309"/>
      <c r="M495" s="309"/>
      <c r="N495" s="309"/>
      <c r="O495" s="309"/>
      <c r="P495" s="326"/>
      <c r="Q495" s="309"/>
      <c r="R495" s="309"/>
      <c r="S495" s="309"/>
      <c r="T495" s="309"/>
      <c r="U495" s="309"/>
      <c r="V495" s="309"/>
      <c r="W495" s="309"/>
      <c r="X495" s="309"/>
      <c r="Y495" s="309"/>
      <c r="Z495" s="309"/>
    </row>
    <row r="496" spans="1:26" ht="12.75" customHeight="1">
      <c r="A496" s="309"/>
      <c r="B496" s="309"/>
      <c r="C496" s="309"/>
      <c r="D496" s="309"/>
      <c r="E496" s="309"/>
      <c r="F496" s="309"/>
      <c r="G496" s="309"/>
      <c r="H496" s="309"/>
      <c r="I496" s="309"/>
      <c r="J496" s="309"/>
      <c r="K496" s="1020"/>
      <c r="L496" s="309"/>
      <c r="M496" s="309"/>
      <c r="N496" s="309"/>
      <c r="O496" s="309"/>
      <c r="P496" s="326"/>
      <c r="Q496" s="309"/>
      <c r="R496" s="309"/>
      <c r="S496" s="309"/>
      <c r="T496" s="309"/>
      <c r="U496" s="309"/>
      <c r="V496" s="309"/>
      <c r="W496" s="309"/>
      <c r="X496" s="309"/>
      <c r="Y496" s="309"/>
      <c r="Z496" s="309"/>
    </row>
    <row r="497" spans="1:26" ht="12.75" customHeight="1">
      <c r="A497" s="309"/>
      <c r="B497" s="309"/>
      <c r="C497" s="309"/>
      <c r="D497" s="309"/>
      <c r="E497" s="309"/>
      <c r="F497" s="309"/>
      <c r="G497" s="309"/>
      <c r="H497" s="309"/>
      <c r="I497" s="309"/>
      <c r="J497" s="309"/>
      <c r="K497" s="1020"/>
      <c r="L497" s="309"/>
      <c r="M497" s="309"/>
      <c r="N497" s="309"/>
      <c r="O497" s="309"/>
      <c r="P497" s="326"/>
      <c r="Q497" s="309"/>
      <c r="R497" s="309"/>
      <c r="S497" s="309"/>
      <c r="T497" s="309"/>
      <c r="U497" s="309"/>
      <c r="V497" s="309"/>
      <c r="W497" s="309"/>
      <c r="X497" s="309"/>
      <c r="Y497" s="309"/>
      <c r="Z497" s="309"/>
    </row>
    <row r="498" spans="1:26" ht="12.75" customHeight="1">
      <c r="A498" s="309"/>
      <c r="B498" s="309"/>
      <c r="C498" s="309"/>
      <c r="D498" s="309"/>
      <c r="E498" s="309"/>
      <c r="F498" s="309"/>
      <c r="G498" s="309"/>
      <c r="H498" s="309"/>
      <c r="I498" s="309"/>
      <c r="J498" s="309"/>
      <c r="K498" s="1020"/>
      <c r="L498" s="309"/>
      <c r="M498" s="309"/>
      <c r="N498" s="309"/>
      <c r="O498" s="309"/>
      <c r="P498" s="326"/>
      <c r="Q498" s="309"/>
      <c r="R498" s="309"/>
      <c r="S498" s="309"/>
      <c r="T498" s="309"/>
      <c r="U498" s="309"/>
      <c r="V498" s="309"/>
      <c r="W498" s="309"/>
      <c r="X498" s="309"/>
      <c r="Y498" s="309"/>
      <c r="Z498" s="309"/>
    </row>
    <row r="499" spans="1:26" ht="12.75" customHeight="1">
      <c r="A499" s="309"/>
      <c r="B499" s="309"/>
      <c r="C499" s="309"/>
      <c r="D499" s="309"/>
      <c r="E499" s="309"/>
      <c r="F499" s="309"/>
      <c r="G499" s="309"/>
      <c r="H499" s="309"/>
      <c r="I499" s="309"/>
      <c r="J499" s="309"/>
      <c r="K499" s="1020"/>
      <c r="L499" s="309"/>
      <c r="M499" s="309"/>
      <c r="N499" s="309"/>
      <c r="O499" s="309"/>
      <c r="P499" s="326"/>
      <c r="Q499" s="309"/>
      <c r="R499" s="309"/>
      <c r="S499" s="309"/>
      <c r="T499" s="309"/>
      <c r="U499" s="309"/>
      <c r="V499" s="309"/>
      <c r="W499" s="309"/>
      <c r="X499" s="309"/>
      <c r="Y499" s="309"/>
      <c r="Z499" s="309"/>
    </row>
    <row r="500" spans="1:26" ht="12.75" customHeight="1">
      <c r="A500" s="309"/>
      <c r="B500" s="309"/>
      <c r="C500" s="309"/>
      <c r="D500" s="309"/>
      <c r="E500" s="309"/>
      <c r="F500" s="309"/>
      <c r="G500" s="309"/>
      <c r="H500" s="309"/>
      <c r="I500" s="309"/>
      <c r="J500" s="309"/>
      <c r="K500" s="1020"/>
      <c r="L500" s="309"/>
      <c r="M500" s="309"/>
      <c r="N500" s="309"/>
      <c r="O500" s="309"/>
      <c r="P500" s="326"/>
      <c r="Q500" s="309"/>
      <c r="R500" s="309"/>
      <c r="S500" s="309"/>
      <c r="T500" s="309"/>
      <c r="U500" s="309"/>
      <c r="V500" s="309"/>
      <c r="W500" s="309"/>
      <c r="X500" s="309"/>
      <c r="Y500" s="309"/>
      <c r="Z500" s="309"/>
    </row>
    <row r="501" spans="1:26" ht="12.75" customHeight="1">
      <c r="A501" s="309"/>
      <c r="B501" s="309"/>
      <c r="C501" s="309"/>
      <c r="D501" s="309"/>
      <c r="E501" s="309"/>
      <c r="F501" s="309"/>
      <c r="G501" s="309"/>
      <c r="H501" s="309"/>
      <c r="I501" s="309"/>
      <c r="J501" s="309"/>
      <c r="K501" s="1020"/>
      <c r="L501" s="309"/>
      <c r="M501" s="309"/>
      <c r="N501" s="309"/>
      <c r="O501" s="309"/>
      <c r="P501" s="326"/>
      <c r="Q501" s="309"/>
      <c r="R501" s="309"/>
      <c r="S501" s="309"/>
      <c r="T501" s="309"/>
      <c r="U501" s="309"/>
      <c r="V501" s="309"/>
      <c r="W501" s="309"/>
      <c r="X501" s="309"/>
      <c r="Y501" s="309"/>
      <c r="Z501" s="309"/>
    </row>
    <row r="502" spans="1:26" ht="12.75" customHeight="1">
      <c r="A502" s="309"/>
      <c r="B502" s="309"/>
      <c r="C502" s="309"/>
      <c r="D502" s="309"/>
      <c r="E502" s="309"/>
      <c r="F502" s="309"/>
      <c r="G502" s="309"/>
      <c r="H502" s="309"/>
      <c r="I502" s="309"/>
      <c r="J502" s="309"/>
      <c r="K502" s="1020"/>
      <c r="L502" s="309"/>
      <c r="M502" s="309"/>
      <c r="N502" s="309"/>
      <c r="O502" s="309"/>
      <c r="P502" s="326"/>
      <c r="Q502" s="309"/>
      <c r="R502" s="309"/>
      <c r="S502" s="309"/>
      <c r="T502" s="309"/>
      <c r="U502" s="309"/>
      <c r="V502" s="309"/>
      <c r="W502" s="309"/>
      <c r="X502" s="309"/>
      <c r="Y502" s="309"/>
      <c r="Z502" s="309"/>
    </row>
    <row r="503" spans="1:26" ht="12.75" customHeight="1">
      <c r="A503" s="309"/>
      <c r="B503" s="309"/>
      <c r="C503" s="309"/>
      <c r="D503" s="309"/>
      <c r="E503" s="309"/>
      <c r="F503" s="309"/>
      <c r="G503" s="309"/>
      <c r="H503" s="309"/>
      <c r="I503" s="309"/>
      <c r="J503" s="309"/>
      <c r="K503" s="1020"/>
      <c r="L503" s="309"/>
      <c r="M503" s="309"/>
      <c r="N503" s="309"/>
      <c r="O503" s="309"/>
      <c r="P503" s="326"/>
      <c r="Q503" s="309"/>
      <c r="R503" s="309"/>
      <c r="S503" s="309"/>
      <c r="T503" s="309"/>
      <c r="U503" s="309"/>
      <c r="V503" s="309"/>
      <c r="W503" s="309"/>
      <c r="X503" s="309"/>
      <c r="Y503" s="309"/>
      <c r="Z503" s="309"/>
    </row>
    <row r="504" spans="1:26" ht="12.75" customHeight="1">
      <c r="A504" s="309"/>
      <c r="B504" s="309"/>
      <c r="C504" s="309"/>
      <c r="D504" s="309"/>
      <c r="E504" s="309"/>
      <c r="F504" s="309"/>
      <c r="G504" s="309"/>
      <c r="H504" s="309"/>
      <c r="I504" s="309"/>
      <c r="J504" s="309"/>
      <c r="K504" s="1020"/>
      <c r="L504" s="309"/>
      <c r="M504" s="309"/>
      <c r="N504" s="309"/>
      <c r="O504" s="309"/>
      <c r="P504" s="326"/>
      <c r="Q504" s="309"/>
      <c r="R504" s="309"/>
      <c r="S504" s="309"/>
      <c r="T504" s="309"/>
      <c r="U504" s="309"/>
      <c r="V504" s="309"/>
      <c r="W504" s="309"/>
      <c r="X504" s="309"/>
      <c r="Y504" s="309"/>
      <c r="Z504" s="309"/>
    </row>
    <row r="505" spans="1:26" ht="12.75" customHeight="1">
      <c r="A505" s="309"/>
      <c r="B505" s="309"/>
      <c r="C505" s="309"/>
      <c r="D505" s="309"/>
      <c r="E505" s="309"/>
      <c r="F505" s="309"/>
      <c r="G505" s="309"/>
      <c r="H505" s="309"/>
      <c r="I505" s="309"/>
      <c r="J505" s="309"/>
      <c r="K505" s="1020"/>
      <c r="L505" s="309"/>
      <c r="M505" s="309"/>
      <c r="N505" s="309"/>
      <c r="O505" s="309"/>
      <c r="P505" s="326"/>
      <c r="Q505" s="309"/>
      <c r="R505" s="309"/>
      <c r="S505" s="309"/>
      <c r="T505" s="309"/>
      <c r="U505" s="309"/>
      <c r="V505" s="309"/>
      <c r="W505" s="309"/>
      <c r="X505" s="309"/>
      <c r="Y505" s="309"/>
      <c r="Z505" s="309"/>
    </row>
    <row r="506" spans="1:26" ht="12.75" customHeight="1">
      <c r="A506" s="309"/>
      <c r="B506" s="309"/>
      <c r="C506" s="309"/>
      <c r="D506" s="309"/>
      <c r="E506" s="309"/>
      <c r="F506" s="309"/>
      <c r="G506" s="309"/>
      <c r="H506" s="309"/>
      <c r="I506" s="309"/>
      <c r="J506" s="309"/>
      <c r="K506" s="1020"/>
      <c r="L506" s="309"/>
      <c r="M506" s="309"/>
      <c r="N506" s="309"/>
      <c r="O506" s="309"/>
      <c r="P506" s="326"/>
      <c r="Q506" s="309"/>
      <c r="R506" s="309"/>
      <c r="S506" s="309"/>
      <c r="T506" s="309"/>
      <c r="U506" s="309"/>
      <c r="V506" s="309"/>
      <c r="W506" s="309"/>
      <c r="X506" s="309"/>
      <c r="Y506" s="309"/>
      <c r="Z506" s="309"/>
    </row>
    <row r="507" spans="1:26" ht="12.75" customHeight="1">
      <c r="A507" s="309"/>
      <c r="B507" s="309"/>
      <c r="C507" s="309"/>
      <c r="D507" s="309"/>
      <c r="E507" s="309"/>
      <c r="F507" s="309"/>
      <c r="G507" s="309"/>
      <c r="H507" s="309"/>
      <c r="I507" s="309"/>
      <c r="J507" s="309"/>
      <c r="K507" s="1020"/>
      <c r="L507" s="309"/>
      <c r="M507" s="309"/>
      <c r="N507" s="309"/>
      <c r="O507" s="309"/>
      <c r="P507" s="326"/>
      <c r="Q507" s="309"/>
      <c r="R507" s="309"/>
      <c r="S507" s="309"/>
      <c r="T507" s="309"/>
      <c r="U507" s="309"/>
      <c r="V507" s="309"/>
      <c r="W507" s="309"/>
      <c r="X507" s="309"/>
      <c r="Y507" s="309"/>
      <c r="Z507" s="309"/>
    </row>
    <row r="508" spans="1:26" ht="12.75" customHeight="1">
      <c r="A508" s="309"/>
      <c r="B508" s="309"/>
      <c r="C508" s="309"/>
      <c r="D508" s="309"/>
      <c r="E508" s="309"/>
      <c r="F508" s="309"/>
      <c r="G508" s="309"/>
      <c r="H508" s="309"/>
      <c r="I508" s="309"/>
      <c r="J508" s="309"/>
      <c r="K508" s="1020"/>
      <c r="L508" s="309"/>
      <c r="M508" s="309"/>
      <c r="N508" s="309"/>
      <c r="O508" s="309"/>
      <c r="P508" s="326"/>
      <c r="Q508" s="309"/>
      <c r="R508" s="309"/>
      <c r="S508" s="309"/>
      <c r="T508" s="309"/>
      <c r="U508" s="309"/>
      <c r="V508" s="309"/>
      <c r="W508" s="309"/>
      <c r="X508" s="309"/>
      <c r="Y508" s="309"/>
      <c r="Z508" s="309"/>
    </row>
    <row r="509" spans="1:26" ht="12.75" customHeight="1">
      <c r="A509" s="309"/>
      <c r="B509" s="309"/>
      <c r="C509" s="309"/>
      <c r="D509" s="309"/>
      <c r="E509" s="309"/>
      <c r="F509" s="309"/>
      <c r="G509" s="309"/>
      <c r="H509" s="309"/>
      <c r="I509" s="309"/>
      <c r="J509" s="309"/>
      <c r="K509" s="1020"/>
      <c r="L509" s="309"/>
      <c r="M509" s="309"/>
      <c r="N509" s="309"/>
      <c r="O509" s="309"/>
      <c r="P509" s="326"/>
      <c r="Q509" s="309"/>
      <c r="R509" s="309"/>
      <c r="S509" s="309"/>
      <c r="T509" s="309"/>
      <c r="U509" s="309"/>
      <c r="V509" s="309"/>
      <c r="W509" s="309"/>
      <c r="X509" s="309"/>
      <c r="Y509" s="309"/>
      <c r="Z509" s="309"/>
    </row>
    <row r="510" spans="1:26" ht="12.75" customHeight="1">
      <c r="A510" s="309"/>
      <c r="B510" s="309"/>
      <c r="C510" s="309"/>
      <c r="D510" s="309"/>
      <c r="E510" s="309"/>
      <c r="F510" s="309"/>
      <c r="G510" s="309"/>
      <c r="H510" s="309"/>
      <c r="I510" s="309"/>
      <c r="J510" s="309"/>
      <c r="K510" s="1020"/>
      <c r="L510" s="309"/>
      <c r="M510" s="309"/>
      <c r="N510" s="309"/>
      <c r="O510" s="309"/>
      <c r="P510" s="326"/>
      <c r="Q510" s="309"/>
      <c r="R510" s="309"/>
      <c r="S510" s="309"/>
      <c r="T510" s="309"/>
      <c r="U510" s="309"/>
      <c r="V510" s="309"/>
      <c r="W510" s="309"/>
      <c r="X510" s="309"/>
      <c r="Y510" s="309"/>
      <c r="Z510" s="309"/>
    </row>
    <row r="511" spans="1:26" ht="12.75" customHeight="1">
      <c r="A511" s="309"/>
      <c r="B511" s="309"/>
      <c r="C511" s="309"/>
      <c r="D511" s="309"/>
      <c r="E511" s="309"/>
      <c r="F511" s="309"/>
      <c r="G511" s="309"/>
      <c r="H511" s="309"/>
      <c r="I511" s="309"/>
      <c r="J511" s="309"/>
      <c r="K511" s="1020"/>
      <c r="L511" s="309"/>
      <c r="M511" s="309"/>
      <c r="N511" s="309"/>
      <c r="O511" s="309"/>
      <c r="P511" s="326"/>
      <c r="Q511" s="309"/>
      <c r="R511" s="309"/>
      <c r="S511" s="309"/>
      <c r="T511" s="309"/>
      <c r="U511" s="309"/>
      <c r="V511" s="309"/>
      <c r="W511" s="309"/>
      <c r="X511" s="309"/>
      <c r="Y511" s="309"/>
      <c r="Z511" s="309"/>
    </row>
    <row r="512" spans="1:26" ht="12.75" customHeight="1">
      <c r="A512" s="309"/>
      <c r="B512" s="309"/>
      <c r="C512" s="309"/>
      <c r="D512" s="309"/>
      <c r="E512" s="309"/>
      <c r="F512" s="309"/>
      <c r="G512" s="309"/>
      <c r="H512" s="309"/>
      <c r="I512" s="309"/>
      <c r="J512" s="309"/>
      <c r="K512" s="1020"/>
      <c r="L512" s="309"/>
      <c r="M512" s="309"/>
      <c r="N512" s="309"/>
      <c r="O512" s="309"/>
      <c r="P512" s="326"/>
      <c r="Q512" s="309"/>
      <c r="R512" s="309"/>
      <c r="S512" s="309"/>
      <c r="T512" s="309"/>
      <c r="U512" s="309"/>
      <c r="V512" s="309"/>
      <c r="W512" s="309"/>
      <c r="X512" s="309"/>
      <c r="Y512" s="309"/>
      <c r="Z512" s="309"/>
    </row>
    <row r="513" spans="1:26" ht="12.75" customHeight="1">
      <c r="A513" s="309"/>
      <c r="B513" s="309"/>
      <c r="C513" s="309"/>
      <c r="D513" s="309"/>
      <c r="E513" s="309"/>
      <c r="F513" s="309"/>
      <c r="G513" s="309"/>
      <c r="H513" s="309"/>
      <c r="I513" s="309"/>
      <c r="J513" s="309"/>
      <c r="K513" s="1020"/>
      <c r="L513" s="309"/>
      <c r="M513" s="309"/>
      <c r="N513" s="309"/>
      <c r="O513" s="309"/>
      <c r="P513" s="326"/>
      <c r="Q513" s="309"/>
      <c r="R513" s="309"/>
      <c r="S513" s="309"/>
      <c r="T513" s="309"/>
      <c r="U513" s="309"/>
      <c r="V513" s="309"/>
      <c r="W513" s="309"/>
      <c r="X513" s="309"/>
      <c r="Y513" s="309"/>
      <c r="Z513" s="309"/>
    </row>
    <row r="514" spans="1:26" ht="12.75" customHeight="1">
      <c r="A514" s="309"/>
      <c r="B514" s="309"/>
      <c r="C514" s="309"/>
      <c r="D514" s="309"/>
      <c r="E514" s="309"/>
      <c r="F514" s="309"/>
      <c r="G514" s="309"/>
      <c r="H514" s="309"/>
      <c r="I514" s="309"/>
      <c r="J514" s="309"/>
      <c r="K514" s="1020"/>
      <c r="L514" s="309"/>
      <c r="M514" s="309"/>
      <c r="N514" s="309"/>
      <c r="O514" s="309"/>
      <c r="P514" s="326"/>
      <c r="Q514" s="309"/>
      <c r="R514" s="309"/>
      <c r="S514" s="309"/>
      <c r="T514" s="309"/>
      <c r="U514" s="309"/>
      <c r="V514" s="309"/>
      <c r="W514" s="309"/>
      <c r="X514" s="309"/>
      <c r="Y514" s="309"/>
      <c r="Z514" s="309"/>
    </row>
    <row r="515" spans="1:26" ht="12.75" customHeight="1">
      <c r="A515" s="309"/>
      <c r="B515" s="309"/>
      <c r="C515" s="309"/>
      <c r="D515" s="309"/>
      <c r="E515" s="309"/>
      <c r="F515" s="309"/>
      <c r="G515" s="309"/>
      <c r="H515" s="309"/>
      <c r="I515" s="309"/>
      <c r="J515" s="309"/>
      <c r="K515" s="1020"/>
      <c r="L515" s="309"/>
      <c r="M515" s="309"/>
      <c r="N515" s="309"/>
      <c r="O515" s="309"/>
      <c r="P515" s="326"/>
      <c r="Q515" s="309"/>
      <c r="R515" s="309"/>
      <c r="S515" s="309"/>
      <c r="T515" s="309"/>
      <c r="U515" s="309"/>
      <c r="V515" s="309"/>
      <c r="W515" s="309"/>
      <c r="X515" s="309"/>
      <c r="Y515" s="309"/>
      <c r="Z515" s="309"/>
    </row>
    <row r="516" spans="1:26" ht="12.75" customHeight="1">
      <c r="A516" s="309"/>
      <c r="B516" s="309"/>
      <c r="C516" s="309"/>
      <c r="D516" s="309"/>
      <c r="E516" s="309"/>
      <c r="F516" s="309"/>
      <c r="G516" s="309"/>
      <c r="H516" s="309"/>
      <c r="I516" s="309"/>
      <c r="J516" s="309"/>
      <c r="K516" s="1020"/>
      <c r="L516" s="309"/>
      <c r="M516" s="309"/>
      <c r="N516" s="309"/>
      <c r="O516" s="309"/>
      <c r="P516" s="326"/>
      <c r="Q516" s="309"/>
      <c r="R516" s="309"/>
      <c r="S516" s="309"/>
      <c r="T516" s="309"/>
      <c r="U516" s="309"/>
      <c r="V516" s="309"/>
      <c r="W516" s="309"/>
      <c r="X516" s="309"/>
      <c r="Y516" s="309"/>
      <c r="Z516" s="309"/>
    </row>
    <row r="517" spans="1:26" ht="12.75" customHeight="1">
      <c r="A517" s="309"/>
      <c r="B517" s="309"/>
      <c r="C517" s="309"/>
      <c r="D517" s="309"/>
      <c r="E517" s="309"/>
      <c r="F517" s="309"/>
      <c r="G517" s="309"/>
      <c r="H517" s="309"/>
      <c r="I517" s="309"/>
      <c r="J517" s="309"/>
      <c r="K517" s="1020"/>
      <c r="L517" s="309"/>
      <c r="M517" s="309"/>
      <c r="N517" s="309"/>
      <c r="O517" s="309"/>
      <c r="P517" s="326"/>
      <c r="Q517" s="309"/>
      <c r="R517" s="309"/>
      <c r="S517" s="309"/>
      <c r="T517" s="309"/>
      <c r="U517" s="309"/>
      <c r="V517" s="309"/>
      <c r="W517" s="309"/>
      <c r="X517" s="309"/>
      <c r="Y517" s="309"/>
      <c r="Z517" s="309"/>
    </row>
    <row r="518" spans="1:26" ht="12.75" customHeight="1">
      <c r="A518" s="309"/>
      <c r="B518" s="309"/>
      <c r="C518" s="309"/>
      <c r="D518" s="309"/>
      <c r="E518" s="309"/>
      <c r="F518" s="309"/>
      <c r="G518" s="309"/>
      <c r="H518" s="309"/>
      <c r="I518" s="309"/>
      <c r="J518" s="309"/>
      <c r="K518" s="1020"/>
      <c r="L518" s="309"/>
      <c r="M518" s="309"/>
      <c r="N518" s="309"/>
      <c r="O518" s="309"/>
      <c r="P518" s="326"/>
      <c r="Q518" s="309"/>
      <c r="R518" s="309"/>
      <c r="S518" s="309"/>
      <c r="T518" s="309"/>
      <c r="U518" s="309"/>
      <c r="V518" s="309"/>
      <c r="W518" s="309"/>
      <c r="X518" s="309"/>
      <c r="Y518" s="309"/>
      <c r="Z518" s="309"/>
    </row>
    <row r="519" spans="1:26" ht="12.75" customHeight="1">
      <c r="A519" s="309"/>
      <c r="B519" s="309"/>
      <c r="C519" s="309"/>
      <c r="D519" s="309"/>
      <c r="E519" s="309"/>
      <c r="F519" s="309"/>
      <c r="G519" s="309"/>
      <c r="H519" s="309"/>
      <c r="I519" s="309"/>
      <c r="J519" s="309"/>
      <c r="K519" s="1020"/>
      <c r="L519" s="309"/>
      <c r="M519" s="309"/>
      <c r="N519" s="309"/>
      <c r="O519" s="309"/>
      <c r="P519" s="326"/>
      <c r="Q519" s="309"/>
      <c r="R519" s="309"/>
      <c r="S519" s="309"/>
      <c r="T519" s="309"/>
      <c r="U519" s="309"/>
      <c r="V519" s="309"/>
      <c r="W519" s="309"/>
      <c r="X519" s="309"/>
      <c r="Y519" s="309"/>
      <c r="Z519" s="309"/>
    </row>
    <row r="520" spans="1:26" ht="12.75" customHeight="1">
      <c r="A520" s="309"/>
      <c r="B520" s="309"/>
      <c r="C520" s="309"/>
      <c r="D520" s="309"/>
      <c r="E520" s="309"/>
      <c r="F520" s="309"/>
      <c r="G520" s="309"/>
      <c r="H520" s="309"/>
      <c r="I520" s="309"/>
      <c r="J520" s="309"/>
      <c r="K520" s="1020"/>
      <c r="L520" s="309"/>
      <c r="M520" s="309"/>
      <c r="N520" s="309"/>
      <c r="O520" s="309"/>
      <c r="P520" s="326"/>
      <c r="Q520" s="309"/>
      <c r="R520" s="309"/>
      <c r="S520" s="309"/>
      <c r="T520" s="309"/>
      <c r="U520" s="309"/>
      <c r="V520" s="309"/>
      <c r="W520" s="309"/>
      <c r="X520" s="309"/>
      <c r="Y520" s="309"/>
      <c r="Z520" s="309"/>
    </row>
    <row r="521" spans="1:26" ht="12.75" customHeight="1">
      <c r="A521" s="309"/>
      <c r="B521" s="309"/>
      <c r="C521" s="309"/>
      <c r="D521" s="309"/>
      <c r="E521" s="309"/>
      <c r="F521" s="309"/>
      <c r="G521" s="309"/>
      <c r="H521" s="309"/>
      <c r="I521" s="309"/>
      <c r="J521" s="309"/>
      <c r="K521" s="1020"/>
      <c r="L521" s="309"/>
      <c r="M521" s="309"/>
      <c r="N521" s="309"/>
      <c r="O521" s="309"/>
      <c r="P521" s="326"/>
      <c r="Q521" s="309"/>
      <c r="R521" s="309"/>
      <c r="S521" s="309"/>
      <c r="T521" s="309"/>
      <c r="U521" s="309"/>
      <c r="V521" s="309"/>
      <c r="W521" s="309"/>
      <c r="X521" s="309"/>
      <c r="Y521" s="309"/>
      <c r="Z521" s="309"/>
    </row>
    <row r="522" spans="1:26" ht="12.75" customHeight="1">
      <c r="A522" s="309"/>
      <c r="B522" s="309"/>
      <c r="C522" s="309"/>
      <c r="D522" s="309"/>
      <c r="E522" s="309"/>
      <c r="F522" s="309"/>
      <c r="G522" s="309"/>
      <c r="H522" s="309"/>
      <c r="I522" s="309"/>
      <c r="J522" s="309"/>
      <c r="K522" s="1020"/>
      <c r="L522" s="309"/>
      <c r="M522" s="309"/>
      <c r="N522" s="309"/>
      <c r="O522" s="309"/>
      <c r="P522" s="326"/>
      <c r="Q522" s="309"/>
      <c r="R522" s="309"/>
      <c r="S522" s="309"/>
      <c r="T522" s="309"/>
      <c r="U522" s="309"/>
      <c r="V522" s="309"/>
      <c r="W522" s="309"/>
      <c r="X522" s="309"/>
      <c r="Y522" s="309"/>
      <c r="Z522" s="309"/>
    </row>
    <row r="523" spans="1:26" ht="12.75" customHeight="1">
      <c r="A523" s="309"/>
      <c r="B523" s="309"/>
      <c r="C523" s="309"/>
      <c r="D523" s="309"/>
      <c r="E523" s="309"/>
      <c r="F523" s="309"/>
      <c r="G523" s="309"/>
      <c r="H523" s="309"/>
      <c r="I523" s="309"/>
      <c r="J523" s="309"/>
      <c r="K523" s="1020"/>
      <c r="L523" s="309"/>
      <c r="M523" s="309"/>
      <c r="N523" s="309"/>
      <c r="O523" s="309"/>
      <c r="P523" s="326"/>
      <c r="Q523" s="309"/>
      <c r="R523" s="309"/>
      <c r="S523" s="309"/>
      <c r="T523" s="309"/>
      <c r="U523" s="309"/>
      <c r="V523" s="309"/>
      <c r="W523" s="309"/>
      <c r="X523" s="309"/>
      <c r="Y523" s="309"/>
      <c r="Z523" s="309"/>
    </row>
    <row r="524" spans="1:26" ht="12.75" customHeight="1">
      <c r="A524" s="309"/>
      <c r="B524" s="309"/>
      <c r="C524" s="309"/>
      <c r="D524" s="309"/>
      <c r="E524" s="309"/>
      <c r="F524" s="309"/>
      <c r="G524" s="309"/>
      <c r="H524" s="309"/>
      <c r="I524" s="309"/>
      <c r="J524" s="309"/>
      <c r="K524" s="1020"/>
      <c r="L524" s="309"/>
      <c r="M524" s="309"/>
      <c r="N524" s="309"/>
      <c r="O524" s="309"/>
      <c r="P524" s="326"/>
      <c r="Q524" s="309"/>
      <c r="R524" s="309"/>
      <c r="S524" s="309"/>
      <c r="T524" s="309"/>
      <c r="U524" s="309"/>
      <c r="V524" s="309"/>
      <c r="W524" s="309"/>
      <c r="X524" s="309"/>
      <c r="Y524" s="309"/>
      <c r="Z524" s="309"/>
    </row>
    <row r="525" spans="1:26" ht="12.75" customHeight="1">
      <c r="A525" s="309"/>
      <c r="B525" s="309"/>
      <c r="C525" s="309"/>
      <c r="D525" s="309"/>
      <c r="E525" s="309"/>
      <c r="F525" s="309"/>
      <c r="G525" s="309"/>
      <c r="H525" s="309"/>
      <c r="I525" s="309"/>
      <c r="J525" s="309"/>
      <c r="K525" s="1020"/>
      <c r="L525" s="309"/>
      <c r="M525" s="309"/>
      <c r="N525" s="309"/>
      <c r="O525" s="309"/>
      <c r="P525" s="326"/>
      <c r="Q525" s="309"/>
      <c r="R525" s="309"/>
      <c r="S525" s="309"/>
      <c r="T525" s="309"/>
      <c r="U525" s="309"/>
      <c r="V525" s="309"/>
      <c r="W525" s="309"/>
      <c r="X525" s="309"/>
      <c r="Y525" s="309"/>
      <c r="Z525" s="309"/>
    </row>
    <row r="526" spans="1:26" ht="12.75" customHeight="1">
      <c r="A526" s="309"/>
      <c r="B526" s="309"/>
      <c r="C526" s="309"/>
      <c r="D526" s="309"/>
      <c r="E526" s="309"/>
      <c r="F526" s="309"/>
      <c r="G526" s="309"/>
      <c r="H526" s="309"/>
      <c r="I526" s="309"/>
      <c r="J526" s="309"/>
      <c r="K526" s="1020"/>
      <c r="L526" s="309"/>
      <c r="M526" s="309"/>
      <c r="N526" s="309"/>
      <c r="O526" s="309"/>
      <c r="P526" s="326"/>
      <c r="Q526" s="309"/>
      <c r="R526" s="309"/>
      <c r="S526" s="309"/>
      <c r="T526" s="309"/>
      <c r="U526" s="309"/>
      <c r="V526" s="309"/>
      <c r="W526" s="309"/>
      <c r="X526" s="309"/>
      <c r="Y526" s="309"/>
      <c r="Z526" s="309"/>
    </row>
    <row r="527" spans="1:26" ht="12.75" customHeight="1">
      <c r="A527" s="309"/>
      <c r="B527" s="309"/>
      <c r="C527" s="309"/>
      <c r="D527" s="309"/>
      <c r="E527" s="309"/>
      <c r="F527" s="309"/>
      <c r="G527" s="309"/>
      <c r="H527" s="309"/>
      <c r="I527" s="309"/>
      <c r="J527" s="309"/>
      <c r="K527" s="1020"/>
      <c r="L527" s="309"/>
      <c r="M527" s="309"/>
      <c r="N527" s="309"/>
      <c r="O527" s="309"/>
      <c r="P527" s="326"/>
      <c r="Q527" s="309"/>
      <c r="R527" s="309"/>
      <c r="S527" s="309"/>
      <c r="T527" s="309"/>
      <c r="U527" s="309"/>
      <c r="V527" s="309"/>
      <c r="W527" s="309"/>
      <c r="X527" s="309"/>
      <c r="Y527" s="309"/>
      <c r="Z527" s="309"/>
    </row>
    <row r="528" spans="1:26" ht="12.75" customHeight="1">
      <c r="A528" s="309"/>
      <c r="B528" s="309"/>
      <c r="C528" s="309"/>
      <c r="D528" s="309"/>
      <c r="E528" s="309"/>
      <c r="F528" s="309"/>
      <c r="G528" s="309"/>
      <c r="H528" s="309"/>
      <c r="I528" s="309"/>
      <c r="J528" s="309"/>
      <c r="K528" s="1020"/>
      <c r="L528" s="309"/>
      <c r="M528" s="309"/>
      <c r="N528" s="309"/>
      <c r="O528" s="309"/>
      <c r="P528" s="326"/>
      <c r="Q528" s="309"/>
      <c r="R528" s="309"/>
      <c r="S528" s="309"/>
      <c r="T528" s="309"/>
      <c r="U528" s="309"/>
      <c r="V528" s="309"/>
      <c r="W528" s="309"/>
      <c r="X528" s="309"/>
      <c r="Y528" s="309"/>
      <c r="Z528" s="309"/>
    </row>
    <row r="529" spans="1:26" ht="12.75" customHeight="1">
      <c r="A529" s="309"/>
      <c r="B529" s="309"/>
      <c r="C529" s="309"/>
      <c r="D529" s="309"/>
      <c r="E529" s="309"/>
      <c r="F529" s="309"/>
      <c r="G529" s="309"/>
      <c r="H529" s="309"/>
      <c r="I529" s="309"/>
      <c r="J529" s="309"/>
      <c r="K529" s="1020"/>
      <c r="L529" s="309"/>
      <c r="M529" s="309"/>
      <c r="N529" s="309"/>
      <c r="O529" s="309"/>
      <c r="P529" s="326"/>
      <c r="Q529" s="309"/>
      <c r="R529" s="309"/>
      <c r="S529" s="309"/>
      <c r="T529" s="309"/>
      <c r="U529" s="309"/>
      <c r="V529" s="309"/>
      <c r="W529" s="309"/>
      <c r="X529" s="309"/>
      <c r="Y529" s="309"/>
      <c r="Z529" s="309"/>
    </row>
    <row r="530" spans="1:26" ht="12.75" customHeight="1">
      <c r="A530" s="309"/>
      <c r="B530" s="309"/>
      <c r="C530" s="309"/>
      <c r="D530" s="309"/>
      <c r="E530" s="309"/>
      <c r="F530" s="309"/>
      <c r="G530" s="309"/>
      <c r="H530" s="309"/>
      <c r="I530" s="309"/>
      <c r="J530" s="309"/>
      <c r="K530" s="1020"/>
      <c r="L530" s="309"/>
      <c r="M530" s="309"/>
      <c r="N530" s="309"/>
      <c r="O530" s="309"/>
      <c r="P530" s="326"/>
      <c r="Q530" s="309"/>
      <c r="R530" s="309"/>
      <c r="S530" s="309"/>
      <c r="T530" s="309"/>
      <c r="U530" s="309"/>
      <c r="V530" s="309"/>
      <c r="W530" s="309"/>
      <c r="X530" s="309"/>
      <c r="Y530" s="309"/>
      <c r="Z530" s="309"/>
    </row>
    <row r="531" spans="1:26" ht="12.75" customHeight="1">
      <c r="A531" s="309"/>
      <c r="B531" s="309"/>
      <c r="C531" s="309"/>
      <c r="D531" s="309"/>
      <c r="E531" s="309"/>
      <c r="F531" s="309"/>
      <c r="G531" s="309"/>
      <c r="H531" s="309"/>
      <c r="I531" s="309"/>
      <c r="J531" s="309"/>
      <c r="K531" s="1020"/>
      <c r="L531" s="309"/>
      <c r="M531" s="309"/>
      <c r="N531" s="309"/>
      <c r="O531" s="309"/>
      <c r="P531" s="326"/>
      <c r="Q531" s="309"/>
      <c r="R531" s="309"/>
      <c r="S531" s="309"/>
      <c r="T531" s="309"/>
      <c r="U531" s="309"/>
      <c r="V531" s="309"/>
      <c r="W531" s="309"/>
      <c r="X531" s="309"/>
      <c r="Y531" s="309"/>
      <c r="Z531" s="309"/>
    </row>
    <row r="532" spans="1:26" ht="12.75" customHeight="1">
      <c r="A532" s="309"/>
      <c r="B532" s="309"/>
      <c r="C532" s="309"/>
      <c r="D532" s="309"/>
      <c r="E532" s="309"/>
      <c r="F532" s="309"/>
      <c r="G532" s="309"/>
      <c r="H532" s="309"/>
      <c r="I532" s="309"/>
      <c r="J532" s="309"/>
      <c r="K532" s="1020"/>
      <c r="L532" s="309"/>
      <c r="M532" s="309"/>
      <c r="N532" s="309"/>
      <c r="O532" s="309"/>
      <c r="P532" s="326"/>
      <c r="Q532" s="309"/>
      <c r="R532" s="309"/>
      <c r="S532" s="309"/>
      <c r="T532" s="309"/>
      <c r="U532" s="309"/>
      <c r="V532" s="309"/>
      <c r="W532" s="309"/>
      <c r="X532" s="309"/>
      <c r="Y532" s="309"/>
      <c r="Z532" s="309"/>
    </row>
    <row r="533" spans="1:26" ht="12.75" customHeight="1">
      <c r="A533" s="309"/>
      <c r="B533" s="309"/>
      <c r="C533" s="309"/>
      <c r="D533" s="309"/>
      <c r="E533" s="309"/>
      <c r="F533" s="309"/>
      <c r="G533" s="309"/>
      <c r="H533" s="309"/>
      <c r="I533" s="309"/>
      <c r="J533" s="309"/>
      <c r="K533" s="1020"/>
      <c r="L533" s="309"/>
      <c r="M533" s="309"/>
      <c r="N533" s="309"/>
      <c r="O533" s="309"/>
      <c r="P533" s="326"/>
      <c r="Q533" s="309"/>
      <c r="R533" s="309"/>
      <c r="S533" s="309"/>
      <c r="T533" s="309"/>
      <c r="U533" s="309"/>
      <c r="V533" s="309"/>
      <c r="W533" s="309"/>
      <c r="X533" s="309"/>
      <c r="Y533" s="309"/>
      <c r="Z533" s="309"/>
    </row>
    <row r="534" spans="1:26" ht="12.75" customHeight="1">
      <c r="A534" s="309"/>
      <c r="B534" s="309"/>
      <c r="C534" s="309"/>
      <c r="D534" s="309"/>
      <c r="E534" s="309"/>
      <c r="F534" s="309"/>
      <c r="G534" s="309"/>
      <c r="H534" s="309"/>
      <c r="I534" s="309"/>
      <c r="J534" s="309"/>
      <c r="K534" s="1020"/>
      <c r="L534" s="309"/>
      <c r="M534" s="309"/>
      <c r="N534" s="309"/>
      <c r="O534" s="309"/>
      <c r="P534" s="326"/>
      <c r="Q534" s="309"/>
      <c r="R534" s="309"/>
      <c r="S534" s="309"/>
      <c r="T534" s="309"/>
      <c r="U534" s="309"/>
      <c r="V534" s="309"/>
      <c r="W534" s="309"/>
      <c r="X534" s="309"/>
      <c r="Y534" s="309"/>
      <c r="Z534" s="309"/>
    </row>
    <row r="535" spans="1:26" ht="12.75" customHeight="1">
      <c r="A535" s="309"/>
      <c r="B535" s="309"/>
      <c r="C535" s="309"/>
      <c r="D535" s="309"/>
      <c r="E535" s="309"/>
      <c r="F535" s="309"/>
      <c r="G535" s="309"/>
      <c r="H535" s="309"/>
      <c r="I535" s="309"/>
      <c r="J535" s="309"/>
      <c r="K535" s="1020"/>
      <c r="L535" s="309"/>
      <c r="M535" s="309"/>
      <c r="N535" s="309"/>
      <c r="O535" s="309"/>
      <c r="P535" s="326"/>
      <c r="Q535" s="309"/>
      <c r="R535" s="309"/>
      <c r="S535" s="309"/>
      <c r="T535" s="309"/>
      <c r="U535" s="309"/>
      <c r="V535" s="309"/>
      <c r="W535" s="309"/>
      <c r="X535" s="309"/>
      <c r="Y535" s="309"/>
      <c r="Z535" s="309"/>
    </row>
    <row r="536" spans="1:26" ht="12.75" customHeight="1">
      <c r="A536" s="309"/>
      <c r="B536" s="309"/>
      <c r="C536" s="309"/>
      <c r="D536" s="309"/>
      <c r="E536" s="309"/>
      <c r="F536" s="309"/>
      <c r="G536" s="309"/>
      <c r="H536" s="309"/>
      <c r="I536" s="309"/>
      <c r="J536" s="309"/>
      <c r="K536" s="1020"/>
      <c r="L536" s="309"/>
      <c r="M536" s="309"/>
      <c r="N536" s="309"/>
      <c r="O536" s="309"/>
      <c r="P536" s="326"/>
      <c r="Q536" s="309"/>
      <c r="R536" s="309"/>
      <c r="S536" s="309"/>
      <c r="T536" s="309"/>
      <c r="U536" s="309"/>
      <c r="V536" s="309"/>
      <c r="W536" s="309"/>
      <c r="X536" s="309"/>
      <c r="Y536" s="309"/>
      <c r="Z536" s="309"/>
    </row>
    <row r="537" spans="1:26" ht="12.75" customHeight="1">
      <c r="A537" s="309"/>
      <c r="B537" s="309"/>
      <c r="C537" s="309"/>
      <c r="D537" s="309"/>
      <c r="E537" s="309"/>
      <c r="F537" s="309"/>
      <c r="G537" s="309"/>
      <c r="H537" s="309"/>
      <c r="I537" s="309"/>
      <c r="J537" s="309"/>
      <c r="K537" s="1020"/>
      <c r="L537" s="309"/>
      <c r="M537" s="309"/>
      <c r="N537" s="309"/>
      <c r="O537" s="309"/>
      <c r="P537" s="326"/>
      <c r="Q537" s="309"/>
      <c r="R537" s="309"/>
      <c r="S537" s="309"/>
      <c r="T537" s="309"/>
      <c r="U537" s="309"/>
      <c r="V537" s="309"/>
      <c r="W537" s="309"/>
      <c r="X537" s="309"/>
      <c r="Y537" s="309"/>
      <c r="Z537" s="309"/>
    </row>
    <row r="538" spans="1:26" ht="12.75" customHeight="1">
      <c r="A538" s="309"/>
      <c r="B538" s="309"/>
      <c r="C538" s="309"/>
      <c r="D538" s="309"/>
      <c r="E538" s="309"/>
      <c r="F538" s="309"/>
      <c r="G538" s="309"/>
      <c r="H538" s="309"/>
      <c r="I538" s="309"/>
      <c r="J538" s="309"/>
      <c r="K538" s="1020"/>
      <c r="L538" s="309"/>
      <c r="M538" s="309"/>
      <c r="N538" s="309"/>
      <c r="O538" s="309"/>
      <c r="P538" s="326"/>
      <c r="Q538" s="309"/>
      <c r="R538" s="309"/>
      <c r="S538" s="309"/>
      <c r="T538" s="309"/>
      <c r="U538" s="309"/>
      <c r="V538" s="309"/>
      <c r="W538" s="309"/>
      <c r="X538" s="309"/>
      <c r="Y538" s="309"/>
      <c r="Z538" s="309"/>
    </row>
    <row r="539" spans="1:26" ht="12.75" customHeight="1">
      <c r="A539" s="309"/>
      <c r="B539" s="309"/>
      <c r="C539" s="309"/>
      <c r="D539" s="309"/>
      <c r="E539" s="309"/>
      <c r="F539" s="309"/>
      <c r="G539" s="309"/>
      <c r="H539" s="309"/>
      <c r="I539" s="309"/>
      <c r="J539" s="309"/>
      <c r="K539" s="1020"/>
      <c r="L539" s="309"/>
      <c r="M539" s="309"/>
      <c r="N539" s="309"/>
      <c r="O539" s="309"/>
      <c r="P539" s="326"/>
      <c r="Q539" s="309"/>
      <c r="R539" s="309"/>
      <c r="S539" s="309"/>
      <c r="T539" s="309"/>
      <c r="U539" s="309"/>
      <c r="V539" s="309"/>
      <c r="W539" s="309"/>
      <c r="X539" s="309"/>
      <c r="Y539" s="309"/>
      <c r="Z539" s="309"/>
    </row>
    <row r="540" spans="1:26" ht="12.75" customHeight="1">
      <c r="A540" s="309"/>
      <c r="B540" s="309"/>
      <c r="C540" s="309"/>
      <c r="D540" s="309"/>
      <c r="E540" s="309"/>
      <c r="F540" s="309"/>
      <c r="G540" s="309"/>
      <c r="H540" s="309"/>
      <c r="I540" s="309"/>
      <c r="J540" s="309"/>
      <c r="K540" s="1020"/>
      <c r="L540" s="309"/>
      <c r="M540" s="309"/>
      <c r="N540" s="309"/>
      <c r="O540" s="309"/>
      <c r="P540" s="326"/>
      <c r="Q540" s="309"/>
      <c r="R540" s="309"/>
      <c r="S540" s="309"/>
      <c r="T540" s="309"/>
      <c r="U540" s="309"/>
      <c r="V540" s="309"/>
      <c r="W540" s="309"/>
      <c r="X540" s="309"/>
      <c r="Y540" s="309"/>
      <c r="Z540" s="309"/>
    </row>
    <row r="541" spans="1:26" ht="12.75" customHeight="1">
      <c r="A541" s="309"/>
      <c r="B541" s="309"/>
      <c r="C541" s="309"/>
      <c r="D541" s="309"/>
      <c r="E541" s="309"/>
      <c r="F541" s="309"/>
      <c r="G541" s="309"/>
      <c r="H541" s="309"/>
      <c r="I541" s="309"/>
      <c r="J541" s="309"/>
      <c r="K541" s="1020"/>
      <c r="L541" s="309"/>
      <c r="M541" s="309"/>
      <c r="N541" s="309"/>
      <c r="O541" s="309"/>
      <c r="P541" s="326"/>
      <c r="Q541" s="309"/>
      <c r="R541" s="309"/>
      <c r="S541" s="309"/>
      <c r="T541" s="309"/>
      <c r="U541" s="309"/>
      <c r="V541" s="309"/>
      <c r="W541" s="309"/>
      <c r="X541" s="309"/>
      <c r="Y541" s="309"/>
      <c r="Z541" s="309"/>
    </row>
    <row r="542" spans="1:26" ht="12.75" customHeight="1">
      <c r="A542" s="309"/>
      <c r="B542" s="309"/>
      <c r="C542" s="309"/>
      <c r="D542" s="309"/>
      <c r="E542" s="309"/>
      <c r="F542" s="309"/>
      <c r="G542" s="309"/>
      <c r="H542" s="309"/>
      <c r="I542" s="309"/>
      <c r="J542" s="309"/>
      <c r="K542" s="1020"/>
      <c r="L542" s="309"/>
      <c r="M542" s="309"/>
      <c r="N542" s="309"/>
      <c r="O542" s="309"/>
      <c r="P542" s="326"/>
      <c r="Q542" s="309"/>
      <c r="R542" s="309"/>
      <c r="S542" s="309"/>
      <c r="T542" s="309"/>
      <c r="U542" s="309"/>
      <c r="V542" s="309"/>
      <c r="W542" s="309"/>
      <c r="X542" s="309"/>
      <c r="Y542" s="309"/>
      <c r="Z542" s="309"/>
    </row>
    <row r="543" spans="1:26" ht="12.75" customHeight="1">
      <c r="A543" s="309"/>
      <c r="B543" s="309"/>
      <c r="C543" s="309"/>
      <c r="D543" s="309"/>
      <c r="E543" s="309"/>
      <c r="F543" s="309"/>
      <c r="G543" s="309"/>
      <c r="H543" s="309"/>
      <c r="I543" s="309"/>
      <c r="J543" s="309"/>
      <c r="K543" s="1020"/>
      <c r="L543" s="309"/>
      <c r="M543" s="309"/>
      <c r="N543" s="309"/>
      <c r="O543" s="309"/>
      <c r="P543" s="326"/>
      <c r="Q543" s="309"/>
      <c r="R543" s="309"/>
      <c r="S543" s="309"/>
      <c r="T543" s="309"/>
      <c r="U543" s="309"/>
      <c r="V543" s="309"/>
      <c r="W543" s="309"/>
      <c r="X543" s="309"/>
      <c r="Y543" s="309"/>
      <c r="Z543" s="309"/>
    </row>
    <row r="544" spans="1:26" ht="12.75" customHeight="1">
      <c r="A544" s="309"/>
      <c r="B544" s="309"/>
      <c r="C544" s="309"/>
      <c r="D544" s="309"/>
      <c r="E544" s="309"/>
      <c r="F544" s="309"/>
      <c r="G544" s="309"/>
      <c r="H544" s="309"/>
      <c r="I544" s="309"/>
      <c r="J544" s="309"/>
      <c r="K544" s="1020"/>
      <c r="L544" s="309"/>
      <c r="M544" s="309"/>
      <c r="N544" s="309"/>
      <c r="O544" s="309"/>
      <c r="P544" s="326"/>
      <c r="Q544" s="309"/>
      <c r="R544" s="309"/>
      <c r="S544" s="309"/>
      <c r="T544" s="309"/>
      <c r="U544" s="309"/>
      <c r="V544" s="309"/>
      <c r="W544" s="309"/>
      <c r="X544" s="309"/>
      <c r="Y544" s="309"/>
      <c r="Z544" s="309"/>
    </row>
    <row r="545" spans="1:26" ht="12.75" customHeight="1">
      <c r="A545" s="309"/>
      <c r="B545" s="309"/>
      <c r="C545" s="309"/>
      <c r="D545" s="309"/>
      <c r="E545" s="309"/>
      <c r="F545" s="309"/>
      <c r="G545" s="309"/>
      <c r="H545" s="309"/>
      <c r="I545" s="309"/>
      <c r="J545" s="309"/>
      <c r="K545" s="1020"/>
      <c r="L545" s="309"/>
      <c r="M545" s="309"/>
      <c r="N545" s="309"/>
      <c r="O545" s="309"/>
      <c r="P545" s="326"/>
      <c r="Q545" s="309"/>
      <c r="R545" s="309"/>
      <c r="S545" s="309"/>
      <c r="T545" s="309"/>
      <c r="U545" s="309"/>
      <c r="V545" s="309"/>
      <c r="W545" s="309"/>
      <c r="X545" s="309"/>
      <c r="Y545" s="309"/>
      <c r="Z545" s="309"/>
    </row>
    <row r="546" spans="1:26" ht="12.75" customHeight="1">
      <c r="A546" s="309"/>
      <c r="B546" s="309"/>
      <c r="C546" s="309"/>
      <c r="D546" s="309"/>
      <c r="E546" s="309"/>
      <c r="F546" s="309"/>
      <c r="G546" s="309"/>
      <c r="H546" s="309"/>
      <c r="I546" s="309"/>
      <c r="J546" s="309"/>
      <c r="K546" s="1020"/>
      <c r="L546" s="309"/>
      <c r="M546" s="309"/>
      <c r="N546" s="309"/>
      <c r="O546" s="309"/>
      <c r="P546" s="326"/>
      <c r="Q546" s="309"/>
      <c r="R546" s="309"/>
      <c r="S546" s="309"/>
      <c r="T546" s="309"/>
      <c r="U546" s="309"/>
      <c r="V546" s="309"/>
      <c r="W546" s="309"/>
      <c r="X546" s="309"/>
      <c r="Y546" s="309"/>
      <c r="Z546" s="309"/>
    </row>
    <row r="547" spans="1:26" ht="12.75" customHeight="1">
      <c r="A547" s="309"/>
      <c r="B547" s="309"/>
      <c r="C547" s="309"/>
      <c r="D547" s="309"/>
      <c r="E547" s="309"/>
      <c r="F547" s="309"/>
      <c r="G547" s="309"/>
      <c r="H547" s="309"/>
      <c r="I547" s="309"/>
      <c r="J547" s="309"/>
      <c r="K547" s="1020"/>
      <c r="L547" s="309"/>
      <c r="M547" s="309"/>
      <c r="N547" s="309"/>
      <c r="O547" s="309"/>
      <c r="P547" s="326"/>
      <c r="Q547" s="309"/>
      <c r="R547" s="309"/>
      <c r="S547" s="309"/>
      <c r="T547" s="309"/>
      <c r="U547" s="309"/>
      <c r="V547" s="309"/>
      <c r="W547" s="309"/>
      <c r="X547" s="309"/>
      <c r="Y547" s="309"/>
      <c r="Z547" s="309"/>
    </row>
    <row r="548" spans="1:26" ht="12.75" customHeight="1">
      <c r="A548" s="309"/>
      <c r="B548" s="309"/>
      <c r="C548" s="309"/>
      <c r="D548" s="309"/>
      <c r="E548" s="309"/>
      <c r="F548" s="309"/>
      <c r="G548" s="309"/>
      <c r="H548" s="309"/>
      <c r="I548" s="309"/>
      <c r="J548" s="309"/>
      <c r="K548" s="1020"/>
      <c r="L548" s="309"/>
      <c r="M548" s="309"/>
      <c r="N548" s="309"/>
      <c r="O548" s="309"/>
      <c r="P548" s="326"/>
      <c r="Q548" s="309"/>
      <c r="R548" s="309"/>
      <c r="S548" s="309"/>
      <c r="T548" s="309"/>
      <c r="U548" s="309"/>
      <c r="V548" s="309"/>
      <c r="W548" s="309"/>
      <c r="X548" s="309"/>
      <c r="Y548" s="309"/>
      <c r="Z548" s="309"/>
    </row>
    <row r="549" spans="1:26" ht="12.75" customHeight="1">
      <c r="A549" s="309"/>
      <c r="B549" s="309"/>
      <c r="C549" s="309"/>
      <c r="D549" s="309"/>
      <c r="E549" s="309"/>
      <c r="F549" s="309"/>
      <c r="G549" s="309"/>
      <c r="H549" s="309"/>
      <c r="I549" s="309"/>
      <c r="J549" s="309"/>
      <c r="K549" s="1020"/>
      <c r="L549" s="309"/>
      <c r="M549" s="309"/>
      <c r="N549" s="309"/>
      <c r="O549" s="309"/>
      <c r="P549" s="326"/>
      <c r="Q549" s="309"/>
      <c r="R549" s="309"/>
      <c r="S549" s="309"/>
      <c r="T549" s="309"/>
      <c r="U549" s="309"/>
      <c r="V549" s="309"/>
      <c r="W549" s="309"/>
      <c r="X549" s="309"/>
      <c r="Y549" s="309"/>
      <c r="Z549" s="309"/>
    </row>
    <row r="550" spans="1:26" ht="12.75" customHeight="1">
      <c r="A550" s="309"/>
      <c r="B550" s="309"/>
      <c r="C550" s="309"/>
      <c r="D550" s="309"/>
      <c r="E550" s="309"/>
      <c r="F550" s="309"/>
      <c r="G550" s="309"/>
      <c r="H550" s="309"/>
      <c r="I550" s="309"/>
      <c r="J550" s="309"/>
      <c r="K550" s="1020"/>
      <c r="L550" s="309"/>
      <c r="M550" s="309"/>
      <c r="N550" s="309"/>
      <c r="O550" s="309"/>
      <c r="P550" s="326"/>
      <c r="Q550" s="309"/>
      <c r="R550" s="309"/>
      <c r="S550" s="309"/>
      <c r="T550" s="309"/>
      <c r="U550" s="309"/>
      <c r="V550" s="309"/>
      <c r="W550" s="309"/>
      <c r="X550" s="309"/>
      <c r="Y550" s="309"/>
      <c r="Z550" s="309"/>
    </row>
    <row r="551" spans="1:26" ht="12.75" customHeight="1">
      <c r="A551" s="309"/>
      <c r="B551" s="309"/>
      <c r="C551" s="309"/>
      <c r="D551" s="309"/>
      <c r="E551" s="309"/>
      <c r="F551" s="309"/>
      <c r="G551" s="309"/>
      <c r="H551" s="309"/>
      <c r="I551" s="309"/>
      <c r="J551" s="309"/>
      <c r="K551" s="1020"/>
      <c r="L551" s="309"/>
      <c r="M551" s="309"/>
      <c r="N551" s="309"/>
      <c r="O551" s="309"/>
      <c r="P551" s="326"/>
      <c r="Q551" s="309"/>
      <c r="R551" s="309"/>
      <c r="S551" s="309"/>
      <c r="T551" s="309"/>
      <c r="U551" s="309"/>
      <c r="V551" s="309"/>
      <c r="W551" s="309"/>
      <c r="X551" s="309"/>
      <c r="Y551" s="309"/>
      <c r="Z551" s="309"/>
    </row>
    <row r="552" spans="1:26" ht="12.75" customHeight="1">
      <c r="A552" s="309"/>
      <c r="B552" s="309"/>
      <c r="C552" s="309"/>
      <c r="D552" s="309"/>
      <c r="E552" s="309"/>
      <c r="F552" s="309"/>
      <c r="G552" s="309"/>
      <c r="H552" s="309"/>
      <c r="I552" s="309"/>
      <c r="J552" s="309"/>
      <c r="K552" s="1020"/>
      <c r="L552" s="309"/>
      <c r="M552" s="309"/>
      <c r="N552" s="309"/>
      <c r="O552" s="309"/>
      <c r="P552" s="326"/>
      <c r="Q552" s="309"/>
      <c r="R552" s="309"/>
      <c r="S552" s="309"/>
      <c r="T552" s="309"/>
      <c r="U552" s="309"/>
      <c r="V552" s="309"/>
      <c r="W552" s="309"/>
      <c r="X552" s="309"/>
      <c r="Y552" s="309"/>
      <c r="Z552" s="309"/>
    </row>
    <row r="553" spans="1:26" ht="12.75" customHeight="1">
      <c r="A553" s="309"/>
      <c r="B553" s="309"/>
      <c r="C553" s="309"/>
      <c r="D553" s="309"/>
      <c r="E553" s="309"/>
      <c r="F553" s="309"/>
      <c r="G553" s="309"/>
      <c r="H553" s="309"/>
      <c r="I553" s="309"/>
      <c r="J553" s="309"/>
      <c r="K553" s="1020"/>
      <c r="L553" s="309"/>
      <c r="M553" s="309"/>
      <c r="N553" s="309"/>
      <c r="O553" s="309"/>
      <c r="P553" s="326"/>
      <c r="Q553" s="309"/>
      <c r="R553" s="309"/>
      <c r="S553" s="309"/>
      <c r="T553" s="309"/>
      <c r="U553" s="309"/>
      <c r="V553" s="309"/>
      <c r="W553" s="309"/>
      <c r="X553" s="309"/>
      <c r="Y553" s="309"/>
      <c r="Z553" s="309"/>
    </row>
    <row r="554" spans="1:26" ht="12.75" customHeight="1">
      <c r="A554" s="309"/>
      <c r="B554" s="309"/>
      <c r="C554" s="309"/>
      <c r="D554" s="309"/>
      <c r="E554" s="309"/>
      <c r="F554" s="309"/>
      <c r="G554" s="309"/>
      <c r="H554" s="309"/>
      <c r="I554" s="309"/>
      <c r="J554" s="309"/>
      <c r="K554" s="1020"/>
      <c r="L554" s="309"/>
      <c r="M554" s="309"/>
      <c r="N554" s="309"/>
      <c r="O554" s="309"/>
      <c r="P554" s="326"/>
      <c r="Q554" s="309"/>
      <c r="R554" s="309"/>
      <c r="S554" s="309"/>
      <c r="T554" s="309"/>
      <c r="U554" s="309"/>
      <c r="V554" s="309"/>
      <c r="W554" s="309"/>
      <c r="X554" s="309"/>
      <c r="Y554" s="309"/>
      <c r="Z554" s="309"/>
    </row>
    <row r="555" spans="1:26" ht="12.75" customHeight="1">
      <c r="A555" s="309"/>
      <c r="B555" s="309"/>
      <c r="C555" s="309"/>
      <c r="D555" s="309"/>
      <c r="E555" s="309"/>
      <c r="F555" s="309"/>
      <c r="G555" s="309"/>
      <c r="H555" s="309"/>
      <c r="I555" s="309"/>
      <c r="J555" s="309"/>
      <c r="K555" s="1020"/>
      <c r="L555" s="309"/>
      <c r="M555" s="309"/>
      <c r="N555" s="309"/>
      <c r="O555" s="309"/>
      <c r="P555" s="326"/>
      <c r="Q555" s="309"/>
      <c r="R555" s="309"/>
      <c r="S555" s="309"/>
      <c r="T555" s="309"/>
      <c r="U555" s="309"/>
      <c r="V555" s="309"/>
      <c r="W555" s="309"/>
      <c r="X555" s="309"/>
      <c r="Y555" s="309"/>
      <c r="Z555" s="309"/>
    </row>
    <row r="556" spans="1:26" ht="12.75" customHeight="1">
      <c r="A556" s="309"/>
      <c r="B556" s="309"/>
      <c r="C556" s="309"/>
      <c r="D556" s="309"/>
      <c r="E556" s="309"/>
      <c r="F556" s="309"/>
      <c r="G556" s="309"/>
      <c r="H556" s="309"/>
      <c r="I556" s="309"/>
      <c r="J556" s="309"/>
      <c r="K556" s="1020"/>
      <c r="L556" s="309"/>
      <c r="M556" s="309"/>
      <c r="N556" s="309"/>
      <c r="O556" s="309"/>
      <c r="P556" s="326"/>
      <c r="Q556" s="309"/>
      <c r="R556" s="309"/>
      <c r="S556" s="309"/>
      <c r="T556" s="309"/>
      <c r="U556" s="309"/>
      <c r="V556" s="309"/>
      <c r="W556" s="309"/>
      <c r="X556" s="309"/>
      <c r="Y556" s="309"/>
      <c r="Z556" s="309"/>
    </row>
    <row r="557" spans="1:26" ht="12.75" customHeight="1">
      <c r="A557" s="309"/>
      <c r="B557" s="309"/>
      <c r="C557" s="309"/>
      <c r="D557" s="309"/>
      <c r="E557" s="309"/>
      <c r="F557" s="309"/>
      <c r="G557" s="309"/>
      <c r="H557" s="309"/>
      <c r="I557" s="309"/>
      <c r="J557" s="309"/>
      <c r="K557" s="1020"/>
      <c r="L557" s="309"/>
      <c r="M557" s="309"/>
      <c r="N557" s="309"/>
      <c r="O557" s="309"/>
      <c r="P557" s="326"/>
      <c r="Q557" s="309"/>
      <c r="R557" s="309"/>
      <c r="S557" s="309"/>
      <c r="T557" s="309"/>
      <c r="U557" s="309"/>
      <c r="V557" s="309"/>
      <c r="W557" s="309"/>
      <c r="X557" s="309"/>
      <c r="Y557" s="309"/>
      <c r="Z557" s="309"/>
    </row>
    <row r="558" spans="1:26" ht="12.75" customHeight="1">
      <c r="A558" s="309"/>
      <c r="B558" s="309"/>
      <c r="C558" s="309"/>
      <c r="D558" s="309"/>
      <c r="E558" s="309"/>
      <c r="F558" s="309"/>
      <c r="G558" s="309"/>
      <c r="H558" s="309"/>
      <c r="I558" s="309"/>
      <c r="J558" s="309"/>
      <c r="K558" s="1020"/>
      <c r="L558" s="309"/>
      <c r="M558" s="309"/>
      <c r="N558" s="309"/>
      <c r="O558" s="309"/>
      <c r="P558" s="326"/>
      <c r="Q558" s="309"/>
      <c r="R558" s="309"/>
      <c r="S558" s="309"/>
      <c r="T558" s="309"/>
      <c r="U558" s="309"/>
      <c r="V558" s="309"/>
      <c r="W558" s="309"/>
      <c r="X558" s="309"/>
      <c r="Y558" s="309"/>
      <c r="Z558" s="309"/>
    </row>
    <row r="559" spans="1:26" ht="12.75" customHeight="1">
      <c r="A559" s="309"/>
      <c r="B559" s="309"/>
      <c r="C559" s="309"/>
      <c r="D559" s="309"/>
      <c r="E559" s="309"/>
      <c r="F559" s="309"/>
      <c r="G559" s="309"/>
      <c r="H559" s="309"/>
      <c r="I559" s="309"/>
      <c r="J559" s="309"/>
      <c r="K559" s="1020"/>
      <c r="L559" s="309"/>
      <c r="M559" s="309"/>
      <c r="N559" s="309"/>
      <c r="O559" s="309"/>
      <c r="P559" s="326"/>
      <c r="Q559" s="309"/>
      <c r="R559" s="309"/>
      <c r="S559" s="309"/>
      <c r="T559" s="309"/>
      <c r="U559" s="309"/>
      <c r="V559" s="309"/>
      <c r="W559" s="309"/>
      <c r="X559" s="309"/>
      <c r="Y559" s="309"/>
      <c r="Z559" s="309"/>
    </row>
    <row r="560" spans="1:26" ht="12.75" customHeight="1">
      <c r="A560" s="309"/>
      <c r="B560" s="309"/>
      <c r="C560" s="309"/>
      <c r="D560" s="309"/>
      <c r="E560" s="309"/>
      <c r="F560" s="309"/>
      <c r="G560" s="309"/>
      <c r="H560" s="309"/>
      <c r="I560" s="309"/>
      <c r="J560" s="309"/>
      <c r="K560" s="1020"/>
      <c r="L560" s="309"/>
      <c r="M560" s="309"/>
      <c r="N560" s="309"/>
      <c r="O560" s="309"/>
      <c r="P560" s="326"/>
      <c r="Q560" s="309"/>
      <c r="R560" s="309"/>
      <c r="S560" s="309"/>
      <c r="T560" s="309"/>
      <c r="U560" s="309"/>
      <c r="V560" s="309"/>
      <c r="W560" s="309"/>
      <c r="X560" s="309"/>
      <c r="Y560" s="309"/>
      <c r="Z560" s="309"/>
    </row>
    <row r="561" spans="1:26" ht="12.75" customHeight="1">
      <c r="A561" s="309"/>
      <c r="B561" s="309"/>
      <c r="C561" s="309"/>
      <c r="D561" s="309"/>
      <c r="E561" s="309"/>
      <c r="F561" s="309"/>
      <c r="G561" s="309"/>
      <c r="H561" s="309"/>
      <c r="I561" s="309"/>
      <c r="J561" s="309"/>
      <c r="K561" s="1020"/>
      <c r="L561" s="309"/>
      <c r="M561" s="309"/>
      <c r="N561" s="309"/>
      <c r="O561" s="309"/>
      <c r="P561" s="326"/>
      <c r="Q561" s="309"/>
      <c r="R561" s="309"/>
      <c r="S561" s="309"/>
      <c r="T561" s="309"/>
      <c r="U561" s="309"/>
      <c r="V561" s="309"/>
      <c r="W561" s="309"/>
      <c r="X561" s="309"/>
      <c r="Y561" s="309"/>
      <c r="Z561" s="309"/>
    </row>
    <row r="562" spans="1:26" ht="12.75" customHeight="1">
      <c r="A562" s="309"/>
      <c r="B562" s="309"/>
      <c r="C562" s="309"/>
      <c r="D562" s="309"/>
      <c r="E562" s="309"/>
      <c r="F562" s="309"/>
      <c r="G562" s="309"/>
      <c r="H562" s="309"/>
      <c r="I562" s="309"/>
      <c r="J562" s="309"/>
      <c r="K562" s="1020"/>
      <c r="L562" s="309"/>
      <c r="M562" s="309"/>
      <c r="N562" s="309"/>
      <c r="O562" s="309"/>
      <c r="P562" s="326"/>
      <c r="Q562" s="309"/>
      <c r="R562" s="309"/>
      <c r="S562" s="309"/>
      <c r="T562" s="309"/>
      <c r="U562" s="309"/>
      <c r="V562" s="309"/>
      <c r="W562" s="309"/>
      <c r="X562" s="309"/>
      <c r="Y562" s="309"/>
      <c r="Z562" s="309"/>
    </row>
    <row r="563" spans="1:26" ht="12.75" customHeight="1">
      <c r="A563" s="309"/>
      <c r="B563" s="309"/>
      <c r="C563" s="309"/>
      <c r="D563" s="309"/>
      <c r="E563" s="309"/>
      <c r="F563" s="309"/>
      <c r="G563" s="309"/>
      <c r="H563" s="309"/>
      <c r="I563" s="309"/>
      <c r="J563" s="309"/>
      <c r="K563" s="1020"/>
      <c r="L563" s="309"/>
      <c r="M563" s="309"/>
      <c r="N563" s="309"/>
      <c r="O563" s="309"/>
      <c r="P563" s="326"/>
      <c r="Q563" s="309"/>
      <c r="R563" s="309"/>
      <c r="S563" s="309"/>
      <c r="T563" s="309"/>
      <c r="U563" s="309"/>
      <c r="V563" s="309"/>
      <c r="W563" s="309"/>
      <c r="X563" s="309"/>
      <c r="Y563" s="309"/>
      <c r="Z563" s="309"/>
    </row>
    <row r="564" spans="1:26" ht="12.75" customHeight="1">
      <c r="A564" s="309"/>
      <c r="B564" s="309"/>
      <c r="C564" s="309"/>
      <c r="D564" s="309"/>
      <c r="E564" s="309"/>
      <c r="F564" s="309"/>
      <c r="G564" s="309"/>
      <c r="H564" s="309"/>
      <c r="I564" s="309"/>
      <c r="J564" s="309"/>
      <c r="K564" s="1020"/>
      <c r="L564" s="309"/>
      <c r="M564" s="309"/>
      <c r="N564" s="309"/>
      <c r="O564" s="309"/>
      <c r="P564" s="326"/>
      <c r="Q564" s="309"/>
      <c r="R564" s="309"/>
      <c r="S564" s="309"/>
      <c r="T564" s="309"/>
      <c r="U564" s="309"/>
      <c r="V564" s="309"/>
      <c r="W564" s="309"/>
      <c r="X564" s="309"/>
      <c r="Y564" s="309"/>
      <c r="Z564" s="309"/>
    </row>
    <row r="565" spans="1:26" ht="12.75" customHeight="1">
      <c r="A565" s="309"/>
      <c r="B565" s="309"/>
      <c r="C565" s="309"/>
      <c r="D565" s="309"/>
      <c r="E565" s="309"/>
      <c r="F565" s="309"/>
      <c r="G565" s="309"/>
      <c r="H565" s="309"/>
      <c r="I565" s="309"/>
      <c r="J565" s="309"/>
      <c r="K565" s="1020"/>
      <c r="L565" s="309"/>
      <c r="M565" s="309"/>
      <c r="N565" s="309"/>
      <c r="O565" s="309"/>
      <c r="P565" s="326"/>
      <c r="Q565" s="309"/>
      <c r="R565" s="309"/>
      <c r="S565" s="309"/>
      <c r="T565" s="309"/>
      <c r="U565" s="309"/>
      <c r="V565" s="309"/>
      <c r="W565" s="309"/>
      <c r="X565" s="309"/>
      <c r="Y565" s="309"/>
      <c r="Z565" s="309"/>
    </row>
    <row r="566" spans="1:26" ht="12.75" customHeight="1">
      <c r="A566" s="309"/>
      <c r="B566" s="309"/>
      <c r="C566" s="309"/>
      <c r="D566" s="309"/>
      <c r="E566" s="309"/>
      <c r="F566" s="309"/>
      <c r="G566" s="309"/>
      <c r="H566" s="309"/>
      <c r="I566" s="309"/>
      <c r="J566" s="309"/>
      <c r="K566" s="1020"/>
      <c r="L566" s="309"/>
      <c r="M566" s="309"/>
      <c r="N566" s="309"/>
      <c r="O566" s="309"/>
      <c r="P566" s="326"/>
      <c r="Q566" s="309"/>
      <c r="R566" s="309"/>
      <c r="S566" s="309"/>
      <c r="T566" s="309"/>
      <c r="U566" s="309"/>
      <c r="V566" s="309"/>
      <c r="W566" s="309"/>
      <c r="X566" s="309"/>
      <c r="Y566" s="309"/>
      <c r="Z566" s="309"/>
    </row>
    <row r="567" spans="1:26" ht="12.75" customHeight="1">
      <c r="A567" s="309"/>
      <c r="B567" s="309"/>
      <c r="C567" s="309"/>
      <c r="D567" s="309"/>
      <c r="E567" s="309"/>
      <c r="F567" s="309"/>
      <c r="G567" s="309"/>
      <c r="H567" s="309"/>
      <c r="I567" s="309"/>
      <c r="J567" s="309"/>
      <c r="K567" s="1020"/>
      <c r="L567" s="309"/>
      <c r="M567" s="309"/>
      <c r="N567" s="309"/>
      <c r="O567" s="309"/>
      <c r="P567" s="326"/>
      <c r="Q567" s="309"/>
      <c r="R567" s="309"/>
      <c r="S567" s="309"/>
      <c r="T567" s="309"/>
      <c r="U567" s="309"/>
      <c r="V567" s="309"/>
      <c r="W567" s="309"/>
      <c r="X567" s="309"/>
      <c r="Y567" s="309"/>
      <c r="Z567" s="309"/>
    </row>
    <row r="568" spans="1:26" ht="12.75" customHeight="1">
      <c r="A568" s="309"/>
      <c r="B568" s="309"/>
      <c r="C568" s="309"/>
      <c r="D568" s="309"/>
      <c r="E568" s="309"/>
      <c r="F568" s="309"/>
      <c r="G568" s="309"/>
      <c r="H568" s="309"/>
      <c r="I568" s="309"/>
      <c r="J568" s="309"/>
      <c r="K568" s="1020"/>
      <c r="L568" s="309"/>
      <c r="M568" s="309"/>
      <c r="N568" s="309"/>
      <c r="O568" s="309"/>
      <c r="P568" s="326"/>
      <c r="Q568" s="309"/>
      <c r="R568" s="309"/>
      <c r="S568" s="309"/>
      <c r="T568" s="309"/>
      <c r="U568" s="309"/>
      <c r="V568" s="309"/>
      <c r="W568" s="309"/>
      <c r="X568" s="309"/>
      <c r="Y568" s="309"/>
      <c r="Z568" s="309"/>
    </row>
    <row r="569" spans="1:26" ht="12.75" customHeight="1">
      <c r="A569" s="309"/>
      <c r="B569" s="309"/>
      <c r="C569" s="309"/>
      <c r="D569" s="309"/>
      <c r="E569" s="309"/>
      <c r="F569" s="309"/>
      <c r="G569" s="309"/>
      <c r="H569" s="309"/>
      <c r="I569" s="309"/>
      <c r="J569" s="309"/>
      <c r="K569" s="1020"/>
      <c r="L569" s="309"/>
      <c r="M569" s="309"/>
      <c r="N569" s="309"/>
      <c r="O569" s="309"/>
      <c r="P569" s="326"/>
      <c r="Q569" s="309"/>
      <c r="R569" s="309"/>
      <c r="S569" s="309"/>
      <c r="T569" s="309"/>
      <c r="U569" s="309"/>
      <c r="V569" s="309"/>
      <c r="W569" s="309"/>
      <c r="X569" s="309"/>
      <c r="Y569" s="309"/>
      <c r="Z569" s="309"/>
    </row>
    <row r="570" spans="1:26" ht="12.75" customHeight="1">
      <c r="A570" s="309"/>
      <c r="B570" s="309"/>
      <c r="C570" s="309"/>
      <c r="D570" s="309"/>
      <c r="E570" s="309"/>
      <c r="F570" s="309"/>
      <c r="G570" s="309"/>
      <c r="H570" s="309"/>
      <c r="I570" s="309"/>
      <c r="J570" s="309"/>
      <c r="K570" s="1020"/>
      <c r="L570" s="309"/>
      <c r="M570" s="309"/>
      <c r="N570" s="309"/>
      <c r="O570" s="309"/>
      <c r="P570" s="326"/>
      <c r="Q570" s="309"/>
      <c r="R570" s="309"/>
      <c r="S570" s="309"/>
      <c r="T570" s="309"/>
      <c r="U570" s="309"/>
      <c r="V570" s="309"/>
      <c r="W570" s="309"/>
      <c r="X570" s="309"/>
      <c r="Y570" s="309"/>
      <c r="Z570" s="309"/>
    </row>
    <row r="571" spans="1:26" ht="12.75" customHeight="1">
      <c r="A571" s="309"/>
      <c r="B571" s="309"/>
      <c r="C571" s="309"/>
      <c r="D571" s="309"/>
      <c r="E571" s="309"/>
      <c r="F571" s="309"/>
      <c r="G571" s="309"/>
      <c r="H571" s="309"/>
      <c r="I571" s="309"/>
      <c r="J571" s="309"/>
      <c r="K571" s="1020"/>
      <c r="L571" s="309"/>
      <c r="M571" s="309"/>
      <c r="N571" s="309"/>
      <c r="O571" s="309"/>
      <c r="P571" s="326"/>
      <c r="Q571" s="309"/>
      <c r="R571" s="309"/>
      <c r="S571" s="309"/>
      <c r="T571" s="309"/>
      <c r="U571" s="309"/>
      <c r="V571" s="309"/>
      <c r="W571" s="309"/>
      <c r="X571" s="309"/>
      <c r="Y571" s="309"/>
      <c r="Z571" s="309"/>
    </row>
    <row r="572" spans="1:26" ht="12.75" customHeight="1">
      <c r="A572" s="309"/>
      <c r="B572" s="309"/>
      <c r="C572" s="309"/>
      <c r="D572" s="309"/>
      <c r="E572" s="309"/>
      <c r="F572" s="309"/>
      <c r="G572" s="309"/>
      <c r="H572" s="309"/>
      <c r="I572" s="309"/>
      <c r="J572" s="309"/>
      <c r="K572" s="1020"/>
      <c r="L572" s="309"/>
      <c r="M572" s="309"/>
      <c r="N572" s="309"/>
      <c r="O572" s="309"/>
      <c r="P572" s="326"/>
      <c r="Q572" s="309"/>
      <c r="R572" s="309"/>
      <c r="S572" s="309"/>
      <c r="T572" s="309"/>
      <c r="U572" s="309"/>
      <c r="V572" s="309"/>
      <c r="W572" s="309"/>
      <c r="X572" s="309"/>
      <c r="Y572" s="309"/>
      <c r="Z572" s="309"/>
    </row>
    <row r="573" spans="1:26" ht="12.75" customHeight="1">
      <c r="A573" s="309"/>
      <c r="B573" s="309"/>
      <c r="C573" s="309"/>
      <c r="D573" s="309"/>
      <c r="E573" s="309"/>
      <c r="F573" s="309"/>
      <c r="G573" s="309"/>
      <c r="H573" s="309"/>
      <c r="I573" s="309"/>
      <c r="J573" s="309"/>
      <c r="K573" s="1020"/>
      <c r="L573" s="309"/>
      <c r="M573" s="309"/>
      <c r="N573" s="309"/>
      <c r="O573" s="309"/>
      <c r="P573" s="326"/>
      <c r="Q573" s="309"/>
      <c r="R573" s="309"/>
      <c r="S573" s="309"/>
      <c r="T573" s="309"/>
      <c r="U573" s="309"/>
      <c r="V573" s="309"/>
      <c r="W573" s="309"/>
      <c r="X573" s="309"/>
      <c r="Y573" s="309"/>
      <c r="Z573" s="309"/>
    </row>
    <row r="574" spans="1:26" ht="12.75" customHeight="1">
      <c r="A574" s="309"/>
      <c r="B574" s="309"/>
      <c r="C574" s="309"/>
      <c r="D574" s="309"/>
      <c r="E574" s="309"/>
      <c r="F574" s="309"/>
      <c r="G574" s="309"/>
      <c r="H574" s="309"/>
      <c r="I574" s="309"/>
      <c r="J574" s="309"/>
      <c r="K574" s="1020"/>
      <c r="L574" s="309"/>
      <c r="M574" s="309"/>
      <c r="N574" s="309"/>
      <c r="O574" s="309"/>
      <c r="P574" s="326"/>
      <c r="Q574" s="309"/>
      <c r="R574" s="309"/>
      <c r="S574" s="309"/>
      <c r="T574" s="309"/>
      <c r="U574" s="309"/>
      <c r="V574" s="309"/>
      <c r="W574" s="309"/>
      <c r="X574" s="309"/>
      <c r="Y574" s="309"/>
      <c r="Z574" s="309"/>
    </row>
    <row r="575" spans="1:26" ht="12.75" customHeight="1">
      <c r="A575" s="309"/>
      <c r="B575" s="309"/>
      <c r="C575" s="309"/>
      <c r="D575" s="309"/>
      <c r="E575" s="309"/>
      <c r="F575" s="309"/>
      <c r="G575" s="309"/>
      <c r="H575" s="309"/>
      <c r="I575" s="309"/>
      <c r="J575" s="309"/>
      <c r="K575" s="1020"/>
      <c r="L575" s="309"/>
      <c r="M575" s="309"/>
      <c r="N575" s="309"/>
      <c r="O575" s="309"/>
      <c r="P575" s="326"/>
      <c r="Q575" s="309"/>
      <c r="R575" s="309"/>
      <c r="S575" s="309"/>
      <c r="T575" s="309"/>
      <c r="U575" s="309"/>
      <c r="V575" s="309"/>
      <c r="W575" s="309"/>
      <c r="X575" s="309"/>
      <c r="Y575" s="309"/>
      <c r="Z575" s="309"/>
    </row>
    <row r="576" spans="1:26" ht="12.75" customHeight="1">
      <c r="A576" s="309"/>
      <c r="B576" s="309"/>
      <c r="C576" s="309"/>
      <c r="D576" s="309"/>
      <c r="E576" s="309"/>
      <c r="F576" s="309"/>
      <c r="G576" s="309"/>
      <c r="H576" s="309"/>
      <c r="I576" s="309"/>
      <c r="J576" s="309"/>
      <c r="K576" s="1020"/>
      <c r="L576" s="309"/>
      <c r="M576" s="309"/>
      <c r="N576" s="309"/>
      <c r="O576" s="309"/>
      <c r="P576" s="326"/>
      <c r="Q576" s="309"/>
      <c r="R576" s="309"/>
      <c r="S576" s="309"/>
      <c r="T576" s="309"/>
      <c r="U576" s="309"/>
      <c r="V576" s="309"/>
      <c r="W576" s="309"/>
      <c r="X576" s="309"/>
      <c r="Y576" s="309"/>
      <c r="Z576" s="309"/>
    </row>
    <row r="577" spans="1:26" ht="12.75" customHeight="1">
      <c r="A577" s="309"/>
      <c r="B577" s="309"/>
      <c r="C577" s="309"/>
      <c r="D577" s="309"/>
      <c r="E577" s="309"/>
      <c r="F577" s="309"/>
      <c r="G577" s="309"/>
      <c r="H577" s="309"/>
      <c r="I577" s="309"/>
      <c r="J577" s="309"/>
      <c r="K577" s="1020"/>
      <c r="L577" s="309"/>
      <c r="M577" s="309"/>
      <c r="N577" s="309"/>
      <c r="O577" s="309"/>
      <c r="P577" s="326"/>
      <c r="Q577" s="309"/>
      <c r="R577" s="309"/>
      <c r="S577" s="309"/>
      <c r="T577" s="309"/>
      <c r="U577" s="309"/>
      <c r="V577" s="309"/>
      <c r="W577" s="309"/>
      <c r="X577" s="309"/>
      <c r="Y577" s="309"/>
      <c r="Z577" s="309"/>
    </row>
    <row r="578" spans="1:26" ht="12.75" customHeight="1">
      <c r="A578" s="309"/>
      <c r="B578" s="309"/>
      <c r="C578" s="309"/>
      <c r="D578" s="309"/>
      <c r="E578" s="309"/>
      <c r="F578" s="309"/>
      <c r="G578" s="309"/>
      <c r="H578" s="309"/>
      <c r="I578" s="309"/>
      <c r="J578" s="309"/>
      <c r="K578" s="1020"/>
      <c r="L578" s="309"/>
      <c r="M578" s="309"/>
      <c r="N578" s="309"/>
      <c r="O578" s="309"/>
      <c r="P578" s="326"/>
      <c r="Q578" s="309"/>
      <c r="R578" s="309"/>
      <c r="S578" s="309"/>
      <c r="T578" s="309"/>
      <c r="U578" s="309"/>
      <c r="V578" s="309"/>
      <c r="W578" s="309"/>
      <c r="X578" s="309"/>
      <c r="Y578" s="309"/>
      <c r="Z578" s="309"/>
    </row>
    <row r="579" spans="1:26" ht="12.75" customHeight="1">
      <c r="A579" s="309"/>
      <c r="B579" s="309"/>
      <c r="C579" s="309"/>
      <c r="D579" s="309"/>
      <c r="E579" s="309"/>
      <c r="F579" s="309"/>
      <c r="G579" s="309"/>
      <c r="H579" s="309"/>
      <c r="I579" s="309"/>
      <c r="J579" s="309"/>
      <c r="K579" s="1020"/>
      <c r="L579" s="309"/>
      <c r="M579" s="309"/>
      <c r="N579" s="309"/>
      <c r="O579" s="309"/>
      <c r="P579" s="326"/>
      <c r="Q579" s="309"/>
      <c r="R579" s="309"/>
      <c r="S579" s="309"/>
      <c r="T579" s="309"/>
      <c r="U579" s="309"/>
      <c r="V579" s="309"/>
      <c r="W579" s="309"/>
      <c r="X579" s="309"/>
      <c r="Y579" s="309"/>
      <c r="Z579" s="309"/>
    </row>
    <row r="580" spans="1:26" ht="12.75" customHeight="1">
      <c r="A580" s="309"/>
      <c r="B580" s="309"/>
      <c r="C580" s="309"/>
      <c r="D580" s="309"/>
      <c r="E580" s="309"/>
      <c r="F580" s="309"/>
      <c r="G580" s="309"/>
      <c r="H580" s="309"/>
      <c r="I580" s="309"/>
      <c r="J580" s="309"/>
      <c r="K580" s="1020"/>
      <c r="L580" s="309"/>
      <c r="M580" s="309"/>
      <c r="N580" s="309"/>
      <c r="O580" s="309"/>
      <c r="P580" s="326"/>
      <c r="Q580" s="309"/>
      <c r="R580" s="309"/>
      <c r="S580" s="309"/>
      <c r="T580" s="309"/>
      <c r="U580" s="309"/>
      <c r="V580" s="309"/>
      <c r="W580" s="309"/>
      <c r="X580" s="309"/>
      <c r="Y580" s="309"/>
      <c r="Z580" s="309"/>
    </row>
    <row r="581" spans="1:26" ht="12.75" customHeight="1">
      <c r="A581" s="309"/>
      <c r="B581" s="309"/>
      <c r="C581" s="309"/>
      <c r="D581" s="309"/>
      <c r="E581" s="309"/>
      <c r="F581" s="309"/>
      <c r="G581" s="309"/>
      <c r="H581" s="309"/>
      <c r="I581" s="309"/>
      <c r="J581" s="309"/>
      <c r="K581" s="1020"/>
      <c r="L581" s="309"/>
      <c r="M581" s="309"/>
      <c r="N581" s="309"/>
      <c r="O581" s="309"/>
      <c r="P581" s="326"/>
      <c r="Q581" s="309"/>
      <c r="R581" s="309"/>
      <c r="S581" s="309"/>
      <c r="T581" s="309"/>
      <c r="U581" s="309"/>
      <c r="V581" s="309"/>
      <c r="W581" s="309"/>
      <c r="X581" s="309"/>
      <c r="Y581" s="309"/>
      <c r="Z581" s="309"/>
    </row>
    <row r="582" spans="1:26" ht="12.75" customHeight="1">
      <c r="A582" s="309"/>
      <c r="B582" s="309"/>
      <c r="C582" s="309"/>
      <c r="D582" s="309"/>
      <c r="E582" s="309"/>
      <c r="F582" s="309"/>
      <c r="G582" s="309"/>
      <c r="H582" s="309"/>
      <c r="I582" s="309"/>
      <c r="J582" s="309"/>
      <c r="K582" s="1020"/>
      <c r="L582" s="309"/>
      <c r="M582" s="309"/>
      <c r="N582" s="309"/>
      <c r="O582" s="309"/>
      <c r="P582" s="326"/>
      <c r="Q582" s="309"/>
      <c r="R582" s="309"/>
      <c r="S582" s="309"/>
      <c r="T582" s="309"/>
      <c r="U582" s="309"/>
      <c r="V582" s="309"/>
      <c r="W582" s="309"/>
      <c r="X582" s="309"/>
      <c r="Y582" s="309"/>
      <c r="Z582" s="309"/>
    </row>
    <row r="583" spans="1:26" ht="12.75" customHeight="1">
      <c r="A583" s="309"/>
      <c r="B583" s="309"/>
      <c r="C583" s="309"/>
      <c r="D583" s="309"/>
      <c r="E583" s="309"/>
      <c r="F583" s="309"/>
      <c r="G583" s="309"/>
      <c r="H583" s="309"/>
      <c r="I583" s="309"/>
      <c r="J583" s="309"/>
      <c r="K583" s="1020"/>
      <c r="L583" s="309"/>
      <c r="M583" s="309"/>
      <c r="N583" s="309"/>
      <c r="O583" s="309"/>
      <c r="P583" s="326"/>
      <c r="Q583" s="309"/>
      <c r="R583" s="309"/>
      <c r="S583" s="309"/>
      <c r="T583" s="309"/>
      <c r="U583" s="309"/>
      <c r="V583" s="309"/>
      <c r="W583" s="309"/>
      <c r="X583" s="309"/>
      <c r="Y583" s="309"/>
      <c r="Z583" s="309"/>
    </row>
    <row r="584" spans="1:26" ht="12.75" customHeight="1">
      <c r="A584" s="309"/>
      <c r="B584" s="309"/>
      <c r="C584" s="309"/>
      <c r="D584" s="309"/>
      <c r="E584" s="309"/>
      <c r="F584" s="309"/>
      <c r="G584" s="309"/>
      <c r="H584" s="309"/>
      <c r="I584" s="309"/>
      <c r="J584" s="309"/>
      <c r="K584" s="1020"/>
      <c r="L584" s="309"/>
      <c r="M584" s="309"/>
      <c r="N584" s="309"/>
      <c r="O584" s="309"/>
      <c r="P584" s="326"/>
      <c r="Q584" s="309"/>
      <c r="R584" s="309"/>
      <c r="S584" s="309"/>
      <c r="T584" s="309"/>
      <c r="U584" s="309"/>
      <c r="V584" s="309"/>
      <c r="W584" s="309"/>
      <c r="X584" s="309"/>
      <c r="Y584" s="309"/>
      <c r="Z584" s="309"/>
    </row>
    <row r="585" spans="1:26" ht="12.75" customHeight="1">
      <c r="A585" s="309"/>
      <c r="B585" s="309"/>
      <c r="C585" s="309"/>
      <c r="D585" s="309"/>
      <c r="E585" s="309"/>
      <c r="F585" s="309"/>
      <c r="G585" s="309"/>
      <c r="H585" s="309"/>
      <c r="I585" s="309"/>
      <c r="J585" s="309"/>
      <c r="K585" s="1020"/>
      <c r="L585" s="309"/>
      <c r="M585" s="309"/>
      <c r="N585" s="309"/>
      <c r="O585" s="309"/>
      <c r="P585" s="326"/>
      <c r="Q585" s="309"/>
      <c r="R585" s="309"/>
      <c r="S585" s="309"/>
      <c r="T585" s="309"/>
      <c r="U585" s="309"/>
      <c r="V585" s="309"/>
      <c r="W585" s="309"/>
      <c r="X585" s="309"/>
      <c r="Y585" s="309"/>
      <c r="Z585" s="309"/>
    </row>
    <row r="586" spans="1:26" ht="12.75" customHeight="1">
      <c r="A586" s="309"/>
      <c r="B586" s="309"/>
      <c r="C586" s="309"/>
      <c r="D586" s="309"/>
      <c r="E586" s="309"/>
      <c r="F586" s="309"/>
      <c r="G586" s="309"/>
      <c r="H586" s="309"/>
      <c r="I586" s="309"/>
      <c r="J586" s="309"/>
      <c r="K586" s="1020"/>
      <c r="L586" s="309"/>
      <c r="M586" s="309"/>
      <c r="N586" s="309"/>
      <c r="O586" s="309"/>
      <c r="P586" s="326"/>
      <c r="Q586" s="309"/>
      <c r="R586" s="309"/>
      <c r="S586" s="309"/>
      <c r="T586" s="309"/>
      <c r="U586" s="309"/>
      <c r="V586" s="309"/>
      <c r="W586" s="309"/>
      <c r="X586" s="309"/>
      <c r="Y586" s="309"/>
      <c r="Z586" s="309"/>
    </row>
    <row r="587" spans="1:26" ht="12.75" customHeight="1">
      <c r="A587" s="309"/>
      <c r="B587" s="309"/>
      <c r="C587" s="309"/>
      <c r="D587" s="309"/>
      <c r="E587" s="309"/>
      <c r="F587" s="309"/>
      <c r="G587" s="309"/>
      <c r="H587" s="309"/>
      <c r="I587" s="309"/>
      <c r="J587" s="309"/>
      <c r="K587" s="1020"/>
      <c r="L587" s="309"/>
      <c r="M587" s="309"/>
      <c r="N587" s="309"/>
      <c r="O587" s="309"/>
      <c r="P587" s="326"/>
      <c r="Q587" s="309"/>
      <c r="R587" s="309"/>
      <c r="S587" s="309"/>
      <c r="T587" s="309"/>
      <c r="U587" s="309"/>
      <c r="V587" s="309"/>
      <c r="W587" s="309"/>
      <c r="X587" s="309"/>
      <c r="Y587" s="309"/>
      <c r="Z587" s="309"/>
    </row>
    <row r="588" spans="1:26" ht="12.75" customHeight="1">
      <c r="A588" s="309"/>
      <c r="B588" s="309"/>
      <c r="C588" s="309"/>
      <c r="D588" s="309"/>
      <c r="E588" s="309"/>
      <c r="F588" s="309"/>
      <c r="G588" s="309"/>
      <c r="H588" s="309"/>
      <c r="I588" s="309"/>
      <c r="J588" s="309"/>
      <c r="K588" s="1020"/>
      <c r="L588" s="309"/>
      <c r="M588" s="309"/>
      <c r="N588" s="309"/>
      <c r="O588" s="309"/>
      <c r="P588" s="326"/>
      <c r="Q588" s="309"/>
      <c r="R588" s="309"/>
      <c r="S588" s="309"/>
      <c r="T588" s="309"/>
      <c r="U588" s="309"/>
      <c r="V588" s="309"/>
      <c r="W588" s="309"/>
      <c r="X588" s="309"/>
      <c r="Y588" s="309"/>
      <c r="Z588" s="309"/>
    </row>
    <row r="589" spans="1:26" ht="12.75" customHeight="1">
      <c r="A589" s="309"/>
      <c r="B589" s="309"/>
      <c r="C589" s="309"/>
      <c r="D589" s="309"/>
      <c r="E589" s="309"/>
      <c r="F589" s="309"/>
      <c r="G589" s="309"/>
      <c r="H589" s="309"/>
      <c r="I589" s="309"/>
      <c r="J589" s="309"/>
      <c r="K589" s="1020"/>
      <c r="L589" s="309"/>
      <c r="M589" s="309"/>
      <c r="N589" s="309"/>
      <c r="O589" s="309"/>
      <c r="P589" s="326"/>
      <c r="Q589" s="309"/>
      <c r="R589" s="309"/>
      <c r="S589" s="309"/>
      <c r="T589" s="309"/>
      <c r="U589" s="309"/>
      <c r="V589" s="309"/>
      <c r="W589" s="309"/>
      <c r="X589" s="309"/>
      <c r="Y589" s="309"/>
      <c r="Z589" s="309"/>
    </row>
    <row r="590" spans="1:26" ht="12.75" customHeight="1">
      <c r="A590" s="309"/>
      <c r="B590" s="309"/>
      <c r="C590" s="309"/>
      <c r="D590" s="309"/>
      <c r="E590" s="309"/>
      <c r="F590" s="309"/>
      <c r="G590" s="309"/>
      <c r="H590" s="309"/>
      <c r="I590" s="309"/>
      <c r="J590" s="309"/>
      <c r="K590" s="1020"/>
      <c r="L590" s="309"/>
      <c r="M590" s="309"/>
      <c r="N590" s="309"/>
      <c r="O590" s="309"/>
      <c r="P590" s="326"/>
      <c r="Q590" s="309"/>
      <c r="R590" s="309"/>
      <c r="S590" s="309"/>
      <c r="T590" s="309"/>
      <c r="U590" s="309"/>
      <c r="V590" s="309"/>
      <c r="W590" s="309"/>
      <c r="X590" s="309"/>
      <c r="Y590" s="309"/>
      <c r="Z590" s="309"/>
    </row>
    <row r="591" spans="1:26" ht="12.75" customHeight="1">
      <c r="A591" s="309"/>
      <c r="B591" s="309"/>
      <c r="C591" s="309"/>
      <c r="D591" s="309"/>
      <c r="E591" s="309"/>
      <c r="F591" s="309"/>
      <c r="G591" s="309"/>
      <c r="H591" s="309"/>
      <c r="I591" s="309"/>
      <c r="J591" s="309"/>
      <c r="K591" s="1020"/>
      <c r="L591" s="309"/>
      <c r="M591" s="309"/>
      <c r="N591" s="309"/>
      <c r="O591" s="309"/>
      <c r="P591" s="326"/>
      <c r="Q591" s="309"/>
      <c r="R591" s="309"/>
      <c r="S591" s="309"/>
      <c r="T591" s="309"/>
      <c r="U591" s="309"/>
      <c r="V591" s="309"/>
      <c r="W591" s="309"/>
      <c r="X591" s="309"/>
      <c r="Y591" s="309"/>
      <c r="Z591" s="309"/>
    </row>
    <row r="592" spans="1:26" ht="12.75" customHeight="1">
      <c r="A592" s="309"/>
      <c r="B592" s="309"/>
      <c r="C592" s="309"/>
      <c r="D592" s="309"/>
      <c r="E592" s="309"/>
      <c r="F592" s="309"/>
      <c r="G592" s="309"/>
      <c r="H592" s="309"/>
      <c r="I592" s="309"/>
      <c r="J592" s="309"/>
      <c r="K592" s="1020"/>
      <c r="L592" s="309"/>
      <c r="M592" s="309"/>
      <c r="N592" s="309"/>
      <c r="O592" s="309"/>
      <c r="P592" s="326"/>
      <c r="Q592" s="309"/>
      <c r="R592" s="309"/>
      <c r="S592" s="309"/>
      <c r="T592" s="309"/>
      <c r="U592" s="309"/>
      <c r="V592" s="309"/>
      <c r="W592" s="309"/>
      <c r="X592" s="309"/>
      <c r="Y592" s="309"/>
      <c r="Z592" s="309"/>
    </row>
    <row r="593" spans="1:26" ht="12.75" customHeight="1">
      <c r="A593" s="309"/>
      <c r="B593" s="309"/>
      <c r="C593" s="309"/>
      <c r="D593" s="309"/>
      <c r="E593" s="309"/>
      <c r="F593" s="309"/>
      <c r="G593" s="309"/>
      <c r="H593" s="309"/>
      <c r="I593" s="309"/>
      <c r="J593" s="309"/>
      <c r="K593" s="1020"/>
      <c r="L593" s="309"/>
      <c r="M593" s="309"/>
      <c r="N593" s="309"/>
      <c r="O593" s="309"/>
      <c r="P593" s="326"/>
      <c r="Q593" s="309"/>
      <c r="R593" s="309"/>
      <c r="S593" s="309"/>
      <c r="T593" s="309"/>
      <c r="U593" s="309"/>
      <c r="V593" s="309"/>
      <c r="W593" s="309"/>
      <c r="X593" s="309"/>
      <c r="Y593" s="309"/>
      <c r="Z593" s="309"/>
    </row>
    <row r="594" spans="1:26" ht="12.75" customHeight="1">
      <c r="A594" s="309"/>
      <c r="B594" s="309"/>
      <c r="C594" s="309"/>
      <c r="D594" s="309"/>
      <c r="E594" s="309"/>
      <c r="F594" s="309"/>
      <c r="G594" s="309"/>
      <c r="H594" s="309"/>
      <c r="I594" s="309"/>
      <c r="J594" s="309"/>
      <c r="K594" s="1020"/>
      <c r="L594" s="309"/>
      <c r="M594" s="309"/>
      <c r="N594" s="309"/>
      <c r="O594" s="309"/>
      <c r="P594" s="326"/>
      <c r="Q594" s="309"/>
      <c r="R594" s="309"/>
      <c r="S594" s="309"/>
      <c r="T594" s="309"/>
      <c r="U594" s="309"/>
      <c r="V594" s="309"/>
      <c r="W594" s="309"/>
      <c r="X594" s="309"/>
      <c r="Y594" s="309"/>
      <c r="Z594" s="309"/>
    </row>
    <row r="595" spans="1:26" ht="12.75" customHeight="1">
      <c r="A595" s="309"/>
      <c r="B595" s="309"/>
      <c r="C595" s="309"/>
      <c r="D595" s="309"/>
      <c r="E595" s="309"/>
      <c r="F595" s="309"/>
      <c r="G595" s="309"/>
      <c r="H595" s="309"/>
      <c r="I595" s="309"/>
      <c r="J595" s="309"/>
      <c r="K595" s="1020"/>
      <c r="L595" s="309"/>
      <c r="M595" s="309"/>
      <c r="N595" s="309"/>
      <c r="O595" s="309"/>
      <c r="P595" s="326"/>
      <c r="Q595" s="309"/>
      <c r="R595" s="309"/>
      <c r="S595" s="309"/>
      <c r="T595" s="309"/>
      <c r="U595" s="309"/>
      <c r="V595" s="309"/>
      <c r="W595" s="309"/>
      <c r="X595" s="309"/>
      <c r="Y595" s="309"/>
      <c r="Z595" s="309"/>
    </row>
    <row r="596" spans="1:26" ht="12.75" customHeight="1">
      <c r="A596" s="309"/>
      <c r="B596" s="309"/>
      <c r="C596" s="309"/>
      <c r="D596" s="309"/>
      <c r="E596" s="309"/>
      <c r="F596" s="309"/>
      <c r="G596" s="309"/>
      <c r="H596" s="309"/>
      <c r="I596" s="309"/>
      <c r="J596" s="309"/>
      <c r="K596" s="1020"/>
      <c r="L596" s="309"/>
      <c r="M596" s="309"/>
      <c r="N596" s="309"/>
      <c r="O596" s="309"/>
      <c r="P596" s="326"/>
      <c r="Q596" s="309"/>
      <c r="R596" s="309"/>
      <c r="S596" s="309"/>
      <c r="T596" s="309"/>
      <c r="U596" s="309"/>
      <c r="V596" s="309"/>
      <c r="W596" s="309"/>
      <c r="X596" s="309"/>
      <c r="Y596" s="309"/>
      <c r="Z596" s="309"/>
    </row>
    <row r="597" spans="1:26" ht="12.75" customHeight="1">
      <c r="A597" s="309"/>
      <c r="B597" s="309"/>
      <c r="C597" s="309"/>
      <c r="D597" s="309"/>
      <c r="E597" s="309"/>
      <c r="F597" s="309"/>
      <c r="G597" s="309"/>
      <c r="H597" s="309"/>
      <c r="I597" s="309"/>
      <c r="J597" s="309"/>
      <c r="K597" s="1020"/>
      <c r="L597" s="309"/>
      <c r="M597" s="309"/>
      <c r="N597" s="309"/>
      <c r="O597" s="309"/>
      <c r="P597" s="326"/>
      <c r="Q597" s="309"/>
      <c r="R597" s="309"/>
      <c r="S597" s="309"/>
      <c r="T597" s="309"/>
      <c r="U597" s="309"/>
      <c r="V597" s="309"/>
      <c r="W597" s="309"/>
      <c r="X597" s="309"/>
      <c r="Y597" s="309"/>
      <c r="Z597" s="309"/>
    </row>
    <row r="598" spans="1:26" ht="12.75" customHeight="1">
      <c r="A598" s="309"/>
      <c r="B598" s="309"/>
      <c r="C598" s="309"/>
      <c r="D598" s="309"/>
      <c r="E598" s="309"/>
      <c r="F598" s="309"/>
      <c r="G598" s="309"/>
      <c r="H598" s="309"/>
      <c r="I598" s="309"/>
      <c r="J598" s="309"/>
      <c r="K598" s="1020"/>
      <c r="L598" s="309"/>
      <c r="M598" s="309"/>
      <c r="N598" s="309"/>
      <c r="O598" s="309"/>
      <c r="P598" s="326"/>
      <c r="Q598" s="309"/>
      <c r="R598" s="309"/>
      <c r="S598" s="309"/>
      <c r="T598" s="309"/>
      <c r="U598" s="309"/>
      <c r="V598" s="309"/>
      <c r="W598" s="309"/>
      <c r="X598" s="309"/>
      <c r="Y598" s="309"/>
      <c r="Z598" s="309"/>
    </row>
    <row r="599" spans="1:26" ht="12.75" customHeight="1">
      <c r="A599" s="309"/>
      <c r="B599" s="309"/>
      <c r="C599" s="309"/>
      <c r="D599" s="309"/>
      <c r="E599" s="309"/>
      <c r="F599" s="309"/>
      <c r="G599" s="309"/>
      <c r="H599" s="309"/>
      <c r="I599" s="309"/>
      <c r="J599" s="309"/>
      <c r="K599" s="1020"/>
      <c r="L599" s="309"/>
      <c r="M599" s="309"/>
      <c r="N599" s="309"/>
      <c r="O599" s="309"/>
      <c r="P599" s="326"/>
      <c r="Q599" s="309"/>
      <c r="R599" s="309"/>
      <c r="S599" s="309"/>
      <c r="T599" s="309"/>
      <c r="U599" s="309"/>
      <c r="V599" s="309"/>
      <c r="W599" s="309"/>
      <c r="X599" s="309"/>
      <c r="Y599" s="309"/>
      <c r="Z599" s="309"/>
    </row>
    <row r="600" spans="1:26" ht="12.75" customHeight="1">
      <c r="A600" s="309"/>
      <c r="B600" s="309"/>
      <c r="C600" s="309"/>
      <c r="D600" s="309"/>
      <c r="E600" s="309"/>
      <c r="F600" s="309"/>
      <c r="G600" s="309"/>
      <c r="H600" s="309"/>
      <c r="I600" s="309"/>
      <c r="J600" s="309"/>
      <c r="K600" s="1020"/>
      <c r="L600" s="309"/>
      <c r="M600" s="309"/>
      <c r="N600" s="309"/>
      <c r="O600" s="309"/>
      <c r="P600" s="326"/>
      <c r="Q600" s="309"/>
      <c r="R600" s="309"/>
      <c r="S600" s="309"/>
      <c r="T600" s="309"/>
      <c r="U600" s="309"/>
      <c r="V600" s="309"/>
      <c r="W600" s="309"/>
      <c r="X600" s="309"/>
      <c r="Y600" s="309"/>
      <c r="Z600" s="309"/>
    </row>
    <row r="601" spans="1:26" ht="12.75" customHeight="1">
      <c r="A601" s="309"/>
      <c r="B601" s="309"/>
      <c r="C601" s="309"/>
      <c r="D601" s="309"/>
      <c r="E601" s="309"/>
      <c r="F601" s="309"/>
      <c r="G601" s="309"/>
      <c r="H601" s="309"/>
      <c r="I601" s="309"/>
      <c r="J601" s="309"/>
      <c r="K601" s="1020"/>
      <c r="L601" s="309"/>
      <c r="M601" s="309"/>
      <c r="N601" s="309"/>
      <c r="O601" s="309"/>
      <c r="P601" s="326"/>
      <c r="Q601" s="309"/>
      <c r="R601" s="309"/>
      <c r="S601" s="309"/>
      <c r="T601" s="309"/>
      <c r="U601" s="309"/>
      <c r="V601" s="309"/>
      <c r="W601" s="309"/>
      <c r="X601" s="309"/>
      <c r="Y601" s="309"/>
      <c r="Z601" s="309"/>
    </row>
    <row r="602" spans="1:26" ht="12.75" customHeight="1">
      <c r="A602" s="309"/>
      <c r="B602" s="309"/>
      <c r="C602" s="309"/>
      <c r="D602" s="309"/>
      <c r="E602" s="309"/>
      <c r="F602" s="309"/>
      <c r="G602" s="309"/>
      <c r="H602" s="309"/>
      <c r="I602" s="309"/>
      <c r="J602" s="309"/>
      <c r="K602" s="1020"/>
      <c r="L602" s="309"/>
      <c r="M602" s="309"/>
      <c r="N602" s="309"/>
      <c r="O602" s="309"/>
      <c r="P602" s="326"/>
      <c r="Q602" s="309"/>
      <c r="R602" s="309"/>
      <c r="S602" s="309"/>
      <c r="T602" s="309"/>
      <c r="U602" s="309"/>
      <c r="V602" s="309"/>
      <c r="W602" s="309"/>
      <c r="X602" s="309"/>
      <c r="Y602" s="309"/>
      <c r="Z602" s="309"/>
    </row>
    <row r="603" spans="1:26" ht="12.75" customHeight="1">
      <c r="A603" s="309"/>
      <c r="B603" s="309"/>
      <c r="C603" s="309"/>
      <c r="D603" s="309"/>
      <c r="E603" s="309"/>
      <c r="F603" s="309"/>
      <c r="G603" s="309"/>
      <c r="H603" s="309"/>
      <c r="I603" s="309"/>
      <c r="J603" s="309"/>
      <c r="K603" s="1020"/>
      <c r="L603" s="309"/>
      <c r="M603" s="309"/>
      <c r="N603" s="309"/>
      <c r="O603" s="309"/>
      <c r="P603" s="326"/>
      <c r="Q603" s="309"/>
      <c r="R603" s="309"/>
      <c r="S603" s="309"/>
      <c r="T603" s="309"/>
      <c r="U603" s="309"/>
      <c r="V603" s="309"/>
      <c r="W603" s="309"/>
      <c r="X603" s="309"/>
      <c r="Y603" s="309"/>
      <c r="Z603" s="309"/>
    </row>
    <row r="604" spans="1:26" ht="12.75" customHeight="1">
      <c r="A604" s="309"/>
      <c r="B604" s="309"/>
      <c r="C604" s="309"/>
      <c r="D604" s="309"/>
      <c r="E604" s="309"/>
      <c r="F604" s="309"/>
      <c r="G604" s="309"/>
      <c r="H604" s="309"/>
      <c r="I604" s="309"/>
      <c r="J604" s="309"/>
      <c r="K604" s="1020"/>
      <c r="L604" s="309"/>
      <c r="M604" s="309"/>
      <c r="N604" s="309"/>
      <c r="O604" s="309"/>
      <c r="P604" s="326"/>
      <c r="Q604" s="309"/>
      <c r="R604" s="309"/>
      <c r="S604" s="309"/>
      <c r="T604" s="309"/>
      <c r="U604" s="309"/>
      <c r="V604" s="309"/>
      <c r="W604" s="309"/>
      <c r="X604" s="309"/>
      <c r="Y604" s="309"/>
      <c r="Z604" s="309"/>
    </row>
    <row r="605" spans="1:26" ht="12.75" customHeight="1">
      <c r="A605" s="309"/>
      <c r="B605" s="309"/>
      <c r="C605" s="309"/>
      <c r="D605" s="309"/>
      <c r="E605" s="309"/>
      <c r="F605" s="309"/>
      <c r="G605" s="309"/>
      <c r="H605" s="309"/>
      <c r="I605" s="309"/>
      <c r="J605" s="309"/>
      <c r="K605" s="1020"/>
      <c r="L605" s="309"/>
      <c r="M605" s="309"/>
      <c r="N605" s="309"/>
      <c r="O605" s="309"/>
      <c r="P605" s="326"/>
      <c r="Q605" s="309"/>
      <c r="R605" s="309"/>
      <c r="S605" s="309"/>
      <c r="T605" s="309"/>
      <c r="U605" s="309"/>
      <c r="V605" s="309"/>
      <c r="W605" s="309"/>
      <c r="X605" s="309"/>
      <c r="Y605" s="309"/>
      <c r="Z605" s="309"/>
    </row>
    <row r="606" spans="1:26" ht="12.75" customHeight="1">
      <c r="A606" s="309"/>
      <c r="B606" s="309"/>
      <c r="C606" s="309"/>
      <c r="D606" s="309"/>
      <c r="E606" s="309"/>
      <c r="F606" s="309"/>
      <c r="G606" s="309"/>
      <c r="H606" s="309"/>
      <c r="I606" s="309"/>
      <c r="J606" s="309"/>
      <c r="K606" s="1020"/>
      <c r="L606" s="309"/>
      <c r="M606" s="309"/>
      <c r="N606" s="309"/>
      <c r="O606" s="309"/>
      <c r="P606" s="326"/>
      <c r="Q606" s="309"/>
      <c r="R606" s="309"/>
      <c r="S606" s="309"/>
      <c r="T606" s="309"/>
      <c r="U606" s="309"/>
      <c r="V606" s="309"/>
      <c r="W606" s="309"/>
      <c r="X606" s="309"/>
      <c r="Y606" s="309"/>
      <c r="Z606" s="309"/>
    </row>
    <row r="607" spans="1:26" ht="12.75" customHeight="1">
      <c r="A607" s="309"/>
      <c r="B607" s="309"/>
      <c r="C607" s="309"/>
      <c r="D607" s="309"/>
      <c r="E607" s="309"/>
      <c r="F607" s="309"/>
      <c r="G607" s="309"/>
      <c r="H607" s="309"/>
      <c r="I607" s="309"/>
      <c r="J607" s="309"/>
      <c r="K607" s="1020"/>
      <c r="L607" s="309"/>
      <c r="M607" s="309"/>
      <c r="N607" s="309"/>
      <c r="O607" s="309"/>
      <c r="P607" s="326"/>
      <c r="Q607" s="309"/>
      <c r="R607" s="309"/>
      <c r="S607" s="309"/>
      <c r="T607" s="309"/>
      <c r="U607" s="309"/>
      <c r="V607" s="309"/>
      <c r="W607" s="309"/>
      <c r="X607" s="309"/>
      <c r="Y607" s="309"/>
      <c r="Z607" s="309"/>
    </row>
    <row r="608" spans="1:26" ht="12.75" customHeight="1">
      <c r="A608" s="309"/>
      <c r="B608" s="309"/>
      <c r="C608" s="309"/>
      <c r="D608" s="309"/>
      <c r="E608" s="309"/>
      <c r="F608" s="309"/>
      <c r="G608" s="309"/>
      <c r="H608" s="309"/>
      <c r="I608" s="309"/>
      <c r="J608" s="309"/>
      <c r="K608" s="1020"/>
      <c r="L608" s="309"/>
      <c r="M608" s="309"/>
      <c r="N608" s="309"/>
      <c r="O608" s="309"/>
      <c r="P608" s="326"/>
      <c r="Q608" s="309"/>
      <c r="R608" s="309"/>
      <c r="S608" s="309"/>
      <c r="T608" s="309"/>
      <c r="U608" s="309"/>
      <c r="V608" s="309"/>
      <c r="W608" s="309"/>
      <c r="X608" s="309"/>
      <c r="Y608" s="309"/>
      <c r="Z608" s="309"/>
    </row>
    <row r="609" spans="1:26" ht="12.75" customHeight="1">
      <c r="A609" s="309"/>
      <c r="B609" s="309"/>
      <c r="C609" s="309"/>
      <c r="D609" s="309"/>
      <c r="E609" s="309"/>
      <c r="F609" s="309"/>
      <c r="G609" s="309"/>
      <c r="H609" s="309"/>
      <c r="I609" s="309"/>
      <c r="J609" s="309"/>
      <c r="K609" s="1020"/>
      <c r="L609" s="309"/>
      <c r="M609" s="309"/>
      <c r="N609" s="309"/>
      <c r="O609" s="309"/>
      <c r="P609" s="326"/>
      <c r="Q609" s="309"/>
      <c r="R609" s="309"/>
      <c r="S609" s="309"/>
      <c r="T609" s="309"/>
      <c r="U609" s="309"/>
      <c r="V609" s="309"/>
      <c r="W609" s="309"/>
      <c r="X609" s="309"/>
      <c r="Y609" s="309"/>
      <c r="Z609" s="309"/>
    </row>
    <row r="610" spans="1:26" ht="12.75" customHeight="1">
      <c r="A610" s="309"/>
      <c r="B610" s="309"/>
      <c r="C610" s="309"/>
      <c r="D610" s="309"/>
      <c r="E610" s="309"/>
      <c r="F610" s="309"/>
      <c r="G610" s="309"/>
      <c r="H610" s="309"/>
      <c r="I610" s="309"/>
      <c r="J610" s="309"/>
      <c r="K610" s="1020"/>
      <c r="L610" s="309"/>
      <c r="M610" s="309"/>
      <c r="N610" s="309"/>
      <c r="O610" s="309"/>
      <c r="P610" s="326"/>
      <c r="Q610" s="309"/>
      <c r="R610" s="309"/>
      <c r="S610" s="309"/>
      <c r="T610" s="309"/>
      <c r="U610" s="309"/>
      <c r="V610" s="309"/>
      <c r="W610" s="309"/>
      <c r="X610" s="309"/>
      <c r="Y610" s="309"/>
      <c r="Z610" s="309"/>
    </row>
    <row r="611" spans="1:26" ht="12.75" customHeight="1">
      <c r="A611" s="309"/>
      <c r="B611" s="309"/>
      <c r="C611" s="309"/>
      <c r="D611" s="309"/>
      <c r="E611" s="309"/>
      <c r="F611" s="309"/>
      <c r="G611" s="309"/>
      <c r="H611" s="309"/>
      <c r="I611" s="309"/>
      <c r="J611" s="309"/>
      <c r="K611" s="1020"/>
      <c r="L611" s="309"/>
      <c r="M611" s="309"/>
      <c r="N611" s="309"/>
      <c r="O611" s="309"/>
      <c r="P611" s="326"/>
      <c r="Q611" s="309"/>
      <c r="R611" s="309"/>
      <c r="S611" s="309"/>
      <c r="T611" s="309"/>
      <c r="U611" s="309"/>
      <c r="V611" s="309"/>
      <c r="W611" s="309"/>
      <c r="X611" s="309"/>
      <c r="Y611" s="309"/>
      <c r="Z611" s="309"/>
    </row>
    <row r="612" spans="1:26" ht="12.75" customHeight="1">
      <c r="A612" s="309"/>
      <c r="B612" s="309"/>
      <c r="C612" s="309"/>
      <c r="D612" s="309"/>
      <c r="E612" s="309"/>
      <c r="F612" s="309"/>
      <c r="G612" s="309"/>
      <c r="H612" s="309"/>
      <c r="I612" s="309"/>
      <c r="J612" s="309"/>
      <c r="K612" s="1020"/>
      <c r="L612" s="309"/>
      <c r="M612" s="309"/>
      <c r="N612" s="309"/>
      <c r="O612" s="309"/>
      <c r="P612" s="326"/>
      <c r="Q612" s="309"/>
      <c r="R612" s="309"/>
      <c r="S612" s="309"/>
      <c r="T612" s="309"/>
      <c r="U612" s="309"/>
      <c r="V612" s="309"/>
      <c r="W612" s="309"/>
      <c r="X612" s="309"/>
      <c r="Y612" s="309"/>
      <c r="Z612" s="309"/>
    </row>
    <row r="613" spans="1:26" ht="12.75" customHeight="1">
      <c r="A613" s="309"/>
      <c r="B613" s="309"/>
      <c r="C613" s="309"/>
      <c r="D613" s="309"/>
      <c r="E613" s="309"/>
      <c r="F613" s="309"/>
      <c r="G613" s="309"/>
      <c r="H613" s="309"/>
      <c r="I613" s="309"/>
      <c r="J613" s="309"/>
      <c r="K613" s="1020"/>
      <c r="L613" s="309"/>
      <c r="M613" s="309"/>
      <c r="N613" s="309"/>
      <c r="O613" s="309"/>
      <c r="P613" s="326"/>
      <c r="Q613" s="309"/>
      <c r="R613" s="309"/>
      <c r="S613" s="309"/>
      <c r="T613" s="309"/>
      <c r="U613" s="309"/>
      <c r="V613" s="309"/>
      <c r="W613" s="309"/>
      <c r="X613" s="309"/>
      <c r="Y613" s="309"/>
      <c r="Z613" s="309"/>
    </row>
    <row r="614" spans="1:26" ht="12.75" customHeight="1">
      <c r="A614" s="309"/>
      <c r="B614" s="309"/>
      <c r="C614" s="309"/>
      <c r="D614" s="309"/>
      <c r="E614" s="309"/>
      <c r="F614" s="309"/>
      <c r="G614" s="309"/>
      <c r="H614" s="309"/>
      <c r="I614" s="309"/>
      <c r="J614" s="309"/>
      <c r="K614" s="1020"/>
      <c r="L614" s="309"/>
      <c r="M614" s="309"/>
      <c r="N614" s="309"/>
      <c r="O614" s="309"/>
      <c r="P614" s="326"/>
      <c r="Q614" s="309"/>
      <c r="R614" s="309"/>
      <c r="S614" s="309"/>
      <c r="T614" s="309"/>
      <c r="U614" s="309"/>
      <c r="V614" s="309"/>
      <c r="W614" s="309"/>
      <c r="X614" s="309"/>
      <c r="Y614" s="309"/>
      <c r="Z614" s="309"/>
    </row>
    <row r="615" spans="1:26" ht="12.75" customHeight="1">
      <c r="A615" s="309"/>
      <c r="B615" s="309"/>
      <c r="C615" s="309"/>
      <c r="D615" s="309"/>
      <c r="E615" s="309"/>
      <c r="F615" s="309"/>
      <c r="G615" s="309"/>
      <c r="H615" s="309"/>
      <c r="I615" s="309"/>
      <c r="J615" s="309"/>
      <c r="K615" s="1020"/>
      <c r="L615" s="309"/>
      <c r="M615" s="309"/>
      <c r="N615" s="309"/>
      <c r="O615" s="309"/>
      <c r="P615" s="326"/>
      <c r="Q615" s="309"/>
      <c r="R615" s="309"/>
      <c r="S615" s="309"/>
      <c r="T615" s="309"/>
      <c r="U615" s="309"/>
      <c r="V615" s="309"/>
      <c r="W615" s="309"/>
      <c r="X615" s="309"/>
      <c r="Y615" s="309"/>
      <c r="Z615" s="309"/>
    </row>
    <row r="616" spans="1:26" ht="12.75" customHeight="1">
      <c r="A616" s="309"/>
      <c r="B616" s="309"/>
      <c r="C616" s="309"/>
      <c r="D616" s="309"/>
      <c r="E616" s="309"/>
      <c r="F616" s="309"/>
      <c r="G616" s="309"/>
      <c r="H616" s="309"/>
      <c r="I616" s="309"/>
      <c r="J616" s="309"/>
      <c r="K616" s="1020"/>
      <c r="L616" s="309"/>
      <c r="M616" s="309"/>
      <c r="N616" s="309"/>
      <c r="O616" s="309"/>
      <c r="P616" s="326"/>
      <c r="Q616" s="309"/>
      <c r="R616" s="309"/>
      <c r="S616" s="309"/>
      <c r="T616" s="309"/>
      <c r="U616" s="309"/>
      <c r="V616" s="309"/>
      <c r="W616" s="309"/>
      <c r="X616" s="309"/>
      <c r="Y616" s="309"/>
      <c r="Z616" s="309"/>
    </row>
    <row r="617" spans="1:26" ht="12.75" customHeight="1">
      <c r="A617" s="309"/>
      <c r="B617" s="309"/>
      <c r="C617" s="309"/>
      <c r="D617" s="309"/>
      <c r="E617" s="309"/>
      <c r="F617" s="309"/>
      <c r="G617" s="309"/>
      <c r="H617" s="309"/>
      <c r="I617" s="309"/>
      <c r="J617" s="309"/>
      <c r="K617" s="1020"/>
      <c r="L617" s="309"/>
      <c r="M617" s="309"/>
      <c r="N617" s="309"/>
      <c r="O617" s="309"/>
      <c r="P617" s="326"/>
      <c r="Q617" s="309"/>
      <c r="R617" s="309"/>
      <c r="S617" s="309"/>
      <c r="T617" s="309"/>
      <c r="U617" s="309"/>
      <c r="V617" s="309"/>
      <c r="W617" s="309"/>
      <c r="X617" s="309"/>
      <c r="Y617" s="309"/>
      <c r="Z617" s="309"/>
    </row>
    <row r="618" spans="1:26" ht="12.75" customHeight="1">
      <c r="A618" s="309"/>
      <c r="B618" s="309"/>
      <c r="C618" s="309"/>
      <c r="D618" s="309"/>
      <c r="E618" s="309"/>
      <c r="F618" s="309"/>
      <c r="G618" s="309"/>
      <c r="H618" s="309"/>
      <c r="I618" s="309"/>
      <c r="J618" s="309"/>
      <c r="K618" s="1020"/>
      <c r="L618" s="309"/>
      <c r="M618" s="309"/>
      <c r="N618" s="309"/>
      <c r="O618" s="309"/>
      <c r="P618" s="326"/>
      <c r="Q618" s="309"/>
      <c r="R618" s="309"/>
      <c r="S618" s="309"/>
      <c r="T618" s="309"/>
      <c r="U618" s="309"/>
      <c r="V618" s="309"/>
      <c r="W618" s="309"/>
      <c r="X618" s="309"/>
      <c r="Y618" s="309"/>
      <c r="Z618" s="309"/>
    </row>
    <row r="619" spans="1:26" ht="12.75" customHeight="1">
      <c r="A619" s="309"/>
      <c r="B619" s="309"/>
      <c r="C619" s="309"/>
      <c r="D619" s="309"/>
      <c r="E619" s="309"/>
      <c r="F619" s="309"/>
      <c r="G619" s="309"/>
      <c r="H619" s="309"/>
      <c r="I619" s="309"/>
      <c r="J619" s="309"/>
      <c r="K619" s="1020"/>
      <c r="L619" s="309"/>
      <c r="M619" s="309"/>
      <c r="N619" s="309"/>
      <c r="O619" s="309"/>
      <c r="P619" s="326"/>
      <c r="Q619" s="309"/>
      <c r="R619" s="309"/>
      <c r="S619" s="309"/>
      <c r="T619" s="309"/>
      <c r="U619" s="309"/>
      <c r="V619" s="309"/>
      <c r="W619" s="309"/>
      <c r="X619" s="309"/>
      <c r="Y619" s="309"/>
      <c r="Z619" s="309"/>
    </row>
    <row r="620" spans="1:26" ht="12.75" customHeight="1">
      <c r="A620" s="309"/>
      <c r="B620" s="309"/>
      <c r="C620" s="309"/>
      <c r="D620" s="309"/>
      <c r="E620" s="309"/>
      <c r="F620" s="309"/>
      <c r="G620" s="309"/>
      <c r="H620" s="309"/>
      <c r="I620" s="309"/>
      <c r="J620" s="309"/>
      <c r="K620" s="1020"/>
      <c r="L620" s="309"/>
      <c r="M620" s="309"/>
      <c r="N620" s="309"/>
      <c r="O620" s="309"/>
      <c r="P620" s="326"/>
      <c r="Q620" s="309"/>
      <c r="R620" s="309"/>
      <c r="S620" s="309"/>
      <c r="T620" s="309"/>
      <c r="U620" s="309"/>
      <c r="V620" s="309"/>
      <c r="W620" s="309"/>
      <c r="X620" s="309"/>
      <c r="Y620" s="309"/>
      <c r="Z620" s="309"/>
    </row>
    <row r="621" spans="1:26" ht="12.75" customHeight="1">
      <c r="A621" s="309"/>
      <c r="B621" s="309"/>
      <c r="C621" s="309"/>
      <c r="D621" s="309"/>
      <c r="E621" s="309"/>
      <c r="F621" s="309"/>
      <c r="G621" s="309"/>
      <c r="H621" s="309"/>
      <c r="I621" s="309"/>
      <c r="J621" s="309"/>
      <c r="K621" s="1020"/>
      <c r="L621" s="309"/>
      <c r="M621" s="309"/>
      <c r="N621" s="309"/>
      <c r="O621" s="309"/>
      <c r="P621" s="326"/>
      <c r="Q621" s="309"/>
      <c r="R621" s="309"/>
      <c r="S621" s="309"/>
      <c r="T621" s="309"/>
      <c r="U621" s="309"/>
      <c r="V621" s="309"/>
      <c r="W621" s="309"/>
      <c r="X621" s="309"/>
      <c r="Y621" s="309"/>
      <c r="Z621" s="309"/>
    </row>
    <row r="622" spans="1:26" ht="12.75" customHeight="1">
      <c r="A622" s="309"/>
      <c r="B622" s="309"/>
      <c r="C622" s="309"/>
      <c r="D622" s="309"/>
      <c r="E622" s="309"/>
      <c r="F622" s="309"/>
      <c r="G622" s="309"/>
      <c r="H622" s="309"/>
      <c r="I622" s="309"/>
      <c r="J622" s="309"/>
      <c r="K622" s="1020"/>
      <c r="L622" s="309"/>
      <c r="M622" s="309"/>
      <c r="N622" s="309"/>
      <c r="O622" s="309"/>
      <c r="P622" s="326"/>
      <c r="Q622" s="309"/>
      <c r="R622" s="309"/>
      <c r="S622" s="309"/>
      <c r="T622" s="309"/>
      <c r="U622" s="309"/>
      <c r="V622" s="309"/>
      <c r="W622" s="309"/>
      <c r="X622" s="309"/>
      <c r="Y622" s="309"/>
      <c r="Z622" s="309"/>
    </row>
    <row r="623" spans="1:26" ht="12.75" customHeight="1">
      <c r="A623" s="309"/>
      <c r="B623" s="309"/>
      <c r="C623" s="309"/>
      <c r="D623" s="309"/>
      <c r="E623" s="309"/>
      <c r="F623" s="309"/>
      <c r="G623" s="309"/>
      <c r="H623" s="309"/>
      <c r="I623" s="309"/>
      <c r="J623" s="309"/>
      <c r="K623" s="1020"/>
      <c r="L623" s="309"/>
      <c r="M623" s="309"/>
      <c r="N623" s="309"/>
      <c r="O623" s="309"/>
      <c r="P623" s="326"/>
      <c r="Q623" s="309"/>
      <c r="R623" s="309"/>
      <c r="S623" s="309"/>
      <c r="T623" s="309"/>
      <c r="U623" s="309"/>
      <c r="V623" s="309"/>
      <c r="W623" s="309"/>
      <c r="X623" s="309"/>
      <c r="Y623" s="309"/>
      <c r="Z623" s="309"/>
    </row>
    <row r="624" spans="1:26" ht="12.75" customHeight="1">
      <c r="A624" s="309"/>
      <c r="B624" s="309"/>
      <c r="C624" s="309"/>
      <c r="D624" s="309"/>
      <c r="E624" s="309"/>
      <c r="F624" s="309"/>
      <c r="G624" s="309"/>
      <c r="H624" s="309"/>
      <c r="I624" s="309"/>
      <c r="J624" s="309"/>
      <c r="K624" s="1020"/>
      <c r="L624" s="309"/>
      <c r="M624" s="309"/>
      <c r="N624" s="309"/>
      <c r="O624" s="309"/>
      <c r="P624" s="326"/>
      <c r="Q624" s="309"/>
      <c r="R624" s="309"/>
      <c r="S624" s="309"/>
      <c r="T624" s="309"/>
      <c r="U624" s="309"/>
      <c r="V624" s="309"/>
      <c r="W624" s="309"/>
      <c r="X624" s="309"/>
      <c r="Y624" s="309"/>
      <c r="Z624" s="309"/>
    </row>
    <row r="625" spans="1:26" ht="12.75" customHeight="1">
      <c r="A625" s="309"/>
      <c r="B625" s="309"/>
      <c r="C625" s="309"/>
      <c r="D625" s="309"/>
      <c r="E625" s="309"/>
      <c r="F625" s="309"/>
      <c r="G625" s="309"/>
      <c r="H625" s="309"/>
      <c r="I625" s="309"/>
      <c r="J625" s="309"/>
      <c r="K625" s="1020"/>
      <c r="L625" s="309"/>
      <c r="M625" s="309"/>
      <c r="N625" s="309"/>
      <c r="O625" s="309"/>
      <c r="P625" s="326"/>
      <c r="Q625" s="309"/>
      <c r="R625" s="309"/>
      <c r="S625" s="309"/>
      <c r="T625" s="309"/>
      <c r="U625" s="309"/>
      <c r="V625" s="309"/>
      <c r="W625" s="309"/>
      <c r="X625" s="309"/>
      <c r="Y625" s="309"/>
      <c r="Z625" s="309"/>
    </row>
    <row r="626" spans="1:26" ht="12.75" customHeight="1">
      <c r="A626" s="309"/>
      <c r="B626" s="309"/>
      <c r="C626" s="309"/>
      <c r="D626" s="309"/>
      <c r="E626" s="309"/>
      <c r="F626" s="309"/>
      <c r="G626" s="309"/>
      <c r="H626" s="309"/>
      <c r="I626" s="309"/>
      <c r="J626" s="309"/>
      <c r="K626" s="1020"/>
      <c r="L626" s="309"/>
      <c r="M626" s="309"/>
      <c r="N626" s="309"/>
      <c r="O626" s="309"/>
      <c r="P626" s="326"/>
      <c r="Q626" s="309"/>
      <c r="R626" s="309"/>
      <c r="S626" s="309"/>
      <c r="T626" s="309"/>
      <c r="U626" s="309"/>
      <c r="V626" s="309"/>
      <c r="W626" s="309"/>
      <c r="X626" s="309"/>
      <c r="Y626" s="309"/>
      <c r="Z626" s="309"/>
    </row>
    <row r="627" spans="1:26" ht="12.75" customHeight="1">
      <c r="A627" s="309"/>
      <c r="B627" s="309"/>
      <c r="C627" s="309"/>
      <c r="D627" s="309"/>
      <c r="E627" s="309"/>
      <c r="F627" s="309"/>
      <c r="G627" s="309"/>
      <c r="H627" s="309"/>
      <c r="I627" s="309"/>
      <c r="J627" s="309"/>
      <c r="K627" s="1020"/>
      <c r="L627" s="309"/>
      <c r="M627" s="309"/>
      <c r="N627" s="309"/>
      <c r="O627" s="309"/>
      <c r="P627" s="326"/>
      <c r="Q627" s="309"/>
      <c r="R627" s="309"/>
      <c r="S627" s="309"/>
      <c r="T627" s="309"/>
      <c r="U627" s="309"/>
      <c r="V627" s="309"/>
      <c r="W627" s="309"/>
      <c r="X627" s="309"/>
      <c r="Y627" s="309"/>
      <c r="Z627" s="309"/>
    </row>
    <row r="628" spans="1:26" ht="12.75" customHeight="1">
      <c r="A628" s="309"/>
      <c r="B628" s="309"/>
      <c r="C628" s="309"/>
      <c r="D628" s="309"/>
      <c r="E628" s="309"/>
      <c r="F628" s="309"/>
      <c r="G628" s="309"/>
      <c r="H628" s="309"/>
      <c r="I628" s="309"/>
      <c r="J628" s="309"/>
      <c r="K628" s="1020"/>
      <c r="L628" s="309"/>
      <c r="M628" s="309"/>
      <c r="N628" s="309"/>
      <c r="O628" s="309"/>
      <c r="P628" s="326"/>
      <c r="Q628" s="309"/>
      <c r="R628" s="309"/>
      <c r="S628" s="309"/>
      <c r="T628" s="309"/>
      <c r="U628" s="309"/>
      <c r="V628" s="309"/>
      <c r="W628" s="309"/>
      <c r="X628" s="309"/>
      <c r="Y628" s="309"/>
      <c r="Z628" s="309"/>
    </row>
    <row r="629" spans="1:26" ht="12.75" customHeight="1">
      <c r="A629" s="309"/>
      <c r="B629" s="309"/>
      <c r="C629" s="309"/>
      <c r="D629" s="309"/>
      <c r="E629" s="309"/>
      <c r="F629" s="309"/>
      <c r="G629" s="309"/>
      <c r="H629" s="309"/>
      <c r="I629" s="309"/>
      <c r="J629" s="309"/>
      <c r="K629" s="1020"/>
      <c r="L629" s="309"/>
      <c r="M629" s="309"/>
      <c r="N629" s="309"/>
      <c r="O629" s="309"/>
      <c r="P629" s="326"/>
      <c r="Q629" s="309"/>
      <c r="R629" s="309"/>
      <c r="S629" s="309"/>
      <c r="T629" s="309"/>
      <c r="U629" s="309"/>
      <c r="V629" s="309"/>
      <c r="W629" s="309"/>
      <c r="X629" s="309"/>
      <c r="Y629" s="309"/>
      <c r="Z629" s="309"/>
    </row>
    <row r="630" spans="1:26" ht="12.75" customHeight="1">
      <c r="A630" s="309"/>
      <c r="B630" s="309"/>
      <c r="C630" s="309"/>
      <c r="D630" s="309"/>
      <c r="E630" s="309"/>
      <c r="F630" s="309"/>
      <c r="G630" s="309"/>
      <c r="H630" s="309"/>
      <c r="I630" s="309"/>
      <c r="J630" s="309"/>
      <c r="K630" s="1020"/>
      <c r="L630" s="309"/>
      <c r="M630" s="309"/>
      <c r="N630" s="309"/>
      <c r="O630" s="309"/>
      <c r="P630" s="326"/>
      <c r="Q630" s="309"/>
      <c r="R630" s="309"/>
      <c r="S630" s="309"/>
      <c r="T630" s="309"/>
      <c r="U630" s="309"/>
      <c r="V630" s="309"/>
      <c r="W630" s="309"/>
      <c r="X630" s="309"/>
      <c r="Y630" s="309"/>
      <c r="Z630" s="309"/>
    </row>
    <row r="631" spans="1:26" ht="12.75" customHeight="1">
      <c r="A631" s="309"/>
      <c r="B631" s="309"/>
      <c r="C631" s="309"/>
      <c r="D631" s="309"/>
      <c r="E631" s="309"/>
      <c r="F631" s="309"/>
      <c r="G631" s="309"/>
      <c r="H631" s="309"/>
      <c r="I631" s="309"/>
      <c r="J631" s="309"/>
      <c r="K631" s="1020"/>
      <c r="L631" s="309"/>
      <c r="M631" s="309"/>
      <c r="N631" s="309"/>
      <c r="O631" s="309"/>
      <c r="P631" s="326"/>
      <c r="Q631" s="309"/>
      <c r="R631" s="309"/>
      <c r="S631" s="309"/>
      <c r="T631" s="309"/>
      <c r="U631" s="309"/>
      <c r="V631" s="309"/>
      <c r="W631" s="309"/>
      <c r="X631" s="309"/>
      <c r="Y631" s="309"/>
      <c r="Z631" s="309"/>
    </row>
    <row r="632" spans="1:26" ht="12.75" customHeight="1">
      <c r="A632" s="309"/>
      <c r="B632" s="309"/>
      <c r="C632" s="309"/>
      <c r="D632" s="309"/>
      <c r="E632" s="309"/>
      <c r="F632" s="309"/>
      <c r="G632" s="309"/>
      <c r="H632" s="309"/>
      <c r="I632" s="309"/>
      <c r="J632" s="309"/>
      <c r="K632" s="1020"/>
      <c r="L632" s="309"/>
      <c r="M632" s="309"/>
      <c r="N632" s="309"/>
      <c r="O632" s="309"/>
      <c r="P632" s="326"/>
      <c r="Q632" s="309"/>
      <c r="R632" s="309"/>
      <c r="S632" s="309"/>
      <c r="T632" s="309"/>
      <c r="U632" s="309"/>
      <c r="V632" s="309"/>
      <c r="W632" s="309"/>
      <c r="X632" s="309"/>
      <c r="Y632" s="309"/>
      <c r="Z632" s="309"/>
    </row>
    <row r="633" spans="1:26" ht="12.75" customHeight="1">
      <c r="A633" s="309"/>
      <c r="B633" s="309"/>
      <c r="C633" s="309"/>
      <c r="D633" s="309"/>
      <c r="E633" s="309"/>
      <c r="F633" s="309"/>
      <c r="G633" s="309"/>
      <c r="H633" s="309"/>
      <c r="I633" s="309"/>
      <c r="J633" s="309"/>
      <c r="K633" s="1020"/>
      <c r="L633" s="309"/>
      <c r="M633" s="309"/>
      <c r="N633" s="309"/>
      <c r="O633" s="309"/>
      <c r="P633" s="326"/>
      <c r="Q633" s="309"/>
      <c r="R633" s="309"/>
      <c r="S633" s="309"/>
      <c r="T633" s="309"/>
      <c r="U633" s="309"/>
      <c r="V633" s="309"/>
      <c r="W633" s="309"/>
      <c r="X633" s="309"/>
      <c r="Y633" s="309"/>
      <c r="Z633" s="309"/>
    </row>
    <row r="634" spans="1:26" ht="12.75" customHeight="1">
      <c r="A634" s="309"/>
      <c r="B634" s="309"/>
      <c r="C634" s="309"/>
      <c r="D634" s="309"/>
      <c r="E634" s="309"/>
      <c r="F634" s="309"/>
      <c r="G634" s="309"/>
      <c r="H634" s="309"/>
      <c r="I634" s="309"/>
      <c r="J634" s="309"/>
      <c r="K634" s="1020"/>
      <c r="L634" s="309"/>
      <c r="M634" s="309"/>
      <c r="N634" s="309"/>
      <c r="O634" s="309"/>
      <c r="P634" s="326"/>
      <c r="Q634" s="309"/>
      <c r="R634" s="309"/>
      <c r="S634" s="309"/>
      <c r="T634" s="309"/>
      <c r="U634" s="309"/>
      <c r="V634" s="309"/>
      <c r="W634" s="309"/>
      <c r="X634" s="309"/>
      <c r="Y634" s="309"/>
      <c r="Z634" s="309"/>
    </row>
    <row r="635" spans="1:26" ht="12.75" customHeight="1">
      <c r="A635" s="309"/>
      <c r="B635" s="309"/>
      <c r="C635" s="309"/>
      <c r="D635" s="309"/>
      <c r="E635" s="309"/>
      <c r="F635" s="309"/>
      <c r="G635" s="309"/>
      <c r="H635" s="309"/>
      <c r="I635" s="309"/>
      <c r="J635" s="309"/>
      <c r="K635" s="1020"/>
      <c r="L635" s="309"/>
      <c r="M635" s="309"/>
      <c r="N635" s="309"/>
      <c r="O635" s="309"/>
      <c r="P635" s="326"/>
      <c r="Q635" s="309"/>
      <c r="R635" s="309"/>
      <c r="S635" s="309"/>
      <c r="T635" s="309"/>
      <c r="U635" s="309"/>
      <c r="V635" s="309"/>
      <c r="W635" s="309"/>
      <c r="X635" s="309"/>
      <c r="Y635" s="309"/>
      <c r="Z635" s="309"/>
    </row>
    <row r="636" spans="1:26" ht="12.75" customHeight="1">
      <c r="A636" s="309"/>
      <c r="B636" s="309"/>
      <c r="C636" s="309"/>
      <c r="D636" s="309"/>
      <c r="E636" s="309"/>
      <c r="F636" s="309"/>
      <c r="G636" s="309"/>
      <c r="H636" s="309"/>
      <c r="I636" s="309"/>
      <c r="J636" s="309"/>
      <c r="K636" s="1020"/>
      <c r="L636" s="309"/>
      <c r="M636" s="309"/>
      <c r="N636" s="309"/>
      <c r="O636" s="309"/>
      <c r="P636" s="326"/>
      <c r="Q636" s="309"/>
      <c r="R636" s="309"/>
      <c r="S636" s="309"/>
      <c r="T636" s="309"/>
      <c r="U636" s="309"/>
      <c r="V636" s="309"/>
      <c r="W636" s="309"/>
      <c r="X636" s="309"/>
      <c r="Y636" s="309"/>
      <c r="Z636" s="309"/>
    </row>
    <row r="637" spans="1:26" ht="12.75" customHeight="1">
      <c r="A637" s="309"/>
      <c r="B637" s="309"/>
      <c r="C637" s="309"/>
      <c r="D637" s="309"/>
      <c r="E637" s="309"/>
      <c r="F637" s="309"/>
      <c r="G637" s="309"/>
      <c r="H637" s="309"/>
      <c r="I637" s="309"/>
      <c r="J637" s="309"/>
      <c r="K637" s="1020"/>
      <c r="L637" s="309"/>
      <c r="M637" s="309"/>
      <c r="N637" s="309"/>
      <c r="O637" s="309"/>
      <c r="P637" s="326"/>
      <c r="Q637" s="309"/>
      <c r="R637" s="309"/>
      <c r="S637" s="309"/>
      <c r="T637" s="309"/>
      <c r="U637" s="309"/>
      <c r="V637" s="309"/>
      <c r="W637" s="309"/>
      <c r="X637" s="309"/>
      <c r="Y637" s="309"/>
      <c r="Z637" s="309"/>
    </row>
    <row r="638" spans="1:26" ht="12.75" customHeight="1">
      <c r="A638" s="309"/>
      <c r="B638" s="309"/>
      <c r="C638" s="309"/>
      <c r="D638" s="309"/>
      <c r="E638" s="309"/>
      <c r="F638" s="309"/>
      <c r="G638" s="309"/>
      <c r="H638" s="309"/>
      <c r="I638" s="309"/>
      <c r="J638" s="309"/>
      <c r="K638" s="1020"/>
      <c r="L638" s="309"/>
      <c r="M638" s="309"/>
      <c r="N638" s="309"/>
      <c r="O638" s="309"/>
      <c r="P638" s="326"/>
      <c r="Q638" s="309"/>
      <c r="R638" s="309"/>
      <c r="S638" s="309"/>
      <c r="T638" s="309"/>
      <c r="U638" s="309"/>
      <c r="V638" s="309"/>
      <c r="W638" s="309"/>
      <c r="X638" s="309"/>
      <c r="Y638" s="309"/>
      <c r="Z638" s="309"/>
    </row>
    <row r="639" spans="1:26" ht="12.75" customHeight="1">
      <c r="A639" s="309"/>
      <c r="B639" s="309"/>
      <c r="C639" s="309"/>
      <c r="D639" s="309"/>
      <c r="E639" s="309"/>
      <c r="F639" s="309"/>
      <c r="G639" s="309"/>
      <c r="H639" s="309"/>
      <c r="I639" s="309"/>
      <c r="J639" s="309"/>
      <c r="K639" s="1020"/>
      <c r="L639" s="309"/>
      <c r="M639" s="309"/>
      <c r="N639" s="309"/>
      <c r="O639" s="309"/>
      <c r="P639" s="326"/>
      <c r="Q639" s="309"/>
      <c r="R639" s="309"/>
      <c r="S639" s="309"/>
      <c r="T639" s="309"/>
      <c r="U639" s="309"/>
      <c r="V639" s="309"/>
      <c r="W639" s="309"/>
      <c r="X639" s="309"/>
      <c r="Y639" s="309"/>
      <c r="Z639" s="309"/>
    </row>
    <row r="640" spans="1:26" ht="12.75" customHeight="1">
      <c r="A640" s="309"/>
      <c r="B640" s="309"/>
      <c r="C640" s="309"/>
      <c r="D640" s="309"/>
      <c r="E640" s="309"/>
      <c r="F640" s="309"/>
      <c r="G640" s="309"/>
      <c r="H640" s="309"/>
      <c r="I640" s="309"/>
      <c r="J640" s="309"/>
      <c r="K640" s="1020"/>
      <c r="L640" s="309"/>
      <c r="M640" s="309"/>
      <c r="N640" s="309"/>
      <c r="O640" s="309"/>
      <c r="P640" s="326"/>
      <c r="Q640" s="309"/>
      <c r="R640" s="309"/>
      <c r="S640" s="309"/>
      <c r="T640" s="309"/>
      <c r="U640" s="309"/>
      <c r="V640" s="309"/>
      <c r="W640" s="309"/>
      <c r="X640" s="309"/>
      <c r="Y640" s="309"/>
      <c r="Z640" s="309"/>
    </row>
    <row r="641" spans="1:26" ht="12.75" customHeight="1">
      <c r="A641" s="309"/>
      <c r="B641" s="309"/>
      <c r="C641" s="309"/>
      <c r="D641" s="309"/>
      <c r="E641" s="309"/>
      <c r="F641" s="309"/>
      <c r="G641" s="309"/>
      <c r="H641" s="309"/>
      <c r="I641" s="309"/>
      <c r="J641" s="309"/>
      <c r="K641" s="1020"/>
      <c r="L641" s="309"/>
      <c r="M641" s="309"/>
      <c r="N641" s="309"/>
      <c r="O641" s="309"/>
      <c r="P641" s="326"/>
      <c r="Q641" s="309"/>
      <c r="R641" s="309"/>
      <c r="S641" s="309"/>
      <c r="T641" s="309"/>
      <c r="U641" s="309"/>
      <c r="V641" s="309"/>
      <c r="W641" s="309"/>
      <c r="X641" s="309"/>
      <c r="Y641" s="309"/>
      <c r="Z641" s="309"/>
    </row>
    <row r="642" spans="1:26" ht="12.75" customHeight="1">
      <c r="A642" s="309"/>
      <c r="B642" s="309"/>
      <c r="C642" s="309"/>
      <c r="D642" s="309"/>
      <c r="E642" s="309"/>
      <c r="F642" s="309"/>
      <c r="G642" s="309"/>
      <c r="H642" s="309"/>
      <c r="I642" s="309"/>
      <c r="J642" s="309"/>
      <c r="K642" s="1020"/>
      <c r="L642" s="309"/>
      <c r="M642" s="309"/>
      <c r="N642" s="309"/>
      <c r="O642" s="309"/>
      <c r="P642" s="326"/>
      <c r="Q642" s="309"/>
      <c r="R642" s="309"/>
      <c r="S642" s="309"/>
      <c r="T642" s="309"/>
      <c r="U642" s="309"/>
      <c r="V642" s="309"/>
      <c r="W642" s="309"/>
      <c r="X642" s="309"/>
      <c r="Y642" s="309"/>
      <c r="Z642" s="309"/>
    </row>
    <row r="643" spans="1:26" ht="12.75" customHeight="1">
      <c r="A643" s="309"/>
      <c r="B643" s="309"/>
      <c r="C643" s="309"/>
      <c r="D643" s="309"/>
      <c r="E643" s="309"/>
      <c r="F643" s="309"/>
      <c r="G643" s="309"/>
      <c r="H643" s="309"/>
      <c r="I643" s="309"/>
      <c r="J643" s="309"/>
      <c r="K643" s="1020"/>
      <c r="L643" s="309"/>
      <c r="M643" s="309"/>
      <c r="N643" s="309"/>
      <c r="O643" s="309"/>
      <c r="P643" s="326"/>
      <c r="Q643" s="309"/>
      <c r="R643" s="309"/>
      <c r="S643" s="309"/>
      <c r="T643" s="309"/>
      <c r="U643" s="309"/>
      <c r="V643" s="309"/>
      <c r="W643" s="309"/>
      <c r="X643" s="309"/>
      <c r="Y643" s="309"/>
      <c r="Z643" s="309"/>
    </row>
    <row r="644" spans="1:26" ht="12.75" customHeight="1">
      <c r="A644" s="309"/>
      <c r="B644" s="309"/>
      <c r="C644" s="309"/>
      <c r="D644" s="309"/>
      <c r="E644" s="309"/>
      <c r="F644" s="309"/>
      <c r="G644" s="309"/>
      <c r="H644" s="309"/>
      <c r="I644" s="309"/>
      <c r="J644" s="309"/>
      <c r="K644" s="1020"/>
      <c r="L644" s="309"/>
      <c r="M644" s="309"/>
      <c r="N644" s="309"/>
      <c r="O644" s="309"/>
      <c r="P644" s="326"/>
      <c r="Q644" s="309"/>
      <c r="R644" s="309"/>
      <c r="S644" s="309"/>
      <c r="T644" s="309"/>
      <c r="U644" s="309"/>
      <c r="V644" s="309"/>
      <c r="W644" s="309"/>
      <c r="X644" s="309"/>
      <c r="Y644" s="309"/>
      <c r="Z644" s="309"/>
    </row>
    <row r="645" spans="1:26" ht="12.75" customHeight="1">
      <c r="A645" s="309"/>
      <c r="B645" s="309"/>
      <c r="C645" s="309"/>
      <c r="D645" s="309"/>
      <c r="E645" s="309"/>
      <c r="F645" s="309"/>
      <c r="G645" s="309"/>
      <c r="H645" s="309"/>
      <c r="I645" s="309"/>
      <c r="J645" s="309"/>
      <c r="K645" s="1020"/>
      <c r="L645" s="309"/>
      <c r="M645" s="309"/>
      <c r="N645" s="309"/>
      <c r="O645" s="309"/>
      <c r="P645" s="326"/>
      <c r="Q645" s="309"/>
      <c r="R645" s="309"/>
      <c r="S645" s="309"/>
      <c r="T645" s="309"/>
      <c r="U645" s="309"/>
      <c r="V645" s="309"/>
      <c r="W645" s="309"/>
      <c r="X645" s="309"/>
      <c r="Y645" s="309"/>
      <c r="Z645" s="309"/>
    </row>
    <row r="646" spans="1:26" ht="12.75" customHeight="1">
      <c r="A646" s="309"/>
      <c r="B646" s="309"/>
      <c r="C646" s="309"/>
      <c r="D646" s="309"/>
      <c r="E646" s="309"/>
      <c r="F646" s="309"/>
      <c r="G646" s="309"/>
      <c r="H646" s="309"/>
      <c r="I646" s="309"/>
      <c r="J646" s="309"/>
      <c r="K646" s="1020"/>
      <c r="L646" s="309"/>
      <c r="M646" s="309"/>
      <c r="N646" s="309"/>
      <c r="O646" s="309"/>
      <c r="P646" s="326"/>
      <c r="Q646" s="309"/>
      <c r="R646" s="309"/>
      <c r="S646" s="309"/>
      <c r="T646" s="309"/>
      <c r="U646" s="309"/>
      <c r="V646" s="309"/>
      <c r="W646" s="309"/>
      <c r="X646" s="309"/>
      <c r="Y646" s="309"/>
      <c r="Z646" s="309"/>
    </row>
    <row r="647" spans="1:26" ht="12.75" customHeight="1">
      <c r="A647" s="309"/>
      <c r="B647" s="309"/>
      <c r="C647" s="309"/>
      <c r="D647" s="309"/>
      <c r="E647" s="309"/>
      <c r="F647" s="309"/>
      <c r="G647" s="309"/>
      <c r="H647" s="309"/>
      <c r="I647" s="309"/>
      <c r="J647" s="309"/>
      <c r="K647" s="1020"/>
      <c r="L647" s="309"/>
      <c r="M647" s="309"/>
      <c r="N647" s="309"/>
      <c r="O647" s="309"/>
      <c r="P647" s="326"/>
      <c r="Q647" s="309"/>
      <c r="R647" s="309"/>
      <c r="S647" s="309"/>
      <c r="T647" s="309"/>
      <c r="U647" s="309"/>
      <c r="V647" s="309"/>
      <c r="W647" s="309"/>
      <c r="X647" s="309"/>
      <c r="Y647" s="309"/>
      <c r="Z647" s="309"/>
    </row>
    <row r="648" spans="1:26" ht="12.75" customHeight="1">
      <c r="A648" s="309"/>
      <c r="B648" s="309"/>
      <c r="C648" s="309"/>
      <c r="D648" s="309"/>
      <c r="E648" s="309"/>
      <c r="F648" s="309"/>
      <c r="G648" s="309"/>
      <c r="H648" s="309"/>
      <c r="I648" s="309"/>
      <c r="J648" s="309"/>
      <c r="K648" s="1020"/>
      <c r="L648" s="309"/>
      <c r="M648" s="309"/>
      <c r="N648" s="309"/>
      <c r="O648" s="309"/>
      <c r="P648" s="326"/>
      <c r="Q648" s="309"/>
      <c r="R648" s="309"/>
      <c r="S648" s="309"/>
      <c r="T648" s="309"/>
      <c r="U648" s="309"/>
      <c r="V648" s="309"/>
      <c r="W648" s="309"/>
      <c r="X648" s="309"/>
      <c r="Y648" s="309"/>
      <c r="Z648" s="309"/>
    </row>
    <row r="649" spans="1:26" ht="12.75" customHeight="1">
      <c r="A649" s="309"/>
      <c r="B649" s="309"/>
      <c r="C649" s="309"/>
      <c r="D649" s="309"/>
      <c r="E649" s="309"/>
      <c r="F649" s="309"/>
      <c r="G649" s="309"/>
      <c r="H649" s="309"/>
      <c r="I649" s="309"/>
      <c r="J649" s="309"/>
      <c r="K649" s="1020"/>
      <c r="L649" s="309"/>
      <c r="M649" s="309"/>
      <c r="N649" s="309"/>
      <c r="O649" s="309"/>
      <c r="P649" s="326"/>
      <c r="Q649" s="309"/>
      <c r="R649" s="309"/>
      <c r="S649" s="309"/>
      <c r="T649" s="309"/>
      <c r="U649" s="309"/>
      <c r="V649" s="309"/>
      <c r="W649" s="309"/>
      <c r="X649" s="309"/>
      <c r="Y649" s="309"/>
      <c r="Z649" s="309"/>
    </row>
    <row r="650" spans="1:26" ht="12.75" customHeight="1">
      <c r="A650" s="309"/>
      <c r="B650" s="309"/>
      <c r="C650" s="309"/>
      <c r="D650" s="309"/>
      <c r="E650" s="309"/>
      <c r="F650" s="309"/>
      <c r="G650" s="309"/>
      <c r="H650" s="309"/>
      <c r="I650" s="309"/>
      <c r="J650" s="309"/>
      <c r="K650" s="1020"/>
      <c r="L650" s="309"/>
      <c r="M650" s="309"/>
      <c r="N650" s="309"/>
      <c r="O650" s="309"/>
      <c r="P650" s="326"/>
      <c r="Q650" s="309"/>
      <c r="R650" s="309"/>
      <c r="S650" s="309"/>
      <c r="T650" s="309"/>
      <c r="U650" s="309"/>
      <c r="V650" s="309"/>
      <c r="W650" s="309"/>
      <c r="X650" s="309"/>
      <c r="Y650" s="309"/>
      <c r="Z650" s="309"/>
    </row>
    <row r="651" spans="1:26" ht="12.75" customHeight="1">
      <c r="A651" s="309"/>
      <c r="B651" s="309"/>
      <c r="C651" s="309"/>
      <c r="D651" s="309"/>
      <c r="E651" s="309"/>
      <c r="F651" s="309"/>
      <c r="G651" s="309"/>
      <c r="H651" s="309"/>
      <c r="I651" s="309"/>
      <c r="J651" s="309"/>
      <c r="K651" s="1020"/>
      <c r="L651" s="309"/>
      <c r="M651" s="309"/>
      <c r="N651" s="309"/>
      <c r="O651" s="309"/>
      <c r="P651" s="326"/>
      <c r="Q651" s="309"/>
      <c r="R651" s="309"/>
      <c r="S651" s="309"/>
      <c r="T651" s="309"/>
      <c r="U651" s="309"/>
      <c r="V651" s="309"/>
      <c r="W651" s="309"/>
      <c r="X651" s="309"/>
      <c r="Y651" s="309"/>
      <c r="Z651" s="309"/>
    </row>
    <row r="652" spans="1:26" ht="12.75" customHeight="1">
      <c r="A652" s="309"/>
      <c r="B652" s="309"/>
      <c r="C652" s="309"/>
      <c r="D652" s="309"/>
      <c r="E652" s="309"/>
      <c r="F652" s="309"/>
      <c r="G652" s="309"/>
      <c r="H652" s="309"/>
      <c r="I652" s="309"/>
      <c r="J652" s="309"/>
      <c r="K652" s="1020"/>
      <c r="L652" s="309"/>
      <c r="M652" s="309"/>
      <c r="N652" s="309"/>
      <c r="O652" s="309"/>
      <c r="P652" s="326"/>
      <c r="Q652" s="309"/>
      <c r="R652" s="309"/>
      <c r="S652" s="309"/>
      <c r="T652" s="309"/>
      <c r="U652" s="309"/>
      <c r="V652" s="309"/>
      <c r="W652" s="309"/>
      <c r="X652" s="309"/>
      <c r="Y652" s="309"/>
      <c r="Z652" s="309"/>
    </row>
    <row r="653" spans="1:26" ht="12.75" customHeight="1">
      <c r="A653" s="309"/>
      <c r="B653" s="309"/>
      <c r="C653" s="309"/>
      <c r="D653" s="309"/>
      <c r="E653" s="309"/>
      <c r="F653" s="309"/>
      <c r="G653" s="309"/>
      <c r="H653" s="309"/>
      <c r="I653" s="309"/>
      <c r="J653" s="309"/>
      <c r="K653" s="1020"/>
      <c r="L653" s="309"/>
      <c r="M653" s="309"/>
      <c r="N653" s="309"/>
      <c r="O653" s="309"/>
      <c r="P653" s="326"/>
      <c r="Q653" s="309"/>
      <c r="R653" s="309"/>
      <c r="S653" s="309"/>
      <c r="T653" s="309"/>
      <c r="U653" s="309"/>
      <c r="V653" s="309"/>
      <c r="W653" s="309"/>
      <c r="X653" s="309"/>
      <c r="Y653" s="309"/>
      <c r="Z653" s="309"/>
    </row>
    <row r="654" spans="1:26" ht="12.75" customHeight="1">
      <c r="A654" s="309"/>
      <c r="B654" s="309"/>
      <c r="C654" s="309"/>
      <c r="D654" s="309"/>
      <c r="E654" s="309"/>
      <c r="F654" s="309"/>
      <c r="G654" s="309"/>
      <c r="H654" s="309"/>
      <c r="I654" s="309"/>
      <c r="J654" s="309"/>
      <c r="K654" s="1020"/>
      <c r="L654" s="309"/>
      <c r="M654" s="309"/>
      <c r="N654" s="309"/>
      <c r="O654" s="309"/>
      <c r="P654" s="326"/>
      <c r="Q654" s="309"/>
      <c r="R654" s="309"/>
      <c r="S654" s="309"/>
      <c r="T654" s="309"/>
      <c r="U654" s="309"/>
      <c r="V654" s="309"/>
      <c r="W654" s="309"/>
      <c r="X654" s="309"/>
      <c r="Y654" s="309"/>
      <c r="Z654" s="309"/>
    </row>
    <row r="655" spans="1:26" ht="12.75" customHeight="1">
      <c r="A655" s="309"/>
      <c r="B655" s="309"/>
      <c r="C655" s="309"/>
      <c r="D655" s="309"/>
      <c r="E655" s="309"/>
      <c r="F655" s="309"/>
      <c r="G655" s="309"/>
      <c r="H655" s="309"/>
      <c r="I655" s="309"/>
      <c r="J655" s="309"/>
      <c r="K655" s="1020"/>
      <c r="L655" s="309"/>
      <c r="M655" s="309"/>
      <c r="N655" s="309"/>
      <c r="O655" s="309"/>
      <c r="P655" s="326"/>
      <c r="Q655" s="309"/>
      <c r="R655" s="309"/>
      <c r="S655" s="309"/>
      <c r="T655" s="309"/>
      <c r="U655" s="309"/>
      <c r="V655" s="309"/>
      <c r="W655" s="309"/>
      <c r="X655" s="309"/>
      <c r="Y655" s="309"/>
      <c r="Z655" s="309"/>
    </row>
    <row r="656" spans="1:26" ht="12.75" customHeight="1">
      <c r="A656" s="309"/>
      <c r="B656" s="309"/>
      <c r="C656" s="309"/>
      <c r="D656" s="309"/>
      <c r="E656" s="309"/>
      <c r="F656" s="309"/>
      <c r="G656" s="309"/>
      <c r="H656" s="309"/>
      <c r="I656" s="309"/>
      <c r="J656" s="309"/>
      <c r="K656" s="1020"/>
      <c r="L656" s="309"/>
      <c r="M656" s="309"/>
      <c r="N656" s="309"/>
      <c r="O656" s="309"/>
      <c r="P656" s="326"/>
      <c r="Q656" s="309"/>
      <c r="R656" s="309"/>
      <c r="S656" s="309"/>
      <c r="T656" s="309"/>
      <c r="U656" s="309"/>
      <c r="V656" s="309"/>
      <c r="W656" s="309"/>
      <c r="X656" s="309"/>
      <c r="Y656" s="309"/>
      <c r="Z656" s="309"/>
    </row>
    <row r="657" spans="1:26" ht="12.75" customHeight="1">
      <c r="A657" s="309"/>
      <c r="B657" s="309"/>
      <c r="C657" s="309"/>
      <c r="D657" s="309"/>
      <c r="E657" s="309"/>
      <c r="F657" s="309"/>
      <c r="G657" s="309"/>
      <c r="H657" s="309"/>
      <c r="I657" s="309"/>
      <c r="J657" s="309"/>
      <c r="K657" s="1020"/>
      <c r="L657" s="309"/>
      <c r="M657" s="309"/>
      <c r="N657" s="309"/>
      <c r="O657" s="309"/>
      <c r="P657" s="326"/>
      <c r="Q657" s="309"/>
      <c r="R657" s="309"/>
      <c r="S657" s="309"/>
      <c r="T657" s="309"/>
      <c r="U657" s="309"/>
      <c r="V657" s="309"/>
      <c r="W657" s="309"/>
      <c r="X657" s="309"/>
      <c r="Y657" s="309"/>
      <c r="Z657" s="309"/>
    </row>
    <row r="658" spans="1:26" ht="12.75" customHeight="1">
      <c r="A658" s="309"/>
      <c r="B658" s="309"/>
      <c r="C658" s="309"/>
      <c r="D658" s="309"/>
      <c r="E658" s="309"/>
      <c r="F658" s="309"/>
      <c r="G658" s="309"/>
      <c r="H658" s="309"/>
      <c r="I658" s="309"/>
      <c r="J658" s="309"/>
      <c r="K658" s="1020"/>
      <c r="L658" s="309"/>
      <c r="M658" s="309"/>
      <c r="N658" s="309"/>
      <c r="O658" s="309"/>
      <c r="P658" s="326"/>
      <c r="Q658" s="309"/>
      <c r="R658" s="309"/>
      <c r="S658" s="309"/>
      <c r="T658" s="309"/>
      <c r="U658" s="309"/>
      <c r="V658" s="309"/>
      <c r="W658" s="309"/>
      <c r="X658" s="309"/>
      <c r="Y658" s="309"/>
      <c r="Z658" s="309"/>
    </row>
    <row r="659" spans="1:26" ht="12.75" customHeight="1">
      <c r="A659" s="309"/>
      <c r="B659" s="309"/>
      <c r="C659" s="309"/>
      <c r="D659" s="309"/>
      <c r="E659" s="309"/>
      <c r="F659" s="309"/>
      <c r="G659" s="309"/>
      <c r="H659" s="309"/>
      <c r="I659" s="309"/>
      <c r="J659" s="309"/>
      <c r="K659" s="1020"/>
      <c r="L659" s="309"/>
      <c r="M659" s="309"/>
      <c r="N659" s="309"/>
      <c r="O659" s="309"/>
      <c r="P659" s="326"/>
      <c r="Q659" s="309"/>
      <c r="R659" s="309"/>
      <c r="S659" s="309"/>
      <c r="T659" s="309"/>
      <c r="U659" s="309"/>
      <c r="V659" s="309"/>
      <c r="W659" s="309"/>
      <c r="X659" s="309"/>
      <c r="Y659" s="309"/>
      <c r="Z659" s="309"/>
    </row>
    <row r="660" spans="1:26" ht="12.75" customHeight="1">
      <c r="A660" s="309"/>
      <c r="B660" s="309"/>
      <c r="C660" s="309"/>
      <c r="D660" s="309"/>
      <c r="E660" s="309"/>
      <c r="F660" s="309"/>
      <c r="G660" s="309"/>
      <c r="H660" s="309"/>
      <c r="I660" s="309"/>
      <c r="J660" s="309"/>
      <c r="K660" s="1020"/>
      <c r="L660" s="309"/>
      <c r="M660" s="309"/>
      <c r="N660" s="309"/>
      <c r="O660" s="309"/>
      <c r="P660" s="326"/>
      <c r="Q660" s="309"/>
      <c r="R660" s="309"/>
      <c r="S660" s="309"/>
      <c r="T660" s="309"/>
      <c r="U660" s="309"/>
      <c r="V660" s="309"/>
      <c r="W660" s="309"/>
      <c r="X660" s="309"/>
      <c r="Y660" s="309"/>
      <c r="Z660" s="309"/>
    </row>
    <row r="661" spans="1:26" ht="12.75" customHeight="1">
      <c r="A661" s="309"/>
      <c r="B661" s="309"/>
      <c r="C661" s="309"/>
      <c r="D661" s="309"/>
      <c r="E661" s="309"/>
      <c r="F661" s="309"/>
      <c r="G661" s="309"/>
      <c r="H661" s="309"/>
      <c r="I661" s="309"/>
      <c r="J661" s="309"/>
      <c r="K661" s="1020"/>
      <c r="L661" s="309"/>
      <c r="M661" s="309"/>
      <c r="N661" s="309"/>
      <c r="O661" s="309"/>
      <c r="P661" s="326"/>
      <c r="Q661" s="309"/>
      <c r="R661" s="309"/>
      <c r="S661" s="309"/>
      <c r="T661" s="309"/>
      <c r="U661" s="309"/>
      <c r="V661" s="309"/>
      <c r="W661" s="309"/>
      <c r="X661" s="309"/>
      <c r="Y661" s="309"/>
      <c r="Z661" s="309"/>
    </row>
    <row r="662" spans="1:26" ht="12.75" customHeight="1">
      <c r="A662" s="309"/>
      <c r="B662" s="309"/>
      <c r="C662" s="309"/>
      <c r="D662" s="309"/>
      <c r="E662" s="309"/>
      <c r="F662" s="309"/>
      <c r="G662" s="309"/>
      <c r="H662" s="309"/>
      <c r="I662" s="309"/>
      <c r="J662" s="309"/>
      <c r="K662" s="1020"/>
      <c r="L662" s="309"/>
      <c r="M662" s="309"/>
      <c r="N662" s="309"/>
      <c r="O662" s="309"/>
      <c r="P662" s="326"/>
      <c r="Q662" s="309"/>
      <c r="R662" s="309"/>
      <c r="S662" s="309"/>
      <c r="T662" s="309"/>
      <c r="U662" s="309"/>
      <c r="V662" s="309"/>
      <c r="W662" s="309"/>
      <c r="X662" s="309"/>
      <c r="Y662" s="309"/>
      <c r="Z662" s="309"/>
    </row>
    <row r="663" spans="1:26" ht="12.75" customHeight="1">
      <c r="A663" s="309"/>
      <c r="B663" s="309"/>
      <c r="C663" s="309"/>
      <c r="D663" s="309"/>
      <c r="E663" s="309"/>
      <c r="F663" s="309"/>
      <c r="G663" s="309"/>
      <c r="H663" s="309"/>
      <c r="I663" s="309"/>
      <c r="J663" s="309"/>
      <c r="K663" s="1020"/>
      <c r="L663" s="309"/>
      <c r="M663" s="309"/>
      <c r="N663" s="309"/>
      <c r="O663" s="309"/>
      <c r="P663" s="326"/>
      <c r="Q663" s="309"/>
      <c r="R663" s="309"/>
      <c r="S663" s="309"/>
      <c r="T663" s="309"/>
      <c r="U663" s="309"/>
      <c r="V663" s="309"/>
      <c r="W663" s="309"/>
      <c r="X663" s="309"/>
      <c r="Y663" s="309"/>
      <c r="Z663" s="309"/>
    </row>
    <row r="664" spans="1:26" ht="12.75" customHeight="1">
      <c r="A664" s="309"/>
      <c r="B664" s="309"/>
      <c r="C664" s="309"/>
      <c r="D664" s="309"/>
      <c r="E664" s="309"/>
      <c r="F664" s="309"/>
      <c r="G664" s="309"/>
      <c r="H664" s="309"/>
      <c r="I664" s="309"/>
      <c r="J664" s="309"/>
      <c r="K664" s="1020"/>
      <c r="L664" s="309"/>
      <c r="M664" s="309"/>
      <c r="N664" s="309"/>
      <c r="O664" s="309"/>
      <c r="P664" s="326"/>
      <c r="Q664" s="309"/>
      <c r="R664" s="309"/>
      <c r="S664" s="309"/>
      <c r="T664" s="309"/>
      <c r="U664" s="309"/>
      <c r="V664" s="309"/>
      <c r="W664" s="309"/>
      <c r="X664" s="309"/>
      <c r="Y664" s="309"/>
      <c r="Z664" s="309"/>
    </row>
    <row r="665" spans="1:26" ht="12.75" customHeight="1">
      <c r="A665" s="309"/>
      <c r="B665" s="309"/>
      <c r="C665" s="309"/>
      <c r="D665" s="309"/>
      <c r="E665" s="309"/>
      <c r="F665" s="309"/>
      <c r="G665" s="309"/>
      <c r="H665" s="309"/>
      <c r="I665" s="309"/>
      <c r="J665" s="309"/>
      <c r="K665" s="1020"/>
      <c r="L665" s="309"/>
      <c r="M665" s="309"/>
      <c r="N665" s="309"/>
      <c r="O665" s="309"/>
      <c r="P665" s="326"/>
      <c r="Q665" s="309"/>
      <c r="R665" s="309"/>
      <c r="S665" s="309"/>
      <c r="T665" s="309"/>
      <c r="U665" s="309"/>
      <c r="V665" s="309"/>
      <c r="W665" s="309"/>
      <c r="X665" s="309"/>
      <c r="Y665" s="309"/>
      <c r="Z665" s="309"/>
    </row>
    <row r="666" spans="1:26" ht="12.75" customHeight="1">
      <c r="A666" s="309"/>
      <c r="B666" s="309"/>
      <c r="C666" s="309"/>
      <c r="D666" s="309"/>
      <c r="E666" s="309"/>
      <c r="F666" s="309"/>
      <c r="G666" s="309"/>
      <c r="H666" s="309"/>
      <c r="I666" s="309"/>
      <c r="J666" s="309"/>
      <c r="K666" s="1020"/>
      <c r="L666" s="309"/>
      <c r="M666" s="309"/>
      <c r="N666" s="309"/>
      <c r="O666" s="309"/>
      <c r="P666" s="326"/>
      <c r="Q666" s="309"/>
      <c r="R666" s="309"/>
      <c r="S666" s="309"/>
      <c r="T666" s="309"/>
      <c r="U666" s="309"/>
      <c r="V666" s="309"/>
      <c r="W666" s="309"/>
      <c r="X666" s="309"/>
      <c r="Y666" s="309"/>
      <c r="Z666" s="309"/>
    </row>
    <row r="667" spans="1:26" ht="12.75" customHeight="1">
      <c r="A667" s="309"/>
      <c r="B667" s="309"/>
      <c r="C667" s="309"/>
      <c r="D667" s="309"/>
      <c r="E667" s="309"/>
      <c r="F667" s="309"/>
      <c r="G667" s="309"/>
      <c r="H667" s="309"/>
      <c r="I667" s="309"/>
      <c r="J667" s="309"/>
      <c r="K667" s="1020"/>
      <c r="L667" s="309"/>
      <c r="M667" s="309"/>
      <c r="N667" s="309"/>
      <c r="O667" s="309"/>
      <c r="P667" s="326"/>
      <c r="Q667" s="309"/>
      <c r="R667" s="309"/>
      <c r="S667" s="309"/>
      <c r="T667" s="309"/>
      <c r="U667" s="309"/>
      <c r="V667" s="309"/>
      <c r="W667" s="309"/>
      <c r="X667" s="309"/>
      <c r="Y667" s="309"/>
      <c r="Z667" s="309"/>
    </row>
    <row r="668" spans="1:26" ht="12.75" customHeight="1">
      <c r="A668" s="309"/>
      <c r="B668" s="309"/>
      <c r="C668" s="309"/>
      <c r="D668" s="309"/>
      <c r="E668" s="309"/>
      <c r="F668" s="309"/>
      <c r="G668" s="309"/>
      <c r="H668" s="309"/>
      <c r="I668" s="309"/>
      <c r="J668" s="309"/>
      <c r="K668" s="1020"/>
      <c r="L668" s="309"/>
      <c r="M668" s="309"/>
      <c r="N668" s="309"/>
      <c r="O668" s="309"/>
      <c r="P668" s="326"/>
      <c r="Q668" s="309"/>
      <c r="R668" s="309"/>
      <c r="S668" s="309"/>
      <c r="T668" s="309"/>
      <c r="U668" s="309"/>
      <c r="V668" s="309"/>
      <c r="W668" s="309"/>
      <c r="X668" s="309"/>
      <c r="Y668" s="309"/>
      <c r="Z668" s="309"/>
    </row>
    <row r="669" spans="1:26" ht="12.75" customHeight="1">
      <c r="A669" s="309"/>
      <c r="B669" s="309"/>
      <c r="C669" s="309"/>
      <c r="D669" s="309"/>
      <c r="E669" s="309"/>
      <c r="F669" s="309"/>
      <c r="G669" s="309"/>
      <c r="H669" s="309"/>
      <c r="I669" s="309"/>
      <c r="J669" s="309"/>
      <c r="K669" s="1020"/>
      <c r="L669" s="309"/>
      <c r="M669" s="309"/>
      <c r="N669" s="309"/>
      <c r="O669" s="309"/>
      <c r="P669" s="326"/>
      <c r="Q669" s="309"/>
      <c r="R669" s="309"/>
      <c r="S669" s="309"/>
      <c r="T669" s="309"/>
      <c r="U669" s="309"/>
      <c r="V669" s="309"/>
      <c r="W669" s="309"/>
      <c r="X669" s="309"/>
      <c r="Y669" s="309"/>
      <c r="Z669" s="309"/>
    </row>
    <row r="670" spans="1:26" ht="12.75" customHeight="1">
      <c r="A670" s="309"/>
      <c r="B670" s="309"/>
      <c r="C670" s="309"/>
      <c r="D670" s="309"/>
      <c r="E670" s="309"/>
      <c r="F670" s="309"/>
      <c r="G670" s="309"/>
      <c r="H670" s="309"/>
      <c r="I670" s="309"/>
      <c r="J670" s="309"/>
      <c r="K670" s="1020"/>
      <c r="L670" s="309"/>
      <c r="M670" s="309"/>
      <c r="N670" s="309"/>
      <c r="O670" s="309"/>
      <c r="P670" s="326"/>
      <c r="Q670" s="309"/>
      <c r="R670" s="309"/>
      <c r="S670" s="309"/>
      <c r="T670" s="309"/>
      <c r="U670" s="309"/>
      <c r="V670" s="309"/>
      <c r="W670" s="309"/>
      <c r="X670" s="309"/>
      <c r="Y670" s="309"/>
      <c r="Z670" s="309"/>
    </row>
    <row r="671" spans="1:26" ht="12.75" customHeight="1">
      <c r="A671" s="309"/>
      <c r="B671" s="309"/>
      <c r="C671" s="309"/>
      <c r="D671" s="309"/>
      <c r="E671" s="309"/>
      <c r="F671" s="309"/>
      <c r="G671" s="309"/>
      <c r="H671" s="309"/>
      <c r="I671" s="309"/>
      <c r="J671" s="309"/>
      <c r="K671" s="1020"/>
      <c r="L671" s="309"/>
      <c r="M671" s="309"/>
      <c r="N671" s="309"/>
      <c r="O671" s="309"/>
      <c r="P671" s="326"/>
      <c r="Q671" s="309"/>
      <c r="R671" s="309"/>
      <c r="S671" s="309"/>
      <c r="T671" s="309"/>
      <c r="U671" s="309"/>
      <c r="V671" s="309"/>
      <c r="W671" s="309"/>
      <c r="X671" s="309"/>
      <c r="Y671" s="309"/>
      <c r="Z671" s="309"/>
    </row>
    <row r="672" spans="1:26" ht="12.75" customHeight="1">
      <c r="A672" s="309"/>
      <c r="B672" s="309"/>
      <c r="C672" s="309"/>
      <c r="D672" s="309"/>
      <c r="E672" s="309"/>
      <c r="F672" s="309"/>
      <c r="G672" s="309"/>
      <c r="H672" s="309"/>
      <c r="I672" s="309"/>
      <c r="J672" s="309"/>
      <c r="K672" s="1020"/>
      <c r="L672" s="309"/>
      <c r="M672" s="309"/>
      <c r="N672" s="309"/>
      <c r="O672" s="309"/>
      <c r="P672" s="326"/>
      <c r="Q672" s="309"/>
      <c r="R672" s="309"/>
      <c r="S672" s="309"/>
      <c r="T672" s="309"/>
      <c r="U672" s="309"/>
      <c r="V672" s="309"/>
      <c r="W672" s="309"/>
      <c r="X672" s="309"/>
      <c r="Y672" s="309"/>
      <c r="Z672" s="309"/>
    </row>
    <row r="673" spans="1:26" ht="12.75" customHeight="1">
      <c r="A673" s="309"/>
      <c r="B673" s="309"/>
      <c r="C673" s="309"/>
      <c r="D673" s="309"/>
      <c r="E673" s="309"/>
      <c r="F673" s="309"/>
      <c r="G673" s="309"/>
      <c r="H673" s="309"/>
      <c r="I673" s="309"/>
      <c r="J673" s="309"/>
      <c r="K673" s="1020"/>
      <c r="L673" s="309"/>
      <c r="M673" s="309"/>
      <c r="N673" s="309"/>
      <c r="O673" s="309"/>
      <c r="P673" s="326"/>
      <c r="Q673" s="309"/>
      <c r="R673" s="309"/>
      <c r="S673" s="309"/>
      <c r="T673" s="309"/>
      <c r="U673" s="309"/>
      <c r="V673" s="309"/>
      <c r="W673" s="309"/>
      <c r="X673" s="309"/>
      <c r="Y673" s="309"/>
      <c r="Z673" s="309"/>
    </row>
    <row r="674" spans="1:26" ht="12.75" customHeight="1">
      <c r="A674" s="309"/>
      <c r="B674" s="309"/>
      <c r="C674" s="309"/>
      <c r="D674" s="309"/>
      <c r="E674" s="309"/>
      <c r="F674" s="309"/>
      <c r="G674" s="309"/>
      <c r="H674" s="309"/>
      <c r="I674" s="309"/>
      <c r="J674" s="309"/>
      <c r="K674" s="1020"/>
      <c r="L674" s="309"/>
      <c r="M674" s="309"/>
      <c r="N674" s="309"/>
      <c r="O674" s="309"/>
      <c r="P674" s="326"/>
      <c r="Q674" s="309"/>
      <c r="R674" s="309"/>
      <c r="S674" s="309"/>
      <c r="T674" s="309"/>
      <c r="U674" s="309"/>
      <c r="V674" s="309"/>
      <c r="W674" s="309"/>
      <c r="X674" s="309"/>
      <c r="Y674" s="309"/>
      <c r="Z674" s="309"/>
    </row>
    <row r="675" spans="1:26" ht="12.75" customHeight="1">
      <c r="A675" s="309"/>
      <c r="B675" s="309"/>
      <c r="C675" s="309"/>
      <c r="D675" s="309"/>
      <c r="E675" s="309"/>
      <c r="F675" s="309"/>
      <c r="G675" s="309"/>
      <c r="H675" s="309"/>
      <c r="I675" s="309"/>
      <c r="J675" s="309"/>
      <c r="K675" s="1020"/>
      <c r="L675" s="309"/>
      <c r="M675" s="309"/>
      <c r="N675" s="309"/>
      <c r="O675" s="309"/>
      <c r="P675" s="326"/>
      <c r="Q675" s="309"/>
      <c r="R675" s="309"/>
      <c r="S675" s="309"/>
      <c r="T675" s="309"/>
      <c r="U675" s="309"/>
      <c r="V675" s="309"/>
      <c r="W675" s="309"/>
      <c r="X675" s="309"/>
      <c r="Y675" s="309"/>
      <c r="Z675" s="309"/>
    </row>
    <row r="676" spans="1:26" ht="12.75" customHeight="1">
      <c r="A676" s="309"/>
      <c r="B676" s="309"/>
      <c r="C676" s="309"/>
      <c r="D676" s="309"/>
      <c r="E676" s="309"/>
      <c r="F676" s="309"/>
      <c r="G676" s="309"/>
      <c r="H676" s="309"/>
      <c r="I676" s="309"/>
      <c r="J676" s="309"/>
      <c r="K676" s="1020"/>
      <c r="L676" s="309"/>
      <c r="M676" s="309"/>
      <c r="N676" s="309"/>
      <c r="O676" s="309"/>
      <c r="P676" s="326"/>
      <c r="Q676" s="309"/>
      <c r="R676" s="309"/>
      <c r="S676" s="309"/>
      <c r="T676" s="309"/>
      <c r="U676" s="309"/>
      <c r="V676" s="309"/>
      <c r="W676" s="309"/>
      <c r="X676" s="309"/>
      <c r="Y676" s="309"/>
      <c r="Z676" s="309"/>
    </row>
    <row r="677" spans="1:26" ht="12.75" customHeight="1">
      <c r="A677" s="309"/>
      <c r="B677" s="309"/>
      <c r="C677" s="309"/>
      <c r="D677" s="309"/>
      <c r="E677" s="309"/>
      <c r="F677" s="309"/>
      <c r="G677" s="309"/>
      <c r="H677" s="309"/>
      <c r="I677" s="309"/>
      <c r="J677" s="309"/>
      <c r="K677" s="1020"/>
      <c r="L677" s="309"/>
      <c r="M677" s="309"/>
      <c r="N677" s="309"/>
      <c r="O677" s="309"/>
      <c r="P677" s="326"/>
      <c r="Q677" s="309"/>
      <c r="R677" s="309"/>
      <c r="S677" s="309"/>
      <c r="T677" s="309"/>
      <c r="U677" s="309"/>
      <c r="V677" s="309"/>
      <c r="W677" s="309"/>
      <c r="X677" s="309"/>
      <c r="Y677" s="309"/>
      <c r="Z677" s="309"/>
    </row>
    <row r="678" spans="1:26" ht="12.75" customHeight="1">
      <c r="A678" s="309"/>
      <c r="B678" s="309"/>
      <c r="C678" s="309"/>
      <c r="D678" s="309"/>
      <c r="E678" s="309"/>
      <c r="F678" s="309"/>
      <c r="G678" s="309"/>
      <c r="H678" s="309"/>
      <c r="I678" s="309"/>
      <c r="J678" s="309"/>
      <c r="K678" s="1020"/>
      <c r="L678" s="309"/>
      <c r="M678" s="309"/>
      <c r="N678" s="309"/>
      <c r="O678" s="309"/>
      <c r="P678" s="326"/>
      <c r="Q678" s="309"/>
      <c r="R678" s="309"/>
      <c r="S678" s="309"/>
      <c r="T678" s="309"/>
      <c r="U678" s="309"/>
      <c r="V678" s="309"/>
      <c r="W678" s="309"/>
      <c r="X678" s="309"/>
      <c r="Y678" s="309"/>
      <c r="Z678" s="309"/>
    </row>
    <row r="679" spans="1:26" ht="12.75" customHeight="1">
      <c r="A679" s="309"/>
      <c r="B679" s="309"/>
      <c r="C679" s="309"/>
      <c r="D679" s="309"/>
      <c r="E679" s="309"/>
      <c r="F679" s="309"/>
      <c r="G679" s="309"/>
      <c r="H679" s="309"/>
      <c r="I679" s="309"/>
      <c r="J679" s="309"/>
      <c r="K679" s="1020"/>
      <c r="L679" s="309"/>
      <c r="M679" s="309"/>
      <c r="N679" s="309"/>
      <c r="O679" s="309"/>
      <c r="P679" s="326"/>
      <c r="Q679" s="309"/>
      <c r="R679" s="309"/>
      <c r="S679" s="309"/>
      <c r="T679" s="309"/>
      <c r="U679" s="309"/>
      <c r="V679" s="309"/>
      <c r="W679" s="309"/>
      <c r="X679" s="309"/>
      <c r="Y679" s="309"/>
      <c r="Z679" s="309"/>
    </row>
    <row r="680" spans="1:26" ht="12.75" customHeight="1">
      <c r="A680" s="309"/>
      <c r="B680" s="309"/>
      <c r="C680" s="309"/>
      <c r="D680" s="309"/>
      <c r="E680" s="309"/>
      <c r="F680" s="309"/>
      <c r="G680" s="309"/>
      <c r="H680" s="309"/>
      <c r="I680" s="309"/>
      <c r="J680" s="309"/>
      <c r="K680" s="1020"/>
      <c r="L680" s="309"/>
      <c r="M680" s="309"/>
      <c r="N680" s="309"/>
      <c r="O680" s="309"/>
      <c r="P680" s="326"/>
      <c r="Q680" s="309"/>
      <c r="R680" s="309"/>
      <c r="S680" s="309"/>
      <c r="T680" s="309"/>
      <c r="U680" s="309"/>
      <c r="V680" s="309"/>
      <c r="W680" s="309"/>
      <c r="X680" s="309"/>
      <c r="Y680" s="309"/>
      <c r="Z680" s="309"/>
    </row>
    <row r="681" spans="1:26" ht="12.75" customHeight="1">
      <c r="A681" s="309"/>
      <c r="B681" s="309"/>
      <c r="C681" s="309"/>
      <c r="D681" s="309"/>
      <c r="E681" s="309"/>
      <c r="F681" s="309"/>
      <c r="G681" s="309"/>
      <c r="H681" s="309"/>
      <c r="I681" s="309"/>
      <c r="J681" s="309"/>
      <c r="K681" s="1020"/>
      <c r="L681" s="309"/>
      <c r="M681" s="309"/>
      <c r="N681" s="309"/>
      <c r="O681" s="309"/>
      <c r="P681" s="326"/>
      <c r="Q681" s="309"/>
      <c r="R681" s="309"/>
      <c r="S681" s="309"/>
      <c r="T681" s="309"/>
      <c r="U681" s="309"/>
      <c r="V681" s="309"/>
      <c r="W681" s="309"/>
      <c r="X681" s="309"/>
      <c r="Y681" s="309"/>
      <c r="Z681" s="309"/>
    </row>
    <row r="682" spans="1:26" ht="12.75" customHeight="1">
      <c r="A682" s="309"/>
      <c r="B682" s="309"/>
      <c r="C682" s="309"/>
      <c r="D682" s="309"/>
      <c r="E682" s="309"/>
      <c r="F682" s="309"/>
      <c r="G682" s="309"/>
      <c r="H682" s="309"/>
      <c r="I682" s="309"/>
      <c r="J682" s="309"/>
      <c r="K682" s="1020"/>
      <c r="L682" s="309"/>
      <c r="M682" s="309"/>
      <c r="N682" s="309"/>
      <c r="O682" s="309"/>
      <c r="P682" s="326"/>
      <c r="Q682" s="309"/>
      <c r="R682" s="309"/>
      <c r="S682" s="309"/>
      <c r="T682" s="309"/>
      <c r="U682" s="309"/>
      <c r="V682" s="309"/>
      <c r="W682" s="309"/>
      <c r="X682" s="309"/>
      <c r="Y682" s="309"/>
      <c r="Z682" s="309"/>
    </row>
    <row r="683" spans="1:26" ht="12.75" customHeight="1">
      <c r="A683" s="309"/>
      <c r="B683" s="309"/>
      <c r="C683" s="309"/>
      <c r="D683" s="309"/>
      <c r="E683" s="309"/>
      <c r="F683" s="309"/>
      <c r="G683" s="309"/>
      <c r="H683" s="309"/>
      <c r="I683" s="309"/>
      <c r="J683" s="309"/>
      <c r="K683" s="1020"/>
      <c r="L683" s="309"/>
      <c r="M683" s="309"/>
      <c r="N683" s="309"/>
      <c r="O683" s="309"/>
      <c r="P683" s="326"/>
      <c r="Q683" s="309"/>
      <c r="R683" s="309"/>
      <c r="S683" s="309"/>
      <c r="T683" s="309"/>
      <c r="U683" s="309"/>
      <c r="V683" s="309"/>
      <c r="W683" s="309"/>
      <c r="X683" s="309"/>
      <c r="Y683" s="309"/>
      <c r="Z683" s="309"/>
    </row>
    <row r="684" spans="1:26" ht="12.75" customHeight="1">
      <c r="A684" s="309"/>
      <c r="B684" s="309"/>
      <c r="C684" s="309"/>
      <c r="D684" s="309"/>
      <c r="E684" s="309"/>
      <c r="F684" s="309"/>
      <c r="G684" s="309"/>
      <c r="H684" s="309"/>
      <c r="I684" s="309"/>
      <c r="J684" s="309"/>
      <c r="K684" s="1020"/>
      <c r="L684" s="309"/>
      <c r="M684" s="309"/>
      <c r="N684" s="309"/>
      <c r="O684" s="309"/>
      <c r="P684" s="326"/>
      <c r="Q684" s="309"/>
      <c r="R684" s="309"/>
      <c r="S684" s="309"/>
      <c r="T684" s="309"/>
      <c r="U684" s="309"/>
      <c r="V684" s="309"/>
      <c r="W684" s="309"/>
      <c r="X684" s="309"/>
      <c r="Y684" s="309"/>
      <c r="Z684" s="309"/>
    </row>
    <row r="685" spans="1:26" ht="12.75" customHeight="1">
      <c r="A685" s="309"/>
      <c r="B685" s="309"/>
      <c r="C685" s="309"/>
      <c r="D685" s="309"/>
      <c r="E685" s="309"/>
      <c r="F685" s="309"/>
      <c r="G685" s="309"/>
      <c r="H685" s="309"/>
      <c r="I685" s="309"/>
      <c r="J685" s="309"/>
      <c r="K685" s="1020"/>
      <c r="L685" s="309"/>
      <c r="M685" s="309"/>
      <c r="N685" s="309"/>
      <c r="O685" s="309"/>
      <c r="P685" s="326"/>
      <c r="Q685" s="309"/>
      <c r="R685" s="309"/>
      <c r="S685" s="309"/>
      <c r="T685" s="309"/>
      <c r="U685" s="309"/>
      <c r="V685" s="309"/>
      <c r="W685" s="309"/>
      <c r="X685" s="309"/>
      <c r="Y685" s="309"/>
      <c r="Z685" s="309"/>
    </row>
    <row r="686" spans="1:26" ht="12.75" customHeight="1">
      <c r="A686" s="309"/>
      <c r="B686" s="309"/>
      <c r="C686" s="309"/>
      <c r="D686" s="309"/>
      <c r="E686" s="309"/>
      <c r="F686" s="309"/>
      <c r="G686" s="309"/>
      <c r="H686" s="309"/>
      <c r="I686" s="309"/>
      <c r="J686" s="309"/>
      <c r="K686" s="1020"/>
      <c r="L686" s="309"/>
      <c r="M686" s="309"/>
      <c r="N686" s="309"/>
      <c r="O686" s="309"/>
      <c r="P686" s="326"/>
      <c r="Q686" s="309"/>
      <c r="R686" s="309"/>
      <c r="S686" s="309"/>
      <c r="T686" s="309"/>
      <c r="U686" s="309"/>
      <c r="V686" s="309"/>
      <c r="W686" s="309"/>
      <c r="X686" s="309"/>
      <c r="Y686" s="309"/>
      <c r="Z686" s="309"/>
    </row>
    <row r="687" spans="1:26" ht="12.75" customHeight="1">
      <c r="A687" s="309"/>
      <c r="B687" s="309"/>
      <c r="C687" s="309"/>
      <c r="D687" s="309"/>
      <c r="E687" s="309"/>
      <c r="F687" s="309"/>
      <c r="G687" s="309"/>
      <c r="H687" s="309"/>
      <c r="I687" s="309"/>
      <c r="J687" s="309"/>
      <c r="K687" s="1020"/>
      <c r="L687" s="309"/>
      <c r="M687" s="309"/>
      <c r="N687" s="309"/>
      <c r="O687" s="309"/>
      <c r="P687" s="326"/>
      <c r="Q687" s="309"/>
      <c r="R687" s="309"/>
      <c r="S687" s="309"/>
      <c r="T687" s="309"/>
      <c r="U687" s="309"/>
      <c r="V687" s="309"/>
      <c r="W687" s="309"/>
      <c r="X687" s="309"/>
      <c r="Y687" s="309"/>
      <c r="Z687" s="309"/>
    </row>
    <row r="688" spans="1:26" ht="12.75" customHeight="1">
      <c r="A688" s="309"/>
      <c r="B688" s="309"/>
      <c r="C688" s="309"/>
      <c r="D688" s="309"/>
      <c r="E688" s="309"/>
      <c r="F688" s="309"/>
      <c r="G688" s="309"/>
      <c r="H688" s="309"/>
      <c r="I688" s="309"/>
      <c r="J688" s="309"/>
      <c r="K688" s="1020"/>
      <c r="L688" s="309"/>
      <c r="M688" s="309"/>
      <c r="N688" s="309"/>
      <c r="O688" s="309"/>
      <c r="P688" s="326"/>
      <c r="Q688" s="309"/>
      <c r="R688" s="309"/>
      <c r="S688" s="309"/>
      <c r="T688" s="309"/>
      <c r="U688" s="309"/>
      <c r="V688" s="309"/>
      <c r="W688" s="309"/>
      <c r="X688" s="309"/>
      <c r="Y688" s="309"/>
      <c r="Z688" s="309"/>
    </row>
    <row r="689" spans="1:26" ht="12.75" customHeight="1">
      <c r="A689" s="309"/>
      <c r="B689" s="309"/>
      <c r="C689" s="309"/>
      <c r="D689" s="309"/>
      <c r="E689" s="309"/>
      <c r="F689" s="309"/>
      <c r="G689" s="309"/>
      <c r="H689" s="309"/>
      <c r="I689" s="309"/>
      <c r="J689" s="309"/>
      <c r="K689" s="1020"/>
      <c r="L689" s="309"/>
      <c r="M689" s="309"/>
      <c r="N689" s="309"/>
      <c r="O689" s="309"/>
      <c r="P689" s="326"/>
      <c r="Q689" s="309"/>
      <c r="R689" s="309"/>
      <c r="S689" s="309"/>
      <c r="T689" s="309"/>
      <c r="U689" s="309"/>
      <c r="V689" s="309"/>
      <c r="W689" s="309"/>
      <c r="X689" s="309"/>
      <c r="Y689" s="309"/>
      <c r="Z689" s="309"/>
    </row>
    <row r="690" spans="1:26" ht="12.75" customHeight="1">
      <c r="A690" s="309"/>
      <c r="B690" s="309"/>
      <c r="C690" s="309"/>
      <c r="D690" s="309"/>
      <c r="E690" s="309"/>
      <c r="F690" s="309"/>
      <c r="G690" s="309"/>
      <c r="H690" s="309"/>
      <c r="I690" s="309"/>
      <c r="J690" s="309"/>
      <c r="K690" s="1020"/>
      <c r="L690" s="309"/>
      <c r="M690" s="309"/>
      <c r="N690" s="309"/>
      <c r="O690" s="309"/>
      <c r="P690" s="326"/>
      <c r="Q690" s="309"/>
      <c r="R690" s="309"/>
      <c r="S690" s="309"/>
      <c r="T690" s="309"/>
      <c r="U690" s="309"/>
      <c r="V690" s="309"/>
      <c r="W690" s="309"/>
      <c r="X690" s="309"/>
      <c r="Y690" s="309"/>
      <c r="Z690" s="309"/>
    </row>
    <row r="691" spans="1:26" ht="12.75" customHeight="1">
      <c r="A691" s="309"/>
      <c r="B691" s="309"/>
      <c r="C691" s="309"/>
      <c r="D691" s="309"/>
      <c r="E691" s="309"/>
      <c r="F691" s="309"/>
      <c r="G691" s="309"/>
      <c r="H691" s="309"/>
      <c r="I691" s="309"/>
      <c r="J691" s="309"/>
      <c r="K691" s="1020"/>
      <c r="L691" s="309"/>
      <c r="M691" s="309"/>
      <c r="N691" s="309"/>
      <c r="O691" s="309"/>
      <c r="P691" s="326"/>
      <c r="Q691" s="309"/>
      <c r="R691" s="309"/>
      <c r="S691" s="309"/>
      <c r="T691" s="309"/>
      <c r="U691" s="309"/>
      <c r="V691" s="309"/>
      <c r="W691" s="309"/>
      <c r="X691" s="309"/>
      <c r="Y691" s="309"/>
      <c r="Z691" s="309"/>
    </row>
    <row r="692" spans="1:26" ht="12.75" customHeight="1">
      <c r="A692" s="309"/>
      <c r="B692" s="309"/>
      <c r="C692" s="309"/>
      <c r="D692" s="309"/>
      <c r="E692" s="309"/>
      <c r="F692" s="309"/>
      <c r="G692" s="309"/>
      <c r="H692" s="309"/>
      <c r="I692" s="309"/>
      <c r="J692" s="309"/>
      <c r="K692" s="1020"/>
      <c r="L692" s="309"/>
      <c r="M692" s="309"/>
      <c r="N692" s="309"/>
      <c r="O692" s="309"/>
      <c r="P692" s="326"/>
      <c r="Q692" s="309"/>
      <c r="R692" s="309"/>
      <c r="S692" s="309"/>
      <c r="T692" s="309"/>
      <c r="U692" s="309"/>
      <c r="V692" s="309"/>
      <c r="W692" s="309"/>
      <c r="X692" s="309"/>
      <c r="Y692" s="309"/>
      <c r="Z692" s="309"/>
    </row>
    <row r="693" spans="1:26" ht="12.75" customHeight="1">
      <c r="A693" s="309"/>
      <c r="B693" s="309"/>
      <c r="C693" s="309"/>
      <c r="D693" s="309"/>
      <c r="E693" s="309"/>
      <c r="F693" s="309"/>
      <c r="G693" s="309"/>
      <c r="H693" s="309"/>
      <c r="I693" s="309"/>
      <c r="J693" s="309"/>
      <c r="K693" s="1020"/>
      <c r="L693" s="309"/>
      <c r="M693" s="309"/>
      <c r="N693" s="309"/>
      <c r="O693" s="309"/>
      <c r="P693" s="326"/>
      <c r="Q693" s="309"/>
      <c r="R693" s="309"/>
      <c r="S693" s="309"/>
      <c r="T693" s="309"/>
      <c r="U693" s="309"/>
      <c r="V693" s="309"/>
      <c r="W693" s="309"/>
      <c r="X693" s="309"/>
      <c r="Y693" s="309"/>
      <c r="Z693" s="309"/>
    </row>
    <row r="694" spans="1:26" ht="12.75" customHeight="1">
      <c r="A694" s="309"/>
      <c r="B694" s="309"/>
      <c r="C694" s="309"/>
      <c r="D694" s="309"/>
      <c r="E694" s="309"/>
      <c r="F694" s="309"/>
      <c r="G694" s="309"/>
      <c r="H694" s="309"/>
      <c r="I694" s="309"/>
      <c r="J694" s="309"/>
      <c r="K694" s="1020"/>
      <c r="L694" s="309"/>
      <c r="M694" s="309"/>
      <c r="N694" s="309"/>
      <c r="O694" s="309"/>
      <c r="P694" s="326"/>
      <c r="Q694" s="309"/>
      <c r="R694" s="309"/>
      <c r="S694" s="309"/>
      <c r="T694" s="309"/>
      <c r="U694" s="309"/>
      <c r="V694" s="309"/>
      <c r="W694" s="309"/>
      <c r="X694" s="309"/>
      <c r="Y694" s="309"/>
      <c r="Z694" s="309"/>
    </row>
    <row r="695" spans="1:26" ht="12.75" customHeight="1">
      <c r="A695" s="309"/>
      <c r="B695" s="309"/>
      <c r="C695" s="309"/>
      <c r="D695" s="309"/>
      <c r="E695" s="309"/>
      <c r="F695" s="309"/>
      <c r="G695" s="309"/>
      <c r="H695" s="309"/>
      <c r="I695" s="309"/>
      <c r="J695" s="309"/>
      <c r="K695" s="1020"/>
      <c r="L695" s="309"/>
      <c r="M695" s="309"/>
      <c r="N695" s="309"/>
      <c r="O695" s="309"/>
      <c r="P695" s="326"/>
      <c r="Q695" s="309"/>
      <c r="R695" s="309"/>
      <c r="S695" s="309"/>
      <c r="T695" s="309"/>
      <c r="U695" s="309"/>
      <c r="V695" s="309"/>
      <c r="W695" s="309"/>
      <c r="X695" s="309"/>
      <c r="Y695" s="309"/>
      <c r="Z695" s="309"/>
    </row>
    <row r="696" spans="1:26" ht="12.75" customHeight="1">
      <c r="A696" s="309"/>
      <c r="B696" s="309"/>
      <c r="C696" s="309"/>
      <c r="D696" s="309"/>
      <c r="E696" s="309"/>
      <c r="F696" s="309"/>
      <c r="G696" s="309"/>
      <c r="H696" s="309"/>
      <c r="I696" s="309"/>
      <c r="J696" s="309"/>
      <c r="K696" s="1020"/>
      <c r="L696" s="309"/>
      <c r="M696" s="309"/>
      <c r="N696" s="309"/>
      <c r="O696" s="309"/>
      <c r="P696" s="326"/>
      <c r="Q696" s="309"/>
      <c r="R696" s="309"/>
      <c r="S696" s="309"/>
      <c r="T696" s="309"/>
      <c r="U696" s="309"/>
      <c r="V696" s="309"/>
      <c r="W696" s="309"/>
      <c r="X696" s="309"/>
      <c r="Y696" s="309"/>
      <c r="Z696" s="309"/>
    </row>
    <row r="697" spans="1:26" ht="12.75" customHeight="1">
      <c r="A697" s="309"/>
      <c r="B697" s="309"/>
      <c r="C697" s="309"/>
      <c r="D697" s="309"/>
      <c r="E697" s="309"/>
      <c r="F697" s="309"/>
      <c r="G697" s="309"/>
      <c r="H697" s="309"/>
      <c r="I697" s="309"/>
      <c r="J697" s="309"/>
      <c r="K697" s="1020"/>
      <c r="L697" s="309"/>
      <c r="M697" s="309"/>
      <c r="N697" s="309"/>
      <c r="O697" s="309"/>
      <c r="P697" s="326"/>
      <c r="Q697" s="309"/>
      <c r="R697" s="309"/>
      <c r="S697" s="309"/>
      <c r="T697" s="309"/>
      <c r="U697" s="309"/>
      <c r="V697" s="309"/>
      <c r="W697" s="309"/>
      <c r="X697" s="309"/>
      <c r="Y697" s="309"/>
      <c r="Z697" s="309"/>
    </row>
    <row r="698" spans="1:26" ht="12.75" customHeight="1">
      <c r="A698" s="309"/>
      <c r="B698" s="309"/>
      <c r="C698" s="309"/>
      <c r="D698" s="309"/>
      <c r="E698" s="309"/>
      <c r="F698" s="309"/>
      <c r="G698" s="309"/>
      <c r="H698" s="309"/>
      <c r="I698" s="309"/>
      <c r="J698" s="309"/>
      <c r="K698" s="1020"/>
      <c r="L698" s="309"/>
      <c r="M698" s="309"/>
      <c r="N698" s="309"/>
      <c r="O698" s="309"/>
      <c r="P698" s="326"/>
      <c r="Q698" s="309"/>
      <c r="R698" s="309"/>
      <c r="S698" s="309"/>
      <c r="T698" s="309"/>
      <c r="U698" s="309"/>
      <c r="V698" s="309"/>
      <c r="W698" s="309"/>
      <c r="X698" s="309"/>
      <c r="Y698" s="309"/>
      <c r="Z698" s="309"/>
    </row>
    <row r="699" spans="1:26" ht="12.75" customHeight="1">
      <c r="A699" s="309"/>
      <c r="B699" s="309"/>
      <c r="C699" s="309"/>
      <c r="D699" s="309"/>
      <c r="E699" s="309"/>
      <c r="F699" s="309"/>
      <c r="G699" s="309"/>
      <c r="H699" s="309"/>
      <c r="I699" s="309"/>
      <c r="J699" s="309"/>
      <c r="K699" s="1020"/>
      <c r="L699" s="309"/>
      <c r="M699" s="309"/>
      <c r="N699" s="309"/>
      <c r="O699" s="309"/>
      <c r="P699" s="326"/>
      <c r="Q699" s="309"/>
      <c r="R699" s="309"/>
      <c r="S699" s="309"/>
      <c r="T699" s="309"/>
      <c r="U699" s="309"/>
      <c r="V699" s="309"/>
      <c r="W699" s="309"/>
      <c r="X699" s="309"/>
      <c r="Y699" s="309"/>
      <c r="Z699" s="309"/>
    </row>
    <row r="700" spans="1:26" ht="12.75" customHeight="1">
      <c r="A700" s="309"/>
      <c r="B700" s="309"/>
      <c r="C700" s="309"/>
      <c r="D700" s="309"/>
      <c r="E700" s="309"/>
      <c r="F700" s="309"/>
      <c r="G700" s="309"/>
      <c r="H700" s="309"/>
      <c r="I700" s="309"/>
      <c r="J700" s="309"/>
      <c r="K700" s="1020"/>
      <c r="L700" s="309"/>
      <c r="M700" s="309"/>
      <c r="N700" s="309"/>
      <c r="O700" s="309"/>
      <c r="P700" s="326"/>
      <c r="Q700" s="309"/>
      <c r="R700" s="309"/>
      <c r="S700" s="309"/>
      <c r="T700" s="309"/>
      <c r="U700" s="309"/>
      <c r="V700" s="309"/>
      <c r="W700" s="309"/>
      <c r="X700" s="309"/>
      <c r="Y700" s="309"/>
      <c r="Z700" s="309"/>
    </row>
    <row r="701" spans="1:26" ht="12.75" customHeight="1">
      <c r="A701" s="309"/>
      <c r="B701" s="309"/>
      <c r="C701" s="309"/>
      <c r="D701" s="309"/>
      <c r="E701" s="309"/>
      <c r="F701" s="309"/>
      <c r="G701" s="309"/>
      <c r="H701" s="309"/>
      <c r="I701" s="309"/>
      <c r="J701" s="309"/>
      <c r="K701" s="1020"/>
      <c r="L701" s="309"/>
      <c r="M701" s="309"/>
      <c r="N701" s="309"/>
      <c r="O701" s="309"/>
      <c r="P701" s="326"/>
      <c r="Q701" s="309"/>
      <c r="R701" s="309"/>
      <c r="S701" s="309"/>
      <c r="T701" s="309"/>
      <c r="U701" s="309"/>
      <c r="V701" s="309"/>
      <c r="W701" s="309"/>
      <c r="X701" s="309"/>
      <c r="Y701" s="309"/>
      <c r="Z701" s="309"/>
    </row>
    <row r="702" spans="1:26" ht="12.75" customHeight="1">
      <c r="A702" s="309"/>
      <c r="B702" s="309"/>
      <c r="C702" s="309"/>
      <c r="D702" s="309"/>
      <c r="E702" s="309"/>
      <c r="F702" s="309"/>
      <c r="G702" s="309"/>
      <c r="H702" s="309"/>
      <c r="I702" s="309"/>
      <c r="J702" s="309"/>
      <c r="K702" s="1020"/>
      <c r="L702" s="309"/>
      <c r="M702" s="309"/>
      <c r="N702" s="309"/>
      <c r="O702" s="309"/>
      <c r="P702" s="326"/>
      <c r="Q702" s="309"/>
      <c r="R702" s="309"/>
      <c r="S702" s="309"/>
      <c r="T702" s="309"/>
      <c r="U702" s="309"/>
      <c r="V702" s="309"/>
      <c r="W702" s="309"/>
      <c r="X702" s="309"/>
      <c r="Y702" s="309"/>
      <c r="Z702" s="309"/>
    </row>
    <row r="703" spans="1:26" ht="12.75" customHeight="1">
      <c r="A703" s="309"/>
      <c r="B703" s="309"/>
      <c r="C703" s="309"/>
      <c r="D703" s="309"/>
      <c r="E703" s="309"/>
      <c r="F703" s="309"/>
      <c r="G703" s="309"/>
      <c r="H703" s="309"/>
      <c r="I703" s="309"/>
      <c r="J703" s="309"/>
      <c r="K703" s="1020"/>
      <c r="L703" s="309"/>
      <c r="M703" s="309"/>
      <c r="N703" s="309"/>
      <c r="O703" s="309"/>
      <c r="P703" s="326"/>
      <c r="Q703" s="309"/>
      <c r="R703" s="309"/>
      <c r="S703" s="309"/>
      <c r="T703" s="309"/>
      <c r="U703" s="309"/>
      <c r="V703" s="309"/>
      <c r="W703" s="309"/>
      <c r="X703" s="309"/>
      <c r="Y703" s="309"/>
      <c r="Z703" s="309"/>
    </row>
    <row r="704" spans="1:26" ht="12.75" customHeight="1">
      <c r="A704" s="309"/>
      <c r="B704" s="309"/>
      <c r="C704" s="309"/>
      <c r="D704" s="309"/>
      <c r="E704" s="309"/>
      <c r="F704" s="309"/>
      <c r="G704" s="309"/>
      <c r="H704" s="309"/>
      <c r="I704" s="309"/>
      <c r="J704" s="309"/>
      <c r="K704" s="1020"/>
      <c r="L704" s="309"/>
      <c r="M704" s="309"/>
      <c r="N704" s="309"/>
      <c r="O704" s="309"/>
      <c r="P704" s="326"/>
      <c r="Q704" s="309"/>
      <c r="R704" s="309"/>
      <c r="S704" s="309"/>
      <c r="T704" s="309"/>
      <c r="U704" s="309"/>
      <c r="V704" s="309"/>
      <c r="W704" s="309"/>
      <c r="X704" s="309"/>
      <c r="Y704" s="309"/>
      <c r="Z704" s="309"/>
    </row>
    <row r="705" spans="1:26" ht="12.75" customHeight="1">
      <c r="A705" s="309"/>
      <c r="B705" s="309"/>
      <c r="C705" s="309"/>
      <c r="D705" s="309"/>
      <c r="E705" s="309"/>
      <c r="F705" s="309"/>
      <c r="G705" s="309"/>
      <c r="H705" s="309"/>
      <c r="I705" s="309"/>
      <c r="J705" s="309"/>
      <c r="K705" s="1020"/>
      <c r="L705" s="309"/>
      <c r="M705" s="309"/>
      <c r="N705" s="309"/>
      <c r="O705" s="309"/>
      <c r="P705" s="326"/>
      <c r="Q705" s="309"/>
      <c r="R705" s="309"/>
      <c r="S705" s="309"/>
      <c r="T705" s="309"/>
      <c r="U705" s="309"/>
      <c r="V705" s="309"/>
      <c r="W705" s="309"/>
      <c r="X705" s="309"/>
      <c r="Y705" s="309"/>
      <c r="Z705" s="309"/>
    </row>
    <row r="706" spans="1:26" ht="12.75" customHeight="1">
      <c r="A706" s="309"/>
      <c r="B706" s="309"/>
      <c r="C706" s="309"/>
      <c r="D706" s="309"/>
      <c r="E706" s="309"/>
      <c r="F706" s="309"/>
      <c r="G706" s="309"/>
      <c r="H706" s="309"/>
      <c r="I706" s="309"/>
      <c r="J706" s="309"/>
      <c r="K706" s="1020"/>
      <c r="L706" s="309"/>
      <c r="M706" s="309"/>
      <c r="N706" s="309"/>
      <c r="O706" s="309"/>
      <c r="P706" s="326"/>
      <c r="Q706" s="309"/>
      <c r="R706" s="309"/>
      <c r="S706" s="309"/>
      <c r="T706" s="309"/>
      <c r="U706" s="309"/>
      <c r="V706" s="309"/>
      <c r="W706" s="309"/>
      <c r="X706" s="309"/>
      <c r="Y706" s="309"/>
      <c r="Z706" s="309"/>
    </row>
    <row r="707" spans="1:26" ht="12.75" customHeight="1">
      <c r="A707" s="309"/>
      <c r="B707" s="309"/>
      <c r="C707" s="309"/>
      <c r="D707" s="309"/>
      <c r="E707" s="309"/>
      <c r="F707" s="309"/>
      <c r="G707" s="309"/>
      <c r="H707" s="309"/>
      <c r="I707" s="309"/>
      <c r="J707" s="309"/>
      <c r="K707" s="1020"/>
      <c r="L707" s="309"/>
      <c r="M707" s="309"/>
      <c r="N707" s="309"/>
      <c r="O707" s="309"/>
      <c r="P707" s="326"/>
      <c r="Q707" s="309"/>
      <c r="R707" s="309"/>
      <c r="S707" s="309"/>
      <c r="T707" s="309"/>
      <c r="U707" s="309"/>
      <c r="V707" s="309"/>
      <c r="W707" s="309"/>
      <c r="X707" s="309"/>
      <c r="Y707" s="309"/>
      <c r="Z707" s="309"/>
    </row>
    <row r="708" spans="1:26" ht="12.75" customHeight="1">
      <c r="A708" s="309"/>
      <c r="B708" s="309"/>
      <c r="C708" s="309"/>
      <c r="D708" s="309"/>
      <c r="E708" s="309"/>
      <c r="F708" s="309"/>
      <c r="G708" s="309"/>
      <c r="H708" s="309"/>
      <c r="I708" s="309"/>
      <c r="J708" s="309"/>
      <c r="K708" s="1020"/>
      <c r="L708" s="309"/>
      <c r="M708" s="309"/>
      <c r="N708" s="309"/>
      <c r="O708" s="309"/>
      <c r="P708" s="326"/>
      <c r="Q708" s="309"/>
      <c r="R708" s="309"/>
      <c r="S708" s="309"/>
      <c r="T708" s="309"/>
      <c r="U708" s="309"/>
      <c r="V708" s="309"/>
      <c r="W708" s="309"/>
      <c r="X708" s="309"/>
      <c r="Y708" s="309"/>
      <c r="Z708" s="309"/>
    </row>
    <row r="709" spans="1:26" ht="12.75" customHeight="1">
      <c r="A709" s="309"/>
      <c r="B709" s="309"/>
      <c r="C709" s="309"/>
      <c r="D709" s="309"/>
      <c r="E709" s="309"/>
      <c r="F709" s="309"/>
      <c r="G709" s="309"/>
      <c r="H709" s="309"/>
      <c r="I709" s="309"/>
      <c r="J709" s="309"/>
      <c r="K709" s="1020"/>
      <c r="L709" s="309"/>
      <c r="M709" s="309"/>
      <c r="N709" s="309"/>
      <c r="O709" s="309"/>
      <c r="P709" s="326"/>
      <c r="Q709" s="309"/>
      <c r="R709" s="309"/>
      <c r="S709" s="309"/>
      <c r="T709" s="309"/>
      <c r="U709" s="309"/>
      <c r="V709" s="309"/>
      <c r="W709" s="309"/>
      <c r="X709" s="309"/>
      <c r="Y709" s="309"/>
      <c r="Z709" s="309"/>
    </row>
    <row r="710" spans="1:26" ht="12.75" customHeight="1">
      <c r="A710" s="309"/>
      <c r="B710" s="309"/>
      <c r="C710" s="309"/>
      <c r="D710" s="309"/>
      <c r="E710" s="309"/>
      <c r="F710" s="309"/>
      <c r="G710" s="309"/>
      <c r="H710" s="309"/>
      <c r="I710" s="309"/>
      <c r="J710" s="309"/>
      <c r="K710" s="1020"/>
      <c r="L710" s="309"/>
      <c r="M710" s="309"/>
      <c r="N710" s="309"/>
      <c r="O710" s="309"/>
      <c r="P710" s="326"/>
      <c r="Q710" s="309"/>
      <c r="R710" s="309"/>
      <c r="S710" s="309"/>
      <c r="T710" s="309"/>
      <c r="U710" s="309"/>
      <c r="V710" s="309"/>
      <c r="W710" s="309"/>
      <c r="X710" s="309"/>
      <c r="Y710" s="309"/>
      <c r="Z710" s="309"/>
    </row>
    <row r="711" spans="1:26" ht="12.75" customHeight="1">
      <c r="A711" s="309"/>
      <c r="B711" s="309"/>
      <c r="C711" s="309"/>
      <c r="D711" s="309"/>
      <c r="E711" s="309"/>
      <c r="F711" s="309"/>
      <c r="G711" s="309"/>
      <c r="H711" s="309"/>
      <c r="I711" s="309"/>
      <c r="J711" s="309"/>
      <c r="K711" s="1020"/>
      <c r="L711" s="309"/>
      <c r="M711" s="309"/>
      <c r="N711" s="309"/>
      <c r="O711" s="309"/>
      <c r="P711" s="326"/>
      <c r="Q711" s="309"/>
      <c r="R711" s="309"/>
      <c r="S711" s="309"/>
      <c r="T711" s="309"/>
      <c r="U711" s="309"/>
      <c r="V711" s="309"/>
      <c r="W711" s="309"/>
      <c r="X711" s="309"/>
      <c r="Y711" s="309"/>
      <c r="Z711" s="309"/>
    </row>
    <row r="712" spans="1:26" ht="12.75" customHeight="1">
      <c r="A712" s="309"/>
      <c r="B712" s="309"/>
      <c r="C712" s="309"/>
      <c r="D712" s="309"/>
      <c r="E712" s="309"/>
      <c r="F712" s="309"/>
      <c r="G712" s="309"/>
      <c r="H712" s="309"/>
      <c r="I712" s="309"/>
      <c r="J712" s="309"/>
      <c r="K712" s="1020"/>
      <c r="L712" s="309"/>
      <c r="M712" s="309"/>
      <c r="N712" s="309"/>
      <c r="O712" s="309"/>
      <c r="P712" s="326"/>
      <c r="Q712" s="309"/>
      <c r="R712" s="309"/>
      <c r="S712" s="309"/>
      <c r="T712" s="309"/>
      <c r="U712" s="309"/>
      <c r="V712" s="309"/>
      <c r="W712" s="309"/>
      <c r="X712" s="309"/>
      <c r="Y712" s="309"/>
      <c r="Z712" s="309"/>
    </row>
    <row r="713" spans="1:26" ht="12.75" customHeight="1">
      <c r="A713" s="309"/>
      <c r="B713" s="309"/>
      <c r="C713" s="309"/>
      <c r="D713" s="309"/>
      <c r="E713" s="309"/>
      <c r="F713" s="309"/>
      <c r="G713" s="309"/>
      <c r="H713" s="309"/>
      <c r="I713" s="309"/>
      <c r="J713" s="309"/>
      <c r="K713" s="1020"/>
      <c r="L713" s="309"/>
      <c r="M713" s="309"/>
      <c r="N713" s="309"/>
      <c r="O713" s="309"/>
      <c r="P713" s="326"/>
      <c r="Q713" s="309"/>
      <c r="R713" s="309"/>
      <c r="S713" s="309"/>
      <c r="T713" s="309"/>
      <c r="U713" s="309"/>
      <c r="V713" s="309"/>
      <c r="W713" s="309"/>
      <c r="X713" s="309"/>
      <c r="Y713" s="309"/>
      <c r="Z713" s="309"/>
    </row>
    <row r="714" spans="1:26" ht="12.75" customHeight="1">
      <c r="A714" s="309"/>
      <c r="B714" s="309"/>
      <c r="C714" s="309"/>
      <c r="D714" s="309"/>
      <c r="E714" s="309"/>
      <c r="F714" s="309"/>
      <c r="G714" s="309"/>
      <c r="H714" s="309"/>
      <c r="I714" s="309"/>
      <c r="J714" s="309"/>
      <c r="K714" s="1020"/>
      <c r="L714" s="309"/>
      <c r="M714" s="309"/>
      <c r="N714" s="309"/>
      <c r="O714" s="309"/>
      <c r="P714" s="326"/>
      <c r="Q714" s="309"/>
      <c r="R714" s="309"/>
      <c r="S714" s="309"/>
      <c r="T714" s="309"/>
      <c r="U714" s="309"/>
      <c r="V714" s="309"/>
      <c r="W714" s="309"/>
      <c r="X714" s="309"/>
      <c r="Y714" s="309"/>
      <c r="Z714" s="309"/>
    </row>
    <row r="715" spans="1:26" ht="12.75" customHeight="1">
      <c r="A715" s="309"/>
      <c r="B715" s="309"/>
      <c r="C715" s="309"/>
      <c r="D715" s="309"/>
      <c r="E715" s="309"/>
      <c r="F715" s="309"/>
      <c r="G715" s="309"/>
      <c r="H715" s="309"/>
      <c r="I715" s="309"/>
      <c r="J715" s="309"/>
      <c r="K715" s="1020"/>
      <c r="L715" s="309"/>
      <c r="M715" s="309"/>
      <c r="N715" s="309"/>
      <c r="O715" s="309"/>
      <c r="P715" s="326"/>
      <c r="Q715" s="309"/>
      <c r="R715" s="309"/>
      <c r="S715" s="309"/>
      <c r="T715" s="309"/>
      <c r="U715" s="309"/>
      <c r="V715" s="309"/>
      <c r="W715" s="309"/>
      <c r="X715" s="309"/>
      <c r="Y715" s="309"/>
      <c r="Z715" s="309"/>
    </row>
    <row r="716" spans="1:26" ht="12.75" customHeight="1">
      <c r="A716" s="309"/>
      <c r="B716" s="309"/>
      <c r="C716" s="309"/>
      <c r="D716" s="309"/>
      <c r="E716" s="309"/>
      <c r="F716" s="309"/>
      <c r="G716" s="309"/>
      <c r="H716" s="309"/>
      <c r="I716" s="309"/>
      <c r="J716" s="309"/>
      <c r="K716" s="1020"/>
      <c r="L716" s="309"/>
      <c r="M716" s="309"/>
      <c r="N716" s="309"/>
      <c r="O716" s="309"/>
      <c r="P716" s="326"/>
      <c r="Q716" s="309"/>
      <c r="R716" s="309"/>
      <c r="S716" s="309"/>
      <c r="T716" s="309"/>
      <c r="U716" s="309"/>
      <c r="V716" s="309"/>
      <c r="W716" s="309"/>
      <c r="X716" s="309"/>
      <c r="Y716" s="309"/>
      <c r="Z716" s="309"/>
    </row>
    <row r="717" spans="1:26" ht="12.75" customHeight="1">
      <c r="A717" s="309"/>
      <c r="B717" s="309"/>
      <c r="C717" s="309"/>
      <c r="D717" s="309"/>
      <c r="E717" s="309"/>
      <c r="F717" s="309"/>
      <c r="G717" s="309"/>
      <c r="H717" s="309"/>
      <c r="I717" s="309"/>
      <c r="J717" s="309"/>
      <c r="K717" s="1020"/>
      <c r="L717" s="309"/>
      <c r="M717" s="309"/>
      <c r="N717" s="309"/>
      <c r="O717" s="309"/>
      <c r="P717" s="326"/>
      <c r="Q717" s="309"/>
      <c r="R717" s="309"/>
      <c r="S717" s="309"/>
      <c r="T717" s="309"/>
      <c r="U717" s="309"/>
      <c r="V717" s="309"/>
      <c r="W717" s="309"/>
      <c r="X717" s="309"/>
      <c r="Y717" s="309"/>
      <c r="Z717" s="309"/>
    </row>
    <row r="718" spans="1:26" ht="12.75" customHeight="1">
      <c r="A718" s="309"/>
      <c r="B718" s="309"/>
      <c r="C718" s="309"/>
      <c r="D718" s="309"/>
      <c r="E718" s="309"/>
      <c r="F718" s="309"/>
      <c r="G718" s="309"/>
      <c r="H718" s="309"/>
      <c r="I718" s="309"/>
      <c r="J718" s="309"/>
      <c r="K718" s="1020"/>
      <c r="L718" s="309"/>
      <c r="M718" s="309"/>
      <c r="N718" s="309"/>
      <c r="O718" s="309"/>
      <c r="P718" s="326"/>
      <c r="Q718" s="309"/>
      <c r="R718" s="309"/>
      <c r="S718" s="309"/>
      <c r="T718" s="309"/>
      <c r="U718" s="309"/>
      <c r="V718" s="309"/>
      <c r="W718" s="309"/>
      <c r="X718" s="309"/>
      <c r="Y718" s="309"/>
      <c r="Z718" s="309"/>
    </row>
    <row r="719" spans="1:26" ht="12.75" customHeight="1">
      <c r="A719" s="309"/>
      <c r="B719" s="309"/>
      <c r="C719" s="309"/>
      <c r="D719" s="309"/>
      <c r="E719" s="309"/>
      <c r="F719" s="309"/>
      <c r="G719" s="309"/>
      <c r="H719" s="309"/>
      <c r="I719" s="309"/>
      <c r="J719" s="309"/>
      <c r="K719" s="1020"/>
      <c r="L719" s="309"/>
      <c r="M719" s="309"/>
      <c r="N719" s="309"/>
      <c r="O719" s="309"/>
      <c r="P719" s="326"/>
      <c r="Q719" s="309"/>
      <c r="R719" s="309"/>
      <c r="S719" s="309"/>
      <c r="T719" s="309"/>
      <c r="U719" s="309"/>
      <c r="V719" s="309"/>
      <c r="W719" s="309"/>
      <c r="X719" s="309"/>
      <c r="Y719" s="309"/>
      <c r="Z719" s="309"/>
    </row>
    <row r="720" spans="1:26" ht="12.75" customHeight="1">
      <c r="A720" s="309"/>
      <c r="B720" s="309"/>
      <c r="C720" s="309"/>
      <c r="D720" s="309"/>
      <c r="E720" s="309"/>
      <c r="F720" s="309"/>
      <c r="G720" s="309"/>
      <c r="H720" s="309"/>
      <c r="I720" s="309"/>
      <c r="J720" s="309"/>
      <c r="K720" s="1020"/>
      <c r="L720" s="309"/>
      <c r="M720" s="309"/>
      <c r="N720" s="309"/>
      <c r="O720" s="309"/>
      <c r="P720" s="326"/>
      <c r="Q720" s="309"/>
      <c r="R720" s="309"/>
      <c r="S720" s="309"/>
      <c r="T720" s="309"/>
      <c r="U720" s="309"/>
      <c r="V720" s="309"/>
      <c r="W720" s="309"/>
      <c r="X720" s="309"/>
      <c r="Y720" s="309"/>
      <c r="Z720" s="309"/>
    </row>
    <row r="721" spans="1:26" ht="12.75" customHeight="1">
      <c r="A721" s="309"/>
      <c r="B721" s="309"/>
      <c r="C721" s="309"/>
      <c r="D721" s="309"/>
      <c r="E721" s="309"/>
      <c r="F721" s="309"/>
      <c r="G721" s="309"/>
      <c r="H721" s="309"/>
      <c r="I721" s="309"/>
      <c r="J721" s="309"/>
      <c r="K721" s="1020"/>
      <c r="L721" s="309"/>
      <c r="M721" s="309"/>
      <c r="N721" s="309"/>
      <c r="O721" s="309"/>
      <c r="P721" s="326"/>
      <c r="Q721" s="309"/>
      <c r="R721" s="309"/>
      <c r="S721" s="309"/>
      <c r="T721" s="309"/>
      <c r="U721" s="309"/>
      <c r="V721" s="309"/>
      <c r="W721" s="309"/>
      <c r="X721" s="309"/>
      <c r="Y721" s="309"/>
      <c r="Z721" s="309"/>
    </row>
    <row r="722" spans="1:26" ht="12.75" customHeight="1">
      <c r="A722" s="309"/>
      <c r="B722" s="309"/>
      <c r="C722" s="309"/>
      <c r="D722" s="309"/>
      <c r="E722" s="309"/>
      <c r="F722" s="309"/>
      <c r="G722" s="309"/>
      <c r="H722" s="309"/>
      <c r="I722" s="309"/>
      <c r="J722" s="309"/>
      <c r="K722" s="1020"/>
      <c r="L722" s="309"/>
      <c r="M722" s="309"/>
      <c r="N722" s="309"/>
      <c r="O722" s="309"/>
      <c r="P722" s="326"/>
      <c r="Q722" s="309"/>
      <c r="R722" s="309"/>
      <c r="S722" s="309"/>
      <c r="T722" s="309"/>
      <c r="U722" s="309"/>
      <c r="V722" s="309"/>
      <c r="W722" s="309"/>
      <c r="X722" s="309"/>
      <c r="Y722" s="309"/>
      <c r="Z722" s="309"/>
    </row>
    <row r="723" spans="1:26" ht="12.75" customHeight="1">
      <c r="A723" s="309"/>
      <c r="B723" s="309"/>
      <c r="C723" s="309"/>
      <c r="D723" s="309"/>
      <c r="E723" s="309"/>
      <c r="F723" s="309"/>
      <c r="G723" s="309"/>
      <c r="H723" s="309"/>
      <c r="I723" s="309"/>
      <c r="J723" s="309"/>
      <c r="K723" s="1020"/>
      <c r="L723" s="309"/>
      <c r="M723" s="309"/>
      <c r="N723" s="309"/>
      <c r="O723" s="309"/>
      <c r="P723" s="326"/>
      <c r="Q723" s="309"/>
      <c r="R723" s="309"/>
      <c r="S723" s="309"/>
      <c r="T723" s="309"/>
      <c r="U723" s="309"/>
      <c r="V723" s="309"/>
      <c r="W723" s="309"/>
      <c r="X723" s="309"/>
      <c r="Y723" s="309"/>
      <c r="Z723" s="309"/>
    </row>
    <row r="724" spans="1:26" ht="12.75" customHeight="1">
      <c r="A724" s="309"/>
      <c r="B724" s="309"/>
      <c r="C724" s="309"/>
      <c r="D724" s="309"/>
      <c r="E724" s="309"/>
      <c r="F724" s="309"/>
      <c r="G724" s="309"/>
      <c r="H724" s="309"/>
      <c r="I724" s="309"/>
      <c r="J724" s="309"/>
      <c r="K724" s="1020"/>
      <c r="L724" s="309"/>
      <c r="M724" s="309"/>
      <c r="N724" s="309"/>
      <c r="O724" s="309"/>
      <c r="P724" s="326"/>
      <c r="Q724" s="309"/>
      <c r="R724" s="309"/>
      <c r="S724" s="309"/>
      <c r="T724" s="309"/>
      <c r="U724" s="309"/>
      <c r="V724" s="309"/>
      <c r="W724" s="309"/>
      <c r="X724" s="309"/>
      <c r="Y724" s="309"/>
      <c r="Z724" s="309"/>
    </row>
    <row r="725" spans="1:26" ht="12.75" customHeight="1">
      <c r="A725" s="309"/>
      <c r="B725" s="309"/>
      <c r="C725" s="309"/>
      <c r="D725" s="309"/>
      <c r="E725" s="309"/>
      <c r="F725" s="309"/>
      <c r="G725" s="309"/>
      <c r="H725" s="309"/>
      <c r="I725" s="309"/>
      <c r="J725" s="309"/>
      <c r="K725" s="1020"/>
      <c r="L725" s="309"/>
      <c r="M725" s="309"/>
      <c r="N725" s="309"/>
      <c r="O725" s="309"/>
      <c r="P725" s="326"/>
      <c r="Q725" s="309"/>
      <c r="R725" s="309"/>
      <c r="S725" s="309"/>
      <c r="T725" s="309"/>
      <c r="U725" s="309"/>
      <c r="V725" s="309"/>
      <c r="W725" s="309"/>
      <c r="X725" s="309"/>
      <c r="Y725" s="309"/>
      <c r="Z725" s="309"/>
    </row>
    <row r="726" spans="1:26" ht="12.75" customHeight="1">
      <c r="A726" s="309"/>
      <c r="B726" s="309"/>
      <c r="C726" s="309"/>
      <c r="D726" s="309"/>
      <c r="E726" s="309"/>
      <c r="F726" s="309"/>
      <c r="G726" s="309"/>
      <c r="H726" s="309"/>
      <c r="I726" s="309"/>
      <c r="J726" s="309"/>
      <c r="K726" s="1020"/>
      <c r="L726" s="309"/>
      <c r="M726" s="309"/>
      <c r="N726" s="309"/>
      <c r="O726" s="309"/>
      <c r="P726" s="326"/>
      <c r="Q726" s="309"/>
      <c r="R726" s="309"/>
      <c r="S726" s="309"/>
      <c r="T726" s="309"/>
      <c r="U726" s="309"/>
      <c r="V726" s="309"/>
      <c r="W726" s="309"/>
      <c r="X726" s="309"/>
      <c r="Y726" s="309"/>
      <c r="Z726" s="309"/>
    </row>
    <row r="727" spans="1:26" ht="12.75" customHeight="1">
      <c r="A727" s="309"/>
      <c r="B727" s="309"/>
      <c r="C727" s="309"/>
      <c r="D727" s="309"/>
      <c r="E727" s="309"/>
      <c r="F727" s="309"/>
      <c r="G727" s="309"/>
      <c r="H727" s="309"/>
      <c r="I727" s="309"/>
      <c r="J727" s="309"/>
      <c r="K727" s="1020"/>
      <c r="L727" s="309"/>
      <c r="M727" s="309"/>
      <c r="N727" s="309"/>
      <c r="O727" s="309"/>
      <c r="P727" s="326"/>
      <c r="Q727" s="309"/>
      <c r="R727" s="309"/>
      <c r="S727" s="309"/>
      <c r="T727" s="309"/>
      <c r="U727" s="309"/>
      <c r="V727" s="309"/>
      <c r="W727" s="309"/>
      <c r="X727" s="309"/>
      <c r="Y727" s="309"/>
      <c r="Z727" s="309"/>
    </row>
    <row r="728" spans="1:26" ht="12.75" customHeight="1">
      <c r="A728" s="309"/>
      <c r="B728" s="309"/>
      <c r="C728" s="309"/>
      <c r="D728" s="309"/>
      <c r="E728" s="309"/>
      <c r="F728" s="309"/>
      <c r="G728" s="309"/>
      <c r="H728" s="309"/>
      <c r="I728" s="309"/>
      <c r="J728" s="309"/>
      <c r="K728" s="1020"/>
      <c r="L728" s="309"/>
      <c r="M728" s="309"/>
      <c r="N728" s="309"/>
      <c r="O728" s="309"/>
      <c r="P728" s="326"/>
      <c r="Q728" s="309"/>
      <c r="R728" s="309"/>
      <c r="S728" s="309"/>
      <c r="T728" s="309"/>
      <c r="U728" s="309"/>
      <c r="V728" s="309"/>
      <c r="W728" s="309"/>
      <c r="X728" s="309"/>
      <c r="Y728" s="309"/>
      <c r="Z728" s="309"/>
    </row>
    <row r="729" spans="1:26" ht="12.75" customHeight="1">
      <c r="A729" s="309"/>
      <c r="B729" s="309"/>
      <c r="C729" s="309"/>
      <c r="D729" s="309"/>
      <c r="E729" s="309"/>
      <c r="F729" s="309"/>
      <c r="G729" s="309"/>
      <c r="H729" s="309"/>
      <c r="I729" s="309"/>
      <c r="J729" s="309"/>
      <c r="K729" s="1020"/>
      <c r="L729" s="309"/>
      <c r="M729" s="309"/>
      <c r="N729" s="309"/>
      <c r="O729" s="309"/>
      <c r="P729" s="326"/>
      <c r="Q729" s="309"/>
      <c r="R729" s="309"/>
      <c r="S729" s="309"/>
      <c r="T729" s="309"/>
      <c r="U729" s="309"/>
      <c r="V729" s="309"/>
      <c r="W729" s="309"/>
      <c r="X729" s="309"/>
      <c r="Y729" s="309"/>
      <c r="Z729" s="309"/>
    </row>
    <row r="730" spans="1:26" ht="12.75" customHeight="1">
      <c r="A730" s="309"/>
      <c r="B730" s="309"/>
      <c r="C730" s="309"/>
      <c r="D730" s="309"/>
      <c r="E730" s="309"/>
      <c r="F730" s="309"/>
      <c r="G730" s="309"/>
      <c r="H730" s="309"/>
      <c r="I730" s="309"/>
      <c r="J730" s="309"/>
      <c r="K730" s="1020"/>
      <c r="L730" s="309"/>
      <c r="M730" s="309"/>
      <c r="N730" s="309"/>
      <c r="O730" s="309"/>
      <c r="P730" s="326"/>
      <c r="Q730" s="309"/>
      <c r="R730" s="309"/>
      <c r="S730" s="309"/>
      <c r="T730" s="309"/>
      <c r="U730" s="309"/>
      <c r="V730" s="309"/>
      <c r="W730" s="309"/>
      <c r="X730" s="309"/>
      <c r="Y730" s="309"/>
      <c r="Z730" s="309"/>
    </row>
    <row r="731" spans="1:26" ht="12.75" customHeight="1">
      <c r="A731" s="309"/>
      <c r="B731" s="309"/>
      <c r="C731" s="309"/>
      <c r="D731" s="309"/>
      <c r="E731" s="309"/>
      <c r="F731" s="309"/>
      <c r="G731" s="309"/>
      <c r="H731" s="309"/>
      <c r="I731" s="309"/>
      <c r="J731" s="309"/>
      <c r="K731" s="1020"/>
      <c r="L731" s="309"/>
      <c r="M731" s="309"/>
      <c r="N731" s="309"/>
      <c r="O731" s="309"/>
      <c r="P731" s="326"/>
      <c r="Q731" s="309"/>
      <c r="R731" s="309"/>
      <c r="S731" s="309"/>
      <c r="T731" s="309"/>
      <c r="U731" s="309"/>
      <c r="V731" s="309"/>
      <c r="W731" s="309"/>
      <c r="X731" s="309"/>
      <c r="Y731" s="309"/>
      <c r="Z731" s="309"/>
    </row>
    <row r="732" spans="1:26" ht="12.75" customHeight="1">
      <c r="A732" s="309"/>
      <c r="B732" s="309"/>
      <c r="C732" s="309"/>
      <c r="D732" s="309"/>
      <c r="E732" s="309"/>
      <c r="F732" s="309"/>
      <c r="G732" s="309"/>
      <c r="H732" s="309"/>
      <c r="I732" s="309"/>
      <c r="J732" s="309"/>
      <c r="K732" s="1020"/>
      <c r="L732" s="309"/>
      <c r="M732" s="309"/>
      <c r="N732" s="309"/>
      <c r="O732" s="309"/>
      <c r="P732" s="326"/>
      <c r="Q732" s="309"/>
      <c r="R732" s="309"/>
      <c r="S732" s="309"/>
      <c r="T732" s="309"/>
      <c r="U732" s="309"/>
      <c r="V732" s="309"/>
      <c r="W732" s="309"/>
      <c r="X732" s="309"/>
      <c r="Y732" s="309"/>
      <c r="Z732" s="309"/>
    </row>
    <row r="733" spans="1:26" ht="12.75" customHeight="1">
      <c r="A733" s="309"/>
      <c r="B733" s="309"/>
      <c r="C733" s="309"/>
      <c r="D733" s="309"/>
      <c r="E733" s="309"/>
      <c r="F733" s="309"/>
      <c r="G733" s="309"/>
      <c r="H733" s="309"/>
      <c r="I733" s="309"/>
      <c r="J733" s="309"/>
      <c r="K733" s="1020"/>
      <c r="L733" s="309"/>
      <c r="M733" s="309"/>
      <c r="N733" s="309"/>
      <c r="O733" s="309"/>
      <c r="P733" s="326"/>
      <c r="Q733" s="309"/>
      <c r="R733" s="309"/>
      <c r="S733" s="309"/>
      <c r="T733" s="309"/>
      <c r="U733" s="309"/>
      <c r="V733" s="309"/>
      <c r="W733" s="309"/>
      <c r="X733" s="309"/>
      <c r="Y733" s="309"/>
      <c r="Z733" s="309"/>
    </row>
    <row r="734" spans="1:26" ht="12.75" customHeight="1">
      <c r="A734" s="309"/>
      <c r="B734" s="309"/>
      <c r="C734" s="309"/>
      <c r="D734" s="309"/>
      <c r="E734" s="309"/>
      <c r="F734" s="309"/>
      <c r="G734" s="309"/>
      <c r="H734" s="309"/>
      <c r="I734" s="309"/>
      <c r="J734" s="309"/>
      <c r="K734" s="1020"/>
      <c r="L734" s="309"/>
      <c r="M734" s="309"/>
      <c r="N734" s="309"/>
      <c r="O734" s="309"/>
      <c r="P734" s="326"/>
      <c r="Q734" s="309"/>
      <c r="R734" s="309"/>
      <c r="S734" s="309"/>
      <c r="T734" s="309"/>
      <c r="U734" s="309"/>
      <c r="V734" s="309"/>
      <c r="W734" s="309"/>
      <c r="X734" s="309"/>
      <c r="Y734" s="309"/>
      <c r="Z734" s="309"/>
    </row>
    <row r="735" spans="1:26" ht="12.75" customHeight="1">
      <c r="A735" s="309"/>
      <c r="B735" s="309"/>
      <c r="C735" s="309"/>
      <c r="D735" s="309"/>
      <c r="E735" s="309"/>
      <c r="F735" s="309"/>
      <c r="G735" s="309"/>
      <c r="H735" s="309"/>
      <c r="I735" s="309"/>
      <c r="J735" s="309"/>
      <c r="K735" s="1020"/>
      <c r="L735" s="309"/>
      <c r="M735" s="309"/>
      <c r="N735" s="309"/>
      <c r="O735" s="309"/>
      <c r="P735" s="326"/>
      <c r="Q735" s="309"/>
      <c r="R735" s="309"/>
      <c r="S735" s="309"/>
      <c r="T735" s="309"/>
      <c r="U735" s="309"/>
      <c r="V735" s="309"/>
      <c r="W735" s="309"/>
      <c r="X735" s="309"/>
      <c r="Y735" s="309"/>
      <c r="Z735" s="309"/>
    </row>
    <row r="736" spans="1:26" ht="12.75" customHeight="1">
      <c r="A736" s="309"/>
      <c r="B736" s="309"/>
      <c r="C736" s="309"/>
      <c r="D736" s="309"/>
      <c r="E736" s="309"/>
      <c r="F736" s="309"/>
      <c r="G736" s="309"/>
      <c r="H736" s="309"/>
      <c r="I736" s="309"/>
      <c r="J736" s="309"/>
      <c r="K736" s="1020"/>
      <c r="L736" s="309"/>
      <c r="M736" s="309"/>
      <c r="N736" s="309"/>
      <c r="O736" s="309"/>
      <c r="P736" s="326"/>
      <c r="Q736" s="309"/>
      <c r="R736" s="309"/>
      <c r="S736" s="309"/>
      <c r="T736" s="309"/>
      <c r="U736" s="309"/>
      <c r="V736" s="309"/>
      <c r="W736" s="309"/>
      <c r="X736" s="309"/>
      <c r="Y736" s="309"/>
      <c r="Z736" s="309"/>
    </row>
    <row r="737" spans="1:26" ht="12.75" customHeight="1">
      <c r="A737" s="309"/>
      <c r="B737" s="309"/>
      <c r="C737" s="309"/>
      <c r="D737" s="309"/>
      <c r="E737" s="309"/>
      <c r="F737" s="309"/>
      <c r="G737" s="309"/>
      <c r="H737" s="309"/>
      <c r="I737" s="309"/>
      <c r="J737" s="309"/>
      <c r="K737" s="1020"/>
      <c r="L737" s="309"/>
      <c r="M737" s="309"/>
      <c r="N737" s="309"/>
      <c r="O737" s="309"/>
      <c r="P737" s="326"/>
      <c r="Q737" s="309"/>
      <c r="R737" s="309"/>
      <c r="S737" s="309"/>
      <c r="T737" s="309"/>
      <c r="U737" s="309"/>
      <c r="V737" s="309"/>
      <c r="W737" s="309"/>
      <c r="X737" s="309"/>
      <c r="Y737" s="309"/>
      <c r="Z737" s="309"/>
    </row>
    <row r="738" spans="1:26" ht="12.75" customHeight="1">
      <c r="A738" s="309"/>
      <c r="B738" s="309"/>
      <c r="C738" s="309"/>
      <c r="D738" s="309"/>
      <c r="E738" s="309"/>
      <c r="F738" s="309"/>
      <c r="G738" s="309"/>
      <c r="H738" s="309"/>
      <c r="I738" s="309"/>
      <c r="J738" s="309"/>
      <c r="K738" s="1020"/>
      <c r="L738" s="309"/>
      <c r="M738" s="309"/>
      <c r="N738" s="309"/>
      <c r="O738" s="309"/>
      <c r="P738" s="326"/>
      <c r="Q738" s="309"/>
      <c r="R738" s="309"/>
      <c r="S738" s="309"/>
      <c r="T738" s="309"/>
      <c r="U738" s="309"/>
      <c r="V738" s="309"/>
      <c r="W738" s="309"/>
      <c r="X738" s="309"/>
      <c r="Y738" s="309"/>
      <c r="Z738" s="309"/>
    </row>
    <row r="739" spans="1:26" ht="12.75" customHeight="1">
      <c r="A739" s="309"/>
      <c r="B739" s="309"/>
      <c r="C739" s="309"/>
      <c r="D739" s="309"/>
      <c r="E739" s="309"/>
      <c r="F739" s="309"/>
      <c r="G739" s="309"/>
      <c r="H739" s="309"/>
      <c r="I739" s="309"/>
      <c r="J739" s="309"/>
      <c r="K739" s="1020"/>
      <c r="L739" s="309"/>
      <c r="M739" s="309"/>
      <c r="N739" s="309"/>
      <c r="O739" s="309"/>
      <c r="P739" s="326"/>
      <c r="Q739" s="309"/>
      <c r="R739" s="309"/>
      <c r="S739" s="309"/>
      <c r="T739" s="309"/>
      <c r="U739" s="309"/>
      <c r="V739" s="309"/>
      <c r="W739" s="309"/>
      <c r="X739" s="309"/>
      <c r="Y739" s="309"/>
      <c r="Z739" s="309"/>
    </row>
    <row r="740" spans="1:26" ht="12.75" customHeight="1">
      <c r="A740" s="309"/>
      <c r="B740" s="309"/>
      <c r="C740" s="309"/>
      <c r="D740" s="309"/>
      <c r="E740" s="309"/>
      <c r="F740" s="309"/>
      <c r="G740" s="309"/>
      <c r="H740" s="309"/>
      <c r="I740" s="309"/>
      <c r="J740" s="309"/>
      <c r="K740" s="1020"/>
      <c r="L740" s="309"/>
      <c r="M740" s="309"/>
      <c r="N740" s="309"/>
      <c r="O740" s="309"/>
      <c r="P740" s="326"/>
      <c r="Q740" s="309"/>
      <c r="R740" s="309"/>
      <c r="S740" s="309"/>
      <c r="T740" s="309"/>
      <c r="U740" s="309"/>
      <c r="V740" s="309"/>
      <c r="W740" s="309"/>
      <c r="X740" s="309"/>
      <c r="Y740" s="309"/>
      <c r="Z740" s="309"/>
    </row>
    <row r="741" spans="1:26" ht="12.75" customHeight="1">
      <c r="A741" s="309"/>
      <c r="B741" s="309"/>
      <c r="C741" s="309"/>
      <c r="D741" s="309"/>
      <c r="E741" s="309"/>
      <c r="F741" s="309"/>
      <c r="G741" s="309"/>
      <c r="H741" s="309"/>
      <c r="I741" s="309"/>
      <c r="J741" s="309"/>
      <c r="K741" s="1020"/>
      <c r="L741" s="309"/>
      <c r="M741" s="309"/>
      <c r="N741" s="309"/>
      <c r="O741" s="309"/>
      <c r="P741" s="326"/>
      <c r="Q741" s="309"/>
      <c r="R741" s="309"/>
      <c r="S741" s="309"/>
      <c r="T741" s="309"/>
      <c r="U741" s="309"/>
      <c r="V741" s="309"/>
      <c r="W741" s="309"/>
      <c r="X741" s="309"/>
      <c r="Y741" s="309"/>
      <c r="Z741" s="309"/>
    </row>
    <row r="742" spans="1:26" ht="12.75" customHeight="1">
      <c r="A742" s="309"/>
      <c r="B742" s="309"/>
      <c r="C742" s="309"/>
      <c r="D742" s="309"/>
      <c r="E742" s="309"/>
      <c r="F742" s="309"/>
      <c r="G742" s="309"/>
      <c r="H742" s="309"/>
      <c r="I742" s="309"/>
      <c r="J742" s="309"/>
      <c r="K742" s="1020"/>
      <c r="L742" s="309"/>
      <c r="M742" s="309"/>
      <c r="N742" s="309"/>
      <c r="O742" s="309"/>
      <c r="P742" s="326"/>
      <c r="Q742" s="309"/>
      <c r="R742" s="309"/>
      <c r="S742" s="309"/>
      <c r="T742" s="309"/>
      <c r="U742" s="309"/>
      <c r="V742" s="309"/>
      <c r="W742" s="309"/>
      <c r="X742" s="309"/>
      <c r="Y742" s="309"/>
      <c r="Z742" s="309"/>
    </row>
    <row r="743" spans="1:26" ht="12.75" customHeight="1">
      <c r="A743" s="309"/>
      <c r="B743" s="309"/>
      <c r="C743" s="309"/>
      <c r="D743" s="309"/>
      <c r="E743" s="309"/>
      <c r="F743" s="309"/>
      <c r="G743" s="309"/>
      <c r="H743" s="309"/>
      <c r="I743" s="309"/>
      <c r="J743" s="309"/>
      <c r="K743" s="1020"/>
      <c r="L743" s="309"/>
      <c r="M743" s="309"/>
      <c r="N743" s="309"/>
      <c r="O743" s="309"/>
      <c r="P743" s="326"/>
      <c r="Q743" s="309"/>
      <c r="R743" s="309"/>
      <c r="S743" s="309"/>
      <c r="T743" s="309"/>
      <c r="U743" s="309"/>
      <c r="V743" s="309"/>
      <c r="W743" s="309"/>
      <c r="X743" s="309"/>
      <c r="Y743" s="309"/>
      <c r="Z743" s="309"/>
    </row>
    <row r="744" spans="1:26" ht="12.75" customHeight="1">
      <c r="A744" s="309"/>
      <c r="B744" s="309"/>
      <c r="C744" s="309"/>
      <c r="D744" s="309"/>
      <c r="E744" s="309"/>
      <c r="F744" s="309"/>
      <c r="G744" s="309"/>
      <c r="H744" s="309"/>
      <c r="I744" s="309"/>
      <c r="J744" s="309"/>
      <c r="K744" s="1020"/>
      <c r="L744" s="309"/>
      <c r="M744" s="309"/>
      <c r="N744" s="309"/>
      <c r="O744" s="309"/>
      <c r="P744" s="326"/>
      <c r="Q744" s="309"/>
      <c r="R744" s="309"/>
      <c r="S744" s="309"/>
      <c r="T744" s="309"/>
      <c r="U744" s="309"/>
      <c r="V744" s="309"/>
      <c r="W744" s="309"/>
      <c r="X744" s="309"/>
      <c r="Y744" s="309"/>
      <c r="Z744" s="309"/>
    </row>
    <row r="745" spans="1:26" ht="12.75" customHeight="1">
      <c r="A745" s="309"/>
      <c r="B745" s="309"/>
      <c r="C745" s="309"/>
      <c r="D745" s="309"/>
      <c r="E745" s="309"/>
      <c r="F745" s="309"/>
      <c r="G745" s="309"/>
      <c r="H745" s="309"/>
      <c r="I745" s="309"/>
      <c r="J745" s="309"/>
      <c r="K745" s="1020"/>
      <c r="L745" s="309"/>
      <c r="M745" s="309"/>
      <c r="N745" s="309"/>
      <c r="O745" s="309"/>
      <c r="P745" s="326"/>
      <c r="Q745" s="309"/>
      <c r="R745" s="309"/>
      <c r="S745" s="309"/>
      <c r="T745" s="309"/>
      <c r="U745" s="309"/>
      <c r="V745" s="309"/>
      <c r="W745" s="309"/>
      <c r="X745" s="309"/>
      <c r="Y745" s="309"/>
      <c r="Z745" s="309"/>
    </row>
    <row r="746" spans="1:26" ht="12.75" customHeight="1">
      <c r="A746" s="309"/>
      <c r="B746" s="309"/>
      <c r="C746" s="309"/>
      <c r="D746" s="309"/>
      <c r="E746" s="309"/>
      <c r="F746" s="309"/>
      <c r="G746" s="309"/>
      <c r="H746" s="309"/>
      <c r="I746" s="309"/>
      <c r="J746" s="309"/>
      <c r="K746" s="1020"/>
      <c r="L746" s="309"/>
      <c r="M746" s="309"/>
      <c r="N746" s="309"/>
      <c r="O746" s="309"/>
      <c r="P746" s="326"/>
      <c r="Q746" s="309"/>
      <c r="R746" s="309"/>
      <c r="S746" s="309"/>
      <c r="T746" s="309"/>
      <c r="U746" s="309"/>
      <c r="V746" s="309"/>
      <c r="W746" s="309"/>
      <c r="X746" s="309"/>
      <c r="Y746" s="309"/>
      <c r="Z746" s="309"/>
    </row>
    <row r="747" spans="1:26" ht="12.75" customHeight="1">
      <c r="A747" s="309"/>
      <c r="B747" s="309"/>
      <c r="C747" s="309"/>
      <c r="D747" s="309"/>
      <c r="E747" s="309"/>
      <c r="F747" s="309"/>
      <c r="G747" s="309"/>
      <c r="H747" s="309"/>
      <c r="I747" s="309"/>
      <c r="J747" s="309"/>
      <c r="K747" s="1020"/>
      <c r="L747" s="309"/>
      <c r="M747" s="309"/>
      <c r="N747" s="309"/>
      <c r="O747" s="309"/>
      <c r="P747" s="326"/>
      <c r="Q747" s="309"/>
      <c r="R747" s="309"/>
      <c r="S747" s="309"/>
      <c r="T747" s="309"/>
      <c r="U747" s="309"/>
      <c r="V747" s="309"/>
      <c r="W747" s="309"/>
      <c r="X747" s="309"/>
      <c r="Y747" s="309"/>
      <c r="Z747" s="309"/>
    </row>
    <row r="748" spans="1:26" ht="12.75" customHeight="1">
      <c r="A748" s="309"/>
      <c r="B748" s="309"/>
      <c r="C748" s="309"/>
      <c r="D748" s="309"/>
      <c r="E748" s="309"/>
      <c r="F748" s="309"/>
      <c r="G748" s="309"/>
      <c r="H748" s="309"/>
      <c r="I748" s="309"/>
      <c r="J748" s="309"/>
      <c r="K748" s="1020"/>
      <c r="L748" s="309"/>
      <c r="M748" s="309"/>
      <c r="N748" s="309"/>
      <c r="O748" s="309"/>
      <c r="P748" s="326"/>
      <c r="Q748" s="309"/>
      <c r="R748" s="309"/>
      <c r="S748" s="309"/>
      <c r="T748" s="309"/>
      <c r="U748" s="309"/>
      <c r="V748" s="309"/>
      <c r="W748" s="309"/>
      <c r="X748" s="309"/>
      <c r="Y748" s="309"/>
      <c r="Z748" s="309"/>
    </row>
    <row r="749" spans="1:26" ht="12.75" customHeight="1">
      <c r="A749" s="309"/>
      <c r="B749" s="309"/>
      <c r="C749" s="309"/>
      <c r="D749" s="309"/>
      <c r="E749" s="309"/>
      <c r="F749" s="309"/>
      <c r="G749" s="309"/>
      <c r="H749" s="309"/>
      <c r="I749" s="309"/>
      <c r="J749" s="309"/>
      <c r="K749" s="1020"/>
      <c r="L749" s="309"/>
      <c r="M749" s="309"/>
      <c r="N749" s="309"/>
      <c r="O749" s="309"/>
      <c r="P749" s="326"/>
      <c r="Q749" s="309"/>
      <c r="R749" s="309"/>
      <c r="S749" s="309"/>
      <c r="T749" s="309"/>
      <c r="U749" s="309"/>
      <c r="V749" s="309"/>
      <c r="W749" s="309"/>
      <c r="X749" s="309"/>
      <c r="Y749" s="309"/>
      <c r="Z749" s="309"/>
    </row>
    <row r="750" spans="1:26" ht="12.75" customHeight="1">
      <c r="A750" s="309"/>
      <c r="B750" s="309"/>
      <c r="C750" s="309"/>
      <c r="D750" s="309"/>
      <c r="E750" s="309"/>
      <c r="F750" s="309"/>
      <c r="G750" s="309"/>
      <c r="H750" s="309"/>
      <c r="I750" s="309"/>
      <c r="J750" s="309"/>
      <c r="K750" s="1020"/>
      <c r="L750" s="309"/>
      <c r="M750" s="309"/>
      <c r="N750" s="309"/>
      <c r="O750" s="309"/>
      <c r="P750" s="326"/>
      <c r="Q750" s="309"/>
      <c r="R750" s="309"/>
      <c r="S750" s="309"/>
      <c r="T750" s="309"/>
      <c r="U750" s="309"/>
      <c r="V750" s="309"/>
      <c r="W750" s="309"/>
      <c r="X750" s="309"/>
      <c r="Y750" s="309"/>
      <c r="Z750" s="309"/>
    </row>
    <row r="751" spans="1:26" ht="12.75" customHeight="1">
      <c r="A751" s="309"/>
      <c r="B751" s="309"/>
      <c r="C751" s="309"/>
      <c r="D751" s="309"/>
      <c r="E751" s="309"/>
      <c r="F751" s="309"/>
      <c r="G751" s="309"/>
      <c r="H751" s="309"/>
      <c r="I751" s="309"/>
      <c r="J751" s="309"/>
      <c r="K751" s="1020"/>
      <c r="L751" s="309"/>
      <c r="M751" s="309"/>
      <c r="N751" s="309"/>
      <c r="O751" s="309"/>
      <c r="P751" s="326"/>
      <c r="Q751" s="309"/>
      <c r="R751" s="309"/>
      <c r="S751" s="309"/>
      <c r="T751" s="309"/>
      <c r="U751" s="309"/>
      <c r="V751" s="309"/>
      <c r="W751" s="309"/>
      <c r="X751" s="309"/>
      <c r="Y751" s="309"/>
      <c r="Z751" s="309"/>
    </row>
    <row r="752" spans="1:26" ht="12.75" customHeight="1">
      <c r="A752" s="309"/>
      <c r="B752" s="309"/>
      <c r="C752" s="309"/>
      <c r="D752" s="309"/>
      <c r="E752" s="309"/>
      <c r="F752" s="309"/>
      <c r="G752" s="309"/>
      <c r="H752" s="309"/>
      <c r="I752" s="309"/>
      <c r="J752" s="309"/>
      <c r="K752" s="1020"/>
      <c r="L752" s="309"/>
      <c r="M752" s="309"/>
      <c r="N752" s="309"/>
      <c r="O752" s="309"/>
      <c r="P752" s="326"/>
      <c r="Q752" s="309"/>
      <c r="R752" s="309"/>
      <c r="S752" s="309"/>
      <c r="T752" s="309"/>
      <c r="U752" s="309"/>
      <c r="V752" s="309"/>
      <c r="W752" s="309"/>
      <c r="X752" s="309"/>
      <c r="Y752" s="309"/>
      <c r="Z752" s="309"/>
    </row>
    <row r="753" spans="1:26" ht="12.75" customHeight="1">
      <c r="A753" s="309"/>
      <c r="B753" s="309"/>
      <c r="C753" s="309"/>
      <c r="D753" s="309"/>
      <c r="E753" s="309"/>
      <c r="F753" s="309"/>
      <c r="G753" s="309"/>
      <c r="H753" s="309"/>
      <c r="I753" s="309"/>
      <c r="J753" s="309"/>
      <c r="K753" s="1020"/>
      <c r="L753" s="309"/>
      <c r="M753" s="309"/>
      <c r="N753" s="309"/>
      <c r="O753" s="309"/>
      <c r="P753" s="326"/>
      <c r="Q753" s="309"/>
      <c r="R753" s="309"/>
      <c r="S753" s="309"/>
      <c r="T753" s="309"/>
      <c r="U753" s="309"/>
      <c r="V753" s="309"/>
      <c r="W753" s="309"/>
      <c r="X753" s="309"/>
      <c r="Y753" s="309"/>
      <c r="Z753" s="309"/>
    </row>
    <row r="754" spans="1:26" ht="12.75" customHeight="1">
      <c r="A754" s="309"/>
      <c r="B754" s="309"/>
      <c r="C754" s="309"/>
      <c r="D754" s="309"/>
      <c r="E754" s="309"/>
      <c r="F754" s="309"/>
      <c r="G754" s="309"/>
      <c r="H754" s="309"/>
      <c r="I754" s="309"/>
      <c r="J754" s="309"/>
      <c r="K754" s="1020"/>
      <c r="L754" s="309"/>
      <c r="M754" s="309"/>
      <c r="N754" s="309"/>
      <c r="O754" s="309"/>
      <c r="P754" s="326"/>
      <c r="Q754" s="309"/>
      <c r="R754" s="309"/>
      <c r="S754" s="309"/>
      <c r="T754" s="309"/>
      <c r="U754" s="309"/>
      <c r="V754" s="309"/>
      <c r="W754" s="309"/>
      <c r="X754" s="309"/>
      <c r="Y754" s="309"/>
      <c r="Z754" s="309"/>
    </row>
    <row r="755" spans="1:26" ht="12.75" customHeight="1">
      <c r="A755" s="309"/>
      <c r="B755" s="309"/>
      <c r="C755" s="309"/>
      <c r="D755" s="309"/>
      <c r="E755" s="309"/>
      <c r="F755" s="309"/>
      <c r="G755" s="309"/>
      <c r="H755" s="309"/>
      <c r="I755" s="309"/>
      <c r="J755" s="309"/>
      <c r="K755" s="1020"/>
      <c r="L755" s="309"/>
      <c r="M755" s="309"/>
      <c r="N755" s="309"/>
      <c r="O755" s="309"/>
      <c r="P755" s="326"/>
      <c r="Q755" s="309"/>
      <c r="R755" s="309"/>
      <c r="S755" s="309"/>
      <c r="T755" s="309"/>
      <c r="U755" s="309"/>
      <c r="V755" s="309"/>
      <c r="W755" s="309"/>
      <c r="X755" s="309"/>
      <c r="Y755" s="309"/>
      <c r="Z755" s="309"/>
    </row>
    <row r="756" spans="1:26" ht="12.75" customHeight="1">
      <c r="A756" s="309"/>
      <c r="B756" s="309"/>
      <c r="C756" s="309"/>
      <c r="D756" s="309"/>
      <c r="E756" s="309"/>
      <c r="F756" s="309"/>
      <c r="G756" s="309"/>
      <c r="H756" s="309"/>
      <c r="I756" s="309"/>
      <c r="J756" s="309"/>
      <c r="K756" s="1020"/>
      <c r="L756" s="309"/>
      <c r="M756" s="309"/>
      <c r="N756" s="309"/>
      <c r="O756" s="309"/>
      <c r="P756" s="326"/>
      <c r="Q756" s="309"/>
      <c r="R756" s="309"/>
      <c r="S756" s="309"/>
      <c r="T756" s="309"/>
      <c r="U756" s="309"/>
      <c r="V756" s="309"/>
      <c r="W756" s="309"/>
      <c r="X756" s="309"/>
      <c r="Y756" s="309"/>
      <c r="Z756" s="309"/>
    </row>
    <row r="757" spans="1:26" ht="12.75" customHeight="1">
      <c r="A757" s="309"/>
      <c r="B757" s="309"/>
      <c r="C757" s="309"/>
      <c r="D757" s="309"/>
      <c r="E757" s="309"/>
      <c r="F757" s="309"/>
      <c r="G757" s="309"/>
      <c r="H757" s="309"/>
      <c r="I757" s="309"/>
      <c r="J757" s="309"/>
      <c r="K757" s="1020"/>
      <c r="L757" s="309"/>
      <c r="M757" s="309"/>
      <c r="N757" s="309"/>
      <c r="O757" s="309"/>
      <c r="P757" s="326"/>
      <c r="Q757" s="309"/>
      <c r="R757" s="309"/>
      <c r="S757" s="309"/>
      <c r="T757" s="309"/>
      <c r="U757" s="309"/>
      <c r="V757" s="309"/>
      <c r="W757" s="309"/>
      <c r="X757" s="309"/>
      <c r="Y757" s="309"/>
      <c r="Z757" s="309"/>
    </row>
    <row r="758" spans="1:26" ht="12.75" customHeight="1">
      <c r="A758" s="309"/>
      <c r="B758" s="309"/>
      <c r="C758" s="309"/>
      <c r="D758" s="309"/>
      <c r="E758" s="309"/>
      <c r="F758" s="309"/>
      <c r="G758" s="309"/>
      <c r="H758" s="309"/>
      <c r="I758" s="309"/>
      <c r="J758" s="309"/>
      <c r="K758" s="1020"/>
      <c r="L758" s="309"/>
      <c r="M758" s="309"/>
      <c r="N758" s="309"/>
      <c r="O758" s="309"/>
      <c r="P758" s="326"/>
      <c r="Q758" s="309"/>
      <c r="R758" s="309"/>
      <c r="S758" s="309"/>
      <c r="T758" s="309"/>
      <c r="U758" s="309"/>
      <c r="V758" s="309"/>
      <c r="W758" s="309"/>
      <c r="X758" s="309"/>
      <c r="Y758" s="309"/>
      <c r="Z758" s="309"/>
    </row>
    <row r="759" spans="1:26" ht="12.75" customHeight="1">
      <c r="A759" s="309"/>
      <c r="B759" s="309"/>
      <c r="C759" s="309"/>
      <c r="D759" s="309"/>
      <c r="E759" s="309"/>
      <c r="F759" s="309"/>
      <c r="G759" s="309"/>
      <c r="H759" s="309"/>
      <c r="I759" s="309"/>
      <c r="J759" s="309"/>
      <c r="K759" s="1020"/>
      <c r="L759" s="309"/>
      <c r="M759" s="309"/>
      <c r="N759" s="309"/>
      <c r="O759" s="309"/>
      <c r="P759" s="326"/>
      <c r="Q759" s="309"/>
      <c r="R759" s="309"/>
      <c r="S759" s="309"/>
      <c r="T759" s="309"/>
      <c r="U759" s="309"/>
      <c r="V759" s="309"/>
      <c r="W759" s="309"/>
      <c r="X759" s="309"/>
      <c r="Y759" s="309"/>
      <c r="Z759" s="309"/>
    </row>
    <row r="760" spans="1:26" ht="12.75" customHeight="1">
      <c r="A760" s="309"/>
      <c r="B760" s="309"/>
      <c r="C760" s="309"/>
      <c r="D760" s="309"/>
      <c r="E760" s="309"/>
      <c r="F760" s="309"/>
      <c r="G760" s="309"/>
      <c r="H760" s="309"/>
      <c r="I760" s="309"/>
      <c r="J760" s="309"/>
      <c r="K760" s="1020"/>
      <c r="L760" s="309"/>
      <c r="M760" s="309"/>
      <c r="N760" s="309"/>
      <c r="O760" s="309"/>
      <c r="P760" s="326"/>
      <c r="Q760" s="309"/>
      <c r="R760" s="309"/>
      <c r="S760" s="309"/>
      <c r="T760" s="309"/>
      <c r="U760" s="309"/>
      <c r="V760" s="309"/>
      <c r="W760" s="309"/>
      <c r="X760" s="309"/>
      <c r="Y760" s="309"/>
      <c r="Z760" s="309"/>
    </row>
    <row r="761" spans="1:26" ht="12.75" customHeight="1">
      <c r="A761" s="309"/>
      <c r="B761" s="309"/>
      <c r="C761" s="309"/>
      <c r="D761" s="309"/>
      <c r="E761" s="309"/>
      <c r="F761" s="309"/>
      <c r="G761" s="309"/>
      <c r="H761" s="309"/>
      <c r="I761" s="309"/>
      <c r="J761" s="309"/>
      <c r="K761" s="1020"/>
      <c r="L761" s="309"/>
      <c r="M761" s="309"/>
      <c r="N761" s="309"/>
      <c r="O761" s="309"/>
      <c r="P761" s="326"/>
      <c r="Q761" s="309"/>
      <c r="R761" s="309"/>
      <c r="S761" s="309"/>
      <c r="T761" s="309"/>
      <c r="U761" s="309"/>
      <c r="V761" s="309"/>
      <c r="W761" s="309"/>
      <c r="X761" s="309"/>
      <c r="Y761" s="309"/>
      <c r="Z761" s="309"/>
    </row>
    <row r="762" spans="1:26" ht="12.75" customHeight="1">
      <c r="A762" s="309"/>
      <c r="B762" s="309"/>
      <c r="C762" s="309"/>
      <c r="D762" s="309"/>
      <c r="E762" s="309"/>
      <c r="F762" s="309"/>
      <c r="G762" s="309"/>
      <c r="H762" s="309"/>
      <c r="I762" s="309"/>
      <c r="J762" s="309"/>
      <c r="K762" s="1020"/>
      <c r="L762" s="309"/>
      <c r="M762" s="309"/>
      <c r="N762" s="309"/>
      <c r="O762" s="309"/>
      <c r="P762" s="326"/>
      <c r="Q762" s="309"/>
      <c r="R762" s="309"/>
      <c r="S762" s="309"/>
      <c r="T762" s="309"/>
      <c r="U762" s="309"/>
      <c r="V762" s="309"/>
      <c r="W762" s="309"/>
      <c r="X762" s="309"/>
      <c r="Y762" s="309"/>
      <c r="Z762" s="309"/>
    </row>
    <row r="763" spans="1:26" ht="12.75" customHeight="1">
      <c r="A763" s="309"/>
      <c r="B763" s="309"/>
      <c r="C763" s="309"/>
      <c r="D763" s="309"/>
      <c r="E763" s="309"/>
      <c r="F763" s="309"/>
      <c r="G763" s="309"/>
      <c r="H763" s="309"/>
      <c r="I763" s="309"/>
      <c r="J763" s="309"/>
      <c r="K763" s="1020"/>
      <c r="L763" s="309"/>
      <c r="M763" s="309"/>
      <c r="N763" s="309"/>
      <c r="O763" s="309"/>
      <c r="P763" s="326"/>
      <c r="Q763" s="309"/>
      <c r="R763" s="309"/>
      <c r="S763" s="309"/>
      <c r="T763" s="309"/>
      <c r="U763" s="309"/>
      <c r="V763" s="309"/>
      <c r="W763" s="309"/>
      <c r="X763" s="309"/>
      <c r="Y763" s="309"/>
      <c r="Z763" s="309"/>
    </row>
    <row r="764" spans="1:26" ht="12.75" customHeight="1">
      <c r="A764" s="309"/>
      <c r="B764" s="309"/>
      <c r="C764" s="309"/>
      <c r="D764" s="309"/>
      <c r="E764" s="309"/>
      <c r="F764" s="309"/>
      <c r="G764" s="309"/>
      <c r="H764" s="309"/>
      <c r="I764" s="309"/>
      <c r="J764" s="309"/>
      <c r="K764" s="1020"/>
      <c r="L764" s="309"/>
      <c r="M764" s="309"/>
      <c r="N764" s="309"/>
      <c r="O764" s="309"/>
      <c r="P764" s="326"/>
      <c r="Q764" s="309"/>
      <c r="R764" s="309"/>
      <c r="S764" s="309"/>
      <c r="T764" s="309"/>
      <c r="U764" s="309"/>
      <c r="V764" s="309"/>
      <c r="W764" s="309"/>
      <c r="X764" s="309"/>
      <c r="Y764" s="309"/>
      <c r="Z764" s="309"/>
    </row>
    <row r="765" spans="1:26" ht="12.75" customHeight="1">
      <c r="A765" s="309"/>
      <c r="B765" s="309"/>
      <c r="C765" s="309"/>
      <c r="D765" s="309"/>
      <c r="E765" s="309"/>
      <c r="F765" s="309"/>
      <c r="G765" s="309"/>
      <c r="H765" s="309"/>
      <c r="I765" s="309"/>
      <c r="J765" s="309"/>
      <c r="K765" s="1020"/>
      <c r="L765" s="309"/>
      <c r="M765" s="309"/>
      <c r="N765" s="309"/>
      <c r="O765" s="309"/>
      <c r="P765" s="326"/>
      <c r="Q765" s="309"/>
      <c r="R765" s="309"/>
      <c r="S765" s="309"/>
      <c r="T765" s="309"/>
      <c r="U765" s="309"/>
      <c r="V765" s="309"/>
      <c r="W765" s="309"/>
      <c r="X765" s="309"/>
      <c r="Y765" s="309"/>
      <c r="Z765" s="309"/>
    </row>
    <row r="766" spans="1:26" ht="12.75" customHeight="1">
      <c r="A766" s="309"/>
      <c r="B766" s="309"/>
      <c r="C766" s="309"/>
      <c r="D766" s="309"/>
      <c r="E766" s="309"/>
      <c r="F766" s="309"/>
      <c r="G766" s="309"/>
      <c r="H766" s="309"/>
      <c r="I766" s="309"/>
      <c r="J766" s="309"/>
      <c r="K766" s="1020"/>
      <c r="L766" s="309"/>
      <c r="M766" s="309"/>
      <c r="N766" s="309"/>
      <c r="O766" s="309"/>
      <c r="P766" s="326"/>
      <c r="Q766" s="309"/>
      <c r="R766" s="309"/>
      <c r="S766" s="309"/>
      <c r="T766" s="309"/>
      <c r="U766" s="309"/>
      <c r="V766" s="309"/>
      <c r="W766" s="309"/>
      <c r="X766" s="309"/>
      <c r="Y766" s="309"/>
      <c r="Z766" s="309"/>
    </row>
    <row r="767" spans="1:26" ht="12.75" customHeight="1">
      <c r="A767" s="309"/>
      <c r="B767" s="309"/>
      <c r="C767" s="309"/>
      <c r="D767" s="309"/>
      <c r="E767" s="309"/>
      <c r="F767" s="309"/>
      <c r="G767" s="309"/>
      <c r="H767" s="309"/>
      <c r="I767" s="309"/>
      <c r="J767" s="309"/>
      <c r="K767" s="1020"/>
      <c r="L767" s="309"/>
      <c r="M767" s="309"/>
      <c r="N767" s="309"/>
      <c r="O767" s="309"/>
      <c r="P767" s="326"/>
      <c r="Q767" s="309"/>
      <c r="R767" s="309"/>
      <c r="S767" s="309"/>
      <c r="T767" s="309"/>
      <c r="U767" s="309"/>
      <c r="V767" s="309"/>
      <c r="W767" s="309"/>
      <c r="X767" s="309"/>
      <c r="Y767" s="309"/>
      <c r="Z767" s="309"/>
    </row>
    <row r="768" spans="1:26" ht="12.75" customHeight="1">
      <c r="A768" s="309"/>
      <c r="B768" s="309"/>
      <c r="C768" s="309"/>
      <c r="D768" s="309"/>
      <c r="E768" s="309"/>
      <c r="F768" s="309"/>
      <c r="G768" s="309"/>
      <c r="H768" s="309"/>
      <c r="I768" s="309"/>
      <c r="J768" s="309"/>
      <c r="K768" s="1020"/>
      <c r="L768" s="309"/>
      <c r="M768" s="309"/>
      <c r="N768" s="309"/>
      <c r="O768" s="309"/>
      <c r="P768" s="326"/>
      <c r="Q768" s="309"/>
      <c r="R768" s="309"/>
      <c r="S768" s="309"/>
      <c r="T768" s="309"/>
      <c r="U768" s="309"/>
      <c r="V768" s="309"/>
      <c r="W768" s="309"/>
      <c r="X768" s="309"/>
      <c r="Y768" s="309"/>
      <c r="Z768" s="309"/>
    </row>
    <row r="769" spans="1:26" ht="12.75" customHeight="1">
      <c r="A769" s="309"/>
      <c r="B769" s="309"/>
      <c r="C769" s="309"/>
      <c r="D769" s="309"/>
      <c r="E769" s="309"/>
      <c r="F769" s="309"/>
      <c r="G769" s="309"/>
      <c r="H769" s="309"/>
      <c r="I769" s="309"/>
      <c r="J769" s="309"/>
      <c r="K769" s="1020"/>
      <c r="L769" s="309"/>
      <c r="M769" s="309"/>
      <c r="N769" s="309"/>
      <c r="O769" s="309"/>
      <c r="P769" s="326"/>
      <c r="Q769" s="309"/>
      <c r="R769" s="309"/>
      <c r="S769" s="309"/>
      <c r="T769" s="309"/>
      <c r="U769" s="309"/>
      <c r="V769" s="309"/>
      <c r="W769" s="309"/>
      <c r="X769" s="309"/>
      <c r="Y769" s="309"/>
      <c r="Z769" s="309"/>
    </row>
    <row r="770" spans="1:26" ht="12.75" customHeight="1">
      <c r="A770" s="309"/>
      <c r="B770" s="309"/>
      <c r="C770" s="309"/>
      <c r="D770" s="309"/>
      <c r="E770" s="309"/>
      <c r="F770" s="309"/>
      <c r="G770" s="309"/>
      <c r="H770" s="309"/>
      <c r="I770" s="309"/>
      <c r="J770" s="309"/>
      <c r="K770" s="1020"/>
      <c r="L770" s="309"/>
      <c r="M770" s="309"/>
      <c r="N770" s="309"/>
      <c r="O770" s="309"/>
      <c r="P770" s="326"/>
      <c r="Q770" s="309"/>
      <c r="R770" s="309"/>
      <c r="S770" s="309"/>
      <c r="T770" s="309"/>
      <c r="U770" s="309"/>
      <c r="V770" s="309"/>
      <c r="W770" s="309"/>
      <c r="X770" s="309"/>
      <c r="Y770" s="309"/>
      <c r="Z770" s="309"/>
    </row>
    <row r="771" spans="1:26" ht="12.75" customHeight="1">
      <c r="A771" s="309"/>
      <c r="B771" s="309"/>
      <c r="C771" s="309"/>
      <c r="D771" s="309"/>
      <c r="E771" s="309"/>
      <c r="F771" s="309"/>
      <c r="G771" s="309"/>
      <c r="H771" s="309"/>
      <c r="I771" s="309"/>
      <c r="J771" s="309"/>
      <c r="K771" s="1020"/>
      <c r="L771" s="309"/>
      <c r="M771" s="309"/>
      <c r="N771" s="309"/>
      <c r="O771" s="309"/>
      <c r="P771" s="326"/>
      <c r="Q771" s="309"/>
      <c r="R771" s="309"/>
      <c r="S771" s="309"/>
      <c r="T771" s="309"/>
      <c r="U771" s="309"/>
      <c r="V771" s="309"/>
      <c r="W771" s="309"/>
      <c r="X771" s="309"/>
      <c r="Y771" s="309"/>
      <c r="Z771" s="309"/>
    </row>
    <row r="772" spans="1:26" ht="12.75" customHeight="1">
      <c r="A772" s="309"/>
      <c r="B772" s="309"/>
      <c r="C772" s="309"/>
      <c r="D772" s="309"/>
      <c r="E772" s="309"/>
      <c r="F772" s="309"/>
      <c r="G772" s="309"/>
      <c r="H772" s="309"/>
      <c r="I772" s="309"/>
      <c r="J772" s="309"/>
      <c r="K772" s="1020"/>
      <c r="L772" s="309"/>
      <c r="M772" s="309"/>
      <c r="N772" s="309"/>
      <c r="O772" s="309"/>
      <c r="P772" s="326"/>
      <c r="Q772" s="309"/>
      <c r="R772" s="309"/>
      <c r="S772" s="309"/>
      <c r="T772" s="309"/>
      <c r="U772" s="309"/>
      <c r="V772" s="309"/>
      <c r="W772" s="309"/>
      <c r="X772" s="309"/>
      <c r="Y772" s="309"/>
      <c r="Z772" s="309"/>
    </row>
    <row r="773" spans="1:26" ht="12.75" customHeight="1">
      <c r="A773" s="309"/>
      <c r="B773" s="309"/>
      <c r="C773" s="309"/>
      <c r="D773" s="309"/>
      <c r="E773" s="309"/>
      <c r="F773" s="309"/>
      <c r="G773" s="309"/>
      <c r="H773" s="309"/>
      <c r="I773" s="309"/>
      <c r="J773" s="309"/>
      <c r="K773" s="1020"/>
      <c r="L773" s="309"/>
      <c r="M773" s="309"/>
      <c r="N773" s="309"/>
      <c r="O773" s="309"/>
      <c r="P773" s="326"/>
      <c r="Q773" s="309"/>
      <c r="R773" s="309"/>
      <c r="S773" s="309"/>
      <c r="T773" s="309"/>
      <c r="U773" s="309"/>
      <c r="V773" s="309"/>
      <c r="W773" s="309"/>
      <c r="X773" s="309"/>
      <c r="Y773" s="309"/>
      <c r="Z773" s="309"/>
    </row>
    <row r="774" spans="1:26" ht="12.75" customHeight="1">
      <c r="A774" s="309"/>
      <c r="B774" s="309"/>
      <c r="C774" s="309"/>
      <c r="D774" s="309"/>
      <c r="E774" s="309"/>
      <c r="F774" s="309"/>
      <c r="G774" s="309"/>
      <c r="H774" s="309"/>
      <c r="I774" s="309"/>
      <c r="J774" s="309"/>
      <c r="K774" s="1020"/>
      <c r="L774" s="309"/>
      <c r="M774" s="309"/>
      <c r="N774" s="309"/>
      <c r="O774" s="309"/>
      <c r="P774" s="326"/>
      <c r="Q774" s="309"/>
      <c r="R774" s="309"/>
      <c r="S774" s="309"/>
      <c r="T774" s="309"/>
      <c r="U774" s="309"/>
      <c r="V774" s="309"/>
      <c r="W774" s="309"/>
      <c r="X774" s="309"/>
      <c r="Y774" s="309"/>
      <c r="Z774" s="309"/>
    </row>
    <row r="775" spans="1:26" ht="12.75" customHeight="1">
      <c r="A775" s="309"/>
      <c r="B775" s="309"/>
      <c r="C775" s="309"/>
      <c r="D775" s="309"/>
      <c r="E775" s="309"/>
      <c r="F775" s="309"/>
      <c r="G775" s="309"/>
      <c r="H775" s="309"/>
      <c r="I775" s="309"/>
      <c r="J775" s="309"/>
      <c r="K775" s="1020"/>
      <c r="L775" s="309"/>
      <c r="M775" s="309"/>
      <c r="N775" s="309"/>
      <c r="O775" s="309"/>
      <c r="P775" s="326"/>
      <c r="Q775" s="309"/>
      <c r="R775" s="309"/>
      <c r="S775" s="309"/>
      <c r="T775" s="309"/>
      <c r="U775" s="309"/>
      <c r="V775" s="309"/>
      <c r="W775" s="309"/>
      <c r="X775" s="309"/>
      <c r="Y775" s="309"/>
      <c r="Z775" s="309"/>
    </row>
    <row r="776" spans="1:26" ht="12.75" customHeight="1">
      <c r="A776" s="309"/>
      <c r="B776" s="309"/>
      <c r="C776" s="309"/>
      <c r="D776" s="309"/>
      <c r="E776" s="309"/>
      <c r="F776" s="309"/>
      <c r="G776" s="309"/>
      <c r="H776" s="309"/>
      <c r="I776" s="309"/>
      <c r="J776" s="309"/>
      <c r="K776" s="1020"/>
      <c r="L776" s="309"/>
      <c r="M776" s="309"/>
      <c r="N776" s="309"/>
      <c r="O776" s="309"/>
      <c r="P776" s="326"/>
      <c r="Q776" s="309"/>
      <c r="R776" s="309"/>
      <c r="S776" s="309"/>
      <c r="T776" s="309"/>
      <c r="U776" s="309"/>
      <c r="V776" s="309"/>
      <c r="W776" s="309"/>
      <c r="X776" s="309"/>
      <c r="Y776" s="309"/>
      <c r="Z776" s="309"/>
    </row>
    <row r="777" spans="1:26" ht="12.75" customHeight="1">
      <c r="A777" s="309"/>
      <c r="B777" s="309"/>
      <c r="C777" s="309"/>
      <c r="D777" s="309"/>
      <c r="E777" s="309"/>
      <c r="F777" s="309"/>
      <c r="G777" s="309"/>
      <c r="H777" s="309"/>
      <c r="I777" s="309"/>
      <c r="J777" s="309"/>
      <c r="K777" s="1020"/>
      <c r="L777" s="309"/>
      <c r="M777" s="309"/>
      <c r="N777" s="309"/>
      <c r="O777" s="309"/>
      <c r="P777" s="326"/>
      <c r="Q777" s="309"/>
      <c r="R777" s="309"/>
      <c r="S777" s="309"/>
      <c r="T777" s="309"/>
      <c r="U777" s="309"/>
      <c r="V777" s="309"/>
      <c r="W777" s="309"/>
      <c r="X777" s="309"/>
      <c r="Y777" s="309"/>
      <c r="Z777" s="309"/>
    </row>
    <row r="778" spans="1:26" ht="12.75" customHeight="1">
      <c r="A778" s="309"/>
      <c r="B778" s="309"/>
      <c r="C778" s="309"/>
      <c r="D778" s="309"/>
      <c r="E778" s="309"/>
      <c r="F778" s="309"/>
      <c r="G778" s="309"/>
      <c r="H778" s="309"/>
      <c r="I778" s="309"/>
      <c r="J778" s="309"/>
      <c r="K778" s="1020"/>
      <c r="L778" s="309"/>
      <c r="M778" s="309"/>
      <c r="N778" s="309"/>
      <c r="O778" s="309"/>
      <c r="P778" s="326"/>
      <c r="Q778" s="309"/>
      <c r="R778" s="309"/>
      <c r="S778" s="309"/>
      <c r="T778" s="309"/>
      <c r="U778" s="309"/>
      <c r="V778" s="309"/>
      <c r="W778" s="309"/>
      <c r="X778" s="309"/>
      <c r="Y778" s="309"/>
      <c r="Z778" s="309"/>
    </row>
    <row r="779" spans="1:26" ht="12.75" customHeight="1">
      <c r="A779" s="309"/>
      <c r="B779" s="309"/>
      <c r="C779" s="309"/>
      <c r="D779" s="309"/>
      <c r="E779" s="309"/>
      <c r="F779" s="309"/>
      <c r="G779" s="309"/>
      <c r="H779" s="309"/>
      <c r="I779" s="309"/>
      <c r="J779" s="309"/>
      <c r="K779" s="1020"/>
      <c r="L779" s="309"/>
      <c r="M779" s="309"/>
      <c r="N779" s="309"/>
      <c r="O779" s="309"/>
      <c r="P779" s="326"/>
      <c r="Q779" s="309"/>
      <c r="R779" s="309"/>
      <c r="S779" s="309"/>
      <c r="T779" s="309"/>
      <c r="U779" s="309"/>
      <c r="V779" s="309"/>
      <c r="W779" s="309"/>
      <c r="X779" s="309"/>
      <c r="Y779" s="309"/>
      <c r="Z779" s="309"/>
    </row>
    <row r="780" spans="1:26" ht="12.75" customHeight="1">
      <c r="A780" s="309"/>
      <c r="B780" s="309"/>
      <c r="C780" s="309"/>
      <c r="D780" s="309"/>
      <c r="E780" s="309"/>
      <c r="F780" s="309"/>
      <c r="G780" s="309"/>
      <c r="H780" s="309"/>
      <c r="I780" s="309"/>
      <c r="J780" s="309"/>
      <c r="K780" s="1020"/>
      <c r="L780" s="309"/>
      <c r="M780" s="309"/>
      <c r="N780" s="309"/>
      <c r="O780" s="309"/>
      <c r="P780" s="326"/>
      <c r="Q780" s="309"/>
      <c r="R780" s="309"/>
      <c r="S780" s="309"/>
      <c r="T780" s="309"/>
      <c r="U780" s="309"/>
      <c r="V780" s="309"/>
      <c r="W780" s="309"/>
      <c r="X780" s="309"/>
      <c r="Y780" s="309"/>
      <c r="Z780" s="309"/>
    </row>
    <row r="781" spans="1:26" ht="12.75" customHeight="1">
      <c r="A781" s="309"/>
      <c r="B781" s="309"/>
      <c r="C781" s="309"/>
      <c r="D781" s="309"/>
      <c r="E781" s="309"/>
      <c r="F781" s="309"/>
      <c r="G781" s="309"/>
      <c r="H781" s="309"/>
      <c r="I781" s="309"/>
      <c r="J781" s="309"/>
      <c r="K781" s="1020"/>
      <c r="L781" s="309"/>
      <c r="M781" s="309"/>
      <c r="N781" s="309"/>
      <c r="O781" s="309"/>
      <c r="P781" s="326"/>
      <c r="Q781" s="309"/>
      <c r="R781" s="309"/>
      <c r="S781" s="309"/>
      <c r="T781" s="309"/>
      <c r="U781" s="309"/>
      <c r="V781" s="309"/>
      <c r="W781" s="309"/>
      <c r="X781" s="309"/>
      <c r="Y781" s="309"/>
      <c r="Z781" s="309"/>
    </row>
    <row r="782" spans="1:26" ht="12.75" customHeight="1">
      <c r="A782" s="309"/>
      <c r="B782" s="309"/>
      <c r="C782" s="309"/>
      <c r="D782" s="309"/>
      <c r="E782" s="309"/>
      <c r="F782" s="309"/>
      <c r="G782" s="309"/>
      <c r="H782" s="309"/>
      <c r="I782" s="309"/>
      <c r="J782" s="309"/>
      <c r="K782" s="1020"/>
      <c r="L782" s="309"/>
      <c r="M782" s="309"/>
      <c r="N782" s="309"/>
      <c r="O782" s="309"/>
      <c r="P782" s="326"/>
      <c r="Q782" s="309"/>
      <c r="R782" s="309"/>
      <c r="S782" s="309"/>
      <c r="T782" s="309"/>
      <c r="U782" s="309"/>
      <c r="V782" s="309"/>
      <c r="W782" s="309"/>
      <c r="X782" s="309"/>
      <c r="Y782" s="309"/>
      <c r="Z782" s="309"/>
    </row>
    <row r="783" spans="1:26" ht="12.75" customHeight="1">
      <c r="A783" s="309"/>
      <c r="B783" s="309"/>
      <c r="C783" s="309"/>
      <c r="D783" s="309"/>
      <c r="E783" s="309"/>
      <c r="F783" s="309"/>
      <c r="G783" s="309"/>
      <c r="H783" s="309"/>
      <c r="I783" s="309"/>
      <c r="J783" s="309"/>
      <c r="K783" s="1020"/>
      <c r="L783" s="309"/>
      <c r="M783" s="309"/>
      <c r="N783" s="309"/>
      <c r="O783" s="309"/>
      <c r="P783" s="326"/>
      <c r="Q783" s="309"/>
      <c r="R783" s="309"/>
      <c r="S783" s="309"/>
      <c r="T783" s="309"/>
      <c r="U783" s="309"/>
      <c r="V783" s="309"/>
      <c r="W783" s="309"/>
      <c r="X783" s="309"/>
      <c r="Y783" s="309"/>
      <c r="Z783" s="309"/>
    </row>
    <row r="784" spans="1:26" ht="12.75" customHeight="1">
      <c r="A784" s="309"/>
      <c r="B784" s="309"/>
      <c r="C784" s="309"/>
      <c r="D784" s="309"/>
      <c r="E784" s="309"/>
      <c r="F784" s="309"/>
      <c r="G784" s="309"/>
      <c r="H784" s="309"/>
      <c r="I784" s="309"/>
      <c r="J784" s="309"/>
      <c r="K784" s="1020"/>
      <c r="L784" s="309"/>
      <c r="M784" s="309"/>
      <c r="N784" s="309"/>
      <c r="O784" s="309"/>
      <c r="P784" s="326"/>
      <c r="Q784" s="309"/>
      <c r="R784" s="309"/>
      <c r="S784" s="309"/>
      <c r="T784" s="309"/>
      <c r="U784" s="309"/>
      <c r="V784" s="309"/>
      <c r="W784" s="309"/>
      <c r="X784" s="309"/>
      <c r="Y784" s="309"/>
      <c r="Z784" s="309"/>
    </row>
    <row r="785" spans="1:26" ht="12.75" customHeight="1">
      <c r="A785" s="309"/>
      <c r="B785" s="309"/>
      <c r="C785" s="309"/>
      <c r="D785" s="309"/>
      <c r="E785" s="309"/>
      <c r="F785" s="309"/>
      <c r="G785" s="309"/>
      <c r="H785" s="309"/>
      <c r="I785" s="309"/>
      <c r="J785" s="309"/>
      <c r="K785" s="1020"/>
      <c r="L785" s="309"/>
      <c r="M785" s="309"/>
      <c r="N785" s="309"/>
      <c r="O785" s="309"/>
      <c r="P785" s="326"/>
      <c r="Q785" s="309"/>
      <c r="R785" s="309"/>
      <c r="S785" s="309"/>
      <c r="T785" s="309"/>
      <c r="U785" s="309"/>
      <c r="V785" s="309"/>
      <c r="W785" s="309"/>
      <c r="X785" s="309"/>
      <c r="Y785" s="309"/>
      <c r="Z785" s="309"/>
    </row>
    <row r="786" spans="1:26" ht="12.75" customHeight="1">
      <c r="A786" s="309"/>
      <c r="B786" s="309"/>
      <c r="C786" s="309"/>
      <c r="D786" s="309"/>
      <c r="E786" s="309"/>
      <c r="F786" s="309"/>
      <c r="G786" s="309"/>
      <c r="H786" s="309"/>
      <c r="I786" s="309"/>
      <c r="J786" s="309"/>
      <c r="K786" s="1020"/>
      <c r="L786" s="309"/>
      <c r="M786" s="309"/>
      <c r="N786" s="309"/>
      <c r="O786" s="309"/>
      <c r="P786" s="326"/>
      <c r="Q786" s="309"/>
      <c r="R786" s="309"/>
      <c r="S786" s="309"/>
      <c r="T786" s="309"/>
      <c r="U786" s="309"/>
      <c r="V786" s="309"/>
      <c r="W786" s="309"/>
      <c r="X786" s="309"/>
      <c r="Y786" s="309"/>
      <c r="Z786" s="309"/>
    </row>
    <row r="787" spans="1:26" ht="12.75" customHeight="1">
      <c r="A787" s="309"/>
      <c r="B787" s="309"/>
      <c r="C787" s="309"/>
      <c r="D787" s="309"/>
      <c r="E787" s="309"/>
      <c r="F787" s="309"/>
      <c r="G787" s="309"/>
      <c r="H787" s="309"/>
      <c r="I787" s="309"/>
      <c r="J787" s="309"/>
      <c r="K787" s="1020"/>
      <c r="L787" s="309"/>
      <c r="M787" s="309"/>
      <c r="N787" s="309"/>
      <c r="O787" s="309"/>
      <c r="P787" s="326"/>
      <c r="Q787" s="309"/>
      <c r="R787" s="309"/>
      <c r="S787" s="309"/>
      <c r="T787" s="309"/>
      <c r="U787" s="309"/>
      <c r="V787" s="309"/>
      <c r="W787" s="309"/>
      <c r="X787" s="309"/>
      <c r="Y787" s="309"/>
      <c r="Z787" s="309"/>
    </row>
    <row r="788" spans="1:26" ht="12.75" customHeight="1">
      <c r="A788" s="309"/>
      <c r="B788" s="309"/>
      <c r="C788" s="309"/>
      <c r="D788" s="309"/>
      <c r="E788" s="309"/>
      <c r="F788" s="309"/>
      <c r="G788" s="309"/>
      <c r="H788" s="309"/>
      <c r="I788" s="309"/>
      <c r="J788" s="309"/>
      <c r="K788" s="1020"/>
      <c r="L788" s="309"/>
      <c r="M788" s="309"/>
      <c r="N788" s="309"/>
      <c r="O788" s="309"/>
      <c r="P788" s="326"/>
      <c r="Q788" s="309"/>
      <c r="R788" s="309"/>
      <c r="S788" s="309"/>
      <c r="T788" s="309"/>
      <c r="U788" s="309"/>
      <c r="V788" s="309"/>
      <c r="W788" s="309"/>
      <c r="X788" s="309"/>
      <c r="Y788" s="309"/>
      <c r="Z788" s="309"/>
    </row>
    <row r="789" spans="1:26" ht="12.75" customHeight="1">
      <c r="A789" s="309"/>
      <c r="B789" s="309"/>
      <c r="C789" s="309"/>
      <c r="D789" s="309"/>
      <c r="E789" s="309"/>
      <c r="F789" s="309"/>
      <c r="G789" s="309"/>
      <c r="H789" s="309"/>
      <c r="I789" s="309"/>
      <c r="J789" s="309"/>
      <c r="K789" s="1020"/>
      <c r="L789" s="309"/>
      <c r="M789" s="309"/>
      <c r="N789" s="309"/>
      <c r="O789" s="309"/>
      <c r="P789" s="326"/>
      <c r="Q789" s="309"/>
      <c r="R789" s="309"/>
      <c r="S789" s="309"/>
      <c r="T789" s="309"/>
      <c r="U789" s="309"/>
      <c r="V789" s="309"/>
      <c r="W789" s="309"/>
      <c r="X789" s="309"/>
      <c r="Y789" s="309"/>
      <c r="Z789" s="309"/>
    </row>
    <row r="790" spans="1:26" ht="12.75" customHeight="1">
      <c r="A790" s="309"/>
      <c r="B790" s="309"/>
      <c r="C790" s="309"/>
      <c r="D790" s="309"/>
      <c r="E790" s="309"/>
      <c r="F790" s="309"/>
      <c r="G790" s="309"/>
      <c r="H790" s="309"/>
      <c r="I790" s="309"/>
      <c r="J790" s="309"/>
      <c r="K790" s="1020"/>
      <c r="L790" s="309"/>
      <c r="M790" s="309"/>
      <c r="N790" s="309"/>
      <c r="O790" s="309"/>
      <c r="P790" s="326"/>
      <c r="Q790" s="309"/>
      <c r="R790" s="309"/>
      <c r="S790" s="309"/>
      <c r="T790" s="309"/>
      <c r="U790" s="309"/>
      <c r="V790" s="309"/>
      <c r="W790" s="309"/>
      <c r="X790" s="309"/>
      <c r="Y790" s="309"/>
      <c r="Z790" s="309"/>
    </row>
    <row r="791" spans="1:26" ht="12.75" customHeight="1">
      <c r="A791" s="309"/>
      <c r="B791" s="309"/>
      <c r="C791" s="309"/>
      <c r="D791" s="309"/>
      <c r="E791" s="309"/>
      <c r="F791" s="309"/>
      <c r="G791" s="309"/>
      <c r="H791" s="309"/>
      <c r="I791" s="309"/>
      <c r="J791" s="309"/>
      <c r="K791" s="1020"/>
      <c r="L791" s="309"/>
      <c r="M791" s="309"/>
      <c r="N791" s="309"/>
      <c r="O791" s="309"/>
      <c r="P791" s="326"/>
      <c r="Q791" s="309"/>
      <c r="R791" s="309"/>
      <c r="S791" s="309"/>
      <c r="T791" s="309"/>
      <c r="U791" s="309"/>
      <c r="V791" s="309"/>
      <c r="W791" s="309"/>
      <c r="X791" s="309"/>
      <c r="Y791" s="309"/>
      <c r="Z791" s="309"/>
    </row>
    <row r="792" spans="1:26" ht="12.75" customHeight="1">
      <c r="A792" s="309"/>
      <c r="B792" s="309"/>
      <c r="C792" s="309"/>
      <c r="D792" s="309"/>
      <c r="E792" s="309"/>
      <c r="F792" s="309"/>
      <c r="G792" s="309"/>
      <c r="H792" s="309"/>
      <c r="I792" s="309"/>
      <c r="J792" s="309"/>
      <c r="K792" s="1020"/>
      <c r="L792" s="309"/>
      <c r="M792" s="309"/>
      <c r="N792" s="309"/>
      <c r="O792" s="309"/>
      <c r="P792" s="326"/>
      <c r="Q792" s="309"/>
      <c r="R792" s="309"/>
      <c r="S792" s="309"/>
      <c r="T792" s="309"/>
      <c r="U792" s="309"/>
      <c r="V792" s="309"/>
      <c r="W792" s="309"/>
      <c r="X792" s="309"/>
      <c r="Y792" s="309"/>
      <c r="Z792" s="309"/>
    </row>
    <row r="793" spans="1:26" ht="12.75" customHeight="1">
      <c r="A793" s="309"/>
      <c r="B793" s="309"/>
      <c r="C793" s="309"/>
      <c r="D793" s="309"/>
      <c r="E793" s="309"/>
      <c r="F793" s="309"/>
      <c r="G793" s="309"/>
      <c r="H793" s="309"/>
      <c r="I793" s="309"/>
      <c r="J793" s="309"/>
      <c r="K793" s="1020"/>
      <c r="L793" s="309"/>
      <c r="M793" s="309"/>
      <c r="N793" s="309"/>
      <c r="O793" s="309"/>
      <c r="P793" s="326"/>
      <c r="Q793" s="309"/>
      <c r="R793" s="309"/>
      <c r="S793" s="309"/>
      <c r="T793" s="309"/>
      <c r="U793" s="309"/>
      <c r="V793" s="309"/>
      <c r="W793" s="309"/>
      <c r="X793" s="309"/>
      <c r="Y793" s="309"/>
      <c r="Z793" s="309"/>
    </row>
    <row r="794" spans="1:26" ht="12.75" customHeight="1">
      <c r="A794" s="309"/>
      <c r="B794" s="309"/>
      <c r="C794" s="309"/>
      <c r="D794" s="309"/>
      <c r="E794" s="309"/>
      <c r="F794" s="309"/>
      <c r="G794" s="309"/>
      <c r="H794" s="309"/>
      <c r="I794" s="309"/>
      <c r="J794" s="309"/>
      <c r="K794" s="1020"/>
      <c r="L794" s="309"/>
      <c r="M794" s="309"/>
      <c r="N794" s="309"/>
      <c r="O794" s="309"/>
      <c r="P794" s="326"/>
      <c r="Q794" s="309"/>
      <c r="R794" s="309"/>
      <c r="S794" s="309"/>
      <c r="T794" s="309"/>
      <c r="U794" s="309"/>
      <c r="V794" s="309"/>
      <c r="W794" s="309"/>
      <c r="X794" s="309"/>
      <c r="Y794" s="309"/>
      <c r="Z794" s="309"/>
    </row>
    <row r="795" spans="1:26" ht="12.75" customHeight="1">
      <c r="A795" s="309"/>
      <c r="B795" s="309"/>
      <c r="C795" s="309"/>
      <c r="D795" s="309"/>
      <c r="E795" s="309"/>
      <c r="F795" s="309"/>
      <c r="G795" s="309"/>
      <c r="H795" s="309"/>
      <c r="I795" s="309"/>
      <c r="J795" s="309"/>
      <c r="K795" s="1020"/>
      <c r="L795" s="309"/>
      <c r="M795" s="309"/>
      <c r="N795" s="309"/>
      <c r="O795" s="309"/>
      <c r="P795" s="326"/>
      <c r="Q795" s="309"/>
      <c r="R795" s="309"/>
      <c r="S795" s="309"/>
      <c r="T795" s="309"/>
      <c r="U795" s="309"/>
      <c r="V795" s="309"/>
      <c r="W795" s="309"/>
      <c r="X795" s="309"/>
      <c r="Y795" s="309"/>
      <c r="Z795" s="309"/>
    </row>
    <row r="796" spans="1:26" ht="12.75" customHeight="1">
      <c r="A796" s="309"/>
      <c r="B796" s="309"/>
      <c r="C796" s="309"/>
      <c r="D796" s="309"/>
      <c r="E796" s="309"/>
      <c r="F796" s="309"/>
      <c r="G796" s="309"/>
      <c r="H796" s="309"/>
      <c r="I796" s="309"/>
      <c r="J796" s="309"/>
      <c r="K796" s="1020"/>
      <c r="L796" s="309"/>
      <c r="M796" s="309"/>
      <c r="N796" s="309"/>
      <c r="O796" s="309"/>
      <c r="P796" s="326"/>
      <c r="Q796" s="309"/>
      <c r="R796" s="309"/>
      <c r="S796" s="309"/>
      <c r="T796" s="309"/>
      <c r="U796" s="309"/>
      <c r="V796" s="309"/>
      <c r="W796" s="309"/>
      <c r="X796" s="309"/>
      <c r="Y796" s="309"/>
      <c r="Z796" s="309"/>
    </row>
    <row r="797" spans="1:26" ht="12.75" customHeight="1">
      <c r="A797" s="309"/>
      <c r="B797" s="309"/>
      <c r="C797" s="309"/>
      <c r="D797" s="309"/>
      <c r="E797" s="309"/>
      <c r="F797" s="309"/>
      <c r="G797" s="309"/>
      <c r="H797" s="309"/>
      <c r="I797" s="309"/>
      <c r="J797" s="309"/>
      <c r="K797" s="1020"/>
      <c r="L797" s="309"/>
      <c r="M797" s="309"/>
      <c r="N797" s="309"/>
      <c r="O797" s="309"/>
      <c r="P797" s="326"/>
      <c r="Q797" s="309"/>
      <c r="R797" s="309"/>
      <c r="S797" s="309"/>
      <c r="T797" s="309"/>
      <c r="U797" s="309"/>
      <c r="V797" s="309"/>
      <c r="W797" s="309"/>
      <c r="X797" s="309"/>
      <c r="Y797" s="309"/>
      <c r="Z797" s="309"/>
    </row>
    <row r="798" spans="1:26" ht="12.75" customHeight="1">
      <c r="A798" s="309"/>
      <c r="B798" s="309"/>
      <c r="C798" s="309"/>
      <c r="D798" s="309"/>
      <c r="E798" s="309"/>
      <c r="F798" s="309"/>
      <c r="G798" s="309"/>
      <c r="H798" s="309"/>
      <c r="I798" s="309"/>
      <c r="J798" s="309"/>
      <c r="K798" s="1020"/>
      <c r="L798" s="309"/>
      <c r="M798" s="309"/>
      <c r="N798" s="309"/>
      <c r="O798" s="309"/>
      <c r="P798" s="326"/>
      <c r="Q798" s="309"/>
      <c r="R798" s="309"/>
      <c r="S798" s="309"/>
      <c r="T798" s="309"/>
      <c r="U798" s="309"/>
      <c r="V798" s="309"/>
      <c r="W798" s="309"/>
      <c r="X798" s="309"/>
      <c r="Y798" s="309"/>
      <c r="Z798" s="309"/>
    </row>
    <row r="799" spans="1:26" ht="12.75" customHeight="1">
      <c r="A799" s="309"/>
      <c r="B799" s="309"/>
      <c r="C799" s="309"/>
      <c r="D799" s="309"/>
      <c r="E799" s="309"/>
      <c r="F799" s="309"/>
      <c r="G799" s="309"/>
      <c r="H799" s="309"/>
      <c r="I799" s="309"/>
      <c r="J799" s="309"/>
      <c r="K799" s="1020"/>
      <c r="L799" s="309"/>
      <c r="M799" s="309"/>
      <c r="N799" s="309"/>
      <c r="O799" s="309"/>
      <c r="P799" s="326"/>
      <c r="Q799" s="309"/>
      <c r="R799" s="309"/>
      <c r="S799" s="309"/>
      <c r="T799" s="309"/>
      <c r="U799" s="309"/>
      <c r="V799" s="309"/>
      <c r="W799" s="309"/>
      <c r="X799" s="309"/>
      <c r="Y799" s="309"/>
      <c r="Z799" s="309"/>
    </row>
    <row r="800" spans="1:26" ht="12.75" customHeight="1">
      <c r="A800" s="309"/>
      <c r="B800" s="309"/>
      <c r="C800" s="309"/>
      <c r="D800" s="309"/>
      <c r="E800" s="309"/>
      <c r="F800" s="309"/>
      <c r="G800" s="309"/>
      <c r="H800" s="309"/>
      <c r="I800" s="309"/>
      <c r="J800" s="309"/>
      <c r="K800" s="1020"/>
      <c r="L800" s="309"/>
      <c r="M800" s="309"/>
      <c r="N800" s="309"/>
      <c r="O800" s="309"/>
      <c r="P800" s="326"/>
      <c r="Q800" s="309"/>
      <c r="R800" s="309"/>
      <c r="S800" s="309"/>
      <c r="T800" s="309"/>
      <c r="U800" s="309"/>
      <c r="V800" s="309"/>
      <c r="W800" s="309"/>
      <c r="X800" s="309"/>
      <c r="Y800" s="309"/>
      <c r="Z800" s="309"/>
    </row>
    <row r="801" spans="1:26" ht="12.75" customHeight="1">
      <c r="A801" s="309"/>
      <c r="B801" s="309"/>
      <c r="C801" s="309"/>
      <c r="D801" s="309"/>
      <c r="E801" s="309"/>
      <c r="F801" s="309"/>
      <c r="G801" s="309"/>
      <c r="H801" s="309"/>
      <c r="I801" s="309"/>
      <c r="J801" s="309"/>
      <c r="K801" s="1020"/>
      <c r="L801" s="309"/>
      <c r="M801" s="309"/>
      <c r="N801" s="309"/>
      <c r="O801" s="309"/>
      <c r="P801" s="326"/>
      <c r="Q801" s="309"/>
      <c r="R801" s="309"/>
      <c r="S801" s="309"/>
      <c r="T801" s="309"/>
      <c r="U801" s="309"/>
      <c r="V801" s="309"/>
      <c r="W801" s="309"/>
      <c r="X801" s="309"/>
      <c r="Y801" s="309"/>
      <c r="Z801" s="309"/>
    </row>
    <row r="802" spans="1:26" ht="12.75" customHeight="1">
      <c r="A802" s="309"/>
      <c r="B802" s="309"/>
      <c r="C802" s="309"/>
      <c r="D802" s="309"/>
      <c r="E802" s="309"/>
      <c r="F802" s="309"/>
      <c r="G802" s="309"/>
      <c r="H802" s="309"/>
      <c r="I802" s="309"/>
      <c r="J802" s="309"/>
      <c r="K802" s="1020"/>
      <c r="L802" s="309"/>
      <c r="M802" s="309"/>
      <c r="N802" s="309"/>
      <c r="O802" s="309"/>
      <c r="P802" s="326"/>
      <c r="Q802" s="309"/>
      <c r="R802" s="309"/>
      <c r="S802" s="309"/>
      <c r="T802" s="309"/>
      <c r="U802" s="309"/>
      <c r="V802" s="309"/>
      <c r="W802" s="309"/>
      <c r="X802" s="309"/>
      <c r="Y802" s="309"/>
      <c r="Z802" s="309"/>
    </row>
    <row r="803" spans="1:26" ht="12.75" customHeight="1">
      <c r="A803" s="309"/>
      <c r="B803" s="309"/>
      <c r="C803" s="309"/>
      <c r="D803" s="309"/>
      <c r="E803" s="309"/>
      <c r="F803" s="309"/>
      <c r="G803" s="309"/>
      <c r="H803" s="309"/>
      <c r="I803" s="309"/>
      <c r="J803" s="309"/>
      <c r="K803" s="1020"/>
      <c r="L803" s="309"/>
      <c r="M803" s="309"/>
      <c r="N803" s="309"/>
      <c r="O803" s="309"/>
      <c r="P803" s="326"/>
      <c r="Q803" s="309"/>
      <c r="R803" s="309"/>
      <c r="S803" s="309"/>
      <c r="T803" s="309"/>
      <c r="U803" s="309"/>
      <c r="V803" s="309"/>
      <c r="W803" s="309"/>
      <c r="X803" s="309"/>
      <c r="Y803" s="309"/>
      <c r="Z803" s="309"/>
    </row>
    <row r="804" spans="1:26" ht="12.75" customHeight="1">
      <c r="A804" s="309"/>
      <c r="B804" s="309"/>
      <c r="C804" s="309"/>
      <c r="D804" s="309"/>
      <c r="E804" s="309"/>
      <c r="F804" s="309"/>
      <c r="G804" s="309"/>
      <c r="H804" s="309"/>
      <c r="I804" s="309"/>
      <c r="J804" s="309"/>
      <c r="K804" s="1020"/>
      <c r="L804" s="309"/>
      <c r="M804" s="309"/>
      <c r="N804" s="309"/>
      <c r="O804" s="309"/>
      <c r="P804" s="326"/>
      <c r="Q804" s="309"/>
      <c r="R804" s="309"/>
      <c r="S804" s="309"/>
      <c r="T804" s="309"/>
      <c r="U804" s="309"/>
      <c r="V804" s="309"/>
      <c r="W804" s="309"/>
      <c r="X804" s="309"/>
      <c r="Y804" s="309"/>
      <c r="Z804" s="309"/>
    </row>
    <row r="805" spans="1:26" ht="12.75" customHeight="1">
      <c r="A805" s="309"/>
      <c r="B805" s="309"/>
      <c r="C805" s="309"/>
      <c r="D805" s="309"/>
      <c r="E805" s="309"/>
      <c r="F805" s="309"/>
      <c r="G805" s="309"/>
      <c r="H805" s="309"/>
      <c r="I805" s="309"/>
      <c r="J805" s="309"/>
      <c r="K805" s="1020"/>
      <c r="L805" s="309"/>
      <c r="M805" s="309"/>
      <c r="N805" s="309"/>
      <c r="O805" s="309"/>
      <c r="P805" s="326"/>
      <c r="Q805" s="309"/>
      <c r="R805" s="309"/>
      <c r="S805" s="309"/>
      <c r="T805" s="309"/>
      <c r="U805" s="309"/>
      <c r="V805" s="309"/>
      <c r="W805" s="309"/>
      <c r="X805" s="309"/>
      <c r="Y805" s="309"/>
      <c r="Z805" s="309"/>
    </row>
    <row r="806" spans="1:26" ht="12.75" customHeight="1">
      <c r="A806" s="309"/>
      <c r="B806" s="309"/>
      <c r="C806" s="309"/>
      <c r="D806" s="309"/>
      <c r="E806" s="309"/>
      <c r="F806" s="309"/>
      <c r="G806" s="309"/>
      <c r="H806" s="309"/>
      <c r="I806" s="309"/>
      <c r="J806" s="309"/>
      <c r="K806" s="1020"/>
      <c r="L806" s="309"/>
      <c r="M806" s="309"/>
      <c r="N806" s="309"/>
      <c r="O806" s="309"/>
      <c r="P806" s="326"/>
      <c r="Q806" s="309"/>
      <c r="R806" s="309"/>
      <c r="S806" s="309"/>
      <c r="T806" s="309"/>
      <c r="U806" s="309"/>
      <c r="V806" s="309"/>
      <c r="W806" s="309"/>
      <c r="X806" s="309"/>
      <c r="Y806" s="309"/>
      <c r="Z806" s="309"/>
    </row>
    <row r="807" spans="1:26" ht="12.75" customHeight="1">
      <c r="A807" s="309"/>
      <c r="B807" s="309"/>
      <c r="C807" s="309"/>
      <c r="D807" s="309"/>
      <c r="E807" s="309"/>
      <c r="F807" s="309"/>
      <c r="G807" s="309"/>
      <c r="H807" s="309"/>
      <c r="I807" s="309"/>
      <c r="J807" s="309"/>
      <c r="K807" s="1020"/>
      <c r="L807" s="309"/>
      <c r="M807" s="309"/>
      <c r="N807" s="309"/>
      <c r="O807" s="309"/>
      <c r="P807" s="326"/>
      <c r="Q807" s="309"/>
      <c r="R807" s="309"/>
      <c r="S807" s="309"/>
      <c r="T807" s="309"/>
      <c r="U807" s="309"/>
      <c r="V807" s="309"/>
      <c r="W807" s="309"/>
      <c r="X807" s="309"/>
      <c r="Y807" s="309"/>
      <c r="Z807" s="309"/>
    </row>
    <row r="808" spans="1:26" ht="12.75" customHeight="1">
      <c r="A808" s="309"/>
      <c r="B808" s="309"/>
      <c r="C808" s="309"/>
      <c r="D808" s="309"/>
      <c r="E808" s="309"/>
      <c r="F808" s="309"/>
      <c r="G808" s="309"/>
      <c r="H808" s="309"/>
      <c r="I808" s="309"/>
      <c r="J808" s="309"/>
      <c r="K808" s="1020"/>
      <c r="L808" s="309"/>
      <c r="M808" s="309"/>
      <c r="N808" s="309"/>
      <c r="O808" s="309"/>
      <c r="P808" s="326"/>
      <c r="Q808" s="309"/>
      <c r="R808" s="309"/>
      <c r="S808" s="309"/>
      <c r="T808" s="309"/>
      <c r="U808" s="309"/>
      <c r="V808" s="309"/>
      <c r="W808" s="309"/>
      <c r="X808" s="309"/>
      <c r="Y808" s="309"/>
      <c r="Z808" s="309"/>
    </row>
    <row r="809" spans="1:26" ht="12.75" customHeight="1">
      <c r="A809" s="309"/>
      <c r="B809" s="309"/>
      <c r="C809" s="309"/>
      <c r="D809" s="309"/>
      <c r="E809" s="309"/>
      <c r="F809" s="309"/>
      <c r="G809" s="309"/>
      <c r="H809" s="309"/>
      <c r="I809" s="309"/>
      <c r="J809" s="309"/>
      <c r="K809" s="1020"/>
      <c r="L809" s="309"/>
      <c r="M809" s="309"/>
      <c r="N809" s="309"/>
      <c r="O809" s="309"/>
      <c r="P809" s="326"/>
      <c r="Q809" s="309"/>
      <c r="R809" s="309"/>
      <c r="S809" s="309"/>
      <c r="T809" s="309"/>
      <c r="U809" s="309"/>
      <c r="V809" s="309"/>
      <c r="W809" s="309"/>
      <c r="X809" s="309"/>
      <c r="Y809" s="309"/>
      <c r="Z809" s="309"/>
    </row>
    <row r="810" spans="1:26" ht="12.75" customHeight="1">
      <c r="A810" s="309"/>
      <c r="B810" s="309"/>
      <c r="C810" s="309"/>
      <c r="D810" s="309"/>
      <c r="E810" s="309"/>
      <c r="F810" s="309"/>
      <c r="G810" s="309"/>
      <c r="H810" s="309"/>
      <c r="I810" s="309"/>
      <c r="J810" s="309"/>
      <c r="K810" s="1020"/>
      <c r="L810" s="309"/>
      <c r="M810" s="309"/>
      <c r="N810" s="309"/>
      <c r="O810" s="309"/>
      <c r="P810" s="326"/>
      <c r="Q810" s="309"/>
      <c r="R810" s="309"/>
      <c r="S810" s="309"/>
      <c r="T810" s="309"/>
      <c r="U810" s="309"/>
      <c r="V810" s="309"/>
      <c r="W810" s="309"/>
      <c r="X810" s="309"/>
      <c r="Y810" s="309"/>
      <c r="Z810" s="309"/>
    </row>
    <row r="811" spans="1:26" ht="12.75" customHeight="1">
      <c r="A811" s="309"/>
      <c r="B811" s="309"/>
      <c r="C811" s="309"/>
      <c r="D811" s="309"/>
      <c r="E811" s="309"/>
      <c r="F811" s="309"/>
      <c r="G811" s="309"/>
      <c r="H811" s="309"/>
      <c r="I811" s="309"/>
      <c r="J811" s="309"/>
      <c r="K811" s="1020"/>
      <c r="L811" s="309"/>
      <c r="M811" s="309"/>
      <c r="N811" s="309"/>
      <c r="O811" s="309"/>
      <c r="P811" s="326"/>
      <c r="Q811" s="309"/>
      <c r="R811" s="309"/>
      <c r="S811" s="309"/>
      <c r="T811" s="309"/>
      <c r="U811" s="309"/>
      <c r="V811" s="309"/>
      <c r="W811" s="309"/>
      <c r="X811" s="309"/>
      <c r="Y811" s="309"/>
      <c r="Z811" s="309"/>
    </row>
    <row r="812" spans="1:26" ht="12.75" customHeight="1">
      <c r="A812" s="309"/>
      <c r="B812" s="309"/>
      <c r="C812" s="309"/>
      <c r="D812" s="309"/>
      <c r="E812" s="309"/>
      <c r="F812" s="309"/>
      <c r="G812" s="309"/>
      <c r="H812" s="309"/>
      <c r="I812" s="309"/>
      <c r="J812" s="309"/>
      <c r="K812" s="1020"/>
      <c r="L812" s="309"/>
      <c r="M812" s="309"/>
      <c r="N812" s="309"/>
      <c r="O812" s="309"/>
      <c r="P812" s="326"/>
      <c r="Q812" s="309"/>
      <c r="R812" s="309"/>
      <c r="S812" s="309"/>
      <c r="T812" s="309"/>
      <c r="U812" s="309"/>
      <c r="V812" s="309"/>
      <c r="W812" s="309"/>
      <c r="X812" s="309"/>
      <c r="Y812" s="309"/>
      <c r="Z812" s="309"/>
    </row>
    <row r="813" spans="1:26" ht="12.75" customHeight="1">
      <c r="A813" s="309"/>
      <c r="B813" s="309"/>
      <c r="C813" s="309"/>
      <c r="D813" s="309"/>
      <c r="E813" s="309"/>
      <c r="F813" s="309"/>
      <c r="G813" s="309"/>
      <c r="H813" s="309"/>
      <c r="I813" s="309"/>
      <c r="J813" s="309"/>
      <c r="K813" s="1020"/>
      <c r="L813" s="309"/>
      <c r="M813" s="309"/>
      <c r="N813" s="309"/>
      <c r="O813" s="309"/>
      <c r="P813" s="326"/>
      <c r="Q813" s="309"/>
      <c r="R813" s="309"/>
      <c r="S813" s="309"/>
      <c r="T813" s="309"/>
      <c r="U813" s="309"/>
      <c r="V813" s="309"/>
      <c r="W813" s="309"/>
      <c r="X813" s="309"/>
      <c r="Y813" s="309"/>
      <c r="Z813" s="309"/>
    </row>
    <row r="814" spans="1:26" ht="12.75" customHeight="1">
      <c r="A814" s="309"/>
      <c r="B814" s="309"/>
      <c r="C814" s="309"/>
      <c r="D814" s="309"/>
      <c r="E814" s="309"/>
      <c r="F814" s="309"/>
      <c r="G814" s="309"/>
      <c r="H814" s="309"/>
      <c r="I814" s="309"/>
      <c r="J814" s="309"/>
      <c r="K814" s="1020"/>
      <c r="L814" s="309"/>
      <c r="M814" s="309"/>
      <c r="N814" s="309"/>
      <c r="O814" s="309"/>
      <c r="P814" s="326"/>
      <c r="Q814" s="309"/>
      <c r="R814" s="309"/>
      <c r="S814" s="309"/>
      <c r="T814" s="309"/>
      <c r="U814" s="309"/>
      <c r="V814" s="309"/>
      <c r="W814" s="309"/>
      <c r="X814" s="309"/>
      <c r="Y814" s="309"/>
      <c r="Z814" s="309"/>
    </row>
    <row r="815" spans="1:26" ht="12.75" customHeight="1">
      <c r="A815" s="309"/>
      <c r="B815" s="309"/>
      <c r="C815" s="309"/>
      <c r="D815" s="309"/>
      <c r="E815" s="309"/>
      <c r="F815" s="309"/>
      <c r="G815" s="309"/>
      <c r="H815" s="309"/>
      <c r="I815" s="309"/>
      <c r="J815" s="309"/>
      <c r="K815" s="1020"/>
      <c r="L815" s="309"/>
      <c r="M815" s="309"/>
      <c r="N815" s="309"/>
      <c r="O815" s="309"/>
      <c r="P815" s="326"/>
      <c r="Q815" s="309"/>
      <c r="R815" s="309"/>
      <c r="S815" s="309"/>
      <c r="T815" s="309"/>
      <c r="U815" s="309"/>
      <c r="V815" s="309"/>
      <c r="W815" s="309"/>
      <c r="X815" s="309"/>
      <c r="Y815" s="309"/>
      <c r="Z815" s="309"/>
    </row>
    <row r="816" spans="1:26" ht="12.75" customHeight="1">
      <c r="A816" s="309"/>
      <c r="B816" s="309"/>
      <c r="C816" s="309"/>
      <c r="D816" s="309"/>
      <c r="E816" s="309"/>
      <c r="F816" s="309"/>
      <c r="G816" s="309"/>
      <c r="H816" s="309"/>
      <c r="I816" s="309"/>
      <c r="J816" s="309"/>
      <c r="K816" s="1020"/>
      <c r="L816" s="309"/>
      <c r="M816" s="309"/>
      <c r="N816" s="309"/>
      <c r="O816" s="309"/>
      <c r="P816" s="326"/>
      <c r="Q816" s="309"/>
      <c r="R816" s="309"/>
      <c r="S816" s="309"/>
      <c r="T816" s="309"/>
      <c r="U816" s="309"/>
      <c r="V816" s="309"/>
      <c r="W816" s="309"/>
      <c r="X816" s="309"/>
      <c r="Y816" s="309"/>
      <c r="Z816" s="309"/>
    </row>
    <row r="817" spans="1:26" ht="12.75" customHeight="1">
      <c r="A817" s="309"/>
      <c r="B817" s="309"/>
      <c r="C817" s="309"/>
      <c r="D817" s="309"/>
      <c r="E817" s="309"/>
      <c r="F817" s="309"/>
      <c r="G817" s="309"/>
      <c r="H817" s="309"/>
      <c r="I817" s="309"/>
      <c r="J817" s="309"/>
      <c r="K817" s="1020"/>
      <c r="L817" s="309"/>
      <c r="M817" s="309"/>
      <c r="N817" s="309"/>
      <c r="O817" s="309"/>
      <c r="P817" s="326"/>
      <c r="Q817" s="309"/>
      <c r="R817" s="309"/>
      <c r="S817" s="309"/>
      <c r="T817" s="309"/>
      <c r="U817" s="309"/>
      <c r="V817" s="309"/>
      <c r="W817" s="309"/>
      <c r="X817" s="309"/>
      <c r="Y817" s="309"/>
      <c r="Z817" s="309"/>
    </row>
    <row r="818" spans="1:26" ht="12.75" customHeight="1">
      <c r="A818" s="309"/>
      <c r="B818" s="309"/>
      <c r="C818" s="309"/>
      <c r="D818" s="309"/>
      <c r="E818" s="309"/>
      <c r="F818" s="309"/>
      <c r="G818" s="309"/>
      <c r="H818" s="309"/>
      <c r="I818" s="309"/>
      <c r="J818" s="309"/>
      <c r="K818" s="1020"/>
      <c r="L818" s="309"/>
      <c r="M818" s="309"/>
      <c r="N818" s="309"/>
      <c r="O818" s="309"/>
      <c r="P818" s="326"/>
      <c r="Q818" s="309"/>
      <c r="R818" s="309"/>
      <c r="S818" s="309"/>
      <c r="T818" s="309"/>
      <c r="U818" s="309"/>
      <c r="V818" s="309"/>
      <c r="W818" s="309"/>
      <c r="X818" s="309"/>
      <c r="Y818" s="309"/>
      <c r="Z818" s="309"/>
    </row>
    <row r="819" spans="1:26" ht="12.75" customHeight="1">
      <c r="A819" s="309"/>
      <c r="B819" s="309"/>
      <c r="C819" s="309"/>
      <c r="D819" s="309"/>
      <c r="E819" s="309"/>
      <c r="F819" s="309"/>
      <c r="G819" s="309"/>
      <c r="H819" s="309"/>
      <c r="I819" s="309"/>
      <c r="J819" s="309"/>
      <c r="K819" s="1020"/>
      <c r="L819" s="309"/>
      <c r="M819" s="309"/>
      <c r="N819" s="309"/>
      <c r="O819" s="309"/>
      <c r="P819" s="326"/>
      <c r="Q819" s="309"/>
      <c r="R819" s="309"/>
      <c r="S819" s="309"/>
      <c r="T819" s="309"/>
      <c r="U819" s="309"/>
      <c r="V819" s="309"/>
      <c r="W819" s="309"/>
      <c r="X819" s="309"/>
      <c r="Y819" s="309"/>
      <c r="Z819" s="309"/>
    </row>
    <row r="820" spans="1:26" ht="12.75" customHeight="1">
      <c r="A820" s="309"/>
      <c r="B820" s="309"/>
      <c r="C820" s="309"/>
      <c r="D820" s="309"/>
      <c r="E820" s="309"/>
      <c r="F820" s="309"/>
      <c r="G820" s="309"/>
      <c r="H820" s="309"/>
      <c r="I820" s="309"/>
      <c r="J820" s="309"/>
      <c r="K820" s="1020"/>
      <c r="L820" s="309"/>
      <c r="M820" s="309"/>
      <c r="N820" s="309"/>
      <c r="O820" s="309"/>
      <c r="P820" s="326"/>
      <c r="Q820" s="309"/>
      <c r="R820" s="309"/>
      <c r="S820" s="309"/>
      <c r="T820" s="309"/>
      <c r="U820" s="309"/>
      <c r="V820" s="309"/>
      <c r="W820" s="309"/>
      <c r="X820" s="309"/>
      <c r="Y820" s="309"/>
      <c r="Z820" s="309"/>
    </row>
    <row r="821" spans="1:26" ht="12.75" customHeight="1">
      <c r="A821" s="309"/>
      <c r="B821" s="309"/>
      <c r="C821" s="309"/>
      <c r="D821" s="309"/>
      <c r="E821" s="309"/>
      <c r="F821" s="309"/>
      <c r="G821" s="309"/>
      <c r="H821" s="309"/>
      <c r="I821" s="309"/>
      <c r="J821" s="309"/>
      <c r="K821" s="1020"/>
      <c r="L821" s="309"/>
      <c r="M821" s="309"/>
      <c r="N821" s="309"/>
      <c r="O821" s="309"/>
      <c r="P821" s="326"/>
      <c r="Q821" s="309"/>
      <c r="R821" s="309"/>
      <c r="S821" s="309"/>
      <c r="T821" s="309"/>
      <c r="U821" s="309"/>
      <c r="V821" s="309"/>
      <c r="W821" s="309"/>
      <c r="X821" s="309"/>
      <c r="Y821" s="309"/>
      <c r="Z821" s="309"/>
    </row>
    <row r="822" spans="1:26" ht="12.75" customHeight="1">
      <c r="A822" s="309"/>
      <c r="B822" s="309"/>
      <c r="C822" s="309"/>
      <c r="D822" s="309"/>
      <c r="E822" s="309"/>
      <c r="F822" s="309"/>
      <c r="G822" s="309"/>
      <c r="H822" s="309"/>
      <c r="I822" s="309"/>
      <c r="J822" s="309"/>
      <c r="K822" s="1020"/>
      <c r="L822" s="309"/>
      <c r="M822" s="309"/>
      <c r="N822" s="309"/>
      <c r="O822" s="309"/>
      <c r="P822" s="326"/>
      <c r="Q822" s="309"/>
      <c r="R822" s="309"/>
      <c r="S822" s="309"/>
      <c r="T822" s="309"/>
      <c r="U822" s="309"/>
      <c r="V822" s="309"/>
      <c r="W822" s="309"/>
      <c r="X822" s="309"/>
      <c r="Y822" s="309"/>
      <c r="Z822" s="309"/>
    </row>
    <row r="823" spans="1:26" ht="12.75" customHeight="1">
      <c r="A823" s="309"/>
      <c r="B823" s="309"/>
      <c r="C823" s="309"/>
      <c r="D823" s="309"/>
      <c r="E823" s="309"/>
      <c r="F823" s="309"/>
      <c r="G823" s="309"/>
      <c r="H823" s="309"/>
      <c r="I823" s="309"/>
      <c r="J823" s="309"/>
      <c r="K823" s="1020"/>
      <c r="L823" s="309"/>
      <c r="M823" s="309"/>
      <c r="N823" s="309"/>
      <c r="O823" s="309"/>
      <c r="P823" s="326"/>
      <c r="Q823" s="309"/>
      <c r="R823" s="309"/>
      <c r="S823" s="309"/>
      <c r="T823" s="309"/>
      <c r="U823" s="309"/>
      <c r="V823" s="309"/>
      <c r="W823" s="309"/>
      <c r="X823" s="309"/>
      <c r="Y823" s="309"/>
      <c r="Z823" s="309"/>
    </row>
    <row r="824" spans="1:26" ht="12.75" customHeight="1">
      <c r="A824" s="309"/>
      <c r="B824" s="309"/>
      <c r="C824" s="309"/>
      <c r="D824" s="309"/>
      <c r="E824" s="309"/>
      <c r="F824" s="309"/>
      <c r="G824" s="309"/>
      <c r="H824" s="309"/>
      <c r="I824" s="309"/>
      <c r="J824" s="309"/>
      <c r="K824" s="1020"/>
      <c r="L824" s="309"/>
      <c r="M824" s="309"/>
      <c r="N824" s="309"/>
      <c r="O824" s="309"/>
      <c r="P824" s="326"/>
      <c r="Q824" s="309"/>
      <c r="R824" s="309"/>
      <c r="S824" s="309"/>
      <c r="T824" s="309"/>
      <c r="U824" s="309"/>
      <c r="V824" s="309"/>
      <c r="W824" s="309"/>
      <c r="X824" s="309"/>
      <c r="Y824" s="309"/>
      <c r="Z824" s="309"/>
    </row>
    <row r="825" spans="1:26" ht="12.75" customHeight="1">
      <c r="A825" s="309"/>
      <c r="B825" s="309"/>
      <c r="C825" s="309"/>
      <c r="D825" s="309"/>
      <c r="E825" s="309"/>
      <c r="F825" s="309"/>
      <c r="G825" s="309"/>
      <c r="H825" s="309"/>
      <c r="I825" s="309"/>
      <c r="J825" s="309"/>
      <c r="K825" s="1020"/>
      <c r="L825" s="309"/>
      <c r="M825" s="309"/>
      <c r="N825" s="309"/>
      <c r="O825" s="309"/>
      <c r="P825" s="326"/>
      <c r="Q825" s="309"/>
      <c r="R825" s="309"/>
      <c r="S825" s="309"/>
      <c r="T825" s="309"/>
      <c r="U825" s="309"/>
      <c r="V825" s="309"/>
      <c r="W825" s="309"/>
      <c r="X825" s="309"/>
      <c r="Y825" s="309"/>
      <c r="Z825" s="309"/>
    </row>
    <row r="826" spans="1:26" ht="12.75" customHeight="1">
      <c r="A826" s="309"/>
      <c r="B826" s="309"/>
      <c r="C826" s="309"/>
      <c r="D826" s="309"/>
      <c r="E826" s="309"/>
      <c r="F826" s="309"/>
      <c r="G826" s="309"/>
      <c r="H826" s="309"/>
      <c r="I826" s="309"/>
      <c r="J826" s="309"/>
      <c r="K826" s="1020"/>
      <c r="L826" s="309"/>
      <c r="M826" s="309"/>
      <c r="N826" s="309"/>
      <c r="O826" s="309"/>
      <c r="P826" s="326"/>
      <c r="Q826" s="309"/>
      <c r="R826" s="309"/>
      <c r="S826" s="309"/>
      <c r="T826" s="309"/>
      <c r="U826" s="309"/>
      <c r="V826" s="309"/>
      <c r="W826" s="309"/>
      <c r="X826" s="309"/>
      <c r="Y826" s="309"/>
      <c r="Z826" s="309"/>
    </row>
    <row r="827" spans="1:26" ht="12.75" customHeight="1">
      <c r="A827" s="309"/>
      <c r="B827" s="309"/>
      <c r="C827" s="309"/>
      <c r="D827" s="309"/>
      <c r="E827" s="309"/>
      <c r="F827" s="309"/>
      <c r="G827" s="309"/>
      <c r="H827" s="309"/>
      <c r="I827" s="309"/>
      <c r="J827" s="309"/>
      <c r="K827" s="1020"/>
      <c r="L827" s="309"/>
      <c r="M827" s="309"/>
      <c r="N827" s="309"/>
      <c r="O827" s="309"/>
      <c r="P827" s="326"/>
      <c r="Q827" s="309"/>
      <c r="R827" s="309"/>
      <c r="S827" s="309"/>
      <c r="T827" s="309"/>
      <c r="U827" s="309"/>
      <c r="V827" s="309"/>
      <c r="W827" s="309"/>
      <c r="X827" s="309"/>
      <c r="Y827" s="309"/>
      <c r="Z827" s="309"/>
    </row>
    <row r="828" spans="1:26" ht="12.75" customHeight="1">
      <c r="A828" s="309"/>
      <c r="B828" s="309"/>
      <c r="C828" s="309"/>
      <c r="D828" s="309"/>
      <c r="E828" s="309"/>
      <c r="F828" s="309"/>
      <c r="G828" s="309"/>
      <c r="H828" s="309"/>
      <c r="I828" s="309"/>
      <c r="J828" s="309"/>
      <c r="K828" s="1020"/>
      <c r="L828" s="309"/>
      <c r="M828" s="309"/>
      <c r="N828" s="309"/>
      <c r="O828" s="309"/>
      <c r="P828" s="326"/>
      <c r="Q828" s="309"/>
      <c r="R828" s="309"/>
      <c r="S828" s="309"/>
      <c r="T828" s="309"/>
      <c r="U828" s="309"/>
      <c r="V828" s="309"/>
      <c r="W828" s="309"/>
      <c r="X828" s="309"/>
      <c r="Y828" s="309"/>
      <c r="Z828" s="309"/>
    </row>
    <row r="829" spans="1:26" ht="12.75" customHeight="1">
      <c r="A829" s="309"/>
      <c r="B829" s="309"/>
      <c r="C829" s="309"/>
      <c r="D829" s="309"/>
      <c r="E829" s="309"/>
      <c r="F829" s="309"/>
      <c r="G829" s="309"/>
      <c r="H829" s="309"/>
      <c r="I829" s="309"/>
      <c r="J829" s="309"/>
      <c r="K829" s="1020"/>
      <c r="L829" s="309"/>
      <c r="M829" s="309"/>
      <c r="N829" s="309"/>
      <c r="O829" s="309"/>
      <c r="P829" s="326"/>
      <c r="Q829" s="309"/>
      <c r="R829" s="309"/>
      <c r="S829" s="309"/>
      <c r="T829" s="309"/>
      <c r="U829" s="309"/>
      <c r="V829" s="309"/>
      <c r="W829" s="309"/>
      <c r="X829" s="309"/>
      <c r="Y829" s="309"/>
      <c r="Z829" s="309"/>
    </row>
    <row r="830" spans="1:26" ht="12.75" customHeight="1">
      <c r="A830" s="309"/>
      <c r="B830" s="309"/>
      <c r="C830" s="309"/>
      <c r="D830" s="309"/>
      <c r="E830" s="309"/>
      <c r="F830" s="309"/>
      <c r="G830" s="309"/>
      <c r="H830" s="309"/>
      <c r="I830" s="309"/>
      <c r="J830" s="309"/>
      <c r="K830" s="1020"/>
      <c r="L830" s="309"/>
      <c r="M830" s="309"/>
      <c r="N830" s="309"/>
      <c r="O830" s="309"/>
      <c r="P830" s="326"/>
      <c r="Q830" s="309"/>
      <c r="R830" s="309"/>
      <c r="S830" s="309"/>
      <c r="T830" s="309"/>
      <c r="U830" s="309"/>
      <c r="V830" s="309"/>
      <c r="W830" s="309"/>
      <c r="X830" s="309"/>
      <c r="Y830" s="309"/>
      <c r="Z830" s="309"/>
    </row>
    <row r="831" spans="1:26" ht="12.75" customHeight="1">
      <c r="A831" s="309"/>
      <c r="B831" s="309"/>
      <c r="C831" s="309"/>
      <c r="D831" s="309"/>
      <c r="E831" s="309"/>
      <c r="F831" s="309"/>
      <c r="G831" s="309"/>
      <c r="H831" s="309"/>
      <c r="I831" s="309"/>
      <c r="J831" s="309"/>
      <c r="K831" s="1020"/>
      <c r="L831" s="309"/>
      <c r="M831" s="309"/>
      <c r="N831" s="309"/>
      <c r="O831" s="309"/>
      <c r="P831" s="326"/>
      <c r="Q831" s="309"/>
      <c r="R831" s="309"/>
      <c r="S831" s="309"/>
      <c r="T831" s="309"/>
      <c r="U831" s="309"/>
      <c r="V831" s="309"/>
      <c r="W831" s="309"/>
      <c r="X831" s="309"/>
      <c r="Y831" s="309"/>
      <c r="Z831" s="309"/>
    </row>
    <row r="832" spans="1:26" ht="12.75" customHeight="1">
      <c r="A832" s="309"/>
      <c r="B832" s="309"/>
      <c r="C832" s="309"/>
      <c r="D832" s="309"/>
      <c r="E832" s="309"/>
      <c r="F832" s="309"/>
      <c r="G832" s="309"/>
      <c r="H832" s="309"/>
      <c r="I832" s="309"/>
      <c r="J832" s="309"/>
      <c r="K832" s="1020"/>
      <c r="L832" s="309"/>
      <c r="M832" s="309"/>
      <c r="N832" s="309"/>
      <c r="O832" s="309"/>
      <c r="P832" s="326"/>
      <c r="Q832" s="309"/>
      <c r="R832" s="309"/>
      <c r="S832" s="309"/>
      <c r="T832" s="309"/>
      <c r="U832" s="309"/>
      <c r="V832" s="309"/>
      <c r="W832" s="309"/>
      <c r="X832" s="309"/>
      <c r="Y832" s="309"/>
      <c r="Z832" s="309"/>
    </row>
    <row r="833" spans="1:26" ht="12.75" customHeight="1">
      <c r="A833" s="309"/>
      <c r="B833" s="309"/>
      <c r="C833" s="309"/>
      <c r="D833" s="309"/>
      <c r="E833" s="309"/>
      <c r="F833" s="309"/>
      <c r="G833" s="309"/>
      <c r="H833" s="309"/>
      <c r="I833" s="309"/>
      <c r="J833" s="309"/>
      <c r="K833" s="1020"/>
      <c r="L833" s="309"/>
      <c r="M833" s="309"/>
      <c r="N833" s="309"/>
      <c r="O833" s="309"/>
      <c r="P833" s="326"/>
      <c r="Q833" s="309"/>
      <c r="R833" s="309"/>
      <c r="S833" s="309"/>
      <c r="T833" s="309"/>
      <c r="U833" s="309"/>
      <c r="V833" s="309"/>
      <c r="W833" s="309"/>
      <c r="X833" s="309"/>
      <c r="Y833" s="309"/>
      <c r="Z833" s="309"/>
    </row>
    <row r="834" spans="1:26" ht="12.75" customHeight="1">
      <c r="A834" s="309"/>
      <c r="B834" s="309"/>
      <c r="C834" s="309"/>
      <c r="D834" s="309"/>
      <c r="E834" s="309"/>
      <c r="F834" s="309"/>
      <c r="G834" s="309"/>
      <c r="H834" s="309"/>
      <c r="I834" s="309"/>
      <c r="J834" s="309"/>
      <c r="K834" s="1020"/>
      <c r="L834" s="309"/>
      <c r="M834" s="309"/>
      <c r="N834" s="309"/>
      <c r="O834" s="309"/>
      <c r="P834" s="326"/>
      <c r="Q834" s="309"/>
      <c r="R834" s="309"/>
      <c r="S834" s="309"/>
      <c r="T834" s="309"/>
      <c r="U834" s="309"/>
      <c r="V834" s="309"/>
      <c r="W834" s="309"/>
      <c r="X834" s="309"/>
      <c r="Y834" s="309"/>
      <c r="Z834" s="309"/>
    </row>
    <row r="835" spans="1:26" ht="12.75" customHeight="1">
      <c r="A835" s="309"/>
      <c r="B835" s="309"/>
      <c r="C835" s="309"/>
      <c r="D835" s="309"/>
      <c r="E835" s="309"/>
      <c r="F835" s="309"/>
      <c r="G835" s="309"/>
      <c r="H835" s="309"/>
      <c r="I835" s="309"/>
      <c r="J835" s="309"/>
      <c r="K835" s="1020"/>
      <c r="L835" s="309"/>
      <c r="M835" s="309"/>
      <c r="N835" s="309"/>
      <c r="O835" s="309"/>
      <c r="P835" s="326"/>
      <c r="Q835" s="309"/>
      <c r="R835" s="309"/>
      <c r="S835" s="309"/>
      <c r="T835" s="309"/>
      <c r="U835" s="309"/>
      <c r="V835" s="309"/>
      <c r="W835" s="309"/>
      <c r="X835" s="309"/>
      <c r="Y835" s="309"/>
      <c r="Z835" s="309"/>
    </row>
    <row r="836" spans="1:26" ht="12.75" customHeight="1">
      <c r="A836" s="309"/>
      <c r="B836" s="309"/>
      <c r="C836" s="309"/>
      <c r="D836" s="309"/>
      <c r="E836" s="309"/>
      <c r="F836" s="309"/>
      <c r="G836" s="309"/>
      <c r="H836" s="309"/>
      <c r="I836" s="309"/>
      <c r="J836" s="309"/>
      <c r="K836" s="1020"/>
      <c r="L836" s="309"/>
      <c r="M836" s="309"/>
      <c r="N836" s="309"/>
      <c r="O836" s="309"/>
      <c r="P836" s="326"/>
      <c r="Q836" s="309"/>
      <c r="R836" s="309"/>
      <c r="S836" s="309"/>
      <c r="T836" s="309"/>
      <c r="U836" s="309"/>
      <c r="V836" s="309"/>
      <c r="W836" s="309"/>
      <c r="X836" s="309"/>
      <c r="Y836" s="309"/>
      <c r="Z836" s="309"/>
    </row>
    <row r="837" spans="1:26" ht="12.75" customHeight="1">
      <c r="A837" s="309"/>
      <c r="B837" s="309"/>
      <c r="C837" s="309"/>
      <c r="D837" s="309"/>
      <c r="E837" s="309"/>
      <c r="F837" s="309"/>
      <c r="G837" s="309"/>
      <c r="H837" s="309"/>
      <c r="I837" s="309"/>
      <c r="J837" s="309"/>
      <c r="K837" s="1020"/>
      <c r="L837" s="309"/>
      <c r="M837" s="309"/>
      <c r="N837" s="309"/>
      <c r="O837" s="309"/>
      <c r="P837" s="326"/>
      <c r="Q837" s="309"/>
      <c r="R837" s="309"/>
      <c r="S837" s="309"/>
      <c r="T837" s="309"/>
      <c r="U837" s="309"/>
      <c r="V837" s="309"/>
      <c r="W837" s="309"/>
      <c r="X837" s="309"/>
      <c r="Y837" s="309"/>
      <c r="Z837" s="309"/>
    </row>
    <row r="838" spans="1:26" ht="12.75" customHeight="1">
      <c r="A838" s="309"/>
      <c r="B838" s="309"/>
      <c r="C838" s="309"/>
      <c r="D838" s="309"/>
      <c r="E838" s="309"/>
      <c r="F838" s="309"/>
      <c r="G838" s="309"/>
      <c r="H838" s="309"/>
      <c r="I838" s="309"/>
      <c r="J838" s="309"/>
      <c r="K838" s="1020"/>
      <c r="L838" s="309"/>
      <c r="M838" s="309"/>
      <c r="N838" s="309"/>
      <c r="O838" s="309"/>
      <c r="P838" s="326"/>
      <c r="Q838" s="309"/>
      <c r="R838" s="309"/>
      <c r="S838" s="309"/>
      <c r="T838" s="309"/>
      <c r="U838" s="309"/>
      <c r="V838" s="309"/>
      <c r="W838" s="309"/>
      <c r="X838" s="309"/>
      <c r="Y838" s="309"/>
      <c r="Z838" s="309"/>
    </row>
    <row r="839" spans="1:26" ht="12.75" customHeight="1">
      <c r="A839" s="309"/>
      <c r="B839" s="309"/>
      <c r="C839" s="309"/>
      <c r="D839" s="309"/>
      <c r="E839" s="309"/>
      <c r="F839" s="309"/>
      <c r="G839" s="309"/>
      <c r="H839" s="309"/>
      <c r="I839" s="309"/>
      <c r="J839" s="309"/>
      <c r="K839" s="1020"/>
      <c r="L839" s="309"/>
      <c r="M839" s="309"/>
      <c r="N839" s="309"/>
      <c r="O839" s="309"/>
      <c r="P839" s="326"/>
      <c r="Q839" s="309"/>
      <c r="R839" s="309"/>
      <c r="S839" s="309"/>
      <c r="T839" s="309"/>
      <c r="U839" s="309"/>
      <c r="V839" s="309"/>
      <c r="W839" s="309"/>
      <c r="X839" s="309"/>
      <c r="Y839" s="309"/>
      <c r="Z839" s="309"/>
    </row>
    <row r="840" spans="1:26" ht="12.75" customHeight="1">
      <c r="A840" s="309"/>
      <c r="B840" s="309"/>
      <c r="C840" s="309"/>
      <c r="D840" s="309"/>
      <c r="E840" s="309"/>
      <c r="F840" s="309"/>
      <c r="G840" s="309"/>
      <c r="H840" s="309"/>
      <c r="I840" s="309"/>
      <c r="J840" s="309"/>
      <c r="K840" s="1020"/>
      <c r="L840" s="309"/>
      <c r="M840" s="309"/>
      <c r="N840" s="309"/>
      <c r="O840" s="309"/>
      <c r="P840" s="326"/>
      <c r="Q840" s="309"/>
      <c r="R840" s="309"/>
      <c r="S840" s="309"/>
      <c r="T840" s="309"/>
      <c r="U840" s="309"/>
      <c r="V840" s="309"/>
      <c r="W840" s="309"/>
      <c r="X840" s="309"/>
      <c r="Y840" s="309"/>
      <c r="Z840" s="309"/>
    </row>
    <row r="841" spans="1:26" ht="12.75" customHeight="1">
      <c r="A841" s="309"/>
      <c r="B841" s="309"/>
      <c r="C841" s="309"/>
      <c r="D841" s="309"/>
      <c r="E841" s="309"/>
      <c r="F841" s="309"/>
      <c r="G841" s="309"/>
      <c r="H841" s="309"/>
      <c r="I841" s="309"/>
      <c r="J841" s="309"/>
      <c r="K841" s="1020"/>
      <c r="L841" s="309"/>
      <c r="M841" s="309"/>
      <c r="N841" s="309"/>
      <c r="O841" s="309"/>
      <c r="P841" s="326"/>
      <c r="Q841" s="309"/>
      <c r="R841" s="309"/>
      <c r="S841" s="309"/>
      <c r="T841" s="309"/>
      <c r="U841" s="309"/>
      <c r="V841" s="309"/>
      <c r="W841" s="309"/>
      <c r="X841" s="309"/>
      <c r="Y841" s="309"/>
      <c r="Z841" s="309"/>
    </row>
    <row r="842" spans="1:26" ht="12.75" customHeight="1">
      <c r="A842" s="309"/>
      <c r="B842" s="309"/>
      <c r="C842" s="309"/>
      <c r="D842" s="309"/>
      <c r="E842" s="309"/>
      <c r="F842" s="309"/>
      <c r="G842" s="309"/>
      <c r="H842" s="309"/>
      <c r="I842" s="309"/>
      <c r="J842" s="309"/>
      <c r="K842" s="1020"/>
      <c r="L842" s="309"/>
      <c r="M842" s="309"/>
      <c r="N842" s="309"/>
      <c r="O842" s="309"/>
      <c r="P842" s="326"/>
      <c r="Q842" s="309"/>
      <c r="R842" s="309"/>
      <c r="S842" s="309"/>
      <c r="T842" s="309"/>
      <c r="U842" s="309"/>
      <c r="V842" s="309"/>
      <c r="W842" s="309"/>
      <c r="X842" s="309"/>
      <c r="Y842" s="309"/>
      <c r="Z842" s="309"/>
    </row>
    <row r="843" spans="1:26" ht="12.75" customHeight="1">
      <c r="A843" s="309"/>
      <c r="B843" s="309"/>
      <c r="C843" s="309"/>
      <c r="D843" s="309"/>
      <c r="E843" s="309"/>
      <c r="F843" s="309"/>
      <c r="G843" s="309"/>
      <c r="H843" s="309"/>
      <c r="I843" s="309"/>
      <c r="J843" s="309"/>
      <c r="K843" s="1020"/>
      <c r="L843" s="309"/>
      <c r="M843" s="309"/>
      <c r="N843" s="309"/>
      <c r="O843" s="309"/>
      <c r="P843" s="326"/>
      <c r="Q843" s="309"/>
      <c r="R843" s="309"/>
      <c r="S843" s="309"/>
      <c r="T843" s="309"/>
      <c r="U843" s="309"/>
      <c r="V843" s="309"/>
      <c r="W843" s="309"/>
      <c r="X843" s="309"/>
      <c r="Y843" s="309"/>
      <c r="Z843" s="309"/>
    </row>
    <row r="844" spans="1:26" ht="12.75" customHeight="1">
      <c r="A844" s="309"/>
      <c r="B844" s="309"/>
      <c r="C844" s="309"/>
      <c r="D844" s="309"/>
      <c r="E844" s="309"/>
      <c r="F844" s="309"/>
      <c r="G844" s="309"/>
      <c r="H844" s="309"/>
      <c r="I844" s="309"/>
      <c r="J844" s="309"/>
      <c r="K844" s="1020"/>
      <c r="L844" s="309"/>
      <c r="M844" s="309"/>
      <c r="N844" s="309"/>
      <c r="O844" s="309"/>
      <c r="P844" s="326"/>
      <c r="Q844" s="309"/>
      <c r="R844" s="309"/>
      <c r="S844" s="309"/>
      <c r="T844" s="309"/>
      <c r="U844" s="309"/>
      <c r="V844" s="309"/>
      <c r="W844" s="309"/>
      <c r="X844" s="309"/>
      <c r="Y844" s="309"/>
      <c r="Z844" s="309"/>
    </row>
    <row r="845" spans="1:26" ht="12.75" customHeight="1">
      <c r="A845" s="309"/>
      <c r="B845" s="309"/>
      <c r="C845" s="309"/>
      <c r="D845" s="309"/>
      <c r="E845" s="309"/>
      <c r="F845" s="309"/>
      <c r="G845" s="309"/>
      <c r="H845" s="309"/>
      <c r="I845" s="309"/>
      <c r="J845" s="309"/>
      <c r="K845" s="1020"/>
      <c r="L845" s="309"/>
      <c r="M845" s="309"/>
      <c r="N845" s="309"/>
      <c r="O845" s="309"/>
      <c r="P845" s="326"/>
      <c r="Q845" s="309"/>
      <c r="R845" s="309"/>
      <c r="S845" s="309"/>
      <c r="T845" s="309"/>
      <c r="U845" s="309"/>
      <c r="V845" s="309"/>
      <c r="W845" s="309"/>
      <c r="X845" s="309"/>
      <c r="Y845" s="309"/>
      <c r="Z845" s="309"/>
    </row>
    <row r="846" spans="1:26" ht="12.75" customHeight="1">
      <c r="A846" s="309"/>
      <c r="B846" s="309"/>
      <c r="C846" s="309"/>
      <c r="D846" s="309"/>
      <c r="E846" s="309"/>
      <c r="F846" s="309"/>
      <c r="G846" s="309"/>
      <c r="H846" s="309"/>
      <c r="I846" s="309"/>
      <c r="J846" s="309"/>
      <c r="K846" s="1020"/>
      <c r="L846" s="309"/>
      <c r="M846" s="309"/>
      <c r="N846" s="309"/>
      <c r="O846" s="309"/>
      <c r="P846" s="326"/>
      <c r="Q846" s="309"/>
      <c r="R846" s="309"/>
      <c r="S846" s="309"/>
      <c r="T846" s="309"/>
      <c r="U846" s="309"/>
      <c r="V846" s="309"/>
      <c r="W846" s="309"/>
      <c r="X846" s="309"/>
      <c r="Y846" s="309"/>
      <c r="Z846" s="309"/>
    </row>
    <row r="847" spans="1:26" ht="12.75" customHeight="1">
      <c r="A847" s="309"/>
      <c r="B847" s="309"/>
      <c r="C847" s="309"/>
      <c r="D847" s="309"/>
      <c r="E847" s="309"/>
      <c r="F847" s="309"/>
      <c r="G847" s="309"/>
      <c r="H847" s="309"/>
      <c r="I847" s="309"/>
      <c r="J847" s="309"/>
      <c r="K847" s="1020"/>
      <c r="L847" s="309"/>
      <c r="M847" s="309"/>
      <c r="N847" s="309"/>
      <c r="O847" s="309"/>
      <c r="P847" s="326"/>
      <c r="Q847" s="309"/>
      <c r="R847" s="309"/>
      <c r="S847" s="309"/>
      <c r="T847" s="309"/>
      <c r="U847" s="309"/>
      <c r="V847" s="309"/>
      <c r="W847" s="309"/>
      <c r="X847" s="309"/>
      <c r="Y847" s="309"/>
      <c r="Z847" s="309"/>
    </row>
    <row r="848" spans="1:26" ht="12.75" customHeight="1">
      <c r="A848" s="309"/>
      <c r="B848" s="309"/>
      <c r="C848" s="309"/>
      <c r="D848" s="309"/>
      <c r="E848" s="309"/>
      <c r="F848" s="309"/>
      <c r="G848" s="309"/>
      <c r="H848" s="309"/>
      <c r="I848" s="309"/>
      <c r="J848" s="309"/>
      <c r="K848" s="1020"/>
      <c r="L848" s="309"/>
      <c r="M848" s="309"/>
      <c r="N848" s="309"/>
      <c r="O848" s="309"/>
      <c r="P848" s="326"/>
      <c r="Q848" s="309"/>
      <c r="R848" s="309"/>
      <c r="S848" s="309"/>
      <c r="T848" s="309"/>
      <c r="U848" s="309"/>
      <c r="V848" s="309"/>
      <c r="W848" s="309"/>
      <c r="X848" s="309"/>
      <c r="Y848" s="309"/>
      <c r="Z848" s="309"/>
    </row>
    <row r="849" spans="1:26" ht="12.75" customHeight="1">
      <c r="A849" s="309"/>
      <c r="B849" s="309"/>
      <c r="C849" s="309"/>
      <c r="D849" s="309"/>
      <c r="E849" s="309"/>
      <c r="F849" s="309"/>
      <c r="G849" s="309"/>
      <c r="H849" s="309"/>
      <c r="I849" s="309"/>
      <c r="J849" s="309"/>
      <c r="K849" s="1020"/>
      <c r="L849" s="309"/>
      <c r="M849" s="309"/>
      <c r="N849" s="309"/>
      <c r="O849" s="309"/>
      <c r="P849" s="326"/>
      <c r="Q849" s="309"/>
      <c r="R849" s="309"/>
      <c r="S849" s="309"/>
      <c r="T849" s="309"/>
      <c r="U849" s="309"/>
      <c r="V849" s="309"/>
      <c r="W849" s="309"/>
      <c r="X849" s="309"/>
      <c r="Y849" s="309"/>
      <c r="Z849" s="309"/>
    </row>
    <row r="850" spans="1:26" ht="12.75" customHeight="1">
      <c r="A850" s="309"/>
      <c r="B850" s="309"/>
      <c r="C850" s="309"/>
      <c r="D850" s="309"/>
      <c r="E850" s="309"/>
      <c r="F850" s="309"/>
      <c r="G850" s="309"/>
      <c r="H850" s="309"/>
      <c r="I850" s="309"/>
      <c r="J850" s="309"/>
      <c r="K850" s="1020"/>
      <c r="L850" s="309"/>
      <c r="M850" s="309"/>
      <c r="N850" s="309"/>
      <c r="O850" s="309"/>
      <c r="P850" s="326"/>
      <c r="Q850" s="309"/>
      <c r="R850" s="309"/>
      <c r="S850" s="309"/>
      <c r="T850" s="309"/>
      <c r="U850" s="309"/>
      <c r="V850" s="309"/>
      <c r="W850" s="309"/>
      <c r="X850" s="309"/>
      <c r="Y850" s="309"/>
      <c r="Z850" s="309"/>
    </row>
    <row r="851" spans="1:26" ht="12.75" customHeight="1">
      <c r="A851" s="309"/>
      <c r="B851" s="309"/>
      <c r="C851" s="309"/>
      <c r="D851" s="309"/>
      <c r="E851" s="309"/>
      <c r="F851" s="309"/>
      <c r="G851" s="309"/>
      <c r="H851" s="309"/>
      <c r="I851" s="309"/>
      <c r="J851" s="309"/>
      <c r="K851" s="1020"/>
      <c r="L851" s="309"/>
      <c r="M851" s="309"/>
      <c r="N851" s="309"/>
      <c r="O851" s="309"/>
      <c r="P851" s="326"/>
      <c r="Q851" s="309"/>
      <c r="R851" s="309"/>
      <c r="S851" s="309"/>
      <c r="T851" s="309"/>
      <c r="U851" s="309"/>
      <c r="V851" s="309"/>
      <c r="W851" s="309"/>
      <c r="X851" s="309"/>
      <c r="Y851" s="309"/>
      <c r="Z851" s="309"/>
    </row>
    <row r="852" spans="1:26" ht="12.75" customHeight="1">
      <c r="A852" s="309"/>
      <c r="B852" s="309"/>
      <c r="C852" s="309"/>
      <c r="D852" s="309"/>
      <c r="E852" s="309"/>
      <c r="F852" s="309"/>
      <c r="G852" s="309"/>
      <c r="H852" s="309"/>
      <c r="I852" s="309"/>
      <c r="J852" s="309"/>
      <c r="K852" s="1020"/>
      <c r="L852" s="309"/>
      <c r="M852" s="309"/>
      <c r="N852" s="309"/>
      <c r="O852" s="309"/>
      <c r="P852" s="326"/>
      <c r="Q852" s="309"/>
      <c r="R852" s="309"/>
      <c r="S852" s="309"/>
      <c r="T852" s="309"/>
      <c r="U852" s="309"/>
      <c r="V852" s="309"/>
      <c r="W852" s="309"/>
      <c r="X852" s="309"/>
      <c r="Y852" s="309"/>
      <c r="Z852" s="309"/>
    </row>
    <row r="853" spans="1:26" ht="12.75" customHeight="1">
      <c r="A853" s="309"/>
      <c r="B853" s="309"/>
      <c r="C853" s="309"/>
      <c r="D853" s="309"/>
      <c r="E853" s="309"/>
      <c r="F853" s="309"/>
      <c r="G853" s="309"/>
      <c r="H853" s="309"/>
      <c r="I853" s="309"/>
      <c r="J853" s="309"/>
      <c r="K853" s="1020"/>
      <c r="L853" s="309"/>
      <c r="M853" s="309"/>
      <c r="N853" s="309"/>
      <c r="O853" s="309"/>
      <c r="P853" s="326"/>
      <c r="Q853" s="309"/>
      <c r="R853" s="309"/>
      <c r="S853" s="309"/>
      <c r="T853" s="309"/>
      <c r="U853" s="309"/>
      <c r="V853" s="309"/>
      <c r="W853" s="309"/>
      <c r="X853" s="309"/>
      <c r="Y853" s="309"/>
      <c r="Z853" s="309"/>
    </row>
    <row r="854" spans="1:26" ht="12.75" customHeight="1">
      <c r="A854" s="309"/>
      <c r="B854" s="309"/>
      <c r="C854" s="309"/>
      <c r="D854" s="309"/>
      <c r="E854" s="309"/>
      <c r="F854" s="309"/>
      <c r="G854" s="309"/>
      <c r="H854" s="309"/>
      <c r="I854" s="309"/>
      <c r="J854" s="309"/>
      <c r="K854" s="1020"/>
      <c r="L854" s="309"/>
      <c r="M854" s="309"/>
      <c r="N854" s="309"/>
      <c r="O854" s="309"/>
      <c r="P854" s="326"/>
      <c r="Q854" s="309"/>
      <c r="R854" s="309"/>
      <c r="S854" s="309"/>
      <c r="T854" s="309"/>
      <c r="U854" s="309"/>
      <c r="V854" s="309"/>
      <c r="W854" s="309"/>
      <c r="X854" s="309"/>
      <c r="Y854" s="309"/>
      <c r="Z854" s="309"/>
    </row>
    <row r="855" spans="1:26" ht="12.75" customHeight="1">
      <c r="A855" s="309"/>
      <c r="B855" s="309"/>
      <c r="C855" s="309"/>
      <c r="D855" s="309"/>
      <c r="E855" s="309"/>
      <c r="F855" s="309"/>
      <c r="G855" s="309"/>
      <c r="H855" s="309"/>
      <c r="I855" s="309"/>
      <c r="J855" s="309"/>
      <c r="K855" s="1020"/>
      <c r="L855" s="309"/>
      <c r="M855" s="309"/>
      <c r="N855" s="309"/>
      <c r="O855" s="309"/>
      <c r="P855" s="326"/>
      <c r="Q855" s="309"/>
      <c r="R855" s="309"/>
      <c r="S855" s="309"/>
      <c r="T855" s="309"/>
      <c r="U855" s="309"/>
      <c r="V855" s="309"/>
      <c r="W855" s="309"/>
      <c r="X855" s="309"/>
      <c r="Y855" s="309"/>
      <c r="Z855" s="309"/>
    </row>
    <row r="856" spans="1:26" ht="12.75" customHeight="1">
      <c r="A856" s="309"/>
      <c r="B856" s="309"/>
      <c r="C856" s="309"/>
      <c r="D856" s="309"/>
      <c r="E856" s="309"/>
      <c r="F856" s="309"/>
      <c r="G856" s="309"/>
      <c r="H856" s="309"/>
      <c r="I856" s="309"/>
      <c r="J856" s="309"/>
      <c r="K856" s="1020"/>
      <c r="L856" s="309"/>
      <c r="M856" s="309"/>
      <c r="N856" s="309"/>
      <c r="O856" s="309"/>
      <c r="P856" s="326"/>
      <c r="Q856" s="309"/>
      <c r="R856" s="309"/>
      <c r="S856" s="309"/>
      <c r="T856" s="309"/>
      <c r="U856" s="309"/>
      <c r="V856" s="309"/>
      <c r="W856" s="309"/>
      <c r="X856" s="309"/>
      <c r="Y856" s="309"/>
      <c r="Z856" s="309"/>
    </row>
    <row r="857" spans="1:26" ht="12.75" customHeight="1">
      <c r="A857" s="309"/>
      <c r="B857" s="309"/>
      <c r="C857" s="309"/>
      <c r="D857" s="309"/>
      <c r="E857" s="309"/>
      <c r="F857" s="309"/>
      <c r="G857" s="309"/>
      <c r="H857" s="309"/>
      <c r="I857" s="309"/>
      <c r="J857" s="309"/>
      <c r="K857" s="1020"/>
      <c r="L857" s="309"/>
      <c r="M857" s="309"/>
      <c r="N857" s="309"/>
      <c r="O857" s="309"/>
      <c r="P857" s="326"/>
      <c r="Q857" s="309"/>
      <c r="R857" s="309"/>
      <c r="S857" s="309"/>
      <c r="T857" s="309"/>
      <c r="U857" s="309"/>
      <c r="V857" s="309"/>
      <c r="W857" s="309"/>
      <c r="X857" s="309"/>
      <c r="Y857" s="309"/>
      <c r="Z857" s="309"/>
    </row>
    <row r="858" spans="1:26" ht="12.75" customHeight="1">
      <c r="A858" s="309"/>
      <c r="B858" s="309"/>
      <c r="C858" s="309"/>
      <c r="D858" s="309"/>
      <c r="E858" s="309"/>
      <c r="F858" s="309"/>
      <c r="G858" s="309"/>
      <c r="H858" s="309"/>
      <c r="I858" s="309"/>
      <c r="J858" s="309"/>
      <c r="K858" s="1020"/>
      <c r="L858" s="309"/>
      <c r="M858" s="309"/>
      <c r="N858" s="309"/>
      <c r="O858" s="309"/>
      <c r="P858" s="326"/>
      <c r="Q858" s="309"/>
      <c r="R858" s="309"/>
      <c r="S858" s="309"/>
      <c r="T858" s="309"/>
      <c r="U858" s="309"/>
      <c r="V858" s="309"/>
      <c r="W858" s="309"/>
      <c r="X858" s="309"/>
      <c r="Y858" s="309"/>
      <c r="Z858" s="309"/>
    </row>
    <row r="859" spans="1:26" ht="12.75" customHeight="1">
      <c r="A859" s="309"/>
      <c r="B859" s="309"/>
      <c r="C859" s="309"/>
      <c r="D859" s="309"/>
      <c r="E859" s="309"/>
      <c r="F859" s="309"/>
      <c r="G859" s="309"/>
      <c r="H859" s="309"/>
      <c r="I859" s="309"/>
      <c r="J859" s="309"/>
      <c r="K859" s="1020"/>
      <c r="L859" s="309"/>
      <c r="M859" s="309"/>
      <c r="N859" s="309"/>
      <c r="O859" s="309"/>
      <c r="P859" s="326"/>
      <c r="Q859" s="309"/>
      <c r="R859" s="309"/>
      <c r="S859" s="309"/>
      <c r="T859" s="309"/>
      <c r="U859" s="309"/>
      <c r="V859" s="309"/>
      <c r="W859" s="309"/>
      <c r="X859" s="309"/>
      <c r="Y859" s="309"/>
      <c r="Z859" s="309"/>
    </row>
    <row r="860" spans="1:26" ht="12.75" customHeight="1">
      <c r="A860" s="309"/>
      <c r="B860" s="309"/>
      <c r="C860" s="309"/>
      <c r="D860" s="309"/>
      <c r="E860" s="309"/>
      <c r="F860" s="309"/>
      <c r="G860" s="309"/>
      <c r="H860" s="309"/>
      <c r="I860" s="309"/>
      <c r="J860" s="309"/>
      <c r="K860" s="1020"/>
      <c r="L860" s="309"/>
      <c r="M860" s="309"/>
      <c r="N860" s="309"/>
      <c r="O860" s="309"/>
      <c r="P860" s="326"/>
      <c r="Q860" s="309"/>
      <c r="R860" s="309"/>
      <c r="S860" s="309"/>
      <c r="T860" s="309"/>
      <c r="U860" s="309"/>
      <c r="V860" s="309"/>
      <c r="W860" s="309"/>
      <c r="X860" s="309"/>
      <c r="Y860" s="309"/>
      <c r="Z860" s="309"/>
    </row>
    <row r="861" spans="1:26" ht="12.75" customHeight="1">
      <c r="A861" s="309"/>
      <c r="B861" s="309"/>
      <c r="C861" s="309"/>
      <c r="D861" s="309"/>
      <c r="E861" s="309"/>
      <c r="F861" s="309"/>
      <c r="G861" s="309"/>
      <c r="H861" s="309"/>
      <c r="I861" s="309"/>
      <c r="J861" s="309"/>
      <c r="K861" s="1020"/>
      <c r="L861" s="309"/>
      <c r="M861" s="309"/>
      <c r="N861" s="309"/>
      <c r="O861" s="309"/>
      <c r="P861" s="326"/>
      <c r="Q861" s="309"/>
      <c r="R861" s="309"/>
      <c r="S861" s="309"/>
      <c r="T861" s="309"/>
      <c r="U861" s="309"/>
      <c r="V861" s="309"/>
      <c r="W861" s="309"/>
      <c r="X861" s="309"/>
      <c r="Y861" s="309"/>
      <c r="Z861" s="309"/>
    </row>
    <row r="862" spans="1:26" ht="12.75" customHeight="1">
      <c r="A862" s="309"/>
      <c r="B862" s="309"/>
      <c r="C862" s="309"/>
      <c r="D862" s="309"/>
      <c r="E862" s="309"/>
      <c r="F862" s="309"/>
      <c r="G862" s="309"/>
      <c r="H862" s="309"/>
      <c r="I862" s="309"/>
      <c r="J862" s="309"/>
      <c r="K862" s="1020"/>
      <c r="L862" s="309"/>
      <c r="M862" s="309"/>
      <c r="N862" s="309"/>
      <c r="O862" s="309"/>
      <c r="P862" s="326"/>
      <c r="Q862" s="309"/>
      <c r="R862" s="309"/>
      <c r="S862" s="309"/>
      <c r="T862" s="309"/>
      <c r="U862" s="309"/>
      <c r="V862" s="309"/>
      <c r="W862" s="309"/>
      <c r="X862" s="309"/>
      <c r="Y862" s="309"/>
      <c r="Z862" s="309"/>
    </row>
    <row r="863" spans="1:26" ht="12.75" customHeight="1">
      <c r="A863" s="309"/>
      <c r="B863" s="309"/>
      <c r="C863" s="309"/>
      <c r="D863" s="309"/>
      <c r="E863" s="309"/>
      <c r="F863" s="309"/>
      <c r="G863" s="309"/>
      <c r="H863" s="309"/>
      <c r="I863" s="309"/>
      <c r="J863" s="309"/>
      <c r="K863" s="1020"/>
      <c r="L863" s="309"/>
      <c r="M863" s="309"/>
      <c r="N863" s="309"/>
      <c r="O863" s="309"/>
      <c r="P863" s="326"/>
      <c r="Q863" s="309"/>
      <c r="R863" s="309"/>
      <c r="S863" s="309"/>
      <c r="T863" s="309"/>
      <c r="U863" s="309"/>
      <c r="V863" s="309"/>
      <c r="W863" s="309"/>
      <c r="X863" s="309"/>
      <c r="Y863" s="309"/>
      <c r="Z863" s="309"/>
    </row>
    <row r="864" spans="1:26" ht="12.75" customHeight="1">
      <c r="A864" s="309"/>
      <c r="B864" s="309"/>
      <c r="C864" s="309"/>
      <c r="D864" s="309"/>
      <c r="E864" s="309"/>
      <c r="F864" s="309"/>
      <c r="G864" s="309"/>
      <c r="H864" s="309"/>
      <c r="I864" s="309"/>
      <c r="J864" s="309"/>
      <c r="K864" s="1020"/>
      <c r="L864" s="309"/>
      <c r="M864" s="309"/>
      <c r="N864" s="309"/>
      <c r="O864" s="309"/>
      <c r="P864" s="326"/>
      <c r="Q864" s="309"/>
      <c r="R864" s="309"/>
      <c r="S864" s="309"/>
      <c r="T864" s="309"/>
      <c r="U864" s="309"/>
      <c r="V864" s="309"/>
      <c r="W864" s="309"/>
      <c r="X864" s="309"/>
      <c r="Y864" s="309"/>
      <c r="Z864" s="309"/>
    </row>
    <row r="865" spans="1:26" ht="12.75" customHeight="1">
      <c r="A865" s="309"/>
      <c r="B865" s="309"/>
      <c r="C865" s="309"/>
      <c r="D865" s="309"/>
      <c r="E865" s="309"/>
      <c r="F865" s="309"/>
      <c r="G865" s="309"/>
      <c r="H865" s="309"/>
      <c r="I865" s="309"/>
      <c r="J865" s="309"/>
      <c r="K865" s="1020"/>
      <c r="L865" s="309"/>
      <c r="M865" s="309"/>
      <c r="N865" s="309"/>
      <c r="O865" s="309"/>
      <c r="P865" s="326"/>
      <c r="Q865" s="309"/>
      <c r="R865" s="309"/>
      <c r="S865" s="309"/>
      <c r="T865" s="309"/>
      <c r="U865" s="309"/>
      <c r="V865" s="309"/>
      <c r="W865" s="309"/>
      <c r="X865" s="309"/>
      <c r="Y865" s="309"/>
      <c r="Z865" s="309"/>
    </row>
    <row r="866" spans="1:26" ht="12.75" customHeight="1">
      <c r="A866" s="309"/>
      <c r="B866" s="309"/>
      <c r="C866" s="309"/>
      <c r="D866" s="309"/>
      <c r="E866" s="309"/>
      <c r="F866" s="309"/>
      <c r="G866" s="309"/>
      <c r="H866" s="309"/>
      <c r="I866" s="309"/>
      <c r="J866" s="309"/>
      <c r="K866" s="1020"/>
      <c r="L866" s="309"/>
      <c r="M866" s="309"/>
      <c r="N866" s="309"/>
      <c r="O866" s="309"/>
      <c r="P866" s="326"/>
      <c r="Q866" s="309"/>
      <c r="R866" s="309"/>
      <c r="S866" s="309"/>
      <c r="T866" s="309"/>
      <c r="U866" s="309"/>
      <c r="V866" s="309"/>
      <c r="W866" s="309"/>
      <c r="X866" s="309"/>
      <c r="Y866" s="309"/>
      <c r="Z866" s="309"/>
    </row>
    <row r="867" spans="1:26" ht="12.75" customHeight="1">
      <c r="A867" s="309"/>
      <c r="B867" s="309"/>
      <c r="C867" s="309"/>
      <c r="D867" s="309"/>
      <c r="E867" s="309"/>
      <c r="F867" s="309"/>
      <c r="G867" s="309"/>
      <c r="H867" s="309"/>
      <c r="I867" s="309"/>
      <c r="J867" s="309"/>
      <c r="K867" s="1020"/>
      <c r="L867" s="309"/>
      <c r="M867" s="309"/>
      <c r="N867" s="309"/>
      <c r="O867" s="309"/>
      <c r="P867" s="326"/>
      <c r="Q867" s="309"/>
      <c r="R867" s="309"/>
      <c r="S867" s="309"/>
      <c r="T867" s="309"/>
      <c r="U867" s="309"/>
      <c r="V867" s="309"/>
      <c r="W867" s="309"/>
      <c r="X867" s="309"/>
      <c r="Y867" s="309"/>
      <c r="Z867" s="309"/>
    </row>
    <row r="868" spans="1:26" ht="12.75" customHeight="1">
      <c r="A868" s="309"/>
      <c r="B868" s="309"/>
      <c r="C868" s="309"/>
      <c r="D868" s="309"/>
      <c r="E868" s="309"/>
      <c r="F868" s="309"/>
      <c r="G868" s="309"/>
      <c r="H868" s="309"/>
      <c r="I868" s="309"/>
      <c r="J868" s="309"/>
      <c r="K868" s="1020"/>
      <c r="L868" s="309"/>
      <c r="M868" s="309"/>
      <c r="N868" s="309"/>
      <c r="O868" s="309"/>
      <c r="P868" s="326"/>
      <c r="Q868" s="309"/>
      <c r="R868" s="309"/>
      <c r="S868" s="309"/>
      <c r="T868" s="309"/>
      <c r="U868" s="309"/>
      <c r="V868" s="309"/>
      <c r="W868" s="309"/>
      <c r="X868" s="309"/>
      <c r="Y868" s="309"/>
      <c r="Z868" s="309"/>
    </row>
    <row r="869" spans="1:26" ht="12.75" customHeight="1">
      <c r="A869" s="309"/>
      <c r="B869" s="309"/>
      <c r="C869" s="309"/>
      <c r="D869" s="309"/>
      <c r="E869" s="309"/>
      <c r="F869" s="309"/>
      <c r="G869" s="309"/>
      <c r="H869" s="309"/>
      <c r="I869" s="309"/>
      <c r="J869" s="309"/>
      <c r="K869" s="1020"/>
      <c r="L869" s="309"/>
      <c r="M869" s="309"/>
      <c r="N869" s="309"/>
      <c r="O869" s="309"/>
      <c r="P869" s="326"/>
      <c r="Q869" s="309"/>
      <c r="R869" s="309"/>
      <c r="S869" s="309"/>
      <c r="T869" s="309"/>
      <c r="U869" s="309"/>
      <c r="V869" s="309"/>
      <c r="W869" s="309"/>
      <c r="X869" s="309"/>
      <c r="Y869" s="309"/>
      <c r="Z869" s="309"/>
    </row>
    <row r="870" spans="1:26" ht="12.75" customHeight="1">
      <c r="A870" s="309"/>
      <c r="B870" s="309"/>
      <c r="C870" s="309"/>
      <c r="D870" s="309"/>
      <c r="E870" s="309"/>
      <c r="F870" s="309"/>
      <c r="G870" s="309"/>
      <c r="H870" s="309"/>
      <c r="I870" s="309"/>
      <c r="J870" s="309"/>
      <c r="K870" s="1020"/>
      <c r="L870" s="309"/>
      <c r="M870" s="309"/>
      <c r="N870" s="309"/>
      <c r="O870" s="309"/>
      <c r="P870" s="326"/>
      <c r="Q870" s="309"/>
      <c r="R870" s="309"/>
      <c r="S870" s="309"/>
      <c r="T870" s="309"/>
      <c r="U870" s="309"/>
      <c r="V870" s="309"/>
      <c r="W870" s="309"/>
      <c r="X870" s="309"/>
      <c r="Y870" s="309"/>
      <c r="Z870" s="309"/>
    </row>
    <row r="871" spans="1:26" ht="12.75" customHeight="1">
      <c r="A871" s="309"/>
      <c r="B871" s="309"/>
      <c r="C871" s="309"/>
      <c r="D871" s="309"/>
      <c r="E871" s="309"/>
      <c r="F871" s="309"/>
      <c r="G871" s="309"/>
      <c r="H871" s="309"/>
      <c r="I871" s="309"/>
      <c r="J871" s="309"/>
      <c r="K871" s="1020"/>
      <c r="L871" s="309"/>
      <c r="M871" s="309"/>
      <c r="N871" s="309"/>
      <c r="O871" s="309"/>
      <c r="P871" s="326"/>
      <c r="Q871" s="309"/>
      <c r="R871" s="309"/>
      <c r="S871" s="309"/>
      <c r="T871" s="309"/>
      <c r="U871" s="309"/>
      <c r="V871" s="309"/>
      <c r="W871" s="309"/>
      <c r="X871" s="309"/>
      <c r="Y871" s="309"/>
      <c r="Z871" s="309"/>
    </row>
    <row r="872" spans="1:26" ht="12.75" customHeight="1">
      <c r="A872" s="309"/>
      <c r="B872" s="309"/>
      <c r="C872" s="309"/>
      <c r="D872" s="309"/>
      <c r="E872" s="309"/>
      <c r="F872" s="309"/>
      <c r="G872" s="309"/>
      <c r="H872" s="309"/>
      <c r="I872" s="309"/>
      <c r="J872" s="309"/>
      <c r="K872" s="1020"/>
      <c r="L872" s="309"/>
      <c r="M872" s="309"/>
      <c r="N872" s="309"/>
      <c r="O872" s="309"/>
      <c r="P872" s="326"/>
      <c r="Q872" s="309"/>
      <c r="R872" s="309"/>
      <c r="S872" s="309"/>
      <c r="T872" s="309"/>
      <c r="U872" s="309"/>
      <c r="V872" s="309"/>
      <c r="W872" s="309"/>
      <c r="X872" s="309"/>
      <c r="Y872" s="309"/>
      <c r="Z872" s="309"/>
    </row>
    <row r="873" spans="1:26" ht="12.75" customHeight="1">
      <c r="A873" s="309"/>
      <c r="B873" s="309"/>
      <c r="C873" s="309"/>
      <c r="D873" s="309"/>
      <c r="E873" s="309"/>
      <c r="F873" s="309"/>
      <c r="G873" s="309"/>
      <c r="H873" s="309"/>
      <c r="I873" s="309"/>
      <c r="J873" s="309"/>
      <c r="K873" s="1020"/>
      <c r="L873" s="309"/>
      <c r="M873" s="309"/>
      <c r="N873" s="309"/>
      <c r="O873" s="309"/>
      <c r="P873" s="326"/>
      <c r="Q873" s="309"/>
      <c r="R873" s="309"/>
      <c r="S873" s="309"/>
      <c r="T873" s="309"/>
      <c r="U873" s="309"/>
      <c r="V873" s="309"/>
      <c r="W873" s="309"/>
      <c r="X873" s="309"/>
      <c r="Y873" s="309"/>
      <c r="Z873" s="309"/>
    </row>
    <row r="874" spans="1:26" ht="12.75" customHeight="1">
      <c r="A874" s="309"/>
      <c r="B874" s="309"/>
      <c r="C874" s="309"/>
      <c r="D874" s="309"/>
      <c r="E874" s="309"/>
      <c r="F874" s="309"/>
      <c r="G874" s="309"/>
      <c r="H874" s="309"/>
      <c r="I874" s="309"/>
      <c r="J874" s="309"/>
      <c r="K874" s="1020"/>
      <c r="L874" s="309"/>
      <c r="M874" s="309"/>
      <c r="N874" s="309"/>
      <c r="O874" s="309"/>
      <c r="P874" s="326"/>
      <c r="Q874" s="309"/>
      <c r="R874" s="309"/>
      <c r="S874" s="309"/>
      <c r="T874" s="309"/>
      <c r="U874" s="309"/>
      <c r="V874" s="309"/>
      <c r="W874" s="309"/>
      <c r="X874" s="309"/>
      <c r="Y874" s="309"/>
      <c r="Z874" s="309"/>
    </row>
    <row r="875" spans="1:26" ht="12.75" customHeight="1">
      <c r="A875" s="309"/>
      <c r="B875" s="309"/>
      <c r="C875" s="309"/>
      <c r="D875" s="309"/>
      <c r="E875" s="309"/>
      <c r="F875" s="309"/>
      <c r="G875" s="309"/>
      <c r="H875" s="309"/>
      <c r="I875" s="309"/>
      <c r="J875" s="309"/>
      <c r="K875" s="1020"/>
      <c r="L875" s="309"/>
      <c r="M875" s="309"/>
      <c r="N875" s="309"/>
      <c r="O875" s="309"/>
      <c r="P875" s="326"/>
      <c r="Q875" s="309"/>
      <c r="R875" s="309"/>
      <c r="S875" s="309"/>
      <c r="T875" s="309"/>
      <c r="U875" s="309"/>
      <c r="V875" s="309"/>
      <c r="W875" s="309"/>
      <c r="X875" s="309"/>
      <c r="Y875" s="309"/>
      <c r="Z875" s="309"/>
    </row>
    <row r="876" spans="1:26" ht="12.75" customHeight="1">
      <c r="A876" s="309"/>
      <c r="B876" s="309"/>
      <c r="C876" s="309"/>
      <c r="D876" s="309"/>
      <c r="E876" s="309"/>
      <c r="F876" s="309"/>
      <c r="G876" s="309"/>
      <c r="H876" s="309"/>
      <c r="I876" s="309"/>
      <c r="J876" s="309"/>
      <c r="K876" s="1020"/>
      <c r="L876" s="309"/>
      <c r="M876" s="309"/>
      <c r="N876" s="309"/>
      <c r="O876" s="309"/>
      <c r="P876" s="326"/>
      <c r="Q876" s="309"/>
      <c r="R876" s="309"/>
      <c r="S876" s="309"/>
      <c r="T876" s="309"/>
      <c r="U876" s="309"/>
      <c r="V876" s="309"/>
      <c r="W876" s="309"/>
      <c r="X876" s="309"/>
      <c r="Y876" s="309"/>
      <c r="Z876" s="309"/>
    </row>
    <row r="877" spans="1:26" ht="12.75" customHeight="1">
      <c r="A877" s="309"/>
      <c r="B877" s="309"/>
      <c r="C877" s="309"/>
      <c r="D877" s="309"/>
      <c r="E877" s="309"/>
      <c r="F877" s="309"/>
      <c r="G877" s="309"/>
      <c r="H877" s="309"/>
      <c r="I877" s="309"/>
      <c r="J877" s="309"/>
      <c r="K877" s="1020"/>
      <c r="L877" s="309"/>
      <c r="M877" s="309"/>
      <c r="N877" s="309"/>
      <c r="O877" s="309"/>
      <c r="P877" s="326"/>
      <c r="Q877" s="309"/>
      <c r="R877" s="309"/>
      <c r="S877" s="309"/>
      <c r="T877" s="309"/>
      <c r="U877" s="309"/>
      <c r="V877" s="309"/>
      <c r="W877" s="309"/>
      <c r="X877" s="309"/>
      <c r="Y877" s="309"/>
      <c r="Z877" s="309"/>
    </row>
    <row r="878" spans="1:26" ht="12.75" customHeight="1">
      <c r="A878" s="309"/>
      <c r="B878" s="309"/>
      <c r="C878" s="309"/>
      <c r="D878" s="309"/>
      <c r="E878" s="309"/>
      <c r="F878" s="309"/>
      <c r="G878" s="309"/>
      <c r="H878" s="309"/>
      <c r="I878" s="309"/>
      <c r="J878" s="309"/>
      <c r="K878" s="1020"/>
      <c r="L878" s="309"/>
      <c r="M878" s="309"/>
      <c r="N878" s="309"/>
      <c r="O878" s="309"/>
      <c r="P878" s="326"/>
      <c r="Q878" s="309"/>
      <c r="R878" s="309"/>
      <c r="S878" s="309"/>
      <c r="T878" s="309"/>
      <c r="U878" s="309"/>
      <c r="V878" s="309"/>
      <c r="W878" s="309"/>
      <c r="X878" s="309"/>
      <c r="Y878" s="309"/>
      <c r="Z878" s="309"/>
    </row>
    <row r="879" spans="1:26" ht="12.75" customHeight="1">
      <c r="A879" s="309"/>
      <c r="B879" s="309"/>
      <c r="C879" s="309"/>
      <c r="D879" s="309"/>
      <c r="E879" s="309"/>
      <c r="F879" s="309"/>
      <c r="G879" s="309"/>
      <c r="H879" s="309"/>
      <c r="I879" s="309"/>
      <c r="J879" s="309"/>
      <c r="K879" s="1020"/>
      <c r="L879" s="309"/>
      <c r="M879" s="309"/>
      <c r="N879" s="309"/>
      <c r="O879" s="309"/>
      <c r="P879" s="326"/>
      <c r="Q879" s="309"/>
      <c r="R879" s="309"/>
      <c r="S879" s="309"/>
      <c r="T879" s="309"/>
      <c r="U879" s="309"/>
      <c r="V879" s="309"/>
      <c r="W879" s="309"/>
      <c r="X879" s="309"/>
      <c r="Y879" s="309"/>
      <c r="Z879" s="309"/>
    </row>
    <row r="880" spans="1:26" ht="12.75" customHeight="1">
      <c r="A880" s="309"/>
      <c r="B880" s="309"/>
      <c r="C880" s="309"/>
      <c r="D880" s="309"/>
      <c r="E880" s="309"/>
      <c r="F880" s="309"/>
      <c r="G880" s="309"/>
      <c r="H880" s="309"/>
      <c r="I880" s="309"/>
      <c r="J880" s="309"/>
      <c r="K880" s="1020"/>
      <c r="L880" s="309"/>
      <c r="M880" s="309"/>
      <c r="N880" s="309"/>
      <c r="O880" s="309"/>
      <c r="P880" s="326"/>
      <c r="Q880" s="309"/>
      <c r="R880" s="309"/>
      <c r="S880" s="309"/>
      <c r="T880" s="309"/>
      <c r="U880" s="309"/>
      <c r="V880" s="309"/>
      <c r="W880" s="309"/>
      <c r="X880" s="309"/>
      <c r="Y880" s="309"/>
      <c r="Z880" s="309"/>
    </row>
    <row r="881" spans="1:26" ht="12.75" customHeight="1">
      <c r="A881" s="309"/>
      <c r="B881" s="309"/>
      <c r="C881" s="309"/>
      <c r="D881" s="309"/>
      <c r="E881" s="309"/>
      <c r="F881" s="309"/>
      <c r="G881" s="309"/>
      <c r="H881" s="309"/>
      <c r="I881" s="309"/>
      <c r="J881" s="309"/>
      <c r="K881" s="1020"/>
      <c r="L881" s="309"/>
      <c r="M881" s="309"/>
      <c r="N881" s="309"/>
      <c r="O881" s="309"/>
      <c r="P881" s="326"/>
      <c r="Q881" s="309"/>
      <c r="R881" s="309"/>
      <c r="S881" s="309"/>
      <c r="T881" s="309"/>
      <c r="U881" s="309"/>
      <c r="V881" s="309"/>
      <c r="W881" s="309"/>
      <c r="X881" s="309"/>
      <c r="Y881" s="309"/>
      <c r="Z881" s="309"/>
    </row>
    <row r="882" spans="1:26" ht="12.75" customHeight="1">
      <c r="A882" s="309"/>
      <c r="B882" s="309"/>
      <c r="C882" s="309"/>
      <c r="D882" s="309"/>
      <c r="E882" s="309"/>
      <c r="F882" s="309"/>
      <c r="G882" s="309"/>
      <c r="H882" s="309"/>
      <c r="I882" s="309"/>
      <c r="J882" s="309"/>
      <c r="K882" s="1020"/>
      <c r="L882" s="309"/>
      <c r="M882" s="309"/>
      <c r="N882" s="309"/>
      <c r="O882" s="309"/>
      <c r="P882" s="326"/>
      <c r="Q882" s="309"/>
      <c r="R882" s="309"/>
      <c r="S882" s="309"/>
      <c r="T882" s="309"/>
      <c r="U882" s="309"/>
      <c r="V882" s="309"/>
      <c r="W882" s="309"/>
      <c r="X882" s="309"/>
      <c r="Y882" s="309"/>
      <c r="Z882" s="309"/>
    </row>
    <row r="883" spans="1:26" ht="12.75" customHeight="1">
      <c r="A883" s="309"/>
      <c r="B883" s="309"/>
      <c r="C883" s="309"/>
      <c r="D883" s="309"/>
      <c r="E883" s="309"/>
      <c r="F883" s="309"/>
      <c r="G883" s="309"/>
      <c r="H883" s="309"/>
      <c r="I883" s="309"/>
      <c r="J883" s="309"/>
      <c r="K883" s="1020"/>
      <c r="L883" s="309"/>
      <c r="M883" s="309"/>
      <c r="N883" s="309"/>
      <c r="O883" s="309"/>
      <c r="P883" s="326"/>
      <c r="Q883" s="309"/>
      <c r="R883" s="309"/>
      <c r="S883" s="309"/>
      <c r="T883" s="309"/>
      <c r="U883" s="309"/>
      <c r="V883" s="309"/>
      <c r="W883" s="309"/>
      <c r="X883" s="309"/>
      <c r="Y883" s="309"/>
      <c r="Z883" s="309"/>
    </row>
    <row r="884" spans="1:26" ht="12.75" customHeight="1">
      <c r="A884" s="309"/>
      <c r="B884" s="309"/>
      <c r="C884" s="309"/>
      <c r="D884" s="309"/>
      <c r="E884" s="309"/>
      <c r="F884" s="309"/>
      <c r="G884" s="309"/>
      <c r="H884" s="309"/>
      <c r="I884" s="309"/>
      <c r="J884" s="309"/>
      <c r="K884" s="1020"/>
      <c r="L884" s="309"/>
      <c r="M884" s="309"/>
      <c r="N884" s="309"/>
      <c r="O884" s="309"/>
      <c r="P884" s="326"/>
      <c r="Q884" s="309"/>
      <c r="R884" s="309"/>
      <c r="S884" s="309"/>
      <c r="T884" s="309"/>
      <c r="U884" s="309"/>
      <c r="V884" s="309"/>
      <c r="W884" s="309"/>
      <c r="X884" s="309"/>
      <c r="Y884" s="309"/>
      <c r="Z884" s="309"/>
    </row>
    <row r="885" spans="1:26" ht="12.75" customHeight="1">
      <c r="A885" s="309"/>
      <c r="B885" s="309"/>
      <c r="C885" s="309"/>
      <c r="D885" s="309"/>
      <c r="E885" s="309"/>
      <c r="F885" s="309"/>
      <c r="G885" s="309"/>
      <c r="H885" s="309"/>
      <c r="I885" s="309"/>
      <c r="J885" s="309"/>
      <c r="K885" s="1020"/>
      <c r="L885" s="309"/>
      <c r="M885" s="309"/>
      <c r="N885" s="309"/>
      <c r="O885" s="309"/>
      <c r="P885" s="326"/>
      <c r="Q885" s="309"/>
      <c r="R885" s="309"/>
      <c r="S885" s="309"/>
      <c r="T885" s="309"/>
      <c r="U885" s="309"/>
      <c r="V885" s="309"/>
      <c r="W885" s="309"/>
      <c r="X885" s="309"/>
      <c r="Y885" s="309"/>
      <c r="Z885" s="309"/>
    </row>
    <row r="886" spans="1:26" ht="12.75" customHeight="1">
      <c r="A886" s="309"/>
      <c r="B886" s="309"/>
      <c r="C886" s="309"/>
      <c r="D886" s="309"/>
      <c r="E886" s="309"/>
      <c r="F886" s="309"/>
      <c r="G886" s="309"/>
      <c r="H886" s="309"/>
      <c r="I886" s="309"/>
      <c r="J886" s="309"/>
      <c r="K886" s="1020"/>
      <c r="L886" s="309"/>
      <c r="M886" s="309"/>
      <c r="N886" s="309"/>
      <c r="O886" s="309"/>
      <c r="P886" s="326"/>
      <c r="Q886" s="309"/>
      <c r="R886" s="309"/>
      <c r="S886" s="309"/>
      <c r="T886" s="309"/>
      <c r="U886" s="309"/>
      <c r="V886" s="309"/>
      <c r="W886" s="309"/>
      <c r="X886" s="309"/>
      <c r="Y886" s="309"/>
      <c r="Z886" s="309"/>
    </row>
    <row r="887" spans="1:26" ht="12.75" customHeight="1">
      <c r="A887" s="309"/>
      <c r="B887" s="309"/>
      <c r="C887" s="309"/>
      <c r="D887" s="309"/>
      <c r="E887" s="309"/>
      <c r="F887" s="309"/>
      <c r="G887" s="309"/>
      <c r="H887" s="309"/>
      <c r="I887" s="309"/>
      <c r="J887" s="309"/>
      <c r="K887" s="1020"/>
      <c r="L887" s="309"/>
      <c r="M887" s="309"/>
      <c r="N887" s="309"/>
      <c r="O887" s="309"/>
      <c r="P887" s="326"/>
      <c r="Q887" s="309"/>
      <c r="R887" s="309"/>
      <c r="S887" s="309"/>
      <c r="T887" s="309"/>
      <c r="U887" s="309"/>
      <c r="V887" s="309"/>
      <c r="W887" s="309"/>
      <c r="X887" s="309"/>
      <c r="Y887" s="309"/>
      <c r="Z887" s="309"/>
    </row>
    <row r="888" spans="1:26" ht="12.75" customHeight="1">
      <c r="A888" s="309"/>
      <c r="B888" s="309"/>
      <c r="C888" s="309"/>
      <c r="D888" s="309"/>
      <c r="E888" s="309"/>
      <c r="F888" s="309"/>
      <c r="G888" s="309"/>
      <c r="H888" s="309"/>
      <c r="I888" s="309"/>
      <c r="J888" s="309"/>
      <c r="K888" s="1020"/>
      <c r="L888" s="309"/>
      <c r="M888" s="309"/>
      <c r="N888" s="309"/>
      <c r="O888" s="309"/>
      <c r="P888" s="326"/>
      <c r="Q888" s="309"/>
      <c r="R888" s="309"/>
      <c r="S888" s="309"/>
      <c r="T888" s="309"/>
      <c r="U888" s="309"/>
      <c r="V888" s="309"/>
      <c r="W888" s="309"/>
      <c r="X888" s="309"/>
      <c r="Y888" s="309"/>
      <c r="Z888" s="309"/>
    </row>
    <row r="889" spans="1:26" ht="12.75" customHeight="1">
      <c r="A889" s="309"/>
      <c r="B889" s="309"/>
      <c r="C889" s="309"/>
      <c r="D889" s="309"/>
      <c r="E889" s="309"/>
      <c r="F889" s="309"/>
      <c r="G889" s="309"/>
      <c r="H889" s="309"/>
      <c r="I889" s="309"/>
      <c r="J889" s="309"/>
      <c r="K889" s="1020"/>
      <c r="L889" s="309"/>
      <c r="M889" s="309"/>
      <c r="N889" s="309"/>
      <c r="O889" s="309"/>
      <c r="P889" s="326"/>
      <c r="Q889" s="309"/>
      <c r="R889" s="309"/>
      <c r="S889" s="309"/>
      <c r="T889" s="309"/>
      <c r="U889" s="309"/>
      <c r="V889" s="309"/>
      <c r="W889" s="309"/>
      <c r="X889" s="309"/>
      <c r="Y889" s="309"/>
      <c r="Z889" s="309"/>
    </row>
    <row r="890" spans="1:26" ht="12.75" customHeight="1">
      <c r="A890" s="309"/>
      <c r="B890" s="309"/>
      <c r="C890" s="309"/>
      <c r="D890" s="309"/>
      <c r="E890" s="309"/>
      <c r="F890" s="309"/>
      <c r="G890" s="309"/>
      <c r="H890" s="309"/>
      <c r="I890" s="309"/>
      <c r="J890" s="309"/>
      <c r="K890" s="1020"/>
      <c r="L890" s="309"/>
      <c r="M890" s="309"/>
      <c r="N890" s="309"/>
      <c r="O890" s="309"/>
      <c r="P890" s="326"/>
      <c r="Q890" s="309"/>
      <c r="R890" s="309"/>
      <c r="S890" s="309"/>
      <c r="T890" s="309"/>
      <c r="U890" s="309"/>
      <c r="V890" s="309"/>
      <c r="W890" s="309"/>
      <c r="X890" s="309"/>
      <c r="Y890" s="309"/>
      <c r="Z890" s="309"/>
    </row>
    <row r="891" spans="1:26" ht="12.75" customHeight="1">
      <c r="A891" s="309"/>
      <c r="B891" s="309"/>
      <c r="C891" s="309"/>
      <c r="D891" s="309"/>
      <c r="E891" s="309"/>
      <c r="F891" s="309"/>
      <c r="G891" s="309"/>
      <c r="H891" s="309"/>
      <c r="I891" s="309"/>
      <c r="J891" s="309"/>
      <c r="K891" s="1020"/>
      <c r="L891" s="309"/>
      <c r="M891" s="309"/>
      <c r="N891" s="309"/>
      <c r="O891" s="309"/>
      <c r="P891" s="326"/>
      <c r="Q891" s="309"/>
      <c r="R891" s="309"/>
      <c r="S891" s="309"/>
      <c r="T891" s="309"/>
      <c r="U891" s="309"/>
      <c r="V891" s="309"/>
      <c r="W891" s="309"/>
      <c r="X891" s="309"/>
      <c r="Y891" s="309"/>
      <c r="Z891" s="309"/>
    </row>
    <row r="892" spans="1:26" ht="12.75" customHeight="1">
      <c r="A892" s="309"/>
      <c r="B892" s="309"/>
      <c r="C892" s="309"/>
      <c r="D892" s="309"/>
      <c r="E892" s="309"/>
      <c r="F892" s="309"/>
      <c r="G892" s="309"/>
      <c r="H892" s="309"/>
      <c r="I892" s="309"/>
      <c r="J892" s="309"/>
      <c r="K892" s="1020"/>
      <c r="L892" s="309"/>
      <c r="M892" s="309"/>
      <c r="N892" s="309"/>
      <c r="O892" s="309"/>
      <c r="P892" s="326"/>
      <c r="Q892" s="309"/>
      <c r="R892" s="309"/>
      <c r="S892" s="309"/>
      <c r="T892" s="309"/>
      <c r="U892" s="309"/>
      <c r="V892" s="309"/>
      <c r="W892" s="309"/>
      <c r="X892" s="309"/>
      <c r="Y892" s="309"/>
      <c r="Z892" s="309"/>
    </row>
    <row r="893" spans="1:26" ht="12.75" customHeight="1">
      <c r="A893" s="309"/>
      <c r="B893" s="309"/>
      <c r="C893" s="309"/>
      <c r="D893" s="309"/>
      <c r="E893" s="309"/>
      <c r="F893" s="309"/>
      <c r="G893" s="309"/>
      <c r="H893" s="309"/>
      <c r="I893" s="309"/>
      <c r="J893" s="309"/>
      <c r="K893" s="1020"/>
      <c r="L893" s="309"/>
      <c r="M893" s="309"/>
      <c r="N893" s="309"/>
      <c r="O893" s="309"/>
      <c r="P893" s="326"/>
      <c r="Q893" s="309"/>
      <c r="R893" s="309"/>
      <c r="S893" s="309"/>
      <c r="T893" s="309"/>
      <c r="U893" s="309"/>
      <c r="V893" s="309"/>
      <c r="W893" s="309"/>
      <c r="X893" s="309"/>
      <c r="Y893" s="309"/>
      <c r="Z893" s="309"/>
    </row>
    <row r="894" spans="1:26" ht="12.75" customHeight="1">
      <c r="A894" s="309"/>
      <c r="B894" s="309"/>
      <c r="C894" s="309"/>
      <c r="D894" s="309"/>
      <c r="E894" s="309"/>
      <c r="F894" s="309"/>
      <c r="G894" s="309"/>
      <c r="H894" s="309"/>
      <c r="I894" s="309"/>
      <c r="J894" s="309"/>
      <c r="K894" s="1020"/>
      <c r="L894" s="309"/>
      <c r="M894" s="309"/>
      <c r="N894" s="309"/>
      <c r="O894" s="309"/>
      <c r="P894" s="326"/>
      <c r="Q894" s="309"/>
      <c r="R894" s="309"/>
      <c r="S894" s="309"/>
      <c r="T894" s="309"/>
      <c r="U894" s="309"/>
      <c r="V894" s="309"/>
      <c r="W894" s="309"/>
      <c r="X894" s="309"/>
      <c r="Y894" s="309"/>
      <c r="Z894" s="309"/>
    </row>
    <row r="895" spans="1:26" ht="12.75" customHeight="1">
      <c r="A895" s="309"/>
      <c r="B895" s="309"/>
      <c r="C895" s="309"/>
      <c r="D895" s="309"/>
      <c r="E895" s="309"/>
      <c r="F895" s="309"/>
      <c r="G895" s="309"/>
      <c r="H895" s="309"/>
      <c r="I895" s="309"/>
      <c r="J895" s="309"/>
      <c r="K895" s="1020"/>
      <c r="L895" s="309"/>
      <c r="M895" s="309"/>
      <c r="N895" s="309"/>
      <c r="O895" s="309"/>
      <c r="P895" s="326"/>
      <c r="Q895" s="309"/>
      <c r="R895" s="309"/>
      <c r="S895" s="309"/>
      <c r="T895" s="309"/>
      <c r="U895" s="309"/>
      <c r="V895" s="309"/>
      <c r="W895" s="309"/>
      <c r="X895" s="309"/>
      <c r="Y895" s="309"/>
      <c r="Z895" s="309"/>
    </row>
    <row r="896" spans="1:26" ht="12.75" customHeight="1">
      <c r="A896" s="309"/>
      <c r="B896" s="309"/>
      <c r="C896" s="309"/>
      <c r="D896" s="309"/>
      <c r="E896" s="309"/>
      <c r="F896" s="309"/>
      <c r="G896" s="309"/>
      <c r="H896" s="309"/>
      <c r="I896" s="309"/>
      <c r="J896" s="309"/>
      <c r="K896" s="1020"/>
      <c r="L896" s="309"/>
      <c r="M896" s="309"/>
      <c r="N896" s="309"/>
      <c r="O896" s="309"/>
      <c r="P896" s="326"/>
      <c r="Q896" s="309"/>
      <c r="R896" s="309"/>
      <c r="S896" s="309"/>
      <c r="T896" s="309"/>
      <c r="U896" s="309"/>
      <c r="V896" s="309"/>
      <c r="W896" s="309"/>
      <c r="X896" s="309"/>
      <c r="Y896" s="309"/>
      <c r="Z896" s="309"/>
    </row>
    <row r="897" spans="1:26" ht="12.75" customHeight="1">
      <c r="A897" s="309"/>
      <c r="B897" s="309"/>
      <c r="C897" s="309"/>
      <c r="D897" s="309"/>
      <c r="E897" s="309"/>
      <c r="F897" s="309"/>
      <c r="G897" s="309"/>
      <c r="H897" s="309"/>
      <c r="I897" s="309"/>
      <c r="J897" s="309"/>
      <c r="K897" s="1020"/>
      <c r="L897" s="309"/>
      <c r="M897" s="309"/>
      <c r="N897" s="309"/>
      <c r="O897" s="309"/>
      <c r="P897" s="326"/>
      <c r="Q897" s="309"/>
      <c r="R897" s="309"/>
      <c r="S897" s="309"/>
      <c r="T897" s="309"/>
      <c r="U897" s="309"/>
      <c r="V897" s="309"/>
      <c r="W897" s="309"/>
      <c r="X897" s="309"/>
      <c r="Y897" s="309"/>
      <c r="Z897" s="309"/>
    </row>
    <row r="898" spans="1:26" ht="12.75" customHeight="1">
      <c r="A898" s="309"/>
      <c r="B898" s="309"/>
      <c r="C898" s="309"/>
      <c r="D898" s="309"/>
      <c r="E898" s="309"/>
      <c r="F898" s="309"/>
      <c r="G898" s="309"/>
      <c r="H898" s="309"/>
      <c r="I898" s="309"/>
      <c r="J898" s="309"/>
      <c r="K898" s="1020"/>
      <c r="L898" s="309"/>
      <c r="M898" s="309"/>
      <c r="N898" s="309"/>
      <c r="O898" s="309"/>
      <c r="P898" s="326"/>
      <c r="Q898" s="309"/>
      <c r="R898" s="309"/>
      <c r="S898" s="309"/>
      <c r="T898" s="309"/>
      <c r="U898" s="309"/>
      <c r="V898" s="309"/>
      <c r="W898" s="309"/>
      <c r="X898" s="309"/>
      <c r="Y898" s="309"/>
      <c r="Z898" s="309"/>
    </row>
    <row r="899" spans="1:26" ht="12.75" customHeight="1">
      <c r="A899" s="309"/>
      <c r="B899" s="309"/>
      <c r="C899" s="309"/>
      <c r="D899" s="309"/>
      <c r="E899" s="309"/>
      <c r="F899" s="309"/>
      <c r="G899" s="309"/>
      <c r="H899" s="309"/>
      <c r="I899" s="309"/>
      <c r="J899" s="309"/>
      <c r="K899" s="1020"/>
      <c r="L899" s="309"/>
      <c r="M899" s="309"/>
      <c r="N899" s="309"/>
      <c r="O899" s="309"/>
      <c r="P899" s="326"/>
      <c r="Q899" s="309"/>
      <c r="R899" s="309"/>
      <c r="S899" s="309"/>
      <c r="T899" s="309"/>
      <c r="U899" s="309"/>
      <c r="V899" s="309"/>
      <c r="W899" s="309"/>
      <c r="X899" s="309"/>
      <c r="Y899" s="309"/>
      <c r="Z899" s="309"/>
    </row>
    <row r="900" spans="1:26" ht="12.75" customHeight="1">
      <c r="A900" s="309"/>
      <c r="B900" s="309"/>
      <c r="C900" s="309"/>
      <c r="D900" s="309"/>
      <c r="E900" s="309"/>
      <c r="F900" s="309"/>
      <c r="G900" s="309"/>
      <c r="H900" s="309"/>
      <c r="I900" s="309"/>
      <c r="J900" s="309"/>
      <c r="K900" s="1020"/>
      <c r="L900" s="309"/>
      <c r="M900" s="309"/>
      <c r="N900" s="309"/>
      <c r="O900" s="309"/>
      <c r="P900" s="326"/>
      <c r="Q900" s="309"/>
      <c r="R900" s="309"/>
      <c r="S900" s="309"/>
      <c r="T900" s="309"/>
      <c r="U900" s="309"/>
      <c r="V900" s="309"/>
      <c r="W900" s="309"/>
      <c r="X900" s="309"/>
      <c r="Y900" s="309"/>
      <c r="Z900" s="309"/>
    </row>
    <row r="901" spans="1:26" ht="12.75" customHeight="1">
      <c r="A901" s="309"/>
      <c r="B901" s="309"/>
      <c r="C901" s="309"/>
      <c r="D901" s="309"/>
      <c r="E901" s="309"/>
      <c r="F901" s="309"/>
      <c r="G901" s="309"/>
      <c r="H901" s="309"/>
      <c r="I901" s="309"/>
      <c r="J901" s="309"/>
      <c r="K901" s="1020"/>
      <c r="L901" s="309"/>
      <c r="M901" s="309"/>
      <c r="N901" s="309"/>
      <c r="O901" s="309"/>
      <c r="P901" s="326"/>
      <c r="Q901" s="309"/>
      <c r="R901" s="309"/>
      <c r="S901" s="309"/>
      <c r="T901" s="309"/>
      <c r="U901" s="309"/>
      <c r="V901" s="309"/>
      <c r="W901" s="309"/>
      <c r="X901" s="309"/>
      <c r="Y901" s="309"/>
      <c r="Z901" s="309"/>
    </row>
    <row r="902" spans="1:26" ht="12.75" customHeight="1">
      <c r="A902" s="309"/>
      <c r="B902" s="309"/>
      <c r="C902" s="309"/>
      <c r="D902" s="309"/>
      <c r="E902" s="309"/>
      <c r="F902" s="309"/>
      <c r="G902" s="309"/>
      <c r="H902" s="309"/>
      <c r="I902" s="309"/>
      <c r="J902" s="309"/>
      <c r="K902" s="1020"/>
      <c r="L902" s="309"/>
      <c r="M902" s="309"/>
      <c r="N902" s="309"/>
      <c r="O902" s="309"/>
      <c r="P902" s="326"/>
      <c r="Q902" s="309"/>
      <c r="R902" s="309"/>
      <c r="S902" s="309"/>
      <c r="T902" s="309"/>
      <c r="U902" s="309"/>
      <c r="V902" s="309"/>
      <c r="W902" s="309"/>
      <c r="X902" s="309"/>
      <c r="Y902" s="309"/>
      <c r="Z902" s="309"/>
    </row>
    <row r="903" spans="1:26" ht="12.75" customHeight="1">
      <c r="A903" s="309"/>
      <c r="B903" s="309"/>
      <c r="C903" s="309"/>
      <c r="D903" s="309"/>
      <c r="E903" s="309"/>
      <c r="F903" s="309"/>
      <c r="G903" s="309"/>
      <c r="H903" s="309"/>
      <c r="I903" s="309"/>
      <c r="J903" s="309"/>
      <c r="K903" s="1020"/>
      <c r="L903" s="309"/>
      <c r="M903" s="309"/>
      <c r="N903" s="309"/>
      <c r="O903" s="309"/>
      <c r="P903" s="326"/>
      <c r="Q903" s="309"/>
      <c r="R903" s="309"/>
      <c r="S903" s="309"/>
      <c r="T903" s="309"/>
      <c r="U903" s="309"/>
      <c r="V903" s="309"/>
      <c r="W903" s="309"/>
      <c r="X903" s="309"/>
      <c r="Y903" s="309"/>
      <c r="Z903" s="309"/>
    </row>
    <row r="904" spans="1:26" ht="12.75" customHeight="1">
      <c r="A904" s="309"/>
      <c r="B904" s="309"/>
      <c r="C904" s="309"/>
      <c r="D904" s="309"/>
      <c r="E904" s="309"/>
      <c r="F904" s="309"/>
      <c r="G904" s="309"/>
      <c r="H904" s="309"/>
      <c r="I904" s="309"/>
      <c r="J904" s="309"/>
      <c r="K904" s="1020"/>
      <c r="L904" s="309"/>
      <c r="M904" s="309"/>
      <c r="N904" s="309"/>
      <c r="O904" s="309"/>
      <c r="P904" s="326"/>
      <c r="Q904" s="309"/>
      <c r="R904" s="309"/>
      <c r="S904" s="309"/>
      <c r="T904" s="309"/>
      <c r="U904" s="309"/>
      <c r="V904" s="309"/>
      <c r="W904" s="309"/>
      <c r="X904" s="309"/>
      <c r="Y904" s="309"/>
      <c r="Z904" s="309"/>
    </row>
    <row r="905" spans="1:26" ht="12.75" customHeight="1">
      <c r="A905" s="309"/>
      <c r="B905" s="309"/>
      <c r="C905" s="309"/>
      <c r="D905" s="309"/>
      <c r="E905" s="309"/>
      <c r="F905" s="309"/>
      <c r="G905" s="309"/>
      <c r="H905" s="309"/>
      <c r="I905" s="309"/>
      <c r="J905" s="309"/>
      <c r="K905" s="1020"/>
      <c r="L905" s="309"/>
      <c r="M905" s="309"/>
      <c r="N905" s="309"/>
      <c r="O905" s="309"/>
      <c r="P905" s="326"/>
      <c r="Q905" s="309"/>
      <c r="R905" s="309"/>
      <c r="S905" s="309"/>
      <c r="T905" s="309"/>
      <c r="U905" s="309"/>
      <c r="V905" s="309"/>
      <c r="W905" s="309"/>
      <c r="X905" s="309"/>
      <c r="Y905" s="309"/>
      <c r="Z905" s="309"/>
    </row>
    <row r="906" spans="1:26" ht="12.75" customHeight="1">
      <c r="A906" s="309"/>
      <c r="B906" s="309"/>
      <c r="C906" s="309"/>
      <c r="D906" s="309"/>
      <c r="E906" s="309"/>
      <c r="F906" s="309"/>
      <c r="G906" s="309"/>
      <c r="H906" s="309"/>
      <c r="I906" s="309"/>
      <c r="J906" s="309"/>
      <c r="K906" s="1020"/>
      <c r="L906" s="309"/>
      <c r="M906" s="309"/>
      <c r="N906" s="309"/>
      <c r="O906" s="309"/>
      <c r="P906" s="326"/>
      <c r="Q906" s="309"/>
      <c r="R906" s="309"/>
      <c r="S906" s="309"/>
      <c r="T906" s="309"/>
      <c r="U906" s="309"/>
      <c r="V906" s="309"/>
      <c r="W906" s="309"/>
      <c r="X906" s="309"/>
      <c r="Y906" s="309"/>
      <c r="Z906" s="309"/>
    </row>
    <row r="907" spans="1:26" ht="12.75" customHeight="1">
      <c r="A907" s="309"/>
      <c r="B907" s="309"/>
      <c r="C907" s="309"/>
      <c r="D907" s="309"/>
      <c r="E907" s="309"/>
      <c r="F907" s="309"/>
      <c r="G907" s="309"/>
      <c r="H907" s="309"/>
      <c r="I907" s="309"/>
      <c r="J907" s="309"/>
      <c r="K907" s="1020"/>
      <c r="L907" s="309"/>
      <c r="M907" s="309"/>
      <c r="N907" s="309"/>
      <c r="O907" s="309"/>
      <c r="P907" s="326"/>
      <c r="Q907" s="309"/>
      <c r="R907" s="309"/>
      <c r="S907" s="309"/>
      <c r="T907" s="309"/>
      <c r="U907" s="309"/>
      <c r="V907" s="309"/>
      <c r="W907" s="309"/>
      <c r="X907" s="309"/>
      <c r="Y907" s="309"/>
      <c r="Z907" s="309"/>
    </row>
    <row r="908" spans="1:26" ht="12.75" customHeight="1">
      <c r="A908" s="309"/>
      <c r="B908" s="309"/>
      <c r="C908" s="309"/>
      <c r="D908" s="309"/>
      <c r="E908" s="309"/>
      <c r="F908" s="309"/>
      <c r="G908" s="309"/>
      <c r="H908" s="309"/>
      <c r="I908" s="309"/>
      <c r="J908" s="309"/>
      <c r="K908" s="1020"/>
      <c r="L908" s="309"/>
      <c r="M908" s="309"/>
      <c r="N908" s="309"/>
      <c r="O908" s="309"/>
      <c r="P908" s="326"/>
      <c r="Q908" s="309"/>
      <c r="R908" s="309"/>
      <c r="S908" s="309"/>
      <c r="T908" s="309"/>
      <c r="U908" s="309"/>
      <c r="V908" s="309"/>
      <c r="W908" s="309"/>
      <c r="X908" s="309"/>
      <c r="Y908" s="309"/>
      <c r="Z908" s="309"/>
    </row>
    <row r="909" spans="1:26" ht="12.75" customHeight="1">
      <c r="A909" s="309"/>
      <c r="B909" s="309"/>
      <c r="C909" s="309"/>
      <c r="D909" s="309"/>
      <c r="E909" s="309"/>
      <c r="F909" s="309"/>
      <c r="G909" s="309"/>
      <c r="H909" s="309"/>
      <c r="I909" s="309"/>
      <c r="J909" s="309"/>
      <c r="K909" s="1020"/>
      <c r="L909" s="309"/>
      <c r="M909" s="309"/>
      <c r="N909" s="309"/>
      <c r="O909" s="309"/>
      <c r="P909" s="326"/>
      <c r="Q909" s="309"/>
      <c r="R909" s="309"/>
      <c r="S909" s="309"/>
      <c r="T909" s="309"/>
      <c r="U909" s="309"/>
      <c r="V909" s="309"/>
      <c r="W909" s="309"/>
      <c r="X909" s="309"/>
      <c r="Y909" s="309"/>
      <c r="Z909" s="309"/>
    </row>
    <row r="910" spans="1:26" ht="12.75" customHeight="1">
      <c r="A910" s="309"/>
      <c r="B910" s="309"/>
      <c r="C910" s="309"/>
      <c r="D910" s="309"/>
      <c r="E910" s="309"/>
      <c r="F910" s="309"/>
      <c r="G910" s="309"/>
      <c r="H910" s="309"/>
      <c r="I910" s="309"/>
      <c r="J910" s="309"/>
      <c r="K910" s="1020"/>
      <c r="L910" s="309"/>
      <c r="M910" s="309"/>
      <c r="N910" s="309"/>
      <c r="O910" s="309"/>
      <c r="P910" s="326"/>
      <c r="Q910" s="309"/>
      <c r="R910" s="309"/>
      <c r="S910" s="309"/>
      <c r="T910" s="309"/>
      <c r="U910" s="309"/>
      <c r="V910" s="309"/>
      <c r="W910" s="309"/>
      <c r="X910" s="309"/>
      <c r="Y910" s="309"/>
      <c r="Z910" s="309"/>
    </row>
    <row r="911" spans="1:26" ht="12.75" customHeight="1">
      <c r="A911" s="309"/>
      <c r="B911" s="309"/>
      <c r="C911" s="309"/>
      <c r="D911" s="309"/>
      <c r="E911" s="309"/>
      <c r="F911" s="309"/>
      <c r="G911" s="309"/>
      <c r="H911" s="309"/>
      <c r="I911" s="309"/>
      <c r="J911" s="309"/>
      <c r="K911" s="1020"/>
      <c r="L911" s="309"/>
      <c r="M911" s="309"/>
      <c r="N911" s="309"/>
      <c r="O911" s="309"/>
      <c r="P911" s="326"/>
      <c r="Q911" s="309"/>
      <c r="R911" s="309"/>
      <c r="S911" s="309"/>
      <c r="T911" s="309"/>
      <c r="U911" s="309"/>
      <c r="V911" s="309"/>
      <c r="W911" s="309"/>
      <c r="X911" s="309"/>
      <c r="Y911" s="309"/>
      <c r="Z911" s="309"/>
    </row>
    <row r="912" spans="1:26" ht="12.75" customHeight="1">
      <c r="A912" s="309"/>
      <c r="B912" s="309"/>
      <c r="C912" s="309"/>
      <c r="D912" s="309"/>
      <c r="E912" s="309"/>
      <c r="F912" s="309"/>
      <c r="G912" s="309"/>
      <c r="H912" s="309"/>
      <c r="I912" s="309"/>
      <c r="J912" s="309"/>
      <c r="K912" s="1020"/>
      <c r="L912" s="309"/>
      <c r="M912" s="309"/>
      <c r="N912" s="309"/>
      <c r="O912" s="309"/>
      <c r="P912" s="326"/>
      <c r="Q912" s="309"/>
      <c r="R912" s="309"/>
      <c r="S912" s="309"/>
      <c r="T912" s="309"/>
      <c r="U912" s="309"/>
      <c r="V912" s="309"/>
      <c r="W912" s="309"/>
      <c r="X912" s="309"/>
      <c r="Y912" s="309"/>
      <c r="Z912" s="309"/>
    </row>
    <row r="913" spans="1:26" ht="12.75" customHeight="1">
      <c r="A913" s="309"/>
      <c r="B913" s="309"/>
      <c r="C913" s="309"/>
      <c r="D913" s="309"/>
      <c r="E913" s="309"/>
      <c r="F913" s="309"/>
      <c r="G913" s="309"/>
      <c r="H913" s="309"/>
      <c r="I913" s="309"/>
      <c r="J913" s="309"/>
      <c r="K913" s="1020"/>
      <c r="L913" s="309"/>
      <c r="M913" s="309"/>
      <c r="N913" s="309"/>
      <c r="O913" s="309"/>
      <c r="P913" s="326"/>
      <c r="Q913" s="309"/>
      <c r="R913" s="309"/>
      <c r="S913" s="309"/>
      <c r="T913" s="309"/>
      <c r="U913" s="309"/>
      <c r="V913" s="309"/>
      <c r="W913" s="309"/>
      <c r="X913" s="309"/>
      <c r="Y913" s="309"/>
      <c r="Z913" s="309"/>
    </row>
    <row r="914" spans="1:26" ht="12.75" customHeight="1">
      <c r="A914" s="309"/>
      <c r="B914" s="309"/>
      <c r="C914" s="309"/>
      <c r="D914" s="309"/>
      <c r="E914" s="309"/>
      <c r="F914" s="309"/>
      <c r="G914" s="309"/>
      <c r="H914" s="309"/>
      <c r="I914" s="309"/>
      <c r="J914" s="309"/>
      <c r="K914" s="1020"/>
      <c r="L914" s="309"/>
      <c r="M914" s="309"/>
      <c r="N914" s="309"/>
      <c r="O914" s="309"/>
      <c r="P914" s="326"/>
      <c r="Q914" s="309"/>
      <c r="R914" s="309"/>
      <c r="S914" s="309"/>
      <c r="T914" s="309"/>
      <c r="U914" s="309"/>
      <c r="V914" s="309"/>
      <c r="W914" s="309"/>
      <c r="X914" s="309"/>
      <c r="Y914" s="309"/>
      <c r="Z914" s="309"/>
    </row>
    <row r="915" spans="1:26" ht="12.75" customHeight="1">
      <c r="A915" s="309"/>
      <c r="B915" s="309"/>
      <c r="C915" s="309"/>
      <c r="D915" s="309"/>
      <c r="E915" s="309"/>
      <c r="F915" s="309"/>
      <c r="G915" s="309"/>
      <c r="H915" s="309"/>
      <c r="I915" s="309"/>
      <c r="J915" s="309"/>
      <c r="K915" s="1020"/>
      <c r="L915" s="309"/>
      <c r="M915" s="309"/>
      <c r="N915" s="309"/>
      <c r="O915" s="309"/>
      <c r="P915" s="326"/>
      <c r="Q915" s="309"/>
      <c r="R915" s="309"/>
      <c r="S915" s="309"/>
      <c r="T915" s="309"/>
      <c r="U915" s="309"/>
      <c r="V915" s="309"/>
      <c r="W915" s="309"/>
      <c r="X915" s="309"/>
      <c r="Y915" s="309"/>
      <c r="Z915" s="309"/>
    </row>
    <row r="916" spans="1:26" ht="12.75" customHeight="1">
      <c r="A916" s="309"/>
      <c r="B916" s="309"/>
      <c r="C916" s="309"/>
      <c r="D916" s="309"/>
      <c r="E916" s="309"/>
      <c r="F916" s="309"/>
      <c r="G916" s="309"/>
      <c r="H916" s="309"/>
      <c r="I916" s="309"/>
      <c r="J916" s="309"/>
      <c r="K916" s="1020"/>
      <c r="L916" s="309"/>
      <c r="M916" s="309"/>
      <c r="N916" s="309"/>
      <c r="O916" s="309"/>
      <c r="P916" s="326"/>
      <c r="Q916" s="309"/>
      <c r="R916" s="309"/>
      <c r="S916" s="309"/>
      <c r="T916" s="309"/>
      <c r="U916" s="309"/>
      <c r="V916" s="309"/>
      <c r="W916" s="309"/>
      <c r="X916" s="309"/>
      <c r="Y916" s="309"/>
      <c r="Z916" s="309"/>
    </row>
    <row r="917" spans="1:26" ht="12.75" customHeight="1">
      <c r="A917" s="309"/>
      <c r="B917" s="309"/>
      <c r="C917" s="309"/>
      <c r="D917" s="309"/>
      <c r="E917" s="309"/>
      <c r="F917" s="309"/>
      <c r="G917" s="309"/>
      <c r="H917" s="309"/>
      <c r="I917" s="309"/>
      <c r="J917" s="309"/>
      <c r="K917" s="1020"/>
      <c r="L917" s="309"/>
      <c r="M917" s="309"/>
      <c r="N917" s="309"/>
      <c r="O917" s="309"/>
      <c r="P917" s="326"/>
      <c r="Q917" s="309"/>
      <c r="R917" s="309"/>
      <c r="S917" s="309"/>
      <c r="T917" s="309"/>
      <c r="U917" s="309"/>
      <c r="V917" s="309"/>
      <c r="W917" s="309"/>
      <c r="X917" s="309"/>
      <c r="Y917" s="309"/>
      <c r="Z917" s="309"/>
    </row>
    <row r="918" spans="1:26" ht="12.75" customHeight="1">
      <c r="A918" s="309"/>
      <c r="B918" s="309"/>
      <c r="C918" s="309"/>
      <c r="D918" s="309"/>
      <c r="E918" s="309"/>
      <c r="F918" s="309"/>
      <c r="G918" s="309"/>
      <c r="H918" s="309"/>
      <c r="I918" s="309"/>
      <c r="J918" s="309"/>
      <c r="K918" s="1020"/>
      <c r="L918" s="309"/>
      <c r="M918" s="309"/>
      <c r="N918" s="309"/>
      <c r="O918" s="309"/>
      <c r="P918" s="326"/>
      <c r="Q918" s="309"/>
      <c r="R918" s="309"/>
      <c r="S918" s="309"/>
      <c r="T918" s="309"/>
      <c r="U918" s="309"/>
      <c r="V918" s="309"/>
      <c r="W918" s="309"/>
      <c r="X918" s="309"/>
      <c r="Y918" s="309"/>
      <c r="Z918" s="309"/>
    </row>
    <row r="919" spans="1:26" ht="12.75" customHeight="1">
      <c r="A919" s="309"/>
      <c r="B919" s="309"/>
      <c r="C919" s="309"/>
      <c r="D919" s="309"/>
      <c r="E919" s="309"/>
      <c r="F919" s="309"/>
      <c r="G919" s="309"/>
      <c r="H919" s="309"/>
      <c r="I919" s="309"/>
      <c r="J919" s="309"/>
      <c r="K919" s="1020"/>
      <c r="L919" s="309"/>
      <c r="M919" s="309"/>
      <c r="N919" s="309"/>
      <c r="O919" s="309"/>
      <c r="P919" s="326"/>
      <c r="Q919" s="309"/>
      <c r="R919" s="309"/>
      <c r="S919" s="309"/>
      <c r="T919" s="309"/>
      <c r="U919" s="309"/>
      <c r="V919" s="309"/>
      <c r="W919" s="309"/>
      <c r="X919" s="309"/>
      <c r="Y919" s="309"/>
      <c r="Z919" s="309"/>
    </row>
    <row r="920" spans="1:26" ht="12.75" customHeight="1">
      <c r="A920" s="309"/>
      <c r="B920" s="309"/>
      <c r="C920" s="309"/>
      <c r="D920" s="309"/>
      <c r="E920" s="309"/>
      <c r="F920" s="309"/>
      <c r="G920" s="309"/>
      <c r="H920" s="309"/>
      <c r="I920" s="309"/>
      <c r="J920" s="309"/>
      <c r="K920" s="1020"/>
      <c r="L920" s="309"/>
      <c r="M920" s="309"/>
      <c r="N920" s="309"/>
      <c r="O920" s="309"/>
      <c r="P920" s="326"/>
      <c r="Q920" s="309"/>
      <c r="R920" s="309"/>
      <c r="S920" s="309"/>
      <c r="T920" s="309"/>
      <c r="U920" s="309"/>
      <c r="V920" s="309"/>
      <c r="W920" s="309"/>
      <c r="X920" s="309"/>
      <c r="Y920" s="309"/>
      <c r="Z920" s="309"/>
    </row>
    <row r="921" spans="1:26" ht="12.75" customHeight="1">
      <c r="A921" s="309"/>
      <c r="B921" s="309"/>
      <c r="C921" s="309"/>
      <c r="D921" s="309"/>
      <c r="E921" s="309"/>
      <c r="F921" s="309"/>
      <c r="G921" s="309"/>
      <c r="H921" s="309"/>
      <c r="I921" s="309"/>
      <c r="J921" s="309"/>
      <c r="K921" s="1020"/>
      <c r="L921" s="309"/>
      <c r="M921" s="309"/>
      <c r="N921" s="309"/>
      <c r="O921" s="309"/>
      <c r="P921" s="326"/>
      <c r="Q921" s="309"/>
      <c r="R921" s="309"/>
      <c r="S921" s="309"/>
      <c r="T921" s="309"/>
      <c r="U921" s="309"/>
      <c r="V921" s="309"/>
      <c r="W921" s="309"/>
      <c r="X921" s="309"/>
      <c r="Y921" s="309"/>
      <c r="Z921" s="309"/>
    </row>
    <row r="922" spans="1:26" ht="12.75" customHeight="1">
      <c r="A922" s="309"/>
      <c r="B922" s="309"/>
      <c r="C922" s="309"/>
      <c r="D922" s="309"/>
      <c r="E922" s="309"/>
      <c r="F922" s="309"/>
      <c r="G922" s="309"/>
      <c r="H922" s="309"/>
      <c r="I922" s="309"/>
      <c r="J922" s="309"/>
      <c r="K922" s="1020"/>
      <c r="L922" s="309"/>
      <c r="M922" s="309"/>
      <c r="N922" s="309"/>
      <c r="O922" s="309"/>
      <c r="P922" s="326"/>
      <c r="Q922" s="309"/>
      <c r="R922" s="309"/>
      <c r="S922" s="309"/>
      <c r="T922" s="309"/>
      <c r="U922" s="309"/>
      <c r="V922" s="309"/>
      <c r="W922" s="309"/>
      <c r="X922" s="309"/>
      <c r="Y922" s="309"/>
      <c r="Z922" s="309"/>
    </row>
    <row r="923" spans="1:26" ht="12.75" customHeight="1">
      <c r="A923" s="309"/>
      <c r="B923" s="309"/>
      <c r="C923" s="309"/>
      <c r="D923" s="309"/>
      <c r="E923" s="309"/>
      <c r="F923" s="309"/>
      <c r="G923" s="309"/>
      <c r="H923" s="309"/>
      <c r="I923" s="309"/>
      <c r="J923" s="309"/>
      <c r="K923" s="1020"/>
      <c r="L923" s="309"/>
      <c r="M923" s="309"/>
      <c r="N923" s="309"/>
      <c r="O923" s="309"/>
      <c r="P923" s="326"/>
      <c r="Q923" s="309"/>
      <c r="R923" s="309"/>
      <c r="S923" s="309"/>
      <c r="T923" s="309"/>
      <c r="U923" s="309"/>
      <c r="V923" s="309"/>
      <c r="W923" s="309"/>
      <c r="X923" s="309"/>
      <c r="Y923" s="309"/>
      <c r="Z923" s="309"/>
    </row>
    <row r="924" spans="1:26" ht="12.75" customHeight="1">
      <c r="A924" s="309"/>
      <c r="B924" s="309"/>
      <c r="C924" s="309"/>
      <c r="D924" s="309"/>
      <c r="E924" s="309"/>
      <c r="F924" s="309"/>
      <c r="G924" s="309"/>
      <c r="H924" s="309"/>
      <c r="I924" s="309"/>
      <c r="J924" s="309"/>
      <c r="K924" s="1020"/>
      <c r="L924" s="309"/>
      <c r="M924" s="309"/>
      <c r="N924" s="309"/>
      <c r="O924" s="309"/>
      <c r="P924" s="326"/>
      <c r="Q924" s="309"/>
      <c r="R924" s="309"/>
      <c r="S924" s="309"/>
      <c r="T924" s="309"/>
      <c r="U924" s="309"/>
      <c r="V924" s="309"/>
      <c r="W924" s="309"/>
      <c r="X924" s="309"/>
      <c r="Y924" s="309"/>
      <c r="Z924" s="309"/>
    </row>
    <row r="925" spans="1:26" ht="12.75" customHeight="1">
      <c r="A925" s="309"/>
      <c r="B925" s="309"/>
      <c r="C925" s="309"/>
      <c r="D925" s="309"/>
      <c r="E925" s="309"/>
      <c r="F925" s="309"/>
      <c r="G925" s="309"/>
      <c r="H925" s="309"/>
      <c r="I925" s="309"/>
      <c r="J925" s="309"/>
      <c r="K925" s="1020"/>
      <c r="L925" s="309"/>
      <c r="M925" s="309"/>
      <c r="N925" s="309"/>
      <c r="O925" s="309"/>
      <c r="P925" s="326"/>
      <c r="Q925" s="309"/>
      <c r="R925" s="309"/>
      <c r="S925" s="309"/>
      <c r="T925" s="309"/>
      <c r="U925" s="309"/>
      <c r="V925" s="309"/>
      <c r="W925" s="309"/>
      <c r="X925" s="309"/>
      <c r="Y925" s="309"/>
      <c r="Z925" s="309"/>
    </row>
    <row r="926" spans="1:26" ht="12.75" customHeight="1">
      <c r="A926" s="309"/>
      <c r="B926" s="309"/>
      <c r="C926" s="309"/>
      <c r="D926" s="309"/>
      <c r="E926" s="309"/>
      <c r="F926" s="309"/>
      <c r="G926" s="309"/>
      <c r="H926" s="309"/>
      <c r="I926" s="309"/>
      <c r="J926" s="309"/>
      <c r="K926" s="1020"/>
      <c r="L926" s="309"/>
      <c r="M926" s="309"/>
      <c r="N926" s="309"/>
      <c r="O926" s="309"/>
      <c r="P926" s="326"/>
      <c r="Q926" s="309"/>
      <c r="R926" s="309"/>
      <c r="S926" s="309"/>
      <c r="T926" s="309"/>
      <c r="U926" s="309"/>
      <c r="V926" s="309"/>
      <c r="W926" s="309"/>
      <c r="X926" s="309"/>
      <c r="Y926" s="309"/>
      <c r="Z926" s="309"/>
    </row>
    <row r="927" spans="1:26" ht="12.75" customHeight="1">
      <c r="A927" s="309"/>
      <c r="B927" s="309"/>
      <c r="C927" s="309"/>
      <c r="D927" s="309"/>
      <c r="E927" s="309"/>
      <c r="F927" s="309"/>
      <c r="G927" s="309"/>
      <c r="H927" s="309"/>
      <c r="I927" s="309"/>
      <c r="J927" s="309"/>
      <c r="K927" s="1020"/>
      <c r="L927" s="309"/>
      <c r="M927" s="309"/>
      <c r="N927" s="309"/>
      <c r="O927" s="309"/>
      <c r="P927" s="326"/>
      <c r="Q927" s="309"/>
      <c r="R927" s="309"/>
      <c r="S927" s="309"/>
      <c r="T927" s="309"/>
      <c r="U927" s="309"/>
      <c r="V927" s="309"/>
      <c r="W927" s="309"/>
      <c r="X927" s="309"/>
      <c r="Y927" s="309"/>
      <c r="Z927" s="309"/>
    </row>
    <row r="928" spans="1:26" ht="12.75" customHeight="1">
      <c r="A928" s="309"/>
      <c r="B928" s="309"/>
      <c r="C928" s="309"/>
      <c r="D928" s="309"/>
      <c r="E928" s="309"/>
      <c r="F928" s="309"/>
      <c r="G928" s="309"/>
      <c r="H928" s="309"/>
      <c r="I928" s="309"/>
      <c r="J928" s="309"/>
      <c r="K928" s="1020"/>
      <c r="L928" s="309"/>
      <c r="M928" s="309"/>
      <c r="N928" s="309"/>
      <c r="O928" s="309"/>
      <c r="P928" s="326"/>
      <c r="Q928" s="309"/>
      <c r="R928" s="309"/>
      <c r="S928" s="309"/>
      <c r="T928" s="309"/>
      <c r="U928" s="309"/>
      <c r="V928" s="309"/>
      <c r="W928" s="309"/>
      <c r="X928" s="309"/>
      <c r="Y928" s="309"/>
      <c r="Z928" s="309"/>
    </row>
    <row r="929" spans="1:26" ht="12.75" customHeight="1">
      <c r="A929" s="309"/>
      <c r="B929" s="309"/>
      <c r="C929" s="309"/>
      <c r="D929" s="309"/>
      <c r="E929" s="309"/>
      <c r="F929" s="309"/>
      <c r="G929" s="309"/>
      <c r="H929" s="309"/>
      <c r="I929" s="309"/>
      <c r="J929" s="309"/>
      <c r="K929" s="1020"/>
      <c r="L929" s="309"/>
      <c r="M929" s="309"/>
      <c r="N929" s="309"/>
      <c r="O929" s="309"/>
      <c r="P929" s="326"/>
      <c r="Q929" s="309"/>
      <c r="R929" s="309"/>
      <c r="S929" s="309"/>
      <c r="T929" s="309"/>
      <c r="U929" s="309"/>
      <c r="V929" s="309"/>
      <c r="W929" s="309"/>
      <c r="X929" s="309"/>
      <c r="Y929" s="309"/>
      <c r="Z929" s="309"/>
    </row>
    <row r="930" spans="1:26" ht="12.75" customHeight="1">
      <c r="A930" s="309"/>
      <c r="B930" s="309"/>
      <c r="C930" s="309"/>
      <c r="D930" s="309"/>
      <c r="E930" s="309"/>
      <c r="F930" s="309"/>
      <c r="G930" s="309"/>
      <c r="H930" s="309"/>
      <c r="I930" s="309"/>
      <c r="J930" s="309"/>
      <c r="K930" s="1020"/>
      <c r="L930" s="309"/>
      <c r="M930" s="309"/>
      <c r="N930" s="309"/>
      <c r="O930" s="309"/>
      <c r="P930" s="326"/>
      <c r="Q930" s="309"/>
      <c r="R930" s="309"/>
      <c r="S930" s="309"/>
      <c r="T930" s="309"/>
      <c r="U930" s="309"/>
      <c r="V930" s="309"/>
      <c r="W930" s="309"/>
      <c r="X930" s="309"/>
      <c r="Y930" s="309"/>
      <c r="Z930" s="309"/>
    </row>
    <row r="931" spans="1:26" ht="12.75" customHeight="1">
      <c r="A931" s="309"/>
      <c r="B931" s="309"/>
      <c r="C931" s="309"/>
      <c r="D931" s="309"/>
      <c r="E931" s="309"/>
      <c r="F931" s="309"/>
      <c r="G931" s="309"/>
      <c r="H931" s="309"/>
      <c r="I931" s="309"/>
      <c r="J931" s="309"/>
      <c r="K931" s="1020"/>
      <c r="L931" s="309"/>
      <c r="M931" s="309"/>
      <c r="N931" s="309"/>
      <c r="O931" s="309"/>
      <c r="P931" s="326"/>
      <c r="Q931" s="309"/>
      <c r="R931" s="309"/>
      <c r="S931" s="309"/>
      <c r="T931" s="309"/>
      <c r="U931" s="309"/>
      <c r="V931" s="309"/>
      <c r="W931" s="309"/>
      <c r="X931" s="309"/>
      <c r="Y931" s="309"/>
      <c r="Z931" s="309"/>
    </row>
    <row r="932" spans="1:26" ht="12.75" customHeight="1">
      <c r="A932" s="309"/>
      <c r="B932" s="309"/>
      <c r="C932" s="309"/>
      <c r="D932" s="309"/>
      <c r="E932" s="309"/>
      <c r="F932" s="309"/>
      <c r="G932" s="309"/>
      <c r="H932" s="309"/>
      <c r="I932" s="309"/>
      <c r="J932" s="309"/>
      <c r="K932" s="1020"/>
      <c r="L932" s="309"/>
      <c r="M932" s="309"/>
      <c r="N932" s="309"/>
      <c r="O932" s="309"/>
      <c r="P932" s="326"/>
      <c r="Q932" s="309"/>
      <c r="R932" s="309"/>
      <c r="S932" s="309"/>
      <c r="T932" s="309"/>
      <c r="U932" s="309"/>
      <c r="V932" s="309"/>
      <c r="W932" s="309"/>
      <c r="X932" s="309"/>
      <c r="Y932" s="309"/>
      <c r="Z932" s="309"/>
    </row>
    <row r="933" spans="1:26" ht="12.75" customHeight="1">
      <c r="A933" s="309"/>
      <c r="B933" s="309"/>
      <c r="C933" s="309"/>
      <c r="D933" s="309"/>
      <c r="E933" s="309"/>
      <c r="F933" s="309"/>
      <c r="G933" s="309"/>
      <c r="H933" s="309"/>
      <c r="I933" s="309"/>
      <c r="J933" s="309"/>
      <c r="K933" s="1020"/>
      <c r="L933" s="309"/>
      <c r="M933" s="309"/>
      <c r="N933" s="309"/>
      <c r="O933" s="309"/>
      <c r="P933" s="326"/>
      <c r="Q933" s="309"/>
      <c r="R933" s="309"/>
      <c r="S933" s="309"/>
      <c r="T933" s="309"/>
      <c r="U933" s="309"/>
      <c r="V933" s="309"/>
      <c r="W933" s="309"/>
      <c r="X933" s="309"/>
      <c r="Y933" s="309"/>
      <c r="Z933" s="309"/>
    </row>
    <row r="934" spans="1:26" ht="12.75" customHeight="1">
      <c r="A934" s="309"/>
      <c r="B934" s="309"/>
      <c r="C934" s="309"/>
      <c r="D934" s="309"/>
      <c r="E934" s="309"/>
      <c r="F934" s="309"/>
      <c r="G934" s="309"/>
      <c r="H934" s="309"/>
      <c r="I934" s="309"/>
      <c r="J934" s="309"/>
      <c r="K934" s="1020"/>
      <c r="L934" s="309"/>
      <c r="M934" s="309"/>
      <c r="N934" s="309"/>
      <c r="O934" s="309"/>
      <c r="P934" s="326"/>
      <c r="Q934" s="309"/>
      <c r="R934" s="309"/>
      <c r="S934" s="309"/>
      <c r="T934" s="309"/>
      <c r="U934" s="309"/>
      <c r="V934" s="309"/>
      <c r="W934" s="309"/>
      <c r="X934" s="309"/>
      <c r="Y934" s="309"/>
      <c r="Z934" s="309"/>
    </row>
    <row r="935" spans="1:26" ht="12.75" customHeight="1">
      <c r="A935" s="309"/>
      <c r="B935" s="309"/>
      <c r="C935" s="309"/>
      <c r="D935" s="309"/>
      <c r="E935" s="309"/>
      <c r="F935" s="309"/>
      <c r="G935" s="309"/>
      <c r="H935" s="309"/>
      <c r="I935" s="309"/>
      <c r="J935" s="309"/>
      <c r="K935" s="1020"/>
      <c r="L935" s="309"/>
      <c r="M935" s="309"/>
      <c r="N935" s="309"/>
      <c r="O935" s="309"/>
      <c r="P935" s="326"/>
      <c r="Q935" s="309"/>
      <c r="R935" s="309"/>
      <c r="S935" s="309"/>
      <c r="T935" s="309"/>
      <c r="U935" s="309"/>
      <c r="V935" s="309"/>
      <c r="W935" s="309"/>
      <c r="X935" s="309"/>
      <c r="Y935" s="309"/>
      <c r="Z935" s="309"/>
    </row>
    <row r="936" spans="1:26" ht="12.75" customHeight="1">
      <c r="A936" s="309"/>
      <c r="B936" s="309"/>
      <c r="C936" s="309"/>
      <c r="D936" s="309"/>
      <c r="E936" s="309"/>
      <c r="F936" s="309"/>
      <c r="G936" s="309"/>
      <c r="H936" s="309"/>
      <c r="I936" s="309"/>
      <c r="J936" s="309"/>
      <c r="K936" s="1020"/>
      <c r="L936" s="309"/>
      <c r="M936" s="309"/>
      <c r="N936" s="309"/>
      <c r="O936" s="309"/>
      <c r="P936" s="326"/>
      <c r="Q936" s="309"/>
      <c r="R936" s="309"/>
      <c r="S936" s="309"/>
      <c r="T936" s="309"/>
      <c r="U936" s="309"/>
      <c r="V936" s="309"/>
      <c r="W936" s="309"/>
      <c r="X936" s="309"/>
      <c r="Y936" s="309"/>
      <c r="Z936" s="309"/>
    </row>
    <row r="937" spans="1:26" ht="12.75" customHeight="1">
      <c r="A937" s="309"/>
      <c r="B937" s="309"/>
      <c r="C937" s="309"/>
      <c r="D937" s="309"/>
      <c r="E937" s="309"/>
      <c r="F937" s="309"/>
      <c r="G937" s="309"/>
      <c r="H937" s="309"/>
      <c r="I937" s="309"/>
      <c r="J937" s="309"/>
      <c r="K937" s="1020"/>
      <c r="L937" s="309"/>
      <c r="M937" s="309"/>
      <c r="N937" s="309"/>
      <c r="O937" s="309"/>
      <c r="P937" s="326"/>
      <c r="Q937" s="309"/>
      <c r="R937" s="309"/>
      <c r="S937" s="309"/>
      <c r="T937" s="309"/>
      <c r="U937" s="309"/>
      <c r="V937" s="309"/>
      <c r="W937" s="309"/>
      <c r="X937" s="309"/>
      <c r="Y937" s="309"/>
      <c r="Z937" s="309"/>
    </row>
    <row r="938" spans="1:26" ht="12.75" customHeight="1">
      <c r="A938" s="309"/>
      <c r="B938" s="309"/>
      <c r="C938" s="309"/>
      <c r="D938" s="309"/>
      <c r="E938" s="309"/>
      <c r="F938" s="309"/>
      <c r="G938" s="309"/>
      <c r="H938" s="309"/>
      <c r="I938" s="309"/>
      <c r="J938" s="309"/>
      <c r="K938" s="1020"/>
      <c r="L938" s="309"/>
      <c r="M938" s="309"/>
      <c r="N938" s="309"/>
      <c r="O938" s="309"/>
      <c r="P938" s="326"/>
      <c r="Q938" s="309"/>
      <c r="R938" s="309"/>
      <c r="S938" s="309"/>
      <c r="T938" s="309"/>
      <c r="U938" s="309"/>
      <c r="V938" s="309"/>
      <c r="W938" s="309"/>
      <c r="X938" s="309"/>
      <c r="Y938" s="309"/>
      <c r="Z938" s="309"/>
    </row>
    <row r="939" spans="1:26" ht="12.75" customHeight="1">
      <c r="A939" s="309"/>
      <c r="B939" s="309"/>
      <c r="C939" s="309"/>
      <c r="D939" s="309"/>
      <c r="E939" s="309"/>
      <c r="F939" s="309"/>
      <c r="G939" s="309"/>
      <c r="H939" s="309"/>
      <c r="I939" s="309"/>
      <c r="J939" s="309"/>
      <c r="K939" s="1020"/>
      <c r="L939" s="309"/>
      <c r="M939" s="309"/>
      <c r="N939" s="309"/>
      <c r="O939" s="309"/>
      <c r="P939" s="326"/>
      <c r="Q939" s="309"/>
      <c r="R939" s="309"/>
      <c r="S939" s="309"/>
      <c r="T939" s="309"/>
      <c r="U939" s="309"/>
      <c r="V939" s="309"/>
      <c r="W939" s="309"/>
      <c r="X939" s="309"/>
      <c r="Y939" s="309"/>
      <c r="Z939" s="309"/>
    </row>
    <row r="940" spans="1:26" ht="12.75" customHeight="1">
      <c r="A940" s="309"/>
      <c r="B940" s="309"/>
      <c r="C940" s="309"/>
      <c r="D940" s="309"/>
      <c r="E940" s="309"/>
      <c r="F940" s="309"/>
      <c r="G940" s="309"/>
      <c r="H940" s="309"/>
      <c r="I940" s="309"/>
      <c r="J940" s="309"/>
      <c r="K940" s="1020"/>
      <c r="L940" s="309"/>
      <c r="M940" s="309"/>
      <c r="N940" s="309"/>
      <c r="O940" s="309"/>
      <c r="P940" s="326"/>
      <c r="Q940" s="309"/>
      <c r="R940" s="309"/>
      <c r="S940" s="309"/>
      <c r="T940" s="309"/>
      <c r="U940" s="309"/>
      <c r="V940" s="309"/>
      <c r="W940" s="309"/>
      <c r="X940" s="309"/>
      <c r="Y940" s="309"/>
      <c r="Z940" s="309"/>
    </row>
    <row r="941" spans="1:26" ht="12.75" customHeight="1">
      <c r="A941" s="309"/>
      <c r="B941" s="309"/>
      <c r="C941" s="309"/>
      <c r="D941" s="309"/>
      <c r="E941" s="309"/>
      <c r="F941" s="309"/>
      <c r="G941" s="309"/>
      <c r="H941" s="309"/>
      <c r="I941" s="309"/>
      <c r="J941" s="309"/>
      <c r="K941" s="1020"/>
      <c r="L941" s="309"/>
      <c r="M941" s="309"/>
      <c r="N941" s="309"/>
      <c r="O941" s="309"/>
      <c r="P941" s="326"/>
      <c r="Q941" s="309"/>
      <c r="R941" s="309"/>
      <c r="S941" s="309"/>
      <c r="T941" s="309"/>
      <c r="U941" s="309"/>
      <c r="V941" s="309"/>
      <c r="W941" s="309"/>
      <c r="X941" s="309"/>
      <c r="Y941" s="309"/>
      <c r="Z941" s="309"/>
    </row>
    <row r="942" spans="1:26" ht="12.75" customHeight="1">
      <c r="A942" s="309"/>
      <c r="B942" s="309"/>
      <c r="C942" s="309"/>
      <c r="D942" s="309"/>
      <c r="E942" s="309"/>
      <c r="F942" s="309"/>
      <c r="G942" s="309"/>
      <c r="H942" s="309"/>
      <c r="I942" s="309"/>
      <c r="J942" s="309"/>
      <c r="K942" s="1020"/>
      <c r="L942" s="309"/>
      <c r="M942" s="309"/>
      <c r="N942" s="309"/>
      <c r="O942" s="309"/>
      <c r="P942" s="326"/>
      <c r="Q942" s="309"/>
      <c r="R942" s="309"/>
      <c r="S942" s="309"/>
      <c r="T942" s="309"/>
      <c r="U942" s="309"/>
      <c r="V942" s="309"/>
      <c r="W942" s="309"/>
      <c r="X942" s="309"/>
      <c r="Y942" s="309"/>
      <c r="Z942" s="309"/>
    </row>
    <row r="943" spans="1:26" ht="12.75" customHeight="1">
      <c r="A943" s="309"/>
      <c r="B943" s="309"/>
      <c r="C943" s="309"/>
      <c r="D943" s="309"/>
      <c r="E943" s="309"/>
      <c r="F943" s="309"/>
      <c r="G943" s="309"/>
      <c r="H943" s="309"/>
      <c r="I943" s="309"/>
      <c r="J943" s="309"/>
      <c r="K943" s="1020"/>
      <c r="L943" s="309"/>
      <c r="M943" s="309"/>
      <c r="N943" s="309"/>
      <c r="O943" s="309"/>
      <c r="P943" s="326"/>
      <c r="Q943" s="309"/>
      <c r="R943" s="309"/>
      <c r="S943" s="309"/>
      <c r="T943" s="309"/>
      <c r="U943" s="309"/>
      <c r="V943" s="309"/>
      <c r="W943" s="309"/>
      <c r="X943" s="309"/>
      <c r="Y943" s="309"/>
      <c r="Z943" s="309"/>
    </row>
    <row r="944" spans="1:26" ht="12.75" customHeight="1">
      <c r="A944" s="309"/>
      <c r="B944" s="309"/>
      <c r="C944" s="309"/>
      <c r="D944" s="309"/>
      <c r="E944" s="309"/>
      <c r="F944" s="309"/>
      <c r="G944" s="309"/>
      <c r="H944" s="309"/>
      <c r="I944" s="309"/>
      <c r="J944" s="309"/>
      <c r="K944" s="1020"/>
      <c r="L944" s="309"/>
      <c r="M944" s="309"/>
      <c r="N944" s="309"/>
      <c r="O944" s="309"/>
      <c r="P944" s="326"/>
      <c r="Q944" s="309"/>
      <c r="R944" s="309"/>
      <c r="S944" s="309"/>
      <c r="T944" s="309"/>
      <c r="U944" s="309"/>
      <c r="V944" s="309"/>
      <c r="W944" s="309"/>
      <c r="X944" s="309"/>
      <c r="Y944" s="309"/>
      <c r="Z944" s="309"/>
    </row>
    <row r="945" spans="1:26" ht="12.75" customHeight="1">
      <c r="A945" s="309"/>
      <c r="B945" s="309"/>
      <c r="C945" s="309"/>
      <c r="D945" s="309"/>
      <c r="E945" s="309"/>
      <c r="F945" s="309"/>
      <c r="G945" s="309"/>
      <c r="H945" s="309"/>
      <c r="I945" s="309"/>
      <c r="J945" s="309"/>
      <c r="K945" s="1020"/>
      <c r="L945" s="309"/>
      <c r="M945" s="309"/>
      <c r="N945" s="309"/>
      <c r="O945" s="309"/>
      <c r="P945" s="326"/>
      <c r="Q945" s="309"/>
      <c r="R945" s="309"/>
      <c r="S945" s="309"/>
      <c r="T945" s="309"/>
      <c r="U945" s="309"/>
      <c r="V945" s="309"/>
      <c r="W945" s="309"/>
      <c r="X945" s="309"/>
      <c r="Y945" s="309"/>
      <c r="Z945" s="309"/>
    </row>
    <row r="946" spans="1:26" ht="12.75" customHeight="1">
      <c r="A946" s="309"/>
      <c r="B946" s="309"/>
      <c r="C946" s="309"/>
      <c r="D946" s="309"/>
      <c r="E946" s="309"/>
      <c r="F946" s="309"/>
      <c r="G946" s="309"/>
      <c r="H946" s="309"/>
      <c r="I946" s="309"/>
      <c r="J946" s="309"/>
      <c r="K946" s="1020"/>
      <c r="L946" s="309"/>
      <c r="M946" s="309"/>
      <c r="N946" s="309"/>
      <c r="O946" s="309"/>
      <c r="P946" s="326"/>
      <c r="Q946" s="309"/>
      <c r="R946" s="309"/>
      <c r="S946" s="309"/>
      <c r="T946" s="309"/>
      <c r="U946" s="309"/>
      <c r="V946" s="309"/>
      <c r="W946" s="309"/>
      <c r="X946" s="309"/>
      <c r="Y946" s="309"/>
      <c r="Z946" s="309"/>
    </row>
    <row r="947" spans="1:26" ht="12.75" customHeight="1">
      <c r="A947" s="309"/>
      <c r="B947" s="309"/>
      <c r="C947" s="309"/>
      <c r="D947" s="309"/>
      <c r="E947" s="309"/>
      <c r="F947" s="309"/>
      <c r="G947" s="309"/>
      <c r="H947" s="309"/>
      <c r="I947" s="309"/>
      <c r="J947" s="309"/>
      <c r="K947" s="1020"/>
      <c r="L947" s="309"/>
      <c r="M947" s="309"/>
      <c r="N947" s="309"/>
      <c r="O947" s="309"/>
      <c r="P947" s="326"/>
      <c r="Q947" s="309"/>
      <c r="R947" s="309"/>
      <c r="S947" s="309"/>
      <c r="T947" s="309"/>
      <c r="U947" s="309"/>
      <c r="V947" s="309"/>
      <c r="W947" s="309"/>
      <c r="X947" s="309"/>
      <c r="Y947" s="309"/>
      <c r="Z947" s="309"/>
    </row>
    <row r="948" spans="1:26" ht="12.75" customHeight="1">
      <c r="A948" s="309"/>
      <c r="B948" s="309"/>
      <c r="C948" s="309"/>
      <c r="D948" s="309"/>
      <c r="E948" s="309"/>
      <c r="F948" s="309"/>
      <c r="G948" s="309"/>
      <c r="H948" s="309"/>
      <c r="I948" s="309"/>
      <c r="J948" s="309"/>
      <c r="K948" s="1020"/>
      <c r="L948" s="309"/>
      <c r="M948" s="309"/>
      <c r="N948" s="309"/>
      <c r="O948" s="309"/>
      <c r="P948" s="326"/>
      <c r="Q948" s="309"/>
      <c r="R948" s="309"/>
      <c r="S948" s="309"/>
      <c r="T948" s="309"/>
      <c r="U948" s="309"/>
      <c r="V948" s="309"/>
      <c r="W948" s="309"/>
      <c r="X948" s="309"/>
      <c r="Y948" s="309"/>
      <c r="Z948" s="309"/>
    </row>
    <row r="949" spans="1:26" ht="12.75" customHeight="1">
      <c r="A949" s="309"/>
      <c r="B949" s="309"/>
      <c r="C949" s="309"/>
      <c r="D949" s="309"/>
      <c r="E949" s="309"/>
      <c r="F949" s="309"/>
      <c r="G949" s="309"/>
      <c r="H949" s="309"/>
      <c r="I949" s="309"/>
      <c r="J949" s="309"/>
      <c r="K949" s="1020"/>
      <c r="L949" s="309"/>
      <c r="M949" s="309"/>
      <c r="N949" s="309"/>
      <c r="O949" s="309"/>
      <c r="P949" s="326"/>
      <c r="Q949" s="309"/>
      <c r="R949" s="309"/>
      <c r="S949" s="309"/>
      <c r="T949" s="309"/>
      <c r="U949" s="309"/>
      <c r="V949" s="309"/>
      <c r="W949" s="309"/>
      <c r="X949" s="309"/>
      <c r="Y949" s="309"/>
      <c r="Z949" s="309"/>
    </row>
    <row r="950" spans="1:26" ht="12.75" customHeight="1">
      <c r="A950" s="309"/>
      <c r="B950" s="309"/>
      <c r="C950" s="309"/>
      <c r="D950" s="309"/>
      <c r="E950" s="309"/>
      <c r="F950" s="309"/>
      <c r="G950" s="309"/>
      <c r="H950" s="309"/>
      <c r="I950" s="309"/>
      <c r="J950" s="309"/>
      <c r="K950" s="1020"/>
      <c r="L950" s="309"/>
      <c r="M950" s="309"/>
      <c r="N950" s="309"/>
      <c r="O950" s="309"/>
      <c r="P950" s="326"/>
      <c r="Q950" s="309"/>
      <c r="R950" s="309"/>
      <c r="S950" s="309"/>
      <c r="T950" s="309"/>
      <c r="U950" s="309"/>
      <c r="V950" s="309"/>
      <c r="W950" s="309"/>
      <c r="X950" s="309"/>
      <c r="Y950" s="309"/>
      <c r="Z950" s="309"/>
    </row>
    <row r="951" spans="1:26" ht="12.75" customHeight="1">
      <c r="A951" s="309"/>
      <c r="B951" s="309"/>
      <c r="C951" s="309"/>
      <c r="D951" s="309"/>
      <c r="E951" s="309"/>
      <c r="F951" s="309"/>
      <c r="G951" s="309"/>
      <c r="H951" s="309"/>
      <c r="I951" s="309"/>
      <c r="J951" s="309"/>
      <c r="K951" s="1020"/>
      <c r="L951" s="309"/>
      <c r="M951" s="309"/>
      <c r="N951" s="309"/>
      <c r="O951" s="309"/>
      <c r="P951" s="326"/>
      <c r="Q951" s="309"/>
      <c r="R951" s="309"/>
      <c r="S951" s="309"/>
      <c r="T951" s="309"/>
      <c r="U951" s="309"/>
      <c r="V951" s="309"/>
      <c r="W951" s="309"/>
      <c r="X951" s="309"/>
      <c r="Y951" s="309"/>
      <c r="Z951" s="309"/>
    </row>
    <row r="952" spans="1:26" ht="12.75" customHeight="1">
      <c r="A952" s="309"/>
      <c r="B952" s="309"/>
      <c r="C952" s="309"/>
      <c r="D952" s="309"/>
      <c r="E952" s="309"/>
      <c r="F952" s="309"/>
      <c r="G952" s="309"/>
      <c r="H952" s="309"/>
      <c r="I952" s="309"/>
      <c r="J952" s="309"/>
      <c r="K952" s="1020"/>
      <c r="L952" s="309"/>
      <c r="M952" s="309"/>
      <c r="N952" s="309"/>
      <c r="O952" s="309"/>
      <c r="P952" s="326"/>
      <c r="Q952" s="309"/>
      <c r="R952" s="309"/>
      <c r="S952" s="309"/>
      <c r="T952" s="309"/>
      <c r="U952" s="309"/>
      <c r="V952" s="309"/>
      <c r="W952" s="309"/>
      <c r="X952" s="309"/>
      <c r="Y952" s="309"/>
      <c r="Z952" s="309"/>
    </row>
    <row r="953" spans="1:26" ht="12.75" customHeight="1">
      <c r="A953" s="309"/>
      <c r="B953" s="309"/>
      <c r="C953" s="309"/>
      <c r="D953" s="309"/>
      <c r="E953" s="309"/>
      <c r="F953" s="309"/>
      <c r="G953" s="309"/>
      <c r="H953" s="309"/>
      <c r="I953" s="309"/>
      <c r="J953" s="309"/>
      <c r="K953" s="1020"/>
      <c r="L953" s="309"/>
      <c r="M953" s="309"/>
      <c r="N953" s="309"/>
      <c r="O953" s="309"/>
      <c r="P953" s="326"/>
      <c r="Q953" s="309"/>
      <c r="R953" s="309"/>
      <c r="S953" s="309"/>
      <c r="T953" s="309"/>
      <c r="U953" s="309"/>
      <c r="V953" s="309"/>
      <c r="W953" s="309"/>
      <c r="X953" s="309"/>
      <c r="Y953" s="309"/>
      <c r="Z953" s="309"/>
    </row>
    <row r="954" spans="1:26" ht="12.75" customHeight="1">
      <c r="A954" s="309"/>
      <c r="B954" s="309"/>
      <c r="C954" s="309"/>
      <c r="D954" s="309"/>
      <c r="E954" s="309"/>
      <c r="F954" s="309"/>
      <c r="G954" s="309"/>
      <c r="H954" s="309"/>
      <c r="I954" s="309"/>
      <c r="J954" s="309"/>
      <c r="K954" s="1020"/>
      <c r="L954" s="309"/>
      <c r="M954" s="309"/>
      <c r="N954" s="309"/>
      <c r="O954" s="309"/>
      <c r="P954" s="326"/>
      <c r="Q954" s="309"/>
      <c r="R954" s="309"/>
      <c r="S954" s="309"/>
      <c r="T954" s="309"/>
      <c r="U954" s="309"/>
      <c r="V954" s="309"/>
      <c r="W954" s="309"/>
      <c r="X954" s="309"/>
      <c r="Y954" s="309"/>
      <c r="Z954" s="309"/>
    </row>
    <row r="955" spans="1:26" ht="12.75" customHeight="1">
      <c r="A955" s="309"/>
      <c r="B955" s="309"/>
      <c r="C955" s="309"/>
      <c r="D955" s="309"/>
      <c r="E955" s="309"/>
      <c r="F955" s="309"/>
      <c r="G955" s="309"/>
      <c r="H955" s="309"/>
      <c r="I955" s="309"/>
      <c r="J955" s="309"/>
      <c r="K955" s="1020"/>
      <c r="L955" s="309"/>
      <c r="M955" s="309"/>
      <c r="N955" s="309"/>
      <c r="O955" s="309"/>
      <c r="P955" s="326"/>
      <c r="Q955" s="309"/>
      <c r="R955" s="309"/>
      <c r="S955" s="309"/>
      <c r="T955" s="309"/>
      <c r="U955" s="309"/>
      <c r="V955" s="309"/>
      <c r="W955" s="309"/>
      <c r="X955" s="309"/>
      <c r="Y955" s="309"/>
      <c r="Z955" s="309"/>
    </row>
    <row r="956" spans="1:26" ht="12.75" customHeight="1">
      <c r="A956" s="309"/>
      <c r="B956" s="309"/>
      <c r="C956" s="309"/>
      <c r="D956" s="309"/>
      <c r="E956" s="309"/>
      <c r="F956" s="309"/>
      <c r="G956" s="309"/>
      <c r="H956" s="309"/>
      <c r="I956" s="309"/>
      <c r="J956" s="309"/>
      <c r="K956" s="1020"/>
      <c r="L956" s="309"/>
      <c r="M956" s="309"/>
      <c r="N956" s="309"/>
      <c r="O956" s="309"/>
      <c r="P956" s="326"/>
      <c r="Q956" s="309"/>
      <c r="R956" s="309"/>
      <c r="S956" s="309"/>
      <c r="T956" s="309"/>
      <c r="U956" s="309"/>
      <c r="V956" s="309"/>
      <c r="W956" s="309"/>
      <c r="X956" s="309"/>
      <c r="Y956" s="309"/>
      <c r="Z956" s="309"/>
    </row>
    <row r="957" spans="1:26" ht="12.75" customHeight="1">
      <c r="A957" s="309"/>
      <c r="B957" s="309"/>
      <c r="C957" s="309"/>
      <c r="D957" s="309"/>
      <c r="E957" s="309"/>
      <c r="F957" s="309"/>
      <c r="G957" s="309"/>
      <c r="H957" s="309"/>
      <c r="I957" s="309"/>
      <c r="J957" s="309"/>
      <c r="K957" s="1020"/>
      <c r="L957" s="309"/>
      <c r="M957" s="309"/>
      <c r="N957" s="309"/>
      <c r="O957" s="309"/>
      <c r="P957" s="326"/>
      <c r="Q957" s="309"/>
      <c r="R957" s="309"/>
      <c r="S957" s="309"/>
      <c r="T957" s="309"/>
      <c r="U957" s="309"/>
      <c r="V957" s="309"/>
      <c r="W957" s="309"/>
      <c r="X957" s="309"/>
      <c r="Y957" s="309"/>
      <c r="Z957" s="309"/>
    </row>
    <row r="958" spans="1:26" ht="12.75" customHeight="1">
      <c r="A958" s="309"/>
      <c r="B958" s="309"/>
      <c r="C958" s="309"/>
      <c r="D958" s="309"/>
      <c r="E958" s="309"/>
      <c r="F958" s="309"/>
      <c r="G958" s="309"/>
      <c r="H958" s="309"/>
      <c r="I958" s="309"/>
      <c r="J958" s="309"/>
      <c r="K958" s="1020"/>
      <c r="L958" s="309"/>
      <c r="M958" s="309"/>
      <c r="N958" s="309"/>
      <c r="O958" s="309"/>
      <c r="P958" s="326"/>
      <c r="Q958" s="309"/>
      <c r="R958" s="309"/>
      <c r="S958" s="309"/>
      <c r="T958" s="309"/>
      <c r="U958" s="309"/>
      <c r="V958" s="309"/>
      <c r="W958" s="309"/>
      <c r="X958" s="309"/>
      <c r="Y958" s="309"/>
      <c r="Z958" s="309"/>
    </row>
    <row r="959" spans="1:26" ht="12.75" customHeight="1">
      <c r="A959" s="309"/>
      <c r="B959" s="309"/>
      <c r="C959" s="309"/>
      <c r="D959" s="309"/>
      <c r="E959" s="309"/>
      <c r="F959" s="309"/>
      <c r="G959" s="309"/>
      <c r="H959" s="309"/>
      <c r="I959" s="309"/>
      <c r="J959" s="309"/>
      <c r="K959" s="1020"/>
      <c r="L959" s="309"/>
      <c r="M959" s="309"/>
      <c r="N959" s="309"/>
      <c r="O959" s="309"/>
      <c r="P959" s="326"/>
      <c r="Q959" s="309"/>
      <c r="R959" s="309"/>
      <c r="S959" s="309"/>
      <c r="T959" s="309"/>
      <c r="U959" s="309"/>
      <c r="V959" s="309"/>
      <c r="W959" s="309"/>
      <c r="X959" s="309"/>
      <c r="Y959" s="309"/>
      <c r="Z959" s="309"/>
    </row>
    <row r="960" spans="1:26" ht="12.75" customHeight="1">
      <c r="A960" s="309"/>
      <c r="B960" s="309"/>
      <c r="C960" s="309"/>
      <c r="D960" s="309"/>
      <c r="E960" s="309"/>
      <c r="F960" s="309"/>
      <c r="G960" s="309"/>
      <c r="H960" s="309"/>
      <c r="I960" s="309"/>
      <c r="J960" s="309"/>
      <c r="K960" s="1020"/>
      <c r="L960" s="309"/>
      <c r="M960" s="309"/>
      <c r="N960" s="309"/>
      <c r="O960" s="309"/>
      <c r="P960" s="326"/>
      <c r="Q960" s="309"/>
      <c r="R960" s="309"/>
      <c r="S960" s="309"/>
      <c r="T960" s="309"/>
      <c r="U960" s="309"/>
      <c r="V960" s="309"/>
      <c r="W960" s="309"/>
      <c r="X960" s="309"/>
      <c r="Y960" s="309"/>
      <c r="Z960" s="309"/>
    </row>
    <row r="961" spans="1:26" ht="12.75" customHeight="1">
      <c r="A961" s="309"/>
      <c r="B961" s="309"/>
      <c r="C961" s="309"/>
      <c r="D961" s="309"/>
      <c r="E961" s="309"/>
      <c r="F961" s="309"/>
      <c r="G961" s="309"/>
      <c r="H961" s="309"/>
      <c r="I961" s="309"/>
      <c r="J961" s="309"/>
      <c r="K961" s="1020"/>
      <c r="L961" s="309"/>
      <c r="M961" s="309"/>
      <c r="N961" s="309"/>
      <c r="O961" s="309"/>
      <c r="P961" s="326"/>
      <c r="Q961" s="309"/>
      <c r="R961" s="309"/>
      <c r="S961" s="309"/>
      <c r="T961" s="309"/>
      <c r="U961" s="309"/>
      <c r="V961" s="309"/>
      <c r="W961" s="309"/>
      <c r="X961" s="309"/>
      <c r="Y961" s="309"/>
      <c r="Z961" s="309"/>
    </row>
    <row r="962" spans="1:26" ht="12.75" customHeight="1">
      <c r="A962" s="309"/>
      <c r="B962" s="309"/>
      <c r="C962" s="309"/>
      <c r="D962" s="309"/>
      <c r="E962" s="309"/>
      <c r="F962" s="309"/>
      <c r="G962" s="309"/>
      <c r="H962" s="309"/>
      <c r="I962" s="309"/>
      <c r="J962" s="309"/>
      <c r="K962" s="1020"/>
      <c r="L962" s="309"/>
      <c r="M962" s="309"/>
      <c r="N962" s="309"/>
      <c r="O962" s="309"/>
      <c r="P962" s="326"/>
      <c r="Q962" s="309"/>
      <c r="R962" s="309"/>
      <c r="S962" s="309"/>
      <c r="T962" s="309"/>
      <c r="U962" s="309"/>
      <c r="V962" s="309"/>
      <c r="W962" s="309"/>
      <c r="X962" s="309"/>
      <c r="Y962" s="309"/>
      <c r="Z962" s="309"/>
    </row>
    <row r="963" spans="1:26" ht="12.75" customHeight="1">
      <c r="A963" s="309"/>
      <c r="B963" s="309"/>
      <c r="C963" s="309"/>
      <c r="D963" s="309"/>
      <c r="E963" s="309"/>
      <c r="F963" s="309"/>
      <c r="G963" s="309"/>
      <c r="H963" s="309"/>
      <c r="I963" s="309"/>
      <c r="J963" s="309"/>
      <c r="K963" s="1020"/>
      <c r="L963" s="309"/>
      <c r="M963" s="309"/>
      <c r="N963" s="309"/>
      <c r="O963" s="309"/>
      <c r="P963" s="326"/>
      <c r="Q963" s="309"/>
      <c r="R963" s="309"/>
      <c r="S963" s="309"/>
      <c r="T963" s="309"/>
      <c r="U963" s="309"/>
      <c r="V963" s="309"/>
      <c r="W963" s="309"/>
      <c r="X963" s="309"/>
      <c r="Y963" s="309"/>
      <c r="Z963" s="309"/>
    </row>
    <row r="964" spans="1:26" ht="12.75" customHeight="1">
      <c r="A964" s="309"/>
      <c r="B964" s="309"/>
      <c r="C964" s="309"/>
      <c r="D964" s="309"/>
      <c r="E964" s="309"/>
      <c r="F964" s="309"/>
      <c r="G964" s="309"/>
      <c r="H964" s="309"/>
      <c r="I964" s="309"/>
      <c r="J964" s="309"/>
      <c r="K964" s="1020"/>
      <c r="L964" s="309"/>
      <c r="M964" s="309"/>
      <c r="N964" s="309"/>
      <c r="O964" s="309"/>
      <c r="P964" s="326"/>
      <c r="Q964" s="309"/>
      <c r="R964" s="309"/>
      <c r="S964" s="309"/>
      <c r="T964" s="309"/>
      <c r="U964" s="309"/>
      <c r="V964" s="309"/>
      <c r="W964" s="309"/>
      <c r="X964" s="309"/>
      <c r="Y964" s="309"/>
      <c r="Z964" s="309"/>
    </row>
    <row r="965" spans="1:26" ht="12.75" customHeight="1">
      <c r="A965" s="309"/>
      <c r="B965" s="309"/>
      <c r="C965" s="309"/>
      <c r="D965" s="309"/>
      <c r="E965" s="309"/>
      <c r="F965" s="309"/>
      <c r="G965" s="309"/>
      <c r="H965" s="309"/>
      <c r="I965" s="309"/>
      <c r="J965" s="309"/>
      <c r="K965" s="1020"/>
      <c r="L965" s="309"/>
      <c r="M965" s="309"/>
      <c r="N965" s="309"/>
      <c r="O965" s="309"/>
      <c r="P965" s="326"/>
      <c r="Q965" s="309"/>
      <c r="R965" s="309"/>
      <c r="S965" s="309"/>
      <c r="T965" s="309"/>
      <c r="U965" s="309"/>
      <c r="V965" s="309"/>
      <c r="W965" s="309"/>
      <c r="X965" s="309"/>
      <c r="Y965" s="309"/>
      <c r="Z965" s="309"/>
    </row>
    <row r="966" spans="1:26" ht="12.75" customHeight="1">
      <c r="A966" s="309"/>
      <c r="B966" s="309"/>
      <c r="C966" s="309"/>
      <c r="D966" s="309"/>
      <c r="E966" s="309"/>
      <c r="F966" s="309"/>
      <c r="G966" s="309"/>
      <c r="H966" s="309"/>
      <c r="I966" s="309"/>
      <c r="J966" s="309"/>
      <c r="K966" s="1020"/>
      <c r="L966" s="309"/>
      <c r="M966" s="309"/>
      <c r="N966" s="309"/>
      <c r="O966" s="309"/>
      <c r="P966" s="326"/>
      <c r="Q966" s="309"/>
      <c r="R966" s="309"/>
      <c r="S966" s="309"/>
      <c r="T966" s="309"/>
      <c r="U966" s="309"/>
      <c r="V966" s="309"/>
      <c r="W966" s="309"/>
      <c r="X966" s="309"/>
      <c r="Y966" s="309"/>
      <c r="Z966" s="309"/>
    </row>
    <row r="967" spans="1:26" ht="12.75" customHeight="1">
      <c r="A967" s="309"/>
      <c r="B967" s="309"/>
      <c r="C967" s="309"/>
      <c r="D967" s="309"/>
      <c r="E967" s="309"/>
      <c r="F967" s="309"/>
      <c r="G967" s="309"/>
      <c r="H967" s="309"/>
      <c r="I967" s="309"/>
      <c r="J967" s="309"/>
      <c r="K967" s="1020"/>
      <c r="L967" s="309"/>
      <c r="M967" s="309"/>
      <c r="N967" s="309"/>
      <c r="O967" s="309"/>
      <c r="P967" s="326"/>
      <c r="Q967" s="309"/>
      <c r="R967" s="309"/>
      <c r="S967" s="309"/>
      <c r="T967" s="309"/>
      <c r="U967" s="309"/>
      <c r="V967" s="309"/>
      <c r="W967" s="309"/>
      <c r="X967" s="309"/>
      <c r="Y967" s="309"/>
      <c r="Z967" s="309"/>
    </row>
    <row r="968" spans="1:26" ht="12.75" customHeight="1">
      <c r="A968" s="309"/>
      <c r="B968" s="309"/>
      <c r="C968" s="309"/>
      <c r="D968" s="309"/>
      <c r="E968" s="309"/>
      <c r="F968" s="309"/>
      <c r="G968" s="309"/>
      <c r="H968" s="309"/>
      <c r="I968" s="309"/>
      <c r="J968" s="309"/>
      <c r="K968" s="1020"/>
      <c r="L968" s="309"/>
      <c r="M968" s="309"/>
      <c r="N968" s="309"/>
      <c r="O968" s="309"/>
      <c r="P968" s="326"/>
      <c r="Q968" s="309"/>
      <c r="R968" s="309"/>
      <c r="S968" s="309"/>
      <c r="T968" s="309"/>
      <c r="U968" s="309"/>
      <c r="V968" s="309"/>
      <c r="W968" s="309"/>
      <c r="X968" s="309"/>
      <c r="Y968" s="309"/>
      <c r="Z968" s="309"/>
    </row>
    <row r="969" spans="1:26" ht="12.75" customHeight="1">
      <c r="A969" s="309"/>
      <c r="B969" s="309"/>
      <c r="C969" s="309"/>
      <c r="D969" s="309"/>
      <c r="E969" s="309"/>
      <c r="F969" s="309"/>
      <c r="G969" s="309"/>
      <c r="H969" s="309"/>
      <c r="I969" s="309"/>
      <c r="J969" s="309"/>
      <c r="K969" s="1020"/>
      <c r="L969" s="309"/>
      <c r="M969" s="309"/>
      <c r="N969" s="309"/>
      <c r="O969" s="309"/>
      <c r="P969" s="326"/>
      <c r="Q969" s="309"/>
      <c r="R969" s="309"/>
      <c r="S969" s="309"/>
      <c r="T969" s="309"/>
      <c r="U969" s="309"/>
      <c r="V969" s="309"/>
      <c r="W969" s="309"/>
      <c r="X969" s="309"/>
      <c r="Y969" s="309"/>
      <c r="Z969" s="309"/>
    </row>
    <row r="970" spans="1:26" ht="12.75" customHeight="1">
      <c r="A970" s="309"/>
      <c r="B970" s="309"/>
      <c r="C970" s="309"/>
      <c r="D970" s="309"/>
      <c r="E970" s="309"/>
      <c r="F970" s="309"/>
      <c r="G970" s="309"/>
      <c r="H970" s="309"/>
      <c r="I970" s="309"/>
      <c r="J970" s="309"/>
      <c r="K970" s="1020"/>
      <c r="L970" s="309"/>
      <c r="M970" s="309"/>
      <c r="N970" s="309"/>
      <c r="O970" s="309"/>
      <c r="P970" s="326"/>
      <c r="Q970" s="309"/>
      <c r="R970" s="309"/>
      <c r="S970" s="309"/>
      <c r="T970" s="309"/>
      <c r="U970" s="309"/>
      <c r="V970" s="309"/>
      <c r="W970" s="309"/>
      <c r="X970" s="309"/>
      <c r="Y970" s="309"/>
      <c r="Z970" s="309"/>
    </row>
    <row r="971" spans="1:26" ht="12.75" customHeight="1">
      <c r="A971" s="309"/>
      <c r="B971" s="309"/>
      <c r="C971" s="309"/>
      <c r="D971" s="309"/>
      <c r="E971" s="309"/>
      <c r="F971" s="309"/>
      <c r="G971" s="309"/>
      <c r="H971" s="309"/>
      <c r="I971" s="309"/>
      <c r="J971" s="309"/>
      <c r="K971" s="1020"/>
      <c r="L971" s="309"/>
      <c r="M971" s="309"/>
      <c r="N971" s="309"/>
      <c r="O971" s="309"/>
      <c r="P971" s="326"/>
      <c r="Q971" s="309"/>
      <c r="R971" s="309"/>
      <c r="S971" s="309"/>
      <c r="T971" s="309"/>
      <c r="U971" s="309"/>
      <c r="V971" s="309"/>
      <c r="W971" s="309"/>
      <c r="X971" s="309"/>
      <c r="Y971" s="309"/>
      <c r="Z971" s="309"/>
    </row>
    <row r="972" spans="1:26" ht="12.75" customHeight="1">
      <c r="A972" s="309"/>
      <c r="B972" s="309"/>
      <c r="C972" s="309"/>
      <c r="D972" s="309"/>
      <c r="E972" s="309"/>
      <c r="F972" s="309"/>
      <c r="G972" s="309"/>
      <c r="H972" s="309"/>
      <c r="I972" s="309"/>
      <c r="J972" s="309"/>
      <c r="K972" s="1020"/>
      <c r="L972" s="309"/>
      <c r="M972" s="309"/>
      <c r="N972" s="309"/>
      <c r="O972" s="309"/>
      <c r="P972" s="326"/>
      <c r="Q972" s="309"/>
      <c r="R972" s="309"/>
      <c r="S972" s="309"/>
      <c r="T972" s="309"/>
      <c r="U972" s="309"/>
      <c r="V972" s="309"/>
      <c r="W972" s="309"/>
      <c r="X972" s="309"/>
      <c r="Y972" s="309"/>
      <c r="Z972" s="309"/>
    </row>
    <row r="973" spans="1:26" ht="12.75" customHeight="1">
      <c r="A973" s="309"/>
      <c r="B973" s="309"/>
      <c r="C973" s="309"/>
      <c r="D973" s="309"/>
      <c r="E973" s="309"/>
      <c r="F973" s="309"/>
      <c r="G973" s="309"/>
      <c r="H973" s="309"/>
      <c r="I973" s="309"/>
      <c r="J973" s="309"/>
      <c r="K973" s="1020"/>
      <c r="L973" s="309"/>
      <c r="M973" s="309"/>
      <c r="N973" s="309"/>
      <c r="O973" s="309"/>
      <c r="P973" s="326"/>
      <c r="Q973" s="309"/>
      <c r="R973" s="309"/>
      <c r="S973" s="309"/>
      <c r="T973" s="309"/>
      <c r="U973" s="309"/>
      <c r="V973" s="309"/>
      <c r="W973" s="309"/>
      <c r="X973" s="309"/>
      <c r="Y973" s="309"/>
      <c r="Z973" s="309"/>
    </row>
    <row r="974" spans="1:26" ht="12.75" customHeight="1">
      <c r="A974" s="309"/>
      <c r="B974" s="309"/>
      <c r="C974" s="309"/>
      <c r="D974" s="309"/>
      <c r="E974" s="309"/>
      <c r="F974" s="309"/>
      <c r="G974" s="309"/>
      <c r="H974" s="309"/>
      <c r="I974" s="309"/>
      <c r="J974" s="309"/>
      <c r="K974" s="1020"/>
      <c r="L974" s="309"/>
      <c r="M974" s="309"/>
      <c r="N974" s="309"/>
      <c r="O974" s="309"/>
      <c r="P974" s="326"/>
      <c r="Q974" s="309"/>
      <c r="R974" s="309"/>
      <c r="S974" s="309"/>
      <c r="T974" s="309"/>
      <c r="U974" s="309"/>
      <c r="V974" s="309"/>
      <c r="W974" s="309"/>
      <c r="X974" s="309"/>
      <c r="Y974" s="309"/>
      <c r="Z974" s="309"/>
    </row>
    <row r="975" spans="1:26" ht="12.75" customHeight="1">
      <c r="A975" s="309"/>
      <c r="B975" s="309"/>
      <c r="C975" s="309"/>
      <c r="D975" s="309"/>
      <c r="E975" s="309"/>
      <c r="F975" s="309"/>
      <c r="G975" s="309"/>
      <c r="H975" s="309"/>
      <c r="I975" s="309"/>
      <c r="J975" s="309"/>
      <c r="K975" s="1020"/>
      <c r="L975" s="309"/>
      <c r="M975" s="309"/>
      <c r="N975" s="309"/>
      <c r="O975" s="309"/>
      <c r="P975" s="326"/>
      <c r="Q975" s="309"/>
      <c r="R975" s="309"/>
      <c r="S975" s="309"/>
      <c r="T975" s="309"/>
      <c r="U975" s="309"/>
      <c r="V975" s="309"/>
      <c r="W975" s="309"/>
      <c r="X975" s="309"/>
      <c r="Y975" s="309"/>
      <c r="Z975" s="309"/>
    </row>
    <row r="976" spans="1:26" ht="12.75" customHeight="1">
      <c r="A976" s="309"/>
      <c r="B976" s="309"/>
      <c r="C976" s="309"/>
      <c r="D976" s="309"/>
      <c r="E976" s="309"/>
      <c r="F976" s="309"/>
      <c r="G976" s="309"/>
      <c r="H976" s="309"/>
      <c r="I976" s="309"/>
      <c r="J976" s="309"/>
      <c r="K976" s="1020"/>
      <c r="L976" s="309"/>
      <c r="M976" s="309"/>
      <c r="N976" s="309"/>
      <c r="O976" s="309"/>
      <c r="P976" s="326"/>
      <c r="Q976" s="309"/>
      <c r="R976" s="309"/>
      <c r="S976" s="309"/>
      <c r="T976" s="309"/>
      <c r="U976" s="309"/>
      <c r="V976" s="309"/>
      <c r="W976" s="309"/>
      <c r="X976" s="309"/>
      <c r="Y976" s="309"/>
      <c r="Z976" s="309"/>
    </row>
    <row r="977" spans="1:26" ht="12.75" customHeight="1">
      <c r="A977" s="309"/>
      <c r="B977" s="309"/>
      <c r="C977" s="309"/>
      <c r="D977" s="309"/>
      <c r="E977" s="309"/>
      <c r="F977" s="309"/>
      <c r="G977" s="309"/>
      <c r="H977" s="309"/>
      <c r="I977" s="309"/>
      <c r="J977" s="309"/>
      <c r="K977" s="1020"/>
      <c r="L977" s="309"/>
      <c r="M977" s="309"/>
      <c r="N977" s="309"/>
      <c r="O977" s="309"/>
      <c r="P977" s="326"/>
      <c r="Q977" s="309"/>
      <c r="R977" s="309"/>
      <c r="S977" s="309"/>
      <c r="T977" s="309"/>
      <c r="U977" s="309"/>
      <c r="V977" s="309"/>
      <c r="W977" s="309"/>
      <c r="X977" s="309"/>
      <c r="Y977" s="309"/>
      <c r="Z977" s="309"/>
    </row>
    <row r="978" spans="1:26" ht="12.75" customHeight="1">
      <c r="A978" s="309"/>
      <c r="B978" s="309"/>
      <c r="C978" s="309"/>
      <c r="D978" s="309"/>
      <c r="E978" s="309"/>
      <c r="F978" s="309"/>
      <c r="G978" s="309"/>
      <c r="H978" s="309"/>
      <c r="I978" s="309"/>
      <c r="J978" s="309"/>
      <c r="K978" s="1020"/>
      <c r="L978" s="309"/>
      <c r="M978" s="309"/>
      <c r="N978" s="309"/>
      <c r="O978" s="309"/>
      <c r="P978" s="326"/>
      <c r="Q978" s="309"/>
      <c r="R978" s="309"/>
      <c r="S978" s="309"/>
      <c r="T978" s="309"/>
      <c r="U978" s="309"/>
      <c r="V978" s="309"/>
      <c r="W978" s="309"/>
      <c r="X978" s="309"/>
      <c r="Y978" s="309"/>
      <c r="Z978" s="309"/>
    </row>
    <row r="979" spans="1:26" ht="12.75" customHeight="1">
      <c r="A979" s="309"/>
      <c r="B979" s="309"/>
      <c r="C979" s="309"/>
      <c r="D979" s="309"/>
      <c r="E979" s="309"/>
      <c r="F979" s="309"/>
      <c r="G979" s="309"/>
      <c r="H979" s="309"/>
      <c r="I979" s="309"/>
      <c r="J979" s="309"/>
      <c r="K979" s="1020"/>
      <c r="L979" s="309"/>
      <c r="M979" s="309"/>
      <c r="N979" s="309"/>
      <c r="O979" s="309"/>
      <c r="P979" s="326"/>
      <c r="Q979" s="309"/>
      <c r="R979" s="309"/>
      <c r="S979" s="309"/>
      <c r="T979" s="309"/>
      <c r="U979" s="309"/>
      <c r="V979" s="309"/>
      <c r="W979" s="309"/>
      <c r="X979" s="309"/>
      <c r="Y979" s="309"/>
      <c r="Z979" s="309"/>
    </row>
    <row r="980" spans="1:26" ht="12.75" customHeight="1">
      <c r="A980" s="309"/>
      <c r="B980" s="309"/>
      <c r="C980" s="309"/>
      <c r="D980" s="309"/>
      <c r="E980" s="309"/>
      <c r="F980" s="309"/>
      <c r="G980" s="309"/>
      <c r="H980" s="309"/>
      <c r="I980" s="309"/>
      <c r="J980" s="309"/>
      <c r="K980" s="1020"/>
      <c r="L980" s="309"/>
      <c r="M980" s="309"/>
      <c r="N980" s="309"/>
      <c r="O980" s="309"/>
      <c r="P980" s="326"/>
      <c r="Q980" s="309"/>
      <c r="R980" s="309"/>
      <c r="S980" s="309"/>
      <c r="T980" s="309"/>
      <c r="U980" s="309"/>
      <c r="V980" s="309"/>
      <c r="W980" s="309"/>
      <c r="X980" s="309"/>
      <c r="Y980" s="309"/>
      <c r="Z980" s="309"/>
    </row>
    <row r="981" spans="1:26" ht="12.75" customHeight="1">
      <c r="A981" s="309"/>
      <c r="B981" s="309"/>
      <c r="C981" s="309"/>
      <c r="D981" s="309"/>
      <c r="E981" s="309"/>
      <c r="F981" s="309"/>
      <c r="G981" s="309"/>
      <c r="H981" s="309"/>
      <c r="I981" s="309"/>
      <c r="J981" s="309"/>
      <c r="K981" s="1020"/>
      <c r="L981" s="309"/>
      <c r="M981" s="309"/>
      <c r="N981" s="309"/>
      <c r="O981" s="309"/>
      <c r="P981" s="326"/>
      <c r="Q981" s="309"/>
      <c r="R981" s="309"/>
      <c r="S981" s="309"/>
      <c r="T981" s="309"/>
      <c r="U981" s="309"/>
      <c r="V981" s="309"/>
      <c r="W981" s="309"/>
      <c r="X981" s="309"/>
      <c r="Y981" s="309"/>
      <c r="Z981" s="309"/>
    </row>
    <row r="982" spans="1:26" ht="12.75" customHeight="1">
      <c r="A982" s="309"/>
      <c r="B982" s="309"/>
      <c r="C982" s="309"/>
      <c r="D982" s="309"/>
      <c r="E982" s="309"/>
      <c r="F982" s="309"/>
      <c r="G982" s="309"/>
      <c r="H982" s="309"/>
      <c r="I982" s="309"/>
      <c r="J982" s="309"/>
      <c r="K982" s="1020"/>
      <c r="L982" s="309"/>
      <c r="M982" s="309"/>
      <c r="N982" s="309"/>
      <c r="O982" s="309"/>
      <c r="P982" s="326"/>
      <c r="Q982" s="309"/>
      <c r="R982" s="309"/>
      <c r="S982" s="309"/>
      <c r="T982" s="309"/>
      <c r="U982" s="309"/>
      <c r="V982" s="309"/>
      <c r="W982" s="309"/>
      <c r="X982" s="309"/>
      <c r="Y982" s="309"/>
      <c r="Z982" s="309"/>
    </row>
    <row r="983" spans="1:26" ht="12.75" customHeight="1">
      <c r="A983" s="309"/>
      <c r="B983" s="309"/>
      <c r="C983" s="309"/>
      <c r="D983" s="309"/>
      <c r="E983" s="309"/>
      <c r="F983" s="309"/>
      <c r="G983" s="309"/>
      <c r="H983" s="309"/>
      <c r="I983" s="309"/>
      <c r="J983" s="309"/>
      <c r="K983" s="1020"/>
      <c r="L983" s="309"/>
      <c r="M983" s="309"/>
      <c r="N983" s="309"/>
      <c r="O983" s="309"/>
      <c r="P983" s="326"/>
      <c r="Q983" s="309"/>
      <c r="R983" s="309"/>
      <c r="S983" s="309"/>
      <c r="T983" s="309"/>
      <c r="U983" s="309"/>
      <c r="V983" s="309"/>
      <c r="W983" s="309"/>
      <c r="X983" s="309"/>
      <c r="Y983" s="309"/>
      <c r="Z983" s="309"/>
    </row>
    <row r="984" spans="1:26" ht="12.75" customHeight="1">
      <c r="A984" s="309"/>
      <c r="B984" s="309"/>
      <c r="C984" s="309"/>
      <c r="D984" s="309"/>
      <c r="E984" s="309"/>
      <c r="F984" s="309"/>
      <c r="G984" s="309"/>
      <c r="H984" s="309"/>
      <c r="I984" s="309"/>
      <c r="J984" s="309"/>
      <c r="K984" s="1020"/>
      <c r="L984" s="309"/>
      <c r="M984" s="309"/>
      <c r="N984" s="309"/>
      <c r="O984" s="309"/>
      <c r="P984" s="326"/>
      <c r="Q984" s="309"/>
      <c r="R984" s="309"/>
      <c r="S984" s="309"/>
      <c r="T984" s="309"/>
      <c r="U984" s="309"/>
      <c r="V984" s="309"/>
      <c r="W984" s="309"/>
      <c r="X984" s="309"/>
      <c r="Y984" s="309"/>
      <c r="Z984" s="309"/>
    </row>
    <row r="985" spans="1:26" ht="12.75" customHeight="1">
      <c r="A985" s="309"/>
      <c r="B985" s="309"/>
      <c r="C985" s="309"/>
      <c r="D985" s="309"/>
      <c r="E985" s="309"/>
      <c r="F985" s="309"/>
      <c r="G985" s="309"/>
      <c r="H985" s="309"/>
      <c r="I985" s="309"/>
      <c r="J985" s="309"/>
      <c r="K985" s="1020"/>
      <c r="L985" s="309"/>
      <c r="M985" s="309"/>
      <c r="N985" s="309"/>
      <c r="O985" s="309"/>
      <c r="P985" s="326"/>
      <c r="Q985" s="309"/>
      <c r="R985" s="309"/>
      <c r="S985" s="309"/>
      <c r="T985" s="309"/>
      <c r="U985" s="309"/>
      <c r="V985" s="309"/>
      <c r="W985" s="309"/>
      <c r="X985" s="309"/>
      <c r="Y985" s="309"/>
      <c r="Z985" s="309"/>
    </row>
    <row r="986" spans="1:26" ht="12.75" customHeight="1">
      <c r="A986" s="309"/>
      <c r="B986" s="309"/>
      <c r="C986" s="309"/>
      <c r="D986" s="309"/>
      <c r="E986" s="309"/>
      <c r="F986" s="309"/>
      <c r="G986" s="309"/>
      <c r="H986" s="309"/>
      <c r="I986" s="309"/>
      <c r="J986" s="309"/>
      <c r="K986" s="1020"/>
      <c r="L986" s="309"/>
      <c r="M986" s="309"/>
      <c r="N986" s="309"/>
      <c r="O986" s="309"/>
      <c r="P986" s="326"/>
      <c r="Q986" s="309"/>
      <c r="R986" s="309"/>
      <c r="S986" s="309"/>
      <c r="T986" s="309"/>
      <c r="U986" s="309"/>
      <c r="V986" s="309"/>
      <c r="W986" s="309"/>
      <c r="X986" s="309"/>
      <c r="Y986" s="309"/>
      <c r="Z986" s="309"/>
    </row>
    <row r="987" spans="1:26" ht="12.75" customHeight="1">
      <c r="A987" s="309"/>
      <c r="B987" s="309"/>
      <c r="C987" s="309"/>
      <c r="D987" s="309"/>
      <c r="E987" s="309"/>
      <c r="F987" s="309"/>
      <c r="G987" s="309"/>
      <c r="H987" s="309"/>
      <c r="I987" s="309"/>
      <c r="J987" s="309"/>
      <c r="K987" s="1020"/>
      <c r="L987" s="309"/>
      <c r="M987" s="309"/>
      <c r="N987" s="309"/>
      <c r="O987" s="309"/>
      <c r="P987" s="326"/>
      <c r="Q987" s="309"/>
      <c r="R987" s="309"/>
      <c r="S987" s="309"/>
      <c r="T987" s="309"/>
      <c r="U987" s="309"/>
      <c r="V987" s="309"/>
      <c r="W987" s="309"/>
      <c r="X987" s="309"/>
      <c r="Y987" s="309"/>
      <c r="Z987" s="309"/>
    </row>
    <row r="988" spans="1:26" ht="12.75" customHeight="1">
      <c r="A988" s="309"/>
      <c r="B988" s="309"/>
      <c r="C988" s="309"/>
      <c r="D988" s="309"/>
      <c r="E988" s="309"/>
      <c r="F988" s="309"/>
      <c r="G988" s="309"/>
      <c r="H988" s="309"/>
      <c r="I988" s="309"/>
      <c r="J988" s="309"/>
      <c r="K988" s="1020"/>
      <c r="L988" s="309"/>
      <c r="M988" s="309"/>
      <c r="N988" s="309"/>
      <c r="O988" s="309"/>
      <c r="P988" s="326"/>
      <c r="Q988" s="309"/>
      <c r="R988" s="309"/>
      <c r="S988" s="309"/>
      <c r="T988" s="309"/>
      <c r="U988" s="309"/>
      <c r="V988" s="309"/>
      <c r="W988" s="309"/>
      <c r="X988" s="309"/>
      <c r="Y988" s="309"/>
      <c r="Z988" s="309"/>
    </row>
    <row r="989" spans="1:26" ht="12.75" customHeight="1">
      <c r="A989" s="309"/>
      <c r="B989" s="309"/>
      <c r="C989" s="309"/>
      <c r="D989" s="309"/>
      <c r="E989" s="309"/>
      <c r="F989" s="309"/>
      <c r="G989" s="309"/>
      <c r="H989" s="309"/>
      <c r="I989" s="309"/>
      <c r="J989" s="309"/>
      <c r="K989" s="1020"/>
      <c r="L989" s="309"/>
      <c r="M989" s="309"/>
      <c r="N989" s="309"/>
      <c r="O989" s="309"/>
      <c r="P989" s="326"/>
      <c r="Q989" s="309"/>
      <c r="R989" s="309"/>
      <c r="S989" s="309"/>
      <c r="T989" s="309"/>
      <c r="U989" s="309"/>
      <c r="V989" s="309"/>
      <c r="W989" s="309"/>
      <c r="X989" s="309"/>
      <c r="Y989" s="309"/>
      <c r="Z989" s="309"/>
    </row>
    <row r="990" spans="1:26" ht="12.75" customHeight="1">
      <c r="A990" s="309"/>
      <c r="B990" s="309"/>
      <c r="C990" s="309"/>
      <c r="D990" s="309"/>
      <c r="E990" s="309"/>
      <c r="F990" s="309"/>
      <c r="G990" s="309"/>
      <c r="H990" s="309"/>
      <c r="I990" s="309"/>
      <c r="J990" s="309"/>
      <c r="K990" s="1020"/>
      <c r="L990" s="309"/>
      <c r="M990" s="309"/>
      <c r="N990" s="309"/>
      <c r="O990" s="309"/>
      <c r="P990" s="326"/>
      <c r="Q990" s="309"/>
      <c r="R990" s="309"/>
      <c r="S990" s="309"/>
      <c r="T990" s="309"/>
      <c r="U990" s="309"/>
      <c r="V990" s="309"/>
      <c r="W990" s="309"/>
      <c r="X990" s="309"/>
      <c r="Y990" s="309"/>
      <c r="Z990" s="309"/>
    </row>
    <row r="991" spans="1:26" ht="12.75" customHeight="1">
      <c r="A991" s="309"/>
      <c r="B991" s="309"/>
      <c r="C991" s="309"/>
      <c r="D991" s="309"/>
      <c r="E991" s="309"/>
      <c r="F991" s="309"/>
      <c r="G991" s="309"/>
      <c r="H991" s="309"/>
      <c r="I991" s="309"/>
      <c r="J991" s="309"/>
      <c r="K991" s="1020"/>
      <c r="L991" s="309"/>
      <c r="M991" s="309"/>
      <c r="N991" s="309"/>
      <c r="O991" s="309"/>
      <c r="P991" s="326"/>
      <c r="Q991" s="309"/>
      <c r="R991" s="309"/>
      <c r="S991" s="309"/>
      <c r="T991" s="309"/>
      <c r="U991" s="309"/>
      <c r="V991" s="309"/>
      <c r="W991" s="309"/>
      <c r="X991" s="309"/>
      <c r="Y991" s="309"/>
      <c r="Z991" s="309"/>
    </row>
    <row r="992" spans="1:26" ht="12.75" customHeight="1">
      <c r="A992" s="309"/>
      <c r="B992" s="309"/>
      <c r="C992" s="309"/>
      <c r="D992" s="309"/>
      <c r="E992" s="309"/>
      <c r="F992" s="309"/>
      <c r="G992" s="309"/>
      <c r="H992" s="309"/>
      <c r="I992" s="309"/>
      <c r="J992" s="309"/>
      <c r="K992" s="1020"/>
      <c r="L992" s="309"/>
      <c r="M992" s="309"/>
      <c r="N992" s="309"/>
      <c r="O992" s="309"/>
      <c r="P992" s="326"/>
      <c r="Q992" s="309"/>
      <c r="R992" s="309"/>
      <c r="S992" s="309"/>
      <c r="T992" s="309"/>
      <c r="U992" s="309"/>
      <c r="V992" s="309"/>
      <c r="W992" s="309"/>
      <c r="X992" s="309"/>
      <c r="Y992" s="309"/>
      <c r="Z992" s="309"/>
    </row>
    <row r="993" spans="1:26" ht="12.75" customHeight="1">
      <c r="A993" s="309"/>
      <c r="B993" s="309"/>
      <c r="C993" s="309"/>
      <c r="D993" s="309"/>
      <c r="E993" s="309"/>
      <c r="F993" s="309"/>
      <c r="G993" s="309"/>
      <c r="H993" s="309"/>
      <c r="I993" s="309"/>
      <c r="J993" s="309"/>
      <c r="K993" s="1020"/>
      <c r="L993" s="309"/>
      <c r="M993" s="309"/>
      <c r="N993" s="309"/>
      <c r="O993" s="309"/>
      <c r="P993" s="326"/>
      <c r="Q993" s="309"/>
      <c r="R993" s="309"/>
      <c r="S993" s="309"/>
      <c r="T993" s="309"/>
      <c r="U993" s="309"/>
      <c r="V993" s="309"/>
      <c r="W993" s="309"/>
      <c r="X993" s="309"/>
      <c r="Y993" s="309"/>
      <c r="Z993" s="309"/>
    </row>
    <row r="994" spans="1:26" ht="12.75" customHeight="1">
      <c r="A994" s="309"/>
      <c r="B994" s="309"/>
      <c r="C994" s="309"/>
      <c r="D994" s="309"/>
      <c r="E994" s="309"/>
      <c r="F994" s="309"/>
      <c r="G994" s="309"/>
      <c r="H994" s="309"/>
      <c r="I994" s="309"/>
      <c r="J994" s="309"/>
      <c r="K994" s="1020"/>
      <c r="L994" s="309"/>
      <c r="M994" s="309"/>
      <c r="N994" s="309"/>
      <c r="O994" s="309"/>
      <c r="P994" s="326"/>
      <c r="Q994" s="309"/>
      <c r="R994" s="309"/>
      <c r="S994" s="309"/>
      <c r="T994" s="309"/>
      <c r="U994" s="309"/>
      <c r="V994" s="309"/>
      <c r="W994" s="309"/>
      <c r="X994" s="309"/>
      <c r="Y994" s="309"/>
      <c r="Z994" s="309"/>
    </row>
    <row r="995" spans="1:26" ht="12.75" customHeight="1">
      <c r="A995" s="309"/>
      <c r="B995" s="309"/>
      <c r="C995" s="309"/>
      <c r="D995" s="309"/>
      <c r="E995" s="309"/>
      <c r="F995" s="309"/>
      <c r="G995" s="309"/>
      <c r="H995" s="309"/>
      <c r="I995" s="309"/>
      <c r="J995" s="309"/>
      <c r="K995" s="1020"/>
      <c r="L995" s="309"/>
      <c r="M995" s="309"/>
      <c r="N995" s="309"/>
      <c r="O995" s="309"/>
      <c r="P995" s="326"/>
      <c r="Q995" s="309"/>
      <c r="R995" s="309"/>
      <c r="S995" s="309"/>
      <c r="T995" s="309"/>
      <c r="U995" s="309"/>
      <c r="V995" s="309"/>
      <c r="W995" s="309"/>
      <c r="X995" s="309"/>
      <c r="Y995" s="309"/>
      <c r="Z995" s="309"/>
    </row>
    <row r="996" spans="1:26" ht="12.75" customHeight="1">
      <c r="A996" s="309"/>
      <c r="B996" s="309"/>
      <c r="C996" s="309"/>
      <c r="D996" s="309"/>
      <c r="E996" s="309"/>
      <c r="F996" s="309"/>
      <c r="G996" s="309"/>
      <c r="H996" s="309"/>
      <c r="I996" s="309"/>
      <c r="J996" s="309"/>
      <c r="K996" s="1020"/>
      <c r="L996" s="309"/>
      <c r="M996" s="309"/>
      <c r="N996" s="309"/>
      <c r="O996" s="309"/>
      <c r="P996" s="326"/>
      <c r="Q996" s="309"/>
      <c r="R996" s="309"/>
      <c r="S996" s="309"/>
      <c r="T996" s="309"/>
      <c r="U996" s="309"/>
      <c r="V996" s="309"/>
      <c r="W996" s="309"/>
      <c r="X996" s="309"/>
      <c r="Y996" s="309"/>
      <c r="Z996" s="309"/>
    </row>
    <row r="997" spans="1:26" ht="12.75" customHeight="1">
      <c r="A997" s="309"/>
      <c r="B997" s="309"/>
      <c r="C997" s="309"/>
      <c r="D997" s="309"/>
      <c r="E997" s="309"/>
      <c r="F997" s="309"/>
      <c r="G997" s="309"/>
      <c r="H997" s="309"/>
      <c r="I997" s="309"/>
      <c r="J997" s="309"/>
      <c r="K997" s="1020"/>
      <c r="L997" s="309"/>
      <c r="M997" s="309"/>
      <c r="N997" s="309"/>
      <c r="O997" s="309"/>
      <c r="P997" s="326"/>
      <c r="Q997" s="309"/>
      <c r="R997" s="309"/>
      <c r="S997" s="309"/>
      <c r="T997" s="309"/>
      <c r="U997" s="309"/>
      <c r="V997" s="309"/>
      <c r="W997" s="309"/>
      <c r="X997" s="309"/>
      <c r="Y997" s="309"/>
      <c r="Z997" s="309"/>
    </row>
    <row r="998" spans="1:26" ht="12.75" customHeight="1">
      <c r="A998" s="309"/>
      <c r="B998" s="309"/>
      <c r="C998" s="309"/>
      <c r="D998" s="309"/>
      <c r="E998" s="309"/>
      <c r="F998" s="309"/>
      <c r="G998" s="309"/>
      <c r="H998" s="309"/>
      <c r="I998" s="309"/>
      <c r="J998" s="309"/>
      <c r="K998" s="1020"/>
      <c r="L998" s="309"/>
      <c r="M998" s="309"/>
      <c r="N998" s="309"/>
      <c r="O998" s="309"/>
      <c r="P998" s="326"/>
      <c r="Q998" s="309"/>
      <c r="R998" s="309"/>
      <c r="S998" s="309"/>
      <c r="T998" s="309"/>
      <c r="U998" s="309"/>
      <c r="V998" s="309"/>
      <c r="W998" s="309"/>
      <c r="X998" s="309"/>
      <c r="Y998" s="309"/>
      <c r="Z998" s="309"/>
    </row>
    <row r="999" spans="1:26" ht="12.75" customHeight="1">
      <c r="A999" s="309"/>
      <c r="B999" s="309"/>
      <c r="C999" s="309"/>
      <c r="D999" s="309"/>
      <c r="E999" s="309"/>
      <c r="F999" s="309"/>
      <c r="G999" s="309"/>
      <c r="H999" s="309"/>
      <c r="I999" s="309"/>
      <c r="J999" s="309"/>
      <c r="K999" s="1020"/>
      <c r="L999" s="309"/>
      <c r="M999" s="309"/>
      <c r="N999" s="309"/>
      <c r="O999" s="309"/>
      <c r="P999" s="326"/>
      <c r="Q999" s="309"/>
      <c r="R999" s="309"/>
      <c r="S999" s="309"/>
      <c r="T999" s="309"/>
      <c r="U999" s="309"/>
      <c r="V999" s="309"/>
      <c r="W999" s="309"/>
      <c r="X999" s="309"/>
      <c r="Y999" s="309"/>
      <c r="Z999" s="309"/>
    </row>
    <row r="1000" spans="1:26" ht="12.75" customHeight="1">
      <c r="A1000" s="309"/>
      <c r="B1000" s="309"/>
      <c r="C1000" s="309"/>
      <c r="D1000" s="309"/>
      <c r="E1000" s="309"/>
      <c r="F1000" s="309"/>
      <c r="G1000" s="309"/>
      <c r="H1000" s="309"/>
      <c r="I1000" s="309"/>
      <c r="J1000" s="309"/>
      <c r="K1000" s="1020"/>
      <c r="L1000" s="309"/>
      <c r="M1000" s="309"/>
      <c r="N1000" s="309"/>
      <c r="O1000" s="309"/>
      <c r="P1000" s="326"/>
      <c r="Q1000" s="309"/>
      <c r="R1000" s="309"/>
      <c r="S1000" s="309"/>
      <c r="T1000" s="309"/>
      <c r="U1000" s="309"/>
      <c r="V1000" s="309"/>
      <c r="W1000" s="309"/>
      <c r="X1000" s="309"/>
      <c r="Y1000" s="309"/>
      <c r="Z1000" s="309"/>
    </row>
  </sheetData>
  <mergeCells count="7">
    <mergeCell ref="D6:G6"/>
    <mergeCell ref="I6:L6"/>
    <mergeCell ref="B1:O1"/>
    <mergeCell ref="B2:O2"/>
    <mergeCell ref="B3:O3"/>
    <mergeCell ref="D5:L5"/>
    <mergeCell ref="N5:O5"/>
  </mergeCells>
  <conditionalFormatting sqref="O8:O33 N8:N52 O35:O51">
    <cfRule type="cellIs" dxfId="472" priority="1" stopIfTrue="1" operator="greaterThan">
      <formula>$N$59</formula>
    </cfRule>
    <cfRule type="cellIs" dxfId="471" priority="2" stopIfTrue="1" operator="lessThanOrEqual">
      <formula>$N$59</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00"/>
  <sheetViews>
    <sheetView workbookViewId="0">
      <selection activeCell="B16" sqref="B16"/>
    </sheetView>
  </sheetViews>
  <sheetFormatPr defaultColWidth="14.28515625" defaultRowHeight="15" customHeight="1"/>
  <cols>
    <col min="1" max="1" width="2.7109375" customWidth="1"/>
    <col min="2" max="2" width="31.28515625" customWidth="1"/>
    <col min="3" max="3" width="6.28515625" customWidth="1"/>
    <col min="4" max="4" width="6.7109375" customWidth="1"/>
    <col min="5" max="5" width="7.7109375" customWidth="1"/>
    <col min="6" max="6" width="10.28515625" customWidth="1"/>
    <col min="7" max="7" width="7" customWidth="1"/>
    <col min="8" max="8" width="1.7109375" customWidth="1"/>
    <col min="9" max="9" width="6.7109375" customWidth="1"/>
    <col min="10" max="10" width="7.28515625" customWidth="1"/>
    <col min="11" max="11" width="10.28515625" customWidth="1"/>
    <col min="12" max="12" width="15.7109375" customWidth="1"/>
    <col min="13" max="13" width="18.28515625" customWidth="1"/>
    <col min="14" max="14" width="0.28515625" customWidth="1"/>
    <col min="15" max="16" width="8.28515625" customWidth="1"/>
    <col min="17" max="17" width="9.28515625" customWidth="1"/>
    <col min="18" max="18" width="9.28515625" hidden="1" customWidth="1"/>
    <col min="19" max="19" width="11" customWidth="1"/>
    <col min="20" max="20" width="12.28515625" hidden="1" customWidth="1"/>
    <col min="21" max="21" width="8.7109375" customWidth="1"/>
    <col min="22" max="22" width="5.28515625" hidden="1" customWidth="1"/>
    <col min="23" max="23" width="10.28515625" customWidth="1"/>
    <col min="24" max="24" width="10.28515625" hidden="1" customWidth="1"/>
    <col min="25" max="25" width="5.28515625" customWidth="1"/>
    <col min="26" max="26" width="8.28515625" hidden="1" customWidth="1"/>
    <col min="27" max="27" width="9" customWidth="1"/>
    <col min="28" max="28" width="7.7109375" hidden="1" customWidth="1"/>
    <col min="29" max="29" width="7.28515625" customWidth="1"/>
  </cols>
  <sheetData>
    <row r="1" spans="1:29" ht="19.5" customHeight="1">
      <c r="A1" s="309"/>
      <c r="B1" s="1984" t="s">
        <v>0</v>
      </c>
      <c r="C1" s="1985"/>
      <c r="D1" s="1985"/>
      <c r="E1" s="1985"/>
      <c r="F1" s="1985"/>
      <c r="G1" s="1985"/>
      <c r="H1" s="1985"/>
      <c r="I1" s="1985"/>
      <c r="J1" s="1985"/>
      <c r="K1" s="1985"/>
      <c r="L1" s="1985"/>
      <c r="M1" s="1985"/>
      <c r="N1" s="1985"/>
      <c r="O1" s="1985"/>
      <c r="P1" s="2000"/>
      <c r="Q1" s="989"/>
      <c r="R1" s="989"/>
      <c r="S1" s="989"/>
      <c r="T1" s="990"/>
      <c r="U1" s="990"/>
      <c r="V1" s="990"/>
      <c r="W1" s="1021"/>
      <c r="X1" s="990"/>
      <c r="Y1" s="990"/>
      <c r="Z1" s="990"/>
      <c r="AA1" s="990"/>
      <c r="AB1" s="990"/>
      <c r="AC1" s="990"/>
    </row>
    <row r="2" spans="1:29" ht="10.5" customHeight="1">
      <c r="A2" s="309"/>
      <c r="B2" s="1986" t="s">
        <v>183</v>
      </c>
      <c r="C2" s="1985"/>
      <c r="D2" s="1985"/>
      <c r="E2" s="1985"/>
      <c r="F2" s="1985"/>
      <c r="G2" s="1985"/>
      <c r="H2" s="1985"/>
      <c r="I2" s="1985"/>
      <c r="J2" s="1985"/>
      <c r="K2" s="1985"/>
      <c r="L2" s="1985"/>
      <c r="M2" s="1985"/>
      <c r="N2" s="1985"/>
      <c r="O2" s="1985"/>
      <c r="P2" s="2000"/>
      <c r="Q2" s="991"/>
      <c r="R2" s="991"/>
      <c r="S2" s="991"/>
      <c r="T2" s="345"/>
      <c r="U2" s="345"/>
      <c r="V2" s="345"/>
      <c r="W2" s="1022"/>
      <c r="X2" s="345"/>
      <c r="Y2" s="345"/>
      <c r="Z2" s="345"/>
      <c r="AA2" s="345"/>
      <c r="AB2" s="345"/>
      <c r="AC2" s="345"/>
    </row>
    <row r="3" spans="1:29" ht="12.75" customHeight="1">
      <c r="A3" s="309"/>
      <c r="B3" s="2001"/>
      <c r="C3" s="1985"/>
      <c r="D3" s="1985"/>
      <c r="E3" s="1985"/>
      <c r="F3" s="1985"/>
      <c r="G3" s="1985"/>
      <c r="H3" s="1985"/>
      <c r="I3" s="1985"/>
      <c r="J3" s="1985"/>
      <c r="K3" s="1985"/>
      <c r="L3" s="1985"/>
      <c r="M3" s="1985"/>
      <c r="N3" s="1985"/>
      <c r="O3" s="1985"/>
      <c r="P3" s="2000"/>
      <c r="Q3" s="991"/>
      <c r="R3" s="991"/>
      <c r="S3" s="991"/>
      <c r="T3" s="992"/>
      <c r="U3" s="992"/>
      <c r="V3" s="992"/>
      <c r="W3" s="1022"/>
      <c r="X3" s="992"/>
      <c r="Y3" s="992"/>
      <c r="Z3" s="992"/>
      <c r="AA3" s="992"/>
      <c r="AB3" s="992"/>
      <c r="AC3" s="992"/>
    </row>
    <row r="4" spans="1:29" ht="6" customHeight="1">
      <c r="A4" s="309"/>
      <c r="B4" s="894"/>
      <c r="C4" s="894"/>
      <c r="D4" s="894"/>
      <c r="E4" s="894"/>
      <c r="F4" s="894"/>
      <c r="G4" s="894"/>
      <c r="H4" s="894"/>
      <c r="I4" s="894"/>
      <c r="J4" s="894"/>
      <c r="K4" s="894"/>
      <c r="L4" s="894"/>
      <c r="M4" s="894"/>
      <c r="N4" s="894"/>
      <c r="O4" s="894"/>
      <c r="P4" s="993"/>
      <c r="Q4" s="994"/>
      <c r="R4" s="994"/>
      <c r="S4" s="994"/>
      <c r="T4" s="933"/>
      <c r="U4" s="933"/>
      <c r="V4" s="933"/>
      <c r="W4" s="609"/>
      <c r="X4" s="933"/>
      <c r="Y4" s="933"/>
      <c r="Z4" s="933"/>
      <c r="AA4" s="933"/>
      <c r="AB4" s="933"/>
      <c r="AC4" s="933"/>
    </row>
    <row r="5" spans="1:29" ht="13.5" customHeight="1">
      <c r="A5" s="897"/>
      <c r="B5" s="897"/>
      <c r="C5" s="898"/>
      <c r="D5" s="1988" t="s">
        <v>3</v>
      </c>
      <c r="E5" s="1989"/>
      <c r="F5" s="1989"/>
      <c r="G5" s="1989"/>
      <c r="H5" s="1989"/>
      <c r="I5" s="1989"/>
      <c r="J5" s="1989"/>
      <c r="K5" s="1989"/>
      <c r="L5" s="1989"/>
      <c r="M5" s="1990"/>
      <c r="N5" s="899"/>
      <c r="O5" s="1991"/>
      <c r="P5" s="2002"/>
      <c r="Q5" s="995"/>
      <c r="R5" s="995"/>
      <c r="S5" s="995"/>
      <c r="T5" s="309"/>
      <c r="U5" s="309"/>
      <c r="V5" s="309"/>
      <c r="W5" s="328"/>
      <c r="X5" s="309"/>
      <c r="Y5" s="309"/>
      <c r="Z5" s="309"/>
      <c r="AA5" s="309"/>
      <c r="AB5" s="309"/>
      <c r="AC5" s="309"/>
    </row>
    <row r="6" spans="1:29" ht="12" customHeight="1">
      <c r="A6" s="323"/>
      <c r="B6" s="900"/>
      <c r="C6" s="901"/>
      <c r="D6" s="1980">
        <v>38717</v>
      </c>
      <c r="E6" s="1981"/>
      <c r="F6" s="1981"/>
      <c r="G6" s="1981"/>
      <c r="H6" s="902"/>
      <c r="I6" s="1982" t="s">
        <v>184</v>
      </c>
      <c r="J6" s="1981"/>
      <c r="K6" s="1981"/>
      <c r="L6" s="1981"/>
      <c r="M6" s="1983"/>
      <c r="N6" s="900"/>
      <c r="O6" s="900" t="s">
        <v>5</v>
      </c>
      <c r="P6" s="27" t="s">
        <v>6</v>
      </c>
      <c r="Q6" s="892"/>
      <c r="R6" s="892"/>
      <c r="S6" s="892"/>
      <c r="T6" s="323"/>
      <c r="U6" s="323"/>
      <c r="V6" s="323"/>
      <c r="W6" s="327"/>
      <c r="X6" s="323"/>
      <c r="Y6" s="323"/>
      <c r="Z6" s="323"/>
      <c r="AA6" s="323"/>
      <c r="AB6" s="323"/>
      <c r="AC6" s="323"/>
    </row>
    <row r="7" spans="1:29" ht="12" customHeight="1">
      <c r="A7" s="904"/>
      <c r="B7" s="905" t="s">
        <v>7</v>
      </c>
      <c r="C7" s="906" t="s">
        <v>8</v>
      </c>
      <c r="D7" s="1" t="s">
        <v>9</v>
      </c>
      <c r="E7" s="905" t="s">
        <v>10</v>
      </c>
      <c r="F7" s="905" t="s">
        <v>11</v>
      </c>
      <c r="G7" s="905" t="s">
        <v>12</v>
      </c>
      <c r="H7" s="905"/>
      <c r="I7" s="113" t="s">
        <v>9</v>
      </c>
      <c r="J7" s="905" t="s">
        <v>10</v>
      </c>
      <c r="K7" s="907" t="s">
        <v>11</v>
      </c>
      <c r="L7" s="907" t="s">
        <v>13</v>
      </c>
      <c r="M7" s="908" t="s">
        <v>14</v>
      </c>
      <c r="N7" s="905"/>
      <c r="O7" s="905" t="s">
        <v>15</v>
      </c>
      <c r="P7" s="908" t="s">
        <v>15</v>
      </c>
      <c r="Q7" s="900"/>
      <c r="R7" s="900"/>
      <c r="S7" s="892"/>
      <c r="T7" s="323"/>
      <c r="U7" s="323"/>
      <c r="V7" s="323"/>
      <c r="W7" s="327"/>
      <c r="X7" s="323"/>
      <c r="Y7" s="323"/>
      <c r="Z7" s="323"/>
      <c r="AA7" s="323"/>
      <c r="AB7" s="323"/>
      <c r="AC7" s="323"/>
    </row>
    <row r="8" spans="1:29" ht="12" customHeight="1">
      <c r="A8" s="1000">
        <v>1</v>
      </c>
      <c r="B8" s="323" t="s">
        <v>16</v>
      </c>
      <c r="C8" s="1023" t="s">
        <v>17</v>
      </c>
      <c r="D8" s="334"/>
      <c r="E8" s="323"/>
      <c r="F8" s="323"/>
      <c r="G8" s="323"/>
      <c r="H8" s="323"/>
      <c r="I8" s="1024">
        <v>50</v>
      </c>
      <c r="J8" s="323">
        <v>30.01</v>
      </c>
      <c r="K8" s="1010">
        <f t="shared" ref="K8:K18" si="0">I8*J8</f>
        <v>1500.5</v>
      </c>
      <c r="L8" s="1025">
        <f t="shared" ref="L8:L18" si="1">K8/$K$58</f>
        <v>4.3099387388381066E-2</v>
      </c>
      <c r="M8" s="1026">
        <f t="shared" ref="M8:M18" si="2">K8/$K$62</f>
        <v>1.987788447908815E-2</v>
      </c>
      <c r="N8" s="323"/>
      <c r="O8" s="323"/>
      <c r="P8" s="1027">
        <f>(K8-Transactions!E1516)/Transactions!E1516</f>
        <v>-5.0923144066134934E-2</v>
      </c>
      <c r="Q8" s="1001"/>
      <c r="R8" s="323"/>
      <c r="S8" s="1028"/>
      <c r="T8" s="323"/>
      <c r="U8" s="323"/>
      <c r="V8" s="323"/>
      <c r="W8" s="327"/>
      <c r="X8" s="323"/>
      <c r="Y8" s="323"/>
      <c r="Z8" s="323"/>
      <c r="AA8" s="323"/>
      <c r="AB8" s="323"/>
      <c r="AC8" s="323"/>
    </row>
    <row r="9" spans="1:29" ht="12.75" customHeight="1">
      <c r="A9" s="1000">
        <v>2</v>
      </c>
      <c r="B9" s="323" t="s">
        <v>20</v>
      </c>
      <c r="C9" s="1023" t="s">
        <v>21</v>
      </c>
      <c r="D9" s="1029">
        <v>100</v>
      </c>
      <c r="E9" s="940">
        <v>44.26</v>
      </c>
      <c r="F9" s="948">
        <f>E9*D9</f>
        <v>4426</v>
      </c>
      <c r="G9" s="949">
        <v>5.5214127085267482E-2</v>
      </c>
      <c r="H9" s="940"/>
      <c r="I9" s="940">
        <v>50</v>
      </c>
      <c r="J9" s="940">
        <v>62.08</v>
      </c>
      <c r="K9" s="1010">
        <f t="shared" si="0"/>
        <v>3104</v>
      </c>
      <c r="L9" s="1030">
        <f t="shared" si="1"/>
        <v>8.9157279875731299E-2</v>
      </c>
      <c r="M9" s="1031">
        <f t="shared" si="2"/>
        <v>4.1120262194661521E-2</v>
      </c>
      <c r="N9" s="345"/>
      <c r="O9" s="1001">
        <f>(J9-E9)/E9</f>
        <v>0.40262087663804791</v>
      </c>
      <c r="P9" s="1027">
        <f>(J9-Transactions!C1698)/Transactions!C1698</f>
        <v>2.1641182466870537</v>
      </c>
      <c r="Q9" s="1001"/>
      <c r="R9" s="1001"/>
      <c r="S9" s="326"/>
      <c r="T9" s="309"/>
      <c r="U9" s="328"/>
      <c r="V9" s="309"/>
      <c r="W9" s="328"/>
      <c r="X9" s="309"/>
      <c r="Y9" s="309"/>
      <c r="Z9" s="309"/>
      <c r="AA9" s="309"/>
      <c r="AB9" s="309"/>
      <c r="AC9" s="309"/>
    </row>
    <row r="10" spans="1:29" ht="12.75" customHeight="1">
      <c r="A10" s="1000">
        <v>3</v>
      </c>
      <c r="B10" s="323" t="s">
        <v>22</v>
      </c>
      <c r="C10" s="1023" t="s">
        <v>23</v>
      </c>
      <c r="D10" s="1029"/>
      <c r="E10" s="940"/>
      <c r="F10" s="948"/>
      <c r="G10" s="949"/>
      <c r="H10" s="940"/>
      <c r="I10" s="940">
        <v>50</v>
      </c>
      <c r="J10" s="940">
        <v>53.39</v>
      </c>
      <c r="K10" s="1010">
        <f t="shared" si="0"/>
        <v>2669.5</v>
      </c>
      <c r="L10" s="1030">
        <f t="shared" si="1"/>
        <v>7.6676984094157449E-2</v>
      </c>
      <c r="M10" s="1031">
        <f t="shared" si="2"/>
        <v>3.5364220337837933E-2</v>
      </c>
      <c r="N10" s="345"/>
      <c r="O10" s="1001"/>
      <c r="P10" s="1027">
        <f>(J10-Transactions!C1677)/Transactions!C1677</f>
        <v>0.13789428815004259</v>
      </c>
      <c r="Q10" s="1001"/>
      <c r="R10" s="1001"/>
      <c r="S10" s="326"/>
      <c r="T10" s="309"/>
      <c r="U10" s="328"/>
      <c r="V10" s="309"/>
      <c r="W10" s="328"/>
      <c r="X10" s="309"/>
      <c r="Y10" s="309"/>
      <c r="Z10" s="309"/>
      <c r="AA10" s="309"/>
      <c r="AB10" s="309"/>
      <c r="AC10" s="309"/>
    </row>
    <row r="11" spans="1:29" ht="12.75" customHeight="1">
      <c r="A11" s="1000">
        <v>4</v>
      </c>
      <c r="B11" s="913" t="s">
        <v>24</v>
      </c>
      <c r="C11" s="323" t="s">
        <v>25</v>
      </c>
      <c r="D11" s="946">
        <v>40</v>
      </c>
      <c r="E11" s="964">
        <v>55.78</v>
      </c>
      <c r="F11" s="948">
        <f>E11*D11</f>
        <v>2231.1999999999998</v>
      </c>
      <c r="G11" s="949">
        <v>2.9816917170433829E-2</v>
      </c>
      <c r="H11" s="949"/>
      <c r="I11" s="950">
        <v>40</v>
      </c>
      <c r="J11" s="964">
        <v>72.44</v>
      </c>
      <c r="K11" s="1010">
        <f t="shared" si="0"/>
        <v>2897.6</v>
      </c>
      <c r="L11" s="1030">
        <f t="shared" si="1"/>
        <v>8.3228780337602781E-2</v>
      </c>
      <c r="M11" s="1031">
        <f t="shared" si="2"/>
        <v>3.8385976718830934E-2</v>
      </c>
      <c r="N11" s="309"/>
      <c r="O11" s="1001">
        <f>(J11-E11)/E11</f>
        <v>0.29867335962710645</v>
      </c>
      <c r="P11" s="1027">
        <f>(J11-Transactions!C1718)/Transactions!C1718</f>
        <v>1.8547783251231527</v>
      </c>
      <c r="Q11" s="1001"/>
      <c r="R11" s="1001"/>
      <c r="S11" s="326"/>
      <c r="T11" s="309"/>
      <c r="U11" s="328"/>
      <c r="V11" s="309"/>
      <c r="W11" s="328"/>
      <c r="X11" s="309"/>
      <c r="Y11" s="309"/>
      <c r="Z11" s="309"/>
      <c r="AA11" s="309"/>
      <c r="AB11" s="309"/>
      <c r="AC11" s="309"/>
    </row>
    <row r="12" spans="1:29" ht="12.75" customHeight="1">
      <c r="A12" s="1000">
        <v>5</v>
      </c>
      <c r="B12" s="323" t="s">
        <v>26</v>
      </c>
      <c r="C12" s="323" t="s">
        <v>27</v>
      </c>
      <c r="D12" s="946"/>
      <c r="E12" s="964"/>
      <c r="F12" s="948"/>
      <c r="G12" s="949"/>
      <c r="H12" s="949"/>
      <c r="I12" s="950">
        <v>60</v>
      </c>
      <c r="J12" s="964">
        <v>43.23</v>
      </c>
      <c r="K12" s="1010">
        <f t="shared" si="0"/>
        <v>2593.7999999999997</v>
      </c>
      <c r="L12" s="1030">
        <f t="shared" si="1"/>
        <v>7.4502626463167465E-2</v>
      </c>
      <c r="M12" s="1031">
        <f t="shared" si="2"/>
        <v>3.4361384046557038E-2</v>
      </c>
      <c r="N12" s="309"/>
      <c r="O12" s="1001"/>
      <c r="P12" s="1027">
        <f>J12/Transactions!C1610-1</f>
        <v>-0.39309279797837993</v>
      </c>
      <c r="Q12" s="1001"/>
      <c r="R12" s="1001"/>
      <c r="S12" s="326"/>
      <c r="T12" s="309"/>
      <c r="U12" s="328"/>
      <c r="V12" s="309"/>
      <c r="W12" s="328"/>
      <c r="X12" s="309"/>
      <c r="Y12" s="309"/>
      <c r="Z12" s="309"/>
      <c r="AA12" s="309"/>
      <c r="AB12" s="309"/>
      <c r="AC12" s="309"/>
    </row>
    <row r="13" spans="1:29" ht="12.75" customHeight="1">
      <c r="A13" s="1000">
        <v>6</v>
      </c>
      <c r="B13" s="323" t="s">
        <v>30</v>
      </c>
      <c r="C13" s="323" t="s">
        <v>31</v>
      </c>
      <c r="D13" s="946"/>
      <c r="E13" s="964"/>
      <c r="F13" s="948"/>
      <c r="G13" s="949"/>
      <c r="H13" s="949"/>
      <c r="I13" s="950">
        <v>60</v>
      </c>
      <c r="J13" s="964">
        <v>27.58</v>
      </c>
      <c r="K13" s="1010">
        <f t="shared" si="0"/>
        <v>1654.8</v>
      </c>
      <c r="L13" s="1030">
        <f t="shared" si="1"/>
        <v>4.7531400366739744E-2</v>
      </c>
      <c r="M13" s="1031">
        <f t="shared" si="2"/>
        <v>2.1921974832385917E-2</v>
      </c>
      <c r="N13" s="309"/>
      <c r="O13" s="1001"/>
      <c r="P13" s="1027">
        <f>J13/Transactions!C1638-1</f>
        <v>-0.13270440251572335</v>
      </c>
      <c r="Q13" s="1001"/>
      <c r="R13" s="1001"/>
      <c r="S13" s="326"/>
      <c r="T13" s="309"/>
      <c r="U13" s="328"/>
      <c r="V13" s="309"/>
      <c r="W13" s="328"/>
      <c r="X13" s="309"/>
      <c r="Y13" s="309"/>
      <c r="Z13" s="309"/>
      <c r="AA13" s="309"/>
      <c r="AB13" s="309"/>
      <c r="AC13" s="309"/>
    </row>
    <row r="14" spans="1:29" ht="12.75" customHeight="1">
      <c r="A14" s="1000">
        <v>7</v>
      </c>
      <c r="B14" s="323" t="s">
        <v>38</v>
      </c>
      <c r="C14" s="323" t="s">
        <v>39</v>
      </c>
      <c r="D14" s="946"/>
      <c r="E14" s="964"/>
      <c r="F14" s="948"/>
      <c r="G14" s="949"/>
      <c r="H14" s="949"/>
      <c r="I14" s="950">
        <v>165</v>
      </c>
      <c r="J14" s="964">
        <v>40.159999999999997</v>
      </c>
      <c r="K14" s="1010">
        <f t="shared" si="0"/>
        <v>6626.4</v>
      </c>
      <c r="L14" s="1030">
        <f t="shared" si="1"/>
        <v>0.19033240959038206</v>
      </c>
      <c r="M14" s="1031">
        <f t="shared" si="2"/>
        <v>8.7783281381026132E-2</v>
      </c>
      <c r="N14" s="309"/>
      <c r="O14" s="1001"/>
      <c r="P14" s="1027">
        <f>(K14-Transactions!E1521)/Transactions!E1521</f>
        <v>1.7753551401438413E-2</v>
      </c>
      <c r="Q14" s="1001"/>
      <c r="R14" s="1001"/>
      <c r="S14" s="326"/>
      <c r="T14" s="309"/>
      <c r="U14" s="328"/>
      <c r="V14" s="309"/>
      <c r="W14" s="328"/>
      <c r="X14" s="309"/>
      <c r="Y14" s="309"/>
      <c r="Z14" s="309"/>
      <c r="AA14" s="309"/>
      <c r="AB14" s="309"/>
      <c r="AC14" s="309"/>
    </row>
    <row r="15" spans="1:29" ht="12.75" customHeight="1">
      <c r="A15" s="1000">
        <v>8</v>
      </c>
      <c r="B15" s="323" t="s">
        <v>40</v>
      </c>
      <c r="C15" s="323" t="s">
        <v>41</v>
      </c>
      <c r="D15" s="946">
        <v>75</v>
      </c>
      <c r="E15" s="964">
        <v>26.15</v>
      </c>
      <c r="F15" s="948">
        <f>E15*D15</f>
        <v>1961.25</v>
      </c>
      <c r="G15" s="949">
        <v>5.3539019379063336E-2</v>
      </c>
      <c r="H15" s="949"/>
      <c r="I15" s="950">
        <v>75</v>
      </c>
      <c r="J15" s="964">
        <v>29.86</v>
      </c>
      <c r="K15" s="1010">
        <f t="shared" si="0"/>
        <v>2239.5</v>
      </c>
      <c r="L15" s="1030">
        <f t="shared" si="1"/>
        <v>6.4325943389723014E-2</v>
      </c>
      <c r="M15" s="1031">
        <f t="shared" si="2"/>
        <v>2.9667792263190877E-2</v>
      </c>
      <c r="N15" s="309"/>
      <c r="O15" s="1001">
        <f>(J15-E15)/E15</f>
        <v>0.14187380497131935</v>
      </c>
      <c r="P15" s="1027">
        <f>(J15-Transactions!C1774)/Transactions!C1774</f>
        <v>0.17282010997643357</v>
      </c>
      <c r="Q15" s="1001"/>
      <c r="R15" s="1001"/>
      <c r="S15" s="326"/>
      <c r="T15" s="309"/>
      <c r="U15" s="328"/>
      <c r="V15" s="309"/>
      <c r="W15" s="328"/>
      <c r="X15" s="309"/>
      <c r="Y15" s="309"/>
      <c r="Z15" s="309"/>
      <c r="AA15" s="309"/>
      <c r="AB15" s="309"/>
      <c r="AC15" s="309"/>
    </row>
    <row r="16" spans="1:29" ht="12.75" customHeight="1">
      <c r="A16" s="1000">
        <v>9</v>
      </c>
      <c r="B16" s="323" t="s">
        <v>44</v>
      </c>
      <c r="C16" s="323" t="s">
        <v>45</v>
      </c>
      <c r="D16" s="946"/>
      <c r="E16" s="964"/>
      <c r="F16" s="948"/>
      <c r="G16" s="949"/>
      <c r="H16" s="949"/>
      <c r="I16" s="950">
        <v>186</v>
      </c>
      <c r="J16" s="964">
        <v>23.23</v>
      </c>
      <c r="K16" s="1010">
        <f t="shared" si="0"/>
        <v>4320.78</v>
      </c>
      <c r="L16" s="1030">
        <f t="shared" si="1"/>
        <v>0.12410727826722368</v>
      </c>
      <c r="M16" s="1031">
        <f t="shared" si="2"/>
        <v>5.7239563945054639E-2</v>
      </c>
      <c r="N16" s="309"/>
      <c r="O16" s="1001"/>
      <c r="P16" s="1027">
        <f>(K16-Transactions!E1520)/Transactions!E1520</f>
        <v>-0.12360425705401645</v>
      </c>
      <c r="Q16" s="1001"/>
      <c r="R16" s="1001"/>
      <c r="S16" s="326"/>
      <c r="T16" s="309"/>
      <c r="U16" s="328"/>
      <c r="V16" s="309"/>
      <c r="W16" s="328"/>
      <c r="X16" s="309"/>
      <c r="Y16" s="309"/>
      <c r="Z16" s="309"/>
      <c r="AA16" s="309"/>
      <c r="AB16" s="309"/>
      <c r="AC16" s="309"/>
    </row>
    <row r="17" spans="1:29" ht="12.75" customHeight="1">
      <c r="A17" s="1000">
        <v>10</v>
      </c>
      <c r="B17" s="323" t="s">
        <v>61</v>
      </c>
      <c r="C17" s="323" t="s">
        <v>62</v>
      </c>
      <c r="D17" s="946"/>
      <c r="E17" s="964"/>
      <c r="F17" s="948"/>
      <c r="G17" s="949"/>
      <c r="H17" s="949"/>
      <c r="I17" s="950">
        <v>100</v>
      </c>
      <c r="J17" s="964">
        <v>48.77</v>
      </c>
      <c r="K17" s="1010">
        <f t="shared" si="0"/>
        <v>4877</v>
      </c>
      <c r="L17" s="1030">
        <f t="shared" si="1"/>
        <v>0.14008378026866675</v>
      </c>
      <c r="M17" s="1031">
        <f t="shared" si="2"/>
        <v>6.460809237221786E-2</v>
      </c>
      <c r="N17" s="309"/>
      <c r="O17" s="1001"/>
      <c r="P17" s="1027">
        <f>(J17-Transactions!C1525)/Transactions!C1525</f>
        <v>6.9752138626891849E-2</v>
      </c>
      <c r="Q17" s="1001"/>
      <c r="R17" s="1001"/>
      <c r="S17" s="326"/>
      <c r="T17" s="309"/>
      <c r="U17" s="328"/>
      <c r="V17" s="309"/>
      <c r="W17" s="328"/>
      <c r="X17" s="309"/>
      <c r="Y17" s="309"/>
      <c r="Z17" s="309"/>
      <c r="AA17" s="309"/>
      <c r="AB17" s="309"/>
      <c r="AC17" s="309"/>
    </row>
    <row r="18" spans="1:29" ht="12.75" customHeight="1">
      <c r="A18" s="1000">
        <v>11</v>
      </c>
      <c r="B18" s="323" t="s">
        <v>46</v>
      </c>
      <c r="C18" s="323" t="s">
        <v>47</v>
      </c>
      <c r="D18" s="946">
        <v>75</v>
      </c>
      <c r="E18" s="964">
        <v>43.01</v>
      </c>
      <c r="F18" s="948">
        <f>E18*D18</f>
        <v>3225.75</v>
      </c>
      <c r="G18" s="949">
        <v>4.2918192249534338E-2</v>
      </c>
      <c r="H18" s="949"/>
      <c r="I18" s="950">
        <v>75</v>
      </c>
      <c r="J18" s="964">
        <v>31.08</v>
      </c>
      <c r="K18" s="1010">
        <f t="shared" si="0"/>
        <v>2331</v>
      </c>
      <c r="L18" s="1030">
        <f t="shared" si="1"/>
        <v>6.6954129958224765E-2</v>
      </c>
      <c r="M18" s="1031">
        <f t="shared" si="2"/>
        <v>3.0879939167447169E-2</v>
      </c>
      <c r="N18" s="309"/>
      <c r="O18" s="1001">
        <f>(J18-E18)/E18</f>
        <v>-0.27737735410369679</v>
      </c>
      <c r="P18" s="1027">
        <f>(J18-Transactions!C1706)/Transactions!C1706</f>
        <v>-0.19377431906614784</v>
      </c>
      <c r="Q18" s="1001"/>
      <c r="R18" s="1001"/>
      <c r="S18" s="326"/>
      <c r="T18" s="309"/>
      <c r="U18" s="328"/>
      <c r="V18" s="309"/>
      <c r="W18" s="328"/>
      <c r="X18" s="309"/>
      <c r="Y18" s="309"/>
      <c r="Z18" s="309"/>
      <c r="AA18" s="309"/>
      <c r="AB18" s="309"/>
      <c r="AC18" s="309"/>
    </row>
    <row r="19" spans="1:29" ht="12.75" customHeight="1">
      <c r="A19" s="1000"/>
      <c r="B19" s="323"/>
      <c r="C19" s="323"/>
      <c r="D19" s="946"/>
      <c r="E19" s="964"/>
      <c r="F19" s="948"/>
      <c r="G19" s="949"/>
      <c r="H19" s="949"/>
      <c r="I19" s="950"/>
      <c r="J19" s="1032"/>
      <c r="K19" s="1010"/>
      <c r="L19" s="1030"/>
      <c r="M19" s="1031"/>
      <c r="N19" s="309"/>
      <c r="O19" s="1001"/>
      <c r="P19" s="1027"/>
      <c r="Q19" s="1001"/>
      <c r="R19" s="1001"/>
      <c r="S19" s="326"/>
      <c r="T19" s="309"/>
      <c r="U19" s="328"/>
      <c r="V19" s="309"/>
      <c r="W19" s="328"/>
      <c r="X19" s="309"/>
      <c r="Y19" s="309"/>
      <c r="Z19" s="309"/>
      <c r="AA19" s="309"/>
      <c r="AB19" s="309"/>
      <c r="AC19" s="309"/>
    </row>
    <row r="20" spans="1:29" ht="2.25" customHeight="1">
      <c r="A20" s="134"/>
      <c r="B20" s="959"/>
      <c r="C20" s="309"/>
      <c r="D20" s="946"/>
      <c r="E20" s="947"/>
      <c r="F20" s="948"/>
      <c r="G20" s="949"/>
      <c r="H20" s="949"/>
      <c r="I20" s="950"/>
      <c r="J20" s="1032" t="e">
        <f>#REF!</f>
        <v>#REF!</v>
      </c>
      <c r="K20" s="1010"/>
      <c r="L20" s="1030">
        <f>K20/$K$58</f>
        <v>0</v>
      </c>
      <c r="M20" s="1031"/>
      <c r="N20" s="309"/>
      <c r="O20" s="949"/>
      <c r="P20" s="1033"/>
      <c r="Q20" s="956"/>
      <c r="R20" s="956"/>
      <c r="S20" s="326"/>
      <c r="T20" s="309"/>
      <c r="U20" s="328"/>
      <c r="V20" s="309"/>
      <c r="W20" s="328"/>
      <c r="X20" s="309"/>
      <c r="Y20" s="309"/>
      <c r="Z20" s="309"/>
      <c r="AA20" s="309"/>
      <c r="AB20" s="309"/>
      <c r="AC20" s="309"/>
    </row>
    <row r="21" spans="1:29" ht="12.75" customHeight="1">
      <c r="A21" s="134"/>
      <c r="B21" s="959"/>
      <c r="C21" s="309"/>
      <c r="D21" s="946"/>
      <c r="E21" s="947"/>
      <c r="F21" s="948"/>
      <c r="G21" s="949"/>
      <c r="H21" s="949"/>
      <c r="I21" s="950"/>
      <c r="J21" s="1032"/>
      <c r="K21" s="1010"/>
      <c r="L21" s="1030"/>
      <c r="M21" s="1031"/>
      <c r="N21" s="309"/>
      <c r="O21" s="949"/>
      <c r="P21" s="1033"/>
      <c r="Q21" s="326"/>
      <c r="R21" s="326"/>
      <c r="S21" s="326"/>
      <c r="T21" s="309"/>
      <c r="U21" s="309"/>
      <c r="V21" s="309"/>
      <c r="W21" s="328"/>
      <c r="X21" s="309"/>
      <c r="Y21" s="309"/>
      <c r="Z21" s="309"/>
      <c r="AA21" s="309"/>
      <c r="AB21" s="309"/>
      <c r="AC21" s="309"/>
    </row>
    <row r="22" spans="1:29" ht="12.75">
      <c r="A22" s="18"/>
      <c r="B22" s="1002" t="s">
        <v>52</v>
      </c>
      <c r="C22" s="972"/>
      <c r="D22" s="1003"/>
      <c r="E22" s="1004"/>
      <c r="F22" s="1005"/>
      <c r="G22" s="1006"/>
      <c r="H22" s="1006"/>
      <c r="I22" s="1007"/>
      <c r="J22" s="1008"/>
      <c r="K22" s="1009"/>
      <c r="L22" s="1034"/>
      <c r="M22" s="28"/>
      <c r="N22" s="972"/>
      <c r="O22" s="1006"/>
      <c r="P22" s="20"/>
      <c r="Q22" s="1035"/>
      <c r="R22" s="326"/>
      <c r="S22" s="326"/>
      <c r="T22" s="309"/>
      <c r="U22" s="309"/>
      <c r="V22" s="309"/>
      <c r="W22" s="328"/>
      <c r="X22" s="309"/>
      <c r="Y22" s="309"/>
      <c r="Z22" s="309"/>
      <c r="AA22" s="309"/>
      <c r="AB22" s="309"/>
      <c r="AC22" s="309"/>
    </row>
    <row r="23" spans="1:29" ht="12.75" customHeight="1">
      <c r="A23" s="1036">
        <v>1</v>
      </c>
      <c r="B23" s="323" t="s">
        <v>158</v>
      </c>
      <c r="C23" s="323" t="s">
        <v>159</v>
      </c>
      <c r="D23" s="946">
        <v>100</v>
      </c>
      <c r="E23" s="964">
        <v>27.15</v>
      </c>
      <c r="F23" s="948">
        <f t="shared" ref="F23:F35" si="3">E23*D23</f>
        <v>2715</v>
      </c>
      <c r="G23" s="949">
        <v>3.4636073186744221E-2</v>
      </c>
      <c r="H23" s="949"/>
      <c r="I23" s="950"/>
      <c r="J23" s="964"/>
      <c r="K23" s="948"/>
      <c r="L23" s="1037"/>
      <c r="M23" s="1031"/>
      <c r="N23" s="309"/>
      <c r="O23" s="1001"/>
      <c r="P23" s="965"/>
      <c r="Q23" s="326" t="str">
        <f>IF(P23&lt;-0.15,"SELL","")</f>
        <v/>
      </c>
      <c r="R23" s="326"/>
      <c r="S23" s="326" t="str">
        <f>IF(Q23&lt;-0.15,"SELL","")</f>
        <v/>
      </c>
      <c r="T23" s="309"/>
      <c r="U23" s="309"/>
      <c r="V23" s="309"/>
      <c r="W23" s="328"/>
      <c r="X23" s="309"/>
      <c r="Y23" s="309"/>
      <c r="Z23" s="309"/>
      <c r="AA23" s="309"/>
      <c r="AB23" s="309"/>
      <c r="AC23" s="309"/>
    </row>
    <row r="24" spans="1:29" ht="12.75" customHeight="1">
      <c r="A24" s="1000">
        <v>2</v>
      </c>
      <c r="B24" s="323" t="s">
        <v>117</v>
      </c>
      <c r="C24" s="323" t="s">
        <v>118</v>
      </c>
      <c r="D24" s="946">
        <v>100</v>
      </c>
      <c r="E24" s="964">
        <v>30.59</v>
      </c>
      <c r="F24" s="948">
        <f t="shared" si="3"/>
        <v>3059</v>
      </c>
      <c r="G24" s="949">
        <v>4.2908528166613932E-2</v>
      </c>
      <c r="H24" s="949"/>
      <c r="I24" s="950"/>
      <c r="J24" s="1032"/>
      <c r="K24" s="1010"/>
      <c r="L24" s="1030"/>
      <c r="M24" s="1031"/>
      <c r="N24" s="309"/>
      <c r="O24" s="1001"/>
      <c r="P24" s="1027"/>
      <c r="Q24" s="326"/>
      <c r="R24" s="326"/>
      <c r="S24" s="326" t="str">
        <f>IF(Q24&lt;-0.15,"SELL","")</f>
        <v/>
      </c>
      <c r="T24" s="309"/>
      <c r="U24" s="309"/>
      <c r="V24" s="309"/>
      <c r="W24" s="328"/>
      <c r="X24" s="309"/>
      <c r="Y24" s="309"/>
      <c r="Z24" s="309"/>
      <c r="AA24" s="309"/>
      <c r="AB24" s="309"/>
      <c r="AC24" s="309"/>
    </row>
    <row r="25" spans="1:29" ht="12.75" customHeight="1">
      <c r="A25" s="1036">
        <v>3</v>
      </c>
      <c r="B25" s="323" t="s">
        <v>103</v>
      </c>
      <c r="C25" s="323" t="s">
        <v>104</v>
      </c>
      <c r="D25" s="946">
        <v>60</v>
      </c>
      <c r="E25" s="964">
        <v>51.49</v>
      </c>
      <c r="F25" s="948">
        <f t="shared" si="3"/>
        <v>3089.4</v>
      </c>
      <c r="G25" s="949">
        <v>3.9576352375657063E-2</v>
      </c>
      <c r="H25" s="949"/>
      <c r="I25" s="950"/>
      <c r="J25" s="1032"/>
      <c r="K25" s="1010"/>
      <c r="L25" s="1030"/>
      <c r="M25" s="1031"/>
      <c r="N25" s="309"/>
      <c r="O25" s="1001"/>
      <c r="P25" s="1027"/>
      <c r="Q25" s="326"/>
      <c r="R25" s="326"/>
      <c r="S25" s="326" t="str">
        <f>IF(Q25&lt;-0.15,"SELL","")</f>
        <v/>
      </c>
      <c r="T25" s="309"/>
      <c r="U25" s="309"/>
      <c r="V25" s="309"/>
      <c r="W25" s="328"/>
      <c r="X25" s="309"/>
      <c r="Y25" s="309"/>
      <c r="Z25" s="309"/>
      <c r="AA25" s="309"/>
      <c r="AB25" s="309"/>
      <c r="AC25" s="309"/>
    </row>
    <row r="26" spans="1:29" ht="12.75" customHeight="1">
      <c r="A26" s="1000">
        <v>4</v>
      </c>
      <c r="B26" s="323" t="s">
        <v>185</v>
      </c>
      <c r="C26" s="323" t="s">
        <v>161</v>
      </c>
      <c r="D26" s="946">
        <v>20</v>
      </c>
      <c r="E26" s="964">
        <v>66.72</v>
      </c>
      <c r="F26" s="948">
        <f t="shared" si="3"/>
        <v>1334.4</v>
      </c>
      <c r="G26" s="949">
        <v>3.456391470093851E-2</v>
      </c>
      <c r="H26" s="949"/>
      <c r="I26" s="950"/>
      <c r="J26" s="1032"/>
      <c r="K26" s="1010"/>
      <c r="L26" s="1030"/>
      <c r="M26" s="1031"/>
      <c r="N26" s="309"/>
      <c r="O26" s="1001"/>
      <c r="P26" s="1027"/>
      <c r="Q26" s="326"/>
      <c r="R26" s="326"/>
      <c r="S26" s="326"/>
      <c r="T26" s="309"/>
      <c r="U26" s="309"/>
      <c r="V26" s="309"/>
      <c r="W26" s="328"/>
      <c r="X26" s="309"/>
      <c r="Y26" s="309"/>
      <c r="Z26" s="309"/>
      <c r="AA26" s="309"/>
      <c r="AB26" s="309"/>
      <c r="AC26" s="309"/>
    </row>
    <row r="27" spans="1:29" ht="12.75" customHeight="1">
      <c r="A27" s="1036">
        <v>5</v>
      </c>
      <c r="B27" s="323" t="s">
        <v>40</v>
      </c>
      <c r="C27" s="323" t="s">
        <v>41</v>
      </c>
      <c r="D27" s="946">
        <v>75</v>
      </c>
      <c r="E27" s="964">
        <v>26.15</v>
      </c>
      <c r="F27" s="948">
        <f t="shared" si="3"/>
        <v>1961.25</v>
      </c>
      <c r="G27" s="949">
        <v>5.3539019379063336E-2</v>
      </c>
      <c r="H27" s="949"/>
      <c r="I27" s="950"/>
      <c r="J27" s="1032"/>
      <c r="K27" s="1010"/>
      <c r="L27" s="1030"/>
      <c r="M27" s="1031"/>
      <c r="N27" s="309"/>
      <c r="O27" s="1001"/>
      <c r="P27" s="1027"/>
      <c r="Q27" s="326"/>
      <c r="R27" s="326"/>
      <c r="S27" s="326" t="str">
        <f>IF(Q27&lt;-0.15,"SELL","")</f>
        <v/>
      </c>
      <c r="T27" s="309"/>
      <c r="U27" s="309"/>
      <c r="V27" s="309"/>
      <c r="W27" s="328"/>
      <c r="X27" s="309"/>
      <c r="Y27" s="309"/>
      <c r="Z27" s="309"/>
      <c r="AA27" s="309"/>
      <c r="AB27" s="309"/>
      <c r="AC27" s="309"/>
    </row>
    <row r="28" spans="1:29" ht="12.75" customHeight="1">
      <c r="A28" s="1000">
        <v>6</v>
      </c>
      <c r="B28" s="323" t="s">
        <v>174</v>
      </c>
      <c r="C28" s="323" t="s">
        <v>175</v>
      </c>
      <c r="D28" s="946">
        <v>50</v>
      </c>
      <c r="E28" s="964">
        <v>44.26</v>
      </c>
      <c r="F28" s="948">
        <f t="shared" si="3"/>
        <v>2213</v>
      </c>
      <c r="G28" s="949">
        <v>2.9765375394858316E-2</v>
      </c>
      <c r="H28" s="949"/>
      <c r="I28" s="950"/>
      <c r="J28" s="1032"/>
      <c r="K28" s="1010"/>
      <c r="L28" s="1030"/>
      <c r="M28" s="1031"/>
      <c r="N28" s="309"/>
      <c r="O28" s="1001"/>
      <c r="P28" s="1027"/>
      <c r="Q28" s="326"/>
      <c r="R28" s="326"/>
      <c r="S28" s="326" t="str">
        <f>IF(Q28&lt;-0.15,"SELL","")</f>
        <v/>
      </c>
      <c r="T28" s="309"/>
      <c r="U28" s="309"/>
      <c r="V28" s="309"/>
      <c r="W28" s="328"/>
      <c r="X28" s="309"/>
      <c r="Y28" s="309"/>
      <c r="Z28" s="309"/>
      <c r="AA28" s="309"/>
      <c r="AB28" s="309"/>
      <c r="AC28" s="309"/>
    </row>
    <row r="29" spans="1:29" ht="12.75" customHeight="1">
      <c r="A29" s="1036">
        <v>7</v>
      </c>
      <c r="B29" s="913" t="s">
        <v>153</v>
      </c>
      <c r="C29" s="323" t="s">
        <v>154</v>
      </c>
      <c r="D29" s="946">
        <v>30</v>
      </c>
      <c r="E29" s="964">
        <v>40.31</v>
      </c>
      <c r="F29" s="948">
        <f t="shared" si="3"/>
        <v>1209.3000000000002</v>
      </c>
      <c r="G29" s="949">
        <v>1.6042377647878185E-2</v>
      </c>
      <c r="H29" s="949"/>
      <c r="I29" s="950"/>
      <c r="J29" s="1032"/>
      <c r="K29" s="1010"/>
      <c r="L29" s="1030"/>
      <c r="M29" s="1031"/>
      <c r="N29" s="309"/>
      <c r="O29" s="1001"/>
      <c r="P29" s="1027"/>
      <c r="Q29" s="326"/>
      <c r="R29" s="326"/>
      <c r="S29" s="326"/>
      <c r="T29" s="309"/>
      <c r="U29" s="309"/>
      <c r="V29" s="309"/>
      <c r="W29" s="328"/>
      <c r="X29" s="309"/>
      <c r="Y29" s="309"/>
      <c r="Z29" s="309"/>
      <c r="AA29" s="309"/>
      <c r="AB29" s="309"/>
      <c r="AC29" s="309"/>
    </row>
    <row r="30" spans="1:29" ht="12.75" customHeight="1">
      <c r="A30" s="1000">
        <v>8</v>
      </c>
      <c r="B30" s="323" t="s">
        <v>164</v>
      </c>
      <c r="C30" s="323" t="s">
        <v>165</v>
      </c>
      <c r="D30" s="946">
        <v>30</v>
      </c>
      <c r="E30" s="964">
        <v>59.08</v>
      </c>
      <c r="F30" s="948">
        <f t="shared" si="3"/>
        <v>1772.3999999999999</v>
      </c>
      <c r="G30" s="949">
        <v>2.2853623290182125E-2</v>
      </c>
      <c r="H30" s="949"/>
      <c r="I30" s="950"/>
      <c r="J30" s="1032"/>
      <c r="K30" s="1010"/>
      <c r="L30" s="1030"/>
      <c r="M30" s="1031"/>
      <c r="N30" s="309"/>
      <c r="O30" s="1001"/>
      <c r="P30" s="1027"/>
      <c r="Q30" s="326"/>
      <c r="R30" s="326"/>
      <c r="S30" s="326" t="str">
        <f>IF(Q30&lt;-0.15,"SELL","")</f>
        <v/>
      </c>
      <c r="T30" s="309"/>
      <c r="U30" s="309"/>
      <c r="V30" s="309"/>
      <c r="W30" s="328"/>
      <c r="X30" s="309"/>
      <c r="Y30" s="309"/>
      <c r="Z30" s="309"/>
      <c r="AA30" s="309"/>
      <c r="AB30" s="309"/>
      <c r="AC30" s="309"/>
    </row>
    <row r="31" spans="1:29" ht="12.75" customHeight="1">
      <c r="A31" s="1036">
        <v>9</v>
      </c>
      <c r="B31" s="323" t="s">
        <v>151</v>
      </c>
      <c r="C31" s="1023" t="s">
        <v>152</v>
      </c>
      <c r="D31" s="1029">
        <v>200</v>
      </c>
      <c r="E31" s="940">
        <v>17.12</v>
      </c>
      <c r="F31" s="948">
        <f t="shared" si="3"/>
        <v>3424</v>
      </c>
      <c r="G31" s="949">
        <v>4.5150595404148716E-2</v>
      </c>
      <c r="H31" s="940"/>
      <c r="I31" s="940"/>
      <c r="J31" s="1032"/>
      <c r="K31" s="1010"/>
      <c r="L31" s="1030"/>
      <c r="M31" s="1031"/>
      <c r="N31" s="345"/>
      <c r="O31" s="1001"/>
      <c r="P31" s="1027"/>
      <c r="Q31" s="326"/>
      <c r="R31" s="326"/>
      <c r="S31" s="326" t="str">
        <f>IF(Q31&lt;-0.15,"SELL","")</f>
        <v/>
      </c>
      <c r="T31" s="309"/>
      <c r="U31" s="309"/>
      <c r="V31" s="309"/>
      <c r="W31" s="328"/>
      <c r="X31" s="309"/>
      <c r="Y31" s="309"/>
      <c r="Z31" s="309"/>
      <c r="AA31" s="309"/>
      <c r="AB31" s="309"/>
      <c r="AC31" s="309"/>
    </row>
    <row r="32" spans="1:29" ht="12.75" customHeight="1">
      <c r="A32" s="1000">
        <v>10</v>
      </c>
      <c r="B32" s="323" t="s">
        <v>160</v>
      </c>
      <c r="C32" s="323" t="s">
        <v>161</v>
      </c>
      <c r="D32" s="946">
        <v>20</v>
      </c>
      <c r="E32" s="964">
        <v>66.72</v>
      </c>
      <c r="F32" s="948">
        <f t="shared" si="3"/>
        <v>1334.4</v>
      </c>
      <c r="G32" s="949">
        <v>3.456391470093851E-2</v>
      </c>
      <c r="H32" s="949"/>
      <c r="I32" s="950"/>
      <c r="J32" s="1032"/>
      <c r="K32" s="1010"/>
      <c r="L32" s="1030"/>
      <c r="M32" s="1031"/>
      <c r="N32" s="309"/>
      <c r="O32" s="1001"/>
      <c r="P32" s="1027"/>
      <c r="Q32" s="326"/>
      <c r="R32" s="326"/>
      <c r="S32" s="326" t="str">
        <f>IF(Q32&lt;-0.15,"SELL","")</f>
        <v/>
      </c>
      <c r="T32" s="309"/>
      <c r="U32" s="309"/>
      <c r="V32" s="309"/>
      <c r="W32" s="328"/>
      <c r="X32" s="309"/>
      <c r="Y32" s="309"/>
      <c r="Z32" s="309"/>
      <c r="AA32" s="309"/>
      <c r="AB32" s="309"/>
      <c r="AC32" s="309"/>
    </row>
    <row r="33" spans="1:29" ht="12.75" customHeight="1">
      <c r="A33" s="1036">
        <v>11</v>
      </c>
      <c r="B33" s="323" t="s">
        <v>168</v>
      </c>
      <c r="C33" s="323" t="s">
        <v>169</v>
      </c>
      <c r="D33" s="946">
        <v>30</v>
      </c>
      <c r="E33" s="964">
        <v>50.2</v>
      </c>
      <c r="F33" s="948">
        <f t="shared" si="3"/>
        <v>1506</v>
      </c>
      <c r="G33" s="949">
        <v>1.9795907454164863E-2</v>
      </c>
      <c r="H33" s="949"/>
      <c r="I33" s="950"/>
      <c r="J33" s="1032"/>
      <c r="K33" s="1010"/>
      <c r="L33" s="1030"/>
      <c r="M33" s="1031"/>
      <c r="N33" s="309"/>
      <c r="O33" s="1001"/>
      <c r="P33" s="1027"/>
      <c r="Q33" s="326"/>
      <c r="R33" s="326"/>
      <c r="S33" s="326"/>
      <c r="T33" s="309"/>
      <c r="U33" s="309"/>
      <c r="V33" s="309"/>
      <c r="W33" s="328"/>
      <c r="X33" s="309"/>
      <c r="Y33" s="309"/>
      <c r="Z33" s="309"/>
      <c r="AA33" s="309"/>
      <c r="AB33" s="309"/>
      <c r="AC33" s="309"/>
    </row>
    <row r="34" spans="1:29" ht="12.75" customHeight="1">
      <c r="A34" s="1000">
        <v>12</v>
      </c>
      <c r="B34" s="323" t="s">
        <v>107</v>
      </c>
      <c r="C34" s="323" t="s">
        <v>108</v>
      </c>
      <c r="D34" s="946">
        <v>40</v>
      </c>
      <c r="E34" s="964">
        <v>49.64</v>
      </c>
      <c r="F34" s="948">
        <f t="shared" si="3"/>
        <v>1985.6</v>
      </c>
      <c r="G34" s="949">
        <v>2.4801902406936489E-2</v>
      </c>
      <c r="H34" s="949"/>
      <c r="I34" s="950"/>
      <c r="J34" s="1032"/>
      <c r="K34" s="1010"/>
      <c r="L34" s="1030"/>
      <c r="M34" s="1031"/>
      <c r="N34" s="309"/>
      <c r="O34" s="1001"/>
      <c r="P34" s="1027"/>
      <c r="Q34" s="326"/>
      <c r="R34" s="326"/>
      <c r="S34" s="326"/>
      <c r="T34" s="309"/>
      <c r="U34" s="309"/>
      <c r="V34" s="309"/>
      <c r="W34" s="328"/>
      <c r="X34" s="309"/>
      <c r="Y34" s="309"/>
      <c r="Z34" s="309"/>
      <c r="AA34" s="309"/>
      <c r="AB34" s="309"/>
      <c r="AC34" s="309"/>
    </row>
    <row r="35" spans="1:29" ht="12.75" customHeight="1">
      <c r="A35" s="1036">
        <v>13</v>
      </c>
      <c r="B35" s="323" t="s">
        <v>109</v>
      </c>
      <c r="C35" s="323" t="s">
        <v>110</v>
      </c>
      <c r="D35" s="946">
        <v>136</v>
      </c>
      <c r="E35" s="964">
        <v>24.96</v>
      </c>
      <c r="F35" s="948">
        <f t="shared" si="3"/>
        <v>3394.56</v>
      </c>
      <c r="G35" s="949">
        <v>4.4844437257230176E-2</v>
      </c>
      <c r="H35" s="949"/>
      <c r="I35" s="950"/>
      <c r="J35" s="1032"/>
      <c r="K35" s="1010"/>
      <c r="L35" s="1030"/>
      <c r="M35" s="1031"/>
      <c r="N35" s="309"/>
      <c r="O35" s="1001"/>
      <c r="P35" s="1027"/>
      <c r="Q35" s="326"/>
      <c r="R35" s="326"/>
      <c r="S35" s="326" t="str">
        <f>IF(Q35&lt;-0.15,"SELL","")</f>
        <v/>
      </c>
      <c r="T35" s="309"/>
      <c r="U35" s="309"/>
      <c r="V35" s="309"/>
      <c r="W35" s="328"/>
      <c r="X35" s="309"/>
      <c r="Y35" s="309"/>
      <c r="Z35" s="309"/>
      <c r="AA35" s="309"/>
      <c r="AB35" s="309"/>
      <c r="AC35" s="309"/>
    </row>
    <row r="36" spans="1:29" ht="12" customHeight="1">
      <c r="A36" s="1000">
        <v>14</v>
      </c>
      <c r="B36" s="323" t="s">
        <v>186</v>
      </c>
      <c r="C36" s="1023" t="s">
        <v>187</v>
      </c>
      <c r="D36" s="1029"/>
      <c r="E36" s="947"/>
      <c r="F36" s="948"/>
      <c r="G36" s="949"/>
      <c r="H36" s="940"/>
      <c r="I36" s="940"/>
      <c r="J36" s="1032"/>
      <c r="K36" s="1010"/>
      <c r="L36" s="1030"/>
      <c r="M36" s="1031"/>
      <c r="N36" s="345"/>
      <c r="O36" s="1001"/>
      <c r="P36" s="1027"/>
      <c r="Q36" s="326"/>
      <c r="R36" s="326"/>
      <c r="S36" s="326"/>
      <c r="T36" s="309"/>
      <c r="U36" s="309"/>
      <c r="V36" s="309"/>
      <c r="W36" s="328"/>
      <c r="X36" s="309"/>
      <c r="Y36" s="309"/>
      <c r="Z36" s="309"/>
      <c r="AA36" s="309"/>
      <c r="AB36" s="309"/>
      <c r="AC36" s="309"/>
    </row>
    <row r="37" spans="1:29" ht="12.75" customHeight="1">
      <c r="A37" s="1036">
        <v>15</v>
      </c>
      <c r="B37" s="323" t="s">
        <v>188</v>
      </c>
      <c r="C37" s="323" t="s">
        <v>173</v>
      </c>
      <c r="D37" s="946">
        <v>50</v>
      </c>
      <c r="E37" s="964">
        <v>62.14</v>
      </c>
      <c r="F37" s="948">
        <f>E37*D37</f>
        <v>3107</v>
      </c>
      <c r="G37" s="949">
        <v>4.076954448023018E-2</v>
      </c>
      <c r="H37" s="949"/>
      <c r="I37" s="950"/>
      <c r="J37" s="1032"/>
      <c r="K37" s="1010"/>
      <c r="L37" s="1030"/>
      <c r="M37" s="1031"/>
      <c r="N37" s="309"/>
      <c r="O37" s="1001"/>
      <c r="P37" s="1027"/>
      <c r="Q37" s="326"/>
      <c r="R37" s="326"/>
      <c r="S37" s="326" t="str">
        <f>IF(Q37&lt;-0.15,"SELL","")</f>
        <v/>
      </c>
      <c r="T37" s="309"/>
      <c r="U37" s="309"/>
      <c r="V37" s="309"/>
      <c r="W37" s="328"/>
      <c r="X37" s="309"/>
      <c r="Y37" s="309"/>
      <c r="Z37" s="309"/>
      <c r="AA37" s="309"/>
      <c r="AB37" s="309"/>
      <c r="AC37" s="309"/>
    </row>
    <row r="38" spans="1:29" ht="12" customHeight="1">
      <c r="A38" s="1000">
        <v>16</v>
      </c>
      <c r="B38" s="323" t="s">
        <v>148</v>
      </c>
      <c r="C38" s="1023" t="s">
        <v>149</v>
      </c>
      <c r="D38" s="1029">
        <v>50</v>
      </c>
      <c r="E38" s="947">
        <v>37.200000000000003</v>
      </c>
      <c r="F38" s="948">
        <f>E38*D38</f>
        <v>1860.0000000000002</v>
      </c>
      <c r="G38" s="949">
        <v>2.5609819739082641E-2</v>
      </c>
      <c r="H38" s="940"/>
      <c r="I38" s="940"/>
      <c r="J38" s="1032"/>
      <c r="K38" s="1010"/>
      <c r="L38" s="1030"/>
      <c r="M38" s="1031"/>
      <c r="N38" s="345"/>
      <c r="O38" s="1001"/>
      <c r="P38" s="1027"/>
      <c r="Q38" s="1001"/>
      <c r="R38" s="1001">
        <f t="shared" ref="R38:R51" si="4">Q38*M38</f>
        <v>0</v>
      </c>
      <c r="S38" s="326"/>
      <c r="T38" s="309"/>
      <c r="U38" s="328"/>
      <c r="V38" s="309"/>
      <c r="W38" s="328"/>
      <c r="X38" s="309"/>
      <c r="Y38" s="309"/>
      <c r="Z38" s="309"/>
      <c r="AA38" s="309"/>
      <c r="AB38" s="309"/>
      <c r="AC38" s="309"/>
    </row>
    <row r="39" spans="1:29" ht="12.75" customHeight="1">
      <c r="A39" s="1036">
        <v>17</v>
      </c>
      <c r="B39" s="323" t="s">
        <v>150</v>
      </c>
      <c r="C39" s="1023" t="s">
        <v>19</v>
      </c>
      <c r="D39" s="1029">
        <v>25</v>
      </c>
      <c r="E39" s="947">
        <v>68.23</v>
      </c>
      <c r="F39" s="948">
        <f>E39*D39</f>
        <v>1705.75</v>
      </c>
      <c r="G39" s="949">
        <v>2.1241654259057982E-2</v>
      </c>
      <c r="H39" s="940"/>
      <c r="I39" s="940"/>
      <c r="J39" s="1032"/>
      <c r="K39" s="1010"/>
      <c r="L39" s="1030"/>
      <c r="M39" s="1031"/>
      <c r="N39" s="345"/>
      <c r="O39" s="1001"/>
      <c r="P39" s="1027"/>
      <c r="Q39" s="1001"/>
      <c r="R39" s="1001">
        <f t="shared" si="4"/>
        <v>0</v>
      </c>
      <c r="S39" s="326"/>
      <c r="T39" s="309"/>
      <c r="U39" s="328"/>
      <c r="V39" s="309"/>
      <c r="W39" s="328"/>
      <c r="X39" s="309"/>
      <c r="Y39" s="309"/>
      <c r="Z39" s="309"/>
      <c r="AA39" s="309"/>
      <c r="AB39" s="309"/>
      <c r="AC39" s="309"/>
    </row>
    <row r="40" spans="1:29" ht="12.75" customHeight="1">
      <c r="A40" s="1000">
        <v>18</v>
      </c>
      <c r="B40" s="913" t="s">
        <v>155</v>
      </c>
      <c r="C40" s="323" t="s">
        <v>156</v>
      </c>
      <c r="D40" s="946">
        <v>25</v>
      </c>
      <c r="E40" s="964">
        <v>89.7</v>
      </c>
      <c r="F40" s="948">
        <f>E40*D40</f>
        <v>2242.5</v>
      </c>
      <c r="G40" s="949">
        <v>2.8347976566531732E-2</v>
      </c>
      <c r="H40" s="949"/>
      <c r="I40" s="950"/>
      <c r="J40" s="1032"/>
      <c r="K40" s="1010"/>
      <c r="L40" s="1030"/>
      <c r="M40" s="1031"/>
      <c r="N40" s="309"/>
      <c r="O40" s="1001"/>
      <c r="P40" s="1027"/>
      <c r="Q40" s="1001"/>
      <c r="R40" s="1001">
        <f t="shared" si="4"/>
        <v>0</v>
      </c>
      <c r="S40" s="326"/>
      <c r="T40" s="309"/>
      <c r="U40" s="328"/>
      <c r="V40" s="309"/>
      <c r="W40" s="328"/>
      <c r="X40" s="309"/>
      <c r="Y40" s="309"/>
      <c r="Z40" s="309"/>
      <c r="AA40" s="309"/>
      <c r="AB40" s="309"/>
      <c r="AC40" s="309"/>
    </row>
    <row r="41" spans="1:29" ht="12.75" customHeight="1">
      <c r="A41" s="1036">
        <v>19</v>
      </c>
      <c r="B41" s="323" t="s">
        <v>97</v>
      </c>
      <c r="C41" s="323" t="s">
        <v>157</v>
      </c>
      <c r="D41" s="946">
        <v>55</v>
      </c>
      <c r="E41" s="964">
        <v>38.880000000000003</v>
      </c>
      <c r="F41" s="948">
        <f>E41*D41</f>
        <v>2138.4</v>
      </c>
      <c r="G41" s="949">
        <v>2.4754870536723834E-2</v>
      </c>
      <c r="H41" s="949"/>
      <c r="I41" s="950"/>
      <c r="J41" s="1032"/>
      <c r="K41" s="1010"/>
      <c r="L41" s="1030"/>
      <c r="M41" s="1031"/>
      <c r="N41" s="309"/>
      <c r="O41" s="1001"/>
      <c r="P41" s="1027"/>
      <c r="Q41" s="1001"/>
      <c r="R41" s="1001">
        <f t="shared" si="4"/>
        <v>0</v>
      </c>
      <c r="S41" s="326"/>
      <c r="T41" s="309"/>
      <c r="U41" s="328"/>
      <c r="V41" s="309"/>
      <c r="W41" s="328"/>
      <c r="X41" s="309"/>
      <c r="Y41" s="309"/>
      <c r="Z41" s="309"/>
      <c r="AA41" s="309"/>
      <c r="AB41" s="309"/>
      <c r="AC41" s="309"/>
    </row>
    <row r="42" spans="1:29" ht="12.75" customHeight="1">
      <c r="A42" s="1000">
        <v>20</v>
      </c>
      <c r="B42" s="323" t="s">
        <v>189</v>
      </c>
      <c r="C42" s="323" t="s">
        <v>190</v>
      </c>
      <c r="D42" s="946"/>
      <c r="E42" s="964"/>
      <c r="F42" s="948"/>
      <c r="G42" s="949"/>
      <c r="H42" s="949"/>
      <c r="I42" s="950"/>
      <c r="J42" s="1032"/>
      <c r="K42" s="1010"/>
      <c r="L42" s="1030"/>
      <c r="M42" s="1031"/>
      <c r="N42" s="309"/>
      <c r="O42" s="1001"/>
      <c r="P42" s="1027"/>
      <c r="Q42" s="1001"/>
      <c r="R42" s="1001">
        <f t="shared" si="4"/>
        <v>0</v>
      </c>
      <c r="S42" s="326"/>
      <c r="T42" s="309"/>
      <c r="U42" s="328"/>
      <c r="V42" s="309"/>
      <c r="W42" s="328"/>
      <c r="X42" s="309"/>
      <c r="Y42" s="309"/>
      <c r="Z42" s="309"/>
      <c r="AA42" s="309"/>
      <c r="AB42" s="309"/>
      <c r="AC42" s="309"/>
    </row>
    <row r="43" spans="1:29" ht="12.75" customHeight="1">
      <c r="A43" s="1036">
        <v>21</v>
      </c>
      <c r="B43" s="1023" t="s">
        <v>191</v>
      </c>
      <c r="C43" s="323" t="s">
        <v>192</v>
      </c>
      <c r="D43" s="946"/>
      <c r="E43" s="964"/>
      <c r="F43" s="948"/>
      <c r="G43" s="949"/>
      <c r="H43" s="949"/>
      <c r="I43" s="950"/>
      <c r="J43" s="1032"/>
      <c r="K43" s="1010"/>
      <c r="L43" s="1030"/>
      <c r="M43" s="1031"/>
      <c r="N43" s="309"/>
      <c r="O43" s="1001"/>
      <c r="P43" s="1027"/>
      <c r="Q43" s="1001"/>
      <c r="R43" s="1001">
        <f t="shared" si="4"/>
        <v>0</v>
      </c>
      <c r="S43" s="326"/>
      <c r="T43" s="309"/>
      <c r="U43" s="328"/>
      <c r="V43" s="309"/>
      <c r="W43" s="328"/>
      <c r="X43" s="309"/>
      <c r="Y43" s="309"/>
      <c r="Z43" s="309"/>
      <c r="AA43" s="309"/>
      <c r="AB43" s="309"/>
      <c r="AC43" s="309"/>
    </row>
    <row r="44" spans="1:29" ht="12.75" customHeight="1">
      <c r="A44" s="1000">
        <v>22</v>
      </c>
      <c r="B44" s="323" t="s">
        <v>193</v>
      </c>
      <c r="C44" s="323" t="s">
        <v>194</v>
      </c>
      <c r="D44" s="946"/>
      <c r="E44" s="964"/>
      <c r="F44" s="948"/>
      <c r="G44" s="949"/>
      <c r="H44" s="949"/>
      <c r="I44" s="950"/>
      <c r="J44" s="1032"/>
      <c r="K44" s="1010"/>
      <c r="L44" s="1030"/>
      <c r="M44" s="1031"/>
      <c r="N44" s="309"/>
      <c r="O44" s="1001"/>
      <c r="P44" s="1027"/>
      <c r="Q44" s="1001"/>
      <c r="R44" s="1001">
        <f t="shared" si="4"/>
        <v>0</v>
      </c>
      <c r="S44" s="326"/>
      <c r="T44" s="309"/>
      <c r="U44" s="328"/>
      <c r="V44" s="309"/>
      <c r="W44" s="328"/>
      <c r="X44" s="309"/>
      <c r="Y44" s="309"/>
      <c r="Z44" s="309"/>
      <c r="AA44" s="309"/>
      <c r="AB44" s="309"/>
      <c r="AC44" s="309"/>
    </row>
    <row r="45" spans="1:29" ht="12.75" customHeight="1">
      <c r="A45" s="1036">
        <v>23</v>
      </c>
      <c r="B45" s="323" t="s">
        <v>195</v>
      </c>
      <c r="C45" s="323" t="s">
        <v>196</v>
      </c>
      <c r="D45" s="946"/>
      <c r="E45" s="964"/>
      <c r="F45" s="948"/>
      <c r="G45" s="949"/>
      <c r="H45" s="949"/>
      <c r="I45" s="950"/>
      <c r="J45" s="1032"/>
      <c r="K45" s="1010"/>
      <c r="L45" s="1030"/>
      <c r="M45" s="1031"/>
      <c r="N45" s="309"/>
      <c r="O45" s="1001"/>
      <c r="P45" s="1027"/>
      <c r="Q45" s="1001"/>
      <c r="R45" s="1001">
        <f t="shared" si="4"/>
        <v>0</v>
      </c>
      <c r="S45" s="326"/>
      <c r="T45" s="309"/>
      <c r="U45" s="328"/>
      <c r="V45" s="309"/>
      <c r="W45" s="328"/>
      <c r="X45" s="309"/>
      <c r="Y45" s="309"/>
      <c r="Z45" s="309"/>
      <c r="AA45" s="309"/>
      <c r="AB45" s="309"/>
      <c r="AC45" s="309"/>
    </row>
    <row r="46" spans="1:29" ht="12.75" customHeight="1">
      <c r="A46" s="1000">
        <v>24</v>
      </c>
      <c r="B46" s="323" t="s">
        <v>162</v>
      </c>
      <c r="C46" s="323" t="s">
        <v>163</v>
      </c>
      <c r="D46" s="946">
        <v>100</v>
      </c>
      <c r="E46" s="964">
        <v>32.950000000000003</v>
      </c>
      <c r="F46" s="948">
        <f>E46*D46</f>
        <v>3295.0000000000005</v>
      </c>
      <c r="G46" s="949">
        <v>4.0795315368017934E-2</v>
      </c>
      <c r="H46" s="949"/>
      <c r="I46" s="950"/>
      <c r="J46" s="1032"/>
      <c r="K46" s="1010"/>
      <c r="L46" s="1030"/>
      <c r="M46" s="1031"/>
      <c r="N46" s="309"/>
      <c r="O46" s="1001"/>
      <c r="P46" s="1027"/>
      <c r="Q46" s="1001"/>
      <c r="R46" s="1001">
        <f t="shared" si="4"/>
        <v>0</v>
      </c>
      <c r="S46" s="326"/>
      <c r="T46" s="309"/>
      <c r="U46" s="328"/>
      <c r="V46" s="309"/>
      <c r="W46" s="328"/>
      <c r="X46" s="309"/>
      <c r="Y46" s="309"/>
      <c r="Z46" s="309"/>
      <c r="AA46" s="309"/>
      <c r="AB46" s="309"/>
      <c r="AC46" s="309"/>
    </row>
    <row r="47" spans="1:29" ht="12.75" customHeight="1">
      <c r="A47" s="1036">
        <v>25</v>
      </c>
      <c r="B47" s="1023" t="s">
        <v>197</v>
      </c>
      <c r="C47" s="323" t="s">
        <v>198</v>
      </c>
      <c r="D47" s="946"/>
      <c r="E47" s="964"/>
      <c r="F47" s="948"/>
      <c r="G47" s="949"/>
      <c r="H47" s="949"/>
      <c r="I47" s="950"/>
      <c r="J47" s="1032"/>
      <c r="K47" s="1010"/>
      <c r="L47" s="1030"/>
      <c r="M47" s="1031"/>
      <c r="N47" s="309"/>
      <c r="O47" s="1001"/>
      <c r="P47" s="1027"/>
      <c r="Q47" s="1001"/>
      <c r="R47" s="1001">
        <f t="shared" si="4"/>
        <v>0</v>
      </c>
      <c r="S47" s="326"/>
      <c r="T47" s="309"/>
      <c r="U47" s="328"/>
      <c r="V47" s="309"/>
      <c r="W47" s="328"/>
      <c r="X47" s="309"/>
      <c r="Y47" s="309"/>
      <c r="Z47" s="309"/>
      <c r="AA47" s="309"/>
      <c r="AB47" s="309"/>
      <c r="AC47" s="309"/>
    </row>
    <row r="48" spans="1:29" ht="12.75" customHeight="1">
      <c r="A48" s="1000">
        <v>26</v>
      </c>
      <c r="B48" s="323" t="s">
        <v>166</v>
      </c>
      <c r="C48" s="323" t="s">
        <v>167</v>
      </c>
      <c r="D48" s="946">
        <v>100</v>
      </c>
      <c r="E48" s="964">
        <v>30.01</v>
      </c>
      <c r="F48" s="948">
        <f>E48*D48</f>
        <v>3001</v>
      </c>
      <c r="G48" s="949">
        <v>3.9609854529781156E-2</v>
      </c>
      <c r="H48" s="949"/>
      <c r="I48" s="950"/>
      <c r="J48" s="1032"/>
      <c r="K48" s="1010"/>
      <c r="L48" s="1030"/>
      <c r="M48" s="1031"/>
      <c r="N48" s="309"/>
      <c r="O48" s="1001"/>
      <c r="P48" s="1027"/>
      <c r="Q48" s="1001"/>
      <c r="R48" s="1001">
        <f t="shared" si="4"/>
        <v>0</v>
      </c>
      <c r="S48" s="326"/>
      <c r="T48" s="309"/>
      <c r="U48" s="328"/>
      <c r="V48" s="309"/>
      <c r="W48" s="328"/>
      <c r="X48" s="309"/>
      <c r="Y48" s="309"/>
      <c r="Z48" s="309"/>
      <c r="AA48" s="309"/>
      <c r="AB48" s="309"/>
      <c r="AC48" s="309"/>
    </row>
    <row r="49" spans="1:29" ht="12.75" customHeight="1">
      <c r="A49" s="1036">
        <v>27</v>
      </c>
      <c r="B49" s="323" t="s">
        <v>121</v>
      </c>
      <c r="C49" s="323" t="s">
        <v>122</v>
      </c>
      <c r="D49" s="946">
        <v>100</v>
      </c>
      <c r="E49" s="964">
        <v>32.549999999999997</v>
      </c>
      <c r="F49" s="948">
        <f>E49*D49</f>
        <v>3254.9999999999995</v>
      </c>
      <c r="G49" s="949">
        <v>4.2135401532981259E-2</v>
      </c>
      <c r="H49" s="949"/>
      <c r="I49" s="950"/>
      <c r="J49" s="1032"/>
      <c r="K49" s="1010"/>
      <c r="L49" s="1030"/>
      <c r="M49" s="1031"/>
      <c r="N49" s="309"/>
      <c r="O49" s="1001"/>
      <c r="P49" s="1027"/>
      <c r="Q49" s="1001"/>
      <c r="R49" s="1001">
        <f t="shared" si="4"/>
        <v>0</v>
      </c>
      <c r="S49" s="326"/>
      <c r="T49" s="309"/>
      <c r="U49" s="328"/>
      <c r="V49" s="309"/>
      <c r="W49" s="328"/>
      <c r="X49" s="309"/>
      <c r="Y49" s="309"/>
      <c r="Z49" s="309"/>
      <c r="AA49" s="309"/>
      <c r="AB49" s="309"/>
      <c r="AC49" s="309"/>
    </row>
    <row r="50" spans="1:29" ht="12.75" customHeight="1">
      <c r="A50" s="1000">
        <v>28</v>
      </c>
      <c r="B50" s="323" t="s">
        <v>170</v>
      </c>
      <c r="C50" s="323" t="s">
        <v>171</v>
      </c>
      <c r="D50" s="946">
        <v>50</v>
      </c>
      <c r="E50" s="964">
        <v>104.62</v>
      </c>
      <c r="F50" s="948">
        <f>E50*D50</f>
        <v>5231</v>
      </c>
      <c r="G50" s="949">
        <v>6.2384876612210621E-2</v>
      </c>
      <c r="H50" s="949"/>
      <c r="I50" s="950"/>
      <c r="J50" s="1032"/>
      <c r="K50" s="1010"/>
      <c r="L50" s="1030"/>
      <c r="M50" s="1031"/>
      <c r="N50" s="309"/>
      <c r="O50" s="1001"/>
      <c r="P50" s="1027"/>
      <c r="Q50" s="1001"/>
      <c r="R50" s="1001">
        <f t="shared" si="4"/>
        <v>0</v>
      </c>
      <c r="S50" s="326"/>
      <c r="T50" s="309"/>
      <c r="U50" s="328"/>
      <c r="V50" s="309"/>
      <c r="W50" s="328"/>
      <c r="X50" s="309"/>
      <c r="Y50" s="309"/>
      <c r="Z50" s="309"/>
      <c r="AA50" s="309"/>
      <c r="AB50" s="309"/>
      <c r="AC50" s="309"/>
    </row>
    <row r="51" spans="1:29" ht="12.75" customHeight="1">
      <c r="A51" s="1036">
        <v>29</v>
      </c>
      <c r="B51" s="323" t="s">
        <v>199</v>
      </c>
      <c r="C51" s="323" t="s">
        <v>200</v>
      </c>
      <c r="D51" s="946"/>
      <c r="E51" s="964"/>
      <c r="F51" s="948"/>
      <c r="G51" s="949"/>
      <c r="H51" s="949"/>
      <c r="I51" s="950"/>
      <c r="J51" s="1032"/>
      <c r="K51" s="1010"/>
      <c r="L51" s="1030"/>
      <c r="M51" s="1031"/>
      <c r="N51" s="309"/>
      <c r="O51" s="1001"/>
      <c r="P51" s="1027"/>
      <c r="Q51" s="1001"/>
      <c r="R51" s="1001">
        <f t="shared" si="4"/>
        <v>0</v>
      </c>
      <c r="S51" s="326"/>
      <c r="T51" s="309"/>
      <c r="U51" s="328"/>
      <c r="V51" s="309"/>
      <c r="W51" s="328"/>
      <c r="X51" s="309"/>
      <c r="Y51" s="309"/>
      <c r="Z51" s="309"/>
      <c r="AA51" s="309"/>
      <c r="AB51" s="309"/>
      <c r="AC51" s="309"/>
    </row>
    <row r="52" spans="1:29" ht="12.75" customHeight="1">
      <c r="A52" s="29">
        <v>30</v>
      </c>
      <c r="B52" s="309" t="s">
        <v>201</v>
      </c>
      <c r="C52" s="134" t="s">
        <v>54</v>
      </c>
      <c r="D52" s="950"/>
      <c r="E52" s="964"/>
      <c r="F52" s="948"/>
      <c r="G52" s="949"/>
      <c r="H52" s="949"/>
      <c r="I52" s="950"/>
      <c r="J52" s="1038"/>
      <c r="K52" s="948"/>
      <c r="L52" s="1037"/>
      <c r="M52" s="1031"/>
      <c r="N52" s="309"/>
      <c r="O52" s="1001"/>
      <c r="P52" s="1027"/>
      <c r="Q52" s="326"/>
      <c r="R52" s="326"/>
      <c r="S52" s="326"/>
      <c r="T52" s="309"/>
      <c r="U52" s="309"/>
      <c r="V52" s="309"/>
      <c r="W52" s="328"/>
      <c r="X52" s="309"/>
      <c r="Y52" s="309"/>
      <c r="Z52" s="309"/>
      <c r="AA52" s="309"/>
      <c r="AB52" s="309"/>
      <c r="AC52" s="309"/>
    </row>
    <row r="53" spans="1:29" ht="12.75" customHeight="1">
      <c r="A53" s="1000">
        <v>31</v>
      </c>
      <c r="B53" s="309" t="s">
        <v>55</v>
      </c>
      <c r="C53" s="309" t="s">
        <v>56</v>
      </c>
      <c r="D53" s="946"/>
      <c r="E53" s="964"/>
      <c r="F53" s="948"/>
      <c r="G53" s="949"/>
      <c r="H53" s="949"/>
      <c r="I53" s="950"/>
      <c r="J53" s="1038"/>
      <c r="K53" s="948"/>
      <c r="L53" s="1037"/>
      <c r="M53" s="1031"/>
      <c r="N53" s="309"/>
      <c r="O53" s="1001"/>
      <c r="P53" s="1027"/>
      <c r="Q53" s="326"/>
      <c r="R53" s="326"/>
      <c r="S53" s="326"/>
      <c r="T53" s="309"/>
      <c r="U53" s="309"/>
      <c r="V53" s="309"/>
      <c r="W53" s="328"/>
      <c r="X53" s="309"/>
      <c r="Y53" s="309"/>
      <c r="Z53" s="309"/>
      <c r="AA53" s="309"/>
      <c r="AB53" s="309"/>
      <c r="AC53" s="309"/>
    </row>
    <row r="54" spans="1:29" ht="12.75" customHeight="1">
      <c r="A54" s="29">
        <v>32</v>
      </c>
      <c r="B54" s="309" t="s">
        <v>57</v>
      </c>
      <c r="C54" s="309" t="s">
        <v>58</v>
      </c>
      <c r="D54" s="946"/>
      <c r="E54" s="964"/>
      <c r="F54" s="948"/>
      <c r="G54" s="949"/>
      <c r="H54" s="949"/>
      <c r="I54" s="950"/>
      <c r="J54" s="964"/>
      <c r="K54" s="948"/>
      <c r="L54" s="948"/>
      <c r="M54" s="965"/>
      <c r="N54" s="309"/>
      <c r="O54" s="1001"/>
      <c r="P54" s="965"/>
      <c r="Q54" s="326"/>
      <c r="R54" s="326"/>
      <c r="S54" s="326"/>
      <c r="T54" s="309"/>
      <c r="U54" s="309"/>
      <c r="V54" s="309"/>
      <c r="W54" s="328"/>
      <c r="X54" s="309"/>
      <c r="Y54" s="309"/>
      <c r="Z54" s="309"/>
      <c r="AA54" s="309"/>
      <c r="AB54" s="309"/>
      <c r="AC54" s="309"/>
    </row>
    <row r="55" spans="1:29" ht="14.25" customHeight="1">
      <c r="A55" s="1000">
        <v>33</v>
      </c>
      <c r="B55" s="309" t="s">
        <v>59</v>
      </c>
      <c r="C55" s="309" t="s">
        <v>60</v>
      </c>
      <c r="D55" s="946">
        <v>50</v>
      </c>
      <c r="E55" s="964">
        <v>44.84</v>
      </c>
      <c r="F55" s="948">
        <f>E55*D55</f>
        <v>2242</v>
      </c>
      <c r="G55" s="949">
        <v>2.9000000000000001E-2</v>
      </c>
      <c r="H55" s="949"/>
      <c r="I55" s="950"/>
      <c r="J55" s="964"/>
      <c r="K55" s="948"/>
      <c r="L55" s="948"/>
      <c r="M55" s="965"/>
      <c r="N55" s="309"/>
      <c r="O55" s="1001"/>
      <c r="P55" s="965"/>
      <c r="Q55" s="326"/>
      <c r="R55" s="326"/>
      <c r="S55" s="326"/>
      <c r="T55" s="309"/>
      <c r="U55" s="309"/>
      <c r="V55" s="309"/>
      <c r="W55" s="328"/>
      <c r="X55" s="309"/>
      <c r="Y55" s="309"/>
      <c r="Z55" s="309"/>
      <c r="AA55" s="309"/>
      <c r="AB55" s="309"/>
      <c r="AC55" s="309"/>
    </row>
    <row r="56" spans="1:29" ht="10.5" customHeight="1">
      <c r="A56" s="1039"/>
      <c r="B56" s="309" t="s">
        <v>202</v>
      </c>
      <c r="C56" s="309"/>
      <c r="D56" s="946"/>
      <c r="E56" s="964"/>
      <c r="F56" s="948"/>
      <c r="G56" s="949"/>
      <c r="H56" s="949"/>
      <c r="I56" s="950"/>
      <c r="J56" s="964"/>
      <c r="K56" s="948"/>
      <c r="L56" s="948"/>
      <c r="M56" s="965"/>
      <c r="N56" s="309"/>
      <c r="O56" s="1001"/>
      <c r="P56" s="965"/>
      <c r="Q56" s="326"/>
      <c r="R56" s="326"/>
      <c r="S56" s="326"/>
      <c r="T56" s="309"/>
      <c r="U56" s="309"/>
      <c r="V56" s="309"/>
      <c r="W56" s="328"/>
      <c r="X56" s="309"/>
      <c r="Y56" s="309"/>
      <c r="Z56" s="309"/>
      <c r="AA56" s="309"/>
      <c r="AB56" s="309"/>
      <c r="AC56" s="309"/>
    </row>
    <row r="57" spans="1:29" ht="12.75" customHeight="1">
      <c r="A57" s="1039"/>
      <c r="B57" s="309"/>
      <c r="C57" s="309"/>
      <c r="D57" s="946"/>
      <c r="E57" s="964"/>
      <c r="F57" s="948"/>
      <c r="G57" s="949"/>
      <c r="H57" s="949"/>
      <c r="I57" s="950"/>
      <c r="J57" s="964"/>
      <c r="K57" s="948"/>
      <c r="L57" s="948"/>
      <c r="M57" s="965"/>
      <c r="N57" s="309"/>
      <c r="O57" s="1001"/>
      <c r="P57" s="965"/>
      <c r="Q57" s="326"/>
      <c r="R57" s="326"/>
      <c r="S57" s="326"/>
      <c r="T57" s="309"/>
      <c r="U57" s="309"/>
      <c r="V57" s="309"/>
      <c r="W57" s="328"/>
      <c r="X57" s="309"/>
      <c r="Y57" s="309"/>
      <c r="Z57" s="309"/>
      <c r="AA57" s="309"/>
      <c r="AB57" s="309"/>
      <c r="AC57" s="309"/>
    </row>
    <row r="58" spans="1:29" ht="12.75" customHeight="1">
      <c r="A58" s="309"/>
      <c r="B58" s="345" t="s">
        <v>63</v>
      </c>
      <c r="C58" s="345"/>
      <c r="D58" s="921"/>
      <c r="E58" s="308"/>
      <c r="F58" s="922">
        <v>68920.160000000003</v>
      </c>
      <c r="G58" s="967">
        <f>F58/$F$62</f>
        <v>0.89052775017317565</v>
      </c>
      <c r="H58" s="968"/>
      <c r="I58" s="308"/>
      <c r="J58" s="308"/>
      <c r="K58" s="1012">
        <f>SUM(K8:K20)</f>
        <v>34814.879999999997</v>
      </c>
      <c r="L58" s="1012"/>
      <c r="M58" s="969">
        <f>K58/$K$62</f>
        <v>0.46121037173829815</v>
      </c>
      <c r="N58" s="345"/>
      <c r="O58" s="970"/>
      <c r="P58" s="134"/>
      <c r="Q58" s="326"/>
      <c r="R58" s="326"/>
      <c r="S58" s="326"/>
      <c r="T58" s="309"/>
      <c r="U58" s="309"/>
      <c r="V58" s="309"/>
      <c r="W58" s="328"/>
      <c r="X58" s="309"/>
      <c r="Y58" s="309"/>
      <c r="Z58" s="309"/>
      <c r="AA58" s="309"/>
      <c r="AB58" s="309"/>
      <c r="AC58" s="309"/>
    </row>
    <row r="59" spans="1:29" ht="6.75" customHeight="1">
      <c r="A59" s="309"/>
      <c r="B59" s="345"/>
      <c r="C59" s="345"/>
      <c r="D59" s="921"/>
      <c r="E59" s="922"/>
      <c r="F59" s="966"/>
      <c r="G59" s="967"/>
      <c r="H59" s="968"/>
      <c r="I59" s="308"/>
      <c r="J59" s="922"/>
      <c r="K59" s="1014"/>
      <c r="L59" s="309"/>
      <c r="M59" s="969"/>
      <c r="N59" s="345"/>
      <c r="O59" s="968"/>
      <c r="P59" s="134"/>
      <c r="Q59" s="326"/>
      <c r="R59" s="326"/>
      <c r="S59" s="326"/>
      <c r="T59" s="309"/>
      <c r="U59" s="309"/>
      <c r="V59" s="309"/>
      <c r="W59" s="328"/>
      <c r="X59" s="309"/>
      <c r="Y59" s="309"/>
      <c r="Z59" s="309"/>
      <c r="AA59" s="309"/>
      <c r="AB59" s="309"/>
      <c r="AC59" s="309"/>
    </row>
    <row r="60" spans="1:29" ht="12.75" customHeight="1">
      <c r="A60" s="309"/>
      <c r="B60" s="345" t="s">
        <v>64</v>
      </c>
      <c r="C60" s="345"/>
      <c r="D60" s="921"/>
      <c r="E60" s="922"/>
      <c r="F60" s="922">
        <v>8472.33</v>
      </c>
      <c r="G60" s="967">
        <f>F60/$F$62</f>
        <v>0.10947224982682427</v>
      </c>
      <c r="H60" s="968"/>
      <c r="I60" s="308"/>
      <c r="J60" s="922"/>
      <c r="K60" s="1012">
        <f>40671.02</f>
        <v>40671.019999999997</v>
      </c>
      <c r="L60" s="1012"/>
      <c r="M60" s="969">
        <f>K60/$K$62</f>
        <v>0.53878962826170185</v>
      </c>
      <c r="N60" s="345"/>
      <c r="O60" s="968"/>
      <c r="P60" s="134"/>
      <c r="Q60" s="326"/>
      <c r="R60" s="326"/>
      <c r="S60" s="326"/>
      <c r="T60" s="977"/>
      <c r="U60" s="309"/>
      <c r="V60" s="309"/>
      <c r="W60" s="328"/>
      <c r="X60" s="309"/>
      <c r="Y60" s="309"/>
      <c r="Z60" s="309"/>
      <c r="AA60" s="309"/>
      <c r="AB60" s="309"/>
      <c r="AC60" s="309"/>
    </row>
    <row r="61" spans="1:29" ht="12.75" customHeight="1">
      <c r="A61" s="923"/>
      <c r="B61" s="924" t="s">
        <v>65</v>
      </c>
      <c r="C61" s="924"/>
      <c r="D61" s="6"/>
      <c r="E61" s="925"/>
      <c r="F61" s="978"/>
      <c r="G61" s="979"/>
      <c r="H61" s="980"/>
      <c r="I61" s="925"/>
      <c r="J61" s="925"/>
      <c r="K61" s="1015"/>
      <c r="L61" s="1015"/>
      <c r="M61" s="21"/>
      <c r="N61" s="924"/>
      <c r="O61" s="981"/>
      <c r="P61" s="22"/>
      <c r="Q61" s="326"/>
      <c r="R61" s="326"/>
      <c r="S61" s="326"/>
      <c r="T61" s="309"/>
      <c r="U61" s="309"/>
      <c r="V61" s="309"/>
      <c r="W61" s="328"/>
      <c r="X61" s="309"/>
      <c r="Y61" s="309"/>
      <c r="Z61" s="309"/>
      <c r="AA61" s="309"/>
      <c r="AB61" s="309"/>
      <c r="AC61" s="309"/>
    </row>
    <row r="62" spans="1:29" ht="12.75" customHeight="1">
      <c r="A62" s="309"/>
      <c r="B62" s="345" t="s">
        <v>66</v>
      </c>
      <c r="C62" s="345"/>
      <c r="D62" s="927"/>
      <c r="E62" s="928"/>
      <c r="F62" s="982">
        <f>SUM(F58:F61)</f>
        <v>77392.490000000005</v>
      </c>
      <c r="G62" s="983">
        <f>SUM(G58:G61)</f>
        <v>0.99999999999999989</v>
      </c>
      <c r="H62" s="983"/>
      <c r="I62" s="928"/>
      <c r="J62" s="928"/>
      <c r="K62" s="1016">
        <f>SUM(K58:K61)</f>
        <v>75485.899999999994</v>
      </c>
      <c r="L62" s="1016"/>
      <c r="M62" s="23">
        <f>SUM(M58:M61)</f>
        <v>1</v>
      </c>
      <c r="N62" s="345"/>
      <c r="O62" s="24">
        <f>(K62-F62)/F62</f>
        <v>-2.4635336064261673E-2</v>
      </c>
      <c r="P62" s="309"/>
      <c r="Q62" s="326"/>
      <c r="R62" s="326"/>
      <c r="S62" s="326"/>
      <c r="T62" s="309"/>
      <c r="U62" s="309"/>
      <c r="V62" s="309"/>
      <c r="W62" s="328"/>
      <c r="X62" s="309"/>
      <c r="Y62" s="309"/>
      <c r="Z62" s="309"/>
      <c r="AA62" s="309"/>
      <c r="AB62" s="309"/>
      <c r="AC62" s="309"/>
    </row>
    <row r="63" spans="1:29" ht="12.75" customHeight="1">
      <c r="A63" s="309"/>
      <c r="B63" s="309"/>
      <c r="C63" s="985"/>
      <c r="D63" s="940"/>
      <c r="E63" s="940"/>
      <c r="F63" s="940"/>
      <c r="G63" s="940"/>
      <c r="H63" s="940"/>
      <c r="I63" s="940"/>
      <c r="J63" s="940"/>
      <c r="K63" s="1017"/>
      <c r="L63" s="1017"/>
      <c r="M63" s="949"/>
      <c r="N63" s="309"/>
      <c r="O63" s="309"/>
      <c r="P63" s="309"/>
      <c r="Q63" s="326"/>
      <c r="R63" s="326"/>
      <c r="S63" s="326"/>
      <c r="T63" s="309"/>
      <c r="U63" s="309"/>
      <c r="V63" s="309"/>
      <c r="W63" s="328"/>
      <c r="X63" s="309"/>
      <c r="Y63" s="309"/>
      <c r="Z63" s="309"/>
      <c r="AA63" s="309"/>
      <c r="AB63" s="309"/>
      <c r="AC63" s="309"/>
    </row>
    <row r="64" spans="1:29" ht="12.75" customHeight="1">
      <c r="A64" s="309"/>
      <c r="B64" s="872"/>
      <c r="C64" s="873"/>
      <c r="D64" s="872"/>
      <c r="E64" s="879"/>
      <c r="F64" s="986"/>
      <c r="G64" s="881"/>
      <c r="H64" s="879"/>
      <c r="I64" s="879"/>
      <c r="J64" s="879"/>
      <c r="K64" s="1018"/>
      <c r="L64" s="1018"/>
      <c r="M64" s="881"/>
      <c r="N64" s="879"/>
      <c r="O64" s="872"/>
      <c r="P64" s="987"/>
      <c r="Q64" s="1019"/>
      <c r="R64" s="1019"/>
      <c r="S64" s="1019"/>
      <c r="T64" s="309"/>
      <c r="U64" s="309"/>
      <c r="V64" s="309"/>
      <c r="W64" s="328"/>
      <c r="X64" s="309"/>
      <c r="Y64" s="309"/>
      <c r="Z64" s="309"/>
      <c r="AA64" s="309"/>
      <c r="AB64" s="309"/>
      <c r="AC64" s="309"/>
    </row>
    <row r="65" spans="1:29" ht="12.75" customHeight="1">
      <c r="A65" s="309"/>
      <c r="B65" s="309" t="s">
        <v>141</v>
      </c>
      <c r="C65" s="309"/>
      <c r="D65" s="309"/>
      <c r="E65" s="309"/>
      <c r="F65" s="955">
        <v>1248.29</v>
      </c>
      <c r="G65" s="309"/>
      <c r="H65" s="309"/>
      <c r="I65" s="309"/>
      <c r="J65" s="309"/>
      <c r="K65" s="1020">
        <f>1418.3</f>
        <v>1418.3</v>
      </c>
      <c r="L65" s="1020"/>
      <c r="M65" s="1040">
        <f>L60/K62</f>
        <v>0</v>
      </c>
      <c r="N65" s="309"/>
      <c r="O65" s="956">
        <f>(K65-F65)/F65</f>
        <v>0.13619431382130753</v>
      </c>
      <c r="P65" s="1041">
        <f>$O$62-O65</f>
        <v>-0.16082964988556919</v>
      </c>
      <c r="Q65" s="1001"/>
      <c r="R65" s="326"/>
      <c r="S65" s="326"/>
      <c r="T65" s="309"/>
      <c r="U65" s="309"/>
      <c r="V65" s="309"/>
      <c r="W65" s="328"/>
      <c r="X65" s="309"/>
      <c r="Y65" s="309"/>
      <c r="Z65" s="309"/>
      <c r="AA65" s="309"/>
      <c r="AB65" s="309"/>
      <c r="AC65" s="309"/>
    </row>
    <row r="66" spans="1:29" ht="12.75" customHeight="1">
      <c r="A66" s="309"/>
      <c r="B66" s="309"/>
      <c r="C66" s="309"/>
      <c r="D66" s="309"/>
      <c r="E66" s="309"/>
      <c r="F66" s="309"/>
      <c r="G66" s="309"/>
      <c r="H66" s="309"/>
      <c r="I66" s="309"/>
      <c r="J66" s="309"/>
      <c r="K66" s="1020"/>
      <c r="L66" s="1020"/>
      <c r="M66" s="309"/>
      <c r="N66" s="309"/>
      <c r="O66" s="956"/>
      <c r="P66" s="309"/>
      <c r="Q66" s="326"/>
      <c r="R66" s="326"/>
      <c r="S66" s="326"/>
      <c r="T66" s="309"/>
      <c r="U66" s="309"/>
      <c r="V66" s="309"/>
      <c r="W66" s="328"/>
      <c r="X66" s="309"/>
      <c r="Y66" s="309"/>
      <c r="Z66" s="309"/>
      <c r="AA66" s="309"/>
      <c r="AB66" s="309"/>
      <c r="AC66" s="309"/>
    </row>
    <row r="67" spans="1:29" ht="12.75" customHeight="1">
      <c r="A67" s="309"/>
      <c r="B67" s="309"/>
      <c r="C67" s="309"/>
      <c r="D67" s="309"/>
      <c r="E67" s="309"/>
      <c r="F67" s="309"/>
      <c r="G67" s="309"/>
      <c r="H67" s="309"/>
      <c r="I67" s="309"/>
      <c r="J67" s="309"/>
      <c r="K67" s="1020"/>
      <c r="L67" s="1020"/>
      <c r="M67" s="309"/>
      <c r="N67" s="309"/>
      <c r="O67" s="309"/>
      <c r="P67" s="309"/>
      <c r="Q67" s="326"/>
      <c r="R67" s="326"/>
      <c r="S67" s="326"/>
      <c r="T67" s="309"/>
      <c r="U67" s="309"/>
      <c r="V67" s="309"/>
      <c r="W67" s="328"/>
      <c r="X67" s="309"/>
      <c r="Y67" s="309"/>
      <c r="Z67" s="309"/>
      <c r="AA67" s="309"/>
      <c r="AB67" s="309"/>
      <c r="AC67" s="309"/>
    </row>
    <row r="68" spans="1:29" ht="12.75" customHeight="1">
      <c r="A68" s="309"/>
      <c r="B68" s="309"/>
      <c r="C68" s="309"/>
      <c r="D68" s="309"/>
      <c r="E68" s="309"/>
      <c r="F68" s="309"/>
      <c r="G68" s="309"/>
      <c r="H68" s="309"/>
      <c r="I68" s="309"/>
      <c r="J68" s="309"/>
      <c r="K68" s="1020"/>
      <c r="L68" s="1020"/>
      <c r="M68" s="309"/>
      <c r="N68" s="309"/>
      <c r="O68" s="309"/>
      <c r="P68" s="309"/>
      <c r="Q68" s="326"/>
      <c r="R68" s="326"/>
      <c r="S68" s="326"/>
      <c r="T68" s="309"/>
      <c r="U68" s="309"/>
      <c r="V68" s="309"/>
      <c r="W68" s="328"/>
      <c r="X68" s="309"/>
      <c r="Y68" s="309"/>
      <c r="Z68" s="309"/>
      <c r="AA68" s="309"/>
      <c r="AB68" s="309"/>
      <c r="AC68" s="309"/>
    </row>
    <row r="69" spans="1:29" ht="12.75" customHeight="1">
      <c r="A69" s="309"/>
      <c r="B69" s="309"/>
      <c r="C69" s="309"/>
      <c r="D69" s="309"/>
      <c r="E69" s="309"/>
      <c r="F69" s="309"/>
      <c r="G69" s="309"/>
      <c r="H69" s="309"/>
      <c r="I69" s="309"/>
      <c r="J69" s="309"/>
      <c r="K69" s="1020"/>
      <c r="L69" s="1020"/>
      <c r="M69" s="309"/>
      <c r="N69" s="309"/>
      <c r="O69" s="309"/>
      <c r="P69" s="309"/>
      <c r="Q69" s="326"/>
      <c r="R69" s="326"/>
      <c r="S69" s="326"/>
      <c r="T69" s="309"/>
      <c r="U69" s="309"/>
      <c r="V69" s="309"/>
      <c r="W69" s="328"/>
      <c r="X69" s="309"/>
      <c r="Y69" s="309"/>
      <c r="Z69" s="309"/>
      <c r="AA69" s="309"/>
      <c r="AB69" s="309"/>
      <c r="AC69" s="309"/>
    </row>
    <row r="70" spans="1:29" ht="12.75" customHeight="1">
      <c r="A70" s="309"/>
      <c r="B70" s="309"/>
      <c r="C70" s="309"/>
      <c r="D70" s="309"/>
      <c r="E70" s="309"/>
      <c r="F70" s="309"/>
      <c r="G70" s="309"/>
      <c r="H70" s="309"/>
      <c r="I70" s="309"/>
      <c r="J70" s="309"/>
      <c r="K70" s="1020"/>
      <c r="L70" s="1020"/>
      <c r="M70" s="309"/>
      <c r="N70" s="309"/>
      <c r="O70" s="309"/>
      <c r="P70" s="309"/>
      <c r="Q70" s="326"/>
      <c r="R70" s="326"/>
      <c r="S70" s="326"/>
      <c r="T70" s="309"/>
      <c r="U70" s="309"/>
      <c r="V70" s="309"/>
      <c r="W70" s="328"/>
      <c r="X70" s="309"/>
      <c r="Y70" s="309"/>
      <c r="Z70" s="309"/>
      <c r="AA70" s="309"/>
      <c r="AB70" s="309"/>
      <c r="AC70" s="309"/>
    </row>
    <row r="71" spans="1:29" ht="12.75" customHeight="1">
      <c r="A71" s="309"/>
      <c r="B71" s="309"/>
      <c r="C71" s="309"/>
      <c r="D71" s="309"/>
      <c r="E71" s="309"/>
      <c r="F71" s="309"/>
      <c r="G71" s="309"/>
      <c r="H71" s="309"/>
      <c r="I71" s="309"/>
      <c r="J71" s="309"/>
      <c r="K71" s="1020"/>
      <c r="L71" s="1020"/>
      <c r="M71" s="309"/>
      <c r="N71" s="309"/>
      <c r="O71" s="309"/>
      <c r="P71" s="309"/>
      <c r="Q71" s="326"/>
      <c r="R71" s="326"/>
      <c r="S71" s="326"/>
      <c r="T71" s="309"/>
      <c r="U71" s="309"/>
      <c r="V71" s="309"/>
      <c r="W71" s="328"/>
      <c r="X71" s="309"/>
      <c r="Y71" s="309"/>
      <c r="Z71" s="309"/>
      <c r="AA71" s="309"/>
      <c r="AB71" s="309"/>
      <c r="AC71" s="309"/>
    </row>
    <row r="72" spans="1:29" ht="12.75" customHeight="1">
      <c r="A72" s="309"/>
      <c r="B72" s="309"/>
      <c r="C72" s="309"/>
      <c r="D72" s="309"/>
      <c r="E72" s="309"/>
      <c r="F72" s="309"/>
      <c r="G72" s="309"/>
      <c r="H72" s="309"/>
      <c r="I72" s="309"/>
      <c r="J72" s="309"/>
      <c r="K72" s="1020"/>
      <c r="L72" s="1020"/>
      <c r="M72" s="309"/>
      <c r="N72" s="309"/>
      <c r="O72" s="309"/>
      <c r="P72" s="309"/>
      <c r="Q72" s="326"/>
      <c r="R72" s="326"/>
      <c r="S72" s="326"/>
      <c r="T72" s="309"/>
      <c r="U72" s="309"/>
      <c r="V72" s="309"/>
      <c r="W72" s="328"/>
      <c r="X72" s="309"/>
      <c r="Y72" s="309"/>
      <c r="Z72" s="309"/>
      <c r="AA72" s="309"/>
      <c r="AB72" s="309"/>
      <c r="AC72" s="309"/>
    </row>
    <row r="73" spans="1:29" ht="12.75" customHeight="1">
      <c r="A73" s="309"/>
      <c r="B73" s="309"/>
      <c r="C73" s="309"/>
      <c r="D73" s="309"/>
      <c r="E73" s="309"/>
      <c r="F73" s="309"/>
      <c r="G73" s="309"/>
      <c r="H73" s="309"/>
      <c r="I73" s="309"/>
      <c r="J73" s="309"/>
      <c r="K73" s="1020"/>
      <c r="L73" s="1020"/>
      <c r="M73" s="309"/>
      <c r="N73" s="309"/>
      <c r="O73" s="309"/>
      <c r="P73" s="309"/>
      <c r="Q73" s="326"/>
      <c r="R73" s="326"/>
      <c r="S73" s="326"/>
      <c r="T73" s="309"/>
      <c r="U73" s="309"/>
      <c r="V73" s="309"/>
      <c r="W73" s="328"/>
      <c r="X73" s="309"/>
      <c r="Y73" s="309"/>
      <c r="Z73" s="309"/>
      <c r="AA73" s="309"/>
      <c r="AB73" s="309"/>
      <c r="AC73" s="309"/>
    </row>
    <row r="74" spans="1:29" ht="12.75" customHeight="1">
      <c r="A74" s="309"/>
      <c r="B74" s="309"/>
      <c r="C74" s="309"/>
      <c r="D74" s="309"/>
      <c r="E74" s="309"/>
      <c r="F74" s="309"/>
      <c r="G74" s="309"/>
      <c r="H74" s="309"/>
      <c r="I74" s="309"/>
      <c r="J74" s="309"/>
      <c r="K74" s="1020"/>
      <c r="L74" s="1020"/>
      <c r="M74" s="309"/>
      <c r="N74" s="309"/>
      <c r="O74" s="309"/>
      <c r="P74" s="309"/>
      <c r="Q74" s="326"/>
      <c r="R74" s="326"/>
      <c r="S74" s="326"/>
      <c r="T74" s="309"/>
      <c r="U74" s="309"/>
      <c r="V74" s="309"/>
      <c r="W74" s="328"/>
      <c r="X74" s="309"/>
      <c r="Y74" s="309"/>
      <c r="Z74" s="309"/>
      <c r="AA74" s="309"/>
      <c r="AB74" s="309"/>
      <c r="AC74" s="309"/>
    </row>
    <row r="75" spans="1:29" ht="12.75" customHeight="1">
      <c r="A75" s="309"/>
      <c r="B75" s="309"/>
      <c r="C75" s="309"/>
      <c r="D75" s="309"/>
      <c r="E75" s="309"/>
      <c r="F75" s="309"/>
      <c r="G75" s="309"/>
      <c r="H75" s="309"/>
      <c r="I75" s="309"/>
      <c r="J75" s="309"/>
      <c r="K75" s="1020"/>
      <c r="L75" s="1020"/>
      <c r="M75" s="309"/>
      <c r="N75" s="309"/>
      <c r="O75" s="309"/>
      <c r="P75" s="309"/>
      <c r="Q75" s="326"/>
      <c r="R75" s="326"/>
      <c r="S75" s="326"/>
      <c r="T75" s="309"/>
      <c r="U75" s="309"/>
      <c r="V75" s="309"/>
      <c r="W75" s="328"/>
      <c r="X75" s="309"/>
      <c r="Y75" s="309"/>
      <c r="Z75" s="309"/>
      <c r="AA75" s="309"/>
      <c r="AB75" s="309"/>
      <c r="AC75" s="309"/>
    </row>
    <row r="76" spans="1:29" ht="12.75" customHeight="1">
      <c r="A76" s="309"/>
      <c r="B76" s="309"/>
      <c r="C76" s="309"/>
      <c r="D76" s="309"/>
      <c r="E76" s="309"/>
      <c r="F76" s="309"/>
      <c r="G76" s="309"/>
      <c r="H76" s="309"/>
      <c r="I76" s="309"/>
      <c r="J76" s="309"/>
      <c r="K76" s="1020"/>
      <c r="L76" s="1020"/>
      <c r="M76" s="309"/>
      <c r="N76" s="309"/>
      <c r="O76" s="309"/>
      <c r="P76" s="309"/>
      <c r="Q76" s="326"/>
      <c r="R76" s="326"/>
      <c r="S76" s="326"/>
      <c r="T76" s="309"/>
      <c r="U76" s="309"/>
      <c r="V76" s="309"/>
      <c r="W76" s="328"/>
      <c r="X76" s="309"/>
      <c r="Y76" s="309"/>
      <c r="Z76" s="309"/>
      <c r="AA76" s="309"/>
      <c r="AB76" s="309"/>
      <c r="AC76" s="309"/>
    </row>
    <row r="77" spans="1:29" ht="12.75" customHeight="1">
      <c r="A77" s="309"/>
      <c r="B77" s="309"/>
      <c r="C77" s="309"/>
      <c r="D77" s="309"/>
      <c r="E77" s="309"/>
      <c r="F77" s="309"/>
      <c r="G77" s="309"/>
      <c r="H77" s="309"/>
      <c r="I77" s="309"/>
      <c r="J77" s="309"/>
      <c r="K77" s="1020"/>
      <c r="L77" s="1020"/>
      <c r="M77" s="309"/>
      <c r="N77" s="309"/>
      <c r="O77" s="309"/>
      <c r="P77" s="309"/>
      <c r="Q77" s="326"/>
      <c r="R77" s="326"/>
      <c r="S77" s="326"/>
      <c r="T77" s="309"/>
      <c r="U77" s="309"/>
      <c r="V77" s="309"/>
      <c r="W77" s="328"/>
      <c r="X77" s="309"/>
      <c r="Y77" s="309"/>
      <c r="Z77" s="309"/>
      <c r="AA77" s="309"/>
      <c r="AB77" s="309"/>
      <c r="AC77" s="309"/>
    </row>
    <row r="78" spans="1:29" ht="12.75" customHeight="1">
      <c r="A78" s="309"/>
      <c r="B78" s="309"/>
      <c r="C78" s="309"/>
      <c r="D78" s="309"/>
      <c r="E78" s="309"/>
      <c r="F78" s="309"/>
      <c r="G78" s="309"/>
      <c r="H78" s="309"/>
      <c r="I78" s="309"/>
      <c r="J78" s="309"/>
      <c r="K78" s="1020"/>
      <c r="L78" s="1020"/>
      <c r="M78" s="309"/>
      <c r="N78" s="309"/>
      <c r="O78" s="309"/>
      <c r="P78" s="309"/>
      <c r="Q78" s="326"/>
      <c r="R78" s="326"/>
      <c r="S78" s="326"/>
      <c r="T78" s="309"/>
      <c r="U78" s="309"/>
      <c r="V78" s="309"/>
      <c r="W78" s="328"/>
      <c r="X78" s="309"/>
      <c r="Y78" s="309"/>
      <c r="Z78" s="309"/>
      <c r="AA78" s="309"/>
      <c r="AB78" s="309"/>
      <c r="AC78" s="309"/>
    </row>
    <row r="79" spans="1:29" ht="12.75" customHeight="1">
      <c r="A79" s="309"/>
      <c r="B79" s="309"/>
      <c r="C79" s="309"/>
      <c r="D79" s="309"/>
      <c r="E79" s="309"/>
      <c r="F79" s="309"/>
      <c r="G79" s="309"/>
      <c r="H79" s="309"/>
      <c r="I79" s="309"/>
      <c r="J79" s="309"/>
      <c r="K79" s="1020"/>
      <c r="L79" s="1020"/>
      <c r="M79" s="309"/>
      <c r="N79" s="309"/>
      <c r="O79" s="309"/>
      <c r="P79" s="309"/>
      <c r="Q79" s="326"/>
      <c r="R79" s="326"/>
      <c r="S79" s="326"/>
      <c r="T79" s="309"/>
      <c r="U79" s="309"/>
      <c r="V79" s="309"/>
      <c r="W79" s="328"/>
      <c r="X79" s="309"/>
      <c r="Y79" s="309"/>
      <c r="Z79" s="309"/>
      <c r="AA79" s="309"/>
      <c r="AB79" s="309"/>
      <c r="AC79" s="309"/>
    </row>
    <row r="80" spans="1:29" ht="12.75" customHeight="1">
      <c r="A80" s="309"/>
      <c r="B80" s="309"/>
      <c r="C80" s="309"/>
      <c r="D80" s="309"/>
      <c r="E80" s="309"/>
      <c r="F80" s="309"/>
      <c r="G80" s="309"/>
      <c r="H80" s="309"/>
      <c r="I80" s="309"/>
      <c r="J80" s="309"/>
      <c r="K80" s="1020"/>
      <c r="L80" s="1020"/>
      <c r="M80" s="309"/>
      <c r="N80" s="309"/>
      <c r="O80" s="309"/>
      <c r="P80" s="309"/>
      <c r="Q80" s="326"/>
      <c r="R80" s="326"/>
      <c r="S80" s="326"/>
      <c r="T80" s="309"/>
      <c r="U80" s="309"/>
      <c r="V80" s="309"/>
      <c r="W80" s="328"/>
      <c r="X80" s="309"/>
      <c r="Y80" s="309"/>
      <c r="Z80" s="309"/>
      <c r="AA80" s="309"/>
      <c r="AB80" s="309"/>
      <c r="AC80" s="309"/>
    </row>
    <row r="81" spans="1:29" ht="12.75" customHeight="1">
      <c r="A81" s="309"/>
      <c r="B81" s="309"/>
      <c r="C81" s="309"/>
      <c r="D81" s="309"/>
      <c r="E81" s="309"/>
      <c r="F81" s="309"/>
      <c r="G81" s="309"/>
      <c r="H81" s="309"/>
      <c r="I81" s="309"/>
      <c r="J81" s="309"/>
      <c r="K81" s="1020"/>
      <c r="L81" s="1020"/>
      <c r="M81" s="309"/>
      <c r="N81" s="309"/>
      <c r="O81" s="309"/>
      <c r="P81" s="309"/>
      <c r="Q81" s="326"/>
      <c r="R81" s="326"/>
      <c r="S81" s="326"/>
      <c r="T81" s="309"/>
      <c r="U81" s="309"/>
      <c r="V81" s="309"/>
      <c r="W81" s="328"/>
      <c r="X81" s="309"/>
      <c r="Y81" s="309"/>
      <c r="Z81" s="309"/>
      <c r="AA81" s="309"/>
      <c r="AB81" s="309"/>
      <c r="AC81" s="309"/>
    </row>
    <row r="82" spans="1:29" ht="12.75" customHeight="1">
      <c r="A82" s="309"/>
      <c r="B82" s="309"/>
      <c r="C82" s="309"/>
      <c r="D82" s="309"/>
      <c r="E82" s="309"/>
      <c r="F82" s="309"/>
      <c r="G82" s="309"/>
      <c r="H82" s="309"/>
      <c r="I82" s="309"/>
      <c r="J82" s="309"/>
      <c r="K82" s="1020"/>
      <c r="L82" s="1020"/>
      <c r="M82" s="309"/>
      <c r="N82" s="309"/>
      <c r="O82" s="309"/>
      <c r="P82" s="309"/>
      <c r="Q82" s="326"/>
      <c r="R82" s="326"/>
      <c r="S82" s="326"/>
      <c r="T82" s="309"/>
      <c r="U82" s="309"/>
      <c r="V82" s="309"/>
      <c r="W82" s="328"/>
      <c r="X82" s="309"/>
      <c r="Y82" s="309"/>
      <c r="Z82" s="309"/>
      <c r="AA82" s="309"/>
      <c r="AB82" s="309"/>
      <c r="AC82" s="309"/>
    </row>
    <row r="83" spans="1:29" ht="12.75" customHeight="1">
      <c r="A83" s="309"/>
      <c r="B83" s="309"/>
      <c r="C83" s="309"/>
      <c r="D83" s="309"/>
      <c r="E83" s="309"/>
      <c r="F83" s="309"/>
      <c r="G83" s="309"/>
      <c r="H83" s="309"/>
      <c r="I83" s="309"/>
      <c r="J83" s="309"/>
      <c r="K83" s="1020"/>
      <c r="L83" s="1020"/>
      <c r="M83" s="309"/>
      <c r="N83" s="309"/>
      <c r="O83" s="309"/>
      <c r="P83" s="309"/>
      <c r="Q83" s="326"/>
      <c r="R83" s="326"/>
      <c r="S83" s="326"/>
      <c r="T83" s="309"/>
      <c r="U83" s="309"/>
      <c r="V83" s="309"/>
      <c r="W83" s="328"/>
      <c r="X83" s="309"/>
      <c r="Y83" s="309"/>
      <c r="Z83" s="309"/>
      <c r="AA83" s="309"/>
      <c r="AB83" s="309"/>
      <c r="AC83" s="309"/>
    </row>
    <row r="84" spans="1:29" ht="12.75" customHeight="1">
      <c r="A84" s="309"/>
      <c r="B84" s="309"/>
      <c r="C84" s="309"/>
      <c r="D84" s="309"/>
      <c r="E84" s="309"/>
      <c r="F84" s="309"/>
      <c r="G84" s="309"/>
      <c r="H84" s="309"/>
      <c r="I84" s="309"/>
      <c r="J84" s="309"/>
      <c r="K84" s="1020"/>
      <c r="L84" s="1020"/>
      <c r="M84" s="309"/>
      <c r="N84" s="309"/>
      <c r="O84" s="309"/>
      <c r="P84" s="309"/>
      <c r="Q84" s="326"/>
      <c r="R84" s="326"/>
      <c r="S84" s="326"/>
      <c r="T84" s="309"/>
      <c r="U84" s="309"/>
      <c r="V84" s="309"/>
      <c r="W84" s="328"/>
      <c r="X84" s="309"/>
      <c r="Y84" s="309"/>
      <c r="Z84" s="309"/>
      <c r="AA84" s="309"/>
      <c r="AB84" s="309"/>
      <c r="AC84" s="309"/>
    </row>
    <row r="85" spans="1:29" ht="12.75" customHeight="1">
      <c r="A85" s="309"/>
      <c r="B85" s="309"/>
      <c r="C85" s="309"/>
      <c r="D85" s="309"/>
      <c r="E85" s="309"/>
      <c r="F85" s="309"/>
      <c r="G85" s="309"/>
      <c r="H85" s="309"/>
      <c r="I85" s="309"/>
      <c r="J85" s="309"/>
      <c r="K85" s="1020"/>
      <c r="L85" s="1020"/>
      <c r="M85" s="309"/>
      <c r="N85" s="309"/>
      <c r="O85" s="309"/>
      <c r="P85" s="309"/>
      <c r="Q85" s="326"/>
      <c r="R85" s="326"/>
      <c r="S85" s="326"/>
      <c r="T85" s="309"/>
      <c r="U85" s="309"/>
      <c r="V85" s="309"/>
      <c r="W85" s="328"/>
      <c r="X85" s="309"/>
      <c r="Y85" s="309"/>
      <c r="Z85" s="309"/>
      <c r="AA85" s="309"/>
      <c r="AB85" s="309"/>
      <c r="AC85" s="309"/>
    </row>
    <row r="86" spans="1:29" ht="12.75" customHeight="1">
      <c r="A86" s="309"/>
      <c r="B86" s="309"/>
      <c r="C86" s="309"/>
      <c r="D86" s="309"/>
      <c r="E86" s="309"/>
      <c r="F86" s="309"/>
      <c r="G86" s="309"/>
      <c r="H86" s="309"/>
      <c r="I86" s="309"/>
      <c r="J86" s="309"/>
      <c r="K86" s="1020"/>
      <c r="L86" s="1020"/>
      <c r="M86" s="309"/>
      <c r="N86" s="309"/>
      <c r="O86" s="309"/>
      <c r="P86" s="309"/>
      <c r="Q86" s="326"/>
      <c r="R86" s="326"/>
      <c r="S86" s="326"/>
      <c r="T86" s="309"/>
      <c r="U86" s="309"/>
      <c r="V86" s="309"/>
      <c r="W86" s="328"/>
      <c r="X86" s="309"/>
      <c r="Y86" s="309"/>
      <c r="Z86" s="309"/>
      <c r="AA86" s="309"/>
      <c r="AB86" s="309"/>
      <c r="AC86" s="309"/>
    </row>
    <row r="87" spans="1:29" ht="12.75" customHeight="1">
      <c r="A87" s="309"/>
      <c r="B87" s="309"/>
      <c r="C87" s="309"/>
      <c r="D87" s="309"/>
      <c r="E87" s="309"/>
      <c r="F87" s="309"/>
      <c r="G87" s="309"/>
      <c r="H87" s="309"/>
      <c r="I87" s="309"/>
      <c r="J87" s="309"/>
      <c r="K87" s="1020"/>
      <c r="L87" s="1020"/>
      <c r="M87" s="309"/>
      <c r="N87" s="309"/>
      <c r="O87" s="309"/>
      <c r="P87" s="309"/>
      <c r="Q87" s="326"/>
      <c r="R87" s="326"/>
      <c r="S87" s="326"/>
      <c r="T87" s="309"/>
      <c r="U87" s="309"/>
      <c r="V87" s="309"/>
      <c r="W87" s="328"/>
      <c r="X87" s="309"/>
      <c r="Y87" s="309"/>
      <c r="Z87" s="309"/>
      <c r="AA87" s="309"/>
      <c r="AB87" s="309"/>
      <c r="AC87" s="309"/>
    </row>
    <row r="88" spans="1:29" ht="12.75" customHeight="1">
      <c r="A88" s="309"/>
      <c r="B88" s="309"/>
      <c r="C88" s="309"/>
      <c r="D88" s="309"/>
      <c r="E88" s="309"/>
      <c r="F88" s="309"/>
      <c r="G88" s="309"/>
      <c r="H88" s="309"/>
      <c r="I88" s="309"/>
      <c r="J88" s="309"/>
      <c r="K88" s="1020"/>
      <c r="L88" s="1020"/>
      <c r="M88" s="309"/>
      <c r="N88" s="309"/>
      <c r="O88" s="309"/>
      <c r="P88" s="309"/>
      <c r="Q88" s="326"/>
      <c r="R88" s="326"/>
      <c r="S88" s="326"/>
      <c r="T88" s="309"/>
      <c r="U88" s="309"/>
      <c r="V88" s="309"/>
      <c r="W88" s="328"/>
      <c r="X88" s="309"/>
      <c r="Y88" s="309"/>
      <c r="Z88" s="309"/>
      <c r="AA88" s="309"/>
      <c r="AB88" s="309"/>
      <c r="AC88" s="309"/>
    </row>
    <row r="89" spans="1:29" ht="12.75" customHeight="1">
      <c r="A89" s="309"/>
      <c r="B89" s="309"/>
      <c r="C89" s="309"/>
      <c r="D89" s="309"/>
      <c r="E89" s="309"/>
      <c r="F89" s="309"/>
      <c r="G89" s="309"/>
      <c r="H89" s="309"/>
      <c r="I89" s="309"/>
      <c r="J89" s="309"/>
      <c r="K89" s="1020"/>
      <c r="L89" s="1020"/>
      <c r="M89" s="309"/>
      <c r="N89" s="309"/>
      <c r="O89" s="309"/>
      <c r="P89" s="309"/>
      <c r="Q89" s="326"/>
      <c r="R89" s="326"/>
      <c r="S89" s="326"/>
      <c r="T89" s="309"/>
      <c r="U89" s="309"/>
      <c r="V89" s="309"/>
      <c r="W89" s="328"/>
      <c r="X89" s="309"/>
      <c r="Y89" s="309"/>
      <c r="Z89" s="309"/>
      <c r="AA89" s="309"/>
      <c r="AB89" s="309"/>
      <c r="AC89" s="309"/>
    </row>
    <row r="90" spans="1:29" ht="12.75" customHeight="1">
      <c r="A90" s="309"/>
      <c r="B90" s="309"/>
      <c r="C90" s="309"/>
      <c r="D90" s="309"/>
      <c r="E90" s="309"/>
      <c r="F90" s="309"/>
      <c r="G90" s="309"/>
      <c r="H90" s="309"/>
      <c r="I90" s="309"/>
      <c r="J90" s="309"/>
      <c r="K90" s="1020"/>
      <c r="L90" s="1020"/>
      <c r="M90" s="309"/>
      <c r="N90" s="309"/>
      <c r="O90" s="309"/>
      <c r="P90" s="309"/>
      <c r="Q90" s="326"/>
      <c r="R90" s="326"/>
      <c r="S90" s="326"/>
      <c r="T90" s="309"/>
      <c r="U90" s="309"/>
      <c r="V90" s="309"/>
      <c r="W90" s="328"/>
      <c r="X90" s="309"/>
      <c r="Y90" s="309"/>
      <c r="Z90" s="309"/>
      <c r="AA90" s="309"/>
      <c r="AB90" s="309"/>
      <c r="AC90" s="309"/>
    </row>
    <row r="91" spans="1:29" ht="12.75" customHeight="1">
      <c r="A91" s="309"/>
      <c r="B91" s="309"/>
      <c r="C91" s="309"/>
      <c r="D91" s="309"/>
      <c r="E91" s="309"/>
      <c r="F91" s="309"/>
      <c r="G91" s="309"/>
      <c r="H91" s="309"/>
      <c r="I91" s="309"/>
      <c r="J91" s="309"/>
      <c r="K91" s="1020"/>
      <c r="L91" s="1020"/>
      <c r="M91" s="309"/>
      <c r="N91" s="309"/>
      <c r="O91" s="309"/>
      <c r="P91" s="309"/>
      <c r="Q91" s="326"/>
      <c r="R91" s="326"/>
      <c r="S91" s="326"/>
      <c r="T91" s="309"/>
      <c r="U91" s="309"/>
      <c r="V91" s="309"/>
      <c r="W91" s="328"/>
      <c r="X91" s="309"/>
      <c r="Y91" s="309"/>
      <c r="Z91" s="309"/>
      <c r="AA91" s="309"/>
      <c r="AB91" s="309"/>
      <c r="AC91" s="309"/>
    </row>
    <row r="92" spans="1:29" ht="12.75" customHeight="1">
      <c r="A92" s="309"/>
      <c r="B92" s="309"/>
      <c r="C92" s="309"/>
      <c r="D92" s="309"/>
      <c r="E92" s="309"/>
      <c r="F92" s="309"/>
      <c r="G92" s="309"/>
      <c r="H92" s="309"/>
      <c r="I92" s="309"/>
      <c r="J92" s="309"/>
      <c r="K92" s="1020"/>
      <c r="L92" s="1020"/>
      <c r="M92" s="309"/>
      <c r="N92" s="309"/>
      <c r="O92" s="309"/>
      <c r="P92" s="309"/>
      <c r="Q92" s="326"/>
      <c r="R92" s="326"/>
      <c r="S92" s="326"/>
      <c r="T92" s="309"/>
      <c r="U92" s="309"/>
      <c r="V92" s="309"/>
      <c r="W92" s="328"/>
      <c r="X92" s="309"/>
      <c r="Y92" s="309"/>
      <c r="Z92" s="309"/>
      <c r="AA92" s="309"/>
      <c r="AB92" s="309"/>
      <c r="AC92" s="309"/>
    </row>
    <row r="93" spans="1:29" ht="12.75" customHeight="1">
      <c r="A93" s="309"/>
      <c r="B93" s="309"/>
      <c r="C93" s="309"/>
      <c r="D93" s="309"/>
      <c r="E93" s="309"/>
      <c r="F93" s="309"/>
      <c r="G93" s="309"/>
      <c r="H93" s="309"/>
      <c r="I93" s="309"/>
      <c r="J93" s="309"/>
      <c r="K93" s="1020"/>
      <c r="L93" s="1020"/>
      <c r="M93" s="309"/>
      <c r="N93" s="309"/>
      <c r="O93" s="309"/>
      <c r="P93" s="309"/>
      <c r="Q93" s="326"/>
      <c r="R93" s="326"/>
      <c r="S93" s="326"/>
      <c r="T93" s="309"/>
      <c r="U93" s="309"/>
      <c r="V93" s="309"/>
      <c r="W93" s="328"/>
      <c r="X93" s="309"/>
      <c r="Y93" s="309"/>
      <c r="Z93" s="309"/>
      <c r="AA93" s="309"/>
      <c r="AB93" s="309"/>
      <c r="AC93" s="309"/>
    </row>
    <row r="94" spans="1:29" ht="12.75" customHeight="1">
      <c r="A94" s="309"/>
      <c r="B94" s="309"/>
      <c r="C94" s="309"/>
      <c r="D94" s="309"/>
      <c r="E94" s="309"/>
      <c r="F94" s="309"/>
      <c r="G94" s="309"/>
      <c r="H94" s="309"/>
      <c r="I94" s="309"/>
      <c r="J94" s="309"/>
      <c r="K94" s="1020"/>
      <c r="L94" s="1020"/>
      <c r="M94" s="309"/>
      <c r="N94" s="309"/>
      <c r="O94" s="309"/>
      <c r="P94" s="309"/>
      <c r="Q94" s="326"/>
      <c r="R94" s="326"/>
      <c r="S94" s="326"/>
      <c r="T94" s="309"/>
      <c r="U94" s="309"/>
      <c r="V94" s="309"/>
      <c r="W94" s="328"/>
      <c r="X94" s="309"/>
      <c r="Y94" s="309"/>
      <c r="Z94" s="309"/>
      <c r="AA94" s="309"/>
      <c r="AB94" s="309"/>
      <c r="AC94" s="309"/>
    </row>
    <row r="95" spans="1:29" ht="12.75" customHeight="1">
      <c r="A95" s="309"/>
      <c r="B95" s="309"/>
      <c r="C95" s="309"/>
      <c r="D95" s="309"/>
      <c r="E95" s="309"/>
      <c r="F95" s="309"/>
      <c r="G95" s="309"/>
      <c r="H95" s="309"/>
      <c r="I95" s="309"/>
      <c r="J95" s="309"/>
      <c r="K95" s="1020"/>
      <c r="L95" s="1020"/>
      <c r="M95" s="309"/>
      <c r="N95" s="309"/>
      <c r="O95" s="309"/>
      <c r="P95" s="309"/>
      <c r="Q95" s="326"/>
      <c r="R95" s="326"/>
      <c r="S95" s="326"/>
      <c r="T95" s="309"/>
      <c r="U95" s="309"/>
      <c r="V95" s="309"/>
      <c r="W95" s="328"/>
      <c r="X95" s="309"/>
      <c r="Y95" s="309"/>
      <c r="Z95" s="309"/>
      <c r="AA95" s="309"/>
      <c r="AB95" s="309"/>
      <c r="AC95" s="309"/>
    </row>
    <row r="96" spans="1:29" ht="12.75" customHeight="1">
      <c r="A96" s="309"/>
      <c r="B96" s="309"/>
      <c r="C96" s="309"/>
      <c r="D96" s="309"/>
      <c r="E96" s="309"/>
      <c r="F96" s="309"/>
      <c r="G96" s="309"/>
      <c r="H96" s="309"/>
      <c r="I96" s="309"/>
      <c r="J96" s="309"/>
      <c r="K96" s="1020"/>
      <c r="L96" s="1020"/>
      <c r="M96" s="309"/>
      <c r="N96" s="309"/>
      <c r="O96" s="309"/>
      <c r="P96" s="309"/>
      <c r="Q96" s="326"/>
      <c r="R96" s="326"/>
      <c r="S96" s="326"/>
      <c r="T96" s="309"/>
      <c r="U96" s="309"/>
      <c r="V96" s="309"/>
      <c r="W96" s="328"/>
      <c r="X96" s="309"/>
      <c r="Y96" s="309"/>
      <c r="Z96" s="309"/>
      <c r="AA96" s="309"/>
      <c r="AB96" s="309"/>
      <c r="AC96" s="309"/>
    </row>
    <row r="97" spans="1:29" ht="12.75" customHeight="1">
      <c r="A97" s="309"/>
      <c r="B97" s="309"/>
      <c r="C97" s="309"/>
      <c r="D97" s="309"/>
      <c r="E97" s="309"/>
      <c r="F97" s="309"/>
      <c r="G97" s="309"/>
      <c r="H97" s="309"/>
      <c r="I97" s="309"/>
      <c r="J97" s="309"/>
      <c r="K97" s="1020"/>
      <c r="L97" s="1020"/>
      <c r="M97" s="309"/>
      <c r="N97" s="309"/>
      <c r="O97" s="309"/>
      <c r="P97" s="309"/>
      <c r="Q97" s="326"/>
      <c r="R97" s="326"/>
      <c r="S97" s="326"/>
      <c r="T97" s="309"/>
      <c r="U97" s="309"/>
      <c r="V97" s="309"/>
      <c r="W97" s="328"/>
      <c r="X97" s="309"/>
      <c r="Y97" s="309"/>
      <c r="Z97" s="309"/>
      <c r="AA97" s="309"/>
      <c r="AB97" s="309"/>
      <c r="AC97" s="309"/>
    </row>
    <row r="98" spans="1:29" ht="12.75" customHeight="1">
      <c r="A98" s="309"/>
      <c r="B98" s="309"/>
      <c r="C98" s="309"/>
      <c r="D98" s="309"/>
      <c r="E98" s="309"/>
      <c r="F98" s="309"/>
      <c r="G98" s="309"/>
      <c r="H98" s="309"/>
      <c r="I98" s="309"/>
      <c r="J98" s="309"/>
      <c r="K98" s="1020"/>
      <c r="L98" s="1020"/>
      <c r="M98" s="309"/>
      <c r="N98" s="309"/>
      <c r="O98" s="309"/>
      <c r="P98" s="309"/>
      <c r="Q98" s="326"/>
      <c r="R98" s="326"/>
      <c r="S98" s="326"/>
      <c r="T98" s="309"/>
      <c r="U98" s="309"/>
      <c r="V98" s="309"/>
      <c r="W98" s="328"/>
      <c r="X98" s="309"/>
      <c r="Y98" s="309"/>
      <c r="Z98" s="309"/>
      <c r="AA98" s="309"/>
      <c r="AB98" s="309"/>
      <c r="AC98" s="309"/>
    </row>
    <row r="99" spans="1:29" ht="12.75" customHeight="1">
      <c r="A99" s="309"/>
      <c r="B99" s="309"/>
      <c r="C99" s="309"/>
      <c r="D99" s="309"/>
      <c r="E99" s="309"/>
      <c r="F99" s="309"/>
      <c r="G99" s="309"/>
      <c r="H99" s="309"/>
      <c r="I99" s="309"/>
      <c r="J99" s="309"/>
      <c r="K99" s="1020"/>
      <c r="L99" s="1020"/>
      <c r="M99" s="309"/>
      <c r="N99" s="309"/>
      <c r="O99" s="309"/>
      <c r="P99" s="309"/>
      <c r="Q99" s="326"/>
      <c r="R99" s="326"/>
      <c r="S99" s="326"/>
      <c r="T99" s="309"/>
      <c r="U99" s="309"/>
      <c r="V99" s="309"/>
      <c r="W99" s="328"/>
      <c r="X99" s="309"/>
      <c r="Y99" s="309"/>
      <c r="Z99" s="309"/>
      <c r="AA99" s="309"/>
      <c r="AB99" s="309"/>
      <c r="AC99" s="309"/>
    </row>
    <row r="100" spans="1:29" ht="12.75" customHeight="1">
      <c r="A100" s="309"/>
      <c r="B100" s="309"/>
      <c r="C100" s="309"/>
      <c r="D100" s="309"/>
      <c r="E100" s="309"/>
      <c r="F100" s="309"/>
      <c r="G100" s="309"/>
      <c r="H100" s="309"/>
      <c r="I100" s="309"/>
      <c r="J100" s="309"/>
      <c r="K100" s="1020"/>
      <c r="L100" s="1020"/>
      <c r="M100" s="309"/>
      <c r="N100" s="309"/>
      <c r="O100" s="309"/>
      <c r="P100" s="309"/>
      <c r="Q100" s="326"/>
      <c r="R100" s="326"/>
      <c r="S100" s="326"/>
      <c r="T100" s="309"/>
      <c r="U100" s="309"/>
      <c r="V100" s="309"/>
      <c r="W100" s="328"/>
      <c r="X100" s="309"/>
      <c r="Y100" s="309"/>
      <c r="Z100" s="309"/>
      <c r="AA100" s="309"/>
      <c r="AB100" s="309"/>
      <c r="AC100" s="309"/>
    </row>
    <row r="101" spans="1:29" ht="12.75" customHeight="1">
      <c r="A101" s="309"/>
      <c r="B101" s="309"/>
      <c r="C101" s="309"/>
      <c r="D101" s="309"/>
      <c r="E101" s="309"/>
      <c r="F101" s="309"/>
      <c r="G101" s="309"/>
      <c r="H101" s="309"/>
      <c r="I101" s="309"/>
      <c r="J101" s="309"/>
      <c r="K101" s="1020"/>
      <c r="L101" s="1020"/>
      <c r="M101" s="309"/>
      <c r="N101" s="309"/>
      <c r="O101" s="309"/>
      <c r="P101" s="309"/>
      <c r="Q101" s="326"/>
      <c r="R101" s="326"/>
      <c r="S101" s="326"/>
      <c r="T101" s="309"/>
      <c r="U101" s="309"/>
      <c r="V101" s="309"/>
      <c r="W101" s="328"/>
      <c r="X101" s="309"/>
      <c r="Y101" s="309"/>
      <c r="Z101" s="309"/>
      <c r="AA101" s="309"/>
      <c r="AB101" s="309"/>
      <c r="AC101" s="309"/>
    </row>
    <row r="102" spans="1:29" ht="12.75" customHeight="1">
      <c r="A102" s="309"/>
      <c r="B102" s="309"/>
      <c r="C102" s="309"/>
      <c r="D102" s="309"/>
      <c r="E102" s="309"/>
      <c r="F102" s="309"/>
      <c r="G102" s="309"/>
      <c r="H102" s="309"/>
      <c r="I102" s="309"/>
      <c r="J102" s="309"/>
      <c r="K102" s="1020"/>
      <c r="L102" s="1020"/>
      <c r="M102" s="309"/>
      <c r="N102" s="309"/>
      <c r="O102" s="309"/>
      <c r="P102" s="309"/>
      <c r="Q102" s="326"/>
      <c r="R102" s="326"/>
      <c r="S102" s="326"/>
      <c r="T102" s="309"/>
      <c r="U102" s="309"/>
      <c r="V102" s="309"/>
      <c r="W102" s="328"/>
      <c r="X102" s="309"/>
      <c r="Y102" s="309"/>
      <c r="Z102" s="309"/>
      <c r="AA102" s="309"/>
      <c r="AB102" s="309"/>
      <c r="AC102" s="309"/>
    </row>
    <row r="103" spans="1:29" ht="12.75" customHeight="1">
      <c r="A103" s="309"/>
      <c r="B103" s="309"/>
      <c r="C103" s="309"/>
      <c r="D103" s="309"/>
      <c r="E103" s="309"/>
      <c r="F103" s="309"/>
      <c r="G103" s="309"/>
      <c r="H103" s="309"/>
      <c r="I103" s="309"/>
      <c r="J103" s="309"/>
      <c r="K103" s="1020"/>
      <c r="L103" s="1020"/>
      <c r="M103" s="309"/>
      <c r="N103" s="309"/>
      <c r="O103" s="309"/>
      <c r="P103" s="309"/>
      <c r="Q103" s="326"/>
      <c r="R103" s="326"/>
      <c r="S103" s="326"/>
      <c r="T103" s="309"/>
      <c r="U103" s="309"/>
      <c r="V103" s="309"/>
      <c r="W103" s="328"/>
      <c r="X103" s="309"/>
      <c r="Y103" s="309"/>
      <c r="Z103" s="309"/>
      <c r="AA103" s="309"/>
      <c r="AB103" s="309"/>
      <c r="AC103" s="309"/>
    </row>
    <row r="104" spans="1:29" ht="12.75" customHeight="1">
      <c r="A104" s="309"/>
      <c r="B104" s="309"/>
      <c r="C104" s="309"/>
      <c r="D104" s="309"/>
      <c r="E104" s="309"/>
      <c r="F104" s="309"/>
      <c r="G104" s="309"/>
      <c r="H104" s="309"/>
      <c r="I104" s="309"/>
      <c r="J104" s="309"/>
      <c r="K104" s="1020"/>
      <c r="L104" s="1020"/>
      <c r="M104" s="309"/>
      <c r="N104" s="309"/>
      <c r="O104" s="309"/>
      <c r="P104" s="309"/>
      <c r="Q104" s="326"/>
      <c r="R104" s="326"/>
      <c r="S104" s="326"/>
      <c r="T104" s="309"/>
      <c r="U104" s="309"/>
      <c r="V104" s="309"/>
      <c r="W104" s="328"/>
      <c r="X104" s="309"/>
      <c r="Y104" s="309"/>
      <c r="Z104" s="309"/>
      <c r="AA104" s="309"/>
      <c r="AB104" s="309"/>
      <c r="AC104" s="309"/>
    </row>
    <row r="105" spans="1:29" ht="12.75" customHeight="1">
      <c r="A105" s="309"/>
      <c r="B105" s="309"/>
      <c r="C105" s="309"/>
      <c r="D105" s="309"/>
      <c r="E105" s="309"/>
      <c r="F105" s="309"/>
      <c r="G105" s="309"/>
      <c r="H105" s="309"/>
      <c r="I105" s="309"/>
      <c r="J105" s="309"/>
      <c r="K105" s="1020"/>
      <c r="L105" s="1020"/>
      <c r="M105" s="309"/>
      <c r="N105" s="309"/>
      <c r="O105" s="309"/>
      <c r="P105" s="309"/>
      <c r="Q105" s="326"/>
      <c r="R105" s="326"/>
      <c r="S105" s="326"/>
      <c r="T105" s="309"/>
      <c r="U105" s="309"/>
      <c r="V105" s="309"/>
      <c r="W105" s="328"/>
      <c r="X105" s="309"/>
      <c r="Y105" s="309"/>
      <c r="Z105" s="309"/>
      <c r="AA105" s="309"/>
      <c r="AB105" s="309"/>
      <c r="AC105" s="309"/>
    </row>
    <row r="106" spans="1:29" ht="12.75" customHeight="1">
      <c r="A106" s="309"/>
      <c r="B106" s="309"/>
      <c r="C106" s="309"/>
      <c r="D106" s="309"/>
      <c r="E106" s="309"/>
      <c r="F106" s="309"/>
      <c r="G106" s="309"/>
      <c r="H106" s="309"/>
      <c r="I106" s="309"/>
      <c r="J106" s="309"/>
      <c r="K106" s="1020"/>
      <c r="L106" s="1020"/>
      <c r="M106" s="309"/>
      <c r="N106" s="309"/>
      <c r="O106" s="309"/>
      <c r="P106" s="309"/>
      <c r="Q106" s="326"/>
      <c r="R106" s="326"/>
      <c r="S106" s="326"/>
      <c r="T106" s="309"/>
      <c r="U106" s="309"/>
      <c r="V106" s="309"/>
      <c r="W106" s="328"/>
      <c r="X106" s="309"/>
      <c r="Y106" s="309"/>
      <c r="Z106" s="309"/>
      <c r="AA106" s="309"/>
      <c r="AB106" s="309"/>
      <c r="AC106" s="309"/>
    </row>
    <row r="107" spans="1:29" ht="12.75" customHeight="1">
      <c r="A107" s="309"/>
      <c r="B107" s="309"/>
      <c r="C107" s="309"/>
      <c r="D107" s="309"/>
      <c r="E107" s="309"/>
      <c r="F107" s="309"/>
      <c r="G107" s="309"/>
      <c r="H107" s="309"/>
      <c r="I107" s="309"/>
      <c r="J107" s="309"/>
      <c r="K107" s="1020"/>
      <c r="L107" s="1020"/>
      <c r="M107" s="309"/>
      <c r="N107" s="309"/>
      <c r="O107" s="309"/>
      <c r="P107" s="309"/>
      <c r="Q107" s="326"/>
      <c r="R107" s="326"/>
      <c r="S107" s="326"/>
      <c r="T107" s="309"/>
      <c r="U107" s="309"/>
      <c r="V107" s="309"/>
      <c r="W107" s="328"/>
      <c r="X107" s="309"/>
      <c r="Y107" s="309"/>
      <c r="Z107" s="309"/>
      <c r="AA107" s="309"/>
      <c r="AB107" s="309"/>
      <c r="AC107" s="309"/>
    </row>
    <row r="108" spans="1:29" ht="12.75" customHeight="1">
      <c r="A108" s="309"/>
      <c r="B108" s="309"/>
      <c r="C108" s="309"/>
      <c r="D108" s="309"/>
      <c r="E108" s="309"/>
      <c r="F108" s="309"/>
      <c r="G108" s="309"/>
      <c r="H108" s="309"/>
      <c r="I108" s="309"/>
      <c r="J108" s="309"/>
      <c r="K108" s="1020"/>
      <c r="L108" s="1020"/>
      <c r="M108" s="309"/>
      <c r="N108" s="309"/>
      <c r="O108" s="309"/>
      <c r="P108" s="309"/>
      <c r="Q108" s="326"/>
      <c r="R108" s="326"/>
      <c r="S108" s="326"/>
      <c r="T108" s="309"/>
      <c r="U108" s="309"/>
      <c r="V108" s="309"/>
      <c r="W108" s="328"/>
      <c r="X108" s="309"/>
      <c r="Y108" s="309"/>
      <c r="Z108" s="309"/>
      <c r="AA108" s="309"/>
      <c r="AB108" s="309"/>
      <c r="AC108" s="309"/>
    </row>
    <row r="109" spans="1:29" ht="12.75" customHeight="1">
      <c r="A109" s="309"/>
      <c r="B109" s="309"/>
      <c r="C109" s="309"/>
      <c r="D109" s="309"/>
      <c r="E109" s="309"/>
      <c r="F109" s="309"/>
      <c r="G109" s="309"/>
      <c r="H109" s="309"/>
      <c r="I109" s="309"/>
      <c r="J109" s="309"/>
      <c r="K109" s="1020"/>
      <c r="L109" s="1020"/>
      <c r="M109" s="309"/>
      <c r="N109" s="309"/>
      <c r="O109" s="309"/>
      <c r="P109" s="309"/>
      <c r="Q109" s="326"/>
      <c r="R109" s="326"/>
      <c r="S109" s="326"/>
      <c r="T109" s="309"/>
      <c r="U109" s="309"/>
      <c r="V109" s="309"/>
      <c r="W109" s="328"/>
      <c r="X109" s="309"/>
      <c r="Y109" s="309"/>
      <c r="Z109" s="309"/>
      <c r="AA109" s="309"/>
      <c r="AB109" s="309"/>
      <c r="AC109" s="309"/>
    </row>
    <row r="110" spans="1:29" ht="12.75" customHeight="1">
      <c r="A110" s="309"/>
      <c r="B110" s="309"/>
      <c r="C110" s="309"/>
      <c r="D110" s="309"/>
      <c r="E110" s="309"/>
      <c r="F110" s="309"/>
      <c r="G110" s="309"/>
      <c r="H110" s="309"/>
      <c r="I110" s="309"/>
      <c r="J110" s="309"/>
      <c r="K110" s="1020"/>
      <c r="L110" s="1020"/>
      <c r="M110" s="309"/>
      <c r="N110" s="309"/>
      <c r="O110" s="309"/>
      <c r="P110" s="309"/>
      <c r="Q110" s="326"/>
      <c r="R110" s="326"/>
      <c r="S110" s="326"/>
      <c r="T110" s="309"/>
      <c r="U110" s="309"/>
      <c r="V110" s="309"/>
      <c r="W110" s="328"/>
      <c r="X110" s="309"/>
      <c r="Y110" s="309"/>
      <c r="Z110" s="309"/>
      <c r="AA110" s="309"/>
      <c r="AB110" s="309"/>
      <c r="AC110" s="309"/>
    </row>
    <row r="111" spans="1:29" ht="12.75" customHeight="1">
      <c r="A111" s="309"/>
      <c r="B111" s="309"/>
      <c r="C111" s="309"/>
      <c r="D111" s="309"/>
      <c r="E111" s="309"/>
      <c r="F111" s="309"/>
      <c r="G111" s="309"/>
      <c r="H111" s="309"/>
      <c r="I111" s="309"/>
      <c r="J111" s="309"/>
      <c r="K111" s="1020"/>
      <c r="L111" s="1020"/>
      <c r="M111" s="309"/>
      <c r="N111" s="309"/>
      <c r="O111" s="309"/>
      <c r="P111" s="309"/>
      <c r="Q111" s="326"/>
      <c r="R111" s="326"/>
      <c r="S111" s="326"/>
      <c r="T111" s="309"/>
      <c r="U111" s="309"/>
      <c r="V111" s="309"/>
      <c r="W111" s="328"/>
      <c r="X111" s="309"/>
      <c r="Y111" s="309"/>
      <c r="Z111" s="309"/>
      <c r="AA111" s="309"/>
      <c r="AB111" s="309"/>
      <c r="AC111" s="309"/>
    </row>
    <row r="112" spans="1:29" ht="12.75" customHeight="1">
      <c r="A112" s="309"/>
      <c r="B112" s="309"/>
      <c r="C112" s="309"/>
      <c r="D112" s="309"/>
      <c r="E112" s="309"/>
      <c r="F112" s="309"/>
      <c r="G112" s="309"/>
      <c r="H112" s="309"/>
      <c r="I112" s="309"/>
      <c r="J112" s="309"/>
      <c r="K112" s="1020"/>
      <c r="L112" s="1020"/>
      <c r="M112" s="309"/>
      <c r="N112" s="309"/>
      <c r="O112" s="309"/>
      <c r="P112" s="309"/>
      <c r="Q112" s="326"/>
      <c r="R112" s="326"/>
      <c r="S112" s="326"/>
      <c r="T112" s="309"/>
      <c r="U112" s="309"/>
      <c r="V112" s="309"/>
      <c r="W112" s="328"/>
      <c r="X112" s="309"/>
      <c r="Y112" s="309"/>
      <c r="Z112" s="309"/>
      <c r="AA112" s="309"/>
      <c r="AB112" s="309"/>
      <c r="AC112" s="309"/>
    </row>
    <row r="113" spans="1:29" ht="12.75" customHeight="1">
      <c r="A113" s="309"/>
      <c r="B113" s="309"/>
      <c r="C113" s="309"/>
      <c r="D113" s="309"/>
      <c r="E113" s="309"/>
      <c r="F113" s="309"/>
      <c r="G113" s="309"/>
      <c r="H113" s="309"/>
      <c r="I113" s="309"/>
      <c r="J113" s="309"/>
      <c r="K113" s="1020"/>
      <c r="L113" s="1020"/>
      <c r="M113" s="309"/>
      <c r="N113" s="309"/>
      <c r="O113" s="309"/>
      <c r="P113" s="309"/>
      <c r="Q113" s="326"/>
      <c r="R113" s="326"/>
      <c r="S113" s="326"/>
      <c r="T113" s="309"/>
      <c r="U113" s="309"/>
      <c r="V113" s="309"/>
      <c r="W113" s="328"/>
      <c r="X113" s="309"/>
      <c r="Y113" s="309"/>
      <c r="Z113" s="309"/>
      <c r="AA113" s="309"/>
      <c r="AB113" s="309"/>
      <c r="AC113" s="309"/>
    </row>
    <row r="114" spans="1:29" ht="12.75" customHeight="1">
      <c r="A114" s="309"/>
      <c r="B114" s="309"/>
      <c r="C114" s="309"/>
      <c r="D114" s="309"/>
      <c r="E114" s="309"/>
      <c r="F114" s="309"/>
      <c r="G114" s="309"/>
      <c r="H114" s="309"/>
      <c r="I114" s="309"/>
      <c r="J114" s="309"/>
      <c r="K114" s="1020"/>
      <c r="L114" s="1020"/>
      <c r="M114" s="309"/>
      <c r="N114" s="309"/>
      <c r="O114" s="309"/>
      <c r="P114" s="309"/>
      <c r="Q114" s="326"/>
      <c r="R114" s="326"/>
      <c r="S114" s="326"/>
      <c r="T114" s="309"/>
      <c r="U114" s="309"/>
      <c r="V114" s="309"/>
      <c r="W114" s="328"/>
      <c r="X114" s="309"/>
      <c r="Y114" s="309"/>
      <c r="Z114" s="309"/>
      <c r="AA114" s="309"/>
      <c r="AB114" s="309"/>
      <c r="AC114" s="309"/>
    </row>
    <row r="115" spans="1:29" ht="12.75" customHeight="1">
      <c r="A115" s="309"/>
      <c r="B115" s="309"/>
      <c r="C115" s="309"/>
      <c r="D115" s="309"/>
      <c r="E115" s="309"/>
      <c r="F115" s="309"/>
      <c r="G115" s="309"/>
      <c r="H115" s="309"/>
      <c r="I115" s="309"/>
      <c r="J115" s="309"/>
      <c r="K115" s="1020"/>
      <c r="L115" s="1020"/>
      <c r="M115" s="309"/>
      <c r="N115" s="309"/>
      <c r="O115" s="309"/>
      <c r="P115" s="309"/>
      <c r="Q115" s="326"/>
      <c r="R115" s="326"/>
      <c r="S115" s="326"/>
      <c r="T115" s="309"/>
      <c r="U115" s="309"/>
      <c r="V115" s="309"/>
      <c r="W115" s="328"/>
      <c r="X115" s="309"/>
      <c r="Y115" s="309"/>
      <c r="Z115" s="309"/>
      <c r="AA115" s="309"/>
      <c r="AB115" s="309"/>
      <c r="AC115" s="309"/>
    </row>
    <row r="116" spans="1:29" ht="12.75" customHeight="1">
      <c r="A116" s="309"/>
      <c r="B116" s="309"/>
      <c r="C116" s="309"/>
      <c r="D116" s="309"/>
      <c r="E116" s="309"/>
      <c r="F116" s="309"/>
      <c r="G116" s="309"/>
      <c r="H116" s="309"/>
      <c r="I116" s="309"/>
      <c r="J116" s="309"/>
      <c r="K116" s="1020"/>
      <c r="L116" s="1020"/>
      <c r="M116" s="309"/>
      <c r="N116" s="309"/>
      <c r="O116" s="309"/>
      <c r="P116" s="309"/>
      <c r="Q116" s="326"/>
      <c r="R116" s="326"/>
      <c r="S116" s="326"/>
      <c r="T116" s="309"/>
      <c r="U116" s="309"/>
      <c r="V116" s="309"/>
      <c r="W116" s="328"/>
      <c r="X116" s="309"/>
      <c r="Y116" s="309"/>
      <c r="Z116" s="309"/>
      <c r="AA116" s="309"/>
      <c r="AB116" s="309"/>
      <c r="AC116" s="309"/>
    </row>
    <row r="117" spans="1:29" ht="12.75" customHeight="1">
      <c r="A117" s="309"/>
      <c r="B117" s="309"/>
      <c r="C117" s="309"/>
      <c r="D117" s="309"/>
      <c r="E117" s="309"/>
      <c r="F117" s="309"/>
      <c r="G117" s="309"/>
      <c r="H117" s="309"/>
      <c r="I117" s="309"/>
      <c r="J117" s="309"/>
      <c r="K117" s="1020"/>
      <c r="L117" s="1020"/>
      <c r="M117" s="309"/>
      <c r="N117" s="309"/>
      <c r="O117" s="309"/>
      <c r="P117" s="309"/>
      <c r="Q117" s="326"/>
      <c r="R117" s="326"/>
      <c r="S117" s="326"/>
      <c r="T117" s="309"/>
      <c r="U117" s="309"/>
      <c r="V117" s="309"/>
      <c r="W117" s="328"/>
      <c r="X117" s="309"/>
      <c r="Y117" s="309"/>
      <c r="Z117" s="309"/>
      <c r="AA117" s="309"/>
      <c r="AB117" s="309"/>
      <c r="AC117" s="309"/>
    </row>
    <row r="118" spans="1:29" ht="12.75" customHeight="1">
      <c r="A118" s="309"/>
      <c r="B118" s="309"/>
      <c r="C118" s="309"/>
      <c r="D118" s="309"/>
      <c r="E118" s="309"/>
      <c r="F118" s="309"/>
      <c r="G118" s="309"/>
      <c r="H118" s="309"/>
      <c r="I118" s="309"/>
      <c r="J118" s="309"/>
      <c r="K118" s="1020"/>
      <c r="L118" s="1020"/>
      <c r="M118" s="309"/>
      <c r="N118" s="309"/>
      <c r="O118" s="309"/>
      <c r="P118" s="309"/>
      <c r="Q118" s="326"/>
      <c r="R118" s="326"/>
      <c r="S118" s="326"/>
      <c r="T118" s="309"/>
      <c r="U118" s="309"/>
      <c r="V118" s="309"/>
      <c r="W118" s="328"/>
      <c r="X118" s="309"/>
      <c r="Y118" s="309"/>
      <c r="Z118" s="309"/>
      <c r="AA118" s="309"/>
      <c r="AB118" s="309"/>
      <c r="AC118" s="309"/>
    </row>
    <row r="119" spans="1:29" ht="12.75" customHeight="1">
      <c r="A119" s="309"/>
      <c r="B119" s="309"/>
      <c r="C119" s="309"/>
      <c r="D119" s="309"/>
      <c r="E119" s="309"/>
      <c r="F119" s="309"/>
      <c r="G119" s="309"/>
      <c r="H119" s="309"/>
      <c r="I119" s="309"/>
      <c r="J119" s="309"/>
      <c r="K119" s="1020"/>
      <c r="L119" s="1020"/>
      <c r="M119" s="309"/>
      <c r="N119" s="309"/>
      <c r="O119" s="309"/>
      <c r="P119" s="309"/>
      <c r="Q119" s="326"/>
      <c r="R119" s="326"/>
      <c r="S119" s="326"/>
      <c r="T119" s="309"/>
      <c r="U119" s="309"/>
      <c r="V119" s="309"/>
      <c r="W119" s="328"/>
      <c r="X119" s="309"/>
      <c r="Y119" s="309"/>
      <c r="Z119" s="309"/>
      <c r="AA119" s="309"/>
      <c r="AB119" s="309"/>
      <c r="AC119" s="309"/>
    </row>
    <row r="120" spans="1:29" ht="12.75" customHeight="1">
      <c r="A120" s="309"/>
      <c r="B120" s="309"/>
      <c r="C120" s="309"/>
      <c r="D120" s="309"/>
      <c r="E120" s="309"/>
      <c r="F120" s="309"/>
      <c r="G120" s="309"/>
      <c r="H120" s="309"/>
      <c r="I120" s="309"/>
      <c r="J120" s="309"/>
      <c r="K120" s="1020"/>
      <c r="L120" s="1020"/>
      <c r="M120" s="309"/>
      <c r="N120" s="309"/>
      <c r="O120" s="309"/>
      <c r="P120" s="309"/>
      <c r="Q120" s="326"/>
      <c r="R120" s="326"/>
      <c r="S120" s="326"/>
      <c r="T120" s="309"/>
      <c r="U120" s="309"/>
      <c r="V120" s="309"/>
      <c r="W120" s="328"/>
      <c r="X120" s="309"/>
      <c r="Y120" s="309"/>
      <c r="Z120" s="309"/>
      <c r="AA120" s="309"/>
      <c r="AB120" s="309"/>
      <c r="AC120" s="309"/>
    </row>
    <row r="121" spans="1:29" ht="12.75" customHeight="1">
      <c r="A121" s="309"/>
      <c r="B121" s="309"/>
      <c r="C121" s="309"/>
      <c r="D121" s="309"/>
      <c r="E121" s="309"/>
      <c r="F121" s="309"/>
      <c r="G121" s="309"/>
      <c r="H121" s="309"/>
      <c r="I121" s="309"/>
      <c r="J121" s="309"/>
      <c r="K121" s="1020"/>
      <c r="L121" s="1020"/>
      <c r="M121" s="309"/>
      <c r="N121" s="309"/>
      <c r="O121" s="309"/>
      <c r="P121" s="309"/>
      <c r="Q121" s="326"/>
      <c r="R121" s="326"/>
      <c r="S121" s="326"/>
      <c r="T121" s="309"/>
      <c r="U121" s="309"/>
      <c r="V121" s="309"/>
      <c r="W121" s="328"/>
      <c r="X121" s="309"/>
      <c r="Y121" s="309"/>
      <c r="Z121" s="309"/>
      <c r="AA121" s="309"/>
      <c r="AB121" s="309"/>
      <c r="AC121" s="309"/>
    </row>
    <row r="122" spans="1:29" ht="12.75" customHeight="1">
      <c r="A122" s="309"/>
      <c r="B122" s="309"/>
      <c r="C122" s="309"/>
      <c r="D122" s="309"/>
      <c r="E122" s="309"/>
      <c r="F122" s="309"/>
      <c r="G122" s="309"/>
      <c r="H122" s="309"/>
      <c r="I122" s="309"/>
      <c r="J122" s="309"/>
      <c r="K122" s="1020"/>
      <c r="L122" s="1020"/>
      <c r="M122" s="309"/>
      <c r="N122" s="309"/>
      <c r="O122" s="309"/>
      <c r="P122" s="309"/>
      <c r="Q122" s="326"/>
      <c r="R122" s="326"/>
      <c r="S122" s="326"/>
      <c r="T122" s="309"/>
      <c r="U122" s="309"/>
      <c r="V122" s="309"/>
      <c r="W122" s="328"/>
      <c r="X122" s="309"/>
      <c r="Y122" s="309"/>
      <c r="Z122" s="309"/>
      <c r="AA122" s="309"/>
      <c r="AB122" s="309"/>
      <c r="AC122" s="309"/>
    </row>
    <row r="123" spans="1:29" ht="12.75" customHeight="1">
      <c r="A123" s="309"/>
      <c r="B123" s="309"/>
      <c r="C123" s="309"/>
      <c r="D123" s="309"/>
      <c r="E123" s="309"/>
      <c r="F123" s="309"/>
      <c r="G123" s="309"/>
      <c r="H123" s="309"/>
      <c r="I123" s="309"/>
      <c r="J123" s="309"/>
      <c r="K123" s="1020"/>
      <c r="L123" s="1020"/>
      <c r="M123" s="309"/>
      <c r="N123" s="309"/>
      <c r="O123" s="309"/>
      <c r="P123" s="309"/>
      <c r="Q123" s="326"/>
      <c r="R123" s="326"/>
      <c r="S123" s="326"/>
      <c r="T123" s="309"/>
      <c r="U123" s="309"/>
      <c r="V123" s="309"/>
      <c r="W123" s="328"/>
      <c r="X123" s="309"/>
      <c r="Y123" s="309"/>
      <c r="Z123" s="309"/>
      <c r="AA123" s="309"/>
      <c r="AB123" s="309"/>
      <c r="AC123" s="309"/>
    </row>
    <row r="124" spans="1:29" ht="12.75" customHeight="1">
      <c r="A124" s="309"/>
      <c r="B124" s="309"/>
      <c r="C124" s="309"/>
      <c r="D124" s="309"/>
      <c r="E124" s="309"/>
      <c r="F124" s="309"/>
      <c r="G124" s="309"/>
      <c r="H124" s="309"/>
      <c r="I124" s="309"/>
      <c r="J124" s="309"/>
      <c r="K124" s="1020"/>
      <c r="L124" s="1020"/>
      <c r="M124" s="309"/>
      <c r="N124" s="309"/>
      <c r="O124" s="309"/>
      <c r="P124" s="309"/>
      <c r="Q124" s="326"/>
      <c r="R124" s="326"/>
      <c r="S124" s="326"/>
      <c r="T124" s="309"/>
      <c r="U124" s="309"/>
      <c r="V124" s="309"/>
      <c r="W124" s="328"/>
      <c r="X124" s="309"/>
      <c r="Y124" s="309"/>
      <c r="Z124" s="309"/>
      <c r="AA124" s="309"/>
      <c r="AB124" s="309"/>
      <c r="AC124" s="309"/>
    </row>
    <row r="125" spans="1:29" ht="12.75" customHeight="1">
      <c r="A125" s="309"/>
      <c r="B125" s="309"/>
      <c r="C125" s="309"/>
      <c r="D125" s="309"/>
      <c r="E125" s="309"/>
      <c r="F125" s="309"/>
      <c r="G125" s="309"/>
      <c r="H125" s="309"/>
      <c r="I125" s="309"/>
      <c r="J125" s="309"/>
      <c r="K125" s="1020"/>
      <c r="L125" s="1020"/>
      <c r="M125" s="309"/>
      <c r="N125" s="309"/>
      <c r="O125" s="309"/>
      <c r="P125" s="309"/>
      <c r="Q125" s="326"/>
      <c r="R125" s="326"/>
      <c r="S125" s="326"/>
      <c r="T125" s="309"/>
      <c r="U125" s="309"/>
      <c r="V125" s="309"/>
      <c r="W125" s="328"/>
      <c r="X125" s="309"/>
      <c r="Y125" s="309"/>
      <c r="Z125" s="309"/>
      <c r="AA125" s="309"/>
      <c r="AB125" s="309"/>
      <c r="AC125" s="309"/>
    </row>
    <row r="126" spans="1:29" ht="12.75" customHeight="1">
      <c r="A126" s="309"/>
      <c r="B126" s="309"/>
      <c r="C126" s="309"/>
      <c r="D126" s="309"/>
      <c r="E126" s="309"/>
      <c r="F126" s="309"/>
      <c r="G126" s="309"/>
      <c r="H126" s="309"/>
      <c r="I126" s="309"/>
      <c r="J126" s="309"/>
      <c r="K126" s="1020"/>
      <c r="L126" s="1020"/>
      <c r="M126" s="309"/>
      <c r="N126" s="309"/>
      <c r="O126" s="309"/>
      <c r="P126" s="309"/>
      <c r="Q126" s="326"/>
      <c r="R126" s="326"/>
      <c r="S126" s="326"/>
      <c r="T126" s="309"/>
      <c r="U126" s="309"/>
      <c r="V126" s="309"/>
      <c r="W126" s="328"/>
      <c r="X126" s="309"/>
      <c r="Y126" s="309"/>
      <c r="Z126" s="309"/>
      <c r="AA126" s="309"/>
      <c r="AB126" s="309"/>
      <c r="AC126" s="309"/>
    </row>
    <row r="127" spans="1:29" ht="12.75" customHeight="1">
      <c r="A127" s="309"/>
      <c r="B127" s="309"/>
      <c r="C127" s="309"/>
      <c r="D127" s="309"/>
      <c r="E127" s="309"/>
      <c r="F127" s="309"/>
      <c r="G127" s="309"/>
      <c r="H127" s="309"/>
      <c r="I127" s="309"/>
      <c r="J127" s="309"/>
      <c r="K127" s="1020"/>
      <c r="L127" s="1020"/>
      <c r="M127" s="309"/>
      <c r="N127" s="309"/>
      <c r="O127" s="309"/>
      <c r="P127" s="309"/>
      <c r="Q127" s="326"/>
      <c r="R127" s="326"/>
      <c r="S127" s="326"/>
      <c r="T127" s="309"/>
      <c r="U127" s="309"/>
      <c r="V127" s="309"/>
      <c r="W127" s="328"/>
      <c r="X127" s="309"/>
      <c r="Y127" s="309"/>
      <c r="Z127" s="309"/>
      <c r="AA127" s="309"/>
      <c r="AB127" s="309"/>
      <c r="AC127" s="309"/>
    </row>
    <row r="128" spans="1:29" ht="12.75" customHeight="1">
      <c r="A128" s="309"/>
      <c r="B128" s="309"/>
      <c r="C128" s="309"/>
      <c r="D128" s="309"/>
      <c r="E128" s="309"/>
      <c r="F128" s="309"/>
      <c r="G128" s="309"/>
      <c r="H128" s="309"/>
      <c r="I128" s="309"/>
      <c r="J128" s="309"/>
      <c r="K128" s="1020"/>
      <c r="L128" s="1020"/>
      <c r="M128" s="309"/>
      <c r="N128" s="309"/>
      <c r="O128" s="309"/>
      <c r="P128" s="309"/>
      <c r="Q128" s="326"/>
      <c r="R128" s="326"/>
      <c r="S128" s="326"/>
      <c r="T128" s="309"/>
      <c r="U128" s="309"/>
      <c r="V128" s="309"/>
      <c r="W128" s="328"/>
      <c r="X128" s="309"/>
      <c r="Y128" s="309"/>
      <c r="Z128" s="309"/>
      <c r="AA128" s="309"/>
      <c r="AB128" s="309"/>
      <c r="AC128" s="309"/>
    </row>
    <row r="129" spans="1:29" ht="12.75" customHeight="1">
      <c r="A129" s="309"/>
      <c r="B129" s="309"/>
      <c r="C129" s="309"/>
      <c r="D129" s="309"/>
      <c r="E129" s="309"/>
      <c r="F129" s="309"/>
      <c r="G129" s="309"/>
      <c r="H129" s="309"/>
      <c r="I129" s="309"/>
      <c r="J129" s="309"/>
      <c r="K129" s="1020"/>
      <c r="L129" s="1020"/>
      <c r="M129" s="309"/>
      <c r="N129" s="309"/>
      <c r="O129" s="309"/>
      <c r="P129" s="309"/>
      <c r="Q129" s="326"/>
      <c r="R129" s="326"/>
      <c r="S129" s="326"/>
      <c r="T129" s="309"/>
      <c r="U129" s="309"/>
      <c r="V129" s="309"/>
      <c r="W129" s="328"/>
      <c r="X129" s="309"/>
      <c r="Y129" s="309"/>
      <c r="Z129" s="309"/>
      <c r="AA129" s="309"/>
      <c r="AB129" s="309"/>
      <c r="AC129" s="309"/>
    </row>
    <row r="130" spans="1:29" ht="12.75" customHeight="1">
      <c r="A130" s="309"/>
      <c r="B130" s="309"/>
      <c r="C130" s="309"/>
      <c r="D130" s="309"/>
      <c r="E130" s="309"/>
      <c r="F130" s="309"/>
      <c r="G130" s="309"/>
      <c r="H130" s="309"/>
      <c r="I130" s="309"/>
      <c r="J130" s="309"/>
      <c r="K130" s="1020"/>
      <c r="L130" s="1020"/>
      <c r="M130" s="309"/>
      <c r="N130" s="309"/>
      <c r="O130" s="309"/>
      <c r="P130" s="309"/>
      <c r="Q130" s="326"/>
      <c r="R130" s="326"/>
      <c r="S130" s="326"/>
      <c r="T130" s="309"/>
      <c r="U130" s="309"/>
      <c r="V130" s="309"/>
      <c r="W130" s="328"/>
      <c r="X130" s="309"/>
      <c r="Y130" s="309"/>
      <c r="Z130" s="309"/>
      <c r="AA130" s="309"/>
      <c r="AB130" s="309"/>
      <c r="AC130" s="309"/>
    </row>
    <row r="131" spans="1:29" ht="12.75" customHeight="1">
      <c r="A131" s="309"/>
      <c r="B131" s="309"/>
      <c r="C131" s="309"/>
      <c r="D131" s="309"/>
      <c r="E131" s="309"/>
      <c r="F131" s="309"/>
      <c r="G131" s="309"/>
      <c r="H131" s="309"/>
      <c r="I131" s="309"/>
      <c r="J131" s="309"/>
      <c r="K131" s="1020"/>
      <c r="L131" s="1020"/>
      <c r="M131" s="309"/>
      <c r="N131" s="309"/>
      <c r="O131" s="309"/>
      <c r="P131" s="309"/>
      <c r="Q131" s="326"/>
      <c r="R131" s="326"/>
      <c r="S131" s="326"/>
      <c r="T131" s="309"/>
      <c r="U131" s="309"/>
      <c r="V131" s="309"/>
      <c r="W131" s="328"/>
      <c r="X131" s="309"/>
      <c r="Y131" s="309"/>
      <c r="Z131" s="309"/>
      <c r="AA131" s="309"/>
      <c r="AB131" s="309"/>
      <c r="AC131" s="309"/>
    </row>
    <row r="132" spans="1:29" ht="12.75" customHeight="1">
      <c r="A132" s="309"/>
      <c r="B132" s="309"/>
      <c r="C132" s="309"/>
      <c r="D132" s="309"/>
      <c r="E132" s="309"/>
      <c r="F132" s="309"/>
      <c r="G132" s="309"/>
      <c r="H132" s="309"/>
      <c r="I132" s="309"/>
      <c r="J132" s="309"/>
      <c r="K132" s="1020"/>
      <c r="L132" s="1020"/>
      <c r="M132" s="309"/>
      <c r="N132" s="309"/>
      <c r="O132" s="309"/>
      <c r="P132" s="309"/>
      <c r="Q132" s="326"/>
      <c r="R132" s="326"/>
      <c r="S132" s="326"/>
      <c r="T132" s="309"/>
      <c r="U132" s="309"/>
      <c r="V132" s="309"/>
      <c r="W132" s="328"/>
      <c r="X132" s="309"/>
      <c r="Y132" s="309"/>
      <c r="Z132" s="309"/>
      <c r="AA132" s="309"/>
      <c r="AB132" s="309"/>
      <c r="AC132" s="309"/>
    </row>
    <row r="133" spans="1:29" ht="12.75" customHeight="1">
      <c r="A133" s="309"/>
      <c r="B133" s="309"/>
      <c r="C133" s="309"/>
      <c r="D133" s="309"/>
      <c r="E133" s="309"/>
      <c r="F133" s="309"/>
      <c r="G133" s="309"/>
      <c r="H133" s="309"/>
      <c r="I133" s="309"/>
      <c r="J133" s="309"/>
      <c r="K133" s="1020"/>
      <c r="L133" s="1020"/>
      <c r="M133" s="309"/>
      <c r="N133" s="309"/>
      <c r="O133" s="309"/>
      <c r="P133" s="309"/>
      <c r="Q133" s="326"/>
      <c r="R133" s="326"/>
      <c r="S133" s="326"/>
      <c r="T133" s="309"/>
      <c r="U133" s="309"/>
      <c r="V133" s="309"/>
      <c r="W133" s="328"/>
      <c r="X133" s="309"/>
      <c r="Y133" s="309"/>
      <c r="Z133" s="309"/>
      <c r="AA133" s="309"/>
      <c r="AB133" s="309"/>
      <c r="AC133" s="309"/>
    </row>
    <row r="134" spans="1:29" ht="12.75" customHeight="1">
      <c r="A134" s="309"/>
      <c r="B134" s="309"/>
      <c r="C134" s="309"/>
      <c r="D134" s="309"/>
      <c r="E134" s="309"/>
      <c r="F134" s="309"/>
      <c r="G134" s="309"/>
      <c r="H134" s="309"/>
      <c r="I134" s="309"/>
      <c r="J134" s="309"/>
      <c r="K134" s="1020"/>
      <c r="L134" s="1020"/>
      <c r="M134" s="309"/>
      <c r="N134" s="309"/>
      <c r="O134" s="309"/>
      <c r="P134" s="309"/>
      <c r="Q134" s="326"/>
      <c r="R134" s="326"/>
      <c r="S134" s="326"/>
      <c r="T134" s="309"/>
      <c r="U134" s="309"/>
      <c r="V134" s="309"/>
      <c r="W134" s="328"/>
      <c r="X134" s="309"/>
      <c r="Y134" s="309"/>
      <c r="Z134" s="309"/>
      <c r="AA134" s="309"/>
      <c r="AB134" s="309"/>
      <c r="AC134" s="309"/>
    </row>
    <row r="135" spans="1:29" ht="12.75" customHeight="1">
      <c r="A135" s="309"/>
      <c r="B135" s="309"/>
      <c r="C135" s="309"/>
      <c r="D135" s="309"/>
      <c r="E135" s="309"/>
      <c r="F135" s="309"/>
      <c r="G135" s="309"/>
      <c r="H135" s="309"/>
      <c r="I135" s="309"/>
      <c r="J135" s="309"/>
      <c r="K135" s="1020"/>
      <c r="L135" s="1020"/>
      <c r="M135" s="309"/>
      <c r="N135" s="309"/>
      <c r="O135" s="309"/>
      <c r="P135" s="309"/>
      <c r="Q135" s="326"/>
      <c r="R135" s="326"/>
      <c r="S135" s="326"/>
      <c r="T135" s="309"/>
      <c r="U135" s="309"/>
      <c r="V135" s="309"/>
      <c r="W135" s="328"/>
      <c r="X135" s="309"/>
      <c r="Y135" s="309"/>
      <c r="Z135" s="309"/>
      <c r="AA135" s="309"/>
      <c r="AB135" s="309"/>
      <c r="AC135" s="309"/>
    </row>
    <row r="136" spans="1:29" ht="12.75" customHeight="1">
      <c r="A136" s="309"/>
      <c r="B136" s="309"/>
      <c r="C136" s="309"/>
      <c r="D136" s="309"/>
      <c r="E136" s="309"/>
      <c r="F136" s="309"/>
      <c r="G136" s="309"/>
      <c r="H136" s="309"/>
      <c r="I136" s="309"/>
      <c r="J136" s="309"/>
      <c r="K136" s="1020"/>
      <c r="L136" s="1020"/>
      <c r="M136" s="309"/>
      <c r="N136" s="309"/>
      <c r="O136" s="309"/>
      <c r="P136" s="309"/>
      <c r="Q136" s="326"/>
      <c r="R136" s="326"/>
      <c r="S136" s="326"/>
      <c r="T136" s="309"/>
      <c r="U136" s="309"/>
      <c r="V136" s="309"/>
      <c r="W136" s="328"/>
      <c r="X136" s="309"/>
      <c r="Y136" s="309"/>
      <c r="Z136" s="309"/>
      <c r="AA136" s="309"/>
      <c r="AB136" s="309"/>
      <c r="AC136" s="309"/>
    </row>
    <row r="137" spans="1:29" ht="12.75" customHeight="1">
      <c r="A137" s="309"/>
      <c r="B137" s="309"/>
      <c r="C137" s="309"/>
      <c r="D137" s="309"/>
      <c r="E137" s="309"/>
      <c r="F137" s="309"/>
      <c r="G137" s="309"/>
      <c r="H137" s="309"/>
      <c r="I137" s="309"/>
      <c r="J137" s="309"/>
      <c r="K137" s="1020"/>
      <c r="L137" s="1020"/>
      <c r="M137" s="309"/>
      <c r="N137" s="309"/>
      <c r="O137" s="309"/>
      <c r="P137" s="309"/>
      <c r="Q137" s="326"/>
      <c r="R137" s="326"/>
      <c r="S137" s="326"/>
      <c r="T137" s="309"/>
      <c r="U137" s="309"/>
      <c r="V137" s="309"/>
      <c r="W137" s="328"/>
      <c r="X137" s="309"/>
      <c r="Y137" s="309"/>
      <c r="Z137" s="309"/>
      <c r="AA137" s="309"/>
      <c r="AB137" s="309"/>
      <c r="AC137" s="309"/>
    </row>
    <row r="138" spans="1:29" ht="12.75" customHeight="1">
      <c r="A138" s="309"/>
      <c r="B138" s="309"/>
      <c r="C138" s="309"/>
      <c r="D138" s="309"/>
      <c r="E138" s="309"/>
      <c r="F138" s="309"/>
      <c r="G138" s="309"/>
      <c r="H138" s="309"/>
      <c r="I138" s="309"/>
      <c r="J138" s="309"/>
      <c r="K138" s="1020"/>
      <c r="L138" s="1020"/>
      <c r="M138" s="309"/>
      <c r="N138" s="309"/>
      <c r="O138" s="309"/>
      <c r="P138" s="309"/>
      <c r="Q138" s="326"/>
      <c r="R138" s="326"/>
      <c r="S138" s="326"/>
      <c r="T138" s="309"/>
      <c r="U138" s="309"/>
      <c r="V138" s="309"/>
      <c r="W138" s="328"/>
      <c r="X138" s="309"/>
      <c r="Y138" s="309"/>
      <c r="Z138" s="309"/>
      <c r="AA138" s="309"/>
      <c r="AB138" s="309"/>
      <c r="AC138" s="309"/>
    </row>
    <row r="139" spans="1:29" ht="12.75" customHeight="1">
      <c r="A139" s="309"/>
      <c r="B139" s="309"/>
      <c r="C139" s="309"/>
      <c r="D139" s="309"/>
      <c r="E139" s="309"/>
      <c r="F139" s="309"/>
      <c r="G139" s="309"/>
      <c r="H139" s="309"/>
      <c r="I139" s="309"/>
      <c r="J139" s="309"/>
      <c r="K139" s="1020"/>
      <c r="L139" s="1020"/>
      <c r="M139" s="309"/>
      <c r="N139" s="309"/>
      <c r="O139" s="309"/>
      <c r="P139" s="309"/>
      <c r="Q139" s="326"/>
      <c r="R139" s="326"/>
      <c r="S139" s="326"/>
      <c r="T139" s="309"/>
      <c r="U139" s="309"/>
      <c r="V139" s="309"/>
      <c r="W139" s="328"/>
      <c r="X139" s="309"/>
      <c r="Y139" s="309"/>
      <c r="Z139" s="309"/>
      <c r="AA139" s="309"/>
      <c r="AB139" s="309"/>
      <c r="AC139" s="309"/>
    </row>
    <row r="140" spans="1:29" ht="12.75" customHeight="1">
      <c r="A140" s="309"/>
      <c r="B140" s="309"/>
      <c r="C140" s="309"/>
      <c r="D140" s="309"/>
      <c r="E140" s="309"/>
      <c r="F140" s="309"/>
      <c r="G140" s="309"/>
      <c r="H140" s="309"/>
      <c r="I140" s="309"/>
      <c r="J140" s="309"/>
      <c r="K140" s="1020"/>
      <c r="L140" s="1020"/>
      <c r="M140" s="309"/>
      <c r="N140" s="309"/>
      <c r="O140" s="309"/>
      <c r="P140" s="309"/>
      <c r="Q140" s="326"/>
      <c r="R140" s="326"/>
      <c r="S140" s="326"/>
      <c r="T140" s="309"/>
      <c r="U140" s="309"/>
      <c r="V140" s="309"/>
      <c r="W140" s="328"/>
      <c r="X140" s="309"/>
      <c r="Y140" s="309"/>
      <c r="Z140" s="309"/>
      <c r="AA140" s="309"/>
      <c r="AB140" s="309"/>
      <c r="AC140" s="309"/>
    </row>
    <row r="141" spans="1:29" ht="12.75" customHeight="1">
      <c r="A141" s="309"/>
      <c r="B141" s="309"/>
      <c r="C141" s="309"/>
      <c r="D141" s="309"/>
      <c r="E141" s="309"/>
      <c r="F141" s="309"/>
      <c r="G141" s="309"/>
      <c r="H141" s="309"/>
      <c r="I141" s="309"/>
      <c r="J141" s="309"/>
      <c r="K141" s="1020"/>
      <c r="L141" s="1020"/>
      <c r="M141" s="309"/>
      <c r="N141" s="309"/>
      <c r="O141" s="309"/>
      <c r="P141" s="309"/>
      <c r="Q141" s="326"/>
      <c r="R141" s="326"/>
      <c r="S141" s="326"/>
      <c r="T141" s="309"/>
      <c r="U141" s="309"/>
      <c r="V141" s="309"/>
      <c r="W141" s="328"/>
      <c r="X141" s="309"/>
      <c r="Y141" s="309"/>
      <c r="Z141" s="309"/>
      <c r="AA141" s="309"/>
      <c r="AB141" s="309"/>
      <c r="AC141" s="309"/>
    </row>
    <row r="142" spans="1:29" ht="12.75" customHeight="1">
      <c r="A142" s="309"/>
      <c r="B142" s="309"/>
      <c r="C142" s="309"/>
      <c r="D142" s="309"/>
      <c r="E142" s="309"/>
      <c r="F142" s="309"/>
      <c r="G142" s="309"/>
      <c r="H142" s="309"/>
      <c r="I142" s="309"/>
      <c r="J142" s="309"/>
      <c r="K142" s="1020"/>
      <c r="L142" s="1020"/>
      <c r="M142" s="309"/>
      <c r="N142" s="309"/>
      <c r="O142" s="309"/>
      <c r="P142" s="309"/>
      <c r="Q142" s="326"/>
      <c r="R142" s="326"/>
      <c r="S142" s="326"/>
      <c r="T142" s="309"/>
      <c r="U142" s="309"/>
      <c r="V142" s="309"/>
      <c r="W142" s="328"/>
      <c r="X142" s="309"/>
      <c r="Y142" s="309"/>
      <c r="Z142" s="309"/>
      <c r="AA142" s="309"/>
      <c r="AB142" s="309"/>
      <c r="AC142" s="309"/>
    </row>
    <row r="143" spans="1:29" ht="12.75" customHeight="1">
      <c r="A143" s="309"/>
      <c r="B143" s="309"/>
      <c r="C143" s="309"/>
      <c r="D143" s="309"/>
      <c r="E143" s="309"/>
      <c r="F143" s="309"/>
      <c r="G143" s="309"/>
      <c r="H143" s="309"/>
      <c r="I143" s="309"/>
      <c r="J143" s="309"/>
      <c r="K143" s="1020"/>
      <c r="L143" s="1020"/>
      <c r="M143" s="309"/>
      <c r="N143" s="309"/>
      <c r="O143" s="309"/>
      <c r="P143" s="309"/>
      <c r="Q143" s="326"/>
      <c r="R143" s="326"/>
      <c r="S143" s="326"/>
      <c r="T143" s="309"/>
      <c r="U143" s="309"/>
      <c r="V143" s="309"/>
      <c r="W143" s="328"/>
      <c r="X143" s="309"/>
      <c r="Y143" s="309"/>
      <c r="Z143" s="309"/>
      <c r="AA143" s="309"/>
      <c r="AB143" s="309"/>
      <c r="AC143" s="309"/>
    </row>
    <row r="144" spans="1:29" ht="12.75" customHeight="1">
      <c r="A144" s="309"/>
      <c r="B144" s="309"/>
      <c r="C144" s="309"/>
      <c r="D144" s="309"/>
      <c r="E144" s="309"/>
      <c r="F144" s="309"/>
      <c r="G144" s="309"/>
      <c r="H144" s="309"/>
      <c r="I144" s="309"/>
      <c r="J144" s="309"/>
      <c r="K144" s="1020"/>
      <c r="L144" s="1020"/>
      <c r="M144" s="309"/>
      <c r="N144" s="309"/>
      <c r="O144" s="309"/>
      <c r="P144" s="309"/>
      <c r="Q144" s="326"/>
      <c r="R144" s="326"/>
      <c r="S144" s="326"/>
      <c r="T144" s="309"/>
      <c r="U144" s="309"/>
      <c r="V144" s="309"/>
      <c r="W144" s="328"/>
      <c r="X144" s="309"/>
      <c r="Y144" s="309"/>
      <c r="Z144" s="309"/>
      <c r="AA144" s="309"/>
      <c r="AB144" s="309"/>
      <c r="AC144" s="309"/>
    </row>
    <row r="145" spans="1:29" ht="12.75" customHeight="1">
      <c r="A145" s="309"/>
      <c r="B145" s="309"/>
      <c r="C145" s="309"/>
      <c r="D145" s="309"/>
      <c r="E145" s="309"/>
      <c r="F145" s="309"/>
      <c r="G145" s="309"/>
      <c r="H145" s="309"/>
      <c r="I145" s="309"/>
      <c r="J145" s="309"/>
      <c r="K145" s="1020"/>
      <c r="L145" s="1020"/>
      <c r="M145" s="309"/>
      <c r="N145" s="309"/>
      <c r="O145" s="309"/>
      <c r="P145" s="309"/>
      <c r="Q145" s="326"/>
      <c r="R145" s="326"/>
      <c r="S145" s="326"/>
      <c r="T145" s="309"/>
      <c r="U145" s="309"/>
      <c r="V145" s="309"/>
      <c r="W145" s="328"/>
      <c r="X145" s="309"/>
      <c r="Y145" s="309"/>
      <c r="Z145" s="309"/>
      <c r="AA145" s="309"/>
      <c r="AB145" s="309"/>
      <c r="AC145" s="309"/>
    </row>
    <row r="146" spans="1:29" ht="12.75" customHeight="1">
      <c r="A146" s="309"/>
      <c r="B146" s="309"/>
      <c r="C146" s="309"/>
      <c r="D146" s="309"/>
      <c r="E146" s="309"/>
      <c r="F146" s="309"/>
      <c r="G146" s="309"/>
      <c r="H146" s="309"/>
      <c r="I146" s="309"/>
      <c r="J146" s="309"/>
      <c r="K146" s="1020"/>
      <c r="L146" s="1020"/>
      <c r="M146" s="309"/>
      <c r="N146" s="309"/>
      <c r="O146" s="309"/>
      <c r="P146" s="309"/>
      <c r="Q146" s="326"/>
      <c r="R146" s="326"/>
      <c r="S146" s="326"/>
      <c r="T146" s="309"/>
      <c r="U146" s="309"/>
      <c r="V146" s="309"/>
      <c r="W146" s="328"/>
      <c r="X146" s="309"/>
      <c r="Y146" s="309"/>
      <c r="Z146" s="309"/>
      <c r="AA146" s="309"/>
      <c r="AB146" s="309"/>
      <c r="AC146" s="309"/>
    </row>
    <row r="147" spans="1:29" ht="12.75" customHeight="1">
      <c r="A147" s="309"/>
      <c r="B147" s="309"/>
      <c r="C147" s="309"/>
      <c r="D147" s="309"/>
      <c r="E147" s="309"/>
      <c r="F147" s="309"/>
      <c r="G147" s="309"/>
      <c r="H147" s="309"/>
      <c r="I147" s="309"/>
      <c r="J147" s="309"/>
      <c r="K147" s="1020"/>
      <c r="L147" s="1020"/>
      <c r="M147" s="309"/>
      <c r="N147" s="309"/>
      <c r="O147" s="309"/>
      <c r="P147" s="309"/>
      <c r="Q147" s="326"/>
      <c r="R147" s="326"/>
      <c r="S147" s="326"/>
      <c r="T147" s="309"/>
      <c r="U147" s="309"/>
      <c r="V147" s="309"/>
      <c r="W147" s="328"/>
      <c r="X147" s="309"/>
      <c r="Y147" s="309"/>
      <c r="Z147" s="309"/>
      <c r="AA147" s="309"/>
      <c r="AB147" s="309"/>
      <c r="AC147" s="309"/>
    </row>
    <row r="148" spans="1:29" ht="12.75" customHeight="1">
      <c r="A148" s="309"/>
      <c r="B148" s="309"/>
      <c r="C148" s="309"/>
      <c r="D148" s="309"/>
      <c r="E148" s="309"/>
      <c r="F148" s="309"/>
      <c r="G148" s="309"/>
      <c r="H148" s="309"/>
      <c r="I148" s="309"/>
      <c r="J148" s="309"/>
      <c r="K148" s="1020"/>
      <c r="L148" s="1020"/>
      <c r="M148" s="309"/>
      <c r="N148" s="309"/>
      <c r="O148" s="309"/>
      <c r="P148" s="309"/>
      <c r="Q148" s="326"/>
      <c r="R148" s="326"/>
      <c r="S148" s="326"/>
      <c r="T148" s="309"/>
      <c r="U148" s="309"/>
      <c r="V148" s="309"/>
      <c r="W148" s="328"/>
      <c r="X148" s="309"/>
      <c r="Y148" s="309"/>
      <c r="Z148" s="309"/>
      <c r="AA148" s="309"/>
      <c r="AB148" s="309"/>
      <c r="AC148" s="309"/>
    </row>
    <row r="149" spans="1:29" ht="12.75" customHeight="1">
      <c r="A149" s="309"/>
      <c r="B149" s="309"/>
      <c r="C149" s="309"/>
      <c r="D149" s="309"/>
      <c r="E149" s="309"/>
      <c r="F149" s="309"/>
      <c r="G149" s="309"/>
      <c r="H149" s="309"/>
      <c r="I149" s="309"/>
      <c r="J149" s="309"/>
      <c r="K149" s="1020"/>
      <c r="L149" s="1020"/>
      <c r="M149" s="309"/>
      <c r="N149" s="309"/>
      <c r="O149" s="309"/>
      <c r="P149" s="309"/>
      <c r="Q149" s="326"/>
      <c r="R149" s="326"/>
      <c r="S149" s="326"/>
      <c r="T149" s="309"/>
      <c r="U149" s="309"/>
      <c r="V149" s="309"/>
      <c r="W149" s="328"/>
      <c r="X149" s="309"/>
      <c r="Y149" s="309"/>
      <c r="Z149" s="309"/>
      <c r="AA149" s="309"/>
      <c r="AB149" s="309"/>
      <c r="AC149" s="309"/>
    </row>
    <row r="150" spans="1:29" ht="12.75" customHeight="1">
      <c r="A150" s="309"/>
      <c r="B150" s="309"/>
      <c r="C150" s="309"/>
      <c r="D150" s="309"/>
      <c r="E150" s="309"/>
      <c r="F150" s="309"/>
      <c r="G150" s="309"/>
      <c r="H150" s="309"/>
      <c r="I150" s="309"/>
      <c r="J150" s="309"/>
      <c r="K150" s="1020"/>
      <c r="L150" s="1020"/>
      <c r="M150" s="309"/>
      <c r="N150" s="309"/>
      <c r="O150" s="309"/>
      <c r="P150" s="309"/>
      <c r="Q150" s="326"/>
      <c r="R150" s="326"/>
      <c r="S150" s="326"/>
      <c r="T150" s="309"/>
      <c r="U150" s="309"/>
      <c r="V150" s="309"/>
      <c r="W150" s="328"/>
      <c r="X150" s="309"/>
      <c r="Y150" s="309"/>
      <c r="Z150" s="309"/>
      <c r="AA150" s="309"/>
      <c r="AB150" s="309"/>
      <c r="AC150" s="309"/>
    </row>
    <row r="151" spans="1:29" ht="12.75" customHeight="1">
      <c r="A151" s="309"/>
      <c r="B151" s="309"/>
      <c r="C151" s="309"/>
      <c r="D151" s="309"/>
      <c r="E151" s="309"/>
      <c r="F151" s="309"/>
      <c r="G151" s="309"/>
      <c r="H151" s="309"/>
      <c r="I151" s="309"/>
      <c r="J151" s="309"/>
      <c r="K151" s="1020"/>
      <c r="L151" s="1020"/>
      <c r="M151" s="309"/>
      <c r="N151" s="309"/>
      <c r="O151" s="309"/>
      <c r="P151" s="309"/>
      <c r="Q151" s="326"/>
      <c r="R151" s="326"/>
      <c r="S151" s="326"/>
      <c r="T151" s="309"/>
      <c r="U151" s="309"/>
      <c r="V151" s="309"/>
      <c r="W151" s="328"/>
      <c r="X151" s="309"/>
      <c r="Y151" s="309"/>
      <c r="Z151" s="309"/>
      <c r="AA151" s="309"/>
      <c r="AB151" s="309"/>
      <c r="AC151" s="309"/>
    </row>
    <row r="152" spans="1:29" ht="12.75" customHeight="1">
      <c r="A152" s="309"/>
      <c r="B152" s="309"/>
      <c r="C152" s="309"/>
      <c r="D152" s="309"/>
      <c r="E152" s="309"/>
      <c r="F152" s="309"/>
      <c r="G152" s="309"/>
      <c r="H152" s="309"/>
      <c r="I152" s="309"/>
      <c r="J152" s="309"/>
      <c r="K152" s="1020"/>
      <c r="L152" s="1020"/>
      <c r="M152" s="309"/>
      <c r="N152" s="309"/>
      <c r="O152" s="309"/>
      <c r="P152" s="309"/>
      <c r="Q152" s="326"/>
      <c r="R152" s="326"/>
      <c r="S152" s="326"/>
      <c r="T152" s="309"/>
      <c r="U152" s="309"/>
      <c r="V152" s="309"/>
      <c r="W152" s="328"/>
      <c r="X152" s="309"/>
      <c r="Y152" s="309"/>
      <c r="Z152" s="309"/>
      <c r="AA152" s="309"/>
      <c r="AB152" s="309"/>
      <c r="AC152" s="309"/>
    </row>
    <row r="153" spans="1:29" ht="12.75" customHeight="1">
      <c r="A153" s="309"/>
      <c r="B153" s="309"/>
      <c r="C153" s="309"/>
      <c r="D153" s="309"/>
      <c r="E153" s="309"/>
      <c r="F153" s="309"/>
      <c r="G153" s="309"/>
      <c r="H153" s="309"/>
      <c r="I153" s="309"/>
      <c r="J153" s="309"/>
      <c r="K153" s="1020"/>
      <c r="L153" s="1020"/>
      <c r="M153" s="309"/>
      <c r="N153" s="309"/>
      <c r="O153" s="309"/>
      <c r="P153" s="309"/>
      <c r="Q153" s="326"/>
      <c r="R153" s="326"/>
      <c r="S153" s="326"/>
      <c r="T153" s="309"/>
      <c r="U153" s="309"/>
      <c r="V153" s="309"/>
      <c r="W153" s="328"/>
      <c r="X153" s="309"/>
      <c r="Y153" s="309"/>
      <c r="Z153" s="309"/>
      <c r="AA153" s="309"/>
      <c r="AB153" s="309"/>
      <c r="AC153" s="309"/>
    </row>
    <row r="154" spans="1:29" ht="12.75" customHeight="1">
      <c r="A154" s="309"/>
      <c r="B154" s="309"/>
      <c r="C154" s="309"/>
      <c r="D154" s="309"/>
      <c r="E154" s="309"/>
      <c r="F154" s="309"/>
      <c r="G154" s="309"/>
      <c r="H154" s="309"/>
      <c r="I154" s="309"/>
      <c r="J154" s="309"/>
      <c r="K154" s="1020"/>
      <c r="L154" s="1020"/>
      <c r="M154" s="309"/>
      <c r="N154" s="309"/>
      <c r="O154" s="309"/>
      <c r="P154" s="309"/>
      <c r="Q154" s="326"/>
      <c r="R154" s="326"/>
      <c r="S154" s="326"/>
      <c r="T154" s="309"/>
      <c r="U154" s="309"/>
      <c r="V154" s="309"/>
      <c r="W154" s="328"/>
      <c r="X154" s="309"/>
      <c r="Y154" s="309"/>
      <c r="Z154" s="309"/>
      <c r="AA154" s="309"/>
      <c r="AB154" s="309"/>
      <c r="AC154" s="309"/>
    </row>
    <row r="155" spans="1:29" ht="12.75" customHeight="1">
      <c r="A155" s="309"/>
      <c r="B155" s="309"/>
      <c r="C155" s="309"/>
      <c r="D155" s="309"/>
      <c r="E155" s="309"/>
      <c r="F155" s="309"/>
      <c r="G155" s="309"/>
      <c r="H155" s="309"/>
      <c r="I155" s="309"/>
      <c r="J155" s="309"/>
      <c r="K155" s="1020"/>
      <c r="L155" s="1020"/>
      <c r="M155" s="309"/>
      <c r="N155" s="309"/>
      <c r="O155" s="309"/>
      <c r="P155" s="309"/>
      <c r="Q155" s="326"/>
      <c r="R155" s="326"/>
      <c r="S155" s="326"/>
      <c r="T155" s="309"/>
      <c r="U155" s="309"/>
      <c r="V155" s="309"/>
      <c r="W155" s="328"/>
      <c r="X155" s="309"/>
      <c r="Y155" s="309"/>
      <c r="Z155" s="309"/>
      <c r="AA155" s="309"/>
      <c r="AB155" s="309"/>
      <c r="AC155" s="309"/>
    </row>
    <row r="156" spans="1:29" ht="12.75" customHeight="1">
      <c r="A156" s="309"/>
      <c r="B156" s="309"/>
      <c r="C156" s="309"/>
      <c r="D156" s="309"/>
      <c r="E156" s="309"/>
      <c r="F156" s="309"/>
      <c r="G156" s="309"/>
      <c r="H156" s="309"/>
      <c r="I156" s="309"/>
      <c r="J156" s="309"/>
      <c r="K156" s="1020"/>
      <c r="L156" s="1020"/>
      <c r="M156" s="309"/>
      <c r="N156" s="309"/>
      <c r="O156" s="309"/>
      <c r="P156" s="309"/>
      <c r="Q156" s="326"/>
      <c r="R156" s="326"/>
      <c r="S156" s="326"/>
      <c r="T156" s="309"/>
      <c r="U156" s="309"/>
      <c r="V156" s="309"/>
      <c r="W156" s="328"/>
      <c r="X156" s="309"/>
      <c r="Y156" s="309"/>
      <c r="Z156" s="309"/>
      <c r="AA156" s="309"/>
      <c r="AB156" s="309"/>
      <c r="AC156" s="309"/>
    </row>
    <row r="157" spans="1:29" ht="12.75" customHeight="1">
      <c r="A157" s="309"/>
      <c r="B157" s="309"/>
      <c r="C157" s="309"/>
      <c r="D157" s="309"/>
      <c r="E157" s="309"/>
      <c r="F157" s="309"/>
      <c r="G157" s="309"/>
      <c r="H157" s="309"/>
      <c r="I157" s="309"/>
      <c r="J157" s="309"/>
      <c r="K157" s="1020"/>
      <c r="L157" s="1020"/>
      <c r="M157" s="309"/>
      <c r="N157" s="309"/>
      <c r="O157" s="309"/>
      <c r="P157" s="309"/>
      <c r="Q157" s="326"/>
      <c r="R157" s="326"/>
      <c r="S157" s="326"/>
      <c r="T157" s="309"/>
      <c r="U157" s="309"/>
      <c r="V157" s="309"/>
      <c r="W157" s="328"/>
      <c r="X157" s="309"/>
      <c r="Y157" s="309"/>
      <c r="Z157" s="309"/>
      <c r="AA157" s="309"/>
      <c r="AB157" s="309"/>
      <c r="AC157" s="309"/>
    </row>
    <row r="158" spans="1:29" ht="12.75" customHeight="1">
      <c r="A158" s="309"/>
      <c r="B158" s="309"/>
      <c r="C158" s="309"/>
      <c r="D158" s="309"/>
      <c r="E158" s="309"/>
      <c r="F158" s="309"/>
      <c r="G158" s="309"/>
      <c r="H158" s="309"/>
      <c r="I158" s="309"/>
      <c r="J158" s="309"/>
      <c r="K158" s="1020"/>
      <c r="L158" s="1020"/>
      <c r="M158" s="309"/>
      <c r="N158" s="309"/>
      <c r="O158" s="309"/>
      <c r="P158" s="309"/>
      <c r="Q158" s="326"/>
      <c r="R158" s="326"/>
      <c r="S158" s="326"/>
      <c r="T158" s="309"/>
      <c r="U158" s="309"/>
      <c r="V158" s="309"/>
      <c r="W158" s="328"/>
      <c r="X158" s="309"/>
      <c r="Y158" s="309"/>
      <c r="Z158" s="309"/>
      <c r="AA158" s="309"/>
      <c r="AB158" s="309"/>
      <c r="AC158" s="309"/>
    </row>
    <row r="159" spans="1:29" ht="12.75" customHeight="1">
      <c r="A159" s="309"/>
      <c r="B159" s="309"/>
      <c r="C159" s="309"/>
      <c r="D159" s="309"/>
      <c r="E159" s="309"/>
      <c r="F159" s="309"/>
      <c r="G159" s="309"/>
      <c r="H159" s="309"/>
      <c r="I159" s="309"/>
      <c r="J159" s="309"/>
      <c r="K159" s="1020"/>
      <c r="L159" s="1020"/>
      <c r="M159" s="309"/>
      <c r="N159" s="309"/>
      <c r="O159" s="309"/>
      <c r="P159" s="309"/>
      <c r="Q159" s="326"/>
      <c r="R159" s="326"/>
      <c r="S159" s="326"/>
      <c r="T159" s="309"/>
      <c r="U159" s="309"/>
      <c r="V159" s="309"/>
      <c r="W159" s="328"/>
      <c r="X159" s="309"/>
      <c r="Y159" s="309"/>
      <c r="Z159" s="309"/>
      <c r="AA159" s="309"/>
      <c r="AB159" s="309"/>
      <c r="AC159" s="309"/>
    </row>
    <row r="160" spans="1:29" ht="12.75" customHeight="1">
      <c r="A160" s="309"/>
      <c r="B160" s="309"/>
      <c r="C160" s="309"/>
      <c r="D160" s="309"/>
      <c r="E160" s="309"/>
      <c r="F160" s="309"/>
      <c r="G160" s="309"/>
      <c r="H160" s="309"/>
      <c r="I160" s="309"/>
      <c r="J160" s="309"/>
      <c r="K160" s="1020"/>
      <c r="L160" s="1020"/>
      <c r="M160" s="309"/>
      <c r="N160" s="309"/>
      <c r="O160" s="309"/>
      <c r="P160" s="309"/>
      <c r="Q160" s="326"/>
      <c r="R160" s="326"/>
      <c r="S160" s="326"/>
      <c r="T160" s="309"/>
      <c r="U160" s="309"/>
      <c r="V160" s="309"/>
      <c r="W160" s="328"/>
      <c r="X160" s="309"/>
      <c r="Y160" s="309"/>
      <c r="Z160" s="309"/>
      <c r="AA160" s="309"/>
      <c r="AB160" s="309"/>
      <c r="AC160" s="309"/>
    </row>
    <row r="161" spans="1:29" ht="12.75" customHeight="1">
      <c r="A161" s="309"/>
      <c r="B161" s="309"/>
      <c r="C161" s="309"/>
      <c r="D161" s="309"/>
      <c r="E161" s="309"/>
      <c r="F161" s="309"/>
      <c r="G161" s="309"/>
      <c r="H161" s="309"/>
      <c r="I161" s="309"/>
      <c r="J161" s="309"/>
      <c r="K161" s="1020"/>
      <c r="L161" s="1020"/>
      <c r="M161" s="309"/>
      <c r="N161" s="309"/>
      <c r="O161" s="309"/>
      <c r="P161" s="309"/>
      <c r="Q161" s="326"/>
      <c r="R161" s="326"/>
      <c r="S161" s="326"/>
      <c r="T161" s="309"/>
      <c r="U161" s="309"/>
      <c r="V161" s="309"/>
      <c r="W161" s="328"/>
      <c r="X161" s="309"/>
      <c r="Y161" s="309"/>
      <c r="Z161" s="309"/>
      <c r="AA161" s="309"/>
      <c r="AB161" s="309"/>
      <c r="AC161" s="309"/>
    </row>
    <row r="162" spans="1:29" ht="12.75" customHeight="1">
      <c r="A162" s="309"/>
      <c r="B162" s="309"/>
      <c r="C162" s="309"/>
      <c r="D162" s="309"/>
      <c r="E162" s="309"/>
      <c r="F162" s="309"/>
      <c r="G162" s="309"/>
      <c r="H162" s="309"/>
      <c r="I162" s="309"/>
      <c r="J162" s="309"/>
      <c r="K162" s="1020"/>
      <c r="L162" s="1020"/>
      <c r="M162" s="309"/>
      <c r="N162" s="309"/>
      <c r="O162" s="309"/>
      <c r="P162" s="309"/>
      <c r="Q162" s="326"/>
      <c r="R162" s="326"/>
      <c r="S162" s="326"/>
      <c r="T162" s="309"/>
      <c r="U162" s="309"/>
      <c r="V162" s="309"/>
      <c r="W162" s="328"/>
      <c r="X162" s="309"/>
      <c r="Y162" s="309"/>
      <c r="Z162" s="309"/>
      <c r="AA162" s="309"/>
      <c r="AB162" s="309"/>
      <c r="AC162" s="309"/>
    </row>
    <row r="163" spans="1:29" ht="12.75" customHeight="1">
      <c r="A163" s="309"/>
      <c r="B163" s="309"/>
      <c r="C163" s="309"/>
      <c r="D163" s="309"/>
      <c r="E163" s="309"/>
      <c r="F163" s="309"/>
      <c r="G163" s="309"/>
      <c r="H163" s="309"/>
      <c r="I163" s="309"/>
      <c r="J163" s="309"/>
      <c r="K163" s="1020"/>
      <c r="L163" s="1020"/>
      <c r="M163" s="309"/>
      <c r="N163" s="309"/>
      <c r="O163" s="309"/>
      <c r="P163" s="309"/>
      <c r="Q163" s="326"/>
      <c r="R163" s="326"/>
      <c r="S163" s="326"/>
      <c r="T163" s="309"/>
      <c r="U163" s="309"/>
      <c r="V163" s="309"/>
      <c r="W163" s="328"/>
      <c r="X163" s="309"/>
      <c r="Y163" s="309"/>
      <c r="Z163" s="309"/>
      <c r="AA163" s="309"/>
      <c r="AB163" s="309"/>
      <c r="AC163" s="309"/>
    </row>
    <row r="164" spans="1:29" ht="12.75" customHeight="1">
      <c r="A164" s="309"/>
      <c r="B164" s="309"/>
      <c r="C164" s="309"/>
      <c r="D164" s="309"/>
      <c r="E164" s="309"/>
      <c r="F164" s="309"/>
      <c r="G164" s="309"/>
      <c r="H164" s="309"/>
      <c r="I164" s="309"/>
      <c r="J164" s="309"/>
      <c r="K164" s="1020"/>
      <c r="L164" s="1020"/>
      <c r="M164" s="309"/>
      <c r="N164" s="309"/>
      <c r="O164" s="309"/>
      <c r="P164" s="309"/>
      <c r="Q164" s="326"/>
      <c r="R164" s="326"/>
      <c r="S164" s="326"/>
      <c r="T164" s="309"/>
      <c r="U164" s="309"/>
      <c r="V164" s="309"/>
      <c r="W164" s="328"/>
      <c r="X164" s="309"/>
      <c r="Y164" s="309"/>
      <c r="Z164" s="309"/>
      <c r="AA164" s="309"/>
      <c r="AB164" s="309"/>
      <c r="AC164" s="309"/>
    </row>
    <row r="165" spans="1:29" ht="12.75" customHeight="1">
      <c r="A165" s="309"/>
      <c r="B165" s="309"/>
      <c r="C165" s="309"/>
      <c r="D165" s="309"/>
      <c r="E165" s="309"/>
      <c r="F165" s="309"/>
      <c r="G165" s="309"/>
      <c r="H165" s="309"/>
      <c r="I165" s="309"/>
      <c r="J165" s="309"/>
      <c r="K165" s="1020"/>
      <c r="L165" s="1020"/>
      <c r="M165" s="309"/>
      <c r="N165" s="309"/>
      <c r="O165" s="309"/>
      <c r="P165" s="309"/>
      <c r="Q165" s="326"/>
      <c r="R165" s="326"/>
      <c r="S165" s="326"/>
      <c r="T165" s="309"/>
      <c r="U165" s="309"/>
      <c r="V165" s="309"/>
      <c r="W165" s="328"/>
      <c r="X165" s="309"/>
      <c r="Y165" s="309"/>
      <c r="Z165" s="309"/>
      <c r="AA165" s="309"/>
      <c r="AB165" s="309"/>
      <c r="AC165" s="309"/>
    </row>
    <row r="166" spans="1:29" ht="12.75" customHeight="1">
      <c r="A166" s="309"/>
      <c r="B166" s="309"/>
      <c r="C166" s="309"/>
      <c r="D166" s="309"/>
      <c r="E166" s="309"/>
      <c r="F166" s="309"/>
      <c r="G166" s="309"/>
      <c r="H166" s="309"/>
      <c r="I166" s="309"/>
      <c r="J166" s="309"/>
      <c r="K166" s="1020"/>
      <c r="L166" s="1020"/>
      <c r="M166" s="309"/>
      <c r="N166" s="309"/>
      <c r="O166" s="309"/>
      <c r="P166" s="309"/>
      <c r="Q166" s="326"/>
      <c r="R166" s="326"/>
      <c r="S166" s="326"/>
      <c r="T166" s="309"/>
      <c r="U166" s="309"/>
      <c r="V166" s="309"/>
      <c r="W166" s="328"/>
      <c r="X166" s="309"/>
      <c r="Y166" s="309"/>
      <c r="Z166" s="309"/>
      <c r="AA166" s="309"/>
      <c r="AB166" s="309"/>
      <c r="AC166" s="309"/>
    </row>
    <row r="167" spans="1:29" ht="12.75" customHeight="1">
      <c r="A167" s="309"/>
      <c r="B167" s="309"/>
      <c r="C167" s="309"/>
      <c r="D167" s="309"/>
      <c r="E167" s="309"/>
      <c r="F167" s="309"/>
      <c r="G167" s="309"/>
      <c r="H167" s="309"/>
      <c r="I167" s="309"/>
      <c r="J167" s="309"/>
      <c r="K167" s="1020"/>
      <c r="L167" s="1020"/>
      <c r="M167" s="309"/>
      <c r="N167" s="309"/>
      <c r="O167" s="309"/>
      <c r="P167" s="309"/>
      <c r="Q167" s="326"/>
      <c r="R167" s="326"/>
      <c r="S167" s="326"/>
      <c r="T167" s="309"/>
      <c r="U167" s="309"/>
      <c r="V167" s="309"/>
      <c r="W167" s="328"/>
      <c r="X167" s="309"/>
      <c r="Y167" s="309"/>
      <c r="Z167" s="309"/>
      <c r="AA167" s="309"/>
      <c r="AB167" s="309"/>
      <c r="AC167" s="309"/>
    </row>
    <row r="168" spans="1:29" ht="12.75" customHeight="1">
      <c r="A168" s="309"/>
      <c r="B168" s="309"/>
      <c r="C168" s="309"/>
      <c r="D168" s="309"/>
      <c r="E168" s="309"/>
      <c r="F168" s="309"/>
      <c r="G168" s="309"/>
      <c r="H168" s="309"/>
      <c r="I168" s="309"/>
      <c r="J168" s="309"/>
      <c r="K168" s="1020"/>
      <c r="L168" s="1020"/>
      <c r="M168" s="309"/>
      <c r="N168" s="309"/>
      <c r="O168" s="309"/>
      <c r="P168" s="309"/>
      <c r="Q168" s="326"/>
      <c r="R168" s="326"/>
      <c r="S168" s="326"/>
      <c r="T168" s="309"/>
      <c r="U168" s="309"/>
      <c r="V168" s="309"/>
      <c r="W168" s="328"/>
      <c r="X168" s="309"/>
      <c r="Y168" s="309"/>
      <c r="Z168" s="309"/>
      <c r="AA168" s="309"/>
      <c r="AB168" s="309"/>
      <c r="AC168" s="309"/>
    </row>
    <row r="169" spans="1:29" ht="12.75" customHeight="1">
      <c r="A169" s="309"/>
      <c r="B169" s="309"/>
      <c r="C169" s="309"/>
      <c r="D169" s="309"/>
      <c r="E169" s="309"/>
      <c r="F169" s="309"/>
      <c r="G169" s="309"/>
      <c r="H169" s="309"/>
      <c r="I169" s="309"/>
      <c r="J169" s="309"/>
      <c r="K169" s="1020"/>
      <c r="L169" s="1020"/>
      <c r="M169" s="309"/>
      <c r="N169" s="309"/>
      <c r="O169" s="309"/>
      <c r="P169" s="309"/>
      <c r="Q169" s="326"/>
      <c r="R169" s="326"/>
      <c r="S169" s="326"/>
      <c r="T169" s="309"/>
      <c r="U169" s="309"/>
      <c r="V169" s="309"/>
      <c r="W169" s="328"/>
      <c r="X169" s="309"/>
      <c r="Y169" s="309"/>
      <c r="Z169" s="309"/>
      <c r="AA169" s="309"/>
      <c r="AB169" s="309"/>
      <c r="AC169" s="309"/>
    </row>
    <row r="170" spans="1:29" ht="12.75" customHeight="1">
      <c r="A170" s="309"/>
      <c r="B170" s="309"/>
      <c r="C170" s="309"/>
      <c r="D170" s="309"/>
      <c r="E170" s="309"/>
      <c r="F170" s="309"/>
      <c r="G170" s="309"/>
      <c r="H170" s="309"/>
      <c r="I170" s="309"/>
      <c r="J170" s="309"/>
      <c r="K170" s="1020"/>
      <c r="L170" s="1020"/>
      <c r="M170" s="309"/>
      <c r="N170" s="309"/>
      <c r="O170" s="309"/>
      <c r="P170" s="309"/>
      <c r="Q170" s="326"/>
      <c r="R170" s="326"/>
      <c r="S170" s="326"/>
      <c r="T170" s="309"/>
      <c r="U170" s="309"/>
      <c r="V170" s="309"/>
      <c r="W170" s="328"/>
      <c r="X170" s="309"/>
      <c r="Y170" s="309"/>
      <c r="Z170" s="309"/>
      <c r="AA170" s="309"/>
      <c r="AB170" s="309"/>
      <c r="AC170" s="309"/>
    </row>
    <row r="171" spans="1:29" ht="12.75" customHeight="1">
      <c r="A171" s="309"/>
      <c r="B171" s="309"/>
      <c r="C171" s="309"/>
      <c r="D171" s="309"/>
      <c r="E171" s="309"/>
      <c r="F171" s="309"/>
      <c r="G171" s="309"/>
      <c r="H171" s="309"/>
      <c r="I171" s="309"/>
      <c r="J171" s="309"/>
      <c r="K171" s="1020"/>
      <c r="L171" s="1020"/>
      <c r="M171" s="309"/>
      <c r="N171" s="309"/>
      <c r="O171" s="309"/>
      <c r="P171" s="309"/>
      <c r="Q171" s="326"/>
      <c r="R171" s="326"/>
      <c r="S171" s="326"/>
      <c r="T171" s="309"/>
      <c r="U171" s="309"/>
      <c r="V171" s="309"/>
      <c r="W171" s="328"/>
      <c r="X171" s="309"/>
      <c r="Y171" s="309"/>
      <c r="Z171" s="309"/>
      <c r="AA171" s="309"/>
      <c r="AB171" s="309"/>
      <c r="AC171" s="309"/>
    </row>
    <row r="172" spans="1:29" ht="12.75" customHeight="1">
      <c r="A172" s="309"/>
      <c r="B172" s="309"/>
      <c r="C172" s="309"/>
      <c r="D172" s="309"/>
      <c r="E172" s="309"/>
      <c r="F172" s="309"/>
      <c r="G172" s="309"/>
      <c r="H172" s="309"/>
      <c r="I172" s="309"/>
      <c r="J172" s="309"/>
      <c r="K172" s="1020"/>
      <c r="L172" s="1020"/>
      <c r="M172" s="309"/>
      <c r="N172" s="309"/>
      <c r="O172" s="309"/>
      <c r="P172" s="309"/>
      <c r="Q172" s="326"/>
      <c r="R172" s="326"/>
      <c r="S172" s="326"/>
      <c r="T172" s="309"/>
      <c r="U172" s="309"/>
      <c r="V172" s="309"/>
      <c r="W172" s="328"/>
      <c r="X172" s="309"/>
      <c r="Y172" s="309"/>
      <c r="Z172" s="309"/>
      <c r="AA172" s="309"/>
      <c r="AB172" s="309"/>
      <c r="AC172" s="309"/>
    </row>
    <row r="173" spans="1:29" ht="12.75" customHeight="1">
      <c r="A173" s="309"/>
      <c r="B173" s="309"/>
      <c r="C173" s="309"/>
      <c r="D173" s="309"/>
      <c r="E173" s="309"/>
      <c r="F173" s="309"/>
      <c r="G173" s="309"/>
      <c r="H173" s="309"/>
      <c r="I173" s="309"/>
      <c r="J173" s="309"/>
      <c r="K173" s="1020"/>
      <c r="L173" s="1020"/>
      <c r="M173" s="309"/>
      <c r="N173" s="309"/>
      <c r="O173" s="309"/>
      <c r="P173" s="309"/>
      <c r="Q173" s="326"/>
      <c r="R173" s="326"/>
      <c r="S173" s="326"/>
      <c r="T173" s="309"/>
      <c r="U173" s="309"/>
      <c r="V173" s="309"/>
      <c r="W173" s="328"/>
      <c r="X173" s="309"/>
      <c r="Y173" s="309"/>
      <c r="Z173" s="309"/>
      <c r="AA173" s="309"/>
      <c r="AB173" s="309"/>
      <c r="AC173" s="309"/>
    </row>
    <row r="174" spans="1:29" ht="12.75" customHeight="1">
      <c r="A174" s="309"/>
      <c r="B174" s="309"/>
      <c r="C174" s="309"/>
      <c r="D174" s="309"/>
      <c r="E174" s="309"/>
      <c r="F174" s="309"/>
      <c r="G174" s="309"/>
      <c r="H174" s="309"/>
      <c r="I174" s="309"/>
      <c r="J174" s="309"/>
      <c r="K174" s="1020"/>
      <c r="L174" s="1020"/>
      <c r="M174" s="309"/>
      <c r="N174" s="309"/>
      <c r="O174" s="309"/>
      <c r="P174" s="309"/>
      <c r="Q174" s="326"/>
      <c r="R174" s="326"/>
      <c r="S174" s="326"/>
      <c r="T174" s="309"/>
      <c r="U174" s="309"/>
      <c r="V174" s="309"/>
      <c r="W174" s="328"/>
      <c r="X174" s="309"/>
      <c r="Y174" s="309"/>
      <c r="Z174" s="309"/>
      <c r="AA174" s="309"/>
      <c r="AB174" s="309"/>
      <c r="AC174" s="309"/>
    </row>
    <row r="175" spans="1:29" ht="12.75" customHeight="1">
      <c r="A175" s="309"/>
      <c r="B175" s="309"/>
      <c r="C175" s="309"/>
      <c r="D175" s="309"/>
      <c r="E175" s="309"/>
      <c r="F175" s="309"/>
      <c r="G175" s="309"/>
      <c r="H175" s="309"/>
      <c r="I175" s="309"/>
      <c r="J175" s="309"/>
      <c r="K175" s="1020"/>
      <c r="L175" s="1020"/>
      <c r="M175" s="309"/>
      <c r="N175" s="309"/>
      <c r="O175" s="309"/>
      <c r="P175" s="309"/>
      <c r="Q175" s="326"/>
      <c r="R175" s="326"/>
      <c r="S175" s="326"/>
      <c r="T175" s="309"/>
      <c r="U175" s="309"/>
      <c r="V175" s="309"/>
      <c r="W175" s="328"/>
      <c r="X175" s="309"/>
      <c r="Y175" s="309"/>
      <c r="Z175" s="309"/>
      <c r="AA175" s="309"/>
      <c r="AB175" s="309"/>
      <c r="AC175" s="309"/>
    </row>
    <row r="176" spans="1:29" ht="12.75" customHeight="1">
      <c r="A176" s="309"/>
      <c r="B176" s="309"/>
      <c r="C176" s="309"/>
      <c r="D176" s="309"/>
      <c r="E176" s="309"/>
      <c r="F176" s="309"/>
      <c r="G176" s="309"/>
      <c r="H176" s="309"/>
      <c r="I176" s="309"/>
      <c r="J176" s="309"/>
      <c r="K176" s="1020"/>
      <c r="L176" s="1020"/>
      <c r="M176" s="309"/>
      <c r="N176" s="309"/>
      <c r="O176" s="309"/>
      <c r="P176" s="309"/>
      <c r="Q176" s="326"/>
      <c r="R176" s="326"/>
      <c r="S176" s="326"/>
      <c r="T176" s="309"/>
      <c r="U176" s="309"/>
      <c r="V176" s="309"/>
      <c r="W176" s="328"/>
      <c r="X176" s="309"/>
      <c r="Y176" s="309"/>
      <c r="Z176" s="309"/>
      <c r="AA176" s="309"/>
      <c r="AB176" s="309"/>
      <c r="AC176" s="309"/>
    </row>
    <row r="177" spans="1:29" ht="12.75" customHeight="1">
      <c r="A177" s="309"/>
      <c r="B177" s="309"/>
      <c r="C177" s="309"/>
      <c r="D177" s="309"/>
      <c r="E177" s="309"/>
      <c r="F177" s="309"/>
      <c r="G177" s="309"/>
      <c r="H177" s="309"/>
      <c r="I177" s="309"/>
      <c r="J177" s="309"/>
      <c r="K177" s="1020"/>
      <c r="L177" s="1020"/>
      <c r="M177" s="309"/>
      <c r="N177" s="309"/>
      <c r="O177" s="309"/>
      <c r="P177" s="309"/>
      <c r="Q177" s="326"/>
      <c r="R177" s="326"/>
      <c r="S177" s="326"/>
      <c r="T177" s="309"/>
      <c r="U177" s="309"/>
      <c r="V177" s="309"/>
      <c r="W177" s="328"/>
      <c r="X177" s="309"/>
      <c r="Y177" s="309"/>
      <c r="Z177" s="309"/>
      <c r="AA177" s="309"/>
      <c r="AB177" s="309"/>
      <c r="AC177" s="309"/>
    </row>
    <row r="178" spans="1:29" ht="12.75" customHeight="1">
      <c r="A178" s="309"/>
      <c r="B178" s="309"/>
      <c r="C178" s="309"/>
      <c r="D178" s="309"/>
      <c r="E178" s="309"/>
      <c r="F178" s="309"/>
      <c r="G178" s="309"/>
      <c r="H178" s="309"/>
      <c r="I178" s="309"/>
      <c r="J178" s="309"/>
      <c r="K178" s="1020"/>
      <c r="L178" s="1020"/>
      <c r="M178" s="309"/>
      <c r="N178" s="309"/>
      <c r="O178" s="309"/>
      <c r="P178" s="309"/>
      <c r="Q178" s="326"/>
      <c r="R178" s="326"/>
      <c r="S178" s="326"/>
      <c r="T178" s="309"/>
      <c r="U178" s="309"/>
      <c r="V178" s="309"/>
      <c r="W178" s="328"/>
      <c r="X178" s="309"/>
      <c r="Y178" s="309"/>
      <c r="Z178" s="309"/>
      <c r="AA178" s="309"/>
      <c r="AB178" s="309"/>
      <c r="AC178" s="309"/>
    </row>
    <row r="179" spans="1:29" ht="12.75" customHeight="1">
      <c r="A179" s="309"/>
      <c r="B179" s="309"/>
      <c r="C179" s="309"/>
      <c r="D179" s="309"/>
      <c r="E179" s="309"/>
      <c r="F179" s="309"/>
      <c r="G179" s="309"/>
      <c r="H179" s="309"/>
      <c r="I179" s="309"/>
      <c r="J179" s="309"/>
      <c r="K179" s="1020"/>
      <c r="L179" s="1020"/>
      <c r="M179" s="309"/>
      <c r="N179" s="309"/>
      <c r="O179" s="309"/>
      <c r="P179" s="309"/>
      <c r="Q179" s="326"/>
      <c r="R179" s="326"/>
      <c r="S179" s="326"/>
      <c r="T179" s="309"/>
      <c r="U179" s="309"/>
      <c r="V179" s="309"/>
      <c r="W179" s="328"/>
      <c r="X179" s="309"/>
      <c r="Y179" s="309"/>
      <c r="Z179" s="309"/>
      <c r="AA179" s="309"/>
      <c r="AB179" s="309"/>
      <c r="AC179" s="309"/>
    </row>
    <row r="180" spans="1:29" ht="12.75" customHeight="1">
      <c r="A180" s="309"/>
      <c r="B180" s="309"/>
      <c r="C180" s="309"/>
      <c r="D180" s="309"/>
      <c r="E180" s="309"/>
      <c r="F180" s="309"/>
      <c r="G180" s="309"/>
      <c r="H180" s="309"/>
      <c r="I180" s="309"/>
      <c r="J180" s="309"/>
      <c r="K180" s="1020"/>
      <c r="L180" s="1020"/>
      <c r="M180" s="309"/>
      <c r="N180" s="309"/>
      <c r="O180" s="309"/>
      <c r="P180" s="309"/>
      <c r="Q180" s="326"/>
      <c r="R180" s="326"/>
      <c r="S180" s="326"/>
      <c r="T180" s="309"/>
      <c r="U180" s="309"/>
      <c r="V180" s="309"/>
      <c r="W180" s="328"/>
      <c r="X180" s="309"/>
      <c r="Y180" s="309"/>
      <c r="Z180" s="309"/>
      <c r="AA180" s="309"/>
      <c r="AB180" s="309"/>
      <c r="AC180" s="309"/>
    </row>
    <row r="181" spans="1:29" ht="12.75" customHeight="1">
      <c r="A181" s="309"/>
      <c r="B181" s="309"/>
      <c r="C181" s="309"/>
      <c r="D181" s="309"/>
      <c r="E181" s="309"/>
      <c r="F181" s="309"/>
      <c r="G181" s="309"/>
      <c r="H181" s="309"/>
      <c r="I181" s="309"/>
      <c r="J181" s="309"/>
      <c r="K181" s="1020"/>
      <c r="L181" s="1020"/>
      <c r="M181" s="309"/>
      <c r="N181" s="309"/>
      <c r="O181" s="309"/>
      <c r="P181" s="309"/>
      <c r="Q181" s="326"/>
      <c r="R181" s="326"/>
      <c r="S181" s="326"/>
      <c r="T181" s="309"/>
      <c r="U181" s="309"/>
      <c r="V181" s="309"/>
      <c r="W181" s="328"/>
      <c r="X181" s="309"/>
      <c r="Y181" s="309"/>
      <c r="Z181" s="309"/>
      <c r="AA181" s="309"/>
      <c r="AB181" s="309"/>
      <c r="AC181" s="309"/>
    </row>
    <row r="182" spans="1:29" ht="12.75" customHeight="1">
      <c r="A182" s="309"/>
      <c r="B182" s="309"/>
      <c r="C182" s="309"/>
      <c r="D182" s="309"/>
      <c r="E182" s="309"/>
      <c r="F182" s="309"/>
      <c r="G182" s="309"/>
      <c r="H182" s="309"/>
      <c r="I182" s="309"/>
      <c r="J182" s="309"/>
      <c r="K182" s="1020"/>
      <c r="L182" s="1020"/>
      <c r="M182" s="309"/>
      <c r="N182" s="309"/>
      <c r="O182" s="309"/>
      <c r="P182" s="309"/>
      <c r="Q182" s="326"/>
      <c r="R182" s="326"/>
      <c r="S182" s="326"/>
      <c r="T182" s="309"/>
      <c r="U182" s="309"/>
      <c r="V182" s="309"/>
      <c r="W182" s="328"/>
      <c r="X182" s="309"/>
      <c r="Y182" s="309"/>
      <c r="Z182" s="309"/>
      <c r="AA182" s="309"/>
      <c r="AB182" s="309"/>
      <c r="AC182" s="309"/>
    </row>
    <row r="183" spans="1:29" ht="12.75" customHeight="1">
      <c r="A183" s="309"/>
      <c r="B183" s="309"/>
      <c r="C183" s="309"/>
      <c r="D183" s="309"/>
      <c r="E183" s="309"/>
      <c r="F183" s="309"/>
      <c r="G183" s="309"/>
      <c r="H183" s="309"/>
      <c r="I183" s="309"/>
      <c r="J183" s="309"/>
      <c r="K183" s="1020"/>
      <c r="L183" s="1020"/>
      <c r="M183" s="309"/>
      <c r="N183" s="309"/>
      <c r="O183" s="309"/>
      <c r="P183" s="309"/>
      <c r="Q183" s="326"/>
      <c r="R183" s="326"/>
      <c r="S183" s="326"/>
      <c r="T183" s="309"/>
      <c r="U183" s="309"/>
      <c r="V183" s="309"/>
      <c r="W183" s="328"/>
      <c r="X183" s="309"/>
      <c r="Y183" s="309"/>
      <c r="Z183" s="309"/>
      <c r="AA183" s="309"/>
      <c r="AB183" s="309"/>
      <c r="AC183" s="309"/>
    </row>
    <row r="184" spans="1:29" ht="12.75" customHeight="1">
      <c r="A184" s="309"/>
      <c r="B184" s="309"/>
      <c r="C184" s="309"/>
      <c r="D184" s="309"/>
      <c r="E184" s="309"/>
      <c r="F184" s="309"/>
      <c r="G184" s="309"/>
      <c r="H184" s="309"/>
      <c r="I184" s="309"/>
      <c r="J184" s="309"/>
      <c r="K184" s="1020"/>
      <c r="L184" s="1020"/>
      <c r="M184" s="309"/>
      <c r="N184" s="309"/>
      <c r="O184" s="309"/>
      <c r="P184" s="309"/>
      <c r="Q184" s="326"/>
      <c r="R184" s="326"/>
      <c r="S184" s="326"/>
      <c r="T184" s="309"/>
      <c r="U184" s="309"/>
      <c r="V184" s="309"/>
      <c r="W184" s="328"/>
      <c r="X184" s="309"/>
      <c r="Y184" s="309"/>
      <c r="Z184" s="309"/>
      <c r="AA184" s="309"/>
      <c r="AB184" s="309"/>
      <c r="AC184" s="309"/>
    </row>
    <row r="185" spans="1:29" ht="12.75" customHeight="1">
      <c r="A185" s="309"/>
      <c r="B185" s="309"/>
      <c r="C185" s="309"/>
      <c r="D185" s="309"/>
      <c r="E185" s="309"/>
      <c r="F185" s="309"/>
      <c r="G185" s="309"/>
      <c r="H185" s="309"/>
      <c r="I185" s="309"/>
      <c r="J185" s="309"/>
      <c r="K185" s="1020"/>
      <c r="L185" s="1020"/>
      <c r="M185" s="309"/>
      <c r="N185" s="309"/>
      <c r="O185" s="309"/>
      <c r="P185" s="309"/>
      <c r="Q185" s="326"/>
      <c r="R185" s="326"/>
      <c r="S185" s="326"/>
      <c r="T185" s="309"/>
      <c r="U185" s="309"/>
      <c r="V185" s="309"/>
      <c r="W185" s="328"/>
      <c r="X185" s="309"/>
      <c r="Y185" s="309"/>
      <c r="Z185" s="309"/>
      <c r="AA185" s="309"/>
      <c r="AB185" s="309"/>
      <c r="AC185" s="309"/>
    </row>
    <row r="186" spans="1:29" ht="12.75" customHeight="1">
      <c r="A186" s="309"/>
      <c r="B186" s="309"/>
      <c r="C186" s="309"/>
      <c r="D186" s="309"/>
      <c r="E186" s="309"/>
      <c r="F186" s="309"/>
      <c r="G186" s="309"/>
      <c r="H186" s="309"/>
      <c r="I186" s="309"/>
      <c r="J186" s="309"/>
      <c r="K186" s="1020"/>
      <c r="L186" s="1020"/>
      <c r="M186" s="309"/>
      <c r="N186" s="309"/>
      <c r="O186" s="309"/>
      <c r="P186" s="309"/>
      <c r="Q186" s="326"/>
      <c r="R186" s="326"/>
      <c r="S186" s="326"/>
      <c r="T186" s="309"/>
      <c r="U186" s="309"/>
      <c r="V186" s="309"/>
      <c r="W186" s="328"/>
      <c r="X186" s="309"/>
      <c r="Y186" s="309"/>
      <c r="Z186" s="309"/>
      <c r="AA186" s="309"/>
      <c r="AB186" s="309"/>
      <c r="AC186" s="309"/>
    </row>
    <row r="187" spans="1:29" ht="12.75" customHeight="1">
      <c r="A187" s="309"/>
      <c r="B187" s="309"/>
      <c r="C187" s="309"/>
      <c r="D187" s="309"/>
      <c r="E187" s="309"/>
      <c r="F187" s="309"/>
      <c r="G187" s="309"/>
      <c r="H187" s="309"/>
      <c r="I187" s="309"/>
      <c r="J187" s="309"/>
      <c r="K187" s="1020"/>
      <c r="L187" s="1020"/>
      <c r="M187" s="309"/>
      <c r="N187" s="309"/>
      <c r="O187" s="309"/>
      <c r="P187" s="309"/>
      <c r="Q187" s="326"/>
      <c r="R187" s="326"/>
      <c r="S187" s="326"/>
      <c r="T187" s="309"/>
      <c r="U187" s="309"/>
      <c r="V187" s="309"/>
      <c r="W187" s="328"/>
      <c r="X187" s="309"/>
      <c r="Y187" s="309"/>
      <c r="Z187" s="309"/>
      <c r="AA187" s="309"/>
      <c r="AB187" s="309"/>
      <c r="AC187" s="309"/>
    </row>
    <row r="188" spans="1:29" ht="12.75" customHeight="1">
      <c r="A188" s="309"/>
      <c r="B188" s="309"/>
      <c r="C188" s="309"/>
      <c r="D188" s="309"/>
      <c r="E188" s="309"/>
      <c r="F188" s="309"/>
      <c r="G188" s="309"/>
      <c r="H188" s="309"/>
      <c r="I188" s="309"/>
      <c r="J188" s="309"/>
      <c r="K188" s="1020"/>
      <c r="L188" s="1020"/>
      <c r="M188" s="309"/>
      <c r="N188" s="309"/>
      <c r="O188" s="309"/>
      <c r="P188" s="309"/>
      <c r="Q188" s="326"/>
      <c r="R188" s="326"/>
      <c r="S188" s="326"/>
      <c r="T188" s="309"/>
      <c r="U188" s="309"/>
      <c r="V188" s="309"/>
      <c r="W188" s="328"/>
      <c r="X188" s="309"/>
      <c r="Y188" s="309"/>
      <c r="Z188" s="309"/>
      <c r="AA188" s="309"/>
      <c r="AB188" s="309"/>
      <c r="AC188" s="309"/>
    </row>
    <row r="189" spans="1:29" ht="12.75" customHeight="1">
      <c r="A189" s="309"/>
      <c r="B189" s="309"/>
      <c r="C189" s="309"/>
      <c r="D189" s="309"/>
      <c r="E189" s="309"/>
      <c r="F189" s="309"/>
      <c r="G189" s="309"/>
      <c r="H189" s="309"/>
      <c r="I189" s="309"/>
      <c r="J189" s="309"/>
      <c r="K189" s="1020"/>
      <c r="L189" s="1020"/>
      <c r="M189" s="309"/>
      <c r="N189" s="309"/>
      <c r="O189" s="309"/>
      <c r="P189" s="309"/>
      <c r="Q189" s="326"/>
      <c r="R189" s="326"/>
      <c r="S189" s="326"/>
      <c r="T189" s="309"/>
      <c r="U189" s="309"/>
      <c r="V189" s="309"/>
      <c r="W189" s="328"/>
      <c r="X189" s="309"/>
      <c r="Y189" s="309"/>
      <c r="Z189" s="309"/>
      <c r="AA189" s="309"/>
      <c r="AB189" s="309"/>
      <c r="AC189" s="309"/>
    </row>
    <row r="190" spans="1:29" ht="12.75" customHeight="1">
      <c r="A190" s="309"/>
      <c r="B190" s="309"/>
      <c r="C190" s="309"/>
      <c r="D190" s="309"/>
      <c r="E190" s="309"/>
      <c r="F190" s="309"/>
      <c r="G190" s="309"/>
      <c r="H190" s="309"/>
      <c r="I190" s="309"/>
      <c r="J190" s="309"/>
      <c r="K190" s="1020"/>
      <c r="L190" s="1020"/>
      <c r="M190" s="309"/>
      <c r="N190" s="309"/>
      <c r="O190" s="309"/>
      <c r="P190" s="309"/>
      <c r="Q190" s="326"/>
      <c r="R190" s="326"/>
      <c r="S190" s="326"/>
      <c r="T190" s="309"/>
      <c r="U190" s="309"/>
      <c r="V190" s="309"/>
      <c r="W190" s="328"/>
      <c r="X190" s="309"/>
      <c r="Y190" s="309"/>
      <c r="Z190" s="309"/>
      <c r="AA190" s="309"/>
      <c r="AB190" s="309"/>
      <c r="AC190" s="309"/>
    </row>
    <row r="191" spans="1:29" ht="12.75" customHeight="1">
      <c r="A191" s="309"/>
      <c r="B191" s="309"/>
      <c r="C191" s="309"/>
      <c r="D191" s="309"/>
      <c r="E191" s="309"/>
      <c r="F191" s="309"/>
      <c r="G191" s="309"/>
      <c r="H191" s="309"/>
      <c r="I191" s="309"/>
      <c r="J191" s="309"/>
      <c r="K191" s="1020"/>
      <c r="L191" s="1020"/>
      <c r="M191" s="309"/>
      <c r="N191" s="309"/>
      <c r="O191" s="309"/>
      <c r="P191" s="309"/>
      <c r="Q191" s="326"/>
      <c r="R191" s="326"/>
      <c r="S191" s="326"/>
      <c r="T191" s="309"/>
      <c r="U191" s="309"/>
      <c r="V191" s="309"/>
      <c r="W191" s="328"/>
      <c r="X191" s="309"/>
      <c r="Y191" s="309"/>
      <c r="Z191" s="309"/>
      <c r="AA191" s="309"/>
      <c r="AB191" s="309"/>
      <c r="AC191" s="309"/>
    </row>
    <row r="192" spans="1:29" ht="12.75" customHeight="1">
      <c r="A192" s="309"/>
      <c r="B192" s="309"/>
      <c r="C192" s="309"/>
      <c r="D192" s="309"/>
      <c r="E192" s="309"/>
      <c r="F192" s="309"/>
      <c r="G192" s="309"/>
      <c r="H192" s="309"/>
      <c r="I192" s="309"/>
      <c r="J192" s="309"/>
      <c r="K192" s="1020"/>
      <c r="L192" s="1020"/>
      <c r="M192" s="309"/>
      <c r="N192" s="309"/>
      <c r="O192" s="309"/>
      <c r="P192" s="309"/>
      <c r="Q192" s="326"/>
      <c r="R192" s="326"/>
      <c r="S192" s="326"/>
      <c r="T192" s="309"/>
      <c r="U192" s="309"/>
      <c r="V192" s="309"/>
      <c r="W192" s="328"/>
      <c r="X192" s="309"/>
      <c r="Y192" s="309"/>
      <c r="Z192" s="309"/>
      <c r="AA192" s="309"/>
      <c r="AB192" s="309"/>
      <c r="AC192" s="309"/>
    </row>
    <row r="193" spans="1:29" ht="12.75" customHeight="1">
      <c r="A193" s="309"/>
      <c r="B193" s="309"/>
      <c r="C193" s="309"/>
      <c r="D193" s="309"/>
      <c r="E193" s="309"/>
      <c r="F193" s="309"/>
      <c r="G193" s="309"/>
      <c r="H193" s="309"/>
      <c r="I193" s="309"/>
      <c r="J193" s="309"/>
      <c r="K193" s="1020"/>
      <c r="L193" s="1020"/>
      <c r="M193" s="309"/>
      <c r="N193" s="309"/>
      <c r="O193" s="309"/>
      <c r="P193" s="309"/>
      <c r="Q193" s="326"/>
      <c r="R193" s="326"/>
      <c r="S193" s="326"/>
      <c r="T193" s="309"/>
      <c r="U193" s="309"/>
      <c r="V193" s="309"/>
      <c r="W193" s="328"/>
      <c r="X193" s="309"/>
      <c r="Y193" s="309"/>
      <c r="Z193" s="309"/>
      <c r="AA193" s="309"/>
      <c r="AB193" s="309"/>
      <c r="AC193" s="309"/>
    </row>
    <row r="194" spans="1:29" ht="12.75" customHeight="1">
      <c r="A194" s="309"/>
      <c r="B194" s="309"/>
      <c r="C194" s="309"/>
      <c r="D194" s="309"/>
      <c r="E194" s="309"/>
      <c r="F194" s="309"/>
      <c r="G194" s="309"/>
      <c r="H194" s="309"/>
      <c r="I194" s="309"/>
      <c r="J194" s="309"/>
      <c r="K194" s="1020"/>
      <c r="L194" s="1020"/>
      <c r="M194" s="309"/>
      <c r="N194" s="309"/>
      <c r="O194" s="309"/>
      <c r="P194" s="309"/>
      <c r="Q194" s="326"/>
      <c r="R194" s="326"/>
      <c r="S194" s="326"/>
      <c r="T194" s="309"/>
      <c r="U194" s="309"/>
      <c r="V194" s="309"/>
      <c r="W194" s="328"/>
      <c r="X194" s="309"/>
      <c r="Y194" s="309"/>
      <c r="Z194" s="309"/>
      <c r="AA194" s="309"/>
      <c r="AB194" s="309"/>
      <c r="AC194" s="309"/>
    </row>
    <row r="195" spans="1:29" ht="12.75" customHeight="1">
      <c r="A195" s="309"/>
      <c r="B195" s="309"/>
      <c r="C195" s="309"/>
      <c r="D195" s="309"/>
      <c r="E195" s="309"/>
      <c r="F195" s="309"/>
      <c r="G195" s="309"/>
      <c r="H195" s="309"/>
      <c r="I195" s="309"/>
      <c r="J195" s="309"/>
      <c r="K195" s="1020"/>
      <c r="L195" s="1020"/>
      <c r="M195" s="309"/>
      <c r="N195" s="309"/>
      <c r="O195" s="309"/>
      <c r="P195" s="309"/>
      <c r="Q195" s="326"/>
      <c r="R195" s="326"/>
      <c r="S195" s="326"/>
      <c r="T195" s="309"/>
      <c r="U195" s="309"/>
      <c r="V195" s="309"/>
      <c r="W195" s="328"/>
      <c r="X195" s="309"/>
      <c r="Y195" s="309"/>
      <c r="Z195" s="309"/>
      <c r="AA195" s="309"/>
      <c r="AB195" s="309"/>
      <c r="AC195" s="309"/>
    </row>
    <row r="196" spans="1:29" ht="12.75" customHeight="1">
      <c r="A196" s="309"/>
      <c r="B196" s="309"/>
      <c r="C196" s="309"/>
      <c r="D196" s="309"/>
      <c r="E196" s="309"/>
      <c r="F196" s="309"/>
      <c r="G196" s="309"/>
      <c r="H196" s="309"/>
      <c r="I196" s="309"/>
      <c r="J196" s="309"/>
      <c r="K196" s="1020"/>
      <c r="L196" s="1020"/>
      <c r="M196" s="309"/>
      <c r="N196" s="309"/>
      <c r="O196" s="309"/>
      <c r="P196" s="309"/>
      <c r="Q196" s="326"/>
      <c r="R196" s="326"/>
      <c r="S196" s="326"/>
      <c r="T196" s="309"/>
      <c r="U196" s="309"/>
      <c r="V196" s="309"/>
      <c r="W196" s="328"/>
      <c r="X196" s="309"/>
      <c r="Y196" s="309"/>
      <c r="Z196" s="309"/>
      <c r="AA196" s="309"/>
      <c r="AB196" s="309"/>
      <c r="AC196" s="309"/>
    </row>
    <row r="197" spans="1:29" ht="12.75" customHeight="1">
      <c r="A197" s="309"/>
      <c r="B197" s="309"/>
      <c r="C197" s="309"/>
      <c r="D197" s="309"/>
      <c r="E197" s="309"/>
      <c r="F197" s="309"/>
      <c r="G197" s="309"/>
      <c r="H197" s="309"/>
      <c r="I197" s="309"/>
      <c r="J197" s="309"/>
      <c r="K197" s="1020"/>
      <c r="L197" s="1020"/>
      <c r="M197" s="309"/>
      <c r="N197" s="309"/>
      <c r="O197" s="309"/>
      <c r="P197" s="309"/>
      <c r="Q197" s="326"/>
      <c r="R197" s="326"/>
      <c r="S197" s="326"/>
      <c r="T197" s="309"/>
      <c r="U197" s="309"/>
      <c r="V197" s="309"/>
      <c r="W197" s="328"/>
      <c r="X197" s="309"/>
      <c r="Y197" s="309"/>
      <c r="Z197" s="309"/>
      <c r="AA197" s="309"/>
      <c r="AB197" s="309"/>
      <c r="AC197" s="309"/>
    </row>
    <row r="198" spans="1:29" ht="12.75" customHeight="1">
      <c r="A198" s="309"/>
      <c r="B198" s="309"/>
      <c r="C198" s="309"/>
      <c r="D198" s="309"/>
      <c r="E198" s="309"/>
      <c r="F198" s="309"/>
      <c r="G198" s="309"/>
      <c r="H198" s="309"/>
      <c r="I198" s="309"/>
      <c r="J198" s="309"/>
      <c r="K198" s="1020"/>
      <c r="L198" s="1020"/>
      <c r="M198" s="309"/>
      <c r="N198" s="309"/>
      <c r="O198" s="309"/>
      <c r="P198" s="309"/>
      <c r="Q198" s="326"/>
      <c r="R198" s="326"/>
      <c r="S198" s="326"/>
      <c r="T198" s="309"/>
      <c r="U198" s="309"/>
      <c r="V198" s="309"/>
      <c r="W198" s="328"/>
      <c r="X198" s="309"/>
      <c r="Y198" s="309"/>
      <c r="Z198" s="309"/>
      <c r="AA198" s="309"/>
      <c r="AB198" s="309"/>
      <c r="AC198" s="309"/>
    </row>
    <row r="199" spans="1:29" ht="12.75" customHeight="1">
      <c r="A199" s="309"/>
      <c r="B199" s="309"/>
      <c r="C199" s="309"/>
      <c r="D199" s="309"/>
      <c r="E199" s="309"/>
      <c r="F199" s="309"/>
      <c r="G199" s="309"/>
      <c r="H199" s="309"/>
      <c r="I199" s="309"/>
      <c r="J199" s="309"/>
      <c r="K199" s="1020"/>
      <c r="L199" s="1020"/>
      <c r="M199" s="309"/>
      <c r="N199" s="309"/>
      <c r="O199" s="309"/>
      <c r="P199" s="309"/>
      <c r="Q199" s="326"/>
      <c r="R199" s="326"/>
      <c r="S199" s="326"/>
      <c r="T199" s="309"/>
      <c r="U199" s="309"/>
      <c r="V199" s="309"/>
      <c r="W199" s="328"/>
      <c r="X199" s="309"/>
      <c r="Y199" s="309"/>
      <c r="Z199" s="309"/>
      <c r="AA199" s="309"/>
      <c r="AB199" s="309"/>
      <c r="AC199" s="309"/>
    </row>
    <row r="200" spans="1:29" ht="12.75" customHeight="1">
      <c r="A200" s="309"/>
      <c r="B200" s="309"/>
      <c r="C200" s="309"/>
      <c r="D200" s="309"/>
      <c r="E200" s="309"/>
      <c r="F200" s="309"/>
      <c r="G200" s="309"/>
      <c r="H200" s="309"/>
      <c r="I200" s="309"/>
      <c r="J200" s="309"/>
      <c r="K200" s="1020"/>
      <c r="L200" s="1020"/>
      <c r="M200" s="309"/>
      <c r="N200" s="309"/>
      <c r="O200" s="309"/>
      <c r="P200" s="309"/>
      <c r="Q200" s="326"/>
      <c r="R200" s="326"/>
      <c r="S200" s="326"/>
      <c r="T200" s="309"/>
      <c r="U200" s="309"/>
      <c r="V200" s="309"/>
      <c r="W200" s="328"/>
      <c r="X200" s="309"/>
      <c r="Y200" s="309"/>
      <c r="Z200" s="309"/>
      <c r="AA200" s="309"/>
      <c r="AB200" s="309"/>
      <c r="AC200" s="309"/>
    </row>
    <row r="201" spans="1:29" ht="12.75" customHeight="1">
      <c r="A201" s="309"/>
      <c r="B201" s="309"/>
      <c r="C201" s="309"/>
      <c r="D201" s="309"/>
      <c r="E201" s="309"/>
      <c r="F201" s="309"/>
      <c r="G201" s="309"/>
      <c r="H201" s="309"/>
      <c r="I201" s="309"/>
      <c r="J201" s="309"/>
      <c r="K201" s="1020"/>
      <c r="L201" s="1020"/>
      <c r="M201" s="309"/>
      <c r="N201" s="309"/>
      <c r="O201" s="309"/>
      <c r="P201" s="309"/>
      <c r="Q201" s="326"/>
      <c r="R201" s="326"/>
      <c r="S201" s="326"/>
      <c r="T201" s="309"/>
      <c r="U201" s="309"/>
      <c r="V201" s="309"/>
      <c r="W201" s="328"/>
      <c r="X201" s="309"/>
      <c r="Y201" s="309"/>
      <c r="Z201" s="309"/>
      <c r="AA201" s="309"/>
      <c r="AB201" s="309"/>
      <c r="AC201" s="309"/>
    </row>
    <row r="202" spans="1:29" ht="12.75" customHeight="1">
      <c r="A202" s="309"/>
      <c r="B202" s="309"/>
      <c r="C202" s="309"/>
      <c r="D202" s="309"/>
      <c r="E202" s="309"/>
      <c r="F202" s="309"/>
      <c r="G202" s="309"/>
      <c r="H202" s="309"/>
      <c r="I202" s="309"/>
      <c r="J202" s="309"/>
      <c r="K202" s="1020"/>
      <c r="L202" s="1020"/>
      <c r="M202" s="309"/>
      <c r="N202" s="309"/>
      <c r="O202" s="309"/>
      <c r="P202" s="309"/>
      <c r="Q202" s="326"/>
      <c r="R202" s="326"/>
      <c r="S202" s="326"/>
      <c r="T202" s="309"/>
      <c r="U202" s="309"/>
      <c r="V202" s="309"/>
      <c r="W202" s="328"/>
      <c r="X202" s="309"/>
      <c r="Y202" s="309"/>
      <c r="Z202" s="309"/>
      <c r="AA202" s="309"/>
      <c r="AB202" s="309"/>
      <c r="AC202" s="309"/>
    </row>
    <row r="203" spans="1:29" ht="12.75" customHeight="1">
      <c r="A203" s="309"/>
      <c r="B203" s="309"/>
      <c r="C203" s="309"/>
      <c r="D203" s="309"/>
      <c r="E203" s="309"/>
      <c r="F203" s="309"/>
      <c r="G203" s="309"/>
      <c r="H203" s="309"/>
      <c r="I203" s="309"/>
      <c r="J203" s="309"/>
      <c r="K203" s="1020"/>
      <c r="L203" s="1020"/>
      <c r="M203" s="309"/>
      <c r="N203" s="309"/>
      <c r="O203" s="309"/>
      <c r="P203" s="309"/>
      <c r="Q203" s="326"/>
      <c r="R203" s="326"/>
      <c r="S203" s="326"/>
      <c r="T203" s="309"/>
      <c r="U203" s="309"/>
      <c r="V203" s="309"/>
      <c r="W203" s="328"/>
      <c r="X203" s="309"/>
      <c r="Y203" s="309"/>
      <c r="Z203" s="309"/>
      <c r="AA203" s="309"/>
      <c r="AB203" s="309"/>
      <c r="AC203" s="309"/>
    </row>
    <row r="204" spans="1:29" ht="12.75" customHeight="1">
      <c r="A204" s="309"/>
      <c r="B204" s="309"/>
      <c r="C204" s="309"/>
      <c r="D204" s="309"/>
      <c r="E204" s="309"/>
      <c r="F204" s="309"/>
      <c r="G204" s="309"/>
      <c r="H204" s="309"/>
      <c r="I204" s="309"/>
      <c r="J204" s="309"/>
      <c r="K204" s="1020"/>
      <c r="L204" s="1020"/>
      <c r="M204" s="309"/>
      <c r="N204" s="309"/>
      <c r="O204" s="309"/>
      <c r="P204" s="309"/>
      <c r="Q204" s="326"/>
      <c r="R204" s="326"/>
      <c r="S204" s="326"/>
      <c r="T204" s="309"/>
      <c r="U204" s="309"/>
      <c r="V204" s="309"/>
      <c r="W204" s="328"/>
      <c r="X204" s="309"/>
      <c r="Y204" s="309"/>
      <c r="Z204" s="309"/>
      <c r="AA204" s="309"/>
      <c r="AB204" s="309"/>
      <c r="AC204" s="309"/>
    </row>
    <row r="205" spans="1:29" ht="12.75" customHeight="1">
      <c r="A205" s="309"/>
      <c r="B205" s="309"/>
      <c r="C205" s="309"/>
      <c r="D205" s="309"/>
      <c r="E205" s="309"/>
      <c r="F205" s="309"/>
      <c r="G205" s="309"/>
      <c r="H205" s="309"/>
      <c r="I205" s="309"/>
      <c r="J205" s="309"/>
      <c r="K205" s="1020"/>
      <c r="L205" s="1020"/>
      <c r="M205" s="309"/>
      <c r="N205" s="309"/>
      <c r="O205" s="309"/>
      <c r="P205" s="309"/>
      <c r="Q205" s="326"/>
      <c r="R205" s="326"/>
      <c r="S205" s="326"/>
      <c r="T205" s="309"/>
      <c r="U205" s="309"/>
      <c r="V205" s="309"/>
      <c r="W205" s="328"/>
      <c r="X205" s="309"/>
      <c r="Y205" s="309"/>
      <c r="Z205" s="309"/>
      <c r="AA205" s="309"/>
      <c r="AB205" s="309"/>
      <c r="AC205" s="309"/>
    </row>
    <row r="206" spans="1:29" ht="12.75" customHeight="1">
      <c r="A206" s="309"/>
      <c r="B206" s="309"/>
      <c r="C206" s="309"/>
      <c r="D206" s="309"/>
      <c r="E206" s="309"/>
      <c r="F206" s="309"/>
      <c r="G206" s="309"/>
      <c r="H206" s="309"/>
      <c r="I206" s="309"/>
      <c r="J206" s="309"/>
      <c r="K206" s="1020"/>
      <c r="L206" s="1020"/>
      <c r="M206" s="309"/>
      <c r="N206" s="309"/>
      <c r="O206" s="309"/>
      <c r="P206" s="309"/>
      <c r="Q206" s="326"/>
      <c r="R206" s="326"/>
      <c r="S206" s="326"/>
      <c r="T206" s="309"/>
      <c r="U206" s="309"/>
      <c r="V206" s="309"/>
      <c r="W206" s="328"/>
      <c r="X206" s="309"/>
      <c r="Y206" s="309"/>
      <c r="Z206" s="309"/>
      <c r="AA206" s="309"/>
      <c r="AB206" s="309"/>
      <c r="AC206" s="309"/>
    </row>
    <row r="207" spans="1:29" ht="12.75" customHeight="1">
      <c r="A207" s="309"/>
      <c r="B207" s="309"/>
      <c r="C207" s="309"/>
      <c r="D207" s="309"/>
      <c r="E207" s="309"/>
      <c r="F207" s="309"/>
      <c r="G207" s="309"/>
      <c r="H207" s="309"/>
      <c r="I207" s="309"/>
      <c r="J207" s="309"/>
      <c r="K207" s="1020"/>
      <c r="L207" s="1020"/>
      <c r="M207" s="309"/>
      <c r="N207" s="309"/>
      <c r="O207" s="309"/>
      <c r="P207" s="309"/>
      <c r="Q207" s="326"/>
      <c r="R207" s="326"/>
      <c r="S207" s="326"/>
      <c r="T207" s="309"/>
      <c r="U207" s="309"/>
      <c r="V207" s="309"/>
      <c r="W207" s="328"/>
      <c r="X207" s="309"/>
      <c r="Y207" s="309"/>
      <c r="Z207" s="309"/>
      <c r="AA207" s="309"/>
      <c r="AB207" s="309"/>
      <c r="AC207" s="309"/>
    </row>
    <row r="208" spans="1:29" ht="12.75" customHeight="1">
      <c r="A208" s="309"/>
      <c r="B208" s="309"/>
      <c r="C208" s="309"/>
      <c r="D208" s="309"/>
      <c r="E208" s="309"/>
      <c r="F208" s="309"/>
      <c r="G208" s="309"/>
      <c r="H208" s="309"/>
      <c r="I208" s="309"/>
      <c r="J208" s="309"/>
      <c r="K208" s="1020"/>
      <c r="L208" s="1020"/>
      <c r="M208" s="309"/>
      <c r="N208" s="309"/>
      <c r="O208" s="309"/>
      <c r="P208" s="309"/>
      <c r="Q208" s="326"/>
      <c r="R208" s="326"/>
      <c r="S208" s="326"/>
      <c r="T208" s="309"/>
      <c r="U208" s="309"/>
      <c r="V208" s="309"/>
      <c r="W208" s="328"/>
      <c r="X208" s="309"/>
      <c r="Y208" s="309"/>
      <c r="Z208" s="309"/>
      <c r="AA208" s="309"/>
      <c r="AB208" s="309"/>
      <c r="AC208" s="309"/>
    </row>
    <row r="209" spans="1:29" ht="12.75" customHeight="1">
      <c r="A209" s="309"/>
      <c r="B209" s="309"/>
      <c r="C209" s="309"/>
      <c r="D209" s="309"/>
      <c r="E209" s="309"/>
      <c r="F209" s="309"/>
      <c r="G209" s="309"/>
      <c r="H209" s="309"/>
      <c r="I209" s="309"/>
      <c r="J209" s="309"/>
      <c r="K209" s="1020"/>
      <c r="L209" s="1020"/>
      <c r="M209" s="309"/>
      <c r="N209" s="309"/>
      <c r="O209" s="309"/>
      <c r="P209" s="309"/>
      <c r="Q209" s="326"/>
      <c r="R209" s="326"/>
      <c r="S209" s="326"/>
      <c r="T209" s="309"/>
      <c r="U209" s="309"/>
      <c r="V209" s="309"/>
      <c r="W209" s="328"/>
      <c r="X209" s="309"/>
      <c r="Y209" s="309"/>
      <c r="Z209" s="309"/>
      <c r="AA209" s="309"/>
      <c r="AB209" s="309"/>
      <c r="AC209" s="309"/>
    </row>
    <row r="210" spans="1:29" ht="12.75" customHeight="1">
      <c r="A210" s="309"/>
      <c r="B210" s="309"/>
      <c r="C210" s="309"/>
      <c r="D210" s="309"/>
      <c r="E210" s="309"/>
      <c r="F210" s="309"/>
      <c r="G210" s="309"/>
      <c r="H210" s="309"/>
      <c r="I210" s="309"/>
      <c r="J210" s="309"/>
      <c r="K210" s="1020"/>
      <c r="L210" s="1020"/>
      <c r="M210" s="309"/>
      <c r="N210" s="309"/>
      <c r="O210" s="309"/>
      <c r="P210" s="309"/>
      <c r="Q210" s="326"/>
      <c r="R210" s="326"/>
      <c r="S210" s="326"/>
      <c r="T210" s="309"/>
      <c r="U210" s="309"/>
      <c r="V210" s="309"/>
      <c r="W210" s="328"/>
      <c r="X210" s="309"/>
      <c r="Y210" s="309"/>
      <c r="Z210" s="309"/>
      <c r="AA210" s="309"/>
      <c r="AB210" s="309"/>
      <c r="AC210" s="309"/>
    </row>
    <row r="211" spans="1:29" ht="12.75" customHeight="1">
      <c r="A211" s="309"/>
      <c r="B211" s="309"/>
      <c r="C211" s="309"/>
      <c r="D211" s="309"/>
      <c r="E211" s="309"/>
      <c r="F211" s="309"/>
      <c r="G211" s="309"/>
      <c r="H211" s="309"/>
      <c r="I211" s="309"/>
      <c r="J211" s="309"/>
      <c r="K211" s="1020"/>
      <c r="L211" s="1020"/>
      <c r="M211" s="309"/>
      <c r="N211" s="309"/>
      <c r="O211" s="309"/>
      <c r="P211" s="309"/>
      <c r="Q211" s="326"/>
      <c r="R211" s="326"/>
      <c r="S211" s="326"/>
      <c r="T211" s="309"/>
      <c r="U211" s="309"/>
      <c r="V211" s="309"/>
      <c r="W211" s="328"/>
      <c r="X211" s="309"/>
      <c r="Y211" s="309"/>
      <c r="Z211" s="309"/>
      <c r="AA211" s="309"/>
      <c r="AB211" s="309"/>
      <c r="AC211" s="309"/>
    </row>
    <row r="212" spans="1:29" ht="12.75" customHeight="1">
      <c r="A212" s="309"/>
      <c r="B212" s="309"/>
      <c r="C212" s="309"/>
      <c r="D212" s="309"/>
      <c r="E212" s="309"/>
      <c r="F212" s="309"/>
      <c r="G212" s="309"/>
      <c r="H212" s="309"/>
      <c r="I212" s="309"/>
      <c r="J212" s="309"/>
      <c r="K212" s="1020"/>
      <c r="L212" s="1020"/>
      <c r="M212" s="309"/>
      <c r="N212" s="309"/>
      <c r="O212" s="309"/>
      <c r="P212" s="309"/>
      <c r="Q212" s="326"/>
      <c r="R212" s="326"/>
      <c r="S212" s="326"/>
      <c r="T212" s="309"/>
      <c r="U212" s="309"/>
      <c r="V212" s="309"/>
      <c r="W212" s="328"/>
      <c r="X212" s="309"/>
      <c r="Y212" s="309"/>
      <c r="Z212" s="309"/>
      <c r="AA212" s="309"/>
      <c r="AB212" s="309"/>
      <c r="AC212" s="309"/>
    </row>
    <row r="213" spans="1:29" ht="12.75" customHeight="1">
      <c r="A213" s="309"/>
      <c r="B213" s="309"/>
      <c r="C213" s="309"/>
      <c r="D213" s="309"/>
      <c r="E213" s="309"/>
      <c r="F213" s="309"/>
      <c r="G213" s="309"/>
      <c r="H213" s="309"/>
      <c r="I213" s="309"/>
      <c r="J213" s="309"/>
      <c r="K213" s="1020"/>
      <c r="L213" s="1020"/>
      <c r="M213" s="309"/>
      <c r="N213" s="309"/>
      <c r="O213" s="309"/>
      <c r="P213" s="309"/>
      <c r="Q213" s="326"/>
      <c r="R213" s="326"/>
      <c r="S213" s="326"/>
      <c r="T213" s="309"/>
      <c r="U213" s="309"/>
      <c r="V213" s="309"/>
      <c r="W213" s="328"/>
      <c r="X213" s="309"/>
      <c r="Y213" s="309"/>
      <c r="Z213" s="309"/>
      <c r="AA213" s="309"/>
      <c r="AB213" s="309"/>
      <c r="AC213" s="309"/>
    </row>
    <row r="214" spans="1:29" ht="12.75" customHeight="1">
      <c r="A214" s="309"/>
      <c r="B214" s="309"/>
      <c r="C214" s="309"/>
      <c r="D214" s="309"/>
      <c r="E214" s="309"/>
      <c r="F214" s="309"/>
      <c r="G214" s="309"/>
      <c r="H214" s="309"/>
      <c r="I214" s="309"/>
      <c r="J214" s="309"/>
      <c r="K214" s="1020"/>
      <c r="L214" s="1020"/>
      <c r="M214" s="309"/>
      <c r="N214" s="309"/>
      <c r="O214" s="309"/>
      <c r="P214" s="309"/>
      <c r="Q214" s="326"/>
      <c r="R214" s="326"/>
      <c r="S214" s="326"/>
      <c r="T214" s="309"/>
      <c r="U214" s="309"/>
      <c r="V214" s="309"/>
      <c r="W214" s="328"/>
      <c r="X214" s="309"/>
      <c r="Y214" s="309"/>
      <c r="Z214" s="309"/>
      <c r="AA214" s="309"/>
      <c r="AB214" s="309"/>
      <c r="AC214" s="309"/>
    </row>
    <row r="215" spans="1:29" ht="12.75" customHeight="1">
      <c r="A215" s="309"/>
      <c r="B215" s="309"/>
      <c r="C215" s="309"/>
      <c r="D215" s="309"/>
      <c r="E215" s="309"/>
      <c r="F215" s="309"/>
      <c r="G215" s="309"/>
      <c r="H215" s="309"/>
      <c r="I215" s="309"/>
      <c r="J215" s="309"/>
      <c r="K215" s="1020"/>
      <c r="L215" s="1020"/>
      <c r="M215" s="309"/>
      <c r="N215" s="309"/>
      <c r="O215" s="309"/>
      <c r="P215" s="309"/>
      <c r="Q215" s="326"/>
      <c r="R215" s="326"/>
      <c r="S215" s="326"/>
      <c r="T215" s="309"/>
      <c r="U215" s="309"/>
      <c r="V215" s="309"/>
      <c r="W215" s="328"/>
      <c r="X215" s="309"/>
      <c r="Y215" s="309"/>
      <c r="Z215" s="309"/>
      <c r="AA215" s="309"/>
      <c r="AB215" s="309"/>
      <c r="AC215" s="309"/>
    </row>
    <row r="216" spans="1:29" ht="12.75" customHeight="1">
      <c r="A216" s="309"/>
      <c r="B216" s="309"/>
      <c r="C216" s="309"/>
      <c r="D216" s="309"/>
      <c r="E216" s="309"/>
      <c r="F216" s="309"/>
      <c r="G216" s="309"/>
      <c r="H216" s="309"/>
      <c r="I216" s="309"/>
      <c r="J216" s="309"/>
      <c r="K216" s="1020"/>
      <c r="L216" s="1020"/>
      <c r="M216" s="309"/>
      <c r="N216" s="309"/>
      <c r="O216" s="309"/>
      <c r="P216" s="309"/>
      <c r="Q216" s="326"/>
      <c r="R216" s="326"/>
      <c r="S216" s="326"/>
      <c r="T216" s="309"/>
      <c r="U216" s="309"/>
      <c r="V216" s="309"/>
      <c r="W216" s="328"/>
      <c r="X216" s="309"/>
      <c r="Y216" s="309"/>
      <c r="Z216" s="309"/>
      <c r="AA216" s="309"/>
      <c r="AB216" s="309"/>
      <c r="AC216" s="309"/>
    </row>
    <row r="217" spans="1:29" ht="12.75" customHeight="1">
      <c r="A217" s="309"/>
      <c r="B217" s="309"/>
      <c r="C217" s="309"/>
      <c r="D217" s="309"/>
      <c r="E217" s="309"/>
      <c r="F217" s="309"/>
      <c r="G217" s="309"/>
      <c r="H217" s="309"/>
      <c r="I217" s="309"/>
      <c r="J217" s="309"/>
      <c r="K217" s="1020"/>
      <c r="L217" s="1020"/>
      <c r="M217" s="309"/>
      <c r="N217" s="309"/>
      <c r="O217" s="309"/>
      <c r="P217" s="309"/>
      <c r="Q217" s="326"/>
      <c r="R217" s="326"/>
      <c r="S217" s="326"/>
      <c r="T217" s="309"/>
      <c r="U217" s="309"/>
      <c r="V217" s="309"/>
      <c r="W217" s="328"/>
      <c r="X217" s="309"/>
      <c r="Y217" s="309"/>
      <c r="Z217" s="309"/>
      <c r="AA217" s="309"/>
      <c r="AB217" s="309"/>
      <c r="AC217" s="309"/>
    </row>
    <row r="218" spans="1:29" ht="12.75" customHeight="1">
      <c r="A218" s="309"/>
      <c r="B218" s="309"/>
      <c r="C218" s="309"/>
      <c r="D218" s="309"/>
      <c r="E218" s="309"/>
      <c r="F218" s="309"/>
      <c r="G218" s="309"/>
      <c r="H218" s="309"/>
      <c r="I218" s="309"/>
      <c r="J218" s="309"/>
      <c r="K218" s="1020"/>
      <c r="L218" s="1020"/>
      <c r="M218" s="309"/>
      <c r="N218" s="309"/>
      <c r="O218" s="309"/>
      <c r="P218" s="309"/>
      <c r="Q218" s="326"/>
      <c r="R218" s="326"/>
      <c r="S218" s="326"/>
      <c r="T218" s="309"/>
      <c r="U218" s="309"/>
      <c r="V218" s="309"/>
      <c r="W218" s="328"/>
      <c r="X218" s="309"/>
      <c r="Y218" s="309"/>
      <c r="Z218" s="309"/>
      <c r="AA218" s="309"/>
      <c r="AB218" s="309"/>
      <c r="AC218" s="309"/>
    </row>
    <row r="219" spans="1:29" ht="12.75" customHeight="1">
      <c r="A219" s="309"/>
      <c r="B219" s="309"/>
      <c r="C219" s="309"/>
      <c r="D219" s="309"/>
      <c r="E219" s="309"/>
      <c r="F219" s="309"/>
      <c r="G219" s="309"/>
      <c r="H219" s="309"/>
      <c r="I219" s="309"/>
      <c r="J219" s="309"/>
      <c r="K219" s="1020"/>
      <c r="L219" s="1020"/>
      <c r="M219" s="309"/>
      <c r="N219" s="309"/>
      <c r="O219" s="309"/>
      <c r="P219" s="309"/>
      <c r="Q219" s="326"/>
      <c r="R219" s="326"/>
      <c r="S219" s="326"/>
      <c r="T219" s="309"/>
      <c r="U219" s="309"/>
      <c r="V219" s="309"/>
      <c r="W219" s="328"/>
      <c r="X219" s="309"/>
      <c r="Y219" s="309"/>
      <c r="Z219" s="309"/>
      <c r="AA219" s="309"/>
      <c r="AB219" s="309"/>
      <c r="AC219" s="309"/>
    </row>
    <row r="220" spans="1:29" ht="12.75" customHeight="1">
      <c r="A220" s="309"/>
      <c r="B220" s="309"/>
      <c r="C220" s="309"/>
      <c r="D220" s="309"/>
      <c r="E220" s="309"/>
      <c r="F220" s="309"/>
      <c r="G220" s="309"/>
      <c r="H220" s="309"/>
      <c r="I220" s="309"/>
      <c r="J220" s="309"/>
      <c r="K220" s="1020"/>
      <c r="L220" s="1020"/>
      <c r="M220" s="309"/>
      <c r="N220" s="309"/>
      <c r="O220" s="309"/>
      <c r="P220" s="309"/>
      <c r="Q220" s="326"/>
      <c r="R220" s="326"/>
      <c r="S220" s="326"/>
      <c r="T220" s="309"/>
      <c r="U220" s="309"/>
      <c r="V220" s="309"/>
      <c r="W220" s="328"/>
      <c r="X220" s="309"/>
      <c r="Y220" s="309"/>
      <c r="Z220" s="309"/>
      <c r="AA220" s="309"/>
      <c r="AB220" s="309"/>
      <c r="AC220" s="309"/>
    </row>
    <row r="221" spans="1:29" ht="12.75" customHeight="1">
      <c r="A221" s="309"/>
      <c r="B221" s="309"/>
      <c r="C221" s="309"/>
      <c r="D221" s="309"/>
      <c r="E221" s="309"/>
      <c r="F221" s="309"/>
      <c r="G221" s="309"/>
      <c r="H221" s="309"/>
      <c r="I221" s="309"/>
      <c r="J221" s="309"/>
      <c r="K221" s="1020"/>
      <c r="L221" s="1020"/>
      <c r="M221" s="309"/>
      <c r="N221" s="309"/>
      <c r="O221" s="309"/>
      <c r="P221" s="309"/>
      <c r="Q221" s="326"/>
      <c r="R221" s="326"/>
      <c r="S221" s="326"/>
      <c r="T221" s="309"/>
      <c r="U221" s="309"/>
      <c r="V221" s="309"/>
      <c r="W221" s="328"/>
      <c r="X221" s="309"/>
      <c r="Y221" s="309"/>
      <c r="Z221" s="309"/>
      <c r="AA221" s="309"/>
      <c r="AB221" s="309"/>
      <c r="AC221" s="309"/>
    </row>
    <row r="222" spans="1:29" ht="12.75" customHeight="1">
      <c r="A222" s="309"/>
      <c r="B222" s="309"/>
      <c r="C222" s="309"/>
      <c r="D222" s="309"/>
      <c r="E222" s="309"/>
      <c r="F222" s="309"/>
      <c r="G222" s="309"/>
      <c r="H222" s="309"/>
      <c r="I222" s="309"/>
      <c r="J222" s="309"/>
      <c r="K222" s="1020"/>
      <c r="L222" s="1020"/>
      <c r="M222" s="309"/>
      <c r="N222" s="309"/>
      <c r="O222" s="309"/>
      <c r="P222" s="309"/>
      <c r="Q222" s="326"/>
      <c r="R222" s="326"/>
      <c r="S222" s="326"/>
      <c r="T222" s="309"/>
      <c r="U222" s="309"/>
      <c r="V222" s="309"/>
      <c r="W222" s="328"/>
      <c r="X222" s="309"/>
      <c r="Y222" s="309"/>
      <c r="Z222" s="309"/>
      <c r="AA222" s="309"/>
      <c r="AB222" s="309"/>
      <c r="AC222" s="309"/>
    </row>
    <row r="223" spans="1:29" ht="12.75" customHeight="1">
      <c r="A223" s="309"/>
      <c r="B223" s="309"/>
      <c r="C223" s="309"/>
      <c r="D223" s="309"/>
      <c r="E223" s="309"/>
      <c r="F223" s="309"/>
      <c r="G223" s="309"/>
      <c r="H223" s="309"/>
      <c r="I223" s="309"/>
      <c r="J223" s="309"/>
      <c r="K223" s="1020"/>
      <c r="L223" s="1020"/>
      <c r="M223" s="309"/>
      <c r="N223" s="309"/>
      <c r="O223" s="309"/>
      <c r="P223" s="309"/>
      <c r="Q223" s="326"/>
      <c r="R223" s="326"/>
      <c r="S223" s="326"/>
      <c r="T223" s="309"/>
      <c r="U223" s="309"/>
      <c r="V223" s="309"/>
      <c r="W223" s="328"/>
      <c r="X223" s="309"/>
      <c r="Y223" s="309"/>
      <c r="Z223" s="309"/>
      <c r="AA223" s="309"/>
      <c r="AB223" s="309"/>
      <c r="AC223" s="309"/>
    </row>
    <row r="224" spans="1:29" ht="12.75" customHeight="1">
      <c r="A224" s="309"/>
      <c r="B224" s="309"/>
      <c r="C224" s="309"/>
      <c r="D224" s="309"/>
      <c r="E224" s="309"/>
      <c r="F224" s="309"/>
      <c r="G224" s="309"/>
      <c r="H224" s="309"/>
      <c r="I224" s="309"/>
      <c r="J224" s="309"/>
      <c r="K224" s="1020"/>
      <c r="L224" s="1020"/>
      <c r="M224" s="309"/>
      <c r="N224" s="309"/>
      <c r="O224" s="309"/>
      <c r="P224" s="309"/>
      <c r="Q224" s="326"/>
      <c r="R224" s="326"/>
      <c r="S224" s="326"/>
      <c r="T224" s="309"/>
      <c r="U224" s="309"/>
      <c r="V224" s="309"/>
      <c r="W224" s="328"/>
      <c r="X224" s="309"/>
      <c r="Y224" s="309"/>
      <c r="Z224" s="309"/>
      <c r="AA224" s="309"/>
      <c r="AB224" s="309"/>
      <c r="AC224" s="309"/>
    </row>
    <row r="225" spans="1:29" ht="12.75" customHeight="1">
      <c r="A225" s="309"/>
      <c r="B225" s="309"/>
      <c r="C225" s="309"/>
      <c r="D225" s="309"/>
      <c r="E225" s="309"/>
      <c r="F225" s="309"/>
      <c r="G225" s="309"/>
      <c r="H225" s="309"/>
      <c r="I225" s="309"/>
      <c r="J225" s="309"/>
      <c r="K225" s="1020"/>
      <c r="L225" s="1020"/>
      <c r="M225" s="309"/>
      <c r="N225" s="309"/>
      <c r="O225" s="309"/>
      <c r="P225" s="309"/>
      <c r="Q225" s="326"/>
      <c r="R225" s="326"/>
      <c r="S225" s="326"/>
      <c r="T225" s="309"/>
      <c r="U225" s="309"/>
      <c r="V225" s="309"/>
      <c r="W225" s="328"/>
      <c r="X225" s="309"/>
      <c r="Y225" s="309"/>
      <c r="Z225" s="309"/>
      <c r="AA225" s="309"/>
      <c r="AB225" s="309"/>
      <c r="AC225" s="309"/>
    </row>
    <row r="226" spans="1:29" ht="12.75" customHeight="1">
      <c r="A226" s="309"/>
      <c r="B226" s="309"/>
      <c r="C226" s="309"/>
      <c r="D226" s="309"/>
      <c r="E226" s="309"/>
      <c r="F226" s="309"/>
      <c r="G226" s="309"/>
      <c r="H226" s="309"/>
      <c r="I226" s="309"/>
      <c r="J226" s="309"/>
      <c r="K226" s="1020"/>
      <c r="L226" s="1020"/>
      <c r="M226" s="309"/>
      <c r="N226" s="309"/>
      <c r="O226" s="309"/>
      <c r="P226" s="309"/>
      <c r="Q226" s="326"/>
      <c r="R226" s="326"/>
      <c r="S226" s="326"/>
      <c r="T226" s="309"/>
      <c r="U226" s="309"/>
      <c r="V226" s="309"/>
      <c r="W226" s="328"/>
      <c r="X226" s="309"/>
      <c r="Y226" s="309"/>
      <c r="Z226" s="309"/>
      <c r="AA226" s="309"/>
      <c r="AB226" s="309"/>
      <c r="AC226" s="309"/>
    </row>
    <row r="227" spans="1:29" ht="12.75" customHeight="1">
      <c r="A227" s="309"/>
      <c r="B227" s="309"/>
      <c r="C227" s="309"/>
      <c r="D227" s="309"/>
      <c r="E227" s="309"/>
      <c r="F227" s="309"/>
      <c r="G227" s="309"/>
      <c r="H227" s="309"/>
      <c r="I227" s="309"/>
      <c r="J227" s="309"/>
      <c r="K227" s="1020"/>
      <c r="L227" s="1020"/>
      <c r="M227" s="309"/>
      <c r="N227" s="309"/>
      <c r="O227" s="309"/>
      <c r="P227" s="309"/>
      <c r="Q227" s="326"/>
      <c r="R227" s="326"/>
      <c r="S227" s="326"/>
      <c r="T227" s="309"/>
      <c r="U227" s="309"/>
      <c r="V227" s="309"/>
      <c r="W227" s="328"/>
      <c r="X227" s="309"/>
      <c r="Y227" s="309"/>
      <c r="Z227" s="309"/>
      <c r="AA227" s="309"/>
      <c r="AB227" s="309"/>
      <c r="AC227" s="309"/>
    </row>
    <row r="228" spans="1:29" ht="12.75" customHeight="1">
      <c r="A228" s="309"/>
      <c r="B228" s="309"/>
      <c r="C228" s="309"/>
      <c r="D228" s="309"/>
      <c r="E228" s="309"/>
      <c r="F228" s="309"/>
      <c r="G228" s="309"/>
      <c r="H228" s="309"/>
      <c r="I228" s="309"/>
      <c r="J228" s="309"/>
      <c r="K228" s="1020"/>
      <c r="L228" s="1020"/>
      <c r="M228" s="309"/>
      <c r="N228" s="309"/>
      <c r="O228" s="309"/>
      <c r="P228" s="309"/>
      <c r="Q228" s="326"/>
      <c r="R228" s="326"/>
      <c r="S228" s="326"/>
      <c r="T228" s="309"/>
      <c r="U228" s="309"/>
      <c r="V228" s="309"/>
      <c r="W228" s="328"/>
      <c r="X228" s="309"/>
      <c r="Y228" s="309"/>
      <c r="Z228" s="309"/>
      <c r="AA228" s="309"/>
      <c r="AB228" s="309"/>
      <c r="AC228" s="309"/>
    </row>
    <row r="229" spans="1:29" ht="12.75" customHeight="1">
      <c r="A229" s="309"/>
      <c r="B229" s="309"/>
      <c r="C229" s="309"/>
      <c r="D229" s="309"/>
      <c r="E229" s="309"/>
      <c r="F229" s="309"/>
      <c r="G229" s="309"/>
      <c r="H229" s="309"/>
      <c r="I229" s="309"/>
      <c r="J229" s="309"/>
      <c r="K229" s="1020"/>
      <c r="L229" s="1020"/>
      <c r="M229" s="309"/>
      <c r="N229" s="309"/>
      <c r="O229" s="309"/>
      <c r="P229" s="309"/>
      <c r="Q229" s="326"/>
      <c r="R229" s="326"/>
      <c r="S229" s="326"/>
      <c r="T229" s="309"/>
      <c r="U229" s="309"/>
      <c r="V229" s="309"/>
      <c r="W229" s="328"/>
      <c r="X229" s="309"/>
      <c r="Y229" s="309"/>
      <c r="Z229" s="309"/>
      <c r="AA229" s="309"/>
      <c r="AB229" s="309"/>
      <c r="AC229" s="309"/>
    </row>
    <row r="230" spans="1:29" ht="12.75" customHeight="1">
      <c r="A230" s="309"/>
      <c r="B230" s="309"/>
      <c r="C230" s="309"/>
      <c r="D230" s="309"/>
      <c r="E230" s="309"/>
      <c r="F230" s="309"/>
      <c r="G230" s="309"/>
      <c r="H230" s="309"/>
      <c r="I230" s="309"/>
      <c r="J230" s="309"/>
      <c r="K230" s="1020"/>
      <c r="L230" s="1020"/>
      <c r="M230" s="309"/>
      <c r="N230" s="309"/>
      <c r="O230" s="309"/>
      <c r="P230" s="309"/>
      <c r="Q230" s="326"/>
      <c r="R230" s="326"/>
      <c r="S230" s="326"/>
      <c r="T230" s="309"/>
      <c r="U230" s="309"/>
      <c r="V230" s="309"/>
      <c r="W230" s="328"/>
      <c r="X230" s="309"/>
      <c r="Y230" s="309"/>
      <c r="Z230" s="309"/>
      <c r="AA230" s="309"/>
      <c r="AB230" s="309"/>
      <c r="AC230" s="309"/>
    </row>
    <row r="231" spans="1:29" ht="12.75" customHeight="1">
      <c r="A231" s="309"/>
      <c r="B231" s="309"/>
      <c r="C231" s="309"/>
      <c r="D231" s="309"/>
      <c r="E231" s="309"/>
      <c r="F231" s="309"/>
      <c r="G231" s="309"/>
      <c r="H231" s="309"/>
      <c r="I231" s="309"/>
      <c r="J231" s="309"/>
      <c r="K231" s="1020"/>
      <c r="L231" s="1020"/>
      <c r="M231" s="309"/>
      <c r="N231" s="309"/>
      <c r="O231" s="309"/>
      <c r="P231" s="309"/>
      <c r="Q231" s="326"/>
      <c r="R231" s="326"/>
      <c r="S231" s="326"/>
      <c r="T231" s="309"/>
      <c r="U231" s="309"/>
      <c r="V231" s="309"/>
      <c r="W231" s="328"/>
      <c r="X231" s="309"/>
      <c r="Y231" s="309"/>
      <c r="Z231" s="309"/>
      <c r="AA231" s="309"/>
      <c r="AB231" s="309"/>
      <c r="AC231" s="309"/>
    </row>
    <row r="232" spans="1:29" ht="12.75" customHeight="1">
      <c r="A232" s="309"/>
      <c r="B232" s="309"/>
      <c r="C232" s="309"/>
      <c r="D232" s="309"/>
      <c r="E232" s="309"/>
      <c r="F232" s="309"/>
      <c r="G232" s="309"/>
      <c r="H232" s="309"/>
      <c r="I232" s="309"/>
      <c r="J232" s="309"/>
      <c r="K232" s="1020"/>
      <c r="L232" s="1020"/>
      <c r="M232" s="309"/>
      <c r="N232" s="309"/>
      <c r="O232" s="309"/>
      <c r="P232" s="309"/>
      <c r="Q232" s="326"/>
      <c r="R232" s="326"/>
      <c r="S232" s="326"/>
      <c r="T232" s="309"/>
      <c r="U232" s="309"/>
      <c r="V232" s="309"/>
      <c r="W232" s="328"/>
      <c r="X232" s="309"/>
      <c r="Y232" s="309"/>
      <c r="Z232" s="309"/>
      <c r="AA232" s="309"/>
      <c r="AB232" s="309"/>
      <c r="AC232" s="309"/>
    </row>
    <row r="233" spans="1:29" ht="12.75" customHeight="1">
      <c r="A233" s="309"/>
      <c r="B233" s="309"/>
      <c r="C233" s="309"/>
      <c r="D233" s="309"/>
      <c r="E233" s="309"/>
      <c r="F233" s="309"/>
      <c r="G233" s="309"/>
      <c r="H233" s="309"/>
      <c r="I233" s="309"/>
      <c r="J233" s="309"/>
      <c r="K233" s="1020"/>
      <c r="L233" s="1020"/>
      <c r="M233" s="309"/>
      <c r="N233" s="309"/>
      <c r="O233" s="309"/>
      <c r="P233" s="309"/>
      <c r="Q233" s="326"/>
      <c r="R233" s="326"/>
      <c r="S233" s="326"/>
      <c r="T233" s="309"/>
      <c r="U233" s="309"/>
      <c r="V233" s="309"/>
      <c r="W233" s="328"/>
      <c r="X233" s="309"/>
      <c r="Y233" s="309"/>
      <c r="Z233" s="309"/>
      <c r="AA233" s="309"/>
      <c r="AB233" s="309"/>
      <c r="AC233" s="309"/>
    </row>
    <row r="234" spans="1:29" ht="12.75" customHeight="1">
      <c r="A234" s="309"/>
      <c r="B234" s="309"/>
      <c r="C234" s="309"/>
      <c r="D234" s="309"/>
      <c r="E234" s="309"/>
      <c r="F234" s="309"/>
      <c r="G234" s="309"/>
      <c r="H234" s="309"/>
      <c r="I234" s="309"/>
      <c r="J234" s="309"/>
      <c r="K234" s="1020"/>
      <c r="L234" s="1020"/>
      <c r="M234" s="309"/>
      <c r="N234" s="309"/>
      <c r="O234" s="309"/>
      <c r="P234" s="309"/>
      <c r="Q234" s="326"/>
      <c r="R234" s="326"/>
      <c r="S234" s="326"/>
      <c r="T234" s="309"/>
      <c r="U234" s="309"/>
      <c r="V234" s="309"/>
      <c r="W234" s="328"/>
      <c r="X234" s="309"/>
      <c r="Y234" s="309"/>
      <c r="Z234" s="309"/>
      <c r="AA234" s="309"/>
      <c r="AB234" s="309"/>
      <c r="AC234" s="309"/>
    </row>
    <row r="235" spans="1:29" ht="12.75" customHeight="1">
      <c r="A235" s="309"/>
      <c r="B235" s="309"/>
      <c r="C235" s="309"/>
      <c r="D235" s="309"/>
      <c r="E235" s="309"/>
      <c r="F235" s="309"/>
      <c r="G235" s="309"/>
      <c r="H235" s="309"/>
      <c r="I235" s="309"/>
      <c r="J235" s="309"/>
      <c r="K235" s="1020"/>
      <c r="L235" s="1020"/>
      <c r="M235" s="309"/>
      <c r="N235" s="309"/>
      <c r="O235" s="309"/>
      <c r="P235" s="309"/>
      <c r="Q235" s="326"/>
      <c r="R235" s="326"/>
      <c r="S235" s="326"/>
      <c r="T235" s="309"/>
      <c r="U235" s="309"/>
      <c r="V235" s="309"/>
      <c r="W235" s="328"/>
      <c r="X235" s="309"/>
      <c r="Y235" s="309"/>
      <c r="Z235" s="309"/>
      <c r="AA235" s="309"/>
      <c r="AB235" s="309"/>
      <c r="AC235" s="309"/>
    </row>
    <row r="236" spans="1:29" ht="12.75" customHeight="1">
      <c r="A236" s="309"/>
      <c r="B236" s="309"/>
      <c r="C236" s="309"/>
      <c r="D236" s="309"/>
      <c r="E236" s="309"/>
      <c r="F236" s="309"/>
      <c r="G236" s="309"/>
      <c r="H236" s="309"/>
      <c r="I236" s="309"/>
      <c r="J236" s="309"/>
      <c r="K236" s="1020"/>
      <c r="L236" s="1020"/>
      <c r="M236" s="309"/>
      <c r="N236" s="309"/>
      <c r="O236" s="309"/>
      <c r="P236" s="309"/>
      <c r="Q236" s="326"/>
      <c r="R236" s="326"/>
      <c r="S236" s="326"/>
      <c r="T236" s="309"/>
      <c r="U236" s="309"/>
      <c r="V236" s="309"/>
      <c r="W236" s="328"/>
      <c r="X236" s="309"/>
      <c r="Y236" s="309"/>
      <c r="Z236" s="309"/>
      <c r="AA236" s="309"/>
      <c r="AB236" s="309"/>
      <c r="AC236" s="309"/>
    </row>
    <row r="237" spans="1:29" ht="12.75" customHeight="1">
      <c r="A237" s="309"/>
      <c r="B237" s="309"/>
      <c r="C237" s="309"/>
      <c r="D237" s="309"/>
      <c r="E237" s="309"/>
      <c r="F237" s="309"/>
      <c r="G237" s="309"/>
      <c r="H237" s="309"/>
      <c r="I237" s="309"/>
      <c r="J237" s="309"/>
      <c r="K237" s="1020"/>
      <c r="L237" s="1020"/>
      <c r="M237" s="309"/>
      <c r="N237" s="309"/>
      <c r="O237" s="309"/>
      <c r="P237" s="309"/>
      <c r="Q237" s="326"/>
      <c r="R237" s="326"/>
      <c r="S237" s="326"/>
      <c r="T237" s="309"/>
      <c r="U237" s="309"/>
      <c r="V237" s="309"/>
      <c r="W237" s="328"/>
      <c r="X237" s="309"/>
      <c r="Y237" s="309"/>
      <c r="Z237" s="309"/>
      <c r="AA237" s="309"/>
      <c r="AB237" s="309"/>
      <c r="AC237" s="309"/>
    </row>
    <row r="238" spans="1:29" ht="12.75" customHeight="1">
      <c r="A238" s="309"/>
      <c r="B238" s="309"/>
      <c r="C238" s="309"/>
      <c r="D238" s="309"/>
      <c r="E238" s="309"/>
      <c r="F238" s="309"/>
      <c r="G238" s="309"/>
      <c r="H238" s="309"/>
      <c r="I238" s="309"/>
      <c r="J238" s="309"/>
      <c r="K238" s="1020"/>
      <c r="L238" s="1020"/>
      <c r="M238" s="309"/>
      <c r="N238" s="309"/>
      <c r="O238" s="309"/>
      <c r="P238" s="309"/>
      <c r="Q238" s="326"/>
      <c r="R238" s="326"/>
      <c r="S238" s="326"/>
      <c r="T238" s="309"/>
      <c r="U238" s="309"/>
      <c r="V238" s="309"/>
      <c r="W238" s="328"/>
      <c r="X238" s="309"/>
      <c r="Y238" s="309"/>
      <c r="Z238" s="309"/>
      <c r="AA238" s="309"/>
      <c r="AB238" s="309"/>
      <c r="AC238" s="309"/>
    </row>
    <row r="239" spans="1:29" ht="12.75" customHeight="1">
      <c r="A239" s="309"/>
      <c r="B239" s="309"/>
      <c r="C239" s="309"/>
      <c r="D239" s="309"/>
      <c r="E239" s="309"/>
      <c r="F239" s="309"/>
      <c r="G239" s="309"/>
      <c r="H239" s="309"/>
      <c r="I239" s="309"/>
      <c r="J239" s="309"/>
      <c r="K239" s="1020"/>
      <c r="L239" s="1020"/>
      <c r="M239" s="309"/>
      <c r="N239" s="309"/>
      <c r="O239" s="309"/>
      <c r="P239" s="309"/>
      <c r="Q239" s="326"/>
      <c r="R239" s="326"/>
      <c r="S239" s="326"/>
      <c r="T239" s="309"/>
      <c r="U239" s="309"/>
      <c r="V239" s="309"/>
      <c r="W239" s="328"/>
      <c r="X239" s="309"/>
      <c r="Y239" s="309"/>
      <c r="Z239" s="309"/>
      <c r="AA239" s="309"/>
      <c r="AB239" s="309"/>
      <c r="AC239" s="309"/>
    </row>
    <row r="240" spans="1:29" ht="12.75" customHeight="1">
      <c r="A240" s="309"/>
      <c r="B240" s="309"/>
      <c r="C240" s="309"/>
      <c r="D240" s="309"/>
      <c r="E240" s="309"/>
      <c r="F240" s="309"/>
      <c r="G240" s="309"/>
      <c r="H240" s="309"/>
      <c r="I240" s="309"/>
      <c r="J240" s="309"/>
      <c r="K240" s="1020"/>
      <c r="L240" s="1020"/>
      <c r="M240" s="309"/>
      <c r="N240" s="309"/>
      <c r="O240" s="309"/>
      <c r="P240" s="309"/>
      <c r="Q240" s="326"/>
      <c r="R240" s="326"/>
      <c r="S240" s="326"/>
      <c r="T240" s="309"/>
      <c r="U240" s="309"/>
      <c r="V240" s="309"/>
      <c r="W240" s="328"/>
      <c r="X240" s="309"/>
      <c r="Y240" s="309"/>
      <c r="Z240" s="309"/>
      <c r="AA240" s="309"/>
      <c r="AB240" s="309"/>
      <c r="AC240" s="309"/>
    </row>
    <row r="241" spans="1:29" ht="12.75" customHeight="1">
      <c r="A241" s="309"/>
      <c r="B241" s="309"/>
      <c r="C241" s="309"/>
      <c r="D241" s="309"/>
      <c r="E241" s="309"/>
      <c r="F241" s="309"/>
      <c r="G241" s="309"/>
      <c r="H241" s="309"/>
      <c r="I241" s="309"/>
      <c r="J241" s="309"/>
      <c r="K241" s="1020"/>
      <c r="L241" s="1020"/>
      <c r="M241" s="309"/>
      <c r="N241" s="309"/>
      <c r="O241" s="309"/>
      <c r="P241" s="309"/>
      <c r="Q241" s="326"/>
      <c r="R241" s="326"/>
      <c r="S241" s="326"/>
      <c r="T241" s="309"/>
      <c r="U241" s="309"/>
      <c r="V241" s="309"/>
      <c r="W241" s="328"/>
      <c r="X241" s="309"/>
      <c r="Y241" s="309"/>
      <c r="Z241" s="309"/>
      <c r="AA241" s="309"/>
      <c r="AB241" s="309"/>
      <c r="AC241" s="309"/>
    </row>
    <row r="242" spans="1:29" ht="12.75" customHeight="1">
      <c r="A242" s="309"/>
      <c r="B242" s="309"/>
      <c r="C242" s="309"/>
      <c r="D242" s="309"/>
      <c r="E242" s="309"/>
      <c r="F242" s="309"/>
      <c r="G242" s="309"/>
      <c r="H242" s="309"/>
      <c r="I242" s="309"/>
      <c r="J242" s="309"/>
      <c r="K242" s="1020"/>
      <c r="L242" s="1020"/>
      <c r="M242" s="309"/>
      <c r="N242" s="309"/>
      <c r="O242" s="309"/>
      <c r="P242" s="309"/>
      <c r="Q242" s="326"/>
      <c r="R242" s="326"/>
      <c r="S242" s="326"/>
      <c r="T242" s="309"/>
      <c r="U242" s="309"/>
      <c r="V242" s="309"/>
      <c r="W242" s="328"/>
      <c r="X242" s="309"/>
      <c r="Y242" s="309"/>
      <c r="Z242" s="309"/>
      <c r="AA242" s="309"/>
      <c r="AB242" s="309"/>
      <c r="AC242" s="309"/>
    </row>
    <row r="243" spans="1:29" ht="12.75" customHeight="1">
      <c r="A243" s="309"/>
      <c r="B243" s="309"/>
      <c r="C243" s="309"/>
      <c r="D243" s="309"/>
      <c r="E243" s="309"/>
      <c r="F243" s="309"/>
      <c r="G243" s="309"/>
      <c r="H243" s="309"/>
      <c r="I243" s="309"/>
      <c r="J243" s="309"/>
      <c r="K243" s="1020"/>
      <c r="L243" s="1020"/>
      <c r="M243" s="309"/>
      <c r="N243" s="309"/>
      <c r="O243" s="309"/>
      <c r="P243" s="309"/>
      <c r="Q243" s="326"/>
      <c r="R243" s="326"/>
      <c r="S243" s="326"/>
      <c r="T243" s="309"/>
      <c r="U243" s="309"/>
      <c r="V243" s="309"/>
      <c r="W243" s="328"/>
      <c r="X243" s="309"/>
      <c r="Y243" s="309"/>
      <c r="Z243" s="309"/>
      <c r="AA243" s="309"/>
      <c r="AB243" s="309"/>
      <c r="AC243" s="309"/>
    </row>
    <row r="244" spans="1:29" ht="12.75" customHeight="1">
      <c r="A244" s="309"/>
      <c r="B244" s="309"/>
      <c r="C244" s="309"/>
      <c r="D244" s="309"/>
      <c r="E244" s="309"/>
      <c r="F244" s="309"/>
      <c r="G244" s="309"/>
      <c r="H244" s="309"/>
      <c r="I244" s="309"/>
      <c r="J244" s="309"/>
      <c r="K244" s="1020"/>
      <c r="L244" s="1020"/>
      <c r="M244" s="309"/>
      <c r="N244" s="309"/>
      <c r="O244" s="309"/>
      <c r="P244" s="309"/>
      <c r="Q244" s="326"/>
      <c r="R244" s="326"/>
      <c r="S244" s="326"/>
      <c r="T244" s="309"/>
      <c r="U244" s="309"/>
      <c r="V244" s="309"/>
      <c r="W244" s="328"/>
      <c r="X244" s="309"/>
      <c r="Y244" s="309"/>
      <c r="Z244" s="309"/>
      <c r="AA244" s="309"/>
      <c r="AB244" s="309"/>
      <c r="AC244" s="309"/>
    </row>
    <row r="245" spans="1:29" ht="12.75" customHeight="1">
      <c r="A245" s="309"/>
      <c r="B245" s="309"/>
      <c r="C245" s="309"/>
      <c r="D245" s="309"/>
      <c r="E245" s="309"/>
      <c r="F245" s="309"/>
      <c r="G245" s="309"/>
      <c r="H245" s="309"/>
      <c r="I245" s="309"/>
      <c r="J245" s="309"/>
      <c r="K245" s="1020"/>
      <c r="L245" s="1020"/>
      <c r="M245" s="309"/>
      <c r="N245" s="309"/>
      <c r="O245" s="309"/>
      <c r="P245" s="309"/>
      <c r="Q245" s="326"/>
      <c r="R245" s="326"/>
      <c r="S245" s="326"/>
      <c r="T245" s="309"/>
      <c r="U245" s="309"/>
      <c r="V245" s="309"/>
      <c r="W245" s="328"/>
      <c r="X245" s="309"/>
      <c r="Y245" s="309"/>
      <c r="Z245" s="309"/>
      <c r="AA245" s="309"/>
      <c r="AB245" s="309"/>
      <c r="AC245" s="309"/>
    </row>
    <row r="246" spans="1:29" ht="12.75" customHeight="1">
      <c r="A246" s="309"/>
      <c r="B246" s="309"/>
      <c r="C246" s="309"/>
      <c r="D246" s="309"/>
      <c r="E246" s="309"/>
      <c r="F246" s="309"/>
      <c r="G246" s="309"/>
      <c r="H246" s="309"/>
      <c r="I246" s="309"/>
      <c r="J246" s="309"/>
      <c r="K246" s="1020"/>
      <c r="L246" s="1020"/>
      <c r="M246" s="309"/>
      <c r="N246" s="309"/>
      <c r="O246" s="309"/>
      <c r="P246" s="309"/>
      <c r="Q246" s="326"/>
      <c r="R246" s="326"/>
      <c r="S246" s="326"/>
      <c r="T246" s="309"/>
      <c r="U246" s="309"/>
      <c r="V246" s="309"/>
      <c r="W246" s="328"/>
      <c r="X246" s="309"/>
      <c r="Y246" s="309"/>
      <c r="Z246" s="309"/>
      <c r="AA246" s="309"/>
      <c r="AB246" s="309"/>
      <c r="AC246" s="309"/>
    </row>
    <row r="247" spans="1:29" ht="12.75" customHeight="1">
      <c r="A247" s="309"/>
      <c r="B247" s="309"/>
      <c r="C247" s="309"/>
      <c r="D247" s="309"/>
      <c r="E247" s="309"/>
      <c r="F247" s="309"/>
      <c r="G247" s="309"/>
      <c r="H247" s="309"/>
      <c r="I247" s="309"/>
      <c r="J247" s="309"/>
      <c r="K247" s="1020"/>
      <c r="L247" s="1020"/>
      <c r="M247" s="309"/>
      <c r="N247" s="309"/>
      <c r="O247" s="309"/>
      <c r="P247" s="309"/>
      <c r="Q247" s="326"/>
      <c r="R247" s="326"/>
      <c r="S247" s="326"/>
      <c r="T247" s="309"/>
      <c r="U247" s="309"/>
      <c r="V247" s="309"/>
      <c r="W247" s="328"/>
      <c r="X247" s="309"/>
      <c r="Y247" s="309"/>
      <c r="Z247" s="309"/>
      <c r="AA247" s="309"/>
      <c r="AB247" s="309"/>
      <c r="AC247" s="309"/>
    </row>
    <row r="248" spans="1:29" ht="12.75" customHeight="1">
      <c r="A248" s="309"/>
      <c r="B248" s="309"/>
      <c r="C248" s="309"/>
      <c r="D248" s="309"/>
      <c r="E248" s="309"/>
      <c r="F248" s="309"/>
      <c r="G248" s="309"/>
      <c r="H248" s="309"/>
      <c r="I248" s="309"/>
      <c r="J248" s="309"/>
      <c r="K248" s="1020"/>
      <c r="L248" s="1020"/>
      <c r="M248" s="309"/>
      <c r="N248" s="309"/>
      <c r="O248" s="309"/>
      <c r="P248" s="309"/>
      <c r="Q248" s="326"/>
      <c r="R248" s="326"/>
      <c r="S248" s="326"/>
      <c r="T248" s="309"/>
      <c r="U248" s="309"/>
      <c r="V248" s="309"/>
      <c r="W248" s="328"/>
      <c r="X248" s="309"/>
      <c r="Y248" s="309"/>
      <c r="Z248" s="309"/>
      <c r="AA248" s="309"/>
      <c r="AB248" s="309"/>
      <c r="AC248" s="309"/>
    </row>
    <row r="249" spans="1:29" ht="12.75" customHeight="1">
      <c r="A249" s="309"/>
      <c r="B249" s="309"/>
      <c r="C249" s="309"/>
      <c r="D249" s="309"/>
      <c r="E249" s="309"/>
      <c r="F249" s="309"/>
      <c r="G249" s="309"/>
      <c r="H249" s="309"/>
      <c r="I249" s="309"/>
      <c r="J249" s="309"/>
      <c r="K249" s="1020"/>
      <c r="L249" s="1020"/>
      <c r="M249" s="309"/>
      <c r="N249" s="309"/>
      <c r="O249" s="309"/>
      <c r="P249" s="309"/>
      <c r="Q249" s="326"/>
      <c r="R249" s="326"/>
      <c r="S249" s="326"/>
      <c r="T249" s="309"/>
      <c r="U249" s="309"/>
      <c r="V249" s="309"/>
      <c r="W249" s="328"/>
      <c r="X249" s="309"/>
      <c r="Y249" s="309"/>
      <c r="Z249" s="309"/>
      <c r="AA249" s="309"/>
      <c r="AB249" s="309"/>
      <c r="AC249" s="309"/>
    </row>
    <row r="250" spans="1:29" ht="12.75" customHeight="1">
      <c r="A250" s="309"/>
      <c r="B250" s="309"/>
      <c r="C250" s="309"/>
      <c r="D250" s="309"/>
      <c r="E250" s="309"/>
      <c r="F250" s="309"/>
      <c r="G250" s="309"/>
      <c r="H250" s="309"/>
      <c r="I250" s="309"/>
      <c r="J250" s="309"/>
      <c r="K250" s="1020"/>
      <c r="L250" s="1020"/>
      <c r="M250" s="309"/>
      <c r="N250" s="309"/>
      <c r="O250" s="309"/>
      <c r="P250" s="309"/>
      <c r="Q250" s="326"/>
      <c r="R250" s="326"/>
      <c r="S250" s="326"/>
      <c r="T250" s="309"/>
      <c r="U250" s="309"/>
      <c r="V250" s="309"/>
      <c r="W250" s="328"/>
      <c r="X250" s="309"/>
      <c r="Y250" s="309"/>
      <c r="Z250" s="309"/>
      <c r="AA250" s="309"/>
      <c r="AB250" s="309"/>
      <c r="AC250" s="309"/>
    </row>
    <row r="251" spans="1:29" ht="12.75" customHeight="1">
      <c r="A251" s="309"/>
      <c r="B251" s="309"/>
      <c r="C251" s="309"/>
      <c r="D251" s="309"/>
      <c r="E251" s="309"/>
      <c r="F251" s="309"/>
      <c r="G251" s="309"/>
      <c r="H251" s="309"/>
      <c r="I251" s="309"/>
      <c r="J251" s="309"/>
      <c r="K251" s="1020"/>
      <c r="L251" s="1020"/>
      <c r="M251" s="309"/>
      <c r="N251" s="309"/>
      <c r="O251" s="309"/>
      <c r="P251" s="309"/>
      <c r="Q251" s="326"/>
      <c r="R251" s="326"/>
      <c r="S251" s="326"/>
      <c r="T251" s="309"/>
      <c r="U251" s="309"/>
      <c r="V251" s="309"/>
      <c r="W251" s="328"/>
      <c r="X251" s="309"/>
      <c r="Y251" s="309"/>
      <c r="Z251" s="309"/>
      <c r="AA251" s="309"/>
      <c r="AB251" s="309"/>
      <c r="AC251" s="309"/>
    </row>
    <row r="252" spans="1:29" ht="12.75" customHeight="1">
      <c r="A252" s="309"/>
      <c r="B252" s="309"/>
      <c r="C252" s="309"/>
      <c r="D252" s="309"/>
      <c r="E252" s="309"/>
      <c r="F252" s="309"/>
      <c r="G252" s="309"/>
      <c r="H252" s="309"/>
      <c r="I252" s="309"/>
      <c r="J252" s="309"/>
      <c r="K252" s="1020"/>
      <c r="L252" s="1020"/>
      <c r="M252" s="309"/>
      <c r="N252" s="309"/>
      <c r="O252" s="309"/>
      <c r="P252" s="309"/>
      <c r="Q252" s="326"/>
      <c r="R252" s="326"/>
      <c r="S252" s="326"/>
      <c r="T252" s="309"/>
      <c r="U252" s="309"/>
      <c r="V252" s="309"/>
      <c r="W252" s="328"/>
      <c r="X252" s="309"/>
      <c r="Y252" s="309"/>
      <c r="Z252" s="309"/>
      <c r="AA252" s="309"/>
      <c r="AB252" s="309"/>
      <c r="AC252" s="309"/>
    </row>
    <row r="253" spans="1:29" ht="12.75" customHeight="1">
      <c r="A253" s="309"/>
      <c r="B253" s="309"/>
      <c r="C253" s="309"/>
      <c r="D253" s="309"/>
      <c r="E253" s="309"/>
      <c r="F253" s="309"/>
      <c r="G253" s="309"/>
      <c r="H253" s="309"/>
      <c r="I253" s="309"/>
      <c r="J253" s="309"/>
      <c r="K253" s="1020"/>
      <c r="L253" s="1020"/>
      <c r="M253" s="309"/>
      <c r="N253" s="309"/>
      <c r="O253" s="309"/>
      <c r="P253" s="309"/>
      <c r="Q253" s="326"/>
      <c r="R253" s="326"/>
      <c r="S253" s="326"/>
      <c r="T253" s="309"/>
      <c r="U253" s="309"/>
      <c r="V253" s="309"/>
      <c r="W253" s="328"/>
      <c r="X253" s="309"/>
      <c r="Y253" s="309"/>
      <c r="Z253" s="309"/>
      <c r="AA253" s="309"/>
      <c r="AB253" s="309"/>
      <c r="AC253" s="309"/>
    </row>
    <row r="254" spans="1:29" ht="12.75" customHeight="1">
      <c r="A254" s="309"/>
      <c r="B254" s="309"/>
      <c r="C254" s="309"/>
      <c r="D254" s="309"/>
      <c r="E254" s="309"/>
      <c r="F254" s="309"/>
      <c r="G254" s="309"/>
      <c r="H254" s="309"/>
      <c r="I254" s="309"/>
      <c r="J254" s="309"/>
      <c r="K254" s="1020"/>
      <c r="L254" s="1020"/>
      <c r="M254" s="309"/>
      <c r="N254" s="309"/>
      <c r="O254" s="309"/>
      <c r="P254" s="309"/>
      <c r="Q254" s="326"/>
      <c r="R254" s="326"/>
      <c r="S254" s="326"/>
      <c r="T254" s="309"/>
      <c r="U254" s="309"/>
      <c r="V254" s="309"/>
      <c r="W254" s="328"/>
      <c r="X254" s="309"/>
      <c r="Y254" s="309"/>
      <c r="Z254" s="309"/>
      <c r="AA254" s="309"/>
      <c r="AB254" s="309"/>
      <c r="AC254" s="309"/>
    </row>
    <row r="255" spans="1:29" ht="12.75" customHeight="1">
      <c r="A255" s="309"/>
      <c r="B255" s="309"/>
      <c r="C255" s="309"/>
      <c r="D255" s="309"/>
      <c r="E255" s="309"/>
      <c r="F255" s="309"/>
      <c r="G255" s="309"/>
      <c r="H255" s="309"/>
      <c r="I255" s="309"/>
      <c r="J255" s="309"/>
      <c r="K255" s="1020"/>
      <c r="L255" s="1020"/>
      <c r="M255" s="309"/>
      <c r="N255" s="309"/>
      <c r="O255" s="309"/>
      <c r="P255" s="309"/>
      <c r="Q255" s="326"/>
      <c r="R255" s="326"/>
      <c r="S255" s="326"/>
      <c r="T255" s="309"/>
      <c r="U255" s="309"/>
      <c r="V255" s="309"/>
      <c r="W255" s="328"/>
      <c r="X255" s="309"/>
      <c r="Y255" s="309"/>
      <c r="Z255" s="309"/>
      <c r="AA255" s="309"/>
      <c r="AB255" s="309"/>
      <c r="AC255" s="309"/>
    </row>
    <row r="256" spans="1:29" ht="12.75" customHeight="1">
      <c r="A256" s="309"/>
      <c r="B256" s="309"/>
      <c r="C256" s="309"/>
      <c r="D256" s="309"/>
      <c r="E256" s="309"/>
      <c r="F256" s="309"/>
      <c r="G256" s="309"/>
      <c r="H256" s="309"/>
      <c r="I256" s="309"/>
      <c r="J256" s="309"/>
      <c r="K256" s="1020"/>
      <c r="L256" s="1020"/>
      <c r="M256" s="309"/>
      <c r="N256" s="309"/>
      <c r="O256" s="309"/>
      <c r="P256" s="309"/>
      <c r="Q256" s="326"/>
      <c r="R256" s="326"/>
      <c r="S256" s="326"/>
      <c r="T256" s="309"/>
      <c r="U256" s="309"/>
      <c r="V256" s="309"/>
      <c r="W256" s="328"/>
      <c r="X256" s="309"/>
      <c r="Y256" s="309"/>
      <c r="Z256" s="309"/>
      <c r="AA256" s="309"/>
      <c r="AB256" s="309"/>
      <c r="AC256" s="309"/>
    </row>
    <row r="257" spans="1:29" ht="12.75" customHeight="1">
      <c r="A257" s="309"/>
      <c r="B257" s="309"/>
      <c r="C257" s="309"/>
      <c r="D257" s="309"/>
      <c r="E257" s="309"/>
      <c r="F257" s="309"/>
      <c r="G257" s="309"/>
      <c r="H257" s="309"/>
      <c r="I257" s="309"/>
      <c r="J257" s="309"/>
      <c r="K257" s="1020"/>
      <c r="L257" s="1020"/>
      <c r="M257" s="309"/>
      <c r="N257" s="309"/>
      <c r="O257" s="309"/>
      <c r="P257" s="309"/>
      <c r="Q257" s="326"/>
      <c r="R257" s="326"/>
      <c r="S257" s="326"/>
      <c r="T257" s="309"/>
      <c r="U257" s="309"/>
      <c r="V257" s="309"/>
      <c r="W257" s="328"/>
      <c r="X257" s="309"/>
      <c r="Y257" s="309"/>
      <c r="Z257" s="309"/>
      <c r="AA257" s="309"/>
      <c r="AB257" s="309"/>
      <c r="AC257" s="309"/>
    </row>
    <row r="258" spans="1:29" ht="12.75" customHeight="1">
      <c r="A258" s="309"/>
      <c r="B258" s="309"/>
      <c r="C258" s="309"/>
      <c r="D258" s="309"/>
      <c r="E258" s="309"/>
      <c r="F258" s="309"/>
      <c r="G258" s="309"/>
      <c r="H258" s="309"/>
      <c r="I258" s="309"/>
      <c r="J258" s="309"/>
      <c r="K258" s="1020"/>
      <c r="L258" s="1020"/>
      <c r="M258" s="309"/>
      <c r="N258" s="309"/>
      <c r="O258" s="309"/>
      <c r="P258" s="309"/>
      <c r="Q258" s="326"/>
      <c r="R258" s="326"/>
      <c r="S258" s="326"/>
      <c r="T258" s="309"/>
      <c r="U258" s="309"/>
      <c r="V258" s="309"/>
      <c r="W258" s="328"/>
      <c r="X258" s="309"/>
      <c r="Y258" s="309"/>
      <c r="Z258" s="309"/>
      <c r="AA258" s="309"/>
      <c r="AB258" s="309"/>
      <c r="AC258" s="309"/>
    </row>
    <row r="259" spans="1:29" ht="12.75" customHeight="1">
      <c r="A259" s="309"/>
      <c r="B259" s="309"/>
      <c r="C259" s="309"/>
      <c r="D259" s="309"/>
      <c r="E259" s="309"/>
      <c r="F259" s="309"/>
      <c r="G259" s="309"/>
      <c r="H259" s="309"/>
      <c r="I259" s="309"/>
      <c r="J259" s="309"/>
      <c r="K259" s="1020"/>
      <c r="L259" s="1020"/>
      <c r="M259" s="309"/>
      <c r="N259" s="309"/>
      <c r="O259" s="309"/>
      <c r="P259" s="309"/>
      <c r="Q259" s="326"/>
      <c r="R259" s="326"/>
      <c r="S259" s="326"/>
      <c r="T259" s="309"/>
      <c r="U259" s="309"/>
      <c r="V259" s="309"/>
      <c r="W259" s="328"/>
      <c r="X259" s="309"/>
      <c r="Y259" s="309"/>
      <c r="Z259" s="309"/>
      <c r="AA259" s="309"/>
      <c r="AB259" s="309"/>
      <c r="AC259" s="309"/>
    </row>
    <row r="260" spans="1:29" ht="12.75" customHeight="1">
      <c r="A260" s="309"/>
      <c r="B260" s="309"/>
      <c r="C260" s="309"/>
      <c r="D260" s="309"/>
      <c r="E260" s="309"/>
      <c r="F260" s="309"/>
      <c r="G260" s="309"/>
      <c r="H260" s="309"/>
      <c r="I260" s="309"/>
      <c r="J260" s="309"/>
      <c r="K260" s="1020"/>
      <c r="L260" s="1020"/>
      <c r="M260" s="309"/>
      <c r="N260" s="309"/>
      <c r="O260" s="309"/>
      <c r="P260" s="309"/>
      <c r="Q260" s="326"/>
      <c r="R260" s="326"/>
      <c r="S260" s="326"/>
      <c r="T260" s="309"/>
      <c r="U260" s="309"/>
      <c r="V260" s="309"/>
      <c r="W260" s="328"/>
      <c r="X260" s="309"/>
      <c r="Y260" s="309"/>
      <c r="Z260" s="309"/>
      <c r="AA260" s="309"/>
      <c r="AB260" s="309"/>
      <c r="AC260" s="309"/>
    </row>
    <row r="261" spans="1:29" ht="12.75" customHeight="1">
      <c r="A261" s="309"/>
      <c r="B261" s="309"/>
      <c r="C261" s="309"/>
      <c r="D261" s="309"/>
      <c r="E261" s="309"/>
      <c r="F261" s="309"/>
      <c r="G261" s="309"/>
      <c r="H261" s="309"/>
      <c r="I261" s="309"/>
      <c r="J261" s="309"/>
      <c r="K261" s="1020"/>
      <c r="L261" s="1020"/>
      <c r="M261" s="309"/>
      <c r="N261" s="309"/>
      <c r="O261" s="309"/>
      <c r="P261" s="309"/>
      <c r="Q261" s="326"/>
      <c r="R261" s="326"/>
      <c r="S261" s="326"/>
      <c r="T261" s="309"/>
      <c r="U261" s="309"/>
      <c r="V261" s="309"/>
      <c r="W261" s="328"/>
      <c r="X261" s="309"/>
      <c r="Y261" s="309"/>
      <c r="Z261" s="309"/>
      <c r="AA261" s="309"/>
      <c r="AB261" s="309"/>
      <c r="AC261" s="309"/>
    </row>
    <row r="262" spans="1:29" ht="12.75" customHeight="1">
      <c r="A262" s="309"/>
      <c r="B262" s="309"/>
      <c r="C262" s="309"/>
      <c r="D262" s="309"/>
      <c r="E262" s="309"/>
      <c r="F262" s="309"/>
      <c r="G262" s="309"/>
      <c r="H262" s="309"/>
      <c r="I262" s="309"/>
      <c r="J262" s="309"/>
      <c r="K262" s="1020"/>
      <c r="L262" s="1020"/>
      <c r="M262" s="309"/>
      <c r="N262" s="309"/>
      <c r="O262" s="309"/>
      <c r="P262" s="309"/>
      <c r="Q262" s="326"/>
      <c r="R262" s="326"/>
      <c r="S262" s="326"/>
      <c r="T262" s="309"/>
      <c r="U262" s="309"/>
      <c r="V262" s="309"/>
      <c r="W262" s="328"/>
      <c r="X262" s="309"/>
      <c r="Y262" s="309"/>
      <c r="Z262" s="309"/>
      <c r="AA262" s="309"/>
      <c r="AB262" s="309"/>
      <c r="AC262" s="309"/>
    </row>
    <row r="263" spans="1:29" ht="12.75" customHeight="1">
      <c r="A263" s="309"/>
      <c r="B263" s="309"/>
      <c r="C263" s="309"/>
      <c r="D263" s="309"/>
      <c r="E263" s="309"/>
      <c r="F263" s="309"/>
      <c r="G263" s="309"/>
      <c r="H263" s="309"/>
      <c r="I263" s="309"/>
      <c r="J263" s="309"/>
      <c r="K263" s="1020"/>
      <c r="L263" s="1020"/>
      <c r="M263" s="309"/>
      <c r="N263" s="309"/>
      <c r="O263" s="309"/>
      <c r="P263" s="309"/>
      <c r="Q263" s="326"/>
      <c r="R263" s="326"/>
      <c r="S263" s="326"/>
      <c r="T263" s="309"/>
      <c r="U263" s="309"/>
      <c r="V263" s="309"/>
      <c r="W263" s="328"/>
      <c r="X263" s="309"/>
      <c r="Y263" s="309"/>
      <c r="Z263" s="309"/>
      <c r="AA263" s="309"/>
      <c r="AB263" s="309"/>
      <c r="AC263" s="309"/>
    </row>
    <row r="264" spans="1:29" ht="12.75" customHeight="1">
      <c r="A264" s="309"/>
      <c r="B264" s="309"/>
      <c r="C264" s="309"/>
      <c r="D264" s="309"/>
      <c r="E264" s="309"/>
      <c r="F264" s="309"/>
      <c r="G264" s="309"/>
      <c r="H264" s="309"/>
      <c r="I264" s="309"/>
      <c r="J264" s="309"/>
      <c r="K264" s="1020"/>
      <c r="L264" s="1020"/>
      <c r="M264" s="309"/>
      <c r="N264" s="309"/>
      <c r="O264" s="309"/>
      <c r="P264" s="309"/>
      <c r="Q264" s="326"/>
      <c r="R264" s="326"/>
      <c r="S264" s="326"/>
      <c r="T264" s="309"/>
      <c r="U264" s="309"/>
      <c r="V264" s="309"/>
      <c r="W264" s="328"/>
      <c r="X264" s="309"/>
      <c r="Y264" s="309"/>
      <c r="Z264" s="309"/>
      <c r="AA264" s="309"/>
      <c r="AB264" s="309"/>
      <c r="AC264" s="309"/>
    </row>
    <row r="265" spans="1:29" ht="12.75" customHeight="1">
      <c r="A265" s="309"/>
      <c r="B265" s="309"/>
      <c r="C265" s="309"/>
      <c r="D265" s="309"/>
      <c r="E265" s="309"/>
      <c r="F265" s="309"/>
      <c r="G265" s="309"/>
      <c r="H265" s="309"/>
      <c r="I265" s="309"/>
      <c r="J265" s="309"/>
      <c r="K265" s="1020"/>
      <c r="L265" s="1020"/>
      <c r="M265" s="309"/>
      <c r="N265" s="309"/>
      <c r="O265" s="309"/>
      <c r="P265" s="309"/>
      <c r="Q265" s="326"/>
      <c r="R265" s="326"/>
      <c r="S265" s="326"/>
      <c r="T265" s="309"/>
      <c r="U265" s="309"/>
      <c r="V265" s="309"/>
      <c r="W265" s="328"/>
      <c r="X265" s="309"/>
      <c r="Y265" s="309"/>
      <c r="Z265" s="309"/>
      <c r="AA265" s="309"/>
      <c r="AB265" s="309"/>
      <c r="AC265" s="309"/>
    </row>
    <row r="266" spans="1:29" ht="12.75" customHeight="1">
      <c r="A266" s="309"/>
      <c r="B266" s="309"/>
      <c r="C266" s="309"/>
      <c r="D266" s="309"/>
      <c r="E266" s="309"/>
      <c r="F266" s="309"/>
      <c r="G266" s="309"/>
      <c r="H266" s="309"/>
      <c r="I266" s="309"/>
      <c r="J266" s="309"/>
      <c r="K266" s="1020"/>
      <c r="L266" s="1020"/>
      <c r="M266" s="309"/>
      <c r="N266" s="309"/>
      <c r="O266" s="309"/>
      <c r="P266" s="309"/>
      <c r="Q266" s="326"/>
      <c r="R266" s="326"/>
      <c r="S266" s="326"/>
      <c r="T266" s="309"/>
      <c r="U266" s="309"/>
      <c r="V266" s="309"/>
      <c r="W266" s="328"/>
      <c r="X266" s="309"/>
      <c r="Y266" s="309"/>
      <c r="Z266" s="309"/>
      <c r="AA266" s="309"/>
      <c r="AB266" s="309"/>
      <c r="AC266" s="309"/>
    </row>
    <row r="267" spans="1:29" ht="12.75" customHeight="1">
      <c r="A267" s="309"/>
      <c r="B267" s="309"/>
      <c r="C267" s="309"/>
      <c r="D267" s="309"/>
      <c r="E267" s="309"/>
      <c r="F267" s="309"/>
      <c r="G267" s="309"/>
      <c r="H267" s="309"/>
      <c r="I267" s="309"/>
      <c r="J267" s="309"/>
      <c r="K267" s="1020"/>
      <c r="L267" s="1020"/>
      <c r="M267" s="309"/>
      <c r="N267" s="309"/>
      <c r="O267" s="309"/>
      <c r="P267" s="309"/>
      <c r="Q267" s="326"/>
      <c r="R267" s="326"/>
      <c r="S267" s="326"/>
      <c r="T267" s="309"/>
      <c r="U267" s="309"/>
      <c r="V267" s="309"/>
      <c r="W267" s="328"/>
      <c r="X267" s="309"/>
      <c r="Y267" s="309"/>
      <c r="Z267" s="309"/>
      <c r="AA267" s="309"/>
      <c r="AB267" s="309"/>
      <c r="AC267" s="309"/>
    </row>
    <row r="268" spans="1:29" ht="12.75" customHeight="1">
      <c r="A268" s="309"/>
      <c r="B268" s="309"/>
      <c r="C268" s="309"/>
      <c r="D268" s="309"/>
      <c r="E268" s="309"/>
      <c r="F268" s="309"/>
      <c r="G268" s="309"/>
      <c r="H268" s="309"/>
      <c r="I268" s="309"/>
      <c r="J268" s="309"/>
      <c r="K268" s="1020"/>
      <c r="L268" s="1020"/>
      <c r="M268" s="309"/>
      <c r="N268" s="309"/>
      <c r="O268" s="309"/>
      <c r="P268" s="309"/>
      <c r="Q268" s="326"/>
      <c r="R268" s="326"/>
      <c r="S268" s="326"/>
      <c r="T268" s="309"/>
      <c r="U268" s="309"/>
      <c r="V268" s="309"/>
      <c r="W268" s="328"/>
      <c r="X268" s="309"/>
      <c r="Y268" s="309"/>
      <c r="Z268" s="309"/>
      <c r="AA268" s="309"/>
      <c r="AB268" s="309"/>
      <c r="AC268" s="309"/>
    </row>
    <row r="269" spans="1:29" ht="12.75" customHeight="1">
      <c r="A269" s="309"/>
      <c r="B269" s="309"/>
      <c r="C269" s="309"/>
      <c r="D269" s="309"/>
      <c r="E269" s="309"/>
      <c r="F269" s="309"/>
      <c r="G269" s="309"/>
      <c r="H269" s="309"/>
      <c r="I269" s="309"/>
      <c r="J269" s="309"/>
      <c r="K269" s="1020"/>
      <c r="L269" s="1020"/>
      <c r="M269" s="309"/>
      <c r="N269" s="309"/>
      <c r="O269" s="309"/>
      <c r="P269" s="309"/>
      <c r="Q269" s="326"/>
      <c r="R269" s="326"/>
      <c r="S269" s="326"/>
      <c r="T269" s="309"/>
      <c r="U269" s="309"/>
      <c r="V269" s="309"/>
      <c r="W269" s="328"/>
      <c r="X269" s="309"/>
      <c r="Y269" s="309"/>
      <c r="Z269" s="309"/>
      <c r="AA269" s="309"/>
      <c r="AB269" s="309"/>
      <c r="AC269" s="309"/>
    </row>
    <row r="270" spans="1:29" ht="12.75" customHeight="1">
      <c r="A270" s="309"/>
      <c r="B270" s="309"/>
      <c r="C270" s="309"/>
      <c r="D270" s="309"/>
      <c r="E270" s="309"/>
      <c r="F270" s="309"/>
      <c r="G270" s="309"/>
      <c r="H270" s="309"/>
      <c r="I270" s="309"/>
      <c r="J270" s="309"/>
      <c r="K270" s="1020"/>
      <c r="L270" s="1020"/>
      <c r="M270" s="309"/>
      <c r="N270" s="309"/>
      <c r="O270" s="309"/>
      <c r="P270" s="309"/>
      <c r="Q270" s="326"/>
      <c r="R270" s="326"/>
      <c r="S270" s="326"/>
      <c r="T270" s="309"/>
      <c r="U270" s="309"/>
      <c r="V270" s="309"/>
      <c r="W270" s="328"/>
      <c r="X270" s="309"/>
      <c r="Y270" s="309"/>
      <c r="Z270" s="309"/>
      <c r="AA270" s="309"/>
      <c r="AB270" s="309"/>
      <c r="AC270" s="309"/>
    </row>
    <row r="271" spans="1:29" ht="12.75" customHeight="1">
      <c r="A271" s="309"/>
      <c r="B271" s="309"/>
      <c r="C271" s="309"/>
      <c r="D271" s="309"/>
      <c r="E271" s="309"/>
      <c r="F271" s="309"/>
      <c r="G271" s="309"/>
      <c r="H271" s="309"/>
      <c r="I271" s="309"/>
      <c r="J271" s="309"/>
      <c r="K271" s="1020"/>
      <c r="L271" s="1020"/>
      <c r="M271" s="309"/>
      <c r="N271" s="309"/>
      <c r="O271" s="309"/>
      <c r="P271" s="309"/>
      <c r="Q271" s="326"/>
      <c r="R271" s="326"/>
      <c r="S271" s="326"/>
      <c r="T271" s="309"/>
      <c r="U271" s="309"/>
      <c r="V271" s="309"/>
      <c r="W271" s="328"/>
      <c r="X271" s="309"/>
      <c r="Y271" s="309"/>
      <c r="Z271" s="309"/>
      <c r="AA271" s="309"/>
      <c r="AB271" s="309"/>
      <c r="AC271" s="309"/>
    </row>
    <row r="272" spans="1:29" ht="12.75" customHeight="1">
      <c r="A272" s="309"/>
      <c r="B272" s="309"/>
      <c r="C272" s="309"/>
      <c r="D272" s="309"/>
      <c r="E272" s="309"/>
      <c r="F272" s="309"/>
      <c r="G272" s="309"/>
      <c r="H272" s="309"/>
      <c r="I272" s="309"/>
      <c r="J272" s="309"/>
      <c r="K272" s="1020"/>
      <c r="L272" s="1020"/>
      <c r="M272" s="309"/>
      <c r="N272" s="309"/>
      <c r="O272" s="309"/>
      <c r="P272" s="309"/>
      <c r="Q272" s="326"/>
      <c r="R272" s="326"/>
      <c r="S272" s="326"/>
      <c r="T272" s="309"/>
      <c r="U272" s="309"/>
      <c r="V272" s="309"/>
      <c r="W272" s="328"/>
      <c r="X272" s="309"/>
      <c r="Y272" s="309"/>
      <c r="Z272" s="309"/>
      <c r="AA272" s="309"/>
      <c r="AB272" s="309"/>
      <c r="AC272" s="309"/>
    </row>
    <row r="273" spans="1:29" ht="12.75" customHeight="1">
      <c r="A273" s="309"/>
      <c r="B273" s="309"/>
      <c r="C273" s="309"/>
      <c r="D273" s="309"/>
      <c r="E273" s="309"/>
      <c r="F273" s="309"/>
      <c r="G273" s="309"/>
      <c r="H273" s="309"/>
      <c r="I273" s="309"/>
      <c r="J273" s="309"/>
      <c r="K273" s="1020"/>
      <c r="L273" s="1020"/>
      <c r="M273" s="309"/>
      <c r="N273" s="309"/>
      <c r="O273" s="309"/>
      <c r="P273" s="309"/>
      <c r="Q273" s="326"/>
      <c r="R273" s="326"/>
      <c r="S273" s="326"/>
      <c r="T273" s="309"/>
      <c r="U273" s="309"/>
      <c r="V273" s="309"/>
      <c r="W273" s="328"/>
      <c r="X273" s="309"/>
      <c r="Y273" s="309"/>
      <c r="Z273" s="309"/>
      <c r="AA273" s="309"/>
      <c r="AB273" s="309"/>
      <c r="AC273" s="309"/>
    </row>
    <row r="274" spans="1:29" ht="12.75" customHeight="1">
      <c r="A274" s="309"/>
      <c r="B274" s="309"/>
      <c r="C274" s="309"/>
      <c r="D274" s="309"/>
      <c r="E274" s="309"/>
      <c r="F274" s="309"/>
      <c r="G274" s="309"/>
      <c r="H274" s="309"/>
      <c r="I274" s="309"/>
      <c r="J274" s="309"/>
      <c r="K274" s="1020"/>
      <c r="L274" s="1020"/>
      <c r="M274" s="309"/>
      <c r="N274" s="309"/>
      <c r="O274" s="309"/>
      <c r="P274" s="309"/>
      <c r="Q274" s="326"/>
      <c r="R274" s="326"/>
      <c r="S274" s="326"/>
      <c r="T274" s="309"/>
      <c r="U274" s="309"/>
      <c r="V274" s="309"/>
      <c r="W274" s="328"/>
      <c r="X274" s="309"/>
      <c r="Y274" s="309"/>
      <c r="Z274" s="309"/>
      <c r="AA274" s="309"/>
      <c r="AB274" s="309"/>
      <c r="AC274" s="309"/>
    </row>
    <row r="275" spans="1:29" ht="12.75" customHeight="1">
      <c r="A275" s="309"/>
      <c r="B275" s="309"/>
      <c r="C275" s="309"/>
      <c r="D275" s="309"/>
      <c r="E275" s="309"/>
      <c r="F275" s="309"/>
      <c r="G275" s="309"/>
      <c r="H275" s="309"/>
      <c r="I275" s="309"/>
      <c r="J275" s="309"/>
      <c r="K275" s="1020"/>
      <c r="L275" s="1020"/>
      <c r="M275" s="309"/>
      <c r="N275" s="309"/>
      <c r="O275" s="309"/>
      <c r="P275" s="309"/>
      <c r="Q275" s="326"/>
      <c r="R275" s="326"/>
      <c r="S275" s="326"/>
      <c r="T275" s="309"/>
      <c r="U275" s="309"/>
      <c r="V275" s="309"/>
      <c r="W275" s="328"/>
      <c r="X275" s="309"/>
      <c r="Y275" s="309"/>
      <c r="Z275" s="309"/>
      <c r="AA275" s="309"/>
      <c r="AB275" s="309"/>
      <c r="AC275" s="309"/>
    </row>
    <row r="276" spans="1:29" ht="12.75" customHeight="1">
      <c r="A276" s="309"/>
      <c r="B276" s="309"/>
      <c r="C276" s="309"/>
      <c r="D276" s="309"/>
      <c r="E276" s="309"/>
      <c r="F276" s="309"/>
      <c r="G276" s="309"/>
      <c r="H276" s="309"/>
      <c r="I276" s="309"/>
      <c r="J276" s="309"/>
      <c r="K276" s="1020"/>
      <c r="L276" s="1020"/>
      <c r="M276" s="309"/>
      <c r="N276" s="309"/>
      <c r="O276" s="309"/>
      <c r="P276" s="309"/>
      <c r="Q276" s="326"/>
      <c r="R276" s="326"/>
      <c r="S276" s="326"/>
      <c r="T276" s="309"/>
      <c r="U276" s="309"/>
      <c r="V276" s="309"/>
      <c r="W276" s="328"/>
      <c r="X276" s="309"/>
      <c r="Y276" s="309"/>
      <c r="Z276" s="309"/>
      <c r="AA276" s="309"/>
      <c r="AB276" s="309"/>
      <c r="AC276" s="309"/>
    </row>
    <row r="277" spans="1:29" ht="12.75" customHeight="1">
      <c r="A277" s="309"/>
      <c r="B277" s="309"/>
      <c r="C277" s="309"/>
      <c r="D277" s="309"/>
      <c r="E277" s="309"/>
      <c r="F277" s="309"/>
      <c r="G277" s="309"/>
      <c r="H277" s="309"/>
      <c r="I277" s="309"/>
      <c r="J277" s="309"/>
      <c r="K277" s="1020"/>
      <c r="L277" s="1020"/>
      <c r="M277" s="309"/>
      <c r="N277" s="309"/>
      <c r="O277" s="309"/>
      <c r="P277" s="309"/>
      <c r="Q277" s="326"/>
      <c r="R277" s="326"/>
      <c r="S277" s="326"/>
      <c r="T277" s="309"/>
      <c r="U277" s="309"/>
      <c r="V277" s="309"/>
      <c r="W277" s="328"/>
      <c r="X277" s="309"/>
      <c r="Y277" s="309"/>
      <c r="Z277" s="309"/>
      <c r="AA277" s="309"/>
      <c r="AB277" s="309"/>
      <c r="AC277" s="309"/>
    </row>
    <row r="278" spans="1:29" ht="12.75" customHeight="1">
      <c r="A278" s="309"/>
      <c r="B278" s="309"/>
      <c r="C278" s="309"/>
      <c r="D278" s="309"/>
      <c r="E278" s="309"/>
      <c r="F278" s="309"/>
      <c r="G278" s="309"/>
      <c r="H278" s="309"/>
      <c r="I278" s="309"/>
      <c r="J278" s="309"/>
      <c r="K278" s="1020"/>
      <c r="L278" s="1020"/>
      <c r="M278" s="309"/>
      <c r="N278" s="309"/>
      <c r="O278" s="309"/>
      <c r="P278" s="309"/>
      <c r="Q278" s="326"/>
      <c r="R278" s="326"/>
      <c r="S278" s="326"/>
      <c r="T278" s="309"/>
      <c r="U278" s="309"/>
      <c r="V278" s="309"/>
      <c r="W278" s="328"/>
      <c r="X278" s="309"/>
      <c r="Y278" s="309"/>
      <c r="Z278" s="309"/>
      <c r="AA278" s="309"/>
      <c r="AB278" s="309"/>
      <c r="AC278" s="309"/>
    </row>
    <row r="279" spans="1:29" ht="12.75" customHeight="1">
      <c r="A279" s="309"/>
      <c r="B279" s="309"/>
      <c r="C279" s="309"/>
      <c r="D279" s="309"/>
      <c r="E279" s="309"/>
      <c r="F279" s="309"/>
      <c r="G279" s="309"/>
      <c r="H279" s="309"/>
      <c r="I279" s="309"/>
      <c r="J279" s="309"/>
      <c r="K279" s="1020"/>
      <c r="L279" s="1020"/>
      <c r="M279" s="309"/>
      <c r="N279" s="309"/>
      <c r="O279" s="309"/>
      <c r="P279" s="309"/>
      <c r="Q279" s="326"/>
      <c r="R279" s="326"/>
      <c r="S279" s="326"/>
      <c r="T279" s="309"/>
      <c r="U279" s="309"/>
      <c r="V279" s="309"/>
      <c r="W279" s="328"/>
      <c r="X279" s="309"/>
      <c r="Y279" s="309"/>
      <c r="Z279" s="309"/>
      <c r="AA279" s="309"/>
      <c r="AB279" s="309"/>
      <c r="AC279" s="309"/>
    </row>
    <row r="280" spans="1:29" ht="12.75" customHeight="1">
      <c r="A280" s="309"/>
      <c r="B280" s="309"/>
      <c r="C280" s="309"/>
      <c r="D280" s="309"/>
      <c r="E280" s="309"/>
      <c r="F280" s="309"/>
      <c r="G280" s="309"/>
      <c r="H280" s="309"/>
      <c r="I280" s="309"/>
      <c r="J280" s="309"/>
      <c r="K280" s="1020"/>
      <c r="L280" s="1020"/>
      <c r="M280" s="309"/>
      <c r="N280" s="309"/>
      <c r="O280" s="309"/>
      <c r="P280" s="309"/>
      <c r="Q280" s="326"/>
      <c r="R280" s="326"/>
      <c r="S280" s="326"/>
      <c r="T280" s="309"/>
      <c r="U280" s="309"/>
      <c r="V280" s="309"/>
      <c r="W280" s="328"/>
      <c r="X280" s="309"/>
      <c r="Y280" s="309"/>
      <c r="Z280" s="309"/>
      <c r="AA280" s="309"/>
      <c r="AB280" s="309"/>
      <c r="AC280" s="309"/>
    </row>
    <row r="281" spans="1:29" ht="12.75" customHeight="1">
      <c r="A281" s="309"/>
      <c r="B281" s="309"/>
      <c r="C281" s="309"/>
      <c r="D281" s="309"/>
      <c r="E281" s="309"/>
      <c r="F281" s="309"/>
      <c r="G281" s="309"/>
      <c r="H281" s="309"/>
      <c r="I281" s="309"/>
      <c r="J281" s="309"/>
      <c r="K281" s="1020"/>
      <c r="L281" s="1020"/>
      <c r="M281" s="309"/>
      <c r="N281" s="309"/>
      <c r="O281" s="309"/>
      <c r="P281" s="309"/>
      <c r="Q281" s="326"/>
      <c r="R281" s="326"/>
      <c r="S281" s="326"/>
      <c r="T281" s="309"/>
      <c r="U281" s="309"/>
      <c r="V281" s="309"/>
      <c r="W281" s="328"/>
      <c r="X281" s="309"/>
      <c r="Y281" s="309"/>
      <c r="Z281" s="309"/>
      <c r="AA281" s="309"/>
      <c r="AB281" s="309"/>
      <c r="AC281" s="309"/>
    </row>
    <row r="282" spans="1:29" ht="12.75" customHeight="1">
      <c r="A282" s="309"/>
      <c r="B282" s="309"/>
      <c r="C282" s="309"/>
      <c r="D282" s="309"/>
      <c r="E282" s="309"/>
      <c r="F282" s="309"/>
      <c r="G282" s="309"/>
      <c r="H282" s="309"/>
      <c r="I282" s="309"/>
      <c r="J282" s="309"/>
      <c r="K282" s="1020"/>
      <c r="L282" s="1020"/>
      <c r="M282" s="309"/>
      <c r="N282" s="309"/>
      <c r="O282" s="309"/>
      <c r="P282" s="309"/>
      <c r="Q282" s="326"/>
      <c r="R282" s="326"/>
      <c r="S282" s="326"/>
      <c r="T282" s="309"/>
      <c r="U282" s="309"/>
      <c r="V282" s="309"/>
      <c r="W282" s="328"/>
      <c r="X282" s="309"/>
      <c r="Y282" s="309"/>
      <c r="Z282" s="309"/>
      <c r="AA282" s="309"/>
      <c r="AB282" s="309"/>
      <c r="AC282" s="309"/>
    </row>
    <row r="283" spans="1:29" ht="12.75" customHeight="1">
      <c r="A283" s="309"/>
      <c r="B283" s="309"/>
      <c r="C283" s="309"/>
      <c r="D283" s="309"/>
      <c r="E283" s="309"/>
      <c r="F283" s="309"/>
      <c r="G283" s="309"/>
      <c r="H283" s="309"/>
      <c r="I283" s="309"/>
      <c r="J283" s="309"/>
      <c r="K283" s="1020"/>
      <c r="L283" s="1020"/>
      <c r="M283" s="309"/>
      <c r="N283" s="309"/>
      <c r="O283" s="309"/>
      <c r="P283" s="309"/>
      <c r="Q283" s="326"/>
      <c r="R283" s="326"/>
      <c r="S283" s="326"/>
      <c r="T283" s="309"/>
      <c r="U283" s="309"/>
      <c r="V283" s="309"/>
      <c r="W283" s="328"/>
      <c r="X283" s="309"/>
      <c r="Y283" s="309"/>
      <c r="Z283" s="309"/>
      <c r="AA283" s="309"/>
      <c r="AB283" s="309"/>
      <c r="AC283" s="309"/>
    </row>
    <row r="284" spans="1:29" ht="12.75" customHeight="1">
      <c r="A284" s="309"/>
      <c r="B284" s="309"/>
      <c r="C284" s="309"/>
      <c r="D284" s="309"/>
      <c r="E284" s="309"/>
      <c r="F284" s="309"/>
      <c r="G284" s="309"/>
      <c r="H284" s="309"/>
      <c r="I284" s="309"/>
      <c r="J284" s="309"/>
      <c r="K284" s="1020"/>
      <c r="L284" s="1020"/>
      <c r="M284" s="309"/>
      <c r="N284" s="309"/>
      <c r="O284" s="309"/>
      <c r="P284" s="309"/>
      <c r="Q284" s="326"/>
      <c r="R284" s="326"/>
      <c r="S284" s="326"/>
      <c r="T284" s="309"/>
      <c r="U284" s="309"/>
      <c r="V284" s="309"/>
      <c r="W284" s="328"/>
      <c r="X284" s="309"/>
      <c r="Y284" s="309"/>
      <c r="Z284" s="309"/>
      <c r="AA284" s="309"/>
      <c r="AB284" s="309"/>
      <c r="AC284" s="309"/>
    </row>
    <row r="285" spans="1:29" ht="12.75" customHeight="1">
      <c r="A285" s="309"/>
      <c r="B285" s="309"/>
      <c r="C285" s="309"/>
      <c r="D285" s="309"/>
      <c r="E285" s="309"/>
      <c r="F285" s="309"/>
      <c r="G285" s="309"/>
      <c r="H285" s="309"/>
      <c r="I285" s="309"/>
      <c r="J285" s="309"/>
      <c r="K285" s="1020"/>
      <c r="L285" s="1020"/>
      <c r="M285" s="309"/>
      <c r="N285" s="309"/>
      <c r="O285" s="309"/>
      <c r="P285" s="309"/>
      <c r="Q285" s="326"/>
      <c r="R285" s="326"/>
      <c r="S285" s="326"/>
      <c r="T285" s="309"/>
      <c r="U285" s="309"/>
      <c r="V285" s="309"/>
      <c r="W285" s="328"/>
      <c r="X285" s="309"/>
      <c r="Y285" s="309"/>
      <c r="Z285" s="309"/>
      <c r="AA285" s="309"/>
      <c r="AB285" s="309"/>
      <c r="AC285" s="309"/>
    </row>
    <row r="286" spans="1:29" ht="12.75" customHeight="1">
      <c r="A286" s="309"/>
      <c r="B286" s="309"/>
      <c r="C286" s="309"/>
      <c r="D286" s="309"/>
      <c r="E286" s="309"/>
      <c r="F286" s="309"/>
      <c r="G286" s="309"/>
      <c r="H286" s="309"/>
      <c r="I286" s="309"/>
      <c r="J286" s="309"/>
      <c r="K286" s="1020"/>
      <c r="L286" s="1020"/>
      <c r="M286" s="309"/>
      <c r="N286" s="309"/>
      <c r="O286" s="309"/>
      <c r="P286" s="309"/>
      <c r="Q286" s="326"/>
      <c r="R286" s="326"/>
      <c r="S286" s="326"/>
      <c r="T286" s="309"/>
      <c r="U286" s="309"/>
      <c r="V286" s="309"/>
      <c r="W286" s="328"/>
      <c r="X286" s="309"/>
      <c r="Y286" s="309"/>
      <c r="Z286" s="309"/>
      <c r="AA286" s="309"/>
      <c r="AB286" s="309"/>
      <c r="AC286" s="309"/>
    </row>
    <row r="287" spans="1:29" ht="12.75" customHeight="1">
      <c r="A287" s="309"/>
      <c r="B287" s="309"/>
      <c r="C287" s="309"/>
      <c r="D287" s="309"/>
      <c r="E287" s="309"/>
      <c r="F287" s="309"/>
      <c r="G287" s="309"/>
      <c r="H287" s="309"/>
      <c r="I287" s="309"/>
      <c r="J287" s="309"/>
      <c r="K287" s="1020"/>
      <c r="L287" s="1020"/>
      <c r="M287" s="309"/>
      <c r="N287" s="309"/>
      <c r="O287" s="309"/>
      <c r="P287" s="309"/>
      <c r="Q287" s="326"/>
      <c r="R287" s="326"/>
      <c r="S287" s="326"/>
      <c r="T287" s="309"/>
      <c r="U287" s="309"/>
      <c r="V287" s="309"/>
      <c r="W287" s="328"/>
      <c r="X287" s="309"/>
      <c r="Y287" s="309"/>
      <c r="Z287" s="309"/>
      <c r="AA287" s="309"/>
      <c r="AB287" s="309"/>
      <c r="AC287" s="309"/>
    </row>
    <row r="288" spans="1:29" ht="12.75" customHeight="1">
      <c r="A288" s="309"/>
      <c r="B288" s="309"/>
      <c r="C288" s="309"/>
      <c r="D288" s="309"/>
      <c r="E288" s="309"/>
      <c r="F288" s="309"/>
      <c r="G288" s="309"/>
      <c r="H288" s="309"/>
      <c r="I288" s="309"/>
      <c r="J288" s="309"/>
      <c r="K288" s="1020"/>
      <c r="L288" s="1020"/>
      <c r="M288" s="309"/>
      <c r="N288" s="309"/>
      <c r="O288" s="309"/>
      <c r="P288" s="309"/>
      <c r="Q288" s="326"/>
      <c r="R288" s="326"/>
      <c r="S288" s="326"/>
      <c r="T288" s="309"/>
      <c r="U288" s="309"/>
      <c r="V288" s="309"/>
      <c r="W288" s="328"/>
      <c r="X288" s="309"/>
      <c r="Y288" s="309"/>
      <c r="Z288" s="309"/>
      <c r="AA288" s="309"/>
      <c r="AB288" s="309"/>
      <c r="AC288" s="309"/>
    </row>
    <row r="289" spans="1:29" ht="12.75" customHeight="1">
      <c r="A289" s="309"/>
      <c r="B289" s="309"/>
      <c r="C289" s="309"/>
      <c r="D289" s="309"/>
      <c r="E289" s="309"/>
      <c r="F289" s="309"/>
      <c r="G289" s="309"/>
      <c r="H289" s="309"/>
      <c r="I289" s="309"/>
      <c r="J289" s="309"/>
      <c r="K289" s="1020"/>
      <c r="L289" s="1020"/>
      <c r="M289" s="309"/>
      <c r="N289" s="309"/>
      <c r="O289" s="309"/>
      <c r="P289" s="309"/>
      <c r="Q289" s="326"/>
      <c r="R289" s="326"/>
      <c r="S289" s="326"/>
      <c r="T289" s="309"/>
      <c r="U289" s="309"/>
      <c r="V289" s="309"/>
      <c r="W289" s="328"/>
      <c r="X289" s="309"/>
      <c r="Y289" s="309"/>
      <c r="Z289" s="309"/>
      <c r="AA289" s="309"/>
      <c r="AB289" s="309"/>
      <c r="AC289" s="309"/>
    </row>
    <row r="290" spans="1:29" ht="12.75" customHeight="1">
      <c r="A290" s="309"/>
      <c r="B290" s="309"/>
      <c r="C290" s="309"/>
      <c r="D290" s="309"/>
      <c r="E290" s="309"/>
      <c r="F290" s="309"/>
      <c r="G290" s="309"/>
      <c r="H290" s="309"/>
      <c r="I290" s="309"/>
      <c r="J290" s="309"/>
      <c r="K290" s="1020"/>
      <c r="L290" s="1020"/>
      <c r="M290" s="309"/>
      <c r="N290" s="309"/>
      <c r="O290" s="309"/>
      <c r="P290" s="309"/>
      <c r="Q290" s="326"/>
      <c r="R290" s="326"/>
      <c r="S290" s="326"/>
      <c r="T290" s="309"/>
      <c r="U290" s="309"/>
      <c r="V290" s="309"/>
      <c r="W290" s="328"/>
      <c r="X290" s="309"/>
      <c r="Y290" s="309"/>
      <c r="Z290" s="309"/>
      <c r="AA290" s="309"/>
      <c r="AB290" s="309"/>
      <c r="AC290" s="309"/>
    </row>
    <row r="291" spans="1:29" ht="12.75" customHeight="1">
      <c r="A291" s="309"/>
      <c r="B291" s="309"/>
      <c r="C291" s="309"/>
      <c r="D291" s="309"/>
      <c r="E291" s="309"/>
      <c r="F291" s="309"/>
      <c r="G291" s="309"/>
      <c r="H291" s="309"/>
      <c r="I291" s="309"/>
      <c r="J291" s="309"/>
      <c r="K291" s="1020"/>
      <c r="L291" s="1020"/>
      <c r="M291" s="309"/>
      <c r="N291" s="309"/>
      <c r="O291" s="309"/>
      <c r="P291" s="309"/>
      <c r="Q291" s="326"/>
      <c r="R291" s="326"/>
      <c r="S291" s="326"/>
      <c r="T291" s="309"/>
      <c r="U291" s="309"/>
      <c r="V291" s="309"/>
      <c r="W291" s="328"/>
      <c r="X291" s="309"/>
      <c r="Y291" s="309"/>
      <c r="Z291" s="309"/>
      <c r="AA291" s="309"/>
      <c r="AB291" s="309"/>
      <c r="AC291" s="309"/>
    </row>
    <row r="292" spans="1:29" ht="12.75" customHeight="1">
      <c r="A292" s="309"/>
      <c r="B292" s="309"/>
      <c r="C292" s="309"/>
      <c r="D292" s="309"/>
      <c r="E292" s="309"/>
      <c r="F292" s="309"/>
      <c r="G292" s="309"/>
      <c r="H292" s="309"/>
      <c r="I292" s="309"/>
      <c r="J292" s="309"/>
      <c r="K292" s="1020"/>
      <c r="L292" s="1020"/>
      <c r="M292" s="309"/>
      <c r="N292" s="309"/>
      <c r="O292" s="309"/>
      <c r="P292" s="309"/>
      <c r="Q292" s="326"/>
      <c r="R292" s="326"/>
      <c r="S292" s="326"/>
      <c r="T292" s="309"/>
      <c r="U292" s="309"/>
      <c r="V292" s="309"/>
      <c r="W292" s="328"/>
      <c r="X292" s="309"/>
      <c r="Y292" s="309"/>
      <c r="Z292" s="309"/>
      <c r="AA292" s="309"/>
      <c r="AB292" s="309"/>
      <c r="AC292" s="309"/>
    </row>
    <row r="293" spans="1:29" ht="12.75" customHeight="1">
      <c r="A293" s="309"/>
      <c r="B293" s="309"/>
      <c r="C293" s="309"/>
      <c r="D293" s="309"/>
      <c r="E293" s="309"/>
      <c r="F293" s="309"/>
      <c r="G293" s="309"/>
      <c r="H293" s="309"/>
      <c r="I293" s="309"/>
      <c r="J293" s="309"/>
      <c r="K293" s="1020"/>
      <c r="L293" s="1020"/>
      <c r="M293" s="309"/>
      <c r="N293" s="309"/>
      <c r="O293" s="309"/>
      <c r="P293" s="309"/>
      <c r="Q293" s="326"/>
      <c r="R293" s="326"/>
      <c r="S293" s="326"/>
      <c r="T293" s="309"/>
      <c r="U293" s="309"/>
      <c r="V293" s="309"/>
      <c r="W293" s="328"/>
      <c r="X293" s="309"/>
      <c r="Y293" s="309"/>
      <c r="Z293" s="309"/>
      <c r="AA293" s="309"/>
      <c r="AB293" s="309"/>
      <c r="AC293" s="309"/>
    </row>
    <row r="294" spans="1:29" ht="12.75" customHeight="1">
      <c r="A294" s="309"/>
      <c r="B294" s="309"/>
      <c r="C294" s="309"/>
      <c r="D294" s="309"/>
      <c r="E294" s="309"/>
      <c r="F294" s="309"/>
      <c r="G294" s="309"/>
      <c r="H294" s="309"/>
      <c r="I294" s="309"/>
      <c r="J294" s="309"/>
      <c r="K294" s="1020"/>
      <c r="L294" s="1020"/>
      <c r="M294" s="309"/>
      <c r="N294" s="309"/>
      <c r="O294" s="309"/>
      <c r="P294" s="309"/>
      <c r="Q294" s="326"/>
      <c r="R294" s="326"/>
      <c r="S294" s="326"/>
      <c r="T294" s="309"/>
      <c r="U294" s="309"/>
      <c r="V294" s="309"/>
      <c r="W294" s="328"/>
      <c r="X294" s="309"/>
      <c r="Y294" s="309"/>
      <c r="Z294" s="309"/>
      <c r="AA294" s="309"/>
      <c r="AB294" s="309"/>
      <c r="AC294" s="309"/>
    </row>
    <row r="295" spans="1:29" ht="12.75" customHeight="1">
      <c r="A295" s="309"/>
      <c r="B295" s="309"/>
      <c r="C295" s="309"/>
      <c r="D295" s="309"/>
      <c r="E295" s="309"/>
      <c r="F295" s="309"/>
      <c r="G295" s="309"/>
      <c r="H295" s="309"/>
      <c r="I295" s="309"/>
      <c r="J295" s="309"/>
      <c r="K295" s="1020"/>
      <c r="L295" s="1020"/>
      <c r="M295" s="309"/>
      <c r="N295" s="309"/>
      <c r="O295" s="309"/>
      <c r="P295" s="309"/>
      <c r="Q295" s="326"/>
      <c r="R295" s="326"/>
      <c r="S295" s="326"/>
      <c r="T295" s="309"/>
      <c r="U295" s="309"/>
      <c r="V295" s="309"/>
      <c r="W295" s="328"/>
      <c r="X295" s="309"/>
      <c r="Y295" s="309"/>
      <c r="Z295" s="309"/>
      <c r="AA295" s="309"/>
      <c r="AB295" s="309"/>
      <c r="AC295" s="309"/>
    </row>
    <row r="296" spans="1:29" ht="12.75" customHeight="1">
      <c r="A296" s="309"/>
      <c r="B296" s="309"/>
      <c r="C296" s="309"/>
      <c r="D296" s="309"/>
      <c r="E296" s="309"/>
      <c r="F296" s="309"/>
      <c r="G296" s="309"/>
      <c r="H296" s="309"/>
      <c r="I296" s="309"/>
      <c r="J296" s="309"/>
      <c r="K296" s="1020"/>
      <c r="L296" s="1020"/>
      <c r="M296" s="309"/>
      <c r="N296" s="309"/>
      <c r="O296" s="309"/>
      <c r="P296" s="309"/>
      <c r="Q296" s="326"/>
      <c r="R296" s="326"/>
      <c r="S296" s="326"/>
      <c r="T296" s="309"/>
      <c r="U296" s="309"/>
      <c r="V296" s="309"/>
      <c r="W296" s="328"/>
      <c r="X296" s="309"/>
      <c r="Y296" s="309"/>
      <c r="Z296" s="309"/>
      <c r="AA296" s="309"/>
      <c r="AB296" s="309"/>
      <c r="AC296" s="309"/>
    </row>
    <row r="297" spans="1:29" ht="12.75" customHeight="1">
      <c r="A297" s="309"/>
      <c r="B297" s="309"/>
      <c r="C297" s="309"/>
      <c r="D297" s="309"/>
      <c r="E297" s="309"/>
      <c r="F297" s="309"/>
      <c r="G297" s="309"/>
      <c r="H297" s="309"/>
      <c r="I297" s="309"/>
      <c r="J297" s="309"/>
      <c r="K297" s="1020"/>
      <c r="L297" s="1020"/>
      <c r="M297" s="309"/>
      <c r="N297" s="309"/>
      <c r="O297" s="309"/>
      <c r="P297" s="309"/>
      <c r="Q297" s="326"/>
      <c r="R297" s="326"/>
      <c r="S297" s="326"/>
      <c r="T297" s="309"/>
      <c r="U297" s="309"/>
      <c r="V297" s="309"/>
      <c r="W297" s="328"/>
      <c r="X297" s="309"/>
      <c r="Y297" s="309"/>
      <c r="Z297" s="309"/>
      <c r="AA297" s="309"/>
      <c r="AB297" s="309"/>
      <c r="AC297" s="309"/>
    </row>
    <row r="298" spans="1:29" ht="12.75" customHeight="1">
      <c r="A298" s="309"/>
      <c r="B298" s="309"/>
      <c r="C298" s="309"/>
      <c r="D298" s="309"/>
      <c r="E298" s="309"/>
      <c r="F298" s="309"/>
      <c r="G298" s="309"/>
      <c r="H298" s="309"/>
      <c r="I298" s="309"/>
      <c r="J298" s="309"/>
      <c r="K298" s="1020"/>
      <c r="L298" s="1020"/>
      <c r="M298" s="309"/>
      <c r="N298" s="309"/>
      <c r="O298" s="309"/>
      <c r="P298" s="309"/>
      <c r="Q298" s="326"/>
      <c r="R298" s="326"/>
      <c r="S298" s="326"/>
      <c r="T298" s="309"/>
      <c r="U298" s="309"/>
      <c r="V298" s="309"/>
      <c r="W298" s="328"/>
      <c r="X298" s="309"/>
      <c r="Y298" s="309"/>
      <c r="Z298" s="309"/>
      <c r="AA298" s="309"/>
      <c r="AB298" s="309"/>
      <c r="AC298" s="309"/>
    </row>
    <row r="299" spans="1:29" ht="12.75" customHeight="1">
      <c r="A299" s="309"/>
      <c r="B299" s="309"/>
      <c r="C299" s="309"/>
      <c r="D299" s="309"/>
      <c r="E299" s="309"/>
      <c r="F299" s="309"/>
      <c r="G299" s="309"/>
      <c r="H299" s="309"/>
      <c r="I299" s="309"/>
      <c r="J299" s="309"/>
      <c r="K299" s="1020"/>
      <c r="L299" s="1020"/>
      <c r="M299" s="309"/>
      <c r="N299" s="309"/>
      <c r="O299" s="309"/>
      <c r="P299" s="309"/>
      <c r="Q299" s="326"/>
      <c r="R299" s="326"/>
      <c r="S299" s="326"/>
      <c r="T299" s="309"/>
      <c r="U299" s="309"/>
      <c r="V299" s="309"/>
      <c r="W299" s="328"/>
      <c r="X299" s="309"/>
      <c r="Y299" s="309"/>
      <c r="Z299" s="309"/>
      <c r="AA299" s="309"/>
      <c r="AB299" s="309"/>
      <c r="AC299" s="309"/>
    </row>
    <row r="300" spans="1:29" ht="12.75" customHeight="1">
      <c r="A300" s="309"/>
      <c r="B300" s="309"/>
      <c r="C300" s="309"/>
      <c r="D300" s="309"/>
      <c r="E300" s="309"/>
      <c r="F300" s="309"/>
      <c r="G300" s="309"/>
      <c r="H300" s="309"/>
      <c r="I300" s="309"/>
      <c r="J300" s="309"/>
      <c r="K300" s="1020"/>
      <c r="L300" s="1020"/>
      <c r="M300" s="309"/>
      <c r="N300" s="309"/>
      <c r="O300" s="309"/>
      <c r="P300" s="309"/>
      <c r="Q300" s="326"/>
      <c r="R300" s="326"/>
      <c r="S300" s="326"/>
      <c r="T300" s="309"/>
      <c r="U300" s="309"/>
      <c r="V300" s="309"/>
      <c r="W300" s="328"/>
      <c r="X300" s="309"/>
      <c r="Y300" s="309"/>
      <c r="Z300" s="309"/>
      <c r="AA300" s="309"/>
      <c r="AB300" s="309"/>
      <c r="AC300" s="309"/>
    </row>
    <row r="301" spans="1:29" ht="12.75" customHeight="1">
      <c r="A301" s="309"/>
      <c r="B301" s="309"/>
      <c r="C301" s="309"/>
      <c r="D301" s="309"/>
      <c r="E301" s="309"/>
      <c r="F301" s="309"/>
      <c r="G301" s="309"/>
      <c r="H301" s="309"/>
      <c r="I301" s="309"/>
      <c r="J301" s="309"/>
      <c r="K301" s="1020"/>
      <c r="L301" s="1020"/>
      <c r="M301" s="309"/>
      <c r="N301" s="309"/>
      <c r="O301" s="309"/>
      <c r="P301" s="309"/>
      <c r="Q301" s="326"/>
      <c r="R301" s="326"/>
      <c r="S301" s="326"/>
      <c r="T301" s="309"/>
      <c r="U301" s="309"/>
      <c r="V301" s="309"/>
      <c r="W301" s="328"/>
      <c r="X301" s="309"/>
      <c r="Y301" s="309"/>
      <c r="Z301" s="309"/>
      <c r="AA301" s="309"/>
      <c r="AB301" s="309"/>
      <c r="AC301" s="309"/>
    </row>
    <row r="302" spans="1:29" ht="12.75" customHeight="1">
      <c r="A302" s="309"/>
      <c r="B302" s="309"/>
      <c r="C302" s="309"/>
      <c r="D302" s="309"/>
      <c r="E302" s="309"/>
      <c r="F302" s="309"/>
      <c r="G302" s="309"/>
      <c r="H302" s="309"/>
      <c r="I302" s="309"/>
      <c r="J302" s="309"/>
      <c r="K302" s="1020"/>
      <c r="L302" s="1020"/>
      <c r="M302" s="309"/>
      <c r="N302" s="309"/>
      <c r="O302" s="309"/>
      <c r="P302" s="309"/>
      <c r="Q302" s="326"/>
      <c r="R302" s="326"/>
      <c r="S302" s="326"/>
      <c r="T302" s="309"/>
      <c r="U302" s="309"/>
      <c r="V302" s="309"/>
      <c r="W302" s="328"/>
      <c r="X302" s="309"/>
      <c r="Y302" s="309"/>
      <c r="Z302" s="309"/>
      <c r="AA302" s="309"/>
      <c r="AB302" s="309"/>
      <c r="AC302" s="309"/>
    </row>
    <row r="303" spans="1:29" ht="12.75" customHeight="1">
      <c r="A303" s="309"/>
      <c r="B303" s="309"/>
      <c r="C303" s="309"/>
      <c r="D303" s="309"/>
      <c r="E303" s="309"/>
      <c r="F303" s="309"/>
      <c r="G303" s="309"/>
      <c r="H303" s="309"/>
      <c r="I303" s="309"/>
      <c r="J303" s="309"/>
      <c r="K303" s="1020"/>
      <c r="L303" s="1020"/>
      <c r="M303" s="309"/>
      <c r="N303" s="309"/>
      <c r="O303" s="309"/>
      <c r="P303" s="309"/>
      <c r="Q303" s="326"/>
      <c r="R303" s="326"/>
      <c r="S303" s="326"/>
      <c r="T303" s="309"/>
      <c r="U303" s="309"/>
      <c r="V303" s="309"/>
      <c r="W303" s="328"/>
      <c r="X303" s="309"/>
      <c r="Y303" s="309"/>
      <c r="Z303" s="309"/>
      <c r="AA303" s="309"/>
      <c r="AB303" s="309"/>
      <c r="AC303" s="309"/>
    </row>
    <row r="304" spans="1:29" ht="12.75" customHeight="1">
      <c r="A304" s="309"/>
      <c r="B304" s="309"/>
      <c r="C304" s="309"/>
      <c r="D304" s="309"/>
      <c r="E304" s="309"/>
      <c r="F304" s="309"/>
      <c r="G304" s="309"/>
      <c r="H304" s="309"/>
      <c r="I304" s="309"/>
      <c r="J304" s="309"/>
      <c r="K304" s="1020"/>
      <c r="L304" s="1020"/>
      <c r="M304" s="309"/>
      <c r="N304" s="309"/>
      <c r="O304" s="309"/>
      <c r="P304" s="309"/>
      <c r="Q304" s="326"/>
      <c r="R304" s="326"/>
      <c r="S304" s="326"/>
      <c r="T304" s="309"/>
      <c r="U304" s="309"/>
      <c r="V304" s="309"/>
      <c r="W304" s="328"/>
      <c r="X304" s="309"/>
      <c r="Y304" s="309"/>
      <c r="Z304" s="309"/>
      <c r="AA304" s="309"/>
      <c r="AB304" s="309"/>
      <c r="AC304" s="309"/>
    </row>
    <row r="305" spans="1:29" ht="12.75" customHeight="1">
      <c r="A305" s="309"/>
      <c r="B305" s="309"/>
      <c r="C305" s="309"/>
      <c r="D305" s="309"/>
      <c r="E305" s="309"/>
      <c r="F305" s="309"/>
      <c r="G305" s="309"/>
      <c r="H305" s="309"/>
      <c r="I305" s="309"/>
      <c r="J305" s="309"/>
      <c r="K305" s="1020"/>
      <c r="L305" s="1020"/>
      <c r="M305" s="309"/>
      <c r="N305" s="309"/>
      <c r="O305" s="309"/>
      <c r="P305" s="309"/>
      <c r="Q305" s="326"/>
      <c r="R305" s="326"/>
      <c r="S305" s="326"/>
      <c r="T305" s="309"/>
      <c r="U305" s="309"/>
      <c r="V305" s="309"/>
      <c r="W305" s="328"/>
      <c r="X305" s="309"/>
      <c r="Y305" s="309"/>
      <c r="Z305" s="309"/>
      <c r="AA305" s="309"/>
      <c r="AB305" s="309"/>
      <c r="AC305" s="309"/>
    </row>
    <row r="306" spans="1:29" ht="12.75" customHeight="1">
      <c r="A306" s="309"/>
      <c r="B306" s="309"/>
      <c r="C306" s="309"/>
      <c r="D306" s="309"/>
      <c r="E306" s="309"/>
      <c r="F306" s="309"/>
      <c r="G306" s="309"/>
      <c r="H306" s="309"/>
      <c r="I306" s="309"/>
      <c r="J306" s="309"/>
      <c r="K306" s="1020"/>
      <c r="L306" s="1020"/>
      <c r="M306" s="309"/>
      <c r="N306" s="309"/>
      <c r="O306" s="309"/>
      <c r="P306" s="309"/>
      <c r="Q306" s="326"/>
      <c r="R306" s="326"/>
      <c r="S306" s="326"/>
      <c r="T306" s="309"/>
      <c r="U306" s="309"/>
      <c r="V306" s="309"/>
      <c r="W306" s="328"/>
      <c r="X306" s="309"/>
      <c r="Y306" s="309"/>
      <c r="Z306" s="309"/>
      <c r="AA306" s="309"/>
      <c r="AB306" s="309"/>
      <c r="AC306" s="309"/>
    </row>
    <row r="307" spans="1:29" ht="12.75" customHeight="1">
      <c r="A307" s="309"/>
      <c r="B307" s="309"/>
      <c r="C307" s="309"/>
      <c r="D307" s="309"/>
      <c r="E307" s="309"/>
      <c r="F307" s="309"/>
      <c r="G307" s="309"/>
      <c r="H307" s="309"/>
      <c r="I307" s="309"/>
      <c r="J307" s="309"/>
      <c r="K307" s="1020"/>
      <c r="L307" s="1020"/>
      <c r="M307" s="309"/>
      <c r="N307" s="309"/>
      <c r="O307" s="309"/>
      <c r="P307" s="309"/>
      <c r="Q307" s="326"/>
      <c r="R307" s="326"/>
      <c r="S307" s="326"/>
      <c r="T307" s="309"/>
      <c r="U307" s="309"/>
      <c r="V307" s="309"/>
      <c r="W307" s="328"/>
      <c r="X307" s="309"/>
      <c r="Y307" s="309"/>
      <c r="Z307" s="309"/>
      <c r="AA307" s="309"/>
      <c r="AB307" s="309"/>
      <c r="AC307" s="309"/>
    </row>
    <row r="308" spans="1:29" ht="12.75" customHeight="1">
      <c r="A308" s="309"/>
      <c r="B308" s="309"/>
      <c r="C308" s="309"/>
      <c r="D308" s="309"/>
      <c r="E308" s="309"/>
      <c r="F308" s="309"/>
      <c r="G308" s="309"/>
      <c r="H308" s="309"/>
      <c r="I308" s="309"/>
      <c r="J308" s="309"/>
      <c r="K308" s="1020"/>
      <c r="L308" s="1020"/>
      <c r="M308" s="309"/>
      <c r="N308" s="309"/>
      <c r="O308" s="309"/>
      <c r="P308" s="309"/>
      <c r="Q308" s="326"/>
      <c r="R308" s="326"/>
      <c r="S308" s="326"/>
      <c r="T308" s="309"/>
      <c r="U308" s="309"/>
      <c r="V308" s="309"/>
      <c r="W308" s="328"/>
      <c r="X308" s="309"/>
      <c r="Y308" s="309"/>
      <c r="Z308" s="309"/>
      <c r="AA308" s="309"/>
      <c r="AB308" s="309"/>
      <c r="AC308" s="309"/>
    </row>
    <row r="309" spans="1:29" ht="12.75" customHeight="1">
      <c r="A309" s="309"/>
      <c r="B309" s="309"/>
      <c r="C309" s="309"/>
      <c r="D309" s="309"/>
      <c r="E309" s="309"/>
      <c r="F309" s="309"/>
      <c r="G309" s="309"/>
      <c r="H309" s="309"/>
      <c r="I309" s="309"/>
      <c r="J309" s="309"/>
      <c r="K309" s="1020"/>
      <c r="L309" s="1020"/>
      <c r="M309" s="309"/>
      <c r="N309" s="309"/>
      <c r="O309" s="309"/>
      <c r="P309" s="309"/>
      <c r="Q309" s="326"/>
      <c r="R309" s="326"/>
      <c r="S309" s="326"/>
      <c r="T309" s="309"/>
      <c r="U309" s="309"/>
      <c r="V309" s="309"/>
      <c r="W309" s="328"/>
      <c r="X309" s="309"/>
      <c r="Y309" s="309"/>
      <c r="Z309" s="309"/>
      <c r="AA309" s="309"/>
      <c r="AB309" s="309"/>
      <c r="AC309" s="309"/>
    </row>
    <row r="310" spans="1:29" ht="12.75" customHeight="1">
      <c r="A310" s="309"/>
      <c r="B310" s="309"/>
      <c r="C310" s="309"/>
      <c r="D310" s="309"/>
      <c r="E310" s="309"/>
      <c r="F310" s="309"/>
      <c r="G310" s="309"/>
      <c r="H310" s="309"/>
      <c r="I310" s="309"/>
      <c r="J310" s="309"/>
      <c r="K310" s="1020"/>
      <c r="L310" s="1020"/>
      <c r="M310" s="309"/>
      <c r="N310" s="309"/>
      <c r="O310" s="309"/>
      <c r="P310" s="309"/>
      <c r="Q310" s="326"/>
      <c r="R310" s="326"/>
      <c r="S310" s="326"/>
      <c r="T310" s="309"/>
      <c r="U310" s="309"/>
      <c r="V310" s="309"/>
      <c r="W310" s="328"/>
      <c r="X310" s="309"/>
      <c r="Y310" s="309"/>
      <c r="Z310" s="309"/>
      <c r="AA310" s="309"/>
      <c r="AB310" s="309"/>
      <c r="AC310" s="309"/>
    </row>
    <row r="311" spans="1:29" ht="12.75" customHeight="1">
      <c r="A311" s="309"/>
      <c r="B311" s="309"/>
      <c r="C311" s="309"/>
      <c r="D311" s="309"/>
      <c r="E311" s="309"/>
      <c r="F311" s="309"/>
      <c r="G311" s="309"/>
      <c r="H311" s="309"/>
      <c r="I311" s="309"/>
      <c r="J311" s="309"/>
      <c r="K311" s="1020"/>
      <c r="L311" s="1020"/>
      <c r="M311" s="309"/>
      <c r="N311" s="309"/>
      <c r="O311" s="309"/>
      <c r="P311" s="309"/>
      <c r="Q311" s="326"/>
      <c r="R311" s="326"/>
      <c r="S311" s="326"/>
      <c r="T311" s="309"/>
      <c r="U311" s="309"/>
      <c r="V311" s="309"/>
      <c r="W311" s="328"/>
      <c r="X311" s="309"/>
      <c r="Y311" s="309"/>
      <c r="Z311" s="309"/>
      <c r="AA311" s="309"/>
      <c r="AB311" s="309"/>
      <c r="AC311" s="309"/>
    </row>
    <row r="312" spans="1:29" ht="12.75" customHeight="1">
      <c r="A312" s="309"/>
      <c r="B312" s="309"/>
      <c r="C312" s="309"/>
      <c r="D312" s="309"/>
      <c r="E312" s="309"/>
      <c r="F312" s="309"/>
      <c r="G312" s="309"/>
      <c r="H312" s="309"/>
      <c r="I312" s="309"/>
      <c r="J312" s="309"/>
      <c r="K312" s="1020"/>
      <c r="L312" s="1020"/>
      <c r="M312" s="309"/>
      <c r="N312" s="309"/>
      <c r="O312" s="309"/>
      <c r="P312" s="309"/>
      <c r="Q312" s="326"/>
      <c r="R312" s="326"/>
      <c r="S312" s="326"/>
      <c r="T312" s="309"/>
      <c r="U312" s="309"/>
      <c r="V312" s="309"/>
      <c r="W312" s="328"/>
      <c r="X312" s="309"/>
      <c r="Y312" s="309"/>
      <c r="Z312" s="309"/>
      <c r="AA312" s="309"/>
      <c r="AB312" s="309"/>
      <c r="AC312" s="309"/>
    </row>
    <row r="313" spans="1:29" ht="12.75" customHeight="1">
      <c r="A313" s="309"/>
      <c r="B313" s="309"/>
      <c r="C313" s="309"/>
      <c r="D313" s="309"/>
      <c r="E313" s="309"/>
      <c r="F313" s="309"/>
      <c r="G313" s="309"/>
      <c r="H313" s="309"/>
      <c r="I313" s="309"/>
      <c r="J313" s="309"/>
      <c r="K313" s="1020"/>
      <c r="L313" s="1020"/>
      <c r="M313" s="309"/>
      <c r="N313" s="309"/>
      <c r="O313" s="309"/>
      <c r="P313" s="309"/>
      <c r="Q313" s="326"/>
      <c r="R313" s="326"/>
      <c r="S313" s="326"/>
      <c r="T313" s="309"/>
      <c r="U313" s="309"/>
      <c r="V313" s="309"/>
      <c r="W313" s="328"/>
      <c r="X313" s="309"/>
      <c r="Y313" s="309"/>
      <c r="Z313" s="309"/>
      <c r="AA313" s="309"/>
      <c r="AB313" s="309"/>
      <c r="AC313" s="309"/>
    </row>
    <row r="314" spans="1:29" ht="12.75" customHeight="1">
      <c r="A314" s="309"/>
      <c r="B314" s="309"/>
      <c r="C314" s="309"/>
      <c r="D314" s="309"/>
      <c r="E314" s="309"/>
      <c r="F314" s="309"/>
      <c r="G314" s="309"/>
      <c r="H314" s="309"/>
      <c r="I314" s="309"/>
      <c r="J314" s="309"/>
      <c r="K314" s="1020"/>
      <c r="L314" s="1020"/>
      <c r="M314" s="309"/>
      <c r="N314" s="309"/>
      <c r="O314" s="309"/>
      <c r="P314" s="309"/>
      <c r="Q314" s="326"/>
      <c r="R314" s="326"/>
      <c r="S314" s="326"/>
      <c r="T314" s="309"/>
      <c r="U314" s="309"/>
      <c r="V314" s="309"/>
      <c r="W314" s="328"/>
      <c r="X314" s="309"/>
      <c r="Y314" s="309"/>
      <c r="Z314" s="309"/>
      <c r="AA314" s="309"/>
      <c r="AB314" s="309"/>
      <c r="AC314" s="309"/>
    </row>
    <row r="315" spans="1:29" ht="12.75" customHeight="1">
      <c r="A315" s="309"/>
      <c r="B315" s="309"/>
      <c r="C315" s="309"/>
      <c r="D315" s="309"/>
      <c r="E315" s="309"/>
      <c r="F315" s="309"/>
      <c r="G315" s="309"/>
      <c r="H315" s="309"/>
      <c r="I315" s="309"/>
      <c r="J315" s="309"/>
      <c r="K315" s="1020"/>
      <c r="L315" s="1020"/>
      <c r="M315" s="309"/>
      <c r="N315" s="309"/>
      <c r="O315" s="309"/>
      <c r="P315" s="309"/>
      <c r="Q315" s="326"/>
      <c r="R315" s="326"/>
      <c r="S315" s="326"/>
      <c r="T315" s="309"/>
      <c r="U315" s="309"/>
      <c r="V315" s="309"/>
      <c r="W315" s="328"/>
      <c r="X315" s="309"/>
      <c r="Y315" s="309"/>
      <c r="Z315" s="309"/>
      <c r="AA315" s="309"/>
      <c r="AB315" s="309"/>
      <c r="AC315" s="309"/>
    </row>
    <row r="316" spans="1:29" ht="12.75" customHeight="1">
      <c r="A316" s="309"/>
      <c r="B316" s="309"/>
      <c r="C316" s="309"/>
      <c r="D316" s="309"/>
      <c r="E316" s="309"/>
      <c r="F316" s="309"/>
      <c r="G316" s="309"/>
      <c r="H316" s="309"/>
      <c r="I316" s="309"/>
      <c r="J316" s="309"/>
      <c r="K316" s="1020"/>
      <c r="L316" s="1020"/>
      <c r="M316" s="309"/>
      <c r="N316" s="309"/>
      <c r="O316" s="309"/>
      <c r="P316" s="309"/>
      <c r="Q316" s="326"/>
      <c r="R316" s="326"/>
      <c r="S316" s="326"/>
      <c r="T316" s="309"/>
      <c r="U316" s="309"/>
      <c r="V316" s="309"/>
      <c r="W316" s="328"/>
      <c r="X316" s="309"/>
      <c r="Y316" s="309"/>
      <c r="Z316" s="309"/>
      <c r="AA316" s="309"/>
      <c r="AB316" s="309"/>
      <c r="AC316" s="309"/>
    </row>
    <row r="317" spans="1:29" ht="12.75" customHeight="1">
      <c r="A317" s="309"/>
      <c r="B317" s="309"/>
      <c r="C317" s="309"/>
      <c r="D317" s="309"/>
      <c r="E317" s="309"/>
      <c r="F317" s="309"/>
      <c r="G317" s="309"/>
      <c r="H317" s="309"/>
      <c r="I317" s="309"/>
      <c r="J317" s="309"/>
      <c r="K317" s="1020"/>
      <c r="L317" s="1020"/>
      <c r="M317" s="309"/>
      <c r="N317" s="309"/>
      <c r="O317" s="309"/>
      <c r="P317" s="309"/>
      <c r="Q317" s="326"/>
      <c r="R317" s="326"/>
      <c r="S317" s="326"/>
      <c r="T317" s="309"/>
      <c r="U317" s="309"/>
      <c r="V317" s="309"/>
      <c r="W317" s="328"/>
      <c r="X317" s="309"/>
      <c r="Y317" s="309"/>
      <c r="Z317" s="309"/>
      <c r="AA317" s="309"/>
      <c r="AB317" s="309"/>
      <c r="AC317" s="309"/>
    </row>
    <row r="318" spans="1:29" ht="12.75" customHeight="1">
      <c r="A318" s="309"/>
      <c r="B318" s="309"/>
      <c r="C318" s="309"/>
      <c r="D318" s="309"/>
      <c r="E318" s="309"/>
      <c r="F318" s="309"/>
      <c r="G318" s="309"/>
      <c r="H318" s="309"/>
      <c r="I318" s="309"/>
      <c r="J318" s="309"/>
      <c r="K318" s="1020"/>
      <c r="L318" s="1020"/>
      <c r="M318" s="309"/>
      <c r="N318" s="309"/>
      <c r="O318" s="309"/>
      <c r="P318" s="309"/>
      <c r="Q318" s="326"/>
      <c r="R318" s="326"/>
      <c r="S318" s="326"/>
      <c r="T318" s="309"/>
      <c r="U318" s="309"/>
      <c r="V318" s="309"/>
      <c r="W318" s="328"/>
      <c r="X318" s="309"/>
      <c r="Y318" s="309"/>
      <c r="Z318" s="309"/>
      <c r="AA318" s="309"/>
      <c r="AB318" s="309"/>
      <c r="AC318" s="309"/>
    </row>
    <row r="319" spans="1:29" ht="12.75" customHeight="1">
      <c r="A319" s="309"/>
      <c r="B319" s="309"/>
      <c r="C319" s="309"/>
      <c r="D319" s="309"/>
      <c r="E319" s="309"/>
      <c r="F319" s="309"/>
      <c r="G319" s="309"/>
      <c r="H319" s="309"/>
      <c r="I319" s="309"/>
      <c r="J319" s="309"/>
      <c r="K319" s="1020"/>
      <c r="L319" s="1020"/>
      <c r="M319" s="309"/>
      <c r="N319" s="309"/>
      <c r="O319" s="309"/>
      <c r="P319" s="309"/>
      <c r="Q319" s="326"/>
      <c r="R319" s="326"/>
      <c r="S319" s="326"/>
      <c r="T319" s="309"/>
      <c r="U319" s="309"/>
      <c r="V319" s="309"/>
      <c r="W319" s="328"/>
      <c r="X319" s="309"/>
      <c r="Y319" s="309"/>
      <c r="Z319" s="309"/>
      <c r="AA319" s="309"/>
      <c r="AB319" s="309"/>
      <c r="AC319" s="309"/>
    </row>
    <row r="320" spans="1:29" ht="12.75" customHeight="1">
      <c r="A320" s="309"/>
      <c r="B320" s="309"/>
      <c r="C320" s="309"/>
      <c r="D320" s="309"/>
      <c r="E320" s="309"/>
      <c r="F320" s="309"/>
      <c r="G320" s="309"/>
      <c r="H320" s="309"/>
      <c r="I320" s="309"/>
      <c r="J320" s="309"/>
      <c r="K320" s="1020"/>
      <c r="L320" s="1020"/>
      <c r="M320" s="309"/>
      <c r="N320" s="309"/>
      <c r="O320" s="309"/>
      <c r="P320" s="309"/>
      <c r="Q320" s="326"/>
      <c r="R320" s="326"/>
      <c r="S320" s="326"/>
      <c r="T320" s="309"/>
      <c r="U320" s="309"/>
      <c r="V320" s="309"/>
      <c r="W320" s="328"/>
      <c r="X320" s="309"/>
      <c r="Y320" s="309"/>
      <c r="Z320" s="309"/>
      <c r="AA320" s="309"/>
      <c r="AB320" s="309"/>
      <c r="AC320" s="309"/>
    </row>
    <row r="321" spans="1:29" ht="12.75" customHeight="1">
      <c r="A321" s="309"/>
      <c r="B321" s="309"/>
      <c r="C321" s="309"/>
      <c r="D321" s="309"/>
      <c r="E321" s="309"/>
      <c r="F321" s="309"/>
      <c r="G321" s="309"/>
      <c r="H321" s="309"/>
      <c r="I321" s="309"/>
      <c r="J321" s="309"/>
      <c r="K321" s="1020"/>
      <c r="L321" s="1020"/>
      <c r="M321" s="309"/>
      <c r="N321" s="309"/>
      <c r="O321" s="309"/>
      <c r="P321" s="309"/>
      <c r="Q321" s="326"/>
      <c r="R321" s="326"/>
      <c r="S321" s="326"/>
      <c r="T321" s="309"/>
      <c r="U321" s="309"/>
      <c r="V321" s="309"/>
      <c r="W321" s="328"/>
      <c r="X321" s="309"/>
      <c r="Y321" s="309"/>
      <c r="Z321" s="309"/>
      <c r="AA321" s="309"/>
      <c r="AB321" s="309"/>
      <c r="AC321" s="309"/>
    </row>
    <row r="322" spans="1:29" ht="12.75" customHeight="1">
      <c r="A322" s="309"/>
      <c r="B322" s="309"/>
      <c r="C322" s="309"/>
      <c r="D322" s="309"/>
      <c r="E322" s="309"/>
      <c r="F322" s="309"/>
      <c r="G322" s="309"/>
      <c r="H322" s="309"/>
      <c r="I322" s="309"/>
      <c r="J322" s="309"/>
      <c r="K322" s="1020"/>
      <c r="L322" s="1020"/>
      <c r="M322" s="309"/>
      <c r="N322" s="309"/>
      <c r="O322" s="309"/>
      <c r="P322" s="309"/>
      <c r="Q322" s="326"/>
      <c r="R322" s="326"/>
      <c r="S322" s="326"/>
      <c r="T322" s="309"/>
      <c r="U322" s="309"/>
      <c r="V322" s="309"/>
      <c r="W322" s="328"/>
      <c r="X322" s="309"/>
      <c r="Y322" s="309"/>
      <c r="Z322" s="309"/>
      <c r="AA322" s="309"/>
      <c r="AB322" s="309"/>
      <c r="AC322" s="309"/>
    </row>
    <row r="323" spans="1:29" ht="12.75" customHeight="1">
      <c r="A323" s="309"/>
      <c r="B323" s="309"/>
      <c r="C323" s="309"/>
      <c r="D323" s="309"/>
      <c r="E323" s="309"/>
      <c r="F323" s="309"/>
      <c r="G323" s="309"/>
      <c r="H323" s="309"/>
      <c r="I323" s="309"/>
      <c r="J323" s="309"/>
      <c r="K323" s="1020"/>
      <c r="L323" s="1020"/>
      <c r="M323" s="309"/>
      <c r="N323" s="309"/>
      <c r="O323" s="309"/>
      <c r="P323" s="309"/>
      <c r="Q323" s="326"/>
      <c r="R323" s="326"/>
      <c r="S323" s="326"/>
      <c r="T323" s="309"/>
      <c r="U323" s="309"/>
      <c r="V323" s="309"/>
      <c r="W323" s="328"/>
      <c r="X323" s="309"/>
      <c r="Y323" s="309"/>
      <c r="Z323" s="309"/>
      <c r="AA323" s="309"/>
      <c r="AB323" s="309"/>
      <c r="AC323" s="309"/>
    </row>
    <row r="324" spans="1:29" ht="12.75" customHeight="1">
      <c r="A324" s="309"/>
      <c r="B324" s="309"/>
      <c r="C324" s="309"/>
      <c r="D324" s="309"/>
      <c r="E324" s="309"/>
      <c r="F324" s="309"/>
      <c r="G324" s="309"/>
      <c r="H324" s="309"/>
      <c r="I324" s="309"/>
      <c r="J324" s="309"/>
      <c r="K324" s="1020"/>
      <c r="L324" s="1020"/>
      <c r="M324" s="309"/>
      <c r="N324" s="309"/>
      <c r="O324" s="309"/>
      <c r="P324" s="309"/>
      <c r="Q324" s="326"/>
      <c r="R324" s="326"/>
      <c r="S324" s="326"/>
      <c r="T324" s="309"/>
      <c r="U324" s="309"/>
      <c r="V324" s="309"/>
      <c r="W324" s="328"/>
      <c r="X324" s="309"/>
      <c r="Y324" s="309"/>
      <c r="Z324" s="309"/>
      <c r="AA324" s="309"/>
      <c r="AB324" s="309"/>
      <c r="AC324" s="309"/>
    </row>
    <row r="325" spans="1:29" ht="12.75" customHeight="1">
      <c r="A325" s="309"/>
      <c r="B325" s="309"/>
      <c r="C325" s="309"/>
      <c r="D325" s="309"/>
      <c r="E325" s="309"/>
      <c r="F325" s="309"/>
      <c r="G325" s="309"/>
      <c r="H325" s="309"/>
      <c r="I325" s="309"/>
      <c r="J325" s="309"/>
      <c r="K325" s="1020"/>
      <c r="L325" s="1020"/>
      <c r="M325" s="309"/>
      <c r="N325" s="309"/>
      <c r="O325" s="309"/>
      <c r="P325" s="309"/>
      <c r="Q325" s="326"/>
      <c r="R325" s="326"/>
      <c r="S325" s="326"/>
      <c r="T325" s="309"/>
      <c r="U325" s="309"/>
      <c r="V325" s="309"/>
      <c r="W325" s="328"/>
      <c r="X325" s="309"/>
      <c r="Y325" s="309"/>
      <c r="Z325" s="309"/>
      <c r="AA325" s="309"/>
      <c r="AB325" s="309"/>
      <c r="AC325" s="309"/>
    </row>
    <row r="326" spans="1:29" ht="12.75" customHeight="1">
      <c r="A326" s="309"/>
      <c r="B326" s="309"/>
      <c r="C326" s="309"/>
      <c r="D326" s="309"/>
      <c r="E326" s="309"/>
      <c r="F326" s="309"/>
      <c r="G326" s="309"/>
      <c r="H326" s="309"/>
      <c r="I326" s="309"/>
      <c r="J326" s="309"/>
      <c r="K326" s="1020"/>
      <c r="L326" s="1020"/>
      <c r="M326" s="309"/>
      <c r="N326" s="309"/>
      <c r="O326" s="309"/>
      <c r="P326" s="309"/>
      <c r="Q326" s="326"/>
      <c r="R326" s="326"/>
      <c r="S326" s="326"/>
      <c r="T326" s="309"/>
      <c r="U326" s="309"/>
      <c r="V326" s="309"/>
      <c r="W326" s="328"/>
      <c r="X326" s="309"/>
      <c r="Y326" s="309"/>
      <c r="Z326" s="309"/>
      <c r="AA326" s="309"/>
      <c r="AB326" s="309"/>
      <c r="AC326" s="309"/>
    </row>
    <row r="327" spans="1:29" ht="12.75" customHeight="1">
      <c r="A327" s="309"/>
      <c r="B327" s="309"/>
      <c r="C327" s="309"/>
      <c r="D327" s="309"/>
      <c r="E327" s="309"/>
      <c r="F327" s="309"/>
      <c r="G327" s="309"/>
      <c r="H327" s="309"/>
      <c r="I327" s="309"/>
      <c r="J327" s="309"/>
      <c r="K327" s="1020"/>
      <c r="L327" s="1020"/>
      <c r="M327" s="309"/>
      <c r="N327" s="309"/>
      <c r="O327" s="309"/>
      <c r="P327" s="309"/>
      <c r="Q327" s="326"/>
      <c r="R327" s="326"/>
      <c r="S327" s="326"/>
      <c r="T327" s="309"/>
      <c r="U327" s="309"/>
      <c r="V327" s="309"/>
      <c r="W327" s="328"/>
      <c r="X327" s="309"/>
      <c r="Y327" s="309"/>
      <c r="Z327" s="309"/>
      <c r="AA327" s="309"/>
      <c r="AB327" s="309"/>
      <c r="AC327" s="309"/>
    </row>
    <row r="328" spans="1:29" ht="12.75" customHeight="1">
      <c r="A328" s="309"/>
      <c r="B328" s="309"/>
      <c r="C328" s="309"/>
      <c r="D328" s="309"/>
      <c r="E328" s="309"/>
      <c r="F328" s="309"/>
      <c r="G328" s="309"/>
      <c r="H328" s="309"/>
      <c r="I328" s="309"/>
      <c r="J328" s="309"/>
      <c r="K328" s="1020"/>
      <c r="L328" s="1020"/>
      <c r="M328" s="309"/>
      <c r="N328" s="309"/>
      <c r="O328" s="309"/>
      <c r="P328" s="309"/>
      <c r="Q328" s="326"/>
      <c r="R328" s="326"/>
      <c r="S328" s="326"/>
      <c r="T328" s="309"/>
      <c r="U328" s="309"/>
      <c r="V328" s="309"/>
      <c r="W328" s="328"/>
      <c r="X328" s="309"/>
      <c r="Y328" s="309"/>
      <c r="Z328" s="309"/>
      <c r="AA328" s="309"/>
      <c r="AB328" s="309"/>
      <c r="AC328" s="309"/>
    </row>
    <row r="329" spans="1:29" ht="12.75" customHeight="1">
      <c r="A329" s="309"/>
      <c r="B329" s="309"/>
      <c r="C329" s="309"/>
      <c r="D329" s="309"/>
      <c r="E329" s="309"/>
      <c r="F329" s="309"/>
      <c r="G329" s="309"/>
      <c r="H329" s="309"/>
      <c r="I329" s="309"/>
      <c r="J329" s="309"/>
      <c r="K329" s="1020"/>
      <c r="L329" s="1020"/>
      <c r="M329" s="309"/>
      <c r="N329" s="309"/>
      <c r="O329" s="309"/>
      <c r="P329" s="309"/>
      <c r="Q329" s="326"/>
      <c r="R329" s="326"/>
      <c r="S329" s="326"/>
      <c r="T329" s="309"/>
      <c r="U329" s="309"/>
      <c r="V329" s="309"/>
      <c r="W329" s="328"/>
      <c r="X329" s="309"/>
      <c r="Y329" s="309"/>
      <c r="Z329" s="309"/>
      <c r="AA329" s="309"/>
      <c r="AB329" s="309"/>
      <c r="AC329" s="309"/>
    </row>
    <row r="330" spans="1:29" ht="12.75" customHeight="1">
      <c r="A330" s="309"/>
      <c r="B330" s="309"/>
      <c r="C330" s="309"/>
      <c r="D330" s="309"/>
      <c r="E330" s="309"/>
      <c r="F330" s="309"/>
      <c r="G330" s="309"/>
      <c r="H330" s="309"/>
      <c r="I330" s="309"/>
      <c r="J330" s="309"/>
      <c r="K330" s="1020"/>
      <c r="L330" s="1020"/>
      <c r="M330" s="309"/>
      <c r="N330" s="309"/>
      <c r="O330" s="309"/>
      <c r="P330" s="309"/>
      <c r="Q330" s="326"/>
      <c r="R330" s="326"/>
      <c r="S330" s="326"/>
      <c r="T330" s="309"/>
      <c r="U330" s="309"/>
      <c r="V330" s="309"/>
      <c r="W330" s="328"/>
      <c r="X330" s="309"/>
      <c r="Y330" s="309"/>
      <c r="Z330" s="309"/>
      <c r="AA330" s="309"/>
      <c r="AB330" s="309"/>
      <c r="AC330" s="309"/>
    </row>
    <row r="331" spans="1:29" ht="12.75" customHeight="1">
      <c r="A331" s="309"/>
      <c r="B331" s="309"/>
      <c r="C331" s="309"/>
      <c r="D331" s="309"/>
      <c r="E331" s="309"/>
      <c r="F331" s="309"/>
      <c r="G331" s="309"/>
      <c r="H331" s="309"/>
      <c r="I331" s="309"/>
      <c r="J331" s="309"/>
      <c r="K331" s="1020"/>
      <c r="L331" s="1020"/>
      <c r="M331" s="309"/>
      <c r="N331" s="309"/>
      <c r="O331" s="309"/>
      <c r="P331" s="309"/>
      <c r="Q331" s="326"/>
      <c r="R331" s="326"/>
      <c r="S331" s="326"/>
      <c r="T331" s="309"/>
      <c r="U331" s="309"/>
      <c r="V331" s="309"/>
      <c r="W331" s="328"/>
      <c r="X331" s="309"/>
      <c r="Y331" s="309"/>
      <c r="Z331" s="309"/>
      <c r="AA331" s="309"/>
      <c r="AB331" s="309"/>
      <c r="AC331" s="309"/>
    </row>
    <row r="332" spans="1:29" ht="12.75" customHeight="1">
      <c r="A332" s="309"/>
      <c r="B332" s="309"/>
      <c r="C332" s="309"/>
      <c r="D332" s="309"/>
      <c r="E332" s="309"/>
      <c r="F332" s="309"/>
      <c r="G332" s="309"/>
      <c r="H332" s="309"/>
      <c r="I332" s="309"/>
      <c r="J332" s="309"/>
      <c r="K332" s="1020"/>
      <c r="L332" s="1020"/>
      <c r="M332" s="309"/>
      <c r="N332" s="309"/>
      <c r="O332" s="309"/>
      <c r="P332" s="309"/>
      <c r="Q332" s="326"/>
      <c r="R332" s="326"/>
      <c r="S332" s="326"/>
      <c r="T332" s="309"/>
      <c r="U332" s="309"/>
      <c r="V332" s="309"/>
      <c r="W332" s="328"/>
      <c r="X332" s="309"/>
      <c r="Y332" s="309"/>
      <c r="Z332" s="309"/>
      <c r="AA332" s="309"/>
      <c r="AB332" s="309"/>
      <c r="AC332" s="309"/>
    </row>
    <row r="333" spans="1:29" ht="12.75" customHeight="1">
      <c r="A333" s="309"/>
      <c r="B333" s="309"/>
      <c r="C333" s="309"/>
      <c r="D333" s="309"/>
      <c r="E333" s="309"/>
      <c r="F333" s="309"/>
      <c r="G333" s="309"/>
      <c r="H333" s="309"/>
      <c r="I333" s="309"/>
      <c r="J333" s="309"/>
      <c r="K333" s="1020"/>
      <c r="L333" s="1020"/>
      <c r="M333" s="309"/>
      <c r="N333" s="309"/>
      <c r="O333" s="309"/>
      <c r="P333" s="309"/>
      <c r="Q333" s="326"/>
      <c r="R333" s="326"/>
      <c r="S333" s="326"/>
      <c r="T333" s="309"/>
      <c r="U333" s="309"/>
      <c r="V333" s="309"/>
      <c r="W333" s="328"/>
      <c r="X333" s="309"/>
      <c r="Y333" s="309"/>
      <c r="Z333" s="309"/>
      <c r="AA333" s="309"/>
      <c r="AB333" s="309"/>
      <c r="AC333" s="309"/>
    </row>
    <row r="334" spans="1:29" ht="12.75" customHeight="1">
      <c r="A334" s="309"/>
      <c r="B334" s="309"/>
      <c r="C334" s="309"/>
      <c r="D334" s="309"/>
      <c r="E334" s="309"/>
      <c r="F334" s="309"/>
      <c r="G334" s="309"/>
      <c r="H334" s="309"/>
      <c r="I334" s="309"/>
      <c r="J334" s="309"/>
      <c r="K334" s="1020"/>
      <c r="L334" s="1020"/>
      <c r="M334" s="309"/>
      <c r="N334" s="309"/>
      <c r="O334" s="309"/>
      <c r="P334" s="309"/>
      <c r="Q334" s="326"/>
      <c r="R334" s="326"/>
      <c r="S334" s="326"/>
      <c r="T334" s="309"/>
      <c r="U334" s="309"/>
      <c r="V334" s="309"/>
      <c r="W334" s="328"/>
      <c r="X334" s="309"/>
      <c r="Y334" s="309"/>
      <c r="Z334" s="309"/>
      <c r="AA334" s="309"/>
      <c r="AB334" s="309"/>
      <c r="AC334" s="309"/>
    </row>
    <row r="335" spans="1:29" ht="12.75" customHeight="1">
      <c r="A335" s="309"/>
      <c r="B335" s="309"/>
      <c r="C335" s="309"/>
      <c r="D335" s="309"/>
      <c r="E335" s="309"/>
      <c r="F335" s="309"/>
      <c r="G335" s="309"/>
      <c r="H335" s="309"/>
      <c r="I335" s="309"/>
      <c r="J335" s="309"/>
      <c r="K335" s="1020"/>
      <c r="L335" s="1020"/>
      <c r="M335" s="309"/>
      <c r="N335" s="309"/>
      <c r="O335" s="309"/>
      <c r="P335" s="309"/>
      <c r="Q335" s="326"/>
      <c r="R335" s="326"/>
      <c r="S335" s="326"/>
      <c r="T335" s="309"/>
      <c r="U335" s="309"/>
      <c r="V335" s="309"/>
      <c r="W335" s="328"/>
      <c r="X335" s="309"/>
      <c r="Y335" s="309"/>
      <c r="Z335" s="309"/>
      <c r="AA335" s="309"/>
      <c r="AB335" s="309"/>
      <c r="AC335" s="309"/>
    </row>
    <row r="336" spans="1:29" ht="12.75" customHeight="1">
      <c r="A336" s="309"/>
      <c r="B336" s="309"/>
      <c r="C336" s="309"/>
      <c r="D336" s="309"/>
      <c r="E336" s="309"/>
      <c r="F336" s="309"/>
      <c r="G336" s="309"/>
      <c r="H336" s="309"/>
      <c r="I336" s="309"/>
      <c r="J336" s="309"/>
      <c r="K336" s="1020"/>
      <c r="L336" s="1020"/>
      <c r="M336" s="309"/>
      <c r="N336" s="309"/>
      <c r="O336" s="309"/>
      <c r="P336" s="309"/>
      <c r="Q336" s="326"/>
      <c r="R336" s="326"/>
      <c r="S336" s="326"/>
      <c r="T336" s="309"/>
      <c r="U336" s="309"/>
      <c r="V336" s="309"/>
      <c r="W336" s="328"/>
      <c r="X336" s="309"/>
      <c r="Y336" s="309"/>
      <c r="Z336" s="309"/>
      <c r="AA336" s="309"/>
      <c r="AB336" s="309"/>
      <c r="AC336" s="309"/>
    </row>
    <row r="337" spans="1:29" ht="12.75" customHeight="1">
      <c r="A337" s="309"/>
      <c r="B337" s="309"/>
      <c r="C337" s="309"/>
      <c r="D337" s="309"/>
      <c r="E337" s="309"/>
      <c r="F337" s="309"/>
      <c r="G337" s="309"/>
      <c r="H337" s="309"/>
      <c r="I337" s="309"/>
      <c r="J337" s="309"/>
      <c r="K337" s="1020"/>
      <c r="L337" s="1020"/>
      <c r="M337" s="309"/>
      <c r="N337" s="309"/>
      <c r="O337" s="309"/>
      <c r="P337" s="309"/>
      <c r="Q337" s="326"/>
      <c r="R337" s="326"/>
      <c r="S337" s="326"/>
      <c r="T337" s="309"/>
      <c r="U337" s="309"/>
      <c r="V337" s="309"/>
      <c r="W337" s="328"/>
      <c r="X337" s="309"/>
      <c r="Y337" s="309"/>
      <c r="Z337" s="309"/>
      <c r="AA337" s="309"/>
      <c r="AB337" s="309"/>
      <c r="AC337" s="309"/>
    </row>
    <row r="338" spans="1:29" ht="12.75" customHeight="1">
      <c r="A338" s="309"/>
      <c r="B338" s="309"/>
      <c r="C338" s="309"/>
      <c r="D338" s="309"/>
      <c r="E338" s="309"/>
      <c r="F338" s="309"/>
      <c r="G338" s="309"/>
      <c r="H338" s="309"/>
      <c r="I338" s="309"/>
      <c r="J338" s="309"/>
      <c r="K338" s="1020"/>
      <c r="L338" s="1020"/>
      <c r="M338" s="309"/>
      <c r="N338" s="309"/>
      <c r="O338" s="309"/>
      <c r="P338" s="309"/>
      <c r="Q338" s="326"/>
      <c r="R338" s="326"/>
      <c r="S338" s="326"/>
      <c r="T338" s="309"/>
      <c r="U338" s="309"/>
      <c r="V338" s="309"/>
      <c r="W338" s="328"/>
      <c r="X338" s="309"/>
      <c r="Y338" s="309"/>
      <c r="Z338" s="309"/>
      <c r="AA338" s="309"/>
      <c r="AB338" s="309"/>
      <c r="AC338" s="309"/>
    </row>
    <row r="339" spans="1:29" ht="12.75" customHeight="1">
      <c r="A339" s="309"/>
      <c r="B339" s="309"/>
      <c r="C339" s="309"/>
      <c r="D339" s="309"/>
      <c r="E339" s="309"/>
      <c r="F339" s="309"/>
      <c r="G339" s="309"/>
      <c r="H339" s="309"/>
      <c r="I339" s="309"/>
      <c r="J339" s="309"/>
      <c r="K339" s="1020"/>
      <c r="L339" s="1020"/>
      <c r="M339" s="309"/>
      <c r="N339" s="309"/>
      <c r="O339" s="309"/>
      <c r="P339" s="309"/>
      <c r="Q339" s="326"/>
      <c r="R339" s="326"/>
      <c r="S339" s="326"/>
      <c r="T339" s="309"/>
      <c r="U339" s="309"/>
      <c r="V339" s="309"/>
      <c r="W339" s="328"/>
      <c r="X339" s="309"/>
      <c r="Y339" s="309"/>
      <c r="Z339" s="309"/>
      <c r="AA339" s="309"/>
      <c r="AB339" s="309"/>
      <c r="AC339" s="309"/>
    </row>
    <row r="340" spans="1:29" ht="12.75" customHeight="1">
      <c r="A340" s="309"/>
      <c r="B340" s="309"/>
      <c r="C340" s="309"/>
      <c r="D340" s="309"/>
      <c r="E340" s="309"/>
      <c r="F340" s="309"/>
      <c r="G340" s="309"/>
      <c r="H340" s="309"/>
      <c r="I340" s="309"/>
      <c r="J340" s="309"/>
      <c r="K340" s="1020"/>
      <c r="L340" s="1020"/>
      <c r="M340" s="309"/>
      <c r="N340" s="309"/>
      <c r="O340" s="309"/>
      <c r="P340" s="309"/>
      <c r="Q340" s="326"/>
      <c r="R340" s="326"/>
      <c r="S340" s="326"/>
      <c r="T340" s="309"/>
      <c r="U340" s="309"/>
      <c r="V340" s="309"/>
      <c r="W340" s="328"/>
      <c r="X340" s="309"/>
      <c r="Y340" s="309"/>
      <c r="Z340" s="309"/>
      <c r="AA340" s="309"/>
      <c r="AB340" s="309"/>
      <c r="AC340" s="309"/>
    </row>
    <row r="341" spans="1:29" ht="12.75" customHeight="1">
      <c r="A341" s="309"/>
      <c r="B341" s="309"/>
      <c r="C341" s="309"/>
      <c r="D341" s="309"/>
      <c r="E341" s="309"/>
      <c r="F341" s="309"/>
      <c r="G341" s="309"/>
      <c r="H341" s="309"/>
      <c r="I341" s="309"/>
      <c r="J341" s="309"/>
      <c r="K341" s="1020"/>
      <c r="L341" s="1020"/>
      <c r="M341" s="309"/>
      <c r="N341" s="309"/>
      <c r="O341" s="309"/>
      <c r="P341" s="309"/>
      <c r="Q341" s="326"/>
      <c r="R341" s="326"/>
      <c r="S341" s="326"/>
      <c r="T341" s="309"/>
      <c r="U341" s="309"/>
      <c r="V341" s="309"/>
      <c r="W341" s="328"/>
      <c r="X341" s="309"/>
      <c r="Y341" s="309"/>
      <c r="Z341" s="309"/>
      <c r="AA341" s="309"/>
      <c r="AB341" s="309"/>
      <c r="AC341" s="309"/>
    </row>
    <row r="342" spans="1:29" ht="12.75" customHeight="1">
      <c r="A342" s="309"/>
      <c r="B342" s="309"/>
      <c r="C342" s="309"/>
      <c r="D342" s="309"/>
      <c r="E342" s="309"/>
      <c r="F342" s="309"/>
      <c r="G342" s="309"/>
      <c r="H342" s="309"/>
      <c r="I342" s="309"/>
      <c r="J342" s="309"/>
      <c r="K342" s="1020"/>
      <c r="L342" s="1020"/>
      <c r="M342" s="309"/>
      <c r="N342" s="309"/>
      <c r="O342" s="309"/>
      <c r="P342" s="309"/>
      <c r="Q342" s="326"/>
      <c r="R342" s="326"/>
      <c r="S342" s="326"/>
      <c r="T342" s="309"/>
      <c r="U342" s="309"/>
      <c r="V342" s="309"/>
      <c r="W342" s="328"/>
      <c r="X342" s="309"/>
      <c r="Y342" s="309"/>
      <c r="Z342" s="309"/>
      <c r="AA342" s="309"/>
      <c r="AB342" s="309"/>
      <c r="AC342" s="309"/>
    </row>
    <row r="343" spans="1:29" ht="12.75" customHeight="1">
      <c r="A343" s="309"/>
      <c r="B343" s="309"/>
      <c r="C343" s="309"/>
      <c r="D343" s="309"/>
      <c r="E343" s="309"/>
      <c r="F343" s="309"/>
      <c r="G343" s="309"/>
      <c r="H343" s="309"/>
      <c r="I343" s="309"/>
      <c r="J343" s="309"/>
      <c r="K343" s="1020"/>
      <c r="L343" s="1020"/>
      <c r="M343" s="309"/>
      <c r="N343" s="309"/>
      <c r="O343" s="309"/>
      <c r="P343" s="309"/>
      <c r="Q343" s="326"/>
      <c r="R343" s="326"/>
      <c r="S343" s="326"/>
      <c r="T343" s="309"/>
      <c r="U343" s="309"/>
      <c r="V343" s="309"/>
      <c r="W343" s="328"/>
      <c r="X343" s="309"/>
      <c r="Y343" s="309"/>
      <c r="Z343" s="309"/>
      <c r="AA343" s="309"/>
      <c r="AB343" s="309"/>
      <c r="AC343" s="309"/>
    </row>
    <row r="344" spans="1:29" ht="12.75" customHeight="1">
      <c r="A344" s="309"/>
      <c r="B344" s="309"/>
      <c r="C344" s="309"/>
      <c r="D344" s="309"/>
      <c r="E344" s="309"/>
      <c r="F344" s="309"/>
      <c r="G344" s="309"/>
      <c r="H344" s="309"/>
      <c r="I344" s="309"/>
      <c r="J344" s="309"/>
      <c r="K344" s="1020"/>
      <c r="L344" s="1020"/>
      <c r="M344" s="309"/>
      <c r="N344" s="309"/>
      <c r="O344" s="309"/>
      <c r="P344" s="309"/>
      <c r="Q344" s="326"/>
      <c r="R344" s="326"/>
      <c r="S344" s="326"/>
      <c r="T344" s="309"/>
      <c r="U344" s="309"/>
      <c r="V344" s="309"/>
      <c r="W344" s="328"/>
      <c r="X344" s="309"/>
      <c r="Y344" s="309"/>
      <c r="Z344" s="309"/>
      <c r="AA344" s="309"/>
      <c r="AB344" s="309"/>
      <c r="AC344" s="309"/>
    </row>
    <row r="345" spans="1:29" ht="12.75" customHeight="1">
      <c r="A345" s="309"/>
      <c r="B345" s="309"/>
      <c r="C345" s="309"/>
      <c r="D345" s="309"/>
      <c r="E345" s="309"/>
      <c r="F345" s="309"/>
      <c r="G345" s="309"/>
      <c r="H345" s="309"/>
      <c r="I345" s="309"/>
      <c r="J345" s="309"/>
      <c r="K345" s="1020"/>
      <c r="L345" s="1020"/>
      <c r="M345" s="309"/>
      <c r="N345" s="309"/>
      <c r="O345" s="309"/>
      <c r="P345" s="309"/>
      <c r="Q345" s="326"/>
      <c r="R345" s="326"/>
      <c r="S345" s="326"/>
      <c r="T345" s="309"/>
      <c r="U345" s="309"/>
      <c r="V345" s="309"/>
      <c r="W345" s="328"/>
      <c r="X345" s="309"/>
      <c r="Y345" s="309"/>
      <c r="Z345" s="309"/>
      <c r="AA345" s="309"/>
      <c r="AB345" s="309"/>
      <c r="AC345" s="309"/>
    </row>
    <row r="346" spans="1:29" ht="12.75" customHeight="1">
      <c r="A346" s="309"/>
      <c r="B346" s="309"/>
      <c r="C346" s="309"/>
      <c r="D346" s="309"/>
      <c r="E346" s="309"/>
      <c r="F346" s="309"/>
      <c r="G346" s="309"/>
      <c r="H346" s="309"/>
      <c r="I346" s="309"/>
      <c r="J346" s="309"/>
      <c r="K346" s="1020"/>
      <c r="L346" s="1020"/>
      <c r="M346" s="309"/>
      <c r="N346" s="309"/>
      <c r="O346" s="309"/>
      <c r="P346" s="309"/>
      <c r="Q346" s="326"/>
      <c r="R346" s="326"/>
      <c r="S346" s="326"/>
      <c r="T346" s="309"/>
      <c r="U346" s="309"/>
      <c r="V346" s="309"/>
      <c r="W346" s="328"/>
      <c r="X346" s="309"/>
      <c r="Y346" s="309"/>
      <c r="Z346" s="309"/>
      <c r="AA346" s="309"/>
      <c r="AB346" s="309"/>
      <c r="AC346" s="309"/>
    </row>
    <row r="347" spans="1:29" ht="12.75" customHeight="1">
      <c r="A347" s="309"/>
      <c r="B347" s="309"/>
      <c r="C347" s="309"/>
      <c r="D347" s="309"/>
      <c r="E347" s="309"/>
      <c r="F347" s="309"/>
      <c r="G347" s="309"/>
      <c r="H347" s="309"/>
      <c r="I347" s="309"/>
      <c r="J347" s="309"/>
      <c r="K347" s="1020"/>
      <c r="L347" s="1020"/>
      <c r="M347" s="309"/>
      <c r="N347" s="309"/>
      <c r="O347" s="309"/>
      <c r="P347" s="309"/>
      <c r="Q347" s="326"/>
      <c r="R347" s="326"/>
      <c r="S347" s="326"/>
      <c r="T347" s="309"/>
      <c r="U347" s="309"/>
      <c r="V347" s="309"/>
      <c r="W347" s="328"/>
      <c r="X347" s="309"/>
      <c r="Y347" s="309"/>
      <c r="Z347" s="309"/>
      <c r="AA347" s="309"/>
      <c r="AB347" s="309"/>
      <c r="AC347" s="309"/>
    </row>
    <row r="348" spans="1:29" ht="12.75" customHeight="1">
      <c r="A348" s="309"/>
      <c r="B348" s="309"/>
      <c r="C348" s="309"/>
      <c r="D348" s="309"/>
      <c r="E348" s="309"/>
      <c r="F348" s="309"/>
      <c r="G348" s="309"/>
      <c r="H348" s="309"/>
      <c r="I348" s="309"/>
      <c r="J348" s="309"/>
      <c r="K348" s="1020"/>
      <c r="L348" s="1020"/>
      <c r="M348" s="309"/>
      <c r="N348" s="309"/>
      <c r="O348" s="309"/>
      <c r="P348" s="309"/>
      <c r="Q348" s="326"/>
      <c r="R348" s="326"/>
      <c r="S348" s="326"/>
      <c r="T348" s="309"/>
      <c r="U348" s="309"/>
      <c r="V348" s="309"/>
      <c r="W348" s="328"/>
      <c r="X348" s="309"/>
      <c r="Y348" s="309"/>
      <c r="Z348" s="309"/>
      <c r="AA348" s="309"/>
      <c r="AB348" s="309"/>
      <c r="AC348" s="309"/>
    </row>
    <row r="349" spans="1:29" ht="12.75" customHeight="1">
      <c r="A349" s="309"/>
      <c r="B349" s="309"/>
      <c r="C349" s="309"/>
      <c r="D349" s="309"/>
      <c r="E349" s="309"/>
      <c r="F349" s="309"/>
      <c r="G349" s="309"/>
      <c r="H349" s="309"/>
      <c r="I349" s="309"/>
      <c r="J349" s="309"/>
      <c r="K349" s="1020"/>
      <c r="L349" s="1020"/>
      <c r="M349" s="309"/>
      <c r="N349" s="309"/>
      <c r="O349" s="309"/>
      <c r="P349" s="309"/>
      <c r="Q349" s="326"/>
      <c r="R349" s="326"/>
      <c r="S349" s="326"/>
      <c r="T349" s="309"/>
      <c r="U349" s="309"/>
      <c r="V349" s="309"/>
      <c r="W349" s="328"/>
      <c r="X349" s="309"/>
      <c r="Y349" s="309"/>
      <c r="Z349" s="309"/>
      <c r="AA349" s="309"/>
      <c r="AB349" s="309"/>
      <c r="AC349" s="309"/>
    </row>
    <row r="350" spans="1:29" ht="12.75" customHeight="1">
      <c r="A350" s="309"/>
      <c r="B350" s="309"/>
      <c r="C350" s="309"/>
      <c r="D350" s="309"/>
      <c r="E350" s="309"/>
      <c r="F350" s="309"/>
      <c r="G350" s="309"/>
      <c r="H350" s="309"/>
      <c r="I350" s="309"/>
      <c r="J350" s="309"/>
      <c r="K350" s="1020"/>
      <c r="L350" s="1020"/>
      <c r="M350" s="309"/>
      <c r="N350" s="309"/>
      <c r="O350" s="309"/>
      <c r="P350" s="309"/>
      <c r="Q350" s="326"/>
      <c r="R350" s="326"/>
      <c r="S350" s="326"/>
      <c r="T350" s="309"/>
      <c r="U350" s="309"/>
      <c r="V350" s="309"/>
      <c r="W350" s="328"/>
      <c r="X350" s="309"/>
      <c r="Y350" s="309"/>
      <c r="Z350" s="309"/>
      <c r="AA350" s="309"/>
      <c r="AB350" s="309"/>
      <c r="AC350" s="309"/>
    </row>
    <row r="351" spans="1:29" ht="12.75" customHeight="1">
      <c r="A351" s="309"/>
      <c r="B351" s="309"/>
      <c r="C351" s="309"/>
      <c r="D351" s="309"/>
      <c r="E351" s="309"/>
      <c r="F351" s="309"/>
      <c r="G351" s="309"/>
      <c r="H351" s="309"/>
      <c r="I351" s="309"/>
      <c r="J351" s="309"/>
      <c r="K351" s="1020"/>
      <c r="L351" s="1020"/>
      <c r="M351" s="309"/>
      <c r="N351" s="309"/>
      <c r="O351" s="309"/>
      <c r="P351" s="309"/>
      <c r="Q351" s="326"/>
      <c r="R351" s="326"/>
      <c r="S351" s="326"/>
      <c r="T351" s="309"/>
      <c r="U351" s="309"/>
      <c r="V351" s="309"/>
      <c r="W351" s="328"/>
      <c r="X351" s="309"/>
      <c r="Y351" s="309"/>
      <c r="Z351" s="309"/>
      <c r="AA351" s="309"/>
      <c r="AB351" s="309"/>
      <c r="AC351" s="309"/>
    </row>
    <row r="352" spans="1:29" ht="12.75" customHeight="1">
      <c r="A352" s="309"/>
      <c r="B352" s="309"/>
      <c r="C352" s="309"/>
      <c r="D352" s="309"/>
      <c r="E352" s="309"/>
      <c r="F352" s="309"/>
      <c r="G352" s="309"/>
      <c r="H352" s="309"/>
      <c r="I352" s="309"/>
      <c r="J352" s="309"/>
      <c r="K352" s="1020"/>
      <c r="L352" s="1020"/>
      <c r="M352" s="309"/>
      <c r="N352" s="309"/>
      <c r="O352" s="309"/>
      <c r="P352" s="309"/>
      <c r="Q352" s="326"/>
      <c r="R352" s="326"/>
      <c r="S352" s="326"/>
      <c r="T352" s="309"/>
      <c r="U352" s="309"/>
      <c r="V352" s="309"/>
      <c r="W352" s="328"/>
      <c r="X352" s="309"/>
      <c r="Y352" s="309"/>
      <c r="Z352" s="309"/>
      <c r="AA352" s="309"/>
      <c r="AB352" s="309"/>
      <c r="AC352" s="309"/>
    </row>
    <row r="353" spans="1:29" ht="12.75" customHeight="1">
      <c r="A353" s="309"/>
      <c r="B353" s="309"/>
      <c r="C353" s="309"/>
      <c r="D353" s="309"/>
      <c r="E353" s="309"/>
      <c r="F353" s="309"/>
      <c r="G353" s="309"/>
      <c r="H353" s="309"/>
      <c r="I353" s="309"/>
      <c r="J353" s="309"/>
      <c r="K353" s="1020"/>
      <c r="L353" s="1020"/>
      <c r="M353" s="309"/>
      <c r="N353" s="309"/>
      <c r="O353" s="309"/>
      <c r="P353" s="309"/>
      <c r="Q353" s="326"/>
      <c r="R353" s="326"/>
      <c r="S353" s="326"/>
      <c r="T353" s="309"/>
      <c r="U353" s="309"/>
      <c r="V353" s="309"/>
      <c r="W353" s="328"/>
      <c r="X353" s="309"/>
      <c r="Y353" s="309"/>
      <c r="Z353" s="309"/>
      <c r="AA353" s="309"/>
      <c r="AB353" s="309"/>
      <c r="AC353" s="309"/>
    </row>
    <row r="354" spans="1:29" ht="12.75" customHeight="1">
      <c r="A354" s="309"/>
      <c r="B354" s="309"/>
      <c r="C354" s="309"/>
      <c r="D354" s="309"/>
      <c r="E354" s="309"/>
      <c r="F354" s="309"/>
      <c r="G354" s="309"/>
      <c r="H354" s="309"/>
      <c r="I354" s="309"/>
      <c r="J354" s="309"/>
      <c r="K354" s="1020"/>
      <c r="L354" s="1020"/>
      <c r="M354" s="309"/>
      <c r="N354" s="309"/>
      <c r="O354" s="309"/>
      <c r="P354" s="309"/>
      <c r="Q354" s="326"/>
      <c r="R354" s="326"/>
      <c r="S354" s="326"/>
      <c r="T354" s="309"/>
      <c r="U354" s="309"/>
      <c r="V354" s="309"/>
      <c r="W354" s="328"/>
      <c r="X354" s="309"/>
      <c r="Y354" s="309"/>
      <c r="Z354" s="309"/>
      <c r="AA354" s="309"/>
      <c r="AB354" s="309"/>
      <c r="AC354" s="309"/>
    </row>
    <row r="355" spans="1:29" ht="12.75" customHeight="1">
      <c r="A355" s="309"/>
      <c r="B355" s="309"/>
      <c r="C355" s="309"/>
      <c r="D355" s="309"/>
      <c r="E355" s="309"/>
      <c r="F355" s="309"/>
      <c r="G355" s="309"/>
      <c r="H355" s="309"/>
      <c r="I355" s="309"/>
      <c r="J355" s="309"/>
      <c r="K355" s="1020"/>
      <c r="L355" s="1020"/>
      <c r="M355" s="309"/>
      <c r="N355" s="309"/>
      <c r="O355" s="309"/>
      <c r="P355" s="309"/>
      <c r="Q355" s="326"/>
      <c r="R355" s="326"/>
      <c r="S355" s="326"/>
      <c r="T355" s="309"/>
      <c r="U355" s="309"/>
      <c r="V355" s="309"/>
      <c r="W355" s="328"/>
      <c r="X355" s="309"/>
      <c r="Y355" s="309"/>
      <c r="Z355" s="309"/>
      <c r="AA355" s="309"/>
      <c r="AB355" s="309"/>
      <c r="AC355" s="309"/>
    </row>
    <row r="356" spans="1:29" ht="12.75" customHeight="1">
      <c r="A356" s="309"/>
      <c r="B356" s="309"/>
      <c r="C356" s="309"/>
      <c r="D356" s="309"/>
      <c r="E356" s="309"/>
      <c r="F356" s="309"/>
      <c r="G356" s="309"/>
      <c r="H356" s="309"/>
      <c r="I356" s="309"/>
      <c r="J356" s="309"/>
      <c r="K356" s="1020"/>
      <c r="L356" s="1020"/>
      <c r="M356" s="309"/>
      <c r="N356" s="309"/>
      <c r="O356" s="309"/>
      <c r="P356" s="309"/>
      <c r="Q356" s="326"/>
      <c r="R356" s="326"/>
      <c r="S356" s="326"/>
      <c r="T356" s="309"/>
      <c r="U356" s="309"/>
      <c r="V356" s="309"/>
      <c r="W356" s="328"/>
      <c r="X356" s="309"/>
      <c r="Y356" s="309"/>
      <c r="Z356" s="309"/>
      <c r="AA356" s="309"/>
      <c r="AB356" s="309"/>
      <c r="AC356" s="309"/>
    </row>
    <row r="357" spans="1:29" ht="12.75" customHeight="1">
      <c r="A357" s="309"/>
      <c r="B357" s="309"/>
      <c r="C357" s="309"/>
      <c r="D357" s="309"/>
      <c r="E357" s="309"/>
      <c r="F357" s="309"/>
      <c r="G357" s="309"/>
      <c r="H357" s="309"/>
      <c r="I357" s="309"/>
      <c r="J357" s="309"/>
      <c r="K357" s="1020"/>
      <c r="L357" s="1020"/>
      <c r="M357" s="309"/>
      <c r="N357" s="309"/>
      <c r="O357" s="309"/>
      <c r="P357" s="309"/>
      <c r="Q357" s="326"/>
      <c r="R357" s="326"/>
      <c r="S357" s="326"/>
      <c r="T357" s="309"/>
      <c r="U357" s="309"/>
      <c r="V357" s="309"/>
      <c r="W357" s="328"/>
      <c r="X357" s="309"/>
      <c r="Y357" s="309"/>
      <c r="Z357" s="309"/>
      <c r="AA357" s="309"/>
      <c r="AB357" s="309"/>
      <c r="AC357" s="309"/>
    </row>
    <row r="358" spans="1:29" ht="12.75" customHeight="1">
      <c r="A358" s="309"/>
      <c r="B358" s="309"/>
      <c r="C358" s="309"/>
      <c r="D358" s="309"/>
      <c r="E358" s="309"/>
      <c r="F358" s="309"/>
      <c r="G358" s="309"/>
      <c r="H358" s="309"/>
      <c r="I358" s="309"/>
      <c r="J358" s="309"/>
      <c r="K358" s="1020"/>
      <c r="L358" s="1020"/>
      <c r="M358" s="309"/>
      <c r="N358" s="309"/>
      <c r="O358" s="309"/>
      <c r="P358" s="309"/>
      <c r="Q358" s="326"/>
      <c r="R358" s="326"/>
      <c r="S358" s="326"/>
      <c r="T358" s="309"/>
      <c r="U358" s="309"/>
      <c r="V358" s="309"/>
      <c r="W358" s="328"/>
      <c r="X358" s="309"/>
      <c r="Y358" s="309"/>
      <c r="Z358" s="309"/>
      <c r="AA358" s="309"/>
      <c r="AB358" s="309"/>
      <c r="AC358" s="309"/>
    </row>
    <row r="359" spans="1:29" ht="12.75" customHeight="1">
      <c r="A359" s="309"/>
      <c r="B359" s="309"/>
      <c r="C359" s="309"/>
      <c r="D359" s="309"/>
      <c r="E359" s="309"/>
      <c r="F359" s="309"/>
      <c r="G359" s="309"/>
      <c r="H359" s="309"/>
      <c r="I359" s="309"/>
      <c r="J359" s="309"/>
      <c r="K359" s="1020"/>
      <c r="L359" s="1020"/>
      <c r="M359" s="309"/>
      <c r="N359" s="309"/>
      <c r="O359" s="309"/>
      <c r="P359" s="309"/>
      <c r="Q359" s="326"/>
      <c r="R359" s="326"/>
      <c r="S359" s="326"/>
      <c r="T359" s="309"/>
      <c r="U359" s="309"/>
      <c r="V359" s="309"/>
      <c r="W359" s="328"/>
      <c r="X359" s="309"/>
      <c r="Y359" s="309"/>
      <c r="Z359" s="309"/>
      <c r="AA359" s="309"/>
      <c r="AB359" s="309"/>
      <c r="AC359" s="309"/>
    </row>
    <row r="360" spans="1:29" ht="12.75" customHeight="1">
      <c r="A360" s="309"/>
      <c r="B360" s="309"/>
      <c r="C360" s="309"/>
      <c r="D360" s="309"/>
      <c r="E360" s="309"/>
      <c r="F360" s="309"/>
      <c r="G360" s="309"/>
      <c r="H360" s="309"/>
      <c r="I360" s="309"/>
      <c r="J360" s="309"/>
      <c r="K360" s="1020"/>
      <c r="L360" s="1020"/>
      <c r="M360" s="309"/>
      <c r="N360" s="309"/>
      <c r="O360" s="309"/>
      <c r="P360" s="309"/>
      <c r="Q360" s="326"/>
      <c r="R360" s="326"/>
      <c r="S360" s="326"/>
      <c r="T360" s="309"/>
      <c r="U360" s="309"/>
      <c r="V360" s="309"/>
      <c r="W360" s="328"/>
      <c r="X360" s="309"/>
      <c r="Y360" s="309"/>
      <c r="Z360" s="309"/>
      <c r="AA360" s="309"/>
      <c r="AB360" s="309"/>
      <c r="AC360" s="309"/>
    </row>
    <row r="361" spans="1:29" ht="12.75" customHeight="1">
      <c r="A361" s="309"/>
      <c r="B361" s="309"/>
      <c r="C361" s="309"/>
      <c r="D361" s="309"/>
      <c r="E361" s="309"/>
      <c r="F361" s="309"/>
      <c r="G361" s="309"/>
      <c r="H361" s="309"/>
      <c r="I361" s="309"/>
      <c r="J361" s="309"/>
      <c r="K361" s="1020"/>
      <c r="L361" s="1020"/>
      <c r="M361" s="309"/>
      <c r="N361" s="309"/>
      <c r="O361" s="309"/>
      <c r="P361" s="309"/>
      <c r="Q361" s="326"/>
      <c r="R361" s="326"/>
      <c r="S361" s="326"/>
      <c r="T361" s="309"/>
      <c r="U361" s="309"/>
      <c r="V361" s="309"/>
      <c r="W361" s="328"/>
      <c r="X361" s="309"/>
      <c r="Y361" s="309"/>
      <c r="Z361" s="309"/>
      <c r="AA361" s="309"/>
      <c r="AB361" s="309"/>
      <c r="AC361" s="309"/>
    </row>
    <row r="362" spans="1:29" ht="12.75" customHeight="1">
      <c r="A362" s="309"/>
      <c r="B362" s="309"/>
      <c r="C362" s="309"/>
      <c r="D362" s="309"/>
      <c r="E362" s="309"/>
      <c r="F362" s="309"/>
      <c r="G362" s="309"/>
      <c r="H362" s="309"/>
      <c r="I362" s="309"/>
      <c r="J362" s="309"/>
      <c r="K362" s="1020"/>
      <c r="L362" s="1020"/>
      <c r="M362" s="309"/>
      <c r="N362" s="309"/>
      <c r="O362" s="309"/>
      <c r="P362" s="309"/>
      <c r="Q362" s="326"/>
      <c r="R362" s="326"/>
      <c r="S362" s="326"/>
      <c r="T362" s="309"/>
      <c r="U362" s="309"/>
      <c r="V362" s="309"/>
      <c r="W362" s="328"/>
      <c r="X362" s="309"/>
      <c r="Y362" s="309"/>
      <c r="Z362" s="309"/>
      <c r="AA362" s="309"/>
      <c r="AB362" s="309"/>
      <c r="AC362" s="309"/>
    </row>
    <row r="363" spans="1:29" ht="12.75" customHeight="1">
      <c r="A363" s="309"/>
      <c r="B363" s="309"/>
      <c r="C363" s="309"/>
      <c r="D363" s="309"/>
      <c r="E363" s="309"/>
      <c r="F363" s="309"/>
      <c r="G363" s="309"/>
      <c r="H363" s="309"/>
      <c r="I363" s="309"/>
      <c r="J363" s="309"/>
      <c r="K363" s="1020"/>
      <c r="L363" s="1020"/>
      <c r="M363" s="309"/>
      <c r="N363" s="309"/>
      <c r="O363" s="309"/>
      <c r="P363" s="309"/>
      <c r="Q363" s="326"/>
      <c r="R363" s="326"/>
      <c r="S363" s="326"/>
      <c r="T363" s="309"/>
      <c r="U363" s="309"/>
      <c r="V363" s="309"/>
      <c r="W363" s="328"/>
      <c r="X363" s="309"/>
      <c r="Y363" s="309"/>
      <c r="Z363" s="309"/>
      <c r="AA363" s="309"/>
      <c r="AB363" s="309"/>
      <c r="AC363" s="309"/>
    </row>
    <row r="364" spans="1:29" ht="12.75" customHeight="1">
      <c r="A364" s="309"/>
      <c r="B364" s="309"/>
      <c r="C364" s="309"/>
      <c r="D364" s="309"/>
      <c r="E364" s="309"/>
      <c r="F364" s="309"/>
      <c r="G364" s="309"/>
      <c r="H364" s="309"/>
      <c r="I364" s="309"/>
      <c r="J364" s="309"/>
      <c r="K364" s="1020"/>
      <c r="L364" s="1020"/>
      <c r="M364" s="309"/>
      <c r="N364" s="309"/>
      <c r="O364" s="309"/>
      <c r="P364" s="309"/>
      <c r="Q364" s="326"/>
      <c r="R364" s="326"/>
      <c r="S364" s="326"/>
      <c r="T364" s="309"/>
      <c r="U364" s="309"/>
      <c r="V364" s="309"/>
      <c r="W364" s="328"/>
      <c r="X364" s="309"/>
      <c r="Y364" s="309"/>
      <c r="Z364" s="309"/>
      <c r="AA364" s="309"/>
      <c r="AB364" s="309"/>
      <c r="AC364" s="309"/>
    </row>
    <row r="365" spans="1:29" ht="12.75" customHeight="1">
      <c r="A365" s="309"/>
      <c r="B365" s="309"/>
      <c r="C365" s="309"/>
      <c r="D365" s="309"/>
      <c r="E365" s="309"/>
      <c r="F365" s="309"/>
      <c r="G365" s="309"/>
      <c r="H365" s="309"/>
      <c r="I365" s="309"/>
      <c r="J365" s="309"/>
      <c r="K365" s="1020"/>
      <c r="L365" s="1020"/>
      <c r="M365" s="309"/>
      <c r="N365" s="309"/>
      <c r="O365" s="309"/>
      <c r="P365" s="309"/>
      <c r="Q365" s="326"/>
      <c r="R365" s="326"/>
      <c r="S365" s="326"/>
      <c r="T365" s="309"/>
      <c r="U365" s="309"/>
      <c r="V365" s="309"/>
      <c r="W365" s="328"/>
      <c r="X365" s="309"/>
      <c r="Y365" s="309"/>
      <c r="Z365" s="309"/>
      <c r="AA365" s="309"/>
      <c r="AB365" s="309"/>
      <c r="AC365" s="309"/>
    </row>
    <row r="366" spans="1:29" ht="12.75" customHeight="1">
      <c r="A366" s="309"/>
      <c r="B366" s="309"/>
      <c r="C366" s="309"/>
      <c r="D366" s="309"/>
      <c r="E366" s="309"/>
      <c r="F366" s="309"/>
      <c r="G366" s="309"/>
      <c r="H366" s="309"/>
      <c r="I366" s="309"/>
      <c r="J366" s="309"/>
      <c r="K366" s="1020"/>
      <c r="L366" s="1020"/>
      <c r="M366" s="309"/>
      <c r="N366" s="309"/>
      <c r="O366" s="309"/>
      <c r="P366" s="309"/>
      <c r="Q366" s="326"/>
      <c r="R366" s="326"/>
      <c r="S366" s="326"/>
      <c r="T366" s="309"/>
      <c r="U366" s="309"/>
      <c r="V366" s="309"/>
      <c r="W366" s="328"/>
      <c r="X366" s="309"/>
      <c r="Y366" s="309"/>
      <c r="Z366" s="309"/>
      <c r="AA366" s="309"/>
      <c r="AB366" s="309"/>
      <c r="AC366" s="309"/>
    </row>
    <row r="367" spans="1:29" ht="12.75" customHeight="1">
      <c r="A367" s="309"/>
      <c r="B367" s="309"/>
      <c r="C367" s="309"/>
      <c r="D367" s="309"/>
      <c r="E367" s="309"/>
      <c r="F367" s="309"/>
      <c r="G367" s="309"/>
      <c r="H367" s="309"/>
      <c r="I367" s="309"/>
      <c r="J367" s="309"/>
      <c r="K367" s="1020"/>
      <c r="L367" s="1020"/>
      <c r="M367" s="309"/>
      <c r="N367" s="309"/>
      <c r="O367" s="309"/>
      <c r="P367" s="309"/>
      <c r="Q367" s="326"/>
      <c r="R367" s="326"/>
      <c r="S367" s="326"/>
      <c r="T367" s="309"/>
      <c r="U367" s="309"/>
      <c r="V367" s="309"/>
      <c r="W367" s="328"/>
      <c r="X367" s="309"/>
      <c r="Y367" s="309"/>
      <c r="Z367" s="309"/>
      <c r="AA367" s="309"/>
      <c r="AB367" s="309"/>
      <c r="AC367" s="309"/>
    </row>
    <row r="368" spans="1:29" ht="12.75" customHeight="1">
      <c r="A368" s="309"/>
      <c r="B368" s="309"/>
      <c r="C368" s="309"/>
      <c r="D368" s="309"/>
      <c r="E368" s="309"/>
      <c r="F368" s="309"/>
      <c r="G368" s="309"/>
      <c r="H368" s="309"/>
      <c r="I368" s="309"/>
      <c r="J368" s="309"/>
      <c r="K368" s="1020"/>
      <c r="L368" s="1020"/>
      <c r="M368" s="309"/>
      <c r="N368" s="309"/>
      <c r="O368" s="309"/>
      <c r="P368" s="309"/>
      <c r="Q368" s="326"/>
      <c r="R368" s="326"/>
      <c r="S368" s="326"/>
      <c r="T368" s="309"/>
      <c r="U368" s="309"/>
      <c r="V368" s="309"/>
      <c r="W368" s="328"/>
      <c r="X368" s="309"/>
      <c r="Y368" s="309"/>
      <c r="Z368" s="309"/>
      <c r="AA368" s="309"/>
      <c r="AB368" s="309"/>
      <c r="AC368" s="309"/>
    </row>
    <row r="369" spans="1:29" ht="12.75" customHeight="1">
      <c r="A369" s="309"/>
      <c r="B369" s="309"/>
      <c r="C369" s="309"/>
      <c r="D369" s="309"/>
      <c r="E369" s="309"/>
      <c r="F369" s="309"/>
      <c r="G369" s="309"/>
      <c r="H369" s="309"/>
      <c r="I369" s="309"/>
      <c r="J369" s="309"/>
      <c r="K369" s="1020"/>
      <c r="L369" s="1020"/>
      <c r="M369" s="309"/>
      <c r="N369" s="309"/>
      <c r="O369" s="309"/>
      <c r="P369" s="309"/>
      <c r="Q369" s="326"/>
      <c r="R369" s="326"/>
      <c r="S369" s="326"/>
      <c r="T369" s="309"/>
      <c r="U369" s="309"/>
      <c r="V369" s="309"/>
      <c r="W369" s="328"/>
      <c r="X369" s="309"/>
      <c r="Y369" s="309"/>
      <c r="Z369" s="309"/>
      <c r="AA369" s="309"/>
      <c r="AB369" s="309"/>
      <c r="AC369" s="309"/>
    </row>
    <row r="370" spans="1:29" ht="12.75" customHeight="1">
      <c r="A370" s="309"/>
      <c r="B370" s="309"/>
      <c r="C370" s="309"/>
      <c r="D370" s="309"/>
      <c r="E370" s="309"/>
      <c r="F370" s="309"/>
      <c r="G370" s="309"/>
      <c r="H370" s="309"/>
      <c r="I370" s="309"/>
      <c r="J370" s="309"/>
      <c r="K370" s="1020"/>
      <c r="L370" s="1020"/>
      <c r="M370" s="309"/>
      <c r="N370" s="309"/>
      <c r="O370" s="309"/>
      <c r="P370" s="309"/>
      <c r="Q370" s="326"/>
      <c r="R370" s="326"/>
      <c r="S370" s="326"/>
      <c r="T370" s="309"/>
      <c r="U370" s="309"/>
      <c r="V370" s="309"/>
      <c r="W370" s="328"/>
      <c r="X370" s="309"/>
      <c r="Y370" s="309"/>
      <c r="Z370" s="309"/>
      <c r="AA370" s="309"/>
      <c r="AB370" s="309"/>
      <c r="AC370" s="309"/>
    </row>
    <row r="371" spans="1:29" ht="12.75" customHeight="1">
      <c r="A371" s="309"/>
      <c r="B371" s="309"/>
      <c r="C371" s="309"/>
      <c r="D371" s="309"/>
      <c r="E371" s="309"/>
      <c r="F371" s="309"/>
      <c r="G371" s="309"/>
      <c r="H371" s="309"/>
      <c r="I371" s="309"/>
      <c r="J371" s="309"/>
      <c r="K371" s="1020"/>
      <c r="L371" s="1020"/>
      <c r="M371" s="309"/>
      <c r="N371" s="309"/>
      <c r="O371" s="309"/>
      <c r="P371" s="309"/>
      <c r="Q371" s="326"/>
      <c r="R371" s="326"/>
      <c r="S371" s="326"/>
      <c r="T371" s="309"/>
      <c r="U371" s="309"/>
      <c r="V371" s="309"/>
      <c r="W371" s="328"/>
      <c r="X371" s="309"/>
      <c r="Y371" s="309"/>
      <c r="Z371" s="309"/>
      <c r="AA371" s="309"/>
      <c r="AB371" s="309"/>
      <c r="AC371" s="309"/>
    </row>
    <row r="372" spans="1:29" ht="12.75" customHeight="1">
      <c r="A372" s="309"/>
      <c r="B372" s="309"/>
      <c r="C372" s="309"/>
      <c r="D372" s="309"/>
      <c r="E372" s="309"/>
      <c r="F372" s="309"/>
      <c r="G372" s="309"/>
      <c r="H372" s="309"/>
      <c r="I372" s="309"/>
      <c r="J372" s="309"/>
      <c r="K372" s="1020"/>
      <c r="L372" s="1020"/>
      <c r="M372" s="309"/>
      <c r="N372" s="309"/>
      <c r="O372" s="309"/>
      <c r="P372" s="309"/>
      <c r="Q372" s="326"/>
      <c r="R372" s="326"/>
      <c r="S372" s="326"/>
      <c r="T372" s="309"/>
      <c r="U372" s="309"/>
      <c r="V372" s="309"/>
      <c r="W372" s="328"/>
      <c r="X372" s="309"/>
      <c r="Y372" s="309"/>
      <c r="Z372" s="309"/>
      <c r="AA372" s="309"/>
      <c r="AB372" s="309"/>
      <c r="AC372" s="309"/>
    </row>
    <row r="373" spans="1:29" ht="12.75" customHeight="1">
      <c r="A373" s="309"/>
      <c r="B373" s="309"/>
      <c r="C373" s="309"/>
      <c r="D373" s="309"/>
      <c r="E373" s="309"/>
      <c r="F373" s="309"/>
      <c r="G373" s="309"/>
      <c r="H373" s="309"/>
      <c r="I373" s="309"/>
      <c r="J373" s="309"/>
      <c r="K373" s="1020"/>
      <c r="L373" s="1020"/>
      <c r="M373" s="309"/>
      <c r="N373" s="309"/>
      <c r="O373" s="309"/>
      <c r="P373" s="309"/>
      <c r="Q373" s="326"/>
      <c r="R373" s="326"/>
      <c r="S373" s="326"/>
      <c r="T373" s="309"/>
      <c r="U373" s="309"/>
      <c r="V373" s="309"/>
      <c r="W373" s="328"/>
      <c r="X373" s="309"/>
      <c r="Y373" s="309"/>
      <c r="Z373" s="309"/>
      <c r="AA373" s="309"/>
      <c r="AB373" s="309"/>
      <c r="AC373" s="309"/>
    </row>
    <row r="374" spans="1:29" ht="12.75" customHeight="1">
      <c r="A374" s="309"/>
      <c r="B374" s="309"/>
      <c r="C374" s="309"/>
      <c r="D374" s="309"/>
      <c r="E374" s="309"/>
      <c r="F374" s="309"/>
      <c r="G374" s="309"/>
      <c r="H374" s="309"/>
      <c r="I374" s="309"/>
      <c r="J374" s="309"/>
      <c r="K374" s="1020"/>
      <c r="L374" s="1020"/>
      <c r="M374" s="309"/>
      <c r="N374" s="309"/>
      <c r="O374" s="309"/>
      <c r="P374" s="309"/>
      <c r="Q374" s="326"/>
      <c r="R374" s="326"/>
      <c r="S374" s="326"/>
      <c r="T374" s="309"/>
      <c r="U374" s="309"/>
      <c r="V374" s="309"/>
      <c r="W374" s="328"/>
      <c r="X374" s="309"/>
      <c r="Y374" s="309"/>
      <c r="Z374" s="309"/>
      <c r="AA374" s="309"/>
      <c r="AB374" s="309"/>
      <c r="AC374" s="309"/>
    </row>
    <row r="375" spans="1:29" ht="12.75" customHeight="1">
      <c r="A375" s="309"/>
      <c r="B375" s="309"/>
      <c r="C375" s="309"/>
      <c r="D375" s="309"/>
      <c r="E375" s="309"/>
      <c r="F375" s="309"/>
      <c r="G375" s="309"/>
      <c r="H375" s="309"/>
      <c r="I375" s="309"/>
      <c r="J375" s="309"/>
      <c r="K375" s="1020"/>
      <c r="L375" s="1020"/>
      <c r="M375" s="309"/>
      <c r="N375" s="309"/>
      <c r="O375" s="309"/>
      <c r="P375" s="309"/>
      <c r="Q375" s="326"/>
      <c r="R375" s="326"/>
      <c r="S375" s="326"/>
      <c r="T375" s="309"/>
      <c r="U375" s="309"/>
      <c r="V375" s="309"/>
      <c r="W375" s="328"/>
      <c r="X375" s="309"/>
      <c r="Y375" s="309"/>
      <c r="Z375" s="309"/>
      <c r="AA375" s="309"/>
      <c r="AB375" s="309"/>
      <c r="AC375" s="309"/>
    </row>
    <row r="376" spans="1:29" ht="12.75" customHeight="1">
      <c r="A376" s="309"/>
      <c r="B376" s="309"/>
      <c r="C376" s="309"/>
      <c r="D376" s="309"/>
      <c r="E376" s="309"/>
      <c r="F376" s="309"/>
      <c r="G376" s="309"/>
      <c r="H376" s="309"/>
      <c r="I376" s="309"/>
      <c r="J376" s="309"/>
      <c r="K376" s="1020"/>
      <c r="L376" s="1020"/>
      <c r="M376" s="309"/>
      <c r="N376" s="309"/>
      <c r="O376" s="309"/>
      <c r="P376" s="309"/>
      <c r="Q376" s="326"/>
      <c r="R376" s="326"/>
      <c r="S376" s="326"/>
      <c r="T376" s="309"/>
      <c r="U376" s="309"/>
      <c r="V376" s="309"/>
      <c r="W376" s="328"/>
      <c r="X376" s="309"/>
      <c r="Y376" s="309"/>
      <c r="Z376" s="309"/>
      <c r="AA376" s="309"/>
      <c r="AB376" s="309"/>
      <c r="AC376" s="309"/>
    </row>
    <row r="377" spans="1:29" ht="12.75" customHeight="1">
      <c r="A377" s="309"/>
      <c r="B377" s="309"/>
      <c r="C377" s="309"/>
      <c r="D377" s="309"/>
      <c r="E377" s="309"/>
      <c r="F377" s="309"/>
      <c r="G377" s="309"/>
      <c r="H377" s="309"/>
      <c r="I377" s="309"/>
      <c r="J377" s="309"/>
      <c r="K377" s="1020"/>
      <c r="L377" s="1020"/>
      <c r="M377" s="309"/>
      <c r="N377" s="309"/>
      <c r="O377" s="309"/>
      <c r="P377" s="309"/>
      <c r="Q377" s="326"/>
      <c r="R377" s="326"/>
      <c r="S377" s="326"/>
      <c r="T377" s="309"/>
      <c r="U377" s="309"/>
      <c r="V377" s="309"/>
      <c r="W377" s="328"/>
      <c r="X377" s="309"/>
      <c r="Y377" s="309"/>
      <c r="Z377" s="309"/>
      <c r="AA377" s="309"/>
      <c r="AB377" s="309"/>
      <c r="AC377" s="309"/>
    </row>
    <row r="378" spans="1:29" ht="12.75" customHeight="1">
      <c r="A378" s="309"/>
      <c r="B378" s="309"/>
      <c r="C378" s="309"/>
      <c r="D378" s="309"/>
      <c r="E378" s="309"/>
      <c r="F378" s="309"/>
      <c r="G378" s="309"/>
      <c r="H378" s="309"/>
      <c r="I378" s="309"/>
      <c r="J378" s="309"/>
      <c r="K378" s="1020"/>
      <c r="L378" s="1020"/>
      <c r="M378" s="309"/>
      <c r="N378" s="309"/>
      <c r="O378" s="309"/>
      <c r="P378" s="309"/>
      <c r="Q378" s="326"/>
      <c r="R378" s="326"/>
      <c r="S378" s="326"/>
      <c r="T378" s="309"/>
      <c r="U378" s="309"/>
      <c r="V378" s="309"/>
      <c r="W378" s="328"/>
      <c r="X378" s="309"/>
      <c r="Y378" s="309"/>
      <c r="Z378" s="309"/>
      <c r="AA378" s="309"/>
      <c r="AB378" s="309"/>
      <c r="AC378" s="309"/>
    </row>
    <row r="379" spans="1:29" ht="12.75" customHeight="1">
      <c r="A379" s="309"/>
      <c r="B379" s="309"/>
      <c r="C379" s="309"/>
      <c r="D379" s="309"/>
      <c r="E379" s="309"/>
      <c r="F379" s="309"/>
      <c r="G379" s="309"/>
      <c r="H379" s="309"/>
      <c r="I379" s="309"/>
      <c r="J379" s="309"/>
      <c r="K379" s="1020"/>
      <c r="L379" s="1020"/>
      <c r="M379" s="309"/>
      <c r="N379" s="309"/>
      <c r="O379" s="309"/>
      <c r="P379" s="309"/>
      <c r="Q379" s="326"/>
      <c r="R379" s="326"/>
      <c r="S379" s="326"/>
      <c r="T379" s="309"/>
      <c r="U379" s="309"/>
      <c r="V379" s="309"/>
      <c r="W379" s="328"/>
      <c r="X379" s="309"/>
      <c r="Y379" s="309"/>
      <c r="Z379" s="309"/>
      <c r="AA379" s="309"/>
      <c r="AB379" s="309"/>
      <c r="AC379" s="309"/>
    </row>
    <row r="380" spans="1:29" ht="12.75" customHeight="1">
      <c r="A380" s="309"/>
      <c r="B380" s="309"/>
      <c r="C380" s="309"/>
      <c r="D380" s="309"/>
      <c r="E380" s="309"/>
      <c r="F380" s="309"/>
      <c r="G380" s="309"/>
      <c r="H380" s="309"/>
      <c r="I380" s="309"/>
      <c r="J380" s="309"/>
      <c r="K380" s="1020"/>
      <c r="L380" s="1020"/>
      <c r="M380" s="309"/>
      <c r="N380" s="309"/>
      <c r="O380" s="309"/>
      <c r="P380" s="309"/>
      <c r="Q380" s="326"/>
      <c r="R380" s="326"/>
      <c r="S380" s="326"/>
      <c r="T380" s="309"/>
      <c r="U380" s="309"/>
      <c r="V380" s="309"/>
      <c r="W380" s="328"/>
      <c r="X380" s="309"/>
      <c r="Y380" s="309"/>
      <c r="Z380" s="309"/>
      <c r="AA380" s="309"/>
      <c r="AB380" s="309"/>
      <c r="AC380" s="309"/>
    </row>
    <row r="381" spans="1:29" ht="12.75" customHeight="1">
      <c r="A381" s="309"/>
      <c r="B381" s="309"/>
      <c r="C381" s="309"/>
      <c r="D381" s="309"/>
      <c r="E381" s="309"/>
      <c r="F381" s="309"/>
      <c r="G381" s="309"/>
      <c r="H381" s="309"/>
      <c r="I381" s="309"/>
      <c r="J381" s="309"/>
      <c r="K381" s="1020"/>
      <c r="L381" s="1020"/>
      <c r="M381" s="309"/>
      <c r="N381" s="309"/>
      <c r="O381" s="309"/>
      <c r="P381" s="309"/>
      <c r="Q381" s="326"/>
      <c r="R381" s="326"/>
      <c r="S381" s="326"/>
      <c r="T381" s="309"/>
      <c r="U381" s="309"/>
      <c r="V381" s="309"/>
      <c r="W381" s="328"/>
      <c r="X381" s="309"/>
      <c r="Y381" s="309"/>
      <c r="Z381" s="309"/>
      <c r="AA381" s="309"/>
      <c r="AB381" s="309"/>
      <c r="AC381" s="309"/>
    </row>
    <row r="382" spans="1:29" ht="12.75" customHeight="1">
      <c r="A382" s="309"/>
      <c r="B382" s="309"/>
      <c r="C382" s="309"/>
      <c r="D382" s="309"/>
      <c r="E382" s="309"/>
      <c r="F382" s="309"/>
      <c r="G382" s="309"/>
      <c r="H382" s="309"/>
      <c r="I382" s="309"/>
      <c r="J382" s="309"/>
      <c r="K382" s="1020"/>
      <c r="L382" s="1020"/>
      <c r="M382" s="309"/>
      <c r="N382" s="309"/>
      <c r="O382" s="309"/>
      <c r="P382" s="309"/>
      <c r="Q382" s="326"/>
      <c r="R382" s="326"/>
      <c r="S382" s="326"/>
      <c r="T382" s="309"/>
      <c r="U382" s="309"/>
      <c r="V382" s="309"/>
      <c r="W382" s="328"/>
      <c r="X382" s="309"/>
      <c r="Y382" s="309"/>
      <c r="Z382" s="309"/>
      <c r="AA382" s="309"/>
      <c r="AB382" s="309"/>
      <c r="AC382" s="309"/>
    </row>
    <row r="383" spans="1:29" ht="12.75" customHeight="1">
      <c r="A383" s="309"/>
      <c r="B383" s="309"/>
      <c r="C383" s="309"/>
      <c r="D383" s="309"/>
      <c r="E383" s="309"/>
      <c r="F383" s="309"/>
      <c r="G383" s="309"/>
      <c r="H383" s="309"/>
      <c r="I383" s="309"/>
      <c r="J383" s="309"/>
      <c r="K383" s="1020"/>
      <c r="L383" s="1020"/>
      <c r="M383" s="309"/>
      <c r="N383" s="309"/>
      <c r="O383" s="309"/>
      <c r="P383" s="309"/>
      <c r="Q383" s="326"/>
      <c r="R383" s="326"/>
      <c r="S383" s="326"/>
      <c r="T383" s="309"/>
      <c r="U383" s="309"/>
      <c r="V383" s="309"/>
      <c r="W383" s="328"/>
      <c r="X383" s="309"/>
      <c r="Y383" s="309"/>
      <c r="Z383" s="309"/>
      <c r="AA383" s="309"/>
      <c r="AB383" s="309"/>
      <c r="AC383" s="309"/>
    </row>
    <row r="384" spans="1:29" ht="12.75" customHeight="1">
      <c r="A384" s="309"/>
      <c r="B384" s="309"/>
      <c r="C384" s="309"/>
      <c r="D384" s="309"/>
      <c r="E384" s="309"/>
      <c r="F384" s="309"/>
      <c r="G384" s="309"/>
      <c r="H384" s="309"/>
      <c r="I384" s="309"/>
      <c r="J384" s="309"/>
      <c r="K384" s="1020"/>
      <c r="L384" s="1020"/>
      <c r="M384" s="309"/>
      <c r="N384" s="309"/>
      <c r="O384" s="309"/>
      <c r="P384" s="309"/>
      <c r="Q384" s="326"/>
      <c r="R384" s="326"/>
      <c r="S384" s="326"/>
      <c r="T384" s="309"/>
      <c r="U384" s="309"/>
      <c r="V384" s="309"/>
      <c r="W384" s="328"/>
      <c r="X384" s="309"/>
      <c r="Y384" s="309"/>
      <c r="Z384" s="309"/>
      <c r="AA384" s="309"/>
      <c r="AB384" s="309"/>
      <c r="AC384" s="309"/>
    </row>
    <row r="385" spans="1:29" ht="12.75" customHeight="1">
      <c r="A385" s="309"/>
      <c r="B385" s="309"/>
      <c r="C385" s="309"/>
      <c r="D385" s="309"/>
      <c r="E385" s="309"/>
      <c r="F385" s="309"/>
      <c r="G385" s="309"/>
      <c r="H385" s="309"/>
      <c r="I385" s="309"/>
      <c r="J385" s="309"/>
      <c r="K385" s="1020"/>
      <c r="L385" s="1020"/>
      <c r="M385" s="309"/>
      <c r="N385" s="309"/>
      <c r="O385" s="309"/>
      <c r="P385" s="309"/>
      <c r="Q385" s="326"/>
      <c r="R385" s="326"/>
      <c r="S385" s="326"/>
      <c r="T385" s="309"/>
      <c r="U385" s="309"/>
      <c r="V385" s="309"/>
      <c r="W385" s="328"/>
      <c r="X385" s="309"/>
      <c r="Y385" s="309"/>
      <c r="Z385" s="309"/>
      <c r="AA385" s="309"/>
      <c r="AB385" s="309"/>
      <c r="AC385" s="309"/>
    </row>
    <row r="386" spans="1:29" ht="12.75" customHeight="1">
      <c r="A386" s="309"/>
      <c r="B386" s="309"/>
      <c r="C386" s="309"/>
      <c r="D386" s="309"/>
      <c r="E386" s="309"/>
      <c r="F386" s="309"/>
      <c r="G386" s="309"/>
      <c r="H386" s="309"/>
      <c r="I386" s="309"/>
      <c r="J386" s="309"/>
      <c r="K386" s="1020"/>
      <c r="L386" s="1020"/>
      <c r="M386" s="309"/>
      <c r="N386" s="309"/>
      <c r="O386" s="309"/>
      <c r="P386" s="309"/>
      <c r="Q386" s="326"/>
      <c r="R386" s="326"/>
      <c r="S386" s="326"/>
      <c r="T386" s="309"/>
      <c r="U386" s="309"/>
      <c r="V386" s="309"/>
      <c r="W386" s="328"/>
      <c r="X386" s="309"/>
      <c r="Y386" s="309"/>
      <c r="Z386" s="309"/>
      <c r="AA386" s="309"/>
      <c r="AB386" s="309"/>
      <c r="AC386" s="309"/>
    </row>
    <row r="387" spans="1:29" ht="12.75" customHeight="1">
      <c r="A387" s="309"/>
      <c r="B387" s="309"/>
      <c r="C387" s="309"/>
      <c r="D387" s="309"/>
      <c r="E387" s="309"/>
      <c r="F387" s="309"/>
      <c r="G387" s="309"/>
      <c r="H387" s="309"/>
      <c r="I387" s="309"/>
      <c r="J387" s="309"/>
      <c r="K387" s="1020"/>
      <c r="L387" s="1020"/>
      <c r="M387" s="309"/>
      <c r="N387" s="309"/>
      <c r="O387" s="309"/>
      <c r="P387" s="309"/>
      <c r="Q387" s="326"/>
      <c r="R387" s="326"/>
      <c r="S387" s="326"/>
      <c r="T387" s="309"/>
      <c r="U387" s="309"/>
      <c r="V387" s="309"/>
      <c r="W387" s="328"/>
      <c r="X387" s="309"/>
      <c r="Y387" s="309"/>
      <c r="Z387" s="309"/>
      <c r="AA387" s="309"/>
      <c r="AB387" s="309"/>
      <c r="AC387" s="309"/>
    </row>
    <row r="388" spans="1:29" ht="12.75" customHeight="1">
      <c r="A388" s="309"/>
      <c r="B388" s="309"/>
      <c r="C388" s="309"/>
      <c r="D388" s="309"/>
      <c r="E388" s="309"/>
      <c r="F388" s="309"/>
      <c r="G388" s="309"/>
      <c r="H388" s="309"/>
      <c r="I388" s="309"/>
      <c r="J388" s="309"/>
      <c r="K388" s="1020"/>
      <c r="L388" s="1020"/>
      <c r="M388" s="309"/>
      <c r="N388" s="309"/>
      <c r="O388" s="309"/>
      <c r="P388" s="309"/>
      <c r="Q388" s="326"/>
      <c r="R388" s="326"/>
      <c r="S388" s="326"/>
      <c r="T388" s="309"/>
      <c r="U388" s="309"/>
      <c r="V388" s="309"/>
      <c r="W388" s="328"/>
      <c r="X388" s="309"/>
      <c r="Y388" s="309"/>
      <c r="Z388" s="309"/>
      <c r="AA388" s="309"/>
      <c r="AB388" s="309"/>
      <c r="AC388" s="309"/>
    </row>
    <row r="389" spans="1:29" ht="12.75" customHeight="1">
      <c r="A389" s="309"/>
      <c r="B389" s="309"/>
      <c r="C389" s="309"/>
      <c r="D389" s="309"/>
      <c r="E389" s="309"/>
      <c r="F389" s="309"/>
      <c r="G389" s="309"/>
      <c r="H389" s="309"/>
      <c r="I389" s="309"/>
      <c r="J389" s="309"/>
      <c r="K389" s="1020"/>
      <c r="L389" s="1020"/>
      <c r="M389" s="309"/>
      <c r="N389" s="309"/>
      <c r="O389" s="309"/>
      <c r="P389" s="309"/>
      <c r="Q389" s="326"/>
      <c r="R389" s="326"/>
      <c r="S389" s="326"/>
      <c r="T389" s="309"/>
      <c r="U389" s="309"/>
      <c r="V389" s="309"/>
      <c r="W389" s="328"/>
      <c r="X389" s="309"/>
      <c r="Y389" s="309"/>
      <c r="Z389" s="309"/>
      <c r="AA389" s="309"/>
      <c r="AB389" s="309"/>
      <c r="AC389" s="309"/>
    </row>
    <row r="390" spans="1:29" ht="12.75" customHeight="1">
      <c r="A390" s="309"/>
      <c r="B390" s="309"/>
      <c r="C390" s="309"/>
      <c r="D390" s="309"/>
      <c r="E390" s="309"/>
      <c r="F390" s="309"/>
      <c r="G390" s="309"/>
      <c r="H390" s="309"/>
      <c r="I390" s="309"/>
      <c r="J390" s="309"/>
      <c r="K390" s="1020"/>
      <c r="L390" s="1020"/>
      <c r="M390" s="309"/>
      <c r="N390" s="309"/>
      <c r="O390" s="309"/>
      <c r="P390" s="309"/>
      <c r="Q390" s="326"/>
      <c r="R390" s="326"/>
      <c r="S390" s="326"/>
      <c r="T390" s="309"/>
      <c r="U390" s="309"/>
      <c r="V390" s="309"/>
      <c r="W390" s="328"/>
      <c r="X390" s="309"/>
      <c r="Y390" s="309"/>
      <c r="Z390" s="309"/>
      <c r="AA390" s="309"/>
      <c r="AB390" s="309"/>
      <c r="AC390" s="309"/>
    </row>
    <row r="391" spans="1:29" ht="12.75" customHeight="1">
      <c r="A391" s="309"/>
      <c r="B391" s="309"/>
      <c r="C391" s="309"/>
      <c r="D391" s="309"/>
      <c r="E391" s="309"/>
      <c r="F391" s="309"/>
      <c r="G391" s="309"/>
      <c r="H391" s="309"/>
      <c r="I391" s="309"/>
      <c r="J391" s="309"/>
      <c r="K391" s="1020"/>
      <c r="L391" s="1020"/>
      <c r="M391" s="309"/>
      <c r="N391" s="309"/>
      <c r="O391" s="309"/>
      <c r="P391" s="309"/>
      <c r="Q391" s="326"/>
      <c r="R391" s="326"/>
      <c r="S391" s="326"/>
      <c r="T391" s="309"/>
      <c r="U391" s="309"/>
      <c r="V391" s="309"/>
      <c r="W391" s="328"/>
      <c r="X391" s="309"/>
      <c r="Y391" s="309"/>
      <c r="Z391" s="309"/>
      <c r="AA391" s="309"/>
      <c r="AB391" s="309"/>
      <c r="AC391" s="309"/>
    </row>
    <row r="392" spans="1:29" ht="12.75" customHeight="1">
      <c r="A392" s="309"/>
      <c r="B392" s="309"/>
      <c r="C392" s="309"/>
      <c r="D392" s="309"/>
      <c r="E392" s="309"/>
      <c r="F392" s="309"/>
      <c r="G392" s="309"/>
      <c r="H392" s="309"/>
      <c r="I392" s="309"/>
      <c r="J392" s="309"/>
      <c r="K392" s="1020"/>
      <c r="L392" s="1020"/>
      <c r="M392" s="309"/>
      <c r="N392" s="309"/>
      <c r="O392" s="309"/>
      <c r="P392" s="309"/>
      <c r="Q392" s="326"/>
      <c r="R392" s="326"/>
      <c r="S392" s="326"/>
      <c r="T392" s="309"/>
      <c r="U392" s="309"/>
      <c r="V392" s="309"/>
      <c r="W392" s="328"/>
      <c r="X392" s="309"/>
      <c r="Y392" s="309"/>
      <c r="Z392" s="309"/>
      <c r="AA392" s="309"/>
      <c r="AB392" s="309"/>
      <c r="AC392" s="309"/>
    </row>
    <row r="393" spans="1:29" ht="12.75" customHeight="1">
      <c r="A393" s="309"/>
      <c r="B393" s="309"/>
      <c r="C393" s="309"/>
      <c r="D393" s="309"/>
      <c r="E393" s="309"/>
      <c r="F393" s="309"/>
      <c r="G393" s="309"/>
      <c r="H393" s="309"/>
      <c r="I393" s="309"/>
      <c r="J393" s="309"/>
      <c r="K393" s="1020"/>
      <c r="L393" s="1020"/>
      <c r="M393" s="309"/>
      <c r="N393" s="309"/>
      <c r="O393" s="309"/>
      <c r="P393" s="309"/>
      <c r="Q393" s="326"/>
      <c r="R393" s="326"/>
      <c r="S393" s="326"/>
      <c r="T393" s="309"/>
      <c r="U393" s="309"/>
      <c r="V393" s="309"/>
      <c r="W393" s="328"/>
      <c r="X393" s="309"/>
      <c r="Y393" s="309"/>
      <c r="Z393" s="309"/>
      <c r="AA393" s="309"/>
      <c r="AB393" s="309"/>
      <c r="AC393" s="309"/>
    </row>
    <row r="394" spans="1:29" ht="12.75" customHeight="1">
      <c r="A394" s="309"/>
      <c r="B394" s="309"/>
      <c r="C394" s="309"/>
      <c r="D394" s="309"/>
      <c r="E394" s="309"/>
      <c r="F394" s="309"/>
      <c r="G394" s="309"/>
      <c r="H394" s="309"/>
      <c r="I394" s="309"/>
      <c r="J394" s="309"/>
      <c r="K394" s="1020"/>
      <c r="L394" s="1020"/>
      <c r="M394" s="309"/>
      <c r="N394" s="309"/>
      <c r="O394" s="309"/>
      <c r="P394" s="309"/>
      <c r="Q394" s="326"/>
      <c r="R394" s="326"/>
      <c r="S394" s="326"/>
      <c r="T394" s="309"/>
      <c r="U394" s="309"/>
      <c r="V394" s="309"/>
      <c r="W394" s="328"/>
      <c r="X394" s="309"/>
      <c r="Y394" s="309"/>
      <c r="Z394" s="309"/>
      <c r="AA394" s="309"/>
      <c r="AB394" s="309"/>
      <c r="AC394" s="309"/>
    </row>
    <row r="395" spans="1:29" ht="12.75" customHeight="1">
      <c r="A395" s="309"/>
      <c r="B395" s="309"/>
      <c r="C395" s="309"/>
      <c r="D395" s="309"/>
      <c r="E395" s="309"/>
      <c r="F395" s="309"/>
      <c r="G395" s="309"/>
      <c r="H395" s="309"/>
      <c r="I395" s="309"/>
      <c r="J395" s="309"/>
      <c r="K395" s="1020"/>
      <c r="L395" s="1020"/>
      <c r="M395" s="309"/>
      <c r="N395" s="309"/>
      <c r="O395" s="309"/>
      <c r="P395" s="309"/>
      <c r="Q395" s="326"/>
      <c r="R395" s="326"/>
      <c r="S395" s="326"/>
      <c r="T395" s="309"/>
      <c r="U395" s="309"/>
      <c r="V395" s="309"/>
      <c r="W395" s="328"/>
      <c r="X395" s="309"/>
      <c r="Y395" s="309"/>
      <c r="Z395" s="309"/>
      <c r="AA395" s="309"/>
      <c r="AB395" s="309"/>
      <c r="AC395" s="309"/>
    </row>
    <row r="396" spans="1:29" ht="12.75" customHeight="1">
      <c r="A396" s="309"/>
      <c r="B396" s="309"/>
      <c r="C396" s="309"/>
      <c r="D396" s="309"/>
      <c r="E396" s="309"/>
      <c r="F396" s="309"/>
      <c r="G396" s="309"/>
      <c r="H396" s="309"/>
      <c r="I396" s="309"/>
      <c r="J396" s="309"/>
      <c r="K396" s="1020"/>
      <c r="L396" s="1020"/>
      <c r="M396" s="309"/>
      <c r="N396" s="309"/>
      <c r="O396" s="309"/>
      <c r="P396" s="309"/>
      <c r="Q396" s="326"/>
      <c r="R396" s="326"/>
      <c r="S396" s="326"/>
      <c r="T396" s="309"/>
      <c r="U396" s="309"/>
      <c r="V396" s="309"/>
      <c r="W396" s="328"/>
      <c r="X396" s="309"/>
      <c r="Y396" s="309"/>
      <c r="Z396" s="309"/>
      <c r="AA396" s="309"/>
      <c r="AB396" s="309"/>
      <c r="AC396" s="309"/>
    </row>
    <row r="397" spans="1:29" ht="12.75" customHeight="1">
      <c r="A397" s="309"/>
      <c r="B397" s="309"/>
      <c r="C397" s="309"/>
      <c r="D397" s="309"/>
      <c r="E397" s="309"/>
      <c r="F397" s="309"/>
      <c r="G397" s="309"/>
      <c r="H397" s="309"/>
      <c r="I397" s="309"/>
      <c r="J397" s="309"/>
      <c r="K397" s="1020"/>
      <c r="L397" s="1020"/>
      <c r="M397" s="309"/>
      <c r="N397" s="309"/>
      <c r="O397" s="309"/>
      <c r="P397" s="309"/>
      <c r="Q397" s="326"/>
      <c r="R397" s="326"/>
      <c r="S397" s="326"/>
      <c r="T397" s="309"/>
      <c r="U397" s="309"/>
      <c r="V397" s="309"/>
      <c r="W397" s="328"/>
      <c r="X397" s="309"/>
      <c r="Y397" s="309"/>
      <c r="Z397" s="309"/>
      <c r="AA397" s="309"/>
      <c r="AB397" s="309"/>
      <c r="AC397" s="309"/>
    </row>
    <row r="398" spans="1:29" ht="12.75" customHeight="1">
      <c r="A398" s="309"/>
      <c r="B398" s="309"/>
      <c r="C398" s="309"/>
      <c r="D398" s="309"/>
      <c r="E398" s="309"/>
      <c r="F398" s="309"/>
      <c r="G398" s="309"/>
      <c r="H398" s="309"/>
      <c r="I398" s="309"/>
      <c r="J398" s="309"/>
      <c r="K398" s="1020"/>
      <c r="L398" s="1020"/>
      <c r="M398" s="309"/>
      <c r="N398" s="309"/>
      <c r="O398" s="309"/>
      <c r="P398" s="309"/>
      <c r="Q398" s="326"/>
      <c r="R398" s="326"/>
      <c r="S398" s="326"/>
      <c r="T398" s="309"/>
      <c r="U398" s="309"/>
      <c r="V398" s="309"/>
      <c r="W398" s="328"/>
      <c r="X398" s="309"/>
      <c r="Y398" s="309"/>
      <c r="Z398" s="309"/>
      <c r="AA398" s="309"/>
      <c r="AB398" s="309"/>
      <c r="AC398" s="309"/>
    </row>
    <row r="399" spans="1:29" ht="12.75" customHeight="1">
      <c r="A399" s="309"/>
      <c r="B399" s="309"/>
      <c r="C399" s="309"/>
      <c r="D399" s="309"/>
      <c r="E399" s="309"/>
      <c r="F399" s="309"/>
      <c r="G399" s="309"/>
      <c r="H399" s="309"/>
      <c r="I399" s="309"/>
      <c r="J399" s="309"/>
      <c r="K399" s="1020"/>
      <c r="L399" s="1020"/>
      <c r="M399" s="309"/>
      <c r="N399" s="309"/>
      <c r="O399" s="309"/>
      <c r="P399" s="309"/>
      <c r="Q399" s="326"/>
      <c r="R399" s="326"/>
      <c r="S399" s="326"/>
      <c r="T399" s="309"/>
      <c r="U399" s="309"/>
      <c r="V399" s="309"/>
      <c r="W399" s="328"/>
      <c r="X399" s="309"/>
      <c r="Y399" s="309"/>
      <c r="Z399" s="309"/>
      <c r="AA399" s="309"/>
      <c r="AB399" s="309"/>
      <c r="AC399" s="309"/>
    </row>
    <row r="400" spans="1:29" ht="12.75" customHeight="1">
      <c r="A400" s="309"/>
      <c r="B400" s="309"/>
      <c r="C400" s="309"/>
      <c r="D400" s="309"/>
      <c r="E400" s="309"/>
      <c r="F400" s="309"/>
      <c r="G400" s="309"/>
      <c r="H400" s="309"/>
      <c r="I400" s="309"/>
      <c r="J400" s="309"/>
      <c r="K400" s="1020"/>
      <c r="L400" s="1020"/>
      <c r="M400" s="309"/>
      <c r="N400" s="309"/>
      <c r="O400" s="309"/>
      <c r="P400" s="309"/>
      <c r="Q400" s="326"/>
      <c r="R400" s="326"/>
      <c r="S400" s="326"/>
      <c r="T400" s="309"/>
      <c r="U400" s="309"/>
      <c r="V400" s="309"/>
      <c r="W400" s="328"/>
      <c r="X400" s="309"/>
      <c r="Y400" s="309"/>
      <c r="Z400" s="309"/>
      <c r="AA400" s="309"/>
      <c r="AB400" s="309"/>
      <c r="AC400" s="309"/>
    </row>
    <row r="401" spans="1:29" ht="12.75" customHeight="1">
      <c r="A401" s="309"/>
      <c r="B401" s="309"/>
      <c r="C401" s="309"/>
      <c r="D401" s="309"/>
      <c r="E401" s="309"/>
      <c r="F401" s="309"/>
      <c r="G401" s="309"/>
      <c r="H401" s="309"/>
      <c r="I401" s="309"/>
      <c r="J401" s="309"/>
      <c r="K401" s="1020"/>
      <c r="L401" s="1020"/>
      <c r="M401" s="309"/>
      <c r="N401" s="309"/>
      <c r="O401" s="309"/>
      <c r="P401" s="309"/>
      <c r="Q401" s="326"/>
      <c r="R401" s="326"/>
      <c r="S401" s="326"/>
      <c r="T401" s="309"/>
      <c r="U401" s="309"/>
      <c r="V401" s="309"/>
      <c r="W401" s="328"/>
      <c r="X401" s="309"/>
      <c r="Y401" s="309"/>
      <c r="Z401" s="309"/>
      <c r="AA401" s="309"/>
      <c r="AB401" s="309"/>
      <c r="AC401" s="309"/>
    </row>
    <row r="402" spans="1:29" ht="12.75" customHeight="1">
      <c r="A402" s="309"/>
      <c r="B402" s="309"/>
      <c r="C402" s="309"/>
      <c r="D402" s="309"/>
      <c r="E402" s="309"/>
      <c r="F402" s="309"/>
      <c r="G402" s="309"/>
      <c r="H402" s="309"/>
      <c r="I402" s="309"/>
      <c r="J402" s="309"/>
      <c r="K402" s="1020"/>
      <c r="L402" s="1020"/>
      <c r="M402" s="309"/>
      <c r="N402" s="309"/>
      <c r="O402" s="309"/>
      <c r="P402" s="309"/>
      <c r="Q402" s="326"/>
      <c r="R402" s="326"/>
      <c r="S402" s="326"/>
      <c r="T402" s="309"/>
      <c r="U402" s="309"/>
      <c r="V402" s="309"/>
      <c r="W402" s="328"/>
      <c r="X402" s="309"/>
      <c r="Y402" s="309"/>
      <c r="Z402" s="309"/>
      <c r="AA402" s="309"/>
      <c r="AB402" s="309"/>
      <c r="AC402" s="309"/>
    </row>
    <row r="403" spans="1:29" ht="12.75" customHeight="1">
      <c r="A403" s="309"/>
      <c r="B403" s="309"/>
      <c r="C403" s="309"/>
      <c r="D403" s="309"/>
      <c r="E403" s="309"/>
      <c r="F403" s="309"/>
      <c r="G403" s="309"/>
      <c r="H403" s="309"/>
      <c r="I403" s="309"/>
      <c r="J403" s="309"/>
      <c r="K403" s="1020"/>
      <c r="L403" s="1020"/>
      <c r="M403" s="309"/>
      <c r="N403" s="309"/>
      <c r="O403" s="309"/>
      <c r="P403" s="309"/>
      <c r="Q403" s="326"/>
      <c r="R403" s="326"/>
      <c r="S403" s="326"/>
      <c r="T403" s="309"/>
      <c r="U403" s="309"/>
      <c r="V403" s="309"/>
      <c r="W403" s="328"/>
      <c r="X403" s="309"/>
      <c r="Y403" s="309"/>
      <c r="Z403" s="309"/>
      <c r="AA403" s="309"/>
      <c r="AB403" s="309"/>
      <c r="AC403" s="309"/>
    </row>
    <row r="404" spans="1:29" ht="12.75" customHeight="1">
      <c r="A404" s="309"/>
      <c r="B404" s="309"/>
      <c r="C404" s="309"/>
      <c r="D404" s="309"/>
      <c r="E404" s="309"/>
      <c r="F404" s="309"/>
      <c r="G404" s="309"/>
      <c r="H404" s="309"/>
      <c r="I404" s="309"/>
      <c r="J404" s="309"/>
      <c r="K404" s="1020"/>
      <c r="L404" s="1020"/>
      <c r="M404" s="309"/>
      <c r="N404" s="309"/>
      <c r="O404" s="309"/>
      <c r="P404" s="309"/>
      <c r="Q404" s="326"/>
      <c r="R404" s="326"/>
      <c r="S404" s="326"/>
      <c r="T404" s="309"/>
      <c r="U404" s="309"/>
      <c r="V404" s="309"/>
      <c r="W404" s="328"/>
      <c r="X404" s="309"/>
      <c r="Y404" s="309"/>
      <c r="Z404" s="309"/>
      <c r="AA404" s="309"/>
      <c r="AB404" s="309"/>
      <c r="AC404" s="309"/>
    </row>
    <row r="405" spans="1:29" ht="12.75" customHeight="1">
      <c r="A405" s="309"/>
      <c r="B405" s="309"/>
      <c r="C405" s="309"/>
      <c r="D405" s="309"/>
      <c r="E405" s="309"/>
      <c r="F405" s="309"/>
      <c r="G405" s="309"/>
      <c r="H405" s="309"/>
      <c r="I405" s="309"/>
      <c r="J405" s="309"/>
      <c r="K405" s="1020"/>
      <c r="L405" s="1020"/>
      <c r="M405" s="309"/>
      <c r="N405" s="309"/>
      <c r="O405" s="309"/>
      <c r="P405" s="309"/>
      <c r="Q405" s="326"/>
      <c r="R405" s="326"/>
      <c r="S405" s="326"/>
      <c r="T405" s="309"/>
      <c r="U405" s="309"/>
      <c r="V405" s="309"/>
      <c r="W405" s="328"/>
      <c r="X405" s="309"/>
      <c r="Y405" s="309"/>
      <c r="Z405" s="309"/>
      <c r="AA405" s="309"/>
      <c r="AB405" s="309"/>
      <c r="AC405" s="309"/>
    </row>
    <row r="406" spans="1:29" ht="12.75" customHeight="1">
      <c r="A406" s="309"/>
      <c r="B406" s="309"/>
      <c r="C406" s="309"/>
      <c r="D406" s="309"/>
      <c r="E406" s="309"/>
      <c r="F406" s="309"/>
      <c r="G406" s="309"/>
      <c r="H406" s="309"/>
      <c r="I406" s="309"/>
      <c r="J406" s="309"/>
      <c r="K406" s="1020"/>
      <c r="L406" s="1020"/>
      <c r="M406" s="309"/>
      <c r="N406" s="309"/>
      <c r="O406" s="309"/>
      <c r="P406" s="309"/>
      <c r="Q406" s="326"/>
      <c r="R406" s="326"/>
      <c r="S406" s="326"/>
      <c r="T406" s="309"/>
      <c r="U406" s="309"/>
      <c r="V406" s="309"/>
      <c r="W406" s="328"/>
      <c r="X406" s="309"/>
      <c r="Y406" s="309"/>
      <c r="Z406" s="309"/>
      <c r="AA406" s="309"/>
      <c r="AB406" s="309"/>
      <c r="AC406" s="309"/>
    </row>
    <row r="407" spans="1:29" ht="12.75" customHeight="1">
      <c r="A407" s="309"/>
      <c r="B407" s="309"/>
      <c r="C407" s="309"/>
      <c r="D407" s="309"/>
      <c r="E407" s="309"/>
      <c r="F407" s="309"/>
      <c r="G407" s="309"/>
      <c r="H407" s="309"/>
      <c r="I407" s="309"/>
      <c r="J407" s="309"/>
      <c r="K407" s="1020"/>
      <c r="L407" s="1020"/>
      <c r="M407" s="309"/>
      <c r="N407" s="309"/>
      <c r="O407" s="309"/>
      <c r="P407" s="309"/>
      <c r="Q407" s="326"/>
      <c r="R407" s="326"/>
      <c r="S407" s="326"/>
      <c r="T407" s="309"/>
      <c r="U407" s="309"/>
      <c r="V407" s="309"/>
      <c r="W407" s="328"/>
      <c r="X407" s="309"/>
      <c r="Y407" s="309"/>
      <c r="Z407" s="309"/>
      <c r="AA407" s="309"/>
      <c r="AB407" s="309"/>
      <c r="AC407" s="309"/>
    </row>
    <row r="408" spans="1:29" ht="12.75" customHeight="1">
      <c r="A408" s="309"/>
      <c r="B408" s="309"/>
      <c r="C408" s="309"/>
      <c r="D408" s="309"/>
      <c r="E408" s="309"/>
      <c r="F408" s="309"/>
      <c r="G408" s="309"/>
      <c r="H408" s="309"/>
      <c r="I408" s="309"/>
      <c r="J408" s="309"/>
      <c r="K408" s="1020"/>
      <c r="L408" s="1020"/>
      <c r="M408" s="309"/>
      <c r="N408" s="309"/>
      <c r="O408" s="309"/>
      <c r="P408" s="309"/>
      <c r="Q408" s="326"/>
      <c r="R408" s="326"/>
      <c r="S408" s="326"/>
      <c r="T408" s="309"/>
      <c r="U408" s="309"/>
      <c r="V408" s="309"/>
      <c r="W408" s="328"/>
      <c r="X408" s="309"/>
      <c r="Y408" s="309"/>
      <c r="Z408" s="309"/>
      <c r="AA408" s="309"/>
      <c r="AB408" s="309"/>
      <c r="AC408" s="309"/>
    </row>
    <row r="409" spans="1:29" ht="12.75" customHeight="1">
      <c r="A409" s="309"/>
      <c r="B409" s="309"/>
      <c r="C409" s="309"/>
      <c r="D409" s="309"/>
      <c r="E409" s="309"/>
      <c r="F409" s="309"/>
      <c r="G409" s="309"/>
      <c r="H409" s="309"/>
      <c r="I409" s="309"/>
      <c r="J409" s="309"/>
      <c r="K409" s="1020"/>
      <c r="L409" s="1020"/>
      <c r="M409" s="309"/>
      <c r="N409" s="309"/>
      <c r="O409" s="309"/>
      <c r="P409" s="309"/>
      <c r="Q409" s="326"/>
      <c r="R409" s="326"/>
      <c r="S409" s="326"/>
      <c r="T409" s="309"/>
      <c r="U409" s="309"/>
      <c r="V409" s="309"/>
      <c r="W409" s="328"/>
      <c r="X409" s="309"/>
      <c r="Y409" s="309"/>
      <c r="Z409" s="309"/>
      <c r="AA409" s="309"/>
      <c r="AB409" s="309"/>
      <c r="AC409" s="309"/>
    </row>
    <row r="410" spans="1:29" ht="12.75" customHeight="1">
      <c r="A410" s="309"/>
      <c r="B410" s="309"/>
      <c r="C410" s="309"/>
      <c r="D410" s="309"/>
      <c r="E410" s="309"/>
      <c r="F410" s="309"/>
      <c r="G410" s="309"/>
      <c r="H410" s="309"/>
      <c r="I410" s="309"/>
      <c r="J410" s="309"/>
      <c r="K410" s="1020"/>
      <c r="L410" s="1020"/>
      <c r="M410" s="309"/>
      <c r="N410" s="309"/>
      <c r="O410" s="309"/>
      <c r="P410" s="309"/>
      <c r="Q410" s="326"/>
      <c r="R410" s="326"/>
      <c r="S410" s="326"/>
      <c r="T410" s="309"/>
      <c r="U410" s="309"/>
      <c r="V410" s="309"/>
      <c r="W410" s="328"/>
      <c r="X410" s="309"/>
      <c r="Y410" s="309"/>
      <c r="Z410" s="309"/>
      <c r="AA410" s="309"/>
      <c r="AB410" s="309"/>
      <c r="AC410" s="309"/>
    </row>
    <row r="411" spans="1:29" ht="12.75" customHeight="1">
      <c r="A411" s="309"/>
      <c r="B411" s="309"/>
      <c r="C411" s="309"/>
      <c r="D411" s="309"/>
      <c r="E411" s="309"/>
      <c r="F411" s="309"/>
      <c r="G411" s="309"/>
      <c r="H411" s="309"/>
      <c r="I411" s="309"/>
      <c r="J411" s="309"/>
      <c r="K411" s="1020"/>
      <c r="L411" s="1020"/>
      <c r="M411" s="309"/>
      <c r="N411" s="309"/>
      <c r="O411" s="309"/>
      <c r="P411" s="309"/>
      <c r="Q411" s="326"/>
      <c r="R411" s="326"/>
      <c r="S411" s="326"/>
      <c r="T411" s="309"/>
      <c r="U411" s="309"/>
      <c r="V411" s="309"/>
      <c r="W411" s="328"/>
      <c r="X411" s="309"/>
      <c r="Y411" s="309"/>
      <c r="Z411" s="309"/>
      <c r="AA411" s="309"/>
      <c r="AB411" s="309"/>
      <c r="AC411" s="309"/>
    </row>
    <row r="412" spans="1:29" ht="12.75" customHeight="1">
      <c r="A412" s="309"/>
      <c r="B412" s="309"/>
      <c r="C412" s="309"/>
      <c r="D412" s="309"/>
      <c r="E412" s="309"/>
      <c r="F412" s="309"/>
      <c r="G412" s="309"/>
      <c r="H412" s="309"/>
      <c r="I412" s="309"/>
      <c r="J412" s="309"/>
      <c r="K412" s="1020"/>
      <c r="L412" s="1020"/>
      <c r="M412" s="309"/>
      <c r="N412" s="309"/>
      <c r="O412" s="309"/>
      <c r="P412" s="309"/>
      <c r="Q412" s="326"/>
      <c r="R412" s="326"/>
      <c r="S412" s="326"/>
      <c r="T412" s="309"/>
      <c r="U412" s="309"/>
      <c r="V412" s="309"/>
      <c r="W412" s="328"/>
      <c r="X412" s="309"/>
      <c r="Y412" s="309"/>
      <c r="Z412" s="309"/>
      <c r="AA412" s="309"/>
      <c r="AB412" s="309"/>
      <c r="AC412" s="309"/>
    </row>
    <row r="413" spans="1:29" ht="12.75" customHeight="1">
      <c r="A413" s="309"/>
      <c r="B413" s="309"/>
      <c r="C413" s="309"/>
      <c r="D413" s="309"/>
      <c r="E413" s="309"/>
      <c r="F413" s="309"/>
      <c r="G413" s="309"/>
      <c r="H413" s="309"/>
      <c r="I413" s="309"/>
      <c r="J413" s="309"/>
      <c r="K413" s="1020"/>
      <c r="L413" s="1020"/>
      <c r="M413" s="309"/>
      <c r="N413" s="309"/>
      <c r="O413" s="309"/>
      <c r="P413" s="309"/>
      <c r="Q413" s="326"/>
      <c r="R413" s="326"/>
      <c r="S413" s="326"/>
      <c r="T413" s="309"/>
      <c r="U413" s="309"/>
      <c r="V413" s="309"/>
      <c r="W413" s="328"/>
      <c r="X413" s="309"/>
      <c r="Y413" s="309"/>
      <c r="Z413" s="309"/>
      <c r="AA413" s="309"/>
      <c r="AB413" s="309"/>
      <c r="AC413" s="309"/>
    </row>
    <row r="414" spans="1:29" ht="12.75" customHeight="1">
      <c r="A414" s="309"/>
      <c r="B414" s="309"/>
      <c r="C414" s="309"/>
      <c r="D414" s="309"/>
      <c r="E414" s="309"/>
      <c r="F414" s="309"/>
      <c r="G414" s="309"/>
      <c r="H414" s="309"/>
      <c r="I414" s="309"/>
      <c r="J414" s="309"/>
      <c r="K414" s="1020"/>
      <c r="L414" s="1020"/>
      <c r="M414" s="309"/>
      <c r="N414" s="309"/>
      <c r="O414" s="309"/>
      <c r="P414" s="309"/>
      <c r="Q414" s="326"/>
      <c r="R414" s="326"/>
      <c r="S414" s="326"/>
      <c r="T414" s="309"/>
      <c r="U414" s="309"/>
      <c r="V414" s="309"/>
      <c r="W414" s="328"/>
      <c r="X414" s="309"/>
      <c r="Y414" s="309"/>
      <c r="Z414" s="309"/>
      <c r="AA414" s="309"/>
      <c r="AB414" s="309"/>
      <c r="AC414" s="309"/>
    </row>
    <row r="415" spans="1:29" ht="12.75" customHeight="1">
      <c r="A415" s="309"/>
      <c r="B415" s="309"/>
      <c r="C415" s="309"/>
      <c r="D415" s="309"/>
      <c r="E415" s="309"/>
      <c r="F415" s="309"/>
      <c r="G415" s="309"/>
      <c r="H415" s="309"/>
      <c r="I415" s="309"/>
      <c r="J415" s="309"/>
      <c r="K415" s="1020"/>
      <c r="L415" s="1020"/>
      <c r="M415" s="309"/>
      <c r="N415" s="309"/>
      <c r="O415" s="309"/>
      <c r="P415" s="309"/>
      <c r="Q415" s="326"/>
      <c r="R415" s="326"/>
      <c r="S415" s="326"/>
      <c r="T415" s="309"/>
      <c r="U415" s="309"/>
      <c r="V415" s="309"/>
      <c r="W415" s="328"/>
      <c r="X415" s="309"/>
      <c r="Y415" s="309"/>
      <c r="Z415" s="309"/>
      <c r="AA415" s="309"/>
      <c r="AB415" s="309"/>
      <c r="AC415" s="309"/>
    </row>
    <row r="416" spans="1:29" ht="12.75" customHeight="1">
      <c r="A416" s="309"/>
      <c r="B416" s="309"/>
      <c r="C416" s="309"/>
      <c r="D416" s="309"/>
      <c r="E416" s="309"/>
      <c r="F416" s="309"/>
      <c r="G416" s="309"/>
      <c r="H416" s="309"/>
      <c r="I416" s="309"/>
      <c r="J416" s="309"/>
      <c r="K416" s="1020"/>
      <c r="L416" s="1020"/>
      <c r="M416" s="309"/>
      <c r="N416" s="309"/>
      <c r="O416" s="309"/>
      <c r="P416" s="309"/>
      <c r="Q416" s="326"/>
      <c r="R416" s="326"/>
      <c r="S416" s="326"/>
      <c r="T416" s="309"/>
      <c r="U416" s="309"/>
      <c r="V416" s="309"/>
      <c r="W416" s="328"/>
      <c r="X416" s="309"/>
      <c r="Y416" s="309"/>
      <c r="Z416" s="309"/>
      <c r="AA416" s="309"/>
      <c r="AB416" s="309"/>
      <c r="AC416" s="309"/>
    </row>
    <row r="417" spans="1:29" ht="12.75" customHeight="1">
      <c r="A417" s="309"/>
      <c r="B417" s="309"/>
      <c r="C417" s="309"/>
      <c r="D417" s="309"/>
      <c r="E417" s="309"/>
      <c r="F417" s="309"/>
      <c r="G417" s="309"/>
      <c r="H417" s="309"/>
      <c r="I417" s="309"/>
      <c r="J417" s="309"/>
      <c r="K417" s="1020"/>
      <c r="L417" s="1020"/>
      <c r="M417" s="309"/>
      <c r="N417" s="309"/>
      <c r="O417" s="309"/>
      <c r="P417" s="309"/>
      <c r="Q417" s="326"/>
      <c r="R417" s="326"/>
      <c r="S417" s="326"/>
      <c r="T417" s="309"/>
      <c r="U417" s="309"/>
      <c r="V417" s="309"/>
      <c r="W417" s="328"/>
      <c r="X417" s="309"/>
      <c r="Y417" s="309"/>
      <c r="Z417" s="309"/>
      <c r="AA417" s="309"/>
      <c r="AB417" s="309"/>
      <c r="AC417" s="309"/>
    </row>
    <row r="418" spans="1:29" ht="12.75" customHeight="1">
      <c r="A418" s="309"/>
      <c r="B418" s="309"/>
      <c r="C418" s="309"/>
      <c r="D418" s="309"/>
      <c r="E418" s="309"/>
      <c r="F418" s="309"/>
      <c r="G418" s="309"/>
      <c r="H418" s="309"/>
      <c r="I418" s="309"/>
      <c r="J418" s="309"/>
      <c r="K418" s="1020"/>
      <c r="L418" s="1020"/>
      <c r="M418" s="309"/>
      <c r="N418" s="309"/>
      <c r="O418" s="309"/>
      <c r="P418" s="309"/>
      <c r="Q418" s="326"/>
      <c r="R418" s="326"/>
      <c r="S418" s="326"/>
      <c r="T418" s="309"/>
      <c r="U418" s="309"/>
      <c r="V418" s="309"/>
      <c r="W418" s="328"/>
      <c r="X418" s="309"/>
      <c r="Y418" s="309"/>
      <c r="Z418" s="309"/>
      <c r="AA418" s="309"/>
      <c r="AB418" s="309"/>
      <c r="AC418" s="309"/>
    </row>
    <row r="419" spans="1:29" ht="12.75" customHeight="1">
      <c r="A419" s="309"/>
      <c r="B419" s="309"/>
      <c r="C419" s="309"/>
      <c r="D419" s="309"/>
      <c r="E419" s="309"/>
      <c r="F419" s="309"/>
      <c r="G419" s="309"/>
      <c r="H419" s="309"/>
      <c r="I419" s="309"/>
      <c r="J419" s="309"/>
      <c r="K419" s="1020"/>
      <c r="L419" s="1020"/>
      <c r="M419" s="309"/>
      <c r="N419" s="309"/>
      <c r="O419" s="309"/>
      <c r="P419" s="309"/>
      <c r="Q419" s="326"/>
      <c r="R419" s="326"/>
      <c r="S419" s="326"/>
      <c r="T419" s="309"/>
      <c r="U419" s="309"/>
      <c r="V419" s="309"/>
      <c r="W419" s="328"/>
      <c r="X419" s="309"/>
      <c r="Y419" s="309"/>
      <c r="Z419" s="309"/>
      <c r="AA419" s="309"/>
      <c r="AB419" s="309"/>
      <c r="AC419" s="309"/>
    </row>
    <row r="420" spans="1:29" ht="12.75" customHeight="1">
      <c r="A420" s="309"/>
      <c r="B420" s="309"/>
      <c r="C420" s="309"/>
      <c r="D420" s="309"/>
      <c r="E420" s="309"/>
      <c r="F420" s="309"/>
      <c r="G420" s="309"/>
      <c r="H420" s="309"/>
      <c r="I420" s="309"/>
      <c r="J420" s="309"/>
      <c r="K420" s="1020"/>
      <c r="L420" s="1020"/>
      <c r="M420" s="309"/>
      <c r="N420" s="309"/>
      <c r="O420" s="309"/>
      <c r="P420" s="309"/>
      <c r="Q420" s="326"/>
      <c r="R420" s="326"/>
      <c r="S420" s="326"/>
      <c r="T420" s="309"/>
      <c r="U420" s="309"/>
      <c r="V420" s="309"/>
      <c r="W420" s="328"/>
      <c r="X420" s="309"/>
      <c r="Y420" s="309"/>
      <c r="Z420" s="309"/>
      <c r="AA420" s="309"/>
      <c r="AB420" s="309"/>
      <c r="AC420" s="309"/>
    </row>
    <row r="421" spans="1:29" ht="12.75" customHeight="1">
      <c r="A421" s="309"/>
      <c r="B421" s="309"/>
      <c r="C421" s="309"/>
      <c r="D421" s="309"/>
      <c r="E421" s="309"/>
      <c r="F421" s="309"/>
      <c r="G421" s="309"/>
      <c r="H421" s="309"/>
      <c r="I421" s="309"/>
      <c r="J421" s="309"/>
      <c r="K421" s="1020"/>
      <c r="L421" s="1020"/>
      <c r="M421" s="309"/>
      <c r="N421" s="309"/>
      <c r="O421" s="309"/>
      <c r="P421" s="309"/>
      <c r="Q421" s="326"/>
      <c r="R421" s="326"/>
      <c r="S421" s="326"/>
      <c r="T421" s="309"/>
      <c r="U421" s="309"/>
      <c r="V421" s="309"/>
      <c r="W421" s="328"/>
      <c r="X421" s="309"/>
      <c r="Y421" s="309"/>
      <c r="Z421" s="309"/>
      <c r="AA421" s="309"/>
      <c r="AB421" s="309"/>
      <c r="AC421" s="309"/>
    </row>
    <row r="422" spans="1:29" ht="12.75" customHeight="1">
      <c r="A422" s="309"/>
      <c r="B422" s="309"/>
      <c r="C422" s="309"/>
      <c r="D422" s="309"/>
      <c r="E422" s="309"/>
      <c r="F422" s="309"/>
      <c r="G422" s="309"/>
      <c r="H422" s="309"/>
      <c r="I422" s="309"/>
      <c r="J422" s="309"/>
      <c r="K422" s="1020"/>
      <c r="L422" s="1020"/>
      <c r="M422" s="309"/>
      <c r="N422" s="309"/>
      <c r="O422" s="309"/>
      <c r="P422" s="309"/>
      <c r="Q422" s="326"/>
      <c r="R422" s="326"/>
      <c r="S422" s="326"/>
      <c r="T422" s="309"/>
      <c r="U422" s="309"/>
      <c r="V422" s="309"/>
      <c r="W422" s="328"/>
      <c r="X422" s="309"/>
      <c r="Y422" s="309"/>
      <c r="Z422" s="309"/>
      <c r="AA422" s="309"/>
      <c r="AB422" s="309"/>
      <c r="AC422" s="309"/>
    </row>
    <row r="423" spans="1:29" ht="12.75" customHeight="1">
      <c r="A423" s="309"/>
      <c r="B423" s="309"/>
      <c r="C423" s="309"/>
      <c r="D423" s="309"/>
      <c r="E423" s="309"/>
      <c r="F423" s="309"/>
      <c r="G423" s="309"/>
      <c r="H423" s="309"/>
      <c r="I423" s="309"/>
      <c r="J423" s="309"/>
      <c r="K423" s="1020"/>
      <c r="L423" s="1020"/>
      <c r="M423" s="309"/>
      <c r="N423" s="309"/>
      <c r="O423" s="309"/>
      <c r="P423" s="309"/>
      <c r="Q423" s="326"/>
      <c r="R423" s="326"/>
      <c r="S423" s="326"/>
      <c r="T423" s="309"/>
      <c r="U423" s="309"/>
      <c r="V423" s="309"/>
      <c r="W423" s="328"/>
      <c r="X423" s="309"/>
      <c r="Y423" s="309"/>
      <c r="Z423" s="309"/>
      <c r="AA423" s="309"/>
      <c r="AB423" s="309"/>
      <c r="AC423" s="309"/>
    </row>
    <row r="424" spans="1:29" ht="12.75" customHeight="1">
      <c r="A424" s="309"/>
      <c r="B424" s="309"/>
      <c r="C424" s="309"/>
      <c r="D424" s="309"/>
      <c r="E424" s="309"/>
      <c r="F424" s="309"/>
      <c r="G424" s="309"/>
      <c r="H424" s="309"/>
      <c r="I424" s="309"/>
      <c r="J424" s="309"/>
      <c r="K424" s="1020"/>
      <c r="L424" s="1020"/>
      <c r="M424" s="309"/>
      <c r="N424" s="309"/>
      <c r="O424" s="309"/>
      <c r="P424" s="309"/>
      <c r="Q424" s="326"/>
      <c r="R424" s="326"/>
      <c r="S424" s="326"/>
      <c r="T424" s="309"/>
      <c r="U424" s="309"/>
      <c r="V424" s="309"/>
      <c r="W424" s="328"/>
      <c r="X424" s="309"/>
      <c r="Y424" s="309"/>
      <c r="Z424" s="309"/>
      <c r="AA424" s="309"/>
      <c r="AB424" s="309"/>
      <c r="AC424" s="309"/>
    </row>
    <row r="425" spans="1:29" ht="12.75" customHeight="1">
      <c r="A425" s="309"/>
      <c r="B425" s="309"/>
      <c r="C425" s="309"/>
      <c r="D425" s="309"/>
      <c r="E425" s="309"/>
      <c r="F425" s="309"/>
      <c r="G425" s="309"/>
      <c r="H425" s="309"/>
      <c r="I425" s="309"/>
      <c r="J425" s="309"/>
      <c r="K425" s="1020"/>
      <c r="L425" s="1020"/>
      <c r="M425" s="309"/>
      <c r="N425" s="309"/>
      <c r="O425" s="309"/>
      <c r="P425" s="309"/>
      <c r="Q425" s="326"/>
      <c r="R425" s="326"/>
      <c r="S425" s="326"/>
      <c r="T425" s="309"/>
      <c r="U425" s="309"/>
      <c r="V425" s="309"/>
      <c r="W425" s="328"/>
      <c r="X425" s="309"/>
      <c r="Y425" s="309"/>
      <c r="Z425" s="309"/>
      <c r="AA425" s="309"/>
      <c r="AB425" s="309"/>
      <c r="AC425" s="309"/>
    </row>
    <row r="426" spans="1:29" ht="12.75" customHeight="1">
      <c r="A426" s="309"/>
      <c r="B426" s="309"/>
      <c r="C426" s="309"/>
      <c r="D426" s="309"/>
      <c r="E426" s="309"/>
      <c r="F426" s="309"/>
      <c r="G426" s="309"/>
      <c r="H426" s="309"/>
      <c r="I426" s="309"/>
      <c r="J426" s="309"/>
      <c r="K426" s="1020"/>
      <c r="L426" s="1020"/>
      <c r="M426" s="309"/>
      <c r="N426" s="309"/>
      <c r="O426" s="309"/>
      <c r="P426" s="309"/>
      <c r="Q426" s="326"/>
      <c r="R426" s="326"/>
      <c r="S426" s="326"/>
      <c r="T426" s="309"/>
      <c r="U426" s="309"/>
      <c r="V426" s="309"/>
      <c r="W426" s="328"/>
      <c r="X426" s="309"/>
      <c r="Y426" s="309"/>
      <c r="Z426" s="309"/>
      <c r="AA426" s="309"/>
      <c r="AB426" s="309"/>
      <c r="AC426" s="309"/>
    </row>
    <row r="427" spans="1:29" ht="12.75" customHeight="1">
      <c r="A427" s="309"/>
      <c r="B427" s="309"/>
      <c r="C427" s="309"/>
      <c r="D427" s="309"/>
      <c r="E427" s="309"/>
      <c r="F427" s="309"/>
      <c r="G427" s="309"/>
      <c r="H427" s="309"/>
      <c r="I427" s="309"/>
      <c r="J427" s="309"/>
      <c r="K427" s="1020"/>
      <c r="L427" s="1020"/>
      <c r="M427" s="309"/>
      <c r="N427" s="309"/>
      <c r="O427" s="309"/>
      <c r="P427" s="309"/>
      <c r="Q427" s="326"/>
      <c r="R427" s="326"/>
      <c r="S427" s="326"/>
      <c r="T427" s="309"/>
      <c r="U427" s="309"/>
      <c r="V427" s="309"/>
      <c r="W427" s="328"/>
      <c r="X427" s="309"/>
      <c r="Y427" s="309"/>
      <c r="Z427" s="309"/>
      <c r="AA427" s="309"/>
      <c r="AB427" s="309"/>
      <c r="AC427" s="309"/>
    </row>
    <row r="428" spans="1:29" ht="12.75" customHeight="1">
      <c r="A428" s="309"/>
      <c r="B428" s="309"/>
      <c r="C428" s="309"/>
      <c r="D428" s="309"/>
      <c r="E428" s="309"/>
      <c r="F428" s="309"/>
      <c r="G428" s="309"/>
      <c r="H428" s="309"/>
      <c r="I428" s="309"/>
      <c r="J428" s="309"/>
      <c r="K428" s="1020"/>
      <c r="L428" s="1020"/>
      <c r="M428" s="309"/>
      <c r="N428" s="309"/>
      <c r="O428" s="309"/>
      <c r="P428" s="309"/>
      <c r="Q428" s="326"/>
      <c r="R428" s="326"/>
      <c r="S428" s="326"/>
      <c r="T428" s="309"/>
      <c r="U428" s="309"/>
      <c r="V428" s="309"/>
      <c r="W428" s="328"/>
      <c r="X428" s="309"/>
      <c r="Y428" s="309"/>
      <c r="Z428" s="309"/>
      <c r="AA428" s="309"/>
      <c r="AB428" s="309"/>
      <c r="AC428" s="309"/>
    </row>
    <row r="429" spans="1:29" ht="12.75" customHeight="1">
      <c r="A429" s="309"/>
      <c r="B429" s="309"/>
      <c r="C429" s="309"/>
      <c r="D429" s="309"/>
      <c r="E429" s="309"/>
      <c r="F429" s="309"/>
      <c r="G429" s="309"/>
      <c r="H429" s="309"/>
      <c r="I429" s="309"/>
      <c r="J429" s="309"/>
      <c r="K429" s="1020"/>
      <c r="L429" s="1020"/>
      <c r="M429" s="309"/>
      <c r="N429" s="309"/>
      <c r="O429" s="309"/>
      <c r="P429" s="309"/>
      <c r="Q429" s="326"/>
      <c r="R429" s="326"/>
      <c r="S429" s="326"/>
      <c r="T429" s="309"/>
      <c r="U429" s="309"/>
      <c r="V429" s="309"/>
      <c r="W429" s="328"/>
      <c r="X429" s="309"/>
      <c r="Y429" s="309"/>
      <c r="Z429" s="309"/>
      <c r="AA429" s="309"/>
      <c r="AB429" s="309"/>
      <c r="AC429" s="309"/>
    </row>
    <row r="430" spans="1:29" ht="12.75" customHeight="1">
      <c r="A430" s="309"/>
      <c r="B430" s="309"/>
      <c r="C430" s="309"/>
      <c r="D430" s="309"/>
      <c r="E430" s="309"/>
      <c r="F430" s="309"/>
      <c r="G430" s="309"/>
      <c r="H430" s="309"/>
      <c r="I430" s="309"/>
      <c r="J430" s="309"/>
      <c r="K430" s="1020"/>
      <c r="L430" s="1020"/>
      <c r="M430" s="309"/>
      <c r="N430" s="309"/>
      <c r="O430" s="309"/>
      <c r="P430" s="309"/>
      <c r="Q430" s="326"/>
      <c r="R430" s="326"/>
      <c r="S430" s="326"/>
      <c r="T430" s="309"/>
      <c r="U430" s="309"/>
      <c r="V430" s="309"/>
      <c r="W430" s="328"/>
      <c r="X430" s="309"/>
      <c r="Y430" s="309"/>
      <c r="Z430" s="309"/>
      <c r="AA430" s="309"/>
      <c r="AB430" s="309"/>
      <c r="AC430" s="309"/>
    </row>
    <row r="431" spans="1:29" ht="12.75" customHeight="1">
      <c r="A431" s="309"/>
      <c r="B431" s="309"/>
      <c r="C431" s="309"/>
      <c r="D431" s="309"/>
      <c r="E431" s="309"/>
      <c r="F431" s="309"/>
      <c r="G431" s="309"/>
      <c r="H431" s="309"/>
      <c r="I431" s="309"/>
      <c r="J431" s="309"/>
      <c r="K431" s="1020"/>
      <c r="L431" s="1020"/>
      <c r="M431" s="309"/>
      <c r="N431" s="309"/>
      <c r="O431" s="309"/>
      <c r="P431" s="309"/>
      <c r="Q431" s="326"/>
      <c r="R431" s="326"/>
      <c r="S431" s="326"/>
      <c r="T431" s="309"/>
      <c r="U431" s="309"/>
      <c r="V431" s="309"/>
      <c r="W431" s="328"/>
      <c r="X431" s="309"/>
      <c r="Y431" s="309"/>
      <c r="Z431" s="309"/>
      <c r="AA431" s="309"/>
      <c r="AB431" s="309"/>
      <c r="AC431" s="309"/>
    </row>
    <row r="432" spans="1:29" ht="12.75" customHeight="1">
      <c r="A432" s="309"/>
      <c r="B432" s="309"/>
      <c r="C432" s="309"/>
      <c r="D432" s="309"/>
      <c r="E432" s="309"/>
      <c r="F432" s="309"/>
      <c r="G432" s="309"/>
      <c r="H432" s="309"/>
      <c r="I432" s="309"/>
      <c r="J432" s="309"/>
      <c r="K432" s="1020"/>
      <c r="L432" s="1020"/>
      <c r="M432" s="309"/>
      <c r="N432" s="309"/>
      <c r="O432" s="309"/>
      <c r="P432" s="309"/>
      <c r="Q432" s="326"/>
      <c r="R432" s="326"/>
      <c r="S432" s="326"/>
      <c r="T432" s="309"/>
      <c r="U432" s="309"/>
      <c r="V432" s="309"/>
      <c r="W432" s="328"/>
      <c r="X432" s="309"/>
      <c r="Y432" s="309"/>
      <c r="Z432" s="309"/>
      <c r="AA432" s="309"/>
      <c r="AB432" s="309"/>
      <c r="AC432" s="309"/>
    </row>
    <row r="433" spans="1:29" ht="12.75" customHeight="1">
      <c r="A433" s="309"/>
      <c r="B433" s="309"/>
      <c r="C433" s="309"/>
      <c r="D433" s="309"/>
      <c r="E433" s="309"/>
      <c r="F433" s="309"/>
      <c r="G433" s="309"/>
      <c r="H433" s="309"/>
      <c r="I433" s="309"/>
      <c r="J433" s="309"/>
      <c r="K433" s="1020"/>
      <c r="L433" s="1020"/>
      <c r="M433" s="309"/>
      <c r="N433" s="309"/>
      <c r="O433" s="309"/>
      <c r="P433" s="309"/>
      <c r="Q433" s="326"/>
      <c r="R433" s="326"/>
      <c r="S433" s="326"/>
      <c r="T433" s="309"/>
      <c r="U433" s="309"/>
      <c r="V433" s="309"/>
      <c r="W433" s="328"/>
      <c r="X433" s="309"/>
      <c r="Y433" s="309"/>
      <c r="Z433" s="309"/>
      <c r="AA433" s="309"/>
      <c r="AB433" s="309"/>
      <c r="AC433" s="309"/>
    </row>
    <row r="434" spans="1:29" ht="12.75" customHeight="1">
      <c r="A434" s="309"/>
      <c r="B434" s="309"/>
      <c r="C434" s="309"/>
      <c r="D434" s="309"/>
      <c r="E434" s="309"/>
      <c r="F434" s="309"/>
      <c r="G434" s="309"/>
      <c r="H434" s="309"/>
      <c r="I434" s="309"/>
      <c r="J434" s="309"/>
      <c r="K434" s="1020"/>
      <c r="L434" s="1020"/>
      <c r="M434" s="309"/>
      <c r="N434" s="309"/>
      <c r="O434" s="309"/>
      <c r="P434" s="309"/>
      <c r="Q434" s="326"/>
      <c r="R434" s="326"/>
      <c r="S434" s="326"/>
      <c r="T434" s="309"/>
      <c r="U434" s="309"/>
      <c r="V434" s="309"/>
      <c r="W434" s="328"/>
      <c r="X434" s="309"/>
      <c r="Y434" s="309"/>
      <c r="Z434" s="309"/>
      <c r="AA434" s="309"/>
      <c r="AB434" s="309"/>
      <c r="AC434" s="309"/>
    </row>
    <row r="435" spans="1:29" ht="12.75" customHeight="1">
      <c r="A435" s="309"/>
      <c r="B435" s="309"/>
      <c r="C435" s="309"/>
      <c r="D435" s="309"/>
      <c r="E435" s="309"/>
      <c r="F435" s="309"/>
      <c r="G435" s="309"/>
      <c r="H435" s="309"/>
      <c r="I435" s="309"/>
      <c r="J435" s="309"/>
      <c r="K435" s="1020"/>
      <c r="L435" s="1020"/>
      <c r="M435" s="309"/>
      <c r="N435" s="309"/>
      <c r="O435" s="309"/>
      <c r="P435" s="309"/>
      <c r="Q435" s="326"/>
      <c r="R435" s="326"/>
      <c r="S435" s="326"/>
      <c r="T435" s="309"/>
      <c r="U435" s="309"/>
      <c r="V435" s="309"/>
      <c r="W435" s="328"/>
      <c r="X435" s="309"/>
      <c r="Y435" s="309"/>
      <c r="Z435" s="309"/>
      <c r="AA435" s="309"/>
      <c r="AB435" s="309"/>
      <c r="AC435" s="309"/>
    </row>
    <row r="436" spans="1:29" ht="12.75" customHeight="1">
      <c r="A436" s="309"/>
      <c r="B436" s="309"/>
      <c r="C436" s="309"/>
      <c r="D436" s="309"/>
      <c r="E436" s="309"/>
      <c r="F436" s="309"/>
      <c r="G436" s="309"/>
      <c r="H436" s="309"/>
      <c r="I436" s="309"/>
      <c r="J436" s="309"/>
      <c r="K436" s="1020"/>
      <c r="L436" s="1020"/>
      <c r="M436" s="309"/>
      <c r="N436" s="309"/>
      <c r="O436" s="309"/>
      <c r="P436" s="309"/>
      <c r="Q436" s="326"/>
      <c r="R436" s="326"/>
      <c r="S436" s="326"/>
      <c r="T436" s="309"/>
      <c r="U436" s="309"/>
      <c r="V436" s="309"/>
      <c r="W436" s="328"/>
      <c r="X436" s="309"/>
      <c r="Y436" s="309"/>
      <c r="Z436" s="309"/>
      <c r="AA436" s="309"/>
      <c r="AB436" s="309"/>
      <c r="AC436" s="309"/>
    </row>
    <row r="437" spans="1:29" ht="12.75" customHeight="1">
      <c r="A437" s="309"/>
      <c r="B437" s="309"/>
      <c r="C437" s="309"/>
      <c r="D437" s="309"/>
      <c r="E437" s="309"/>
      <c r="F437" s="309"/>
      <c r="G437" s="309"/>
      <c r="H437" s="309"/>
      <c r="I437" s="309"/>
      <c r="J437" s="309"/>
      <c r="K437" s="1020"/>
      <c r="L437" s="1020"/>
      <c r="M437" s="309"/>
      <c r="N437" s="309"/>
      <c r="O437" s="309"/>
      <c r="P437" s="309"/>
      <c r="Q437" s="326"/>
      <c r="R437" s="326"/>
      <c r="S437" s="326"/>
      <c r="T437" s="309"/>
      <c r="U437" s="309"/>
      <c r="V437" s="309"/>
      <c r="W437" s="328"/>
      <c r="X437" s="309"/>
      <c r="Y437" s="309"/>
      <c r="Z437" s="309"/>
      <c r="AA437" s="309"/>
      <c r="AB437" s="309"/>
      <c r="AC437" s="309"/>
    </row>
    <row r="438" spans="1:29" ht="12.75" customHeight="1">
      <c r="A438" s="309"/>
      <c r="B438" s="309"/>
      <c r="C438" s="309"/>
      <c r="D438" s="309"/>
      <c r="E438" s="309"/>
      <c r="F438" s="309"/>
      <c r="G438" s="309"/>
      <c r="H438" s="309"/>
      <c r="I438" s="309"/>
      <c r="J438" s="309"/>
      <c r="K438" s="1020"/>
      <c r="L438" s="1020"/>
      <c r="M438" s="309"/>
      <c r="N438" s="309"/>
      <c r="O438" s="309"/>
      <c r="P438" s="309"/>
      <c r="Q438" s="326"/>
      <c r="R438" s="326"/>
      <c r="S438" s="326"/>
      <c r="T438" s="309"/>
      <c r="U438" s="309"/>
      <c r="V438" s="309"/>
      <c r="W438" s="328"/>
      <c r="X438" s="309"/>
      <c r="Y438" s="309"/>
      <c r="Z438" s="309"/>
      <c r="AA438" s="309"/>
      <c r="AB438" s="309"/>
      <c r="AC438" s="309"/>
    </row>
    <row r="439" spans="1:29" ht="12.75" customHeight="1">
      <c r="A439" s="309"/>
      <c r="B439" s="309"/>
      <c r="C439" s="309"/>
      <c r="D439" s="309"/>
      <c r="E439" s="309"/>
      <c r="F439" s="309"/>
      <c r="G439" s="309"/>
      <c r="H439" s="309"/>
      <c r="I439" s="309"/>
      <c r="J439" s="309"/>
      <c r="K439" s="1020"/>
      <c r="L439" s="1020"/>
      <c r="M439" s="309"/>
      <c r="N439" s="309"/>
      <c r="O439" s="309"/>
      <c r="P439" s="309"/>
      <c r="Q439" s="326"/>
      <c r="R439" s="326"/>
      <c r="S439" s="326"/>
      <c r="T439" s="309"/>
      <c r="U439" s="309"/>
      <c r="V439" s="309"/>
      <c r="W439" s="328"/>
      <c r="X439" s="309"/>
      <c r="Y439" s="309"/>
      <c r="Z439" s="309"/>
      <c r="AA439" s="309"/>
      <c r="AB439" s="309"/>
      <c r="AC439" s="309"/>
    </row>
    <row r="440" spans="1:29" ht="12.75" customHeight="1">
      <c r="A440" s="309"/>
      <c r="B440" s="309"/>
      <c r="C440" s="309"/>
      <c r="D440" s="309"/>
      <c r="E440" s="309"/>
      <c r="F440" s="309"/>
      <c r="G440" s="309"/>
      <c r="H440" s="309"/>
      <c r="I440" s="309"/>
      <c r="J440" s="309"/>
      <c r="K440" s="1020"/>
      <c r="L440" s="1020"/>
      <c r="M440" s="309"/>
      <c r="N440" s="309"/>
      <c r="O440" s="309"/>
      <c r="P440" s="309"/>
      <c r="Q440" s="326"/>
      <c r="R440" s="326"/>
      <c r="S440" s="326"/>
      <c r="T440" s="309"/>
      <c r="U440" s="309"/>
      <c r="V440" s="309"/>
      <c r="W440" s="328"/>
      <c r="X440" s="309"/>
      <c r="Y440" s="309"/>
      <c r="Z440" s="309"/>
      <c r="AA440" s="309"/>
      <c r="AB440" s="309"/>
      <c r="AC440" s="309"/>
    </row>
    <row r="441" spans="1:29" ht="12.75" customHeight="1">
      <c r="A441" s="309"/>
      <c r="B441" s="309"/>
      <c r="C441" s="309"/>
      <c r="D441" s="309"/>
      <c r="E441" s="309"/>
      <c r="F441" s="309"/>
      <c r="G441" s="309"/>
      <c r="H441" s="309"/>
      <c r="I441" s="309"/>
      <c r="J441" s="309"/>
      <c r="K441" s="1020"/>
      <c r="L441" s="1020"/>
      <c r="M441" s="309"/>
      <c r="N441" s="309"/>
      <c r="O441" s="309"/>
      <c r="P441" s="309"/>
      <c r="Q441" s="326"/>
      <c r="R441" s="326"/>
      <c r="S441" s="326"/>
      <c r="T441" s="309"/>
      <c r="U441" s="309"/>
      <c r="V441" s="309"/>
      <c r="W441" s="328"/>
      <c r="X441" s="309"/>
      <c r="Y441" s="309"/>
      <c r="Z441" s="309"/>
      <c r="AA441" s="309"/>
      <c r="AB441" s="309"/>
      <c r="AC441" s="309"/>
    </row>
    <row r="442" spans="1:29" ht="12.75" customHeight="1">
      <c r="A442" s="309"/>
      <c r="B442" s="309"/>
      <c r="C442" s="309"/>
      <c r="D442" s="309"/>
      <c r="E442" s="309"/>
      <c r="F442" s="309"/>
      <c r="G442" s="309"/>
      <c r="H442" s="309"/>
      <c r="I442" s="309"/>
      <c r="J442" s="309"/>
      <c r="K442" s="1020"/>
      <c r="L442" s="1020"/>
      <c r="M442" s="309"/>
      <c r="N442" s="309"/>
      <c r="O442" s="309"/>
      <c r="P442" s="309"/>
      <c r="Q442" s="326"/>
      <c r="R442" s="326"/>
      <c r="S442" s="326"/>
      <c r="T442" s="309"/>
      <c r="U442" s="309"/>
      <c r="V442" s="309"/>
      <c r="W442" s="328"/>
      <c r="X442" s="309"/>
      <c r="Y442" s="309"/>
      <c r="Z442" s="309"/>
      <c r="AA442" s="309"/>
      <c r="AB442" s="309"/>
      <c r="AC442" s="309"/>
    </row>
    <row r="443" spans="1:29" ht="12.75" customHeight="1">
      <c r="A443" s="309"/>
      <c r="B443" s="309"/>
      <c r="C443" s="309"/>
      <c r="D443" s="309"/>
      <c r="E443" s="309"/>
      <c r="F443" s="309"/>
      <c r="G443" s="309"/>
      <c r="H443" s="309"/>
      <c r="I443" s="309"/>
      <c r="J443" s="309"/>
      <c r="K443" s="1020"/>
      <c r="L443" s="1020"/>
      <c r="M443" s="309"/>
      <c r="N443" s="309"/>
      <c r="O443" s="309"/>
      <c r="P443" s="309"/>
      <c r="Q443" s="326"/>
      <c r="R443" s="326"/>
      <c r="S443" s="326"/>
      <c r="T443" s="309"/>
      <c r="U443" s="309"/>
      <c r="V443" s="309"/>
      <c r="W443" s="328"/>
      <c r="X443" s="309"/>
      <c r="Y443" s="309"/>
      <c r="Z443" s="309"/>
      <c r="AA443" s="309"/>
      <c r="AB443" s="309"/>
      <c r="AC443" s="309"/>
    </row>
    <row r="444" spans="1:29" ht="12.75" customHeight="1">
      <c r="A444" s="309"/>
      <c r="B444" s="309"/>
      <c r="C444" s="309"/>
      <c r="D444" s="309"/>
      <c r="E444" s="309"/>
      <c r="F444" s="309"/>
      <c r="G444" s="309"/>
      <c r="H444" s="309"/>
      <c r="I444" s="309"/>
      <c r="J444" s="309"/>
      <c r="K444" s="1020"/>
      <c r="L444" s="1020"/>
      <c r="M444" s="309"/>
      <c r="N444" s="309"/>
      <c r="O444" s="309"/>
      <c r="P444" s="309"/>
      <c r="Q444" s="326"/>
      <c r="R444" s="326"/>
      <c r="S444" s="326"/>
      <c r="T444" s="309"/>
      <c r="U444" s="309"/>
      <c r="V444" s="309"/>
      <c r="W444" s="328"/>
      <c r="X444" s="309"/>
      <c r="Y444" s="309"/>
      <c r="Z444" s="309"/>
      <c r="AA444" s="309"/>
      <c r="AB444" s="309"/>
      <c r="AC444" s="309"/>
    </row>
    <row r="445" spans="1:29" ht="12.75" customHeight="1">
      <c r="A445" s="309"/>
      <c r="B445" s="309"/>
      <c r="C445" s="309"/>
      <c r="D445" s="309"/>
      <c r="E445" s="309"/>
      <c r="F445" s="309"/>
      <c r="G445" s="309"/>
      <c r="H445" s="309"/>
      <c r="I445" s="309"/>
      <c r="J445" s="309"/>
      <c r="K445" s="1020"/>
      <c r="L445" s="1020"/>
      <c r="M445" s="309"/>
      <c r="N445" s="309"/>
      <c r="O445" s="309"/>
      <c r="P445" s="309"/>
      <c r="Q445" s="326"/>
      <c r="R445" s="326"/>
      <c r="S445" s="326"/>
      <c r="T445" s="309"/>
      <c r="U445" s="309"/>
      <c r="V445" s="309"/>
      <c r="W445" s="328"/>
      <c r="X445" s="309"/>
      <c r="Y445" s="309"/>
      <c r="Z445" s="309"/>
      <c r="AA445" s="309"/>
      <c r="AB445" s="309"/>
      <c r="AC445" s="309"/>
    </row>
    <row r="446" spans="1:29" ht="12.75" customHeight="1">
      <c r="A446" s="309"/>
      <c r="B446" s="309"/>
      <c r="C446" s="309"/>
      <c r="D446" s="309"/>
      <c r="E446" s="309"/>
      <c r="F446" s="309"/>
      <c r="G446" s="309"/>
      <c r="H446" s="309"/>
      <c r="I446" s="309"/>
      <c r="J446" s="309"/>
      <c r="K446" s="1020"/>
      <c r="L446" s="1020"/>
      <c r="M446" s="309"/>
      <c r="N446" s="309"/>
      <c r="O446" s="309"/>
      <c r="P446" s="309"/>
      <c r="Q446" s="326"/>
      <c r="R446" s="326"/>
      <c r="S446" s="326"/>
      <c r="T446" s="309"/>
      <c r="U446" s="309"/>
      <c r="V446" s="309"/>
      <c r="W446" s="328"/>
      <c r="X446" s="309"/>
      <c r="Y446" s="309"/>
      <c r="Z446" s="309"/>
      <c r="AA446" s="309"/>
      <c r="AB446" s="309"/>
      <c r="AC446" s="309"/>
    </row>
    <row r="447" spans="1:29" ht="12.75" customHeight="1">
      <c r="A447" s="309"/>
      <c r="B447" s="309"/>
      <c r="C447" s="309"/>
      <c r="D447" s="309"/>
      <c r="E447" s="309"/>
      <c r="F447" s="309"/>
      <c r="G447" s="309"/>
      <c r="H447" s="309"/>
      <c r="I447" s="309"/>
      <c r="J447" s="309"/>
      <c r="K447" s="1020"/>
      <c r="L447" s="1020"/>
      <c r="M447" s="309"/>
      <c r="N447" s="309"/>
      <c r="O447" s="309"/>
      <c r="P447" s="309"/>
      <c r="Q447" s="326"/>
      <c r="R447" s="326"/>
      <c r="S447" s="326"/>
      <c r="T447" s="309"/>
      <c r="U447" s="309"/>
      <c r="V447" s="309"/>
      <c r="W447" s="328"/>
      <c r="X447" s="309"/>
      <c r="Y447" s="309"/>
      <c r="Z447" s="309"/>
      <c r="AA447" s="309"/>
      <c r="AB447" s="309"/>
      <c r="AC447" s="309"/>
    </row>
    <row r="448" spans="1:29" ht="12.75" customHeight="1">
      <c r="A448" s="309"/>
      <c r="B448" s="309"/>
      <c r="C448" s="309"/>
      <c r="D448" s="309"/>
      <c r="E448" s="309"/>
      <c r="F448" s="309"/>
      <c r="G448" s="309"/>
      <c r="H448" s="309"/>
      <c r="I448" s="309"/>
      <c r="J448" s="309"/>
      <c r="K448" s="1020"/>
      <c r="L448" s="1020"/>
      <c r="M448" s="309"/>
      <c r="N448" s="309"/>
      <c r="O448" s="309"/>
      <c r="P448" s="309"/>
      <c r="Q448" s="326"/>
      <c r="R448" s="326"/>
      <c r="S448" s="326"/>
      <c r="T448" s="309"/>
      <c r="U448" s="309"/>
      <c r="V448" s="309"/>
      <c r="W448" s="328"/>
      <c r="X448" s="309"/>
      <c r="Y448" s="309"/>
      <c r="Z448" s="309"/>
      <c r="AA448" s="309"/>
      <c r="AB448" s="309"/>
      <c r="AC448" s="309"/>
    </row>
    <row r="449" spans="1:29" ht="12.75" customHeight="1">
      <c r="A449" s="309"/>
      <c r="B449" s="309"/>
      <c r="C449" s="309"/>
      <c r="D449" s="309"/>
      <c r="E449" s="309"/>
      <c r="F449" s="309"/>
      <c r="G449" s="309"/>
      <c r="H449" s="309"/>
      <c r="I449" s="309"/>
      <c r="J449" s="309"/>
      <c r="K449" s="1020"/>
      <c r="L449" s="1020"/>
      <c r="M449" s="309"/>
      <c r="N449" s="309"/>
      <c r="O449" s="309"/>
      <c r="P449" s="309"/>
      <c r="Q449" s="326"/>
      <c r="R449" s="326"/>
      <c r="S449" s="326"/>
      <c r="T449" s="309"/>
      <c r="U449" s="309"/>
      <c r="V449" s="309"/>
      <c r="W449" s="328"/>
      <c r="X449" s="309"/>
      <c r="Y449" s="309"/>
      <c r="Z449" s="309"/>
      <c r="AA449" s="309"/>
      <c r="AB449" s="309"/>
      <c r="AC449" s="309"/>
    </row>
    <row r="450" spans="1:29" ht="12.75" customHeight="1">
      <c r="A450" s="309"/>
      <c r="B450" s="309"/>
      <c r="C450" s="309"/>
      <c r="D450" s="309"/>
      <c r="E450" s="309"/>
      <c r="F450" s="309"/>
      <c r="G450" s="309"/>
      <c r="H450" s="309"/>
      <c r="I450" s="309"/>
      <c r="J450" s="309"/>
      <c r="K450" s="1020"/>
      <c r="L450" s="1020"/>
      <c r="M450" s="309"/>
      <c r="N450" s="309"/>
      <c r="O450" s="309"/>
      <c r="P450" s="309"/>
      <c r="Q450" s="326"/>
      <c r="R450" s="326"/>
      <c r="S450" s="326"/>
      <c r="T450" s="309"/>
      <c r="U450" s="309"/>
      <c r="V450" s="309"/>
      <c r="W450" s="328"/>
      <c r="X450" s="309"/>
      <c r="Y450" s="309"/>
      <c r="Z450" s="309"/>
      <c r="AA450" s="309"/>
      <c r="AB450" s="309"/>
      <c r="AC450" s="309"/>
    </row>
    <row r="451" spans="1:29" ht="12.75" customHeight="1">
      <c r="A451" s="309"/>
      <c r="B451" s="309"/>
      <c r="C451" s="309"/>
      <c r="D451" s="309"/>
      <c r="E451" s="309"/>
      <c r="F451" s="309"/>
      <c r="G451" s="309"/>
      <c r="H451" s="309"/>
      <c r="I451" s="309"/>
      <c r="J451" s="309"/>
      <c r="K451" s="1020"/>
      <c r="L451" s="1020"/>
      <c r="M451" s="309"/>
      <c r="N451" s="309"/>
      <c r="O451" s="309"/>
      <c r="P451" s="309"/>
      <c r="Q451" s="326"/>
      <c r="R451" s="326"/>
      <c r="S451" s="326"/>
      <c r="T451" s="309"/>
      <c r="U451" s="309"/>
      <c r="V451" s="309"/>
      <c r="W451" s="328"/>
      <c r="X451" s="309"/>
      <c r="Y451" s="309"/>
      <c r="Z451" s="309"/>
      <c r="AA451" s="309"/>
      <c r="AB451" s="309"/>
      <c r="AC451" s="309"/>
    </row>
    <row r="452" spans="1:29" ht="12.75" customHeight="1">
      <c r="A452" s="309"/>
      <c r="B452" s="309"/>
      <c r="C452" s="309"/>
      <c r="D452" s="309"/>
      <c r="E452" s="309"/>
      <c r="F452" s="309"/>
      <c r="G452" s="309"/>
      <c r="H452" s="309"/>
      <c r="I452" s="309"/>
      <c r="J452" s="309"/>
      <c r="K452" s="1020"/>
      <c r="L452" s="1020"/>
      <c r="M452" s="309"/>
      <c r="N452" s="309"/>
      <c r="O452" s="309"/>
      <c r="P452" s="309"/>
      <c r="Q452" s="326"/>
      <c r="R452" s="326"/>
      <c r="S452" s="326"/>
      <c r="T452" s="309"/>
      <c r="U452" s="309"/>
      <c r="V452" s="309"/>
      <c r="W452" s="328"/>
      <c r="X452" s="309"/>
      <c r="Y452" s="309"/>
      <c r="Z452" s="309"/>
      <c r="AA452" s="309"/>
      <c r="AB452" s="309"/>
      <c r="AC452" s="309"/>
    </row>
    <row r="453" spans="1:29" ht="12.75" customHeight="1">
      <c r="A453" s="309"/>
      <c r="B453" s="309"/>
      <c r="C453" s="309"/>
      <c r="D453" s="309"/>
      <c r="E453" s="309"/>
      <c r="F453" s="309"/>
      <c r="G453" s="309"/>
      <c r="H453" s="309"/>
      <c r="I453" s="309"/>
      <c r="J453" s="309"/>
      <c r="K453" s="1020"/>
      <c r="L453" s="1020"/>
      <c r="M453" s="309"/>
      <c r="N453" s="309"/>
      <c r="O453" s="309"/>
      <c r="P453" s="309"/>
      <c r="Q453" s="326"/>
      <c r="R453" s="326"/>
      <c r="S453" s="326"/>
      <c r="T453" s="309"/>
      <c r="U453" s="309"/>
      <c r="V453" s="309"/>
      <c r="W453" s="328"/>
      <c r="X453" s="309"/>
      <c r="Y453" s="309"/>
      <c r="Z453" s="309"/>
      <c r="AA453" s="309"/>
      <c r="AB453" s="309"/>
      <c r="AC453" s="309"/>
    </row>
    <row r="454" spans="1:29" ht="12.75" customHeight="1">
      <c r="A454" s="309"/>
      <c r="B454" s="309"/>
      <c r="C454" s="309"/>
      <c r="D454" s="309"/>
      <c r="E454" s="309"/>
      <c r="F454" s="309"/>
      <c r="G454" s="309"/>
      <c r="H454" s="309"/>
      <c r="I454" s="309"/>
      <c r="J454" s="309"/>
      <c r="K454" s="1020"/>
      <c r="L454" s="1020"/>
      <c r="M454" s="309"/>
      <c r="N454" s="309"/>
      <c r="O454" s="309"/>
      <c r="P454" s="309"/>
      <c r="Q454" s="326"/>
      <c r="R454" s="326"/>
      <c r="S454" s="326"/>
      <c r="T454" s="309"/>
      <c r="U454" s="309"/>
      <c r="V454" s="309"/>
      <c r="W454" s="328"/>
      <c r="X454" s="309"/>
      <c r="Y454" s="309"/>
      <c r="Z454" s="309"/>
      <c r="AA454" s="309"/>
      <c r="AB454" s="309"/>
      <c r="AC454" s="309"/>
    </row>
    <row r="455" spans="1:29" ht="12.75" customHeight="1">
      <c r="A455" s="309"/>
      <c r="B455" s="309"/>
      <c r="C455" s="309"/>
      <c r="D455" s="309"/>
      <c r="E455" s="309"/>
      <c r="F455" s="309"/>
      <c r="G455" s="309"/>
      <c r="H455" s="309"/>
      <c r="I455" s="309"/>
      <c r="J455" s="309"/>
      <c r="K455" s="1020"/>
      <c r="L455" s="1020"/>
      <c r="M455" s="309"/>
      <c r="N455" s="309"/>
      <c r="O455" s="309"/>
      <c r="P455" s="309"/>
      <c r="Q455" s="326"/>
      <c r="R455" s="326"/>
      <c r="S455" s="326"/>
      <c r="T455" s="309"/>
      <c r="U455" s="309"/>
      <c r="V455" s="309"/>
      <c r="W455" s="328"/>
      <c r="X455" s="309"/>
      <c r="Y455" s="309"/>
      <c r="Z455" s="309"/>
      <c r="AA455" s="309"/>
      <c r="AB455" s="309"/>
      <c r="AC455" s="309"/>
    </row>
    <row r="456" spans="1:29" ht="12.75" customHeight="1">
      <c r="A456" s="309"/>
      <c r="B456" s="309"/>
      <c r="C456" s="309"/>
      <c r="D456" s="309"/>
      <c r="E456" s="309"/>
      <c r="F456" s="309"/>
      <c r="G456" s="309"/>
      <c r="H456" s="309"/>
      <c r="I456" s="309"/>
      <c r="J456" s="309"/>
      <c r="K456" s="1020"/>
      <c r="L456" s="1020"/>
      <c r="M456" s="309"/>
      <c r="N456" s="309"/>
      <c r="O456" s="309"/>
      <c r="P456" s="309"/>
      <c r="Q456" s="326"/>
      <c r="R456" s="326"/>
      <c r="S456" s="326"/>
      <c r="T456" s="309"/>
      <c r="U456" s="309"/>
      <c r="V456" s="309"/>
      <c r="W456" s="328"/>
      <c r="X456" s="309"/>
      <c r="Y456" s="309"/>
      <c r="Z456" s="309"/>
      <c r="AA456" s="309"/>
      <c r="AB456" s="309"/>
      <c r="AC456" s="309"/>
    </row>
    <row r="457" spans="1:29" ht="12.75" customHeight="1">
      <c r="A457" s="309"/>
      <c r="B457" s="309"/>
      <c r="C457" s="309"/>
      <c r="D457" s="309"/>
      <c r="E457" s="309"/>
      <c r="F457" s="309"/>
      <c r="G457" s="309"/>
      <c r="H457" s="309"/>
      <c r="I457" s="309"/>
      <c r="J457" s="309"/>
      <c r="K457" s="1020"/>
      <c r="L457" s="1020"/>
      <c r="M457" s="309"/>
      <c r="N457" s="309"/>
      <c r="O457" s="309"/>
      <c r="P457" s="309"/>
      <c r="Q457" s="326"/>
      <c r="R457" s="326"/>
      <c r="S457" s="326"/>
      <c r="T457" s="309"/>
      <c r="U457" s="309"/>
      <c r="V457" s="309"/>
      <c r="W457" s="328"/>
      <c r="X457" s="309"/>
      <c r="Y457" s="309"/>
      <c r="Z457" s="309"/>
      <c r="AA457" s="309"/>
      <c r="AB457" s="309"/>
      <c r="AC457" s="309"/>
    </row>
    <row r="458" spans="1:29" ht="12.75" customHeight="1">
      <c r="A458" s="309"/>
      <c r="B458" s="309"/>
      <c r="C458" s="309"/>
      <c r="D458" s="309"/>
      <c r="E458" s="309"/>
      <c r="F458" s="309"/>
      <c r="G458" s="309"/>
      <c r="H458" s="309"/>
      <c r="I458" s="309"/>
      <c r="J458" s="309"/>
      <c r="K458" s="1020"/>
      <c r="L458" s="1020"/>
      <c r="M458" s="309"/>
      <c r="N458" s="309"/>
      <c r="O458" s="309"/>
      <c r="P458" s="309"/>
      <c r="Q458" s="326"/>
      <c r="R458" s="326"/>
      <c r="S458" s="326"/>
      <c r="T458" s="309"/>
      <c r="U458" s="309"/>
      <c r="V458" s="309"/>
      <c r="W458" s="328"/>
      <c r="X458" s="309"/>
      <c r="Y458" s="309"/>
      <c r="Z458" s="309"/>
      <c r="AA458" s="309"/>
      <c r="AB458" s="309"/>
      <c r="AC458" s="309"/>
    </row>
    <row r="459" spans="1:29" ht="12.75" customHeight="1">
      <c r="A459" s="309"/>
      <c r="B459" s="309"/>
      <c r="C459" s="309"/>
      <c r="D459" s="309"/>
      <c r="E459" s="309"/>
      <c r="F459" s="309"/>
      <c r="G459" s="309"/>
      <c r="H459" s="309"/>
      <c r="I459" s="309"/>
      <c r="J459" s="309"/>
      <c r="K459" s="1020"/>
      <c r="L459" s="1020"/>
      <c r="M459" s="309"/>
      <c r="N459" s="309"/>
      <c r="O459" s="309"/>
      <c r="P459" s="309"/>
      <c r="Q459" s="326"/>
      <c r="R459" s="326"/>
      <c r="S459" s="326"/>
      <c r="T459" s="309"/>
      <c r="U459" s="309"/>
      <c r="V459" s="309"/>
      <c r="W459" s="328"/>
      <c r="X459" s="309"/>
      <c r="Y459" s="309"/>
      <c r="Z459" s="309"/>
      <c r="AA459" s="309"/>
      <c r="AB459" s="309"/>
      <c r="AC459" s="309"/>
    </row>
    <row r="460" spans="1:29" ht="12.75" customHeight="1">
      <c r="A460" s="309"/>
      <c r="B460" s="309"/>
      <c r="C460" s="309"/>
      <c r="D460" s="309"/>
      <c r="E460" s="309"/>
      <c r="F460" s="309"/>
      <c r="G460" s="309"/>
      <c r="H460" s="309"/>
      <c r="I460" s="309"/>
      <c r="J460" s="309"/>
      <c r="K460" s="1020"/>
      <c r="L460" s="1020"/>
      <c r="M460" s="309"/>
      <c r="N460" s="309"/>
      <c r="O460" s="309"/>
      <c r="P460" s="309"/>
      <c r="Q460" s="326"/>
      <c r="R460" s="326"/>
      <c r="S460" s="326"/>
      <c r="T460" s="309"/>
      <c r="U460" s="309"/>
      <c r="V460" s="309"/>
      <c r="W460" s="328"/>
      <c r="X460" s="309"/>
      <c r="Y460" s="309"/>
      <c r="Z460" s="309"/>
      <c r="AA460" s="309"/>
      <c r="AB460" s="309"/>
      <c r="AC460" s="309"/>
    </row>
    <row r="461" spans="1:29" ht="12.75" customHeight="1">
      <c r="A461" s="309"/>
      <c r="B461" s="309"/>
      <c r="C461" s="309"/>
      <c r="D461" s="309"/>
      <c r="E461" s="309"/>
      <c r="F461" s="309"/>
      <c r="G461" s="309"/>
      <c r="H461" s="309"/>
      <c r="I461" s="309"/>
      <c r="J461" s="309"/>
      <c r="K461" s="1020"/>
      <c r="L461" s="1020"/>
      <c r="M461" s="309"/>
      <c r="N461" s="309"/>
      <c r="O461" s="309"/>
      <c r="P461" s="309"/>
      <c r="Q461" s="326"/>
      <c r="R461" s="326"/>
      <c r="S461" s="326"/>
      <c r="T461" s="309"/>
      <c r="U461" s="309"/>
      <c r="V461" s="309"/>
      <c r="W461" s="328"/>
      <c r="X461" s="309"/>
      <c r="Y461" s="309"/>
      <c r="Z461" s="309"/>
      <c r="AA461" s="309"/>
      <c r="AB461" s="309"/>
      <c r="AC461" s="309"/>
    </row>
    <row r="462" spans="1:29" ht="12.75" customHeight="1">
      <c r="A462" s="309"/>
      <c r="B462" s="309"/>
      <c r="C462" s="309"/>
      <c r="D462" s="309"/>
      <c r="E462" s="309"/>
      <c r="F462" s="309"/>
      <c r="G462" s="309"/>
      <c r="H462" s="309"/>
      <c r="I462" s="309"/>
      <c r="J462" s="309"/>
      <c r="K462" s="1020"/>
      <c r="L462" s="1020"/>
      <c r="M462" s="309"/>
      <c r="N462" s="309"/>
      <c r="O462" s="309"/>
      <c r="P462" s="309"/>
      <c r="Q462" s="326"/>
      <c r="R462" s="326"/>
      <c r="S462" s="326"/>
      <c r="T462" s="309"/>
      <c r="U462" s="309"/>
      <c r="V462" s="309"/>
      <c r="W462" s="328"/>
      <c r="X462" s="309"/>
      <c r="Y462" s="309"/>
      <c r="Z462" s="309"/>
      <c r="AA462" s="309"/>
      <c r="AB462" s="309"/>
      <c r="AC462" s="309"/>
    </row>
    <row r="463" spans="1:29" ht="12.75" customHeight="1">
      <c r="A463" s="309"/>
      <c r="B463" s="309"/>
      <c r="C463" s="309"/>
      <c r="D463" s="309"/>
      <c r="E463" s="309"/>
      <c r="F463" s="309"/>
      <c r="G463" s="309"/>
      <c r="H463" s="309"/>
      <c r="I463" s="309"/>
      <c r="J463" s="309"/>
      <c r="K463" s="1020"/>
      <c r="L463" s="1020"/>
      <c r="M463" s="309"/>
      <c r="N463" s="309"/>
      <c r="O463" s="309"/>
      <c r="P463" s="309"/>
      <c r="Q463" s="326"/>
      <c r="R463" s="326"/>
      <c r="S463" s="326"/>
      <c r="T463" s="309"/>
      <c r="U463" s="309"/>
      <c r="V463" s="309"/>
      <c r="W463" s="328"/>
      <c r="X463" s="309"/>
      <c r="Y463" s="309"/>
      <c r="Z463" s="309"/>
      <c r="AA463" s="309"/>
      <c r="AB463" s="309"/>
      <c r="AC463" s="309"/>
    </row>
    <row r="464" spans="1:29" ht="12.75" customHeight="1">
      <c r="A464" s="309"/>
      <c r="B464" s="309"/>
      <c r="C464" s="309"/>
      <c r="D464" s="309"/>
      <c r="E464" s="309"/>
      <c r="F464" s="309"/>
      <c r="G464" s="309"/>
      <c r="H464" s="309"/>
      <c r="I464" s="309"/>
      <c r="J464" s="309"/>
      <c r="K464" s="1020"/>
      <c r="L464" s="1020"/>
      <c r="M464" s="309"/>
      <c r="N464" s="309"/>
      <c r="O464" s="309"/>
      <c r="P464" s="309"/>
      <c r="Q464" s="326"/>
      <c r="R464" s="326"/>
      <c r="S464" s="326"/>
      <c r="T464" s="309"/>
      <c r="U464" s="309"/>
      <c r="V464" s="309"/>
      <c r="W464" s="328"/>
      <c r="X464" s="309"/>
      <c r="Y464" s="309"/>
      <c r="Z464" s="309"/>
      <c r="AA464" s="309"/>
      <c r="AB464" s="309"/>
      <c r="AC464" s="309"/>
    </row>
    <row r="465" spans="1:29" ht="12.75" customHeight="1">
      <c r="A465" s="309"/>
      <c r="B465" s="309"/>
      <c r="C465" s="309"/>
      <c r="D465" s="309"/>
      <c r="E465" s="309"/>
      <c r="F465" s="309"/>
      <c r="G465" s="309"/>
      <c r="H465" s="309"/>
      <c r="I465" s="309"/>
      <c r="J465" s="309"/>
      <c r="K465" s="1020"/>
      <c r="L465" s="1020"/>
      <c r="M465" s="309"/>
      <c r="N465" s="309"/>
      <c r="O465" s="309"/>
      <c r="P465" s="309"/>
      <c r="Q465" s="326"/>
      <c r="R465" s="326"/>
      <c r="S465" s="326"/>
      <c r="T465" s="309"/>
      <c r="U465" s="309"/>
      <c r="V465" s="309"/>
      <c r="W465" s="328"/>
      <c r="X465" s="309"/>
      <c r="Y465" s="309"/>
      <c r="Z465" s="309"/>
      <c r="AA465" s="309"/>
      <c r="AB465" s="309"/>
      <c r="AC465" s="309"/>
    </row>
    <row r="466" spans="1:29" ht="12.75" customHeight="1">
      <c r="A466" s="309"/>
      <c r="B466" s="309"/>
      <c r="C466" s="309"/>
      <c r="D466" s="309"/>
      <c r="E466" s="309"/>
      <c r="F466" s="309"/>
      <c r="G466" s="309"/>
      <c r="H466" s="309"/>
      <c r="I466" s="309"/>
      <c r="J466" s="309"/>
      <c r="K466" s="1020"/>
      <c r="L466" s="1020"/>
      <c r="M466" s="309"/>
      <c r="N466" s="309"/>
      <c r="O466" s="309"/>
      <c r="P466" s="309"/>
      <c r="Q466" s="326"/>
      <c r="R466" s="326"/>
      <c r="S466" s="326"/>
      <c r="T466" s="309"/>
      <c r="U466" s="309"/>
      <c r="V466" s="309"/>
      <c r="W466" s="328"/>
      <c r="X466" s="309"/>
      <c r="Y466" s="309"/>
      <c r="Z466" s="309"/>
      <c r="AA466" s="309"/>
      <c r="AB466" s="309"/>
      <c r="AC466" s="309"/>
    </row>
    <row r="467" spans="1:29" ht="12.75" customHeight="1">
      <c r="A467" s="309"/>
      <c r="B467" s="309"/>
      <c r="C467" s="309"/>
      <c r="D467" s="309"/>
      <c r="E467" s="309"/>
      <c r="F467" s="309"/>
      <c r="G467" s="309"/>
      <c r="H467" s="309"/>
      <c r="I467" s="309"/>
      <c r="J467" s="309"/>
      <c r="K467" s="1020"/>
      <c r="L467" s="1020"/>
      <c r="M467" s="309"/>
      <c r="N467" s="309"/>
      <c r="O467" s="309"/>
      <c r="P467" s="309"/>
      <c r="Q467" s="326"/>
      <c r="R467" s="326"/>
      <c r="S467" s="326"/>
      <c r="T467" s="309"/>
      <c r="U467" s="309"/>
      <c r="V467" s="309"/>
      <c r="W467" s="328"/>
      <c r="X467" s="309"/>
      <c r="Y467" s="309"/>
      <c r="Z467" s="309"/>
      <c r="AA467" s="309"/>
      <c r="AB467" s="309"/>
      <c r="AC467" s="309"/>
    </row>
    <row r="468" spans="1:29" ht="12.75" customHeight="1">
      <c r="A468" s="309"/>
      <c r="B468" s="309"/>
      <c r="C468" s="309"/>
      <c r="D468" s="309"/>
      <c r="E468" s="309"/>
      <c r="F468" s="309"/>
      <c r="G468" s="309"/>
      <c r="H468" s="309"/>
      <c r="I468" s="309"/>
      <c r="J468" s="309"/>
      <c r="K468" s="1020"/>
      <c r="L468" s="1020"/>
      <c r="M468" s="309"/>
      <c r="N468" s="309"/>
      <c r="O468" s="309"/>
      <c r="P468" s="309"/>
      <c r="Q468" s="326"/>
      <c r="R468" s="326"/>
      <c r="S468" s="326"/>
      <c r="T468" s="309"/>
      <c r="U468" s="309"/>
      <c r="V468" s="309"/>
      <c r="W468" s="328"/>
      <c r="X468" s="309"/>
      <c r="Y468" s="309"/>
      <c r="Z468" s="309"/>
      <c r="AA468" s="309"/>
      <c r="AB468" s="309"/>
      <c r="AC468" s="309"/>
    </row>
    <row r="469" spans="1:29" ht="12.75" customHeight="1">
      <c r="A469" s="309"/>
      <c r="B469" s="309"/>
      <c r="C469" s="309"/>
      <c r="D469" s="309"/>
      <c r="E469" s="309"/>
      <c r="F469" s="309"/>
      <c r="G469" s="309"/>
      <c r="H469" s="309"/>
      <c r="I469" s="309"/>
      <c r="J469" s="309"/>
      <c r="K469" s="1020"/>
      <c r="L469" s="1020"/>
      <c r="M469" s="309"/>
      <c r="N469" s="309"/>
      <c r="O469" s="309"/>
      <c r="P469" s="309"/>
      <c r="Q469" s="326"/>
      <c r="R469" s="326"/>
      <c r="S469" s="326"/>
      <c r="T469" s="309"/>
      <c r="U469" s="309"/>
      <c r="V469" s="309"/>
      <c r="W469" s="328"/>
      <c r="X469" s="309"/>
      <c r="Y469" s="309"/>
      <c r="Z469" s="309"/>
      <c r="AA469" s="309"/>
      <c r="AB469" s="309"/>
      <c r="AC469" s="309"/>
    </row>
    <row r="470" spans="1:29" ht="12.75" customHeight="1">
      <c r="A470" s="309"/>
      <c r="B470" s="309"/>
      <c r="C470" s="309"/>
      <c r="D470" s="309"/>
      <c r="E470" s="309"/>
      <c r="F470" s="309"/>
      <c r="G470" s="309"/>
      <c r="H470" s="309"/>
      <c r="I470" s="309"/>
      <c r="J470" s="309"/>
      <c r="K470" s="1020"/>
      <c r="L470" s="1020"/>
      <c r="M470" s="309"/>
      <c r="N470" s="309"/>
      <c r="O470" s="309"/>
      <c r="P470" s="309"/>
      <c r="Q470" s="326"/>
      <c r="R470" s="326"/>
      <c r="S470" s="326"/>
      <c r="T470" s="309"/>
      <c r="U470" s="309"/>
      <c r="V470" s="309"/>
      <c r="W470" s="328"/>
      <c r="X470" s="309"/>
      <c r="Y470" s="309"/>
      <c r="Z470" s="309"/>
      <c r="AA470" s="309"/>
      <c r="AB470" s="309"/>
      <c r="AC470" s="309"/>
    </row>
    <row r="471" spans="1:29" ht="12.75" customHeight="1">
      <c r="A471" s="309"/>
      <c r="B471" s="309"/>
      <c r="C471" s="309"/>
      <c r="D471" s="309"/>
      <c r="E471" s="309"/>
      <c r="F471" s="309"/>
      <c r="G471" s="309"/>
      <c r="H471" s="309"/>
      <c r="I471" s="309"/>
      <c r="J471" s="309"/>
      <c r="K471" s="1020"/>
      <c r="L471" s="1020"/>
      <c r="M471" s="309"/>
      <c r="N471" s="309"/>
      <c r="O471" s="309"/>
      <c r="P471" s="309"/>
      <c r="Q471" s="326"/>
      <c r="R471" s="326"/>
      <c r="S471" s="326"/>
      <c r="T471" s="309"/>
      <c r="U471" s="309"/>
      <c r="V471" s="309"/>
      <c r="W471" s="328"/>
      <c r="X471" s="309"/>
      <c r="Y471" s="309"/>
      <c r="Z471" s="309"/>
      <c r="AA471" s="309"/>
      <c r="AB471" s="309"/>
      <c r="AC471" s="309"/>
    </row>
    <row r="472" spans="1:29" ht="12.75" customHeight="1">
      <c r="A472" s="309"/>
      <c r="B472" s="309"/>
      <c r="C472" s="309"/>
      <c r="D472" s="309"/>
      <c r="E472" s="309"/>
      <c r="F472" s="309"/>
      <c r="G472" s="309"/>
      <c r="H472" s="309"/>
      <c r="I472" s="309"/>
      <c r="J472" s="309"/>
      <c r="K472" s="1020"/>
      <c r="L472" s="1020"/>
      <c r="M472" s="309"/>
      <c r="N472" s="309"/>
      <c r="O472" s="309"/>
      <c r="P472" s="309"/>
      <c r="Q472" s="326"/>
      <c r="R472" s="326"/>
      <c r="S472" s="326"/>
      <c r="T472" s="309"/>
      <c r="U472" s="309"/>
      <c r="V472" s="309"/>
      <c r="W472" s="328"/>
      <c r="X472" s="309"/>
      <c r="Y472" s="309"/>
      <c r="Z472" s="309"/>
      <c r="AA472" s="309"/>
      <c r="AB472" s="309"/>
      <c r="AC472" s="309"/>
    </row>
    <row r="473" spans="1:29" ht="12.75" customHeight="1">
      <c r="A473" s="309"/>
      <c r="B473" s="309"/>
      <c r="C473" s="309"/>
      <c r="D473" s="309"/>
      <c r="E473" s="309"/>
      <c r="F473" s="309"/>
      <c r="G473" s="309"/>
      <c r="H473" s="309"/>
      <c r="I473" s="309"/>
      <c r="J473" s="309"/>
      <c r="K473" s="1020"/>
      <c r="L473" s="1020"/>
      <c r="M473" s="309"/>
      <c r="N473" s="309"/>
      <c r="O473" s="309"/>
      <c r="P473" s="309"/>
      <c r="Q473" s="326"/>
      <c r="R473" s="326"/>
      <c r="S473" s="326"/>
      <c r="T473" s="309"/>
      <c r="U473" s="309"/>
      <c r="V473" s="309"/>
      <c r="W473" s="328"/>
      <c r="X473" s="309"/>
      <c r="Y473" s="309"/>
      <c r="Z473" s="309"/>
      <c r="AA473" s="309"/>
      <c r="AB473" s="309"/>
      <c r="AC473" s="309"/>
    </row>
    <row r="474" spans="1:29" ht="12.75" customHeight="1">
      <c r="A474" s="309"/>
      <c r="B474" s="309"/>
      <c r="C474" s="309"/>
      <c r="D474" s="309"/>
      <c r="E474" s="309"/>
      <c r="F474" s="309"/>
      <c r="G474" s="309"/>
      <c r="H474" s="309"/>
      <c r="I474" s="309"/>
      <c r="J474" s="309"/>
      <c r="K474" s="1020"/>
      <c r="L474" s="1020"/>
      <c r="M474" s="309"/>
      <c r="N474" s="309"/>
      <c r="O474" s="309"/>
      <c r="P474" s="309"/>
      <c r="Q474" s="326"/>
      <c r="R474" s="326"/>
      <c r="S474" s="326"/>
      <c r="T474" s="309"/>
      <c r="U474" s="309"/>
      <c r="V474" s="309"/>
      <c r="W474" s="328"/>
      <c r="X474" s="309"/>
      <c r="Y474" s="309"/>
      <c r="Z474" s="309"/>
      <c r="AA474" s="309"/>
      <c r="AB474" s="309"/>
      <c r="AC474" s="309"/>
    </row>
    <row r="475" spans="1:29" ht="12.75" customHeight="1">
      <c r="A475" s="309"/>
      <c r="B475" s="309"/>
      <c r="C475" s="309"/>
      <c r="D475" s="309"/>
      <c r="E475" s="309"/>
      <c r="F475" s="309"/>
      <c r="G475" s="309"/>
      <c r="H475" s="309"/>
      <c r="I475" s="309"/>
      <c r="J475" s="309"/>
      <c r="K475" s="1020"/>
      <c r="L475" s="1020"/>
      <c r="M475" s="309"/>
      <c r="N475" s="309"/>
      <c r="O475" s="309"/>
      <c r="P475" s="309"/>
      <c r="Q475" s="326"/>
      <c r="R475" s="326"/>
      <c r="S475" s="326"/>
      <c r="T475" s="309"/>
      <c r="U475" s="309"/>
      <c r="V475" s="309"/>
      <c r="W475" s="328"/>
      <c r="X475" s="309"/>
      <c r="Y475" s="309"/>
      <c r="Z475" s="309"/>
      <c r="AA475" s="309"/>
      <c r="AB475" s="309"/>
      <c r="AC475" s="309"/>
    </row>
    <row r="476" spans="1:29" ht="12.75" customHeight="1">
      <c r="A476" s="309"/>
      <c r="B476" s="309"/>
      <c r="C476" s="309"/>
      <c r="D476" s="309"/>
      <c r="E476" s="309"/>
      <c r="F476" s="309"/>
      <c r="G476" s="309"/>
      <c r="H476" s="309"/>
      <c r="I476" s="309"/>
      <c r="J476" s="309"/>
      <c r="K476" s="1020"/>
      <c r="L476" s="1020"/>
      <c r="M476" s="309"/>
      <c r="N476" s="309"/>
      <c r="O476" s="309"/>
      <c r="P476" s="309"/>
      <c r="Q476" s="326"/>
      <c r="R476" s="326"/>
      <c r="S476" s="326"/>
      <c r="T476" s="309"/>
      <c r="U476" s="309"/>
      <c r="V476" s="309"/>
      <c r="W476" s="328"/>
      <c r="X476" s="309"/>
      <c r="Y476" s="309"/>
      <c r="Z476" s="309"/>
      <c r="AA476" s="309"/>
      <c r="AB476" s="309"/>
      <c r="AC476" s="309"/>
    </row>
    <row r="477" spans="1:29" ht="12.75" customHeight="1">
      <c r="A477" s="309"/>
      <c r="B477" s="309"/>
      <c r="C477" s="309"/>
      <c r="D477" s="309"/>
      <c r="E477" s="309"/>
      <c r="F477" s="309"/>
      <c r="G477" s="309"/>
      <c r="H477" s="309"/>
      <c r="I477" s="309"/>
      <c r="J477" s="309"/>
      <c r="K477" s="1020"/>
      <c r="L477" s="1020"/>
      <c r="M477" s="309"/>
      <c r="N477" s="309"/>
      <c r="O477" s="309"/>
      <c r="P477" s="309"/>
      <c r="Q477" s="326"/>
      <c r="R477" s="326"/>
      <c r="S477" s="326"/>
      <c r="T477" s="309"/>
      <c r="U477" s="309"/>
      <c r="V477" s="309"/>
      <c r="W477" s="328"/>
      <c r="X477" s="309"/>
      <c r="Y477" s="309"/>
      <c r="Z477" s="309"/>
      <c r="AA477" s="309"/>
      <c r="AB477" s="309"/>
      <c r="AC477" s="309"/>
    </row>
    <row r="478" spans="1:29" ht="12.75" customHeight="1">
      <c r="A478" s="309"/>
      <c r="B478" s="309"/>
      <c r="C478" s="309"/>
      <c r="D478" s="309"/>
      <c r="E478" s="309"/>
      <c r="F478" s="309"/>
      <c r="G478" s="309"/>
      <c r="H478" s="309"/>
      <c r="I478" s="309"/>
      <c r="J478" s="309"/>
      <c r="K478" s="1020"/>
      <c r="L478" s="1020"/>
      <c r="M478" s="309"/>
      <c r="N478" s="309"/>
      <c r="O478" s="309"/>
      <c r="P478" s="309"/>
      <c r="Q478" s="326"/>
      <c r="R478" s="326"/>
      <c r="S478" s="326"/>
      <c r="T478" s="309"/>
      <c r="U478" s="309"/>
      <c r="V478" s="309"/>
      <c r="W478" s="328"/>
      <c r="X478" s="309"/>
      <c r="Y478" s="309"/>
      <c r="Z478" s="309"/>
      <c r="AA478" s="309"/>
      <c r="AB478" s="309"/>
      <c r="AC478" s="309"/>
    </row>
    <row r="479" spans="1:29" ht="12.75" customHeight="1">
      <c r="A479" s="309"/>
      <c r="B479" s="309"/>
      <c r="C479" s="309"/>
      <c r="D479" s="309"/>
      <c r="E479" s="309"/>
      <c r="F479" s="309"/>
      <c r="G479" s="309"/>
      <c r="H479" s="309"/>
      <c r="I479" s="309"/>
      <c r="J479" s="309"/>
      <c r="K479" s="1020"/>
      <c r="L479" s="1020"/>
      <c r="M479" s="309"/>
      <c r="N479" s="309"/>
      <c r="O479" s="309"/>
      <c r="P479" s="309"/>
      <c r="Q479" s="326"/>
      <c r="R479" s="326"/>
      <c r="S479" s="326"/>
      <c r="T479" s="309"/>
      <c r="U479" s="309"/>
      <c r="V479" s="309"/>
      <c r="W479" s="328"/>
      <c r="X479" s="309"/>
      <c r="Y479" s="309"/>
      <c r="Z479" s="309"/>
      <c r="AA479" s="309"/>
      <c r="AB479" s="309"/>
      <c r="AC479" s="309"/>
    </row>
    <row r="480" spans="1:29" ht="12.75" customHeight="1">
      <c r="A480" s="309"/>
      <c r="B480" s="309"/>
      <c r="C480" s="309"/>
      <c r="D480" s="309"/>
      <c r="E480" s="309"/>
      <c r="F480" s="309"/>
      <c r="G480" s="309"/>
      <c r="H480" s="309"/>
      <c r="I480" s="309"/>
      <c r="J480" s="309"/>
      <c r="K480" s="1020"/>
      <c r="L480" s="1020"/>
      <c r="M480" s="309"/>
      <c r="N480" s="309"/>
      <c r="O480" s="309"/>
      <c r="P480" s="309"/>
      <c r="Q480" s="326"/>
      <c r="R480" s="326"/>
      <c r="S480" s="326"/>
      <c r="T480" s="309"/>
      <c r="U480" s="309"/>
      <c r="V480" s="309"/>
      <c r="W480" s="328"/>
      <c r="X480" s="309"/>
      <c r="Y480" s="309"/>
      <c r="Z480" s="309"/>
      <c r="AA480" s="309"/>
      <c r="AB480" s="309"/>
      <c r="AC480" s="309"/>
    </row>
    <row r="481" spans="1:29" ht="12.75" customHeight="1">
      <c r="A481" s="309"/>
      <c r="B481" s="309"/>
      <c r="C481" s="309"/>
      <c r="D481" s="309"/>
      <c r="E481" s="309"/>
      <c r="F481" s="309"/>
      <c r="G481" s="309"/>
      <c r="H481" s="309"/>
      <c r="I481" s="309"/>
      <c r="J481" s="309"/>
      <c r="K481" s="1020"/>
      <c r="L481" s="1020"/>
      <c r="M481" s="309"/>
      <c r="N481" s="309"/>
      <c r="O481" s="309"/>
      <c r="P481" s="309"/>
      <c r="Q481" s="326"/>
      <c r="R481" s="326"/>
      <c r="S481" s="326"/>
      <c r="T481" s="309"/>
      <c r="U481" s="309"/>
      <c r="V481" s="309"/>
      <c r="W481" s="328"/>
      <c r="X481" s="309"/>
      <c r="Y481" s="309"/>
      <c r="Z481" s="309"/>
      <c r="AA481" s="309"/>
      <c r="AB481" s="309"/>
      <c r="AC481" s="309"/>
    </row>
    <row r="482" spans="1:29" ht="12.75" customHeight="1">
      <c r="A482" s="309"/>
      <c r="B482" s="309"/>
      <c r="C482" s="309"/>
      <c r="D482" s="309"/>
      <c r="E482" s="309"/>
      <c r="F482" s="309"/>
      <c r="G482" s="309"/>
      <c r="H482" s="309"/>
      <c r="I482" s="309"/>
      <c r="J482" s="309"/>
      <c r="K482" s="1020"/>
      <c r="L482" s="1020"/>
      <c r="M482" s="309"/>
      <c r="N482" s="309"/>
      <c r="O482" s="309"/>
      <c r="P482" s="309"/>
      <c r="Q482" s="326"/>
      <c r="R482" s="326"/>
      <c r="S482" s="326"/>
      <c r="T482" s="309"/>
      <c r="U482" s="309"/>
      <c r="V482" s="309"/>
      <c r="W482" s="328"/>
      <c r="X482" s="309"/>
      <c r="Y482" s="309"/>
      <c r="Z482" s="309"/>
      <c r="AA482" s="309"/>
      <c r="AB482" s="309"/>
      <c r="AC482" s="309"/>
    </row>
    <row r="483" spans="1:29" ht="12.75" customHeight="1">
      <c r="A483" s="309"/>
      <c r="B483" s="309"/>
      <c r="C483" s="309"/>
      <c r="D483" s="309"/>
      <c r="E483" s="309"/>
      <c r="F483" s="309"/>
      <c r="G483" s="309"/>
      <c r="H483" s="309"/>
      <c r="I483" s="309"/>
      <c r="J483" s="309"/>
      <c r="K483" s="1020"/>
      <c r="L483" s="1020"/>
      <c r="M483" s="309"/>
      <c r="N483" s="309"/>
      <c r="O483" s="309"/>
      <c r="P483" s="309"/>
      <c r="Q483" s="326"/>
      <c r="R483" s="326"/>
      <c r="S483" s="326"/>
      <c r="T483" s="309"/>
      <c r="U483" s="309"/>
      <c r="V483" s="309"/>
      <c r="W483" s="328"/>
      <c r="X483" s="309"/>
      <c r="Y483" s="309"/>
      <c r="Z483" s="309"/>
      <c r="AA483" s="309"/>
      <c r="AB483" s="309"/>
      <c r="AC483" s="309"/>
    </row>
    <row r="484" spans="1:29" ht="12.75" customHeight="1">
      <c r="A484" s="309"/>
      <c r="B484" s="309"/>
      <c r="C484" s="309"/>
      <c r="D484" s="309"/>
      <c r="E484" s="309"/>
      <c r="F484" s="309"/>
      <c r="G484" s="309"/>
      <c r="H484" s="309"/>
      <c r="I484" s="309"/>
      <c r="J484" s="309"/>
      <c r="K484" s="1020"/>
      <c r="L484" s="1020"/>
      <c r="M484" s="309"/>
      <c r="N484" s="309"/>
      <c r="O484" s="309"/>
      <c r="P484" s="309"/>
      <c r="Q484" s="326"/>
      <c r="R484" s="326"/>
      <c r="S484" s="326"/>
      <c r="T484" s="309"/>
      <c r="U484" s="309"/>
      <c r="V484" s="309"/>
      <c r="W484" s="328"/>
      <c r="X484" s="309"/>
      <c r="Y484" s="309"/>
      <c r="Z484" s="309"/>
      <c r="AA484" s="309"/>
      <c r="AB484" s="309"/>
      <c r="AC484" s="309"/>
    </row>
    <row r="485" spans="1:29" ht="12.75" customHeight="1">
      <c r="A485" s="309"/>
      <c r="B485" s="309"/>
      <c r="C485" s="309"/>
      <c r="D485" s="309"/>
      <c r="E485" s="309"/>
      <c r="F485" s="309"/>
      <c r="G485" s="309"/>
      <c r="H485" s="309"/>
      <c r="I485" s="309"/>
      <c r="J485" s="309"/>
      <c r="K485" s="1020"/>
      <c r="L485" s="1020"/>
      <c r="M485" s="309"/>
      <c r="N485" s="309"/>
      <c r="O485" s="309"/>
      <c r="P485" s="309"/>
      <c r="Q485" s="326"/>
      <c r="R485" s="326"/>
      <c r="S485" s="326"/>
      <c r="T485" s="309"/>
      <c r="U485" s="309"/>
      <c r="V485" s="309"/>
      <c r="W485" s="328"/>
      <c r="X485" s="309"/>
      <c r="Y485" s="309"/>
      <c r="Z485" s="309"/>
      <c r="AA485" s="309"/>
      <c r="AB485" s="309"/>
      <c r="AC485" s="309"/>
    </row>
    <row r="486" spans="1:29" ht="12.75" customHeight="1">
      <c r="A486" s="309"/>
      <c r="B486" s="309"/>
      <c r="C486" s="309"/>
      <c r="D486" s="309"/>
      <c r="E486" s="309"/>
      <c r="F486" s="309"/>
      <c r="G486" s="309"/>
      <c r="H486" s="309"/>
      <c r="I486" s="309"/>
      <c r="J486" s="309"/>
      <c r="K486" s="1020"/>
      <c r="L486" s="1020"/>
      <c r="M486" s="309"/>
      <c r="N486" s="309"/>
      <c r="O486" s="309"/>
      <c r="P486" s="309"/>
      <c r="Q486" s="326"/>
      <c r="R486" s="326"/>
      <c r="S486" s="326"/>
      <c r="T486" s="309"/>
      <c r="U486" s="309"/>
      <c r="V486" s="309"/>
      <c r="W486" s="328"/>
      <c r="X486" s="309"/>
      <c r="Y486" s="309"/>
      <c r="Z486" s="309"/>
      <c r="AA486" s="309"/>
      <c r="AB486" s="309"/>
      <c r="AC486" s="309"/>
    </row>
    <row r="487" spans="1:29" ht="12.75" customHeight="1">
      <c r="A487" s="309"/>
      <c r="B487" s="309"/>
      <c r="C487" s="309"/>
      <c r="D487" s="309"/>
      <c r="E487" s="309"/>
      <c r="F487" s="309"/>
      <c r="G487" s="309"/>
      <c r="H487" s="309"/>
      <c r="I487" s="309"/>
      <c r="J487" s="309"/>
      <c r="K487" s="1020"/>
      <c r="L487" s="1020"/>
      <c r="M487" s="309"/>
      <c r="N487" s="309"/>
      <c r="O487" s="309"/>
      <c r="P487" s="309"/>
      <c r="Q487" s="326"/>
      <c r="R487" s="326"/>
      <c r="S487" s="326"/>
      <c r="T487" s="309"/>
      <c r="U487" s="309"/>
      <c r="V487" s="309"/>
      <c r="W487" s="328"/>
      <c r="X487" s="309"/>
      <c r="Y487" s="309"/>
      <c r="Z487" s="309"/>
      <c r="AA487" s="309"/>
      <c r="AB487" s="309"/>
      <c r="AC487" s="309"/>
    </row>
    <row r="488" spans="1:29" ht="12.75" customHeight="1">
      <c r="A488" s="309"/>
      <c r="B488" s="309"/>
      <c r="C488" s="309"/>
      <c r="D488" s="309"/>
      <c r="E488" s="309"/>
      <c r="F488" s="309"/>
      <c r="G488" s="309"/>
      <c r="H488" s="309"/>
      <c r="I488" s="309"/>
      <c r="J488" s="309"/>
      <c r="K488" s="1020"/>
      <c r="L488" s="1020"/>
      <c r="M488" s="309"/>
      <c r="N488" s="309"/>
      <c r="O488" s="309"/>
      <c r="P488" s="309"/>
      <c r="Q488" s="326"/>
      <c r="R488" s="326"/>
      <c r="S488" s="326"/>
      <c r="T488" s="309"/>
      <c r="U488" s="309"/>
      <c r="V488" s="309"/>
      <c r="W488" s="328"/>
      <c r="X488" s="309"/>
      <c r="Y488" s="309"/>
      <c r="Z488" s="309"/>
      <c r="AA488" s="309"/>
      <c r="AB488" s="309"/>
      <c r="AC488" s="309"/>
    </row>
    <row r="489" spans="1:29" ht="12.75" customHeight="1">
      <c r="A489" s="309"/>
      <c r="B489" s="309"/>
      <c r="C489" s="309"/>
      <c r="D489" s="309"/>
      <c r="E489" s="309"/>
      <c r="F489" s="309"/>
      <c r="G489" s="309"/>
      <c r="H489" s="309"/>
      <c r="I489" s="309"/>
      <c r="J489" s="309"/>
      <c r="K489" s="1020"/>
      <c r="L489" s="1020"/>
      <c r="M489" s="309"/>
      <c r="N489" s="309"/>
      <c r="O489" s="309"/>
      <c r="P489" s="309"/>
      <c r="Q489" s="326"/>
      <c r="R489" s="326"/>
      <c r="S489" s="326"/>
      <c r="T489" s="309"/>
      <c r="U489" s="309"/>
      <c r="V489" s="309"/>
      <c r="W489" s="328"/>
      <c r="X489" s="309"/>
      <c r="Y489" s="309"/>
      <c r="Z489" s="309"/>
      <c r="AA489" s="309"/>
      <c r="AB489" s="309"/>
      <c r="AC489" s="309"/>
    </row>
    <row r="490" spans="1:29" ht="12.75" customHeight="1">
      <c r="A490" s="309"/>
      <c r="B490" s="309"/>
      <c r="C490" s="309"/>
      <c r="D490" s="309"/>
      <c r="E490" s="309"/>
      <c r="F490" s="309"/>
      <c r="G490" s="309"/>
      <c r="H490" s="309"/>
      <c r="I490" s="309"/>
      <c r="J490" s="309"/>
      <c r="K490" s="1020"/>
      <c r="L490" s="1020"/>
      <c r="M490" s="309"/>
      <c r="N490" s="309"/>
      <c r="O490" s="309"/>
      <c r="P490" s="309"/>
      <c r="Q490" s="326"/>
      <c r="R490" s="326"/>
      <c r="S490" s="326"/>
      <c r="T490" s="309"/>
      <c r="U490" s="309"/>
      <c r="V490" s="309"/>
      <c r="W490" s="328"/>
      <c r="X490" s="309"/>
      <c r="Y490" s="309"/>
      <c r="Z490" s="309"/>
      <c r="AA490" s="309"/>
      <c r="AB490" s="309"/>
      <c r="AC490" s="309"/>
    </row>
    <row r="491" spans="1:29" ht="12.75" customHeight="1">
      <c r="A491" s="309"/>
      <c r="B491" s="309"/>
      <c r="C491" s="309"/>
      <c r="D491" s="309"/>
      <c r="E491" s="309"/>
      <c r="F491" s="309"/>
      <c r="G491" s="309"/>
      <c r="H491" s="309"/>
      <c r="I491" s="309"/>
      <c r="J491" s="309"/>
      <c r="K491" s="1020"/>
      <c r="L491" s="1020"/>
      <c r="M491" s="309"/>
      <c r="N491" s="309"/>
      <c r="O491" s="309"/>
      <c r="P491" s="309"/>
      <c r="Q491" s="326"/>
      <c r="R491" s="326"/>
      <c r="S491" s="326"/>
      <c r="T491" s="309"/>
      <c r="U491" s="309"/>
      <c r="V491" s="309"/>
      <c r="W491" s="328"/>
      <c r="X491" s="309"/>
      <c r="Y491" s="309"/>
      <c r="Z491" s="309"/>
      <c r="AA491" s="309"/>
      <c r="AB491" s="309"/>
      <c r="AC491" s="309"/>
    </row>
    <row r="492" spans="1:29" ht="12.75" customHeight="1">
      <c r="A492" s="309"/>
      <c r="B492" s="309"/>
      <c r="C492" s="309"/>
      <c r="D492" s="309"/>
      <c r="E492" s="309"/>
      <c r="F492" s="309"/>
      <c r="G492" s="309"/>
      <c r="H492" s="309"/>
      <c r="I492" s="309"/>
      <c r="J492" s="309"/>
      <c r="K492" s="1020"/>
      <c r="L492" s="1020"/>
      <c r="M492" s="309"/>
      <c r="N492" s="309"/>
      <c r="O492" s="309"/>
      <c r="P492" s="309"/>
      <c r="Q492" s="326"/>
      <c r="R492" s="326"/>
      <c r="S492" s="326"/>
      <c r="T492" s="309"/>
      <c r="U492" s="309"/>
      <c r="V492" s="309"/>
      <c r="W492" s="328"/>
      <c r="X492" s="309"/>
      <c r="Y492" s="309"/>
      <c r="Z492" s="309"/>
      <c r="AA492" s="309"/>
      <c r="AB492" s="309"/>
      <c r="AC492" s="309"/>
    </row>
    <row r="493" spans="1:29" ht="12.75" customHeight="1">
      <c r="A493" s="309"/>
      <c r="B493" s="309"/>
      <c r="C493" s="309"/>
      <c r="D493" s="309"/>
      <c r="E493" s="309"/>
      <c r="F493" s="309"/>
      <c r="G493" s="309"/>
      <c r="H493" s="309"/>
      <c r="I493" s="309"/>
      <c r="J493" s="309"/>
      <c r="K493" s="1020"/>
      <c r="L493" s="1020"/>
      <c r="M493" s="309"/>
      <c r="N493" s="309"/>
      <c r="O493" s="309"/>
      <c r="P493" s="309"/>
      <c r="Q493" s="326"/>
      <c r="R493" s="326"/>
      <c r="S493" s="326"/>
      <c r="T493" s="309"/>
      <c r="U493" s="309"/>
      <c r="V493" s="309"/>
      <c r="W493" s="328"/>
      <c r="X493" s="309"/>
      <c r="Y493" s="309"/>
      <c r="Z493" s="309"/>
      <c r="AA493" s="309"/>
      <c r="AB493" s="309"/>
      <c r="AC493" s="309"/>
    </row>
    <row r="494" spans="1:29" ht="12.75" customHeight="1">
      <c r="A494" s="309"/>
      <c r="B494" s="309"/>
      <c r="C494" s="309"/>
      <c r="D494" s="309"/>
      <c r="E494" s="309"/>
      <c r="F494" s="309"/>
      <c r="G494" s="309"/>
      <c r="H494" s="309"/>
      <c r="I494" s="309"/>
      <c r="J494" s="309"/>
      <c r="K494" s="1020"/>
      <c r="L494" s="1020"/>
      <c r="M494" s="309"/>
      <c r="N494" s="309"/>
      <c r="O494" s="309"/>
      <c r="P494" s="309"/>
      <c r="Q494" s="326"/>
      <c r="R494" s="326"/>
      <c r="S494" s="326"/>
      <c r="T494" s="309"/>
      <c r="U494" s="309"/>
      <c r="V494" s="309"/>
      <c r="W494" s="328"/>
      <c r="X494" s="309"/>
      <c r="Y494" s="309"/>
      <c r="Z494" s="309"/>
      <c r="AA494" s="309"/>
      <c r="AB494" s="309"/>
      <c r="AC494" s="309"/>
    </row>
    <row r="495" spans="1:29" ht="12.75" customHeight="1">
      <c r="A495" s="309"/>
      <c r="B495" s="309"/>
      <c r="C495" s="309"/>
      <c r="D495" s="309"/>
      <c r="E495" s="309"/>
      <c r="F495" s="309"/>
      <c r="G495" s="309"/>
      <c r="H495" s="309"/>
      <c r="I495" s="309"/>
      <c r="J495" s="309"/>
      <c r="K495" s="1020"/>
      <c r="L495" s="1020"/>
      <c r="M495" s="309"/>
      <c r="N495" s="309"/>
      <c r="O495" s="309"/>
      <c r="P495" s="309"/>
      <c r="Q495" s="326"/>
      <c r="R495" s="326"/>
      <c r="S495" s="326"/>
      <c r="T495" s="309"/>
      <c r="U495" s="309"/>
      <c r="V495" s="309"/>
      <c r="W495" s="328"/>
      <c r="X495" s="309"/>
      <c r="Y495" s="309"/>
      <c r="Z495" s="309"/>
      <c r="AA495" s="309"/>
      <c r="AB495" s="309"/>
      <c r="AC495" s="309"/>
    </row>
    <row r="496" spans="1:29" ht="12.75" customHeight="1">
      <c r="A496" s="309"/>
      <c r="B496" s="309"/>
      <c r="C496" s="309"/>
      <c r="D496" s="309"/>
      <c r="E496" s="309"/>
      <c r="F496" s="309"/>
      <c r="G496" s="309"/>
      <c r="H496" s="309"/>
      <c r="I496" s="309"/>
      <c r="J496" s="309"/>
      <c r="K496" s="1020"/>
      <c r="L496" s="1020"/>
      <c r="M496" s="309"/>
      <c r="N496" s="309"/>
      <c r="O496" s="309"/>
      <c r="P496" s="309"/>
      <c r="Q496" s="326"/>
      <c r="R496" s="326"/>
      <c r="S496" s="326"/>
      <c r="T496" s="309"/>
      <c r="U496" s="309"/>
      <c r="V496" s="309"/>
      <c r="W496" s="328"/>
      <c r="X496" s="309"/>
      <c r="Y496" s="309"/>
      <c r="Z496" s="309"/>
      <c r="AA496" s="309"/>
      <c r="AB496" s="309"/>
      <c r="AC496" s="309"/>
    </row>
    <row r="497" spans="1:29" ht="12.75" customHeight="1">
      <c r="A497" s="309"/>
      <c r="B497" s="309"/>
      <c r="C497" s="309"/>
      <c r="D497" s="309"/>
      <c r="E497" s="309"/>
      <c r="F497" s="309"/>
      <c r="G497" s="309"/>
      <c r="H497" s="309"/>
      <c r="I497" s="309"/>
      <c r="J497" s="309"/>
      <c r="K497" s="1020"/>
      <c r="L497" s="1020"/>
      <c r="M497" s="309"/>
      <c r="N497" s="309"/>
      <c r="O497" s="309"/>
      <c r="P497" s="309"/>
      <c r="Q497" s="326"/>
      <c r="R497" s="326"/>
      <c r="S497" s="326"/>
      <c r="T497" s="309"/>
      <c r="U497" s="309"/>
      <c r="V497" s="309"/>
      <c r="W497" s="328"/>
      <c r="X497" s="309"/>
      <c r="Y497" s="309"/>
      <c r="Z497" s="309"/>
      <c r="AA497" s="309"/>
      <c r="AB497" s="309"/>
      <c r="AC497" s="309"/>
    </row>
    <row r="498" spans="1:29" ht="12.75" customHeight="1">
      <c r="A498" s="309"/>
      <c r="B498" s="309"/>
      <c r="C498" s="309"/>
      <c r="D498" s="309"/>
      <c r="E498" s="309"/>
      <c r="F498" s="309"/>
      <c r="G498" s="309"/>
      <c r="H498" s="309"/>
      <c r="I498" s="309"/>
      <c r="J498" s="309"/>
      <c r="K498" s="1020"/>
      <c r="L498" s="1020"/>
      <c r="M498" s="309"/>
      <c r="N498" s="309"/>
      <c r="O498" s="309"/>
      <c r="P498" s="309"/>
      <c r="Q498" s="326"/>
      <c r="R498" s="326"/>
      <c r="S498" s="326"/>
      <c r="T498" s="309"/>
      <c r="U498" s="309"/>
      <c r="V498" s="309"/>
      <c r="W498" s="328"/>
      <c r="X498" s="309"/>
      <c r="Y498" s="309"/>
      <c r="Z498" s="309"/>
      <c r="AA498" s="309"/>
      <c r="AB498" s="309"/>
      <c r="AC498" s="309"/>
    </row>
    <row r="499" spans="1:29" ht="12.75" customHeight="1">
      <c r="A499" s="309"/>
      <c r="B499" s="309"/>
      <c r="C499" s="309"/>
      <c r="D499" s="309"/>
      <c r="E499" s="309"/>
      <c r="F499" s="309"/>
      <c r="G499" s="309"/>
      <c r="H499" s="309"/>
      <c r="I499" s="309"/>
      <c r="J499" s="309"/>
      <c r="K499" s="1020"/>
      <c r="L499" s="1020"/>
      <c r="M499" s="309"/>
      <c r="N499" s="309"/>
      <c r="O499" s="309"/>
      <c r="P499" s="309"/>
      <c r="Q499" s="326"/>
      <c r="R499" s="326"/>
      <c r="S499" s="326"/>
      <c r="T499" s="309"/>
      <c r="U499" s="309"/>
      <c r="V499" s="309"/>
      <c r="W499" s="328"/>
      <c r="X499" s="309"/>
      <c r="Y499" s="309"/>
      <c r="Z499" s="309"/>
      <c r="AA499" s="309"/>
      <c r="AB499" s="309"/>
      <c r="AC499" s="309"/>
    </row>
    <row r="500" spans="1:29" ht="12.75" customHeight="1">
      <c r="A500" s="309"/>
      <c r="B500" s="309"/>
      <c r="C500" s="309"/>
      <c r="D500" s="309"/>
      <c r="E500" s="309"/>
      <c r="F500" s="309"/>
      <c r="G500" s="309"/>
      <c r="H500" s="309"/>
      <c r="I500" s="309"/>
      <c r="J500" s="309"/>
      <c r="K500" s="1020"/>
      <c r="L500" s="1020"/>
      <c r="M500" s="309"/>
      <c r="N500" s="309"/>
      <c r="O500" s="309"/>
      <c r="P500" s="309"/>
      <c r="Q500" s="326"/>
      <c r="R500" s="326"/>
      <c r="S500" s="326"/>
      <c r="T500" s="309"/>
      <c r="U500" s="309"/>
      <c r="V500" s="309"/>
      <c r="W500" s="328"/>
      <c r="X500" s="309"/>
      <c r="Y500" s="309"/>
      <c r="Z500" s="309"/>
      <c r="AA500" s="309"/>
      <c r="AB500" s="309"/>
      <c r="AC500" s="309"/>
    </row>
    <row r="501" spans="1:29" ht="12.75" customHeight="1">
      <c r="A501" s="309"/>
      <c r="B501" s="309"/>
      <c r="C501" s="309"/>
      <c r="D501" s="309"/>
      <c r="E501" s="309"/>
      <c r="F501" s="309"/>
      <c r="G501" s="309"/>
      <c r="H501" s="309"/>
      <c r="I501" s="309"/>
      <c r="J501" s="309"/>
      <c r="K501" s="1020"/>
      <c r="L501" s="1020"/>
      <c r="M501" s="309"/>
      <c r="N501" s="309"/>
      <c r="O501" s="309"/>
      <c r="P501" s="309"/>
      <c r="Q501" s="326"/>
      <c r="R501" s="326"/>
      <c r="S501" s="326"/>
      <c r="T501" s="309"/>
      <c r="U501" s="309"/>
      <c r="V501" s="309"/>
      <c r="W501" s="328"/>
      <c r="X501" s="309"/>
      <c r="Y501" s="309"/>
      <c r="Z501" s="309"/>
      <c r="AA501" s="309"/>
      <c r="AB501" s="309"/>
      <c r="AC501" s="309"/>
    </row>
    <row r="502" spans="1:29" ht="12.75" customHeight="1">
      <c r="A502" s="309"/>
      <c r="B502" s="309"/>
      <c r="C502" s="309"/>
      <c r="D502" s="309"/>
      <c r="E502" s="309"/>
      <c r="F502" s="309"/>
      <c r="G502" s="309"/>
      <c r="H502" s="309"/>
      <c r="I502" s="309"/>
      <c r="J502" s="309"/>
      <c r="K502" s="1020"/>
      <c r="L502" s="1020"/>
      <c r="M502" s="309"/>
      <c r="N502" s="309"/>
      <c r="O502" s="309"/>
      <c r="P502" s="309"/>
      <c r="Q502" s="326"/>
      <c r="R502" s="326"/>
      <c r="S502" s="326"/>
      <c r="T502" s="309"/>
      <c r="U502" s="309"/>
      <c r="V502" s="309"/>
      <c r="W502" s="328"/>
      <c r="X502" s="309"/>
      <c r="Y502" s="309"/>
      <c r="Z502" s="309"/>
      <c r="AA502" s="309"/>
      <c r="AB502" s="309"/>
      <c r="AC502" s="309"/>
    </row>
    <row r="503" spans="1:29" ht="12.75" customHeight="1">
      <c r="A503" s="309"/>
      <c r="B503" s="309"/>
      <c r="C503" s="309"/>
      <c r="D503" s="309"/>
      <c r="E503" s="309"/>
      <c r="F503" s="309"/>
      <c r="G503" s="309"/>
      <c r="H503" s="309"/>
      <c r="I503" s="309"/>
      <c r="J503" s="309"/>
      <c r="K503" s="1020"/>
      <c r="L503" s="1020"/>
      <c r="M503" s="309"/>
      <c r="N503" s="309"/>
      <c r="O503" s="309"/>
      <c r="P503" s="309"/>
      <c r="Q503" s="326"/>
      <c r="R503" s="326"/>
      <c r="S503" s="326"/>
      <c r="T503" s="309"/>
      <c r="U503" s="309"/>
      <c r="V503" s="309"/>
      <c r="W503" s="328"/>
      <c r="X503" s="309"/>
      <c r="Y503" s="309"/>
      <c r="Z503" s="309"/>
      <c r="AA503" s="309"/>
      <c r="AB503" s="309"/>
      <c r="AC503" s="309"/>
    </row>
    <row r="504" spans="1:29" ht="12.75" customHeight="1">
      <c r="A504" s="309"/>
      <c r="B504" s="309"/>
      <c r="C504" s="309"/>
      <c r="D504" s="309"/>
      <c r="E504" s="309"/>
      <c r="F504" s="309"/>
      <c r="G504" s="309"/>
      <c r="H504" s="309"/>
      <c r="I504" s="309"/>
      <c r="J504" s="309"/>
      <c r="K504" s="1020"/>
      <c r="L504" s="1020"/>
      <c r="M504" s="309"/>
      <c r="N504" s="309"/>
      <c r="O504" s="309"/>
      <c r="P504" s="309"/>
      <c r="Q504" s="326"/>
      <c r="R504" s="326"/>
      <c r="S504" s="326"/>
      <c r="T504" s="309"/>
      <c r="U504" s="309"/>
      <c r="V504" s="309"/>
      <c r="W504" s="328"/>
      <c r="X504" s="309"/>
      <c r="Y504" s="309"/>
      <c r="Z504" s="309"/>
      <c r="AA504" s="309"/>
      <c r="AB504" s="309"/>
      <c r="AC504" s="309"/>
    </row>
    <row r="505" spans="1:29" ht="12.75" customHeight="1">
      <c r="A505" s="309"/>
      <c r="B505" s="309"/>
      <c r="C505" s="309"/>
      <c r="D505" s="309"/>
      <c r="E505" s="309"/>
      <c r="F505" s="309"/>
      <c r="G505" s="309"/>
      <c r="H505" s="309"/>
      <c r="I505" s="309"/>
      <c r="J505" s="309"/>
      <c r="K505" s="1020"/>
      <c r="L505" s="1020"/>
      <c r="M505" s="309"/>
      <c r="N505" s="309"/>
      <c r="O505" s="309"/>
      <c r="P505" s="309"/>
      <c r="Q505" s="326"/>
      <c r="R505" s="326"/>
      <c r="S505" s="326"/>
      <c r="T505" s="309"/>
      <c r="U505" s="309"/>
      <c r="V505" s="309"/>
      <c r="W505" s="328"/>
      <c r="X505" s="309"/>
      <c r="Y505" s="309"/>
      <c r="Z505" s="309"/>
      <c r="AA505" s="309"/>
      <c r="AB505" s="309"/>
      <c r="AC505" s="309"/>
    </row>
    <row r="506" spans="1:29" ht="12.75" customHeight="1">
      <c r="A506" s="309"/>
      <c r="B506" s="309"/>
      <c r="C506" s="309"/>
      <c r="D506" s="309"/>
      <c r="E506" s="309"/>
      <c r="F506" s="309"/>
      <c r="G506" s="309"/>
      <c r="H506" s="309"/>
      <c r="I506" s="309"/>
      <c r="J506" s="309"/>
      <c r="K506" s="1020"/>
      <c r="L506" s="1020"/>
      <c r="M506" s="309"/>
      <c r="N506" s="309"/>
      <c r="O506" s="309"/>
      <c r="P506" s="309"/>
      <c r="Q506" s="326"/>
      <c r="R506" s="326"/>
      <c r="S506" s="326"/>
      <c r="T506" s="309"/>
      <c r="U506" s="309"/>
      <c r="V506" s="309"/>
      <c r="W506" s="328"/>
      <c r="X506" s="309"/>
      <c r="Y506" s="309"/>
      <c r="Z506" s="309"/>
      <c r="AA506" s="309"/>
      <c r="AB506" s="309"/>
      <c r="AC506" s="309"/>
    </row>
    <row r="507" spans="1:29" ht="12.75" customHeight="1">
      <c r="A507" s="309"/>
      <c r="B507" s="309"/>
      <c r="C507" s="309"/>
      <c r="D507" s="309"/>
      <c r="E507" s="309"/>
      <c r="F507" s="309"/>
      <c r="G507" s="309"/>
      <c r="H507" s="309"/>
      <c r="I507" s="309"/>
      <c r="J507" s="309"/>
      <c r="K507" s="1020"/>
      <c r="L507" s="1020"/>
      <c r="M507" s="309"/>
      <c r="N507" s="309"/>
      <c r="O507" s="309"/>
      <c r="P507" s="309"/>
      <c r="Q507" s="326"/>
      <c r="R507" s="326"/>
      <c r="S507" s="326"/>
      <c r="T507" s="309"/>
      <c r="U507" s="309"/>
      <c r="V507" s="309"/>
      <c r="W507" s="328"/>
      <c r="X507" s="309"/>
      <c r="Y507" s="309"/>
      <c r="Z507" s="309"/>
      <c r="AA507" s="309"/>
      <c r="AB507" s="309"/>
      <c r="AC507" s="309"/>
    </row>
    <row r="508" spans="1:29" ht="12.75" customHeight="1">
      <c r="A508" s="309"/>
      <c r="B508" s="309"/>
      <c r="C508" s="309"/>
      <c r="D508" s="309"/>
      <c r="E508" s="309"/>
      <c r="F508" s="309"/>
      <c r="G508" s="309"/>
      <c r="H508" s="309"/>
      <c r="I508" s="309"/>
      <c r="J508" s="309"/>
      <c r="K508" s="1020"/>
      <c r="L508" s="1020"/>
      <c r="M508" s="309"/>
      <c r="N508" s="309"/>
      <c r="O508" s="309"/>
      <c r="P508" s="309"/>
      <c r="Q508" s="326"/>
      <c r="R508" s="326"/>
      <c r="S508" s="326"/>
      <c r="T508" s="309"/>
      <c r="U508" s="309"/>
      <c r="V508" s="309"/>
      <c r="W508" s="328"/>
      <c r="X508" s="309"/>
      <c r="Y508" s="309"/>
      <c r="Z508" s="309"/>
      <c r="AA508" s="309"/>
      <c r="AB508" s="309"/>
      <c r="AC508" s="309"/>
    </row>
    <row r="509" spans="1:29" ht="12.75" customHeight="1">
      <c r="A509" s="309"/>
      <c r="B509" s="309"/>
      <c r="C509" s="309"/>
      <c r="D509" s="309"/>
      <c r="E509" s="309"/>
      <c r="F509" s="309"/>
      <c r="G509" s="309"/>
      <c r="H509" s="309"/>
      <c r="I509" s="309"/>
      <c r="J509" s="309"/>
      <c r="K509" s="1020"/>
      <c r="L509" s="1020"/>
      <c r="M509" s="309"/>
      <c r="N509" s="309"/>
      <c r="O509" s="309"/>
      <c r="P509" s="309"/>
      <c r="Q509" s="326"/>
      <c r="R509" s="326"/>
      <c r="S509" s="326"/>
      <c r="T509" s="309"/>
      <c r="U509" s="309"/>
      <c r="V509" s="309"/>
      <c r="W509" s="328"/>
      <c r="X509" s="309"/>
      <c r="Y509" s="309"/>
      <c r="Z509" s="309"/>
      <c r="AA509" s="309"/>
      <c r="AB509" s="309"/>
      <c r="AC509" s="309"/>
    </row>
    <row r="510" spans="1:29" ht="12.75" customHeight="1">
      <c r="A510" s="309"/>
      <c r="B510" s="309"/>
      <c r="C510" s="309"/>
      <c r="D510" s="309"/>
      <c r="E510" s="309"/>
      <c r="F510" s="309"/>
      <c r="G510" s="309"/>
      <c r="H510" s="309"/>
      <c r="I510" s="309"/>
      <c r="J510" s="309"/>
      <c r="K510" s="1020"/>
      <c r="L510" s="1020"/>
      <c r="M510" s="309"/>
      <c r="N510" s="309"/>
      <c r="O510" s="309"/>
      <c r="P510" s="309"/>
      <c r="Q510" s="326"/>
      <c r="R510" s="326"/>
      <c r="S510" s="326"/>
      <c r="T510" s="309"/>
      <c r="U510" s="309"/>
      <c r="V510" s="309"/>
      <c r="W510" s="328"/>
      <c r="X510" s="309"/>
      <c r="Y510" s="309"/>
      <c r="Z510" s="309"/>
      <c r="AA510" s="309"/>
      <c r="AB510" s="309"/>
      <c r="AC510" s="309"/>
    </row>
    <row r="511" spans="1:29" ht="12.75" customHeight="1">
      <c r="A511" s="309"/>
      <c r="B511" s="309"/>
      <c r="C511" s="309"/>
      <c r="D511" s="309"/>
      <c r="E511" s="309"/>
      <c r="F511" s="309"/>
      <c r="G511" s="309"/>
      <c r="H511" s="309"/>
      <c r="I511" s="309"/>
      <c r="J511" s="309"/>
      <c r="K511" s="1020"/>
      <c r="L511" s="1020"/>
      <c r="M511" s="309"/>
      <c r="N511" s="309"/>
      <c r="O511" s="309"/>
      <c r="P511" s="309"/>
      <c r="Q511" s="326"/>
      <c r="R511" s="326"/>
      <c r="S511" s="326"/>
      <c r="T511" s="309"/>
      <c r="U511" s="309"/>
      <c r="V511" s="309"/>
      <c r="W511" s="328"/>
      <c r="X511" s="309"/>
      <c r="Y511" s="309"/>
      <c r="Z511" s="309"/>
      <c r="AA511" s="309"/>
      <c r="AB511" s="309"/>
      <c r="AC511" s="309"/>
    </row>
    <row r="512" spans="1:29" ht="12.75" customHeight="1">
      <c r="A512" s="309"/>
      <c r="B512" s="309"/>
      <c r="C512" s="309"/>
      <c r="D512" s="309"/>
      <c r="E512" s="309"/>
      <c r="F512" s="309"/>
      <c r="G512" s="309"/>
      <c r="H512" s="309"/>
      <c r="I512" s="309"/>
      <c r="J512" s="309"/>
      <c r="K512" s="1020"/>
      <c r="L512" s="1020"/>
      <c r="M512" s="309"/>
      <c r="N512" s="309"/>
      <c r="O512" s="309"/>
      <c r="P512" s="309"/>
      <c r="Q512" s="326"/>
      <c r="R512" s="326"/>
      <c r="S512" s="326"/>
      <c r="T512" s="309"/>
      <c r="U512" s="309"/>
      <c r="V512" s="309"/>
      <c r="W512" s="328"/>
      <c r="X512" s="309"/>
      <c r="Y512" s="309"/>
      <c r="Z512" s="309"/>
      <c r="AA512" s="309"/>
      <c r="AB512" s="309"/>
      <c r="AC512" s="309"/>
    </row>
    <row r="513" spans="1:29" ht="12.75" customHeight="1">
      <c r="A513" s="309"/>
      <c r="B513" s="309"/>
      <c r="C513" s="309"/>
      <c r="D513" s="309"/>
      <c r="E513" s="309"/>
      <c r="F513" s="309"/>
      <c r="G513" s="309"/>
      <c r="H513" s="309"/>
      <c r="I513" s="309"/>
      <c r="J513" s="309"/>
      <c r="K513" s="1020"/>
      <c r="L513" s="1020"/>
      <c r="M513" s="309"/>
      <c r="N513" s="309"/>
      <c r="O513" s="309"/>
      <c r="P513" s="309"/>
      <c r="Q513" s="326"/>
      <c r="R513" s="326"/>
      <c r="S513" s="326"/>
      <c r="T513" s="309"/>
      <c r="U513" s="309"/>
      <c r="V513" s="309"/>
      <c r="W513" s="328"/>
      <c r="X513" s="309"/>
      <c r="Y513" s="309"/>
      <c r="Z513" s="309"/>
      <c r="AA513" s="309"/>
      <c r="AB513" s="309"/>
      <c r="AC513" s="309"/>
    </row>
    <row r="514" spans="1:29" ht="12.75" customHeight="1">
      <c r="A514" s="309"/>
      <c r="B514" s="309"/>
      <c r="C514" s="309"/>
      <c r="D514" s="309"/>
      <c r="E514" s="309"/>
      <c r="F514" s="309"/>
      <c r="G514" s="309"/>
      <c r="H514" s="309"/>
      <c r="I514" s="309"/>
      <c r="J514" s="309"/>
      <c r="K514" s="1020"/>
      <c r="L514" s="1020"/>
      <c r="M514" s="309"/>
      <c r="N514" s="309"/>
      <c r="O514" s="309"/>
      <c r="P514" s="309"/>
      <c r="Q514" s="326"/>
      <c r="R514" s="326"/>
      <c r="S514" s="326"/>
      <c r="T514" s="309"/>
      <c r="U514" s="309"/>
      <c r="V514" s="309"/>
      <c r="W514" s="328"/>
      <c r="X514" s="309"/>
      <c r="Y514" s="309"/>
      <c r="Z514" s="309"/>
      <c r="AA514" s="309"/>
      <c r="AB514" s="309"/>
      <c r="AC514" s="309"/>
    </row>
    <row r="515" spans="1:29" ht="12.75" customHeight="1">
      <c r="A515" s="309"/>
      <c r="B515" s="309"/>
      <c r="C515" s="309"/>
      <c r="D515" s="309"/>
      <c r="E515" s="309"/>
      <c r="F515" s="309"/>
      <c r="G515" s="309"/>
      <c r="H515" s="309"/>
      <c r="I515" s="309"/>
      <c r="J515" s="309"/>
      <c r="K515" s="1020"/>
      <c r="L515" s="1020"/>
      <c r="M515" s="309"/>
      <c r="N515" s="309"/>
      <c r="O515" s="309"/>
      <c r="P515" s="309"/>
      <c r="Q515" s="326"/>
      <c r="R515" s="326"/>
      <c r="S515" s="326"/>
      <c r="T515" s="309"/>
      <c r="U515" s="309"/>
      <c r="V515" s="309"/>
      <c r="W515" s="328"/>
      <c r="X515" s="309"/>
      <c r="Y515" s="309"/>
      <c r="Z515" s="309"/>
      <c r="AA515" s="309"/>
      <c r="AB515" s="309"/>
      <c r="AC515" s="309"/>
    </row>
    <row r="516" spans="1:29" ht="12.75" customHeight="1">
      <c r="A516" s="309"/>
      <c r="B516" s="309"/>
      <c r="C516" s="309"/>
      <c r="D516" s="309"/>
      <c r="E516" s="309"/>
      <c r="F516" s="309"/>
      <c r="G516" s="309"/>
      <c r="H516" s="309"/>
      <c r="I516" s="309"/>
      <c r="J516" s="309"/>
      <c r="K516" s="1020"/>
      <c r="L516" s="1020"/>
      <c r="M516" s="309"/>
      <c r="N516" s="309"/>
      <c r="O516" s="309"/>
      <c r="P516" s="309"/>
      <c r="Q516" s="326"/>
      <c r="R516" s="326"/>
      <c r="S516" s="326"/>
      <c r="T516" s="309"/>
      <c r="U516" s="309"/>
      <c r="V516" s="309"/>
      <c r="W516" s="328"/>
      <c r="X516" s="309"/>
      <c r="Y516" s="309"/>
      <c r="Z516" s="309"/>
      <c r="AA516" s="309"/>
      <c r="AB516" s="309"/>
      <c r="AC516" s="309"/>
    </row>
    <row r="517" spans="1:29" ht="12.75" customHeight="1">
      <c r="A517" s="309"/>
      <c r="B517" s="309"/>
      <c r="C517" s="309"/>
      <c r="D517" s="309"/>
      <c r="E517" s="309"/>
      <c r="F517" s="309"/>
      <c r="G517" s="309"/>
      <c r="H517" s="309"/>
      <c r="I517" s="309"/>
      <c r="J517" s="309"/>
      <c r="K517" s="1020"/>
      <c r="L517" s="1020"/>
      <c r="M517" s="309"/>
      <c r="N517" s="309"/>
      <c r="O517" s="309"/>
      <c r="P517" s="309"/>
      <c r="Q517" s="326"/>
      <c r="R517" s="326"/>
      <c r="S517" s="326"/>
      <c r="T517" s="309"/>
      <c r="U517" s="309"/>
      <c r="V517" s="309"/>
      <c r="W517" s="328"/>
      <c r="X517" s="309"/>
      <c r="Y517" s="309"/>
      <c r="Z517" s="309"/>
      <c r="AA517" s="309"/>
      <c r="AB517" s="309"/>
      <c r="AC517" s="309"/>
    </row>
    <row r="518" spans="1:29" ht="12.75" customHeight="1">
      <c r="A518" s="309"/>
      <c r="B518" s="309"/>
      <c r="C518" s="309"/>
      <c r="D518" s="309"/>
      <c r="E518" s="309"/>
      <c r="F518" s="309"/>
      <c r="G518" s="309"/>
      <c r="H518" s="309"/>
      <c r="I518" s="309"/>
      <c r="J518" s="309"/>
      <c r="K518" s="1020"/>
      <c r="L518" s="1020"/>
      <c r="M518" s="309"/>
      <c r="N518" s="309"/>
      <c r="O518" s="309"/>
      <c r="P518" s="309"/>
      <c r="Q518" s="326"/>
      <c r="R518" s="326"/>
      <c r="S518" s="326"/>
      <c r="T518" s="309"/>
      <c r="U518" s="309"/>
      <c r="V518" s="309"/>
      <c r="W518" s="328"/>
      <c r="X518" s="309"/>
      <c r="Y518" s="309"/>
      <c r="Z518" s="309"/>
      <c r="AA518" s="309"/>
      <c r="AB518" s="309"/>
      <c r="AC518" s="309"/>
    </row>
    <row r="519" spans="1:29" ht="12.75" customHeight="1">
      <c r="A519" s="309"/>
      <c r="B519" s="309"/>
      <c r="C519" s="309"/>
      <c r="D519" s="309"/>
      <c r="E519" s="309"/>
      <c r="F519" s="309"/>
      <c r="G519" s="309"/>
      <c r="H519" s="309"/>
      <c r="I519" s="309"/>
      <c r="J519" s="309"/>
      <c r="K519" s="1020"/>
      <c r="L519" s="1020"/>
      <c r="M519" s="309"/>
      <c r="N519" s="309"/>
      <c r="O519" s="309"/>
      <c r="P519" s="309"/>
      <c r="Q519" s="326"/>
      <c r="R519" s="326"/>
      <c r="S519" s="326"/>
      <c r="T519" s="309"/>
      <c r="U519" s="309"/>
      <c r="V519" s="309"/>
      <c r="W519" s="328"/>
      <c r="X519" s="309"/>
      <c r="Y519" s="309"/>
      <c r="Z519" s="309"/>
      <c r="AA519" s="309"/>
      <c r="AB519" s="309"/>
      <c r="AC519" s="309"/>
    </row>
    <row r="520" spans="1:29" ht="12.75" customHeight="1">
      <c r="A520" s="309"/>
      <c r="B520" s="309"/>
      <c r="C520" s="309"/>
      <c r="D520" s="309"/>
      <c r="E520" s="309"/>
      <c r="F520" s="309"/>
      <c r="G520" s="309"/>
      <c r="H520" s="309"/>
      <c r="I520" s="309"/>
      <c r="J520" s="309"/>
      <c r="K520" s="1020"/>
      <c r="L520" s="1020"/>
      <c r="M520" s="309"/>
      <c r="N520" s="309"/>
      <c r="O520" s="309"/>
      <c r="P520" s="309"/>
      <c r="Q520" s="326"/>
      <c r="R520" s="326"/>
      <c r="S520" s="326"/>
      <c r="T520" s="309"/>
      <c r="U520" s="309"/>
      <c r="V520" s="309"/>
      <c r="W520" s="328"/>
      <c r="X520" s="309"/>
      <c r="Y520" s="309"/>
      <c r="Z520" s="309"/>
      <c r="AA520" s="309"/>
      <c r="AB520" s="309"/>
      <c r="AC520" s="309"/>
    </row>
    <row r="521" spans="1:29" ht="12.75" customHeight="1">
      <c r="A521" s="309"/>
      <c r="B521" s="309"/>
      <c r="C521" s="309"/>
      <c r="D521" s="309"/>
      <c r="E521" s="309"/>
      <c r="F521" s="309"/>
      <c r="G521" s="309"/>
      <c r="H521" s="309"/>
      <c r="I521" s="309"/>
      <c r="J521" s="309"/>
      <c r="K521" s="1020"/>
      <c r="L521" s="1020"/>
      <c r="M521" s="309"/>
      <c r="N521" s="309"/>
      <c r="O521" s="309"/>
      <c r="P521" s="309"/>
      <c r="Q521" s="326"/>
      <c r="R521" s="326"/>
      <c r="S521" s="326"/>
      <c r="T521" s="309"/>
      <c r="U521" s="309"/>
      <c r="V521" s="309"/>
      <c r="W521" s="328"/>
      <c r="X521" s="309"/>
      <c r="Y521" s="309"/>
      <c r="Z521" s="309"/>
      <c r="AA521" s="309"/>
      <c r="AB521" s="309"/>
      <c r="AC521" s="309"/>
    </row>
    <row r="522" spans="1:29" ht="12.75" customHeight="1">
      <c r="A522" s="309"/>
      <c r="B522" s="309"/>
      <c r="C522" s="309"/>
      <c r="D522" s="309"/>
      <c r="E522" s="309"/>
      <c r="F522" s="309"/>
      <c r="G522" s="309"/>
      <c r="H522" s="309"/>
      <c r="I522" s="309"/>
      <c r="J522" s="309"/>
      <c r="K522" s="1020"/>
      <c r="L522" s="1020"/>
      <c r="M522" s="309"/>
      <c r="N522" s="309"/>
      <c r="O522" s="309"/>
      <c r="P522" s="309"/>
      <c r="Q522" s="326"/>
      <c r="R522" s="326"/>
      <c r="S522" s="326"/>
      <c r="T522" s="309"/>
      <c r="U522" s="309"/>
      <c r="V522" s="309"/>
      <c r="W522" s="328"/>
      <c r="X522" s="309"/>
      <c r="Y522" s="309"/>
      <c r="Z522" s="309"/>
      <c r="AA522" s="309"/>
      <c r="AB522" s="309"/>
      <c r="AC522" s="309"/>
    </row>
    <row r="523" spans="1:29" ht="12.75" customHeight="1">
      <c r="A523" s="309"/>
      <c r="B523" s="309"/>
      <c r="C523" s="309"/>
      <c r="D523" s="309"/>
      <c r="E523" s="309"/>
      <c r="F523" s="309"/>
      <c r="G523" s="309"/>
      <c r="H523" s="309"/>
      <c r="I523" s="309"/>
      <c r="J523" s="309"/>
      <c r="K523" s="1020"/>
      <c r="L523" s="1020"/>
      <c r="M523" s="309"/>
      <c r="N523" s="309"/>
      <c r="O523" s="309"/>
      <c r="P523" s="309"/>
      <c r="Q523" s="326"/>
      <c r="R523" s="326"/>
      <c r="S523" s="326"/>
      <c r="T523" s="309"/>
      <c r="U523" s="309"/>
      <c r="V523" s="309"/>
      <c r="W523" s="328"/>
      <c r="X523" s="309"/>
      <c r="Y523" s="309"/>
      <c r="Z523" s="309"/>
      <c r="AA523" s="309"/>
      <c r="AB523" s="309"/>
      <c r="AC523" s="309"/>
    </row>
    <row r="524" spans="1:29" ht="12.75" customHeight="1">
      <c r="A524" s="309"/>
      <c r="B524" s="309"/>
      <c r="C524" s="309"/>
      <c r="D524" s="309"/>
      <c r="E524" s="309"/>
      <c r="F524" s="309"/>
      <c r="G524" s="309"/>
      <c r="H524" s="309"/>
      <c r="I524" s="309"/>
      <c r="J524" s="309"/>
      <c r="K524" s="1020"/>
      <c r="L524" s="1020"/>
      <c r="M524" s="309"/>
      <c r="N524" s="309"/>
      <c r="O524" s="309"/>
      <c r="P524" s="309"/>
      <c r="Q524" s="326"/>
      <c r="R524" s="326"/>
      <c r="S524" s="326"/>
      <c r="T524" s="309"/>
      <c r="U524" s="309"/>
      <c r="V524" s="309"/>
      <c r="W524" s="328"/>
      <c r="X524" s="309"/>
      <c r="Y524" s="309"/>
      <c r="Z524" s="309"/>
      <c r="AA524" s="309"/>
      <c r="AB524" s="309"/>
      <c r="AC524" s="309"/>
    </row>
    <row r="525" spans="1:29" ht="12.75" customHeight="1">
      <c r="A525" s="309"/>
      <c r="B525" s="309"/>
      <c r="C525" s="309"/>
      <c r="D525" s="309"/>
      <c r="E525" s="309"/>
      <c r="F525" s="309"/>
      <c r="G525" s="309"/>
      <c r="H525" s="309"/>
      <c r="I525" s="309"/>
      <c r="J525" s="309"/>
      <c r="K525" s="1020"/>
      <c r="L525" s="1020"/>
      <c r="M525" s="309"/>
      <c r="N525" s="309"/>
      <c r="O525" s="309"/>
      <c r="P525" s="309"/>
      <c r="Q525" s="326"/>
      <c r="R525" s="326"/>
      <c r="S525" s="326"/>
      <c r="T525" s="309"/>
      <c r="U525" s="309"/>
      <c r="V525" s="309"/>
      <c r="W525" s="328"/>
      <c r="X525" s="309"/>
      <c r="Y525" s="309"/>
      <c r="Z525" s="309"/>
      <c r="AA525" s="309"/>
      <c r="AB525" s="309"/>
      <c r="AC525" s="309"/>
    </row>
    <row r="526" spans="1:29" ht="12.75" customHeight="1">
      <c r="A526" s="309"/>
      <c r="B526" s="309"/>
      <c r="C526" s="309"/>
      <c r="D526" s="309"/>
      <c r="E526" s="309"/>
      <c r="F526" s="309"/>
      <c r="G526" s="309"/>
      <c r="H526" s="309"/>
      <c r="I526" s="309"/>
      <c r="J526" s="309"/>
      <c r="K526" s="1020"/>
      <c r="L526" s="1020"/>
      <c r="M526" s="309"/>
      <c r="N526" s="309"/>
      <c r="O526" s="309"/>
      <c r="P526" s="309"/>
      <c r="Q526" s="326"/>
      <c r="R526" s="326"/>
      <c r="S526" s="326"/>
      <c r="T526" s="309"/>
      <c r="U526" s="309"/>
      <c r="V526" s="309"/>
      <c r="W526" s="328"/>
      <c r="X526" s="309"/>
      <c r="Y526" s="309"/>
      <c r="Z526" s="309"/>
      <c r="AA526" s="309"/>
      <c r="AB526" s="309"/>
      <c r="AC526" s="309"/>
    </row>
    <row r="527" spans="1:29" ht="12.75" customHeight="1">
      <c r="A527" s="309"/>
      <c r="B527" s="309"/>
      <c r="C527" s="309"/>
      <c r="D527" s="309"/>
      <c r="E527" s="309"/>
      <c r="F527" s="309"/>
      <c r="G527" s="309"/>
      <c r="H527" s="309"/>
      <c r="I527" s="309"/>
      <c r="J527" s="309"/>
      <c r="K527" s="1020"/>
      <c r="L527" s="1020"/>
      <c r="M527" s="309"/>
      <c r="N527" s="309"/>
      <c r="O527" s="309"/>
      <c r="P527" s="309"/>
      <c r="Q527" s="326"/>
      <c r="R527" s="326"/>
      <c r="S527" s="326"/>
      <c r="T527" s="309"/>
      <c r="U527" s="309"/>
      <c r="V527" s="309"/>
      <c r="W527" s="328"/>
      <c r="X527" s="309"/>
      <c r="Y527" s="309"/>
      <c r="Z527" s="309"/>
      <c r="AA527" s="309"/>
      <c r="AB527" s="309"/>
      <c r="AC527" s="309"/>
    </row>
    <row r="528" spans="1:29" ht="12.75" customHeight="1">
      <c r="A528" s="309"/>
      <c r="B528" s="309"/>
      <c r="C528" s="309"/>
      <c r="D528" s="309"/>
      <c r="E528" s="309"/>
      <c r="F528" s="309"/>
      <c r="G528" s="309"/>
      <c r="H528" s="309"/>
      <c r="I528" s="309"/>
      <c r="J528" s="309"/>
      <c r="K528" s="1020"/>
      <c r="L528" s="1020"/>
      <c r="M528" s="309"/>
      <c r="N528" s="309"/>
      <c r="O528" s="309"/>
      <c r="P528" s="309"/>
      <c r="Q528" s="326"/>
      <c r="R528" s="326"/>
      <c r="S528" s="326"/>
      <c r="T528" s="309"/>
      <c r="U528" s="309"/>
      <c r="V528" s="309"/>
      <c r="W528" s="328"/>
      <c r="X528" s="309"/>
      <c r="Y528" s="309"/>
      <c r="Z528" s="309"/>
      <c r="AA528" s="309"/>
      <c r="AB528" s="309"/>
      <c r="AC528" s="309"/>
    </row>
    <row r="529" spans="1:29" ht="12.75" customHeight="1">
      <c r="A529" s="309"/>
      <c r="B529" s="309"/>
      <c r="C529" s="309"/>
      <c r="D529" s="309"/>
      <c r="E529" s="309"/>
      <c r="F529" s="309"/>
      <c r="G529" s="309"/>
      <c r="H529" s="309"/>
      <c r="I529" s="309"/>
      <c r="J529" s="309"/>
      <c r="K529" s="1020"/>
      <c r="L529" s="1020"/>
      <c r="M529" s="309"/>
      <c r="N529" s="309"/>
      <c r="O529" s="309"/>
      <c r="P529" s="309"/>
      <c r="Q529" s="326"/>
      <c r="R529" s="326"/>
      <c r="S529" s="326"/>
      <c r="T529" s="309"/>
      <c r="U529" s="309"/>
      <c r="V529" s="309"/>
      <c r="W529" s="328"/>
      <c r="X529" s="309"/>
      <c r="Y529" s="309"/>
      <c r="Z529" s="309"/>
      <c r="AA529" s="309"/>
      <c r="AB529" s="309"/>
      <c r="AC529" s="309"/>
    </row>
    <row r="530" spans="1:29" ht="12.75" customHeight="1">
      <c r="A530" s="309"/>
      <c r="B530" s="309"/>
      <c r="C530" s="309"/>
      <c r="D530" s="309"/>
      <c r="E530" s="309"/>
      <c r="F530" s="309"/>
      <c r="G530" s="309"/>
      <c r="H530" s="309"/>
      <c r="I530" s="309"/>
      <c r="J530" s="309"/>
      <c r="K530" s="1020"/>
      <c r="L530" s="1020"/>
      <c r="M530" s="309"/>
      <c r="N530" s="309"/>
      <c r="O530" s="309"/>
      <c r="P530" s="309"/>
      <c r="Q530" s="326"/>
      <c r="R530" s="326"/>
      <c r="S530" s="326"/>
      <c r="T530" s="309"/>
      <c r="U530" s="309"/>
      <c r="V530" s="309"/>
      <c r="W530" s="328"/>
      <c r="X530" s="309"/>
      <c r="Y530" s="309"/>
      <c r="Z530" s="309"/>
      <c r="AA530" s="309"/>
      <c r="AB530" s="309"/>
      <c r="AC530" s="309"/>
    </row>
    <row r="531" spans="1:29" ht="12.75" customHeight="1">
      <c r="A531" s="309"/>
      <c r="B531" s="309"/>
      <c r="C531" s="309"/>
      <c r="D531" s="309"/>
      <c r="E531" s="309"/>
      <c r="F531" s="309"/>
      <c r="G531" s="309"/>
      <c r="H531" s="309"/>
      <c r="I531" s="309"/>
      <c r="J531" s="309"/>
      <c r="K531" s="1020"/>
      <c r="L531" s="1020"/>
      <c r="M531" s="309"/>
      <c r="N531" s="309"/>
      <c r="O531" s="309"/>
      <c r="P531" s="309"/>
      <c r="Q531" s="326"/>
      <c r="R531" s="326"/>
      <c r="S531" s="326"/>
      <c r="T531" s="309"/>
      <c r="U531" s="309"/>
      <c r="V531" s="309"/>
      <c r="W531" s="328"/>
      <c r="X531" s="309"/>
      <c r="Y531" s="309"/>
      <c r="Z531" s="309"/>
      <c r="AA531" s="309"/>
      <c r="AB531" s="309"/>
      <c r="AC531" s="309"/>
    </row>
    <row r="532" spans="1:29" ht="12.75" customHeight="1">
      <c r="A532" s="309"/>
      <c r="B532" s="309"/>
      <c r="C532" s="309"/>
      <c r="D532" s="309"/>
      <c r="E532" s="309"/>
      <c r="F532" s="309"/>
      <c r="G532" s="309"/>
      <c r="H532" s="309"/>
      <c r="I532" s="309"/>
      <c r="J532" s="309"/>
      <c r="K532" s="1020"/>
      <c r="L532" s="1020"/>
      <c r="M532" s="309"/>
      <c r="N532" s="309"/>
      <c r="O532" s="309"/>
      <c r="P532" s="309"/>
      <c r="Q532" s="326"/>
      <c r="R532" s="326"/>
      <c r="S532" s="326"/>
      <c r="T532" s="309"/>
      <c r="U532" s="309"/>
      <c r="V532" s="309"/>
      <c r="W532" s="328"/>
      <c r="X532" s="309"/>
      <c r="Y532" s="309"/>
      <c r="Z532" s="309"/>
      <c r="AA532" s="309"/>
      <c r="AB532" s="309"/>
      <c r="AC532" s="309"/>
    </row>
    <row r="533" spans="1:29" ht="12.75" customHeight="1">
      <c r="A533" s="309"/>
      <c r="B533" s="309"/>
      <c r="C533" s="309"/>
      <c r="D533" s="309"/>
      <c r="E533" s="309"/>
      <c r="F533" s="309"/>
      <c r="G533" s="309"/>
      <c r="H533" s="309"/>
      <c r="I533" s="309"/>
      <c r="J533" s="309"/>
      <c r="K533" s="1020"/>
      <c r="L533" s="1020"/>
      <c r="M533" s="309"/>
      <c r="N533" s="309"/>
      <c r="O533" s="309"/>
      <c r="P533" s="309"/>
      <c r="Q533" s="326"/>
      <c r="R533" s="326"/>
      <c r="S533" s="326"/>
      <c r="T533" s="309"/>
      <c r="U533" s="309"/>
      <c r="V533" s="309"/>
      <c r="W533" s="328"/>
      <c r="X533" s="309"/>
      <c r="Y533" s="309"/>
      <c r="Z533" s="309"/>
      <c r="AA533" s="309"/>
      <c r="AB533" s="309"/>
      <c r="AC533" s="309"/>
    </row>
    <row r="534" spans="1:29" ht="12.75" customHeight="1">
      <c r="A534" s="309"/>
      <c r="B534" s="309"/>
      <c r="C534" s="309"/>
      <c r="D534" s="309"/>
      <c r="E534" s="309"/>
      <c r="F534" s="309"/>
      <c r="G534" s="309"/>
      <c r="H534" s="309"/>
      <c r="I534" s="309"/>
      <c r="J534" s="309"/>
      <c r="K534" s="1020"/>
      <c r="L534" s="1020"/>
      <c r="M534" s="309"/>
      <c r="N534" s="309"/>
      <c r="O534" s="309"/>
      <c r="P534" s="309"/>
      <c r="Q534" s="326"/>
      <c r="R534" s="326"/>
      <c r="S534" s="326"/>
      <c r="T534" s="309"/>
      <c r="U534" s="309"/>
      <c r="V534" s="309"/>
      <c r="W534" s="328"/>
      <c r="X534" s="309"/>
      <c r="Y534" s="309"/>
      <c r="Z534" s="309"/>
      <c r="AA534" s="309"/>
      <c r="AB534" s="309"/>
      <c r="AC534" s="309"/>
    </row>
    <row r="535" spans="1:29" ht="12.75" customHeight="1">
      <c r="A535" s="309"/>
      <c r="B535" s="309"/>
      <c r="C535" s="309"/>
      <c r="D535" s="309"/>
      <c r="E535" s="309"/>
      <c r="F535" s="309"/>
      <c r="G535" s="309"/>
      <c r="H535" s="309"/>
      <c r="I535" s="309"/>
      <c r="J535" s="309"/>
      <c r="K535" s="1020"/>
      <c r="L535" s="1020"/>
      <c r="M535" s="309"/>
      <c r="N535" s="309"/>
      <c r="O535" s="309"/>
      <c r="P535" s="309"/>
      <c r="Q535" s="326"/>
      <c r="R535" s="326"/>
      <c r="S535" s="326"/>
      <c r="T535" s="309"/>
      <c r="U535" s="309"/>
      <c r="V535" s="309"/>
      <c r="W535" s="328"/>
      <c r="X535" s="309"/>
      <c r="Y535" s="309"/>
      <c r="Z535" s="309"/>
      <c r="AA535" s="309"/>
      <c r="AB535" s="309"/>
      <c r="AC535" s="309"/>
    </row>
    <row r="536" spans="1:29" ht="12.75" customHeight="1">
      <c r="A536" s="309"/>
      <c r="B536" s="309"/>
      <c r="C536" s="309"/>
      <c r="D536" s="309"/>
      <c r="E536" s="309"/>
      <c r="F536" s="309"/>
      <c r="G536" s="309"/>
      <c r="H536" s="309"/>
      <c r="I536" s="309"/>
      <c r="J536" s="309"/>
      <c r="K536" s="1020"/>
      <c r="L536" s="1020"/>
      <c r="M536" s="309"/>
      <c r="N536" s="309"/>
      <c r="O536" s="309"/>
      <c r="P536" s="309"/>
      <c r="Q536" s="326"/>
      <c r="R536" s="326"/>
      <c r="S536" s="326"/>
      <c r="T536" s="309"/>
      <c r="U536" s="309"/>
      <c r="V536" s="309"/>
      <c r="W536" s="328"/>
      <c r="X536" s="309"/>
      <c r="Y536" s="309"/>
      <c r="Z536" s="309"/>
      <c r="AA536" s="309"/>
      <c r="AB536" s="309"/>
      <c r="AC536" s="309"/>
    </row>
    <row r="537" spans="1:29" ht="12.75" customHeight="1">
      <c r="A537" s="309"/>
      <c r="B537" s="309"/>
      <c r="C537" s="309"/>
      <c r="D537" s="309"/>
      <c r="E537" s="309"/>
      <c r="F537" s="309"/>
      <c r="G537" s="309"/>
      <c r="H537" s="309"/>
      <c r="I537" s="309"/>
      <c r="J537" s="309"/>
      <c r="K537" s="1020"/>
      <c r="L537" s="1020"/>
      <c r="M537" s="309"/>
      <c r="N537" s="309"/>
      <c r="O537" s="309"/>
      <c r="P537" s="309"/>
      <c r="Q537" s="326"/>
      <c r="R537" s="326"/>
      <c r="S537" s="326"/>
      <c r="T537" s="309"/>
      <c r="U537" s="309"/>
      <c r="V537" s="309"/>
      <c r="W537" s="328"/>
      <c r="X537" s="309"/>
      <c r="Y537" s="309"/>
      <c r="Z537" s="309"/>
      <c r="AA537" s="309"/>
      <c r="AB537" s="309"/>
      <c r="AC537" s="309"/>
    </row>
    <row r="538" spans="1:29" ht="12.75" customHeight="1">
      <c r="A538" s="309"/>
      <c r="B538" s="309"/>
      <c r="C538" s="309"/>
      <c r="D538" s="309"/>
      <c r="E538" s="309"/>
      <c r="F538" s="309"/>
      <c r="G538" s="309"/>
      <c r="H538" s="309"/>
      <c r="I538" s="309"/>
      <c r="J538" s="309"/>
      <c r="K538" s="1020"/>
      <c r="L538" s="1020"/>
      <c r="M538" s="309"/>
      <c r="N538" s="309"/>
      <c r="O538" s="309"/>
      <c r="P538" s="309"/>
      <c r="Q538" s="326"/>
      <c r="R538" s="326"/>
      <c r="S538" s="326"/>
      <c r="T538" s="309"/>
      <c r="U538" s="309"/>
      <c r="V538" s="309"/>
      <c r="W538" s="328"/>
      <c r="X538" s="309"/>
      <c r="Y538" s="309"/>
      <c r="Z538" s="309"/>
      <c r="AA538" s="309"/>
      <c r="AB538" s="309"/>
      <c r="AC538" s="309"/>
    </row>
    <row r="539" spans="1:29" ht="12.75" customHeight="1">
      <c r="A539" s="309"/>
      <c r="B539" s="309"/>
      <c r="C539" s="309"/>
      <c r="D539" s="309"/>
      <c r="E539" s="309"/>
      <c r="F539" s="309"/>
      <c r="G539" s="309"/>
      <c r="H539" s="309"/>
      <c r="I539" s="309"/>
      <c r="J539" s="309"/>
      <c r="K539" s="1020"/>
      <c r="L539" s="1020"/>
      <c r="M539" s="309"/>
      <c r="N539" s="309"/>
      <c r="O539" s="309"/>
      <c r="P539" s="309"/>
      <c r="Q539" s="326"/>
      <c r="R539" s="326"/>
      <c r="S539" s="326"/>
      <c r="T539" s="309"/>
      <c r="U539" s="309"/>
      <c r="V539" s="309"/>
      <c r="W539" s="328"/>
      <c r="X539" s="309"/>
      <c r="Y539" s="309"/>
      <c r="Z539" s="309"/>
      <c r="AA539" s="309"/>
      <c r="AB539" s="309"/>
      <c r="AC539" s="309"/>
    </row>
    <row r="540" spans="1:29" ht="12.75" customHeight="1">
      <c r="A540" s="309"/>
      <c r="B540" s="309"/>
      <c r="C540" s="309"/>
      <c r="D540" s="309"/>
      <c r="E540" s="309"/>
      <c r="F540" s="309"/>
      <c r="G540" s="309"/>
      <c r="H540" s="309"/>
      <c r="I540" s="309"/>
      <c r="J540" s="309"/>
      <c r="K540" s="1020"/>
      <c r="L540" s="1020"/>
      <c r="M540" s="309"/>
      <c r="N540" s="309"/>
      <c r="O540" s="309"/>
      <c r="P540" s="309"/>
      <c r="Q540" s="326"/>
      <c r="R540" s="326"/>
      <c r="S540" s="326"/>
      <c r="T540" s="309"/>
      <c r="U540" s="309"/>
      <c r="V540" s="309"/>
      <c r="W540" s="328"/>
      <c r="X540" s="309"/>
      <c r="Y540" s="309"/>
      <c r="Z540" s="309"/>
      <c r="AA540" s="309"/>
      <c r="AB540" s="309"/>
      <c r="AC540" s="309"/>
    </row>
    <row r="541" spans="1:29" ht="12.75" customHeight="1">
      <c r="A541" s="309"/>
      <c r="B541" s="309"/>
      <c r="C541" s="309"/>
      <c r="D541" s="309"/>
      <c r="E541" s="309"/>
      <c r="F541" s="309"/>
      <c r="G541" s="309"/>
      <c r="H541" s="309"/>
      <c r="I541" s="309"/>
      <c r="J541" s="309"/>
      <c r="K541" s="1020"/>
      <c r="L541" s="1020"/>
      <c r="M541" s="309"/>
      <c r="N541" s="309"/>
      <c r="O541" s="309"/>
      <c r="P541" s="309"/>
      <c r="Q541" s="326"/>
      <c r="R541" s="326"/>
      <c r="S541" s="326"/>
      <c r="T541" s="309"/>
      <c r="U541" s="309"/>
      <c r="V541" s="309"/>
      <c r="W541" s="328"/>
      <c r="X541" s="309"/>
      <c r="Y541" s="309"/>
      <c r="Z541" s="309"/>
      <c r="AA541" s="309"/>
      <c r="AB541" s="309"/>
      <c r="AC541" s="309"/>
    </row>
    <row r="542" spans="1:29" ht="12.75" customHeight="1">
      <c r="A542" s="309"/>
      <c r="B542" s="309"/>
      <c r="C542" s="309"/>
      <c r="D542" s="309"/>
      <c r="E542" s="309"/>
      <c r="F542" s="309"/>
      <c r="G542" s="309"/>
      <c r="H542" s="309"/>
      <c r="I542" s="309"/>
      <c r="J542" s="309"/>
      <c r="K542" s="1020"/>
      <c r="L542" s="1020"/>
      <c r="M542" s="309"/>
      <c r="N542" s="309"/>
      <c r="O542" s="309"/>
      <c r="P542" s="309"/>
      <c r="Q542" s="326"/>
      <c r="R542" s="326"/>
      <c r="S542" s="326"/>
      <c r="T542" s="309"/>
      <c r="U542" s="309"/>
      <c r="V542" s="309"/>
      <c r="W542" s="328"/>
      <c r="X542" s="309"/>
      <c r="Y542" s="309"/>
      <c r="Z542" s="309"/>
      <c r="AA542" s="309"/>
      <c r="AB542" s="309"/>
      <c r="AC542" s="309"/>
    </row>
    <row r="543" spans="1:29" ht="12.75" customHeight="1">
      <c r="A543" s="309"/>
      <c r="B543" s="309"/>
      <c r="C543" s="309"/>
      <c r="D543" s="309"/>
      <c r="E543" s="309"/>
      <c r="F543" s="309"/>
      <c r="G543" s="309"/>
      <c r="H543" s="309"/>
      <c r="I543" s="309"/>
      <c r="J543" s="309"/>
      <c r="K543" s="1020"/>
      <c r="L543" s="1020"/>
      <c r="M543" s="309"/>
      <c r="N543" s="309"/>
      <c r="O543" s="309"/>
      <c r="P543" s="309"/>
      <c r="Q543" s="326"/>
      <c r="R543" s="326"/>
      <c r="S543" s="326"/>
      <c r="T543" s="309"/>
      <c r="U543" s="309"/>
      <c r="V543" s="309"/>
      <c r="W543" s="328"/>
      <c r="X543" s="309"/>
      <c r="Y543" s="309"/>
      <c r="Z543" s="309"/>
      <c r="AA543" s="309"/>
      <c r="AB543" s="309"/>
      <c r="AC543" s="309"/>
    </row>
    <row r="544" spans="1:29" ht="12.75" customHeight="1">
      <c r="A544" s="309"/>
      <c r="B544" s="309"/>
      <c r="C544" s="309"/>
      <c r="D544" s="309"/>
      <c r="E544" s="309"/>
      <c r="F544" s="309"/>
      <c r="G544" s="309"/>
      <c r="H544" s="309"/>
      <c r="I544" s="309"/>
      <c r="J544" s="309"/>
      <c r="K544" s="1020"/>
      <c r="L544" s="1020"/>
      <c r="M544" s="309"/>
      <c r="N544" s="309"/>
      <c r="O544" s="309"/>
      <c r="P544" s="309"/>
      <c r="Q544" s="326"/>
      <c r="R544" s="326"/>
      <c r="S544" s="326"/>
      <c r="T544" s="309"/>
      <c r="U544" s="309"/>
      <c r="V544" s="309"/>
      <c r="W544" s="328"/>
      <c r="X544" s="309"/>
      <c r="Y544" s="309"/>
      <c r="Z544" s="309"/>
      <c r="AA544" s="309"/>
      <c r="AB544" s="309"/>
      <c r="AC544" s="309"/>
    </row>
    <row r="545" spans="1:29" ht="12.75" customHeight="1">
      <c r="A545" s="309"/>
      <c r="B545" s="309"/>
      <c r="C545" s="309"/>
      <c r="D545" s="309"/>
      <c r="E545" s="309"/>
      <c r="F545" s="309"/>
      <c r="G545" s="309"/>
      <c r="H545" s="309"/>
      <c r="I545" s="309"/>
      <c r="J545" s="309"/>
      <c r="K545" s="1020"/>
      <c r="L545" s="1020"/>
      <c r="M545" s="309"/>
      <c r="N545" s="309"/>
      <c r="O545" s="309"/>
      <c r="P545" s="309"/>
      <c r="Q545" s="326"/>
      <c r="R545" s="326"/>
      <c r="S545" s="326"/>
      <c r="T545" s="309"/>
      <c r="U545" s="309"/>
      <c r="V545" s="309"/>
      <c r="W545" s="328"/>
      <c r="X545" s="309"/>
      <c r="Y545" s="309"/>
      <c r="Z545" s="309"/>
      <c r="AA545" s="309"/>
      <c r="AB545" s="309"/>
      <c r="AC545" s="309"/>
    </row>
    <row r="546" spans="1:29" ht="12.75" customHeight="1">
      <c r="A546" s="309"/>
      <c r="B546" s="309"/>
      <c r="C546" s="309"/>
      <c r="D546" s="309"/>
      <c r="E546" s="309"/>
      <c r="F546" s="309"/>
      <c r="G546" s="309"/>
      <c r="H546" s="309"/>
      <c r="I546" s="309"/>
      <c r="J546" s="309"/>
      <c r="K546" s="1020"/>
      <c r="L546" s="1020"/>
      <c r="M546" s="309"/>
      <c r="N546" s="309"/>
      <c r="O546" s="309"/>
      <c r="P546" s="309"/>
      <c r="Q546" s="326"/>
      <c r="R546" s="326"/>
      <c r="S546" s="326"/>
      <c r="T546" s="309"/>
      <c r="U546" s="309"/>
      <c r="V546" s="309"/>
      <c r="W546" s="328"/>
      <c r="X546" s="309"/>
      <c r="Y546" s="309"/>
      <c r="Z546" s="309"/>
      <c r="AA546" s="309"/>
      <c r="AB546" s="309"/>
      <c r="AC546" s="309"/>
    </row>
    <row r="547" spans="1:29" ht="12.75" customHeight="1">
      <c r="A547" s="309"/>
      <c r="B547" s="309"/>
      <c r="C547" s="309"/>
      <c r="D547" s="309"/>
      <c r="E547" s="309"/>
      <c r="F547" s="309"/>
      <c r="G547" s="309"/>
      <c r="H547" s="309"/>
      <c r="I547" s="309"/>
      <c r="J547" s="309"/>
      <c r="K547" s="1020"/>
      <c r="L547" s="1020"/>
      <c r="M547" s="309"/>
      <c r="N547" s="309"/>
      <c r="O547" s="309"/>
      <c r="P547" s="309"/>
      <c r="Q547" s="326"/>
      <c r="R547" s="326"/>
      <c r="S547" s="326"/>
      <c r="T547" s="309"/>
      <c r="U547" s="309"/>
      <c r="V547" s="309"/>
      <c r="W547" s="328"/>
      <c r="X547" s="309"/>
      <c r="Y547" s="309"/>
      <c r="Z547" s="309"/>
      <c r="AA547" s="309"/>
      <c r="AB547" s="309"/>
      <c r="AC547" s="309"/>
    </row>
    <row r="548" spans="1:29" ht="12.75" customHeight="1">
      <c r="A548" s="309"/>
      <c r="B548" s="309"/>
      <c r="C548" s="309"/>
      <c r="D548" s="309"/>
      <c r="E548" s="309"/>
      <c r="F548" s="309"/>
      <c r="G548" s="309"/>
      <c r="H548" s="309"/>
      <c r="I548" s="309"/>
      <c r="J548" s="309"/>
      <c r="K548" s="1020"/>
      <c r="L548" s="1020"/>
      <c r="M548" s="309"/>
      <c r="N548" s="309"/>
      <c r="O548" s="309"/>
      <c r="P548" s="309"/>
      <c r="Q548" s="326"/>
      <c r="R548" s="326"/>
      <c r="S548" s="326"/>
      <c r="T548" s="309"/>
      <c r="U548" s="309"/>
      <c r="V548" s="309"/>
      <c r="W548" s="328"/>
      <c r="X548" s="309"/>
      <c r="Y548" s="309"/>
      <c r="Z548" s="309"/>
      <c r="AA548" s="309"/>
      <c r="AB548" s="309"/>
      <c r="AC548" s="309"/>
    </row>
    <row r="549" spans="1:29" ht="12.75" customHeight="1">
      <c r="A549" s="309"/>
      <c r="B549" s="309"/>
      <c r="C549" s="309"/>
      <c r="D549" s="309"/>
      <c r="E549" s="309"/>
      <c r="F549" s="309"/>
      <c r="G549" s="309"/>
      <c r="H549" s="309"/>
      <c r="I549" s="309"/>
      <c r="J549" s="309"/>
      <c r="K549" s="1020"/>
      <c r="L549" s="1020"/>
      <c r="M549" s="309"/>
      <c r="N549" s="309"/>
      <c r="O549" s="309"/>
      <c r="P549" s="309"/>
      <c r="Q549" s="326"/>
      <c r="R549" s="326"/>
      <c r="S549" s="326"/>
      <c r="T549" s="309"/>
      <c r="U549" s="309"/>
      <c r="V549" s="309"/>
      <c r="W549" s="328"/>
      <c r="X549" s="309"/>
      <c r="Y549" s="309"/>
      <c r="Z549" s="309"/>
      <c r="AA549" s="309"/>
      <c r="AB549" s="309"/>
      <c r="AC549" s="309"/>
    </row>
    <row r="550" spans="1:29" ht="12.75" customHeight="1">
      <c r="A550" s="309"/>
      <c r="B550" s="309"/>
      <c r="C550" s="309"/>
      <c r="D550" s="309"/>
      <c r="E550" s="309"/>
      <c r="F550" s="309"/>
      <c r="G550" s="309"/>
      <c r="H550" s="309"/>
      <c r="I550" s="309"/>
      <c r="J550" s="309"/>
      <c r="K550" s="1020"/>
      <c r="L550" s="1020"/>
      <c r="M550" s="309"/>
      <c r="N550" s="309"/>
      <c r="O550" s="309"/>
      <c r="P550" s="309"/>
      <c r="Q550" s="326"/>
      <c r="R550" s="326"/>
      <c r="S550" s="326"/>
      <c r="T550" s="309"/>
      <c r="U550" s="309"/>
      <c r="V550" s="309"/>
      <c r="W550" s="328"/>
      <c r="X550" s="309"/>
      <c r="Y550" s="309"/>
      <c r="Z550" s="309"/>
      <c r="AA550" s="309"/>
      <c r="AB550" s="309"/>
      <c r="AC550" s="309"/>
    </row>
    <row r="551" spans="1:29" ht="12.75" customHeight="1">
      <c r="A551" s="309"/>
      <c r="B551" s="309"/>
      <c r="C551" s="309"/>
      <c r="D551" s="309"/>
      <c r="E551" s="309"/>
      <c r="F551" s="309"/>
      <c r="G551" s="309"/>
      <c r="H551" s="309"/>
      <c r="I551" s="309"/>
      <c r="J551" s="309"/>
      <c r="K551" s="1020"/>
      <c r="L551" s="1020"/>
      <c r="M551" s="309"/>
      <c r="N551" s="309"/>
      <c r="O551" s="309"/>
      <c r="P551" s="309"/>
      <c r="Q551" s="326"/>
      <c r="R551" s="326"/>
      <c r="S551" s="326"/>
      <c r="T551" s="309"/>
      <c r="U551" s="309"/>
      <c r="V551" s="309"/>
      <c r="W551" s="328"/>
      <c r="X551" s="309"/>
      <c r="Y551" s="309"/>
      <c r="Z551" s="309"/>
      <c r="AA551" s="309"/>
      <c r="AB551" s="309"/>
      <c r="AC551" s="309"/>
    </row>
    <row r="552" spans="1:29" ht="12.75" customHeight="1">
      <c r="A552" s="309"/>
      <c r="B552" s="309"/>
      <c r="C552" s="309"/>
      <c r="D552" s="309"/>
      <c r="E552" s="309"/>
      <c r="F552" s="309"/>
      <c r="G552" s="309"/>
      <c r="H552" s="309"/>
      <c r="I552" s="309"/>
      <c r="J552" s="309"/>
      <c r="K552" s="1020"/>
      <c r="L552" s="1020"/>
      <c r="M552" s="309"/>
      <c r="N552" s="309"/>
      <c r="O552" s="309"/>
      <c r="P552" s="309"/>
      <c r="Q552" s="326"/>
      <c r="R552" s="326"/>
      <c r="S552" s="326"/>
      <c r="T552" s="309"/>
      <c r="U552" s="309"/>
      <c r="V552" s="309"/>
      <c r="W552" s="328"/>
      <c r="X552" s="309"/>
      <c r="Y552" s="309"/>
      <c r="Z552" s="309"/>
      <c r="AA552" s="309"/>
      <c r="AB552" s="309"/>
      <c r="AC552" s="309"/>
    </row>
    <row r="553" spans="1:29" ht="12.75" customHeight="1">
      <c r="A553" s="309"/>
      <c r="B553" s="309"/>
      <c r="C553" s="309"/>
      <c r="D553" s="309"/>
      <c r="E553" s="309"/>
      <c r="F553" s="309"/>
      <c r="G553" s="309"/>
      <c r="H553" s="309"/>
      <c r="I553" s="309"/>
      <c r="J553" s="309"/>
      <c r="K553" s="1020"/>
      <c r="L553" s="1020"/>
      <c r="M553" s="309"/>
      <c r="N553" s="309"/>
      <c r="O553" s="309"/>
      <c r="P553" s="309"/>
      <c r="Q553" s="326"/>
      <c r="R553" s="326"/>
      <c r="S553" s="326"/>
      <c r="T553" s="309"/>
      <c r="U553" s="309"/>
      <c r="V553" s="309"/>
      <c r="W553" s="328"/>
      <c r="X553" s="309"/>
      <c r="Y553" s="309"/>
      <c r="Z553" s="309"/>
      <c r="AA553" s="309"/>
      <c r="AB553" s="309"/>
      <c r="AC553" s="309"/>
    </row>
    <row r="554" spans="1:29" ht="12.75" customHeight="1">
      <c r="A554" s="309"/>
      <c r="B554" s="309"/>
      <c r="C554" s="309"/>
      <c r="D554" s="309"/>
      <c r="E554" s="309"/>
      <c r="F554" s="309"/>
      <c r="G554" s="309"/>
      <c r="H554" s="309"/>
      <c r="I554" s="309"/>
      <c r="J554" s="309"/>
      <c r="K554" s="1020"/>
      <c r="L554" s="1020"/>
      <c r="M554" s="309"/>
      <c r="N554" s="309"/>
      <c r="O554" s="309"/>
      <c r="P554" s="309"/>
      <c r="Q554" s="326"/>
      <c r="R554" s="326"/>
      <c r="S554" s="326"/>
      <c r="T554" s="309"/>
      <c r="U554" s="309"/>
      <c r="V554" s="309"/>
      <c r="W554" s="328"/>
      <c r="X554" s="309"/>
      <c r="Y554" s="309"/>
      <c r="Z554" s="309"/>
      <c r="AA554" s="309"/>
      <c r="AB554" s="309"/>
      <c r="AC554" s="309"/>
    </row>
    <row r="555" spans="1:29" ht="12.75" customHeight="1">
      <c r="A555" s="309"/>
      <c r="B555" s="309"/>
      <c r="C555" s="309"/>
      <c r="D555" s="309"/>
      <c r="E555" s="309"/>
      <c r="F555" s="309"/>
      <c r="G555" s="309"/>
      <c r="H555" s="309"/>
      <c r="I555" s="309"/>
      <c r="J555" s="309"/>
      <c r="K555" s="1020"/>
      <c r="L555" s="1020"/>
      <c r="M555" s="309"/>
      <c r="N555" s="309"/>
      <c r="O555" s="309"/>
      <c r="P555" s="309"/>
      <c r="Q555" s="326"/>
      <c r="R555" s="326"/>
      <c r="S555" s="326"/>
      <c r="T555" s="309"/>
      <c r="U555" s="309"/>
      <c r="V555" s="309"/>
      <c r="W555" s="328"/>
      <c r="X555" s="309"/>
      <c r="Y555" s="309"/>
      <c r="Z555" s="309"/>
      <c r="AA555" s="309"/>
      <c r="AB555" s="309"/>
      <c r="AC555" s="309"/>
    </row>
    <row r="556" spans="1:29" ht="12.75" customHeight="1">
      <c r="A556" s="309"/>
      <c r="B556" s="309"/>
      <c r="C556" s="309"/>
      <c r="D556" s="309"/>
      <c r="E556" s="309"/>
      <c r="F556" s="309"/>
      <c r="G556" s="309"/>
      <c r="H556" s="309"/>
      <c r="I556" s="309"/>
      <c r="J556" s="309"/>
      <c r="K556" s="1020"/>
      <c r="L556" s="1020"/>
      <c r="M556" s="309"/>
      <c r="N556" s="309"/>
      <c r="O556" s="309"/>
      <c r="P556" s="309"/>
      <c r="Q556" s="326"/>
      <c r="R556" s="326"/>
      <c r="S556" s="326"/>
      <c r="T556" s="309"/>
      <c r="U556" s="309"/>
      <c r="V556" s="309"/>
      <c r="W556" s="328"/>
      <c r="X556" s="309"/>
      <c r="Y556" s="309"/>
      <c r="Z556" s="309"/>
      <c r="AA556" s="309"/>
      <c r="AB556" s="309"/>
      <c r="AC556" s="309"/>
    </row>
    <row r="557" spans="1:29" ht="12.75" customHeight="1">
      <c r="A557" s="309"/>
      <c r="B557" s="309"/>
      <c r="C557" s="309"/>
      <c r="D557" s="309"/>
      <c r="E557" s="309"/>
      <c r="F557" s="309"/>
      <c r="G557" s="309"/>
      <c r="H557" s="309"/>
      <c r="I557" s="309"/>
      <c r="J557" s="309"/>
      <c r="K557" s="1020"/>
      <c r="L557" s="1020"/>
      <c r="M557" s="309"/>
      <c r="N557" s="309"/>
      <c r="O557" s="309"/>
      <c r="P557" s="309"/>
      <c r="Q557" s="326"/>
      <c r="R557" s="326"/>
      <c r="S557" s="326"/>
      <c r="T557" s="309"/>
      <c r="U557" s="309"/>
      <c r="V557" s="309"/>
      <c r="W557" s="328"/>
      <c r="X557" s="309"/>
      <c r="Y557" s="309"/>
      <c r="Z557" s="309"/>
      <c r="AA557" s="309"/>
      <c r="AB557" s="309"/>
      <c r="AC557" s="309"/>
    </row>
    <row r="558" spans="1:29" ht="12.75" customHeight="1">
      <c r="A558" s="309"/>
      <c r="B558" s="309"/>
      <c r="C558" s="309"/>
      <c r="D558" s="309"/>
      <c r="E558" s="309"/>
      <c r="F558" s="309"/>
      <c r="G558" s="309"/>
      <c r="H558" s="309"/>
      <c r="I558" s="309"/>
      <c r="J558" s="309"/>
      <c r="K558" s="1020"/>
      <c r="L558" s="1020"/>
      <c r="M558" s="309"/>
      <c r="N558" s="309"/>
      <c r="O558" s="309"/>
      <c r="P558" s="309"/>
      <c r="Q558" s="326"/>
      <c r="R558" s="326"/>
      <c r="S558" s="326"/>
      <c r="T558" s="309"/>
      <c r="U558" s="309"/>
      <c r="V558" s="309"/>
      <c r="W558" s="328"/>
      <c r="X558" s="309"/>
      <c r="Y558" s="309"/>
      <c r="Z558" s="309"/>
      <c r="AA558" s="309"/>
      <c r="AB558" s="309"/>
      <c r="AC558" s="309"/>
    </row>
    <row r="559" spans="1:29" ht="12.75" customHeight="1">
      <c r="A559" s="309"/>
      <c r="B559" s="309"/>
      <c r="C559" s="309"/>
      <c r="D559" s="309"/>
      <c r="E559" s="309"/>
      <c r="F559" s="309"/>
      <c r="G559" s="309"/>
      <c r="H559" s="309"/>
      <c r="I559" s="309"/>
      <c r="J559" s="309"/>
      <c r="K559" s="1020"/>
      <c r="L559" s="1020"/>
      <c r="M559" s="309"/>
      <c r="N559" s="309"/>
      <c r="O559" s="309"/>
      <c r="P559" s="309"/>
      <c r="Q559" s="326"/>
      <c r="R559" s="326"/>
      <c r="S559" s="326"/>
      <c r="T559" s="309"/>
      <c r="U559" s="309"/>
      <c r="V559" s="309"/>
      <c r="W559" s="328"/>
      <c r="X559" s="309"/>
      <c r="Y559" s="309"/>
      <c r="Z559" s="309"/>
      <c r="AA559" s="309"/>
      <c r="AB559" s="309"/>
      <c r="AC559" s="309"/>
    </row>
    <row r="560" spans="1:29" ht="12.75" customHeight="1">
      <c r="A560" s="309"/>
      <c r="B560" s="309"/>
      <c r="C560" s="309"/>
      <c r="D560" s="309"/>
      <c r="E560" s="309"/>
      <c r="F560" s="309"/>
      <c r="G560" s="309"/>
      <c r="H560" s="309"/>
      <c r="I560" s="309"/>
      <c r="J560" s="309"/>
      <c r="K560" s="1020"/>
      <c r="L560" s="1020"/>
      <c r="M560" s="309"/>
      <c r="N560" s="309"/>
      <c r="O560" s="309"/>
      <c r="P560" s="309"/>
      <c r="Q560" s="326"/>
      <c r="R560" s="326"/>
      <c r="S560" s="326"/>
      <c r="T560" s="309"/>
      <c r="U560" s="309"/>
      <c r="V560" s="309"/>
      <c r="W560" s="328"/>
      <c r="X560" s="309"/>
      <c r="Y560" s="309"/>
      <c r="Z560" s="309"/>
      <c r="AA560" s="309"/>
      <c r="AB560" s="309"/>
      <c r="AC560" s="309"/>
    </row>
    <row r="561" spans="1:29" ht="12.75" customHeight="1">
      <c r="A561" s="309"/>
      <c r="B561" s="309"/>
      <c r="C561" s="309"/>
      <c r="D561" s="309"/>
      <c r="E561" s="309"/>
      <c r="F561" s="309"/>
      <c r="G561" s="309"/>
      <c r="H561" s="309"/>
      <c r="I561" s="309"/>
      <c r="J561" s="309"/>
      <c r="K561" s="1020"/>
      <c r="L561" s="1020"/>
      <c r="M561" s="309"/>
      <c r="N561" s="309"/>
      <c r="O561" s="309"/>
      <c r="P561" s="309"/>
      <c r="Q561" s="326"/>
      <c r="R561" s="326"/>
      <c r="S561" s="326"/>
      <c r="T561" s="309"/>
      <c r="U561" s="309"/>
      <c r="V561" s="309"/>
      <c r="W561" s="328"/>
      <c r="X561" s="309"/>
      <c r="Y561" s="309"/>
      <c r="Z561" s="309"/>
      <c r="AA561" s="309"/>
      <c r="AB561" s="309"/>
      <c r="AC561" s="309"/>
    </row>
    <row r="562" spans="1:29" ht="12.75" customHeight="1">
      <c r="A562" s="309"/>
      <c r="B562" s="309"/>
      <c r="C562" s="309"/>
      <c r="D562" s="309"/>
      <c r="E562" s="309"/>
      <c r="F562" s="309"/>
      <c r="G562" s="309"/>
      <c r="H562" s="309"/>
      <c r="I562" s="309"/>
      <c r="J562" s="309"/>
      <c r="K562" s="1020"/>
      <c r="L562" s="1020"/>
      <c r="M562" s="309"/>
      <c r="N562" s="309"/>
      <c r="O562" s="309"/>
      <c r="P562" s="309"/>
      <c r="Q562" s="326"/>
      <c r="R562" s="326"/>
      <c r="S562" s="326"/>
      <c r="T562" s="309"/>
      <c r="U562" s="309"/>
      <c r="V562" s="309"/>
      <c r="W562" s="328"/>
      <c r="X562" s="309"/>
      <c r="Y562" s="309"/>
      <c r="Z562" s="309"/>
      <c r="AA562" s="309"/>
      <c r="AB562" s="309"/>
      <c r="AC562" s="309"/>
    </row>
    <row r="563" spans="1:29" ht="12.75" customHeight="1">
      <c r="A563" s="309"/>
      <c r="B563" s="309"/>
      <c r="C563" s="309"/>
      <c r="D563" s="309"/>
      <c r="E563" s="309"/>
      <c r="F563" s="309"/>
      <c r="G563" s="309"/>
      <c r="H563" s="309"/>
      <c r="I563" s="309"/>
      <c r="J563" s="309"/>
      <c r="K563" s="1020"/>
      <c r="L563" s="1020"/>
      <c r="M563" s="309"/>
      <c r="N563" s="309"/>
      <c r="O563" s="309"/>
      <c r="P563" s="309"/>
      <c r="Q563" s="326"/>
      <c r="R563" s="326"/>
      <c r="S563" s="326"/>
      <c r="T563" s="309"/>
      <c r="U563" s="309"/>
      <c r="V563" s="309"/>
      <c r="W563" s="328"/>
      <c r="X563" s="309"/>
      <c r="Y563" s="309"/>
      <c r="Z563" s="309"/>
      <c r="AA563" s="309"/>
      <c r="AB563" s="309"/>
      <c r="AC563" s="309"/>
    </row>
    <row r="564" spans="1:29" ht="12.75" customHeight="1">
      <c r="A564" s="309"/>
      <c r="B564" s="309"/>
      <c r="C564" s="309"/>
      <c r="D564" s="309"/>
      <c r="E564" s="309"/>
      <c r="F564" s="309"/>
      <c r="G564" s="309"/>
      <c r="H564" s="309"/>
      <c r="I564" s="309"/>
      <c r="J564" s="309"/>
      <c r="K564" s="1020"/>
      <c r="L564" s="1020"/>
      <c r="M564" s="309"/>
      <c r="N564" s="309"/>
      <c r="O564" s="309"/>
      <c r="P564" s="309"/>
      <c r="Q564" s="326"/>
      <c r="R564" s="326"/>
      <c r="S564" s="326"/>
      <c r="T564" s="309"/>
      <c r="U564" s="309"/>
      <c r="V564" s="309"/>
      <c r="W564" s="328"/>
      <c r="X564" s="309"/>
      <c r="Y564" s="309"/>
      <c r="Z564" s="309"/>
      <c r="AA564" s="309"/>
      <c r="AB564" s="309"/>
      <c r="AC564" s="309"/>
    </row>
    <row r="565" spans="1:29" ht="12.75" customHeight="1">
      <c r="A565" s="309"/>
      <c r="B565" s="309"/>
      <c r="C565" s="309"/>
      <c r="D565" s="309"/>
      <c r="E565" s="309"/>
      <c r="F565" s="309"/>
      <c r="G565" s="309"/>
      <c r="H565" s="309"/>
      <c r="I565" s="309"/>
      <c r="J565" s="309"/>
      <c r="K565" s="1020"/>
      <c r="L565" s="1020"/>
      <c r="M565" s="309"/>
      <c r="N565" s="309"/>
      <c r="O565" s="309"/>
      <c r="P565" s="309"/>
      <c r="Q565" s="326"/>
      <c r="R565" s="326"/>
      <c r="S565" s="326"/>
      <c r="T565" s="309"/>
      <c r="U565" s="309"/>
      <c r="V565" s="309"/>
      <c r="W565" s="328"/>
      <c r="X565" s="309"/>
      <c r="Y565" s="309"/>
      <c r="Z565" s="309"/>
      <c r="AA565" s="309"/>
      <c r="AB565" s="309"/>
      <c r="AC565" s="309"/>
    </row>
    <row r="566" spans="1:29" ht="12.75" customHeight="1">
      <c r="A566" s="309"/>
      <c r="B566" s="309"/>
      <c r="C566" s="309"/>
      <c r="D566" s="309"/>
      <c r="E566" s="309"/>
      <c r="F566" s="309"/>
      <c r="G566" s="309"/>
      <c r="H566" s="309"/>
      <c r="I566" s="309"/>
      <c r="J566" s="309"/>
      <c r="K566" s="1020"/>
      <c r="L566" s="1020"/>
      <c r="M566" s="309"/>
      <c r="N566" s="309"/>
      <c r="O566" s="309"/>
      <c r="P566" s="309"/>
      <c r="Q566" s="326"/>
      <c r="R566" s="326"/>
      <c r="S566" s="326"/>
      <c r="T566" s="309"/>
      <c r="U566" s="309"/>
      <c r="V566" s="309"/>
      <c r="W566" s="328"/>
      <c r="X566" s="309"/>
      <c r="Y566" s="309"/>
      <c r="Z566" s="309"/>
      <c r="AA566" s="309"/>
      <c r="AB566" s="309"/>
      <c r="AC566" s="309"/>
    </row>
    <row r="567" spans="1:29" ht="12.75" customHeight="1">
      <c r="A567" s="309"/>
      <c r="B567" s="309"/>
      <c r="C567" s="309"/>
      <c r="D567" s="309"/>
      <c r="E567" s="309"/>
      <c r="F567" s="309"/>
      <c r="G567" s="309"/>
      <c r="H567" s="309"/>
      <c r="I567" s="309"/>
      <c r="J567" s="309"/>
      <c r="K567" s="1020"/>
      <c r="L567" s="1020"/>
      <c r="M567" s="309"/>
      <c r="N567" s="309"/>
      <c r="O567" s="309"/>
      <c r="P567" s="309"/>
      <c r="Q567" s="326"/>
      <c r="R567" s="326"/>
      <c r="S567" s="326"/>
      <c r="T567" s="309"/>
      <c r="U567" s="309"/>
      <c r="V567" s="309"/>
      <c r="W567" s="328"/>
      <c r="X567" s="309"/>
      <c r="Y567" s="309"/>
      <c r="Z567" s="309"/>
      <c r="AA567" s="309"/>
      <c r="AB567" s="309"/>
      <c r="AC567" s="309"/>
    </row>
    <row r="568" spans="1:29" ht="12.75" customHeight="1">
      <c r="A568" s="309"/>
      <c r="B568" s="309"/>
      <c r="C568" s="309"/>
      <c r="D568" s="309"/>
      <c r="E568" s="309"/>
      <c r="F568" s="309"/>
      <c r="G568" s="309"/>
      <c r="H568" s="309"/>
      <c r="I568" s="309"/>
      <c r="J568" s="309"/>
      <c r="K568" s="1020"/>
      <c r="L568" s="1020"/>
      <c r="M568" s="309"/>
      <c r="N568" s="309"/>
      <c r="O568" s="309"/>
      <c r="P568" s="309"/>
      <c r="Q568" s="326"/>
      <c r="R568" s="326"/>
      <c r="S568" s="326"/>
      <c r="T568" s="309"/>
      <c r="U568" s="309"/>
      <c r="V568" s="309"/>
      <c r="W568" s="328"/>
      <c r="X568" s="309"/>
      <c r="Y568" s="309"/>
      <c r="Z568" s="309"/>
      <c r="AA568" s="309"/>
      <c r="AB568" s="309"/>
      <c r="AC568" s="309"/>
    </row>
    <row r="569" spans="1:29" ht="12.75" customHeight="1">
      <c r="A569" s="309"/>
      <c r="B569" s="309"/>
      <c r="C569" s="309"/>
      <c r="D569" s="309"/>
      <c r="E569" s="309"/>
      <c r="F569" s="309"/>
      <c r="G569" s="309"/>
      <c r="H569" s="309"/>
      <c r="I569" s="309"/>
      <c r="J569" s="309"/>
      <c r="K569" s="1020"/>
      <c r="L569" s="1020"/>
      <c r="M569" s="309"/>
      <c r="N569" s="309"/>
      <c r="O569" s="309"/>
      <c r="P569" s="309"/>
      <c r="Q569" s="326"/>
      <c r="R569" s="326"/>
      <c r="S569" s="326"/>
      <c r="T569" s="309"/>
      <c r="U569" s="309"/>
      <c r="V569" s="309"/>
      <c r="W569" s="328"/>
      <c r="X569" s="309"/>
      <c r="Y569" s="309"/>
      <c r="Z569" s="309"/>
      <c r="AA569" s="309"/>
      <c r="AB569" s="309"/>
      <c r="AC569" s="309"/>
    </row>
    <row r="570" spans="1:29" ht="12.75" customHeight="1">
      <c r="A570" s="309"/>
      <c r="B570" s="309"/>
      <c r="C570" s="309"/>
      <c r="D570" s="309"/>
      <c r="E570" s="309"/>
      <c r="F570" s="309"/>
      <c r="G570" s="309"/>
      <c r="H570" s="309"/>
      <c r="I570" s="309"/>
      <c r="J570" s="309"/>
      <c r="K570" s="1020"/>
      <c r="L570" s="1020"/>
      <c r="M570" s="309"/>
      <c r="N570" s="309"/>
      <c r="O570" s="309"/>
      <c r="P570" s="309"/>
      <c r="Q570" s="326"/>
      <c r="R570" s="326"/>
      <c r="S570" s="326"/>
      <c r="T570" s="309"/>
      <c r="U570" s="309"/>
      <c r="V570" s="309"/>
      <c r="W570" s="328"/>
      <c r="X570" s="309"/>
      <c r="Y570" s="309"/>
      <c r="Z570" s="309"/>
      <c r="AA570" s="309"/>
      <c r="AB570" s="309"/>
      <c r="AC570" s="309"/>
    </row>
    <row r="571" spans="1:29" ht="12.75" customHeight="1">
      <c r="A571" s="309"/>
      <c r="B571" s="309"/>
      <c r="C571" s="309"/>
      <c r="D571" s="309"/>
      <c r="E571" s="309"/>
      <c r="F571" s="309"/>
      <c r="G571" s="309"/>
      <c r="H571" s="309"/>
      <c r="I571" s="309"/>
      <c r="J571" s="309"/>
      <c r="K571" s="1020"/>
      <c r="L571" s="1020"/>
      <c r="M571" s="309"/>
      <c r="N571" s="309"/>
      <c r="O571" s="309"/>
      <c r="P571" s="309"/>
      <c r="Q571" s="326"/>
      <c r="R571" s="326"/>
      <c r="S571" s="326"/>
      <c r="T571" s="309"/>
      <c r="U571" s="309"/>
      <c r="V571" s="309"/>
      <c r="W571" s="328"/>
      <c r="X571" s="309"/>
      <c r="Y571" s="309"/>
      <c r="Z571" s="309"/>
      <c r="AA571" s="309"/>
      <c r="AB571" s="309"/>
      <c r="AC571" s="309"/>
    </row>
    <row r="572" spans="1:29" ht="12.75" customHeight="1">
      <c r="A572" s="309"/>
      <c r="B572" s="309"/>
      <c r="C572" s="309"/>
      <c r="D572" s="309"/>
      <c r="E572" s="309"/>
      <c r="F572" s="309"/>
      <c r="G572" s="309"/>
      <c r="H572" s="309"/>
      <c r="I572" s="309"/>
      <c r="J572" s="309"/>
      <c r="K572" s="1020"/>
      <c r="L572" s="1020"/>
      <c r="M572" s="309"/>
      <c r="N572" s="309"/>
      <c r="O572" s="309"/>
      <c r="P572" s="309"/>
      <c r="Q572" s="326"/>
      <c r="R572" s="326"/>
      <c r="S572" s="326"/>
      <c r="T572" s="309"/>
      <c r="U572" s="309"/>
      <c r="V572" s="309"/>
      <c r="W572" s="328"/>
      <c r="X572" s="309"/>
      <c r="Y572" s="309"/>
      <c r="Z572" s="309"/>
      <c r="AA572" s="309"/>
      <c r="AB572" s="309"/>
      <c r="AC572" s="309"/>
    </row>
    <row r="573" spans="1:29" ht="12.75" customHeight="1">
      <c r="A573" s="309"/>
      <c r="B573" s="309"/>
      <c r="C573" s="309"/>
      <c r="D573" s="309"/>
      <c r="E573" s="309"/>
      <c r="F573" s="309"/>
      <c r="G573" s="309"/>
      <c r="H573" s="309"/>
      <c r="I573" s="309"/>
      <c r="J573" s="309"/>
      <c r="K573" s="1020"/>
      <c r="L573" s="1020"/>
      <c r="M573" s="309"/>
      <c r="N573" s="309"/>
      <c r="O573" s="309"/>
      <c r="P573" s="309"/>
      <c r="Q573" s="326"/>
      <c r="R573" s="326"/>
      <c r="S573" s="326"/>
      <c r="T573" s="309"/>
      <c r="U573" s="309"/>
      <c r="V573" s="309"/>
      <c r="W573" s="328"/>
      <c r="X573" s="309"/>
      <c r="Y573" s="309"/>
      <c r="Z573" s="309"/>
      <c r="AA573" s="309"/>
      <c r="AB573" s="309"/>
      <c r="AC573" s="309"/>
    </row>
    <row r="574" spans="1:29" ht="12.75" customHeight="1">
      <c r="A574" s="309"/>
      <c r="B574" s="309"/>
      <c r="C574" s="309"/>
      <c r="D574" s="309"/>
      <c r="E574" s="309"/>
      <c r="F574" s="309"/>
      <c r="G574" s="309"/>
      <c r="H574" s="309"/>
      <c r="I574" s="309"/>
      <c r="J574" s="309"/>
      <c r="K574" s="1020"/>
      <c r="L574" s="1020"/>
      <c r="M574" s="309"/>
      <c r="N574" s="309"/>
      <c r="O574" s="309"/>
      <c r="P574" s="309"/>
      <c r="Q574" s="326"/>
      <c r="R574" s="326"/>
      <c r="S574" s="326"/>
      <c r="T574" s="309"/>
      <c r="U574" s="309"/>
      <c r="V574" s="309"/>
      <c r="W574" s="328"/>
      <c r="X574" s="309"/>
      <c r="Y574" s="309"/>
      <c r="Z574" s="309"/>
      <c r="AA574" s="309"/>
      <c r="AB574" s="309"/>
      <c r="AC574" s="309"/>
    </row>
    <row r="575" spans="1:29" ht="12.75" customHeight="1">
      <c r="A575" s="309"/>
      <c r="B575" s="309"/>
      <c r="C575" s="309"/>
      <c r="D575" s="309"/>
      <c r="E575" s="309"/>
      <c r="F575" s="309"/>
      <c r="G575" s="309"/>
      <c r="H575" s="309"/>
      <c r="I575" s="309"/>
      <c r="J575" s="309"/>
      <c r="K575" s="1020"/>
      <c r="L575" s="1020"/>
      <c r="M575" s="309"/>
      <c r="N575" s="309"/>
      <c r="O575" s="309"/>
      <c r="P575" s="309"/>
      <c r="Q575" s="326"/>
      <c r="R575" s="326"/>
      <c r="S575" s="326"/>
      <c r="T575" s="309"/>
      <c r="U575" s="309"/>
      <c r="V575" s="309"/>
      <c r="W575" s="328"/>
      <c r="X575" s="309"/>
      <c r="Y575" s="309"/>
      <c r="Z575" s="309"/>
      <c r="AA575" s="309"/>
      <c r="AB575" s="309"/>
      <c r="AC575" s="309"/>
    </row>
    <row r="576" spans="1:29" ht="12.75" customHeight="1">
      <c r="A576" s="309"/>
      <c r="B576" s="309"/>
      <c r="C576" s="309"/>
      <c r="D576" s="309"/>
      <c r="E576" s="309"/>
      <c r="F576" s="309"/>
      <c r="G576" s="309"/>
      <c r="H576" s="309"/>
      <c r="I576" s="309"/>
      <c r="J576" s="309"/>
      <c r="K576" s="1020"/>
      <c r="L576" s="1020"/>
      <c r="M576" s="309"/>
      <c r="N576" s="309"/>
      <c r="O576" s="309"/>
      <c r="P576" s="309"/>
      <c r="Q576" s="326"/>
      <c r="R576" s="326"/>
      <c r="S576" s="326"/>
      <c r="T576" s="309"/>
      <c r="U576" s="309"/>
      <c r="V576" s="309"/>
      <c r="W576" s="328"/>
      <c r="X576" s="309"/>
      <c r="Y576" s="309"/>
      <c r="Z576" s="309"/>
      <c r="AA576" s="309"/>
      <c r="AB576" s="309"/>
      <c r="AC576" s="309"/>
    </row>
    <row r="577" spans="1:29" ht="12.75" customHeight="1">
      <c r="A577" s="309"/>
      <c r="B577" s="309"/>
      <c r="C577" s="309"/>
      <c r="D577" s="309"/>
      <c r="E577" s="309"/>
      <c r="F577" s="309"/>
      <c r="G577" s="309"/>
      <c r="H577" s="309"/>
      <c r="I577" s="309"/>
      <c r="J577" s="309"/>
      <c r="K577" s="1020"/>
      <c r="L577" s="1020"/>
      <c r="M577" s="309"/>
      <c r="N577" s="309"/>
      <c r="O577" s="309"/>
      <c r="P577" s="309"/>
      <c r="Q577" s="326"/>
      <c r="R577" s="326"/>
      <c r="S577" s="326"/>
      <c r="T577" s="309"/>
      <c r="U577" s="309"/>
      <c r="V577" s="309"/>
      <c r="W577" s="328"/>
      <c r="X577" s="309"/>
      <c r="Y577" s="309"/>
      <c r="Z577" s="309"/>
      <c r="AA577" s="309"/>
      <c r="AB577" s="309"/>
      <c r="AC577" s="309"/>
    </row>
    <row r="578" spans="1:29" ht="12.75" customHeight="1">
      <c r="A578" s="309"/>
      <c r="B578" s="309"/>
      <c r="C578" s="309"/>
      <c r="D578" s="309"/>
      <c r="E578" s="309"/>
      <c r="F578" s="309"/>
      <c r="G578" s="309"/>
      <c r="H578" s="309"/>
      <c r="I578" s="309"/>
      <c r="J578" s="309"/>
      <c r="K578" s="1020"/>
      <c r="L578" s="1020"/>
      <c r="M578" s="309"/>
      <c r="N578" s="309"/>
      <c r="O578" s="309"/>
      <c r="P578" s="309"/>
      <c r="Q578" s="326"/>
      <c r="R578" s="326"/>
      <c r="S578" s="326"/>
      <c r="T578" s="309"/>
      <c r="U578" s="309"/>
      <c r="V578" s="309"/>
      <c r="W578" s="328"/>
      <c r="X578" s="309"/>
      <c r="Y578" s="309"/>
      <c r="Z578" s="309"/>
      <c r="AA578" s="309"/>
      <c r="AB578" s="309"/>
      <c r="AC578" s="309"/>
    </row>
    <row r="579" spans="1:29" ht="12.75" customHeight="1">
      <c r="A579" s="309"/>
      <c r="B579" s="309"/>
      <c r="C579" s="309"/>
      <c r="D579" s="309"/>
      <c r="E579" s="309"/>
      <c r="F579" s="309"/>
      <c r="G579" s="309"/>
      <c r="H579" s="309"/>
      <c r="I579" s="309"/>
      <c r="J579" s="309"/>
      <c r="K579" s="1020"/>
      <c r="L579" s="1020"/>
      <c r="M579" s="309"/>
      <c r="N579" s="309"/>
      <c r="O579" s="309"/>
      <c r="P579" s="309"/>
      <c r="Q579" s="326"/>
      <c r="R579" s="326"/>
      <c r="S579" s="326"/>
      <c r="T579" s="309"/>
      <c r="U579" s="309"/>
      <c r="V579" s="309"/>
      <c r="W579" s="328"/>
      <c r="X579" s="309"/>
      <c r="Y579" s="309"/>
      <c r="Z579" s="309"/>
      <c r="AA579" s="309"/>
      <c r="AB579" s="309"/>
      <c r="AC579" s="309"/>
    </row>
    <row r="580" spans="1:29" ht="12.75" customHeight="1">
      <c r="A580" s="309"/>
      <c r="B580" s="309"/>
      <c r="C580" s="309"/>
      <c r="D580" s="309"/>
      <c r="E580" s="309"/>
      <c r="F580" s="309"/>
      <c r="G580" s="309"/>
      <c r="H580" s="309"/>
      <c r="I580" s="309"/>
      <c r="J580" s="309"/>
      <c r="K580" s="1020"/>
      <c r="L580" s="1020"/>
      <c r="M580" s="309"/>
      <c r="N580" s="309"/>
      <c r="O580" s="309"/>
      <c r="P580" s="309"/>
      <c r="Q580" s="326"/>
      <c r="R580" s="326"/>
      <c r="S580" s="326"/>
      <c r="T580" s="309"/>
      <c r="U580" s="309"/>
      <c r="V580" s="309"/>
      <c r="W580" s="328"/>
      <c r="X580" s="309"/>
      <c r="Y580" s="309"/>
      <c r="Z580" s="309"/>
      <c r="AA580" s="309"/>
      <c r="AB580" s="309"/>
      <c r="AC580" s="309"/>
    </row>
    <row r="581" spans="1:29" ht="12.75" customHeight="1">
      <c r="A581" s="309"/>
      <c r="B581" s="309"/>
      <c r="C581" s="309"/>
      <c r="D581" s="309"/>
      <c r="E581" s="309"/>
      <c r="F581" s="309"/>
      <c r="G581" s="309"/>
      <c r="H581" s="309"/>
      <c r="I581" s="309"/>
      <c r="J581" s="309"/>
      <c r="K581" s="1020"/>
      <c r="L581" s="1020"/>
      <c r="M581" s="309"/>
      <c r="N581" s="309"/>
      <c r="O581" s="309"/>
      <c r="P581" s="309"/>
      <c r="Q581" s="326"/>
      <c r="R581" s="326"/>
      <c r="S581" s="326"/>
      <c r="T581" s="309"/>
      <c r="U581" s="309"/>
      <c r="V581" s="309"/>
      <c r="W581" s="328"/>
      <c r="X581" s="309"/>
      <c r="Y581" s="309"/>
      <c r="Z581" s="309"/>
      <c r="AA581" s="309"/>
      <c r="AB581" s="309"/>
      <c r="AC581" s="309"/>
    </row>
    <row r="582" spans="1:29" ht="12.75" customHeight="1">
      <c r="A582" s="309"/>
      <c r="B582" s="309"/>
      <c r="C582" s="309"/>
      <c r="D582" s="309"/>
      <c r="E582" s="309"/>
      <c r="F582" s="309"/>
      <c r="G582" s="309"/>
      <c r="H582" s="309"/>
      <c r="I582" s="309"/>
      <c r="J582" s="309"/>
      <c r="K582" s="1020"/>
      <c r="L582" s="1020"/>
      <c r="M582" s="309"/>
      <c r="N582" s="309"/>
      <c r="O582" s="309"/>
      <c r="P582" s="309"/>
      <c r="Q582" s="326"/>
      <c r="R582" s="326"/>
      <c r="S582" s="326"/>
      <c r="T582" s="309"/>
      <c r="U582" s="309"/>
      <c r="V582" s="309"/>
      <c r="W582" s="328"/>
      <c r="X582" s="309"/>
      <c r="Y582" s="309"/>
      <c r="Z582" s="309"/>
      <c r="AA582" s="309"/>
      <c r="AB582" s="309"/>
      <c r="AC582" s="309"/>
    </row>
    <row r="583" spans="1:29" ht="12.75" customHeight="1">
      <c r="A583" s="309"/>
      <c r="B583" s="309"/>
      <c r="C583" s="309"/>
      <c r="D583" s="309"/>
      <c r="E583" s="309"/>
      <c r="F583" s="309"/>
      <c r="G583" s="309"/>
      <c r="H583" s="309"/>
      <c r="I583" s="309"/>
      <c r="J583" s="309"/>
      <c r="K583" s="1020"/>
      <c r="L583" s="1020"/>
      <c r="M583" s="309"/>
      <c r="N583" s="309"/>
      <c r="O583" s="309"/>
      <c r="P583" s="309"/>
      <c r="Q583" s="326"/>
      <c r="R583" s="326"/>
      <c r="S583" s="326"/>
      <c r="T583" s="309"/>
      <c r="U583" s="309"/>
      <c r="V583" s="309"/>
      <c r="W583" s="328"/>
      <c r="X583" s="309"/>
      <c r="Y583" s="309"/>
      <c r="Z583" s="309"/>
      <c r="AA583" s="309"/>
      <c r="AB583" s="309"/>
      <c r="AC583" s="309"/>
    </row>
    <row r="584" spans="1:29" ht="12.75" customHeight="1">
      <c r="A584" s="309"/>
      <c r="B584" s="309"/>
      <c r="C584" s="309"/>
      <c r="D584" s="309"/>
      <c r="E584" s="309"/>
      <c r="F584" s="309"/>
      <c r="G584" s="309"/>
      <c r="H584" s="309"/>
      <c r="I584" s="309"/>
      <c r="J584" s="309"/>
      <c r="K584" s="1020"/>
      <c r="L584" s="1020"/>
      <c r="M584" s="309"/>
      <c r="N584" s="309"/>
      <c r="O584" s="309"/>
      <c r="P584" s="309"/>
      <c r="Q584" s="326"/>
      <c r="R584" s="326"/>
      <c r="S584" s="326"/>
      <c r="T584" s="309"/>
      <c r="U584" s="309"/>
      <c r="V584" s="309"/>
      <c r="W584" s="328"/>
      <c r="X584" s="309"/>
      <c r="Y584" s="309"/>
      <c r="Z584" s="309"/>
      <c r="AA584" s="309"/>
      <c r="AB584" s="309"/>
      <c r="AC584" s="309"/>
    </row>
    <row r="585" spans="1:29" ht="12.75" customHeight="1">
      <c r="A585" s="309"/>
      <c r="B585" s="309"/>
      <c r="C585" s="309"/>
      <c r="D585" s="309"/>
      <c r="E585" s="309"/>
      <c r="F585" s="309"/>
      <c r="G585" s="309"/>
      <c r="H585" s="309"/>
      <c r="I585" s="309"/>
      <c r="J585" s="309"/>
      <c r="K585" s="1020"/>
      <c r="L585" s="1020"/>
      <c r="M585" s="309"/>
      <c r="N585" s="309"/>
      <c r="O585" s="309"/>
      <c r="P585" s="309"/>
      <c r="Q585" s="326"/>
      <c r="R585" s="326"/>
      <c r="S585" s="326"/>
      <c r="T585" s="309"/>
      <c r="U585" s="309"/>
      <c r="V585" s="309"/>
      <c r="W585" s="328"/>
      <c r="X585" s="309"/>
      <c r="Y585" s="309"/>
      <c r="Z585" s="309"/>
      <c r="AA585" s="309"/>
      <c r="AB585" s="309"/>
      <c r="AC585" s="309"/>
    </row>
    <row r="586" spans="1:29" ht="12.75" customHeight="1">
      <c r="A586" s="309"/>
      <c r="B586" s="309"/>
      <c r="C586" s="309"/>
      <c r="D586" s="309"/>
      <c r="E586" s="309"/>
      <c r="F586" s="309"/>
      <c r="G586" s="309"/>
      <c r="H586" s="309"/>
      <c r="I586" s="309"/>
      <c r="J586" s="309"/>
      <c r="K586" s="1020"/>
      <c r="L586" s="1020"/>
      <c r="M586" s="309"/>
      <c r="N586" s="309"/>
      <c r="O586" s="309"/>
      <c r="P586" s="309"/>
      <c r="Q586" s="326"/>
      <c r="R586" s="326"/>
      <c r="S586" s="326"/>
      <c r="T586" s="309"/>
      <c r="U586" s="309"/>
      <c r="V586" s="309"/>
      <c r="W586" s="328"/>
      <c r="X586" s="309"/>
      <c r="Y586" s="309"/>
      <c r="Z586" s="309"/>
      <c r="AA586" s="309"/>
      <c r="AB586" s="309"/>
      <c r="AC586" s="309"/>
    </row>
    <row r="587" spans="1:29" ht="12.75" customHeight="1">
      <c r="A587" s="309"/>
      <c r="B587" s="309"/>
      <c r="C587" s="309"/>
      <c r="D587" s="309"/>
      <c r="E587" s="309"/>
      <c r="F587" s="309"/>
      <c r="G587" s="309"/>
      <c r="H587" s="309"/>
      <c r="I587" s="309"/>
      <c r="J587" s="309"/>
      <c r="K587" s="1020"/>
      <c r="L587" s="1020"/>
      <c r="M587" s="309"/>
      <c r="N587" s="309"/>
      <c r="O587" s="309"/>
      <c r="P587" s="309"/>
      <c r="Q587" s="326"/>
      <c r="R587" s="326"/>
      <c r="S587" s="326"/>
      <c r="T587" s="309"/>
      <c r="U587" s="309"/>
      <c r="V587" s="309"/>
      <c r="W587" s="328"/>
      <c r="X587" s="309"/>
      <c r="Y587" s="309"/>
      <c r="Z587" s="309"/>
      <c r="AA587" s="309"/>
      <c r="AB587" s="309"/>
      <c r="AC587" s="309"/>
    </row>
    <row r="588" spans="1:29" ht="12.75" customHeight="1">
      <c r="A588" s="309"/>
      <c r="B588" s="309"/>
      <c r="C588" s="309"/>
      <c r="D588" s="309"/>
      <c r="E588" s="309"/>
      <c r="F588" s="309"/>
      <c r="G588" s="309"/>
      <c r="H588" s="309"/>
      <c r="I588" s="309"/>
      <c r="J588" s="309"/>
      <c r="K588" s="1020"/>
      <c r="L588" s="1020"/>
      <c r="M588" s="309"/>
      <c r="N588" s="309"/>
      <c r="O588" s="309"/>
      <c r="P588" s="309"/>
      <c r="Q588" s="326"/>
      <c r="R588" s="326"/>
      <c r="S588" s="326"/>
      <c r="T588" s="309"/>
      <c r="U588" s="309"/>
      <c r="V588" s="309"/>
      <c r="W588" s="328"/>
      <c r="X588" s="309"/>
      <c r="Y588" s="309"/>
      <c r="Z588" s="309"/>
      <c r="AA588" s="309"/>
      <c r="AB588" s="309"/>
      <c r="AC588" s="309"/>
    </row>
    <row r="589" spans="1:29" ht="12.75" customHeight="1">
      <c r="A589" s="309"/>
      <c r="B589" s="309"/>
      <c r="C589" s="309"/>
      <c r="D589" s="309"/>
      <c r="E589" s="309"/>
      <c r="F589" s="309"/>
      <c r="G589" s="309"/>
      <c r="H589" s="309"/>
      <c r="I589" s="309"/>
      <c r="J589" s="309"/>
      <c r="K589" s="1020"/>
      <c r="L589" s="1020"/>
      <c r="M589" s="309"/>
      <c r="N589" s="309"/>
      <c r="O589" s="309"/>
      <c r="P589" s="309"/>
      <c r="Q589" s="326"/>
      <c r="R589" s="326"/>
      <c r="S589" s="326"/>
      <c r="T589" s="309"/>
      <c r="U589" s="309"/>
      <c r="V589" s="309"/>
      <c r="W589" s="328"/>
      <c r="X589" s="309"/>
      <c r="Y589" s="309"/>
      <c r="Z589" s="309"/>
      <c r="AA589" s="309"/>
      <c r="AB589" s="309"/>
      <c r="AC589" s="309"/>
    </row>
    <row r="590" spans="1:29" ht="12.75" customHeight="1">
      <c r="A590" s="309"/>
      <c r="B590" s="309"/>
      <c r="C590" s="309"/>
      <c r="D590" s="309"/>
      <c r="E590" s="309"/>
      <c r="F590" s="309"/>
      <c r="G590" s="309"/>
      <c r="H590" s="309"/>
      <c r="I590" s="309"/>
      <c r="J590" s="309"/>
      <c r="K590" s="1020"/>
      <c r="L590" s="1020"/>
      <c r="M590" s="309"/>
      <c r="N590" s="309"/>
      <c r="O590" s="309"/>
      <c r="P590" s="309"/>
      <c r="Q590" s="326"/>
      <c r="R590" s="326"/>
      <c r="S590" s="326"/>
      <c r="T590" s="309"/>
      <c r="U590" s="309"/>
      <c r="V590" s="309"/>
      <c r="W590" s="328"/>
      <c r="X590" s="309"/>
      <c r="Y590" s="309"/>
      <c r="Z590" s="309"/>
      <c r="AA590" s="309"/>
      <c r="AB590" s="309"/>
      <c r="AC590" s="309"/>
    </row>
    <row r="591" spans="1:29" ht="12.75" customHeight="1">
      <c r="A591" s="309"/>
      <c r="B591" s="309"/>
      <c r="C591" s="309"/>
      <c r="D591" s="309"/>
      <c r="E591" s="309"/>
      <c r="F591" s="309"/>
      <c r="G591" s="309"/>
      <c r="H591" s="309"/>
      <c r="I591" s="309"/>
      <c r="J591" s="309"/>
      <c r="K591" s="1020"/>
      <c r="L591" s="1020"/>
      <c r="M591" s="309"/>
      <c r="N591" s="309"/>
      <c r="O591" s="309"/>
      <c r="P591" s="309"/>
      <c r="Q591" s="326"/>
      <c r="R591" s="326"/>
      <c r="S591" s="326"/>
      <c r="T591" s="309"/>
      <c r="U591" s="309"/>
      <c r="V591" s="309"/>
      <c r="W591" s="328"/>
      <c r="X591" s="309"/>
      <c r="Y591" s="309"/>
      <c r="Z591" s="309"/>
      <c r="AA591" s="309"/>
      <c r="AB591" s="309"/>
      <c r="AC591" s="309"/>
    </row>
    <row r="592" spans="1:29" ht="12.75" customHeight="1">
      <c r="A592" s="309"/>
      <c r="B592" s="309"/>
      <c r="C592" s="309"/>
      <c r="D592" s="309"/>
      <c r="E592" s="309"/>
      <c r="F592" s="309"/>
      <c r="G592" s="309"/>
      <c r="H592" s="309"/>
      <c r="I592" s="309"/>
      <c r="J592" s="309"/>
      <c r="K592" s="1020"/>
      <c r="L592" s="1020"/>
      <c r="M592" s="309"/>
      <c r="N592" s="309"/>
      <c r="O592" s="309"/>
      <c r="P592" s="309"/>
      <c r="Q592" s="326"/>
      <c r="R592" s="326"/>
      <c r="S592" s="326"/>
      <c r="T592" s="309"/>
      <c r="U592" s="309"/>
      <c r="V592" s="309"/>
      <c r="W592" s="328"/>
      <c r="X592" s="309"/>
      <c r="Y592" s="309"/>
      <c r="Z592" s="309"/>
      <c r="AA592" s="309"/>
      <c r="AB592" s="309"/>
      <c r="AC592" s="309"/>
    </row>
    <row r="593" spans="1:29" ht="12.75" customHeight="1">
      <c r="A593" s="309"/>
      <c r="B593" s="309"/>
      <c r="C593" s="309"/>
      <c r="D593" s="309"/>
      <c r="E593" s="309"/>
      <c r="F593" s="309"/>
      <c r="G593" s="309"/>
      <c r="H593" s="309"/>
      <c r="I593" s="309"/>
      <c r="J593" s="309"/>
      <c r="K593" s="1020"/>
      <c r="L593" s="1020"/>
      <c r="M593" s="309"/>
      <c r="N593" s="309"/>
      <c r="O593" s="309"/>
      <c r="P593" s="309"/>
      <c r="Q593" s="326"/>
      <c r="R593" s="326"/>
      <c r="S593" s="326"/>
      <c r="T593" s="309"/>
      <c r="U593" s="309"/>
      <c r="V593" s="309"/>
      <c r="W593" s="328"/>
      <c r="X593" s="309"/>
      <c r="Y593" s="309"/>
      <c r="Z593" s="309"/>
      <c r="AA593" s="309"/>
      <c r="AB593" s="309"/>
      <c r="AC593" s="309"/>
    </row>
    <row r="594" spans="1:29" ht="12.75" customHeight="1">
      <c r="A594" s="309"/>
      <c r="B594" s="309"/>
      <c r="C594" s="309"/>
      <c r="D594" s="309"/>
      <c r="E594" s="309"/>
      <c r="F594" s="309"/>
      <c r="G594" s="309"/>
      <c r="H594" s="309"/>
      <c r="I594" s="309"/>
      <c r="J594" s="309"/>
      <c r="K594" s="1020"/>
      <c r="L594" s="1020"/>
      <c r="M594" s="309"/>
      <c r="N594" s="309"/>
      <c r="O594" s="309"/>
      <c r="P594" s="309"/>
      <c r="Q594" s="326"/>
      <c r="R594" s="326"/>
      <c r="S594" s="326"/>
      <c r="T594" s="309"/>
      <c r="U594" s="309"/>
      <c r="V594" s="309"/>
      <c r="W594" s="328"/>
      <c r="X594" s="309"/>
      <c r="Y594" s="309"/>
      <c r="Z594" s="309"/>
      <c r="AA594" s="309"/>
      <c r="AB594" s="309"/>
      <c r="AC594" s="309"/>
    </row>
    <row r="595" spans="1:29" ht="12.75" customHeight="1">
      <c r="A595" s="309"/>
      <c r="B595" s="309"/>
      <c r="C595" s="309"/>
      <c r="D595" s="309"/>
      <c r="E595" s="309"/>
      <c r="F595" s="309"/>
      <c r="G595" s="309"/>
      <c r="H595" s="309"/>
      <c r="I595" s="309"/>
      <c r="J595" s="309"/>
      <c r="K595" s="1020"/>
      <c r="L595" s="1020"/>
      <c r="M595" s="309"/>
      <c r="N595" s="309"/>
      <c r="O595" s="309"/>
      <c r="P595" s="309"/>
      <c r="Q595" s="326"/>
      <c r="R595" s="326"/>
      <c r="S595" s="326"/>
      <c r="T595" s="309"/>
      <c r="U595" s="309"/>
      <c r="V595" s="309"/>
      <c r="W595" s="328"/>
      <c r="X595" s="309"/>
      <c r="Y595" s="309"/>
      <c r="Z595" s="309"/>
      <c r="AA595" s="309"/>
      <c r="AB595" s="309"/>
      <c r="AC595" s="309"/>
    </row>
    <row r="596" spans="1:29" ht="12.75" customHeight="1">
      <c r="A596" s="309"/>
      <c r="B596" s="309"/>
      <c r="C596" s="309"/>
      <c r="D596" s="309"/>
      <c r="E596" s="309"/>
      <c r="F596" s="309"/>
      <c r="G596" s="309"/>
      <c r="H596" s="309"/>
      <c r="I596" s="309"/>
      <c r="J596" s="309"/>
      <c r="K596" s="1020"/>
      <c r="L596" s="1020"/>
      <c r="M596" s="309"/>
      <c r="N596" s="309"/>
      <c r="O596" s="309"/>
      <c r="P596" s="309"/>
      <c r="Q596" s="326"/>
      <c r="R596" s="326"/>
      <c r="S596" s="326"/>
      <c r="T596" s="309"/>
      <c r="U596" s="309"/>
      <c r="V596" s="309"/>
      <c r="W596" s="328"/>
      <c r="X596" s="309"/>
      <c r="Y596" s="309"/>
      <c r="Z596" s="309"/>
      <c r="AA596" s="309"/>
      <c r="AB596" s="309"/>
      <c r="AC596" s="309"/>
    </row>
    <row r="597" spans="1:29" ht="12.75" customHeight="1">
      <c r="A597" s="309"/>
      <c r="B597" s="309"/>
      <c r="C597" s="309"/>
      <c r="D597" s="309"/>
      <c r="E597" s="309"/>
      <c r="F597" s="309"/>
      <c r="G597" s="309"/>
      <c r="H597" s="309"/>
      <c r="I597" s="309"/>
      <c r="J597" s="309"/>
      <c r="K597" s="1020"/>
      <c r="L597" s="1020"/>
      <c r="M597" s="309"/>
      <c r="N597" s="309"/>
      <c r="O597" s="309"/>
      <c r="P597" s="309"/>
      <c r="Q597" s="326"/>
      <c r="R597" s="326"/>
      <c r="S597" s="326"/>
      <c r="T597" s="309"/>
      <c r="U597" s="309"/>
      <c r="V597" s="309"/>
      <c r="W597" s="328"/>
      <c r="X597" s="309"/>
      <c r="Y597" s="309"/>
      <c r="Z597" s="309"/>
      <c r="AA597" s="309"/>
      <c r="AB597" s="309"/>
      <c r="AC597" s="309"/>
    </row>
    <row r="598" spans="1:29" ht="12.75" customHeight="1">
      <c r="A598" s="309"/>
      <c r="B598" s="309"/>
      <c r="C598" s="309"/>
      <c r="D598" s="309"/>
      <c r="E598" s="309"/>
      <c r="F598" s="309"/>
      <c r="G598" s="309"/>
      <c r="H598" s="309"/>
      <c r="I598" s="309"/>
      <c r="J598" s="309"/>
      <c r="K598" s="1020"/>
      <c r="L598" s="1020"/>
      <c r="M598" s="309"/>
      <c r="N598" s="309"/>
      <c r="O598" s="309"/>
      <c r="P598" s="309"/>
      <c r="Q598" s="326"/>
      <c r="R598" s="326"/>
      <c r="S598" s="326"/>
      <c r="T598" s="309"/>
      <c r="U598" s="309"/>
      <c r="V598" s="309"/>
      <c r="W598" s="328"/>
      <c r="X598" s="309"/>
      <c r="Y598" s="309"/>
      <c r="Z598" s="309"/>
      <c r="AA598" s="309"/>
      <c r="AB598" s="309"/>
      <c r="AC598" s="309"/>
    </row>
    <row r="599" spans="1:29" ht="12.75" customHeight="1">
      <c r="A599" s="309"/>
      <c r="B599" s="309"/>
      <c r="C599" s="309"/>
      <c r="D599" s="309"/>
      <c r="E599" s="309"/>
      <c r="F599" s="309"/>
      <c r="G599" s="309"/>
      <c r="H599" s="309"/>
      <c r="I599" s="309"/>
      <c r="J599" s="309"/>
      <c r="K599" s="1020"/>
      <c r="L599" s="1020"/>
      <c r="M599" s="309"/>
      <c r="N599" s="309"/>
      <c r="O599" s="309"/>
      <c r="P599" s="309"/>
      <c r="Q599" s="326"/>
      <c r="R599" s="326"/>
      <c r="S599" s="326"/>
      <c r="T599" s="309"/>
      <c r="U599" s="309"/>
      <c r="V599" s="309"/>
      <c r="W599" s="328"/>
      <c r="X599" s="309"/>
      <c r="Y599" s="309"/>
      <c r="Z599" s="309"/>
      <c r="AA599" s="309"/>
      <c r="AB599" s="309"/>
      <c r="AC599" s="309"/>
    </row>
    <row r="600" spans="1:29" ht="12.75" customHeight="1">
      <c r="A600" s="309"/>
      <c r="B600" s="309"/>
      <c r="C600" s="309"/>
      <c r="D600" s="309"/>
      <c r="E600" s="309"/>
      <c r="F600" s="309"/>
      <c r="G600" s="309"/>
      <c r="H600" s="309"/>
      <c r="I600" s="309"/>
      <c r="J600" s="309"/>
      <c r="K600" s="1020"/>
      <c r="L600" s="1020"/>
      <c r="M600" s="309"/>
      <c r="N600" s="309"/>
      <c r="O600" s="309"/>
      <c r="P600" s="309"/>
      <c r="Q600" s="326"/>
      <c r="R600" s="326"/>
      <c r="S600" s="326"/>
      <c r="T600" s="309"/>
      <c r="U600" s="309"/>
      <c r="V600" s="309"/>
      <c r="W600" s="328"/>
      <c r="X600" s="309"/>
      <c r="Y600" s="309"/>
      <c r="Z600" s="309"/>
      <c r="AA600" s="309"/>
      <c r="AB600" s="309"/>
      <c r="AC600" s="309"/>
    </row>
    <row r="601" spans="1:29" ht="12.75" customHeight="1">
      <c r="A601" s="309"/>
      <c r="B601" s="309"/>
      <c r="C601" s="309"/>
      <c r="D601" s="309"/>
      <c r="E601" s="309"/>
      <c r="F601" s="309"/>
      <c r="G601" s="309"/>
      <c r="H601" s="309"/>
      <c r="I601" s="309"/>
      <c r="J601" s="309"/>
      <c r="K601" s="1020"/>
      <c r="L601" s="1020"/>
      <c r="M601" s="309"/>
      <c r="N601" s="309"/>
      <c r="O601" s="309"/>
      <c r="P601" s="309"/>
      <c r="Q601" s="326"/>
      <c r="R601" s="326"/>
      <c r="S601" s="326"/>
      <c r="T601" s="309"/>
      <c r="U601" s="309"/>
      <c r="V601" s="309"/>
      <c r="W601" s="328"/>
      <c r="X601" s="309"/>
      <c r="Y601" s="309"/>
      <c r="Z601" s="309"/>
      <c r="AA601" s="309"/>
      <c r="AB601" s="309"/>
      <c r="AC601" s="309"/>
    </row>
    <row r="602" spans="1:29" ht="12.75" customHeight="1">
      <c r="A602" s="309"/>
      <c r="B602" s="309"/>
      <c r="C602" s="309"/>
      <c r="D602" s="309"/>
      <c r="E602" s="309"/>
      <c r="F602" s="309"/>
      <c r="G602" s="309"/>
      <c r="H602" s="309"/>
      <c r="I602" s="309"/>
      <c r="J602" s="309"/>
      <c r="K602" s="1020"/>
      <c r="L602" s="1020"/>
      <c r="M602" s="309"/>
      <c r="N602" s="309"/>
      <c r="O602" s="309"/>
      <c r="P602" s="309"/>
      <c r="Q602" s="326"/>
      <c r="R602" s="326"/>
      <c r="S602" s="326"/>
      <c r="T602" s="309"/>
      <c r="U602" s="309"/>
      <c r="V602" s="309"/>
      <c r="W602" s="328"/>
      <c r="X602" s="309"/>
      <c r="Y602" s="309"/>
      <c r="Z602" s="309"/>
      <c r="AA602" s="309"/>
      <c r="AB602" s="309"/>
      <c r="AC602" s="309"/>
    </row>
    <row r="603" spans="1:29" ht="12.75" customHeight="1">
      <c r="A603" s="309"/>
      <c r="B603" s="309"/>
      <c r="C603" s="309"/>
      <c r="D603" s="309"/>
      <c r="E603" s="309"/>
      <c r="F603" s="309"/>
      <c r="G603" s="309"/>
      <c r="H603" s="309"/>
      <c r="I603" s="309"/>
      <c r="J603" s="309"/>
      <c r="K603" s="1020"/>
      <c r="L603" s="1020"/>
      <c r="M603" s="309"/>
      <c r="N603" s="309"/>
      <c r="O603" s="309"/>
      <c r="P603" s="309"/>
      <c r="Q603" s="326"/>
      <c r="R603" s="326"/>
      <c r="S603" s="326"/>
      <c r="T603" s="309"/>
      <c r="U603" s="309"/>
      <c r="V603" s="309"/>
      <c r="W603" s="328"/>
      <c r="X603" s="309"/>
      <c r="Y603" s="309"/>
      <c r="Z603" s="309"/>
      <c r="AA603" s="309"/>
      <c r="AB603" s="309"/>
      <c r="AC603" s="309"/>
    </row>
    <row r="604" spans="1:29" ht="12.75" customHeight="1">
      <c r="A604" s="309"/>
      <c r="B604" s="309"/>
      <c r="C604" s="309"/>
      <c r="D604" s="309"/>
      <c r="E604" s="309"/>
      <c r="F604" s="309"/>
      <c r="G604" s="309"/>
      <c r="H604" s="309"/>
      <c r="I604" s="309"/>
      <c r="J604" s="309"/>
      <c r="K604" s="1020"/>
      <c r="L604" s="1020"/>
      <c r="M604" s="309"/>
      <c r="N604" s="309"/>
      <c r="O604" s="309"/>
      <c r="P604" s="309"/>
      <c r="Q604" s="326"/>
      <c r="R604" s="326"/>
      <c r="S604" s="326"/>
      <c r="T604" s="309"/>
      <c r="U604" s="309"/>
      <c r="V604" s="309"/>
      <c r="W604" s="328"/>
      <c r="X604" s="309"/>
      <c r="Y604" s="309"/>
      <c r="Z604" s="309"/>
      <c r="AA604" s="309"/>
      <c r="AB604" s="309"/>
      <c r="AC604" s="309"/>
    </row>
    <row r="605" spans="1:29" ht="12.75" customHeight="1">
      <c r="A605" s="309"/>
      <c r="B605" s="309"/>
      <c r="C605" s="309"/>
      <c r="D605" s="309"/>
      <c r="E605" s="309"/>
      <c r="F605" s="309"/>
      <c r="G605" s="309"/>
      <c r="H605" s="309"/>
      <c r="I605" s="309"/>
      <c r="J605" s="309"/>
      <c r="K605" s="1020"/>
      <c r="L605" s="1020"/>
      <c r="M605" s="309"/>
      <c r="N605" s="309"/>
      <c r="O605" s="309"/>
      <c r="P605" s="309"/>
      <c r="Q605" s="326"/>
      <c r="R605" s="326"/>
      <c r="S605" s="326"/>
      <c r="T605" s="309"/>
      <c r="U605" s="309"/>
      <c r="V605" s="309"/>
      <c r="W605" s="328"/>
      <c r="X605" s="309"/>
      <c r="Y605" s="309"/>
      <c r="Z605" s="309"/>
      <c r="AA605" s="309"/>
      <c r="AB605" s="309"/>
      <c r="AC605" s="309"/>
    </row>
    <row r="606" spans="1:29" ht="12.75" customHeight="1">
      <c r="A606" s="309"/>
      <c r="B606" s="309"/>
      <c r="C606" s="309"/>
      <c r="D606" s="309"/>
      <c r="E606" s="309"/>
      <c r="F606" s="309"/>
      <c r="G606" s="309"/>
      <c r="H606" s="309"/>
      <c r="I606" s="309"/>
      <c r="J606" s="309"/>
      <c r="K606" s="1020"/>
      <c r="L606" s="1020"/>
      <c r="M606" s="309"/>
      <c r="N606" s="309"/>
      <c r="O606" s="309"/>
      <c r="P606" s="309"/>
      <c r="Q606" s="326"/>
      <c r="R606" s="326"/>
      <c r="S606" s="326"/>
      <c r="T606" s="309"/>
      <c r="U606" s="309"/>
      <c r="V606" s="309"/>
      <c r="W606" s="328"/>
      <c r="X606" s="309"/>
      <c r="Y606" s="309"/>
      <c r="Z606" s="309"/>
      <c r="AA606" s="309"/>
      <c r="AB606" s="309"/>
      <c r="AC606" s="309"/>
    </row>
    <row r="607" spans="1:29" ht="12.75" customHeight="1">
      <c r="A607" s="309"/>
      <c r="B607" s="309"/>
      <c r="C607" s="309"/>
      <c r="D607" s="309"/>
      <c r="E607" s="309"/>
      <c r="F607" s="309"/>
      <c r="G607" s="309"/>
      <c r="H607" s="309"/>
      <c r="I607" s="309"/>
      <c r="J607" s="309"/>
      <c r="K607" s="1020"/>
      <c r="L607" s="1020"/>
      <c r="M607" s="309"/>
      <c r="N607" s="309"/>
      <c r="O607" s="309"/>
      <c r="P607" s="309"/>
      <c r="Q607" s="326"/>
      <c r="R607" s="326"/>
      <c r="S607" s="326"/>
      <c r="T607" s="309"/>
      <c r="U607" s="309"/>
      <c r="V607" s="309"/>
      <c r="W607" s="328"/>
      <c r="X607" s="309"/>
      <c r="Y607" s="309"/>
      <c r="Z607" s="309"/>
      <c r="AA607" s="309"/>
      <c r="AB607" s="309"/>
      <c r="AC607" s="309"/>
    </row>
    <row r="608" spans="1:29" ht="12.75" customHeight="1">
      <c r="A608" s="309"/>
      <c r="B608" s="309"/>
      <c r="C608" s="309"/>
      <c r="D608" s="309"/>
      <c r="E608" s="309"/>
      <c r="F608" s="309"/>
      <c r="G608" s="309"/>
      <c r="H608" s="309"/>
      <c r="I608" s="309"/>
      <c r="J608" s="309"/>
      <c r="K608" s="1020"/>
      <c r="L608" s="1020"/>
      <c r="M608" s="309"/>
      <c r="N608" s="309"/>
      <c r="O608" s="309"/>
      <c r="P608" s="309"/>
      <c r="Q608" s="326"/>
      <c r="R608" s="326"/>
      <c r="S608" s="326"/>
      <c r="T608" s="309"/>
      <c r="U608" s="309"/>
      <c r="V608" s="309"/>
      <c r="W608" s="328"/>
      <c r="X608" s="309"/>
      <c r="Y608" s="309"/>
      <c r="Z608" s="309"/>
      <c r="AA608" s="309"/>
      <c r="AB608" s="309"/>
      <c r="AC608" s="309"/>
    </row>
    <row r="609" spans="1:29" ht="12.75" customHeight="1">
      <c r="A609" s="309"/>
      <c r="B609" s="309"/>
      <c r="C609" s="309"/>
      <c r="D609" s="309"/>
      <c r="E609" s="309"/>
      <c r="F609" s="309"/>
      <c r="G609" s="309"/>
      <c r="H609" s="309"/>
      <c r="I609" s="309"/>
      <c r="J609" s="309"/>
      <c r="K609" s="1020"/>
      <c r="L609" s="1020"/>
      <c r="M609" s="309"/>
      <c r="N609" s="309"/>
      <c r="O609" s="309"/>
      <c r="P609" s="309"/>
      <c r="Q609" s="326"/>
      <c r="R609" s="326"/>
      <c r="S609" s="326"/>
      <c r="T609" s="309"/>
      <c r="U609" s="309"/>
      <c r="V609" s="309"/>
      <c r="W609" s="328"/>
      <c r="X609" s="309"/>
      <c r="Y609" s="309"/>
      <c r="Z609" s="309"/>
      <c r="AA609" s="309"/>
      <c r="AB609" s="309"/>
      <c r="AC609" s="309"/>
    </row>
    <row r="610" spans="1:29" ht="12.75" customHeight="1">
      <c r="A610" s="309"/>
      <c r="B610" s="309"/>
      <c r="C610" s="309"/>
      <c r="D610" s="309"/>
      <c r="E610" s="309"/>
      <c r="F610" s="309"/>
      <c r="G610" s="309"/>
      <c r="H610" s="309"/>
      <c r="I610" s="309"/>
      <c r="J610" s="309"/>
      <c r="K610" s="1020"/>
      <c r="L610" s="1020"/>
      <c r="M610" s="309"/>
      <c r="N610" s="309"/>
      <c r="O610" s="309"/>
      <c r="P610" s="309"/>
      <c r="Q610" s="326"/>
      <c r="R610" s="326"/>
      <c r="S610" s="326"/>
      <c r="T610" s="309"/>
      <c r="U610" s="309"/>
      <c r="V610" s="309"/>
      <c r="W610" s="328"/>
      <c r="X610" s="309"/>
      <c r="Y610" s="309"/>
      <c r="Z610" s="309"/>
      <c r="AA610" s="309"/>
      <c r="AB610" s="309"/>
      <c r="AC610" s="309"/>
    </row>
    <row r="611" spans="1:29" ht="12.75" customHeight="1">
      <c r="A611" s="309"/>
      <c r="B611" s="309"/>
      <c r="C611" s="309"/>
      <c r="D611" s="309"/>
      <c r="E611" s="309"/>
      <c r="F611" s="309"/>
      <c r="G611" s="309"/>
      <c r="H611" s="309"/>
      <c r="I611" s="309"/>
      <c r="J611" s="309"/>
      <c r="K611" s="1020"/>
      <c r="L611" s="1020"/>
      <c r="M611" s="309"/>
      <c r="N611" s="309"/>
      <c r="O611" s="309"/>
      <c r="P611" s="309"/>
      <c r="Q611" s="326"/>
      <c r="R611" s="326"/>
      <c r="S611" s="326"/>
      <c r="T611" s="309"/>
      <c r="U611" s="309"/>
      <c r="V611" s="309"/>
      <c r="W611" s="328"/>
      <c r="X611" s="309"/>
      <c r="Y611" s="309"/>
      <c r="Z611" s="309"/>
      <c r="AA611" s="309"/>
      <c r="AB611" s="309"/>
      <c r="AC611" s="309"/>
    </row>
    <row r="612" spans="1:29" ht="12.75" customHeight="1">
      <c r="A612" s="309"/>
      <c r="B612" s="309"/>
      <c r="C612" s="309"/>
      <c r="D612" s="309"/>
      <c r="E612" s="309"/>
      <c r="F612" s="309"/>
      <c r="G612" s="309"/>
      <c r="H612" s="309"/>
      <c r="I612" s="309"/>
      <c r="J612" s="309"/>
      <c r="K612" s="1020"/>
      <c r="L612" s="1020"/>
      <c r="M612" s="309"/>
      <c r="N612" s="309"/>
      <c r="O612" s="309"/>
      <c r="P612" s="309"/>
      <c r="Q612" s="326"/>
      <c r="R612" s="326"/>
      <c r="S612" s="326"/>
      <c r="T612" s="309"/>
      <c r="U612" s="309"/>
      <c r="V612" s="309"/>
      <c r="W612" s="328"/>
      <c r="X612" s="309"/>
      <c r="Y612" s="309"/>
      <c r="Z612" s="309"/>
      <c r="AA612" s="309"/>
      <c r="AB612" s="309"/>
      <c r="AC612" s="309"/>
    </row>
    <row r="613" spans="1:29" ht="12.75" customHeight="1">
      <c r="A613" s="309"/>
      <c r="B613" s="309"/>
      <c r="C613" s="309"/>
      <c r="D613" s="309"/>
      <c r="E613" s="309"/>
      <c r="F613" s="309"/>
      <c r="G613" s="309"/>
      <c r="H613" s="309"/>
      <c r="I613" s="309"/>
      <c r="J613" s="309"/>
      <c r="K613" s="1020"/>
      <c r="L613" s="1020"/>
      <c r="M613" s="309"/>
      <c r="N613" s="309"/>
      <c r="O613" s="309"/>
      <c r="P613" s="309"/>
      <c r="Q613" s="326"/>
      <c r="R613" s="326"/>
      <c r="S613" s="326"/>
      <c r="T613" s="309"/>
      <c r="U613" s="309"/>
      <c r="V613" s="309"/>
      <c r="W613" s="328"/>
      <c r="X613" s="309"/>
      <c r="Y613" s="309"/>
      <c r="Z613" s="309"/>
      <c r="AA613" s="309"/>
      <c r="AB613" s="309"/>
      <c r="AC613" s="309"/>
    </row>
    <row r="614" spans="1:29" ht="12.75" customHeight="1">
      <c r="A614" s="309"/>
      <c r="B614" s="309"/>
      <c r="C614" s="309"/>
      <c r="D614" s="309"/>
      <c r="E614" s="309"/>
      <c r="F614" s="309"/>
      <c r="G614" s="309"/>
      <c r="H614" s="309"/>
      <c r="I614" s="309"/>
      <c r="J614" s="309"/>
      <c r="K614" s="1020"/>
      <c r="L614" s="1020"/>
      <c r="M614" s="309"/>
      <c r="N614" s="309"/>
      <c r="O614" s="309"/>
      <c r="P614" s="309"/>
      <c r="Q614" s="326"/>
      <c r="R614" s="326"/>
      <c r="S614" s="326"/>
      <c r="T614" s="309"/>
      <c r="U614" s="309"/>
      <c r="V614" s="309"/>
      <c r="W614" s="328"/>
      <c r="X614" s="309"/>
      <c r="Y614" s="309"/>
      <c r="Z614" s="309"/>
      <c r="AA614" s="309"/>
      <c r="AB614" s="309"/>
      <c r="AC614" s="309"/>
    </row>
    <row r="615" spans="1:29" ht="12.75" customHeight="1">
      <c r="A615" s="309"/>
      <c r="B615" s="309"/>
      <c r="C615" s="309"/>
      <c r="D615" s="309"/>
      <c r="E615" s="309"/>
      <c r="F615" s="309"/>
      <c r="G615" s="309"/>
      <c r="H615" s="309"/>
      <c r="I615" s="309"/>
      <c r="J615" s="309"/>
      <c r="K615" s="1020"/>
      <c r="L615" s="1020"/>
      <c r="M615" s="309"/>
      <c r="N615" s="309"/>
      <c r="O615" s="309"/>
      <c r="P615" s="309"/>
      <c r="Q615" s="326"/>
      <c r="R615" s="326"/>
      <c r="S615" s="326"/>
      <c r="T615" s="309"/>
      <c r="U615" s="309"/>
      <c r="V615" s="309"/>
      <c r="W615" s="328"/>
      <c r="X615" s="309"/>
      <c r="Y615" s="309"/>
      <c r="Z615" s="309"/>
      <c r="AA615" s="309"/>
      <c r="AB615" s="309"/>
      <c r="AC615" s="309"/>
    </row>
    <row r="616" spans="1:29" ht="12.75" customHeight="1">
      <c r="A616" s="309"/>
      <c r="B616" s="309"/>
      <c r="C616" s="309"/>
      <c r="D616" s="309"/>
      <c r="E616" s="309"/>
      <c r="F616" s="309"/>
      <c r="G616" s="309"/>
      <c r="H616" s="309"/>
      <c r="I616" s="309"/>
      <c r="J616" s="309"/>
      <c r="K616" s="1020"/>
      <c r="L616" s="1020"/>
      <c r="M616" s="309"/>
      <c r="N616" s="309"/>
      <c r="O616" s="309"/>
      <c r="P616" s="309"/>
      <c r="Q616" s="326"/>
      <c r="R616" s="326"/>
      <c r="S616" s="326"/>
      <c r="T616" s="309"/>
      <c r="U616" s="309"/>
      <c r="V616" s="309"/>
      <c r="W616" s="328"/>
      <c r="X616" s="309"/>
      <c r="Y616" s="309"/>
      <c r="Z616" s="309"/>
      <c r="AA616" s="309"/>
      <c r="AB616" s="309"/>
      <c r="AC616" s="309"/>
    </row>
    <row r="617" spans="1:29" ht="12.75" customHeight="1">
      <c r="A617" s="309"/>
      <c r="B617" s="309"/>
      <c r="C617" s="309"/>
      <c r="D617" s="309"/>
      <c r="E617" s="309"/>
      <c r="F617" s="309"/>
      <c r="G617" s="309"/>
      <c r="H617" s="309"/>
      <c r="I617" s="309"/>
      <c r="J617" s="309"/>
      <c r="K617" s="1020"/>
      <c r="L617" s="1020"/>
      <c r="M617" s="309"/>
      <c r="N617" s="309"/>
      <c r="O617" s="309"/>
      <c r="P617" s="309"/>
      <c r="Q617" s="326"/>
      <c r="R617" s="326"/>
      <c r="S617" s="326"/>
      <c r="T617" s="309"/>
      <c r="U617" s="309"/>
      <c r="V617" s="309"/>
      <c r="W617" s="328"/>
      <c r="X617" s="309"/>
      <c r="Y617" s="309"/>
      <c r="Z617" s="309"/>
      <c r="AA617" s="309"/>
      <c r="AB617" s="309"/>
      <c r="AC617" s="309"/>
    </row>
    <row r="618" spans="1:29" ht="12.75" customHeight="1">
      <c r="A618" s="309"/>
      <c r="B618" s="309"/>
      <c r="C618" s="309"/>
      <c r="D618" s="309"/>
      <c r="E618" s="309"/>
      <c r="F618" s="309"/>
      <c r="G618" s="309"/>
      <c r="H618" s="309"/>
      <c r="I618" s="309"/>
      <c r="J618" s="309"/>
      <c r="K618" s="1020"/>
      <c r="L618" s="1020"/>
      <c r="M618" s="309"/>
      <c r="N618" s="309"/>
      <c r="O618" s="309"/>
      <c r="P618" s="309"/>
      <c r="Q618" s="326"/>
      <c r="R618" s="326"/>
      <c r="S618" s="326"/>
      <c r="T618" s="309"/>
      <c r="U618" s="309"/>
      <c r="V618" s="309"/>
      <c r="W618" s="328"/>
      <c r="X618" s="309"/>
      <c r="Y618" s="309"/>
      <c r="Z618" s="309"/>
      <c r="AA618" s="309"/>
      <c r="AB618" s="309"/>
      <c r="AC618" s="309"/>
    </row>
    <row r="619" spans="1:29" ht="12.75" customHeight="1">
      <c r="A619" s="309"/>
      <c r="B619" s="309"/>
      <c r="C619" s="309"/>
      <c r="D619" s="309"/>
      <c r="E619" s="309"/>
      <c r="F619" s="309"/>
      <c r="G619" s="309"/>
      <c r="H619" s="309"/>
      <c r="I619" s="309"/>
      <c r="J619" s="309"/>
      <c r="K619" s="1020"/>
      <c r="L619" s="1020"/>
      <c r="M619" s="309"/>
      <c r="N619" s="309"/>
      <c r="O619" s="309"/>
      <c r="P619" s="309"/>
      <c r="Q619" s="326"/>
      <c r="R619" s="326"/>
      <c r="S619" s="326"/>
      <c r="T619" s="309"/>
      <c r="U619" s="309"/>
      <c r="V619" s="309"/>
      <c r="W619" s="328"/>
      <c r="X619" s="309"/>
      <c r="Y619" s="309"/>
      <c r="Z619" s="309"/>
      <c r="AA619" s="309"/>
      <c r="AB619" s="309"/>
      <c r="AC619" s="309"/>
    </row>
    <row r="620" spans="1:29" ht="12.75" customHeight="1">
      <c r="A620" s="309"/>
      <c r="B620" s="309"/>
      <c r="C620" s="309"/>
      <c r="D620" s="309"/>
      <c r="E620" s="309"/>
      <c r="F620" s="309"/>
      <c r="G620" s="309"/>
      <c r="H620" s="309"/>
      <c r="I620" s="309"/>
      <c r="J620" s="309"/>
      <c r="K620" s="1020"/>
      <c r="L620" s="1020"/>
      <c r="M620" s="309"/>
      <c r="N620" s="309"/>
      <c r="O620" s="309"/>
      <c r="P620" s="309"/>
      <c r="Q620" s="326"/>
      <c r="R620" s="326"/>
      <c r="S620" s="326"/>
      <c r="T620" s="309"/>
      <c r="U620" s="309"/>
      <c r="V620" s="309"/>
      <c r="W620" s="328"/>
      <c r="X620" s="309"/>
      <c r="Y620" s="309"/>
      <c r="Z620" s="309"/>
      <c r="AA620" s="309"/>
      <c r="AB620" s="309"/>
      <c r="AC620" s="309"/>
    </row>
    <row r="621" spans="1:29" ht="12.75" customHeight="1">
      <c r="A621" s="309"/>
      <c r="B621" s="309"/>
      <c r="C621" s="309"/>
      <c r="D621" s="309"/>
      <c r="E621" s="309"/>
      <c r="F621" s="309"/>
      <c r="G621" s="309"/>
      <c r="H621" s="309"/>
      <c r="I621" s="309"/>
      <c r="J621" s="309"/>
      <c r="K621" s="1020"/>
      <c r="L621" s="1020"/>
      <c r="M621" s="309"/>
      <c r="N621" s="309"/>
      <c r="O621" s="309"/>
      <c r="P621" s="309"/>
      <c r="Q621" s="326"/>
      <c r="R621" s="326"/>
      <c r="S621" s="326"/>
      <c r="T621" s="309"/>
      <c r="U621" s="309"/>
      <c r="V621" s="309"/>
      <c r="W621" s="328"/>
      <c r="X621" s="309"/>
      <c r="Y621" s="309"/>
      <c r="Z621" s="309"/>
      <c r="AA621" s="309"/>
      <c r="AB621" s="309"/>
      <c r="AC621" s="309"/>
    </row>
    <row r="622" spans="1:29" ht="12.75" customHeight="1">
      <c r="A622" s="309"/>
      <c r="B622" s="309"/>
      <c r="C622" s="309"/>
      <c r="D622" s="309"/>
      <c r="E622" s="309"/>
      <c r="F622" s="309"/>
      <c r="G622" s="309"/>
      <c r="H622" s="309"/>
      <c r="I622" s="309"/>
      <c r="J622" s="309"/>
      <c r="K622" s="1020"/>
      <c r="L622" s="1020"/>
      <c r="M622" s="309"/>
      <c r="N622" s="309"/>
      <c r="O622" s="309"/>
      <c r="P622" s="309"/>
      <c r="Q622" s="326"/>
      <c r="R622" s="326"/>
      <c r="S622" s="326"/>
      <c r="T622" s="309"/>
      <c r="U622" s="309"/>
      <c r="V622" s="309"/>
      <c r="W622" s="328"/>
      <c r="X622" s="309"/>
      <c r="Y622" s="309"/>
      <c r="Z622" s="309"/>
      <c r="AA622" s="309"/>
      <c r="AB622" s="309"/>
      <c r="AC622" s="309"/>
    </row>
    <row r="623" spans="1:29" ht="12.75" customHeight="1">
      <c r="A623" s="309"/>
      <c r="B623" s="309"/>
      <c r="C623" s="309"/>
      <c r="D623" s="309"/>
      <c r="E623" s="309"/>
      <c r="F623" s="309"/>
      <c r="G623" s="309"/>
      <c r="H623" s="309"/>
      <c r="I623" s="309"/>
      <c r="J623" s="309"/>
      <c r="K623" s="1020"/>
      <c r="L623" s="1020"/>
      <c r="M623" s="309"/>
      <c r="N623" s="309"/>
      <c r="O623" s="309"/>
      <c r="P623" s="309"/>
      <c r="Q623" s="326"/>
      <c r="R623" s="326"/>
      <c r="S623" s="326"/>
      <c r="T623" s="309"/>
      <c r="U623" s="309"/>
      <c r="V623" s="309"/>
      <c r="W623" s="328"/>
      <c r="X623" s="309"/>
      <c r="Y623" s="309"/>
      <c r="Z623" s="309"/>
      <c r="AA623" s="309"/>
      <c r="AB623" s="309"/>
      <c r="AC623" s="309"/>
    </row>
    <row r="624" spans="1:29" ht="12.75" customHeight="1">
      <c r="A624" s="309"/>
      <c r="B624" s="309"/>
      <c r="C624" s="309"/>
      <c r="D624" s="309"/>
      <c r="E624" s="309"/>
      <c r="F624" s="309"/>
      <c r="G624" s="309"/>
      <c r="H624" s="309"/>
      <c r="I624" s="309"/>
      <c r="J624" s="309"/>
      <c r="K624" s="1020"/>
      <c r="L624" s="1020"/>
      <c r="M624" s="309"/>
      <c r="N624" s="309"/>
      <c r="O624" s="309"/>
      <c r="P624" s="309"/>
      <c r="Q624" s="326"/>
      <c r="R624" s="326"/>
      <c r="S624" s="326"/>
      <c r="T624" s="309"/>
      <c r="U624" s="309"/>
      <c r="V624" s="309"/>
      <c r="W624" s="328"/>
      <c r="X624" s="309"/>
      <c r="Y624" s="309"/>
      <c r="Z624" s="309"/>
      <c r="AA624" s="309"/>
      <c r="AB624" s="309"/>
      <c r="AC624" s="309"/>
    </row>
    <row r="625" spans="1:29" ht="12.75" customHeight="1">
      <c r="A625" s="309"/>
      <c r="B625" s="309"/>
      <c r="C625" s="309"/>
      <c r="D625" s="309"/>
      <c r="E625" s="309"/>
      <c r="F625" s="309"/>
      <c r="G625" s="309"/>
      <c r="H625" s="309"/>
      <c r="I625" s="309"/>
      <c r="J625" s="309"/>
      <c r="K625" s="1020"/>
      <c r="L625" s="1020"/>
      <c r="M625" s="309"/>
      <c r="N625" s="309"/>
      <c r="O625" s="309"/>
      <c r="P625" s="309"/>
      <c r="Q625" s="326"/>
      <c r="R625" s="326"/>
      <c r="S625" s="326"/>
      <c r="T625" s="309"/>
      <c r="U625" s="309"/>
      <c r="V625" s="309"/>
      <c r="W625" s="328"/>
      <c r="X625" s="309"/>
      <c r="Y625" s="309"/>
      <c r="Z625" s="309"/>
      <c r="AA625" s="309"/>
      <c r="AB625" s="309"/>
      <c r="AC625" s="309"/>
    </row>
    <row r="626" spans="1:29" ht="12.75" customHeight="1">
      <c r="A626" s="309"/>
      <c r="B626" s="309"/>
      <c r="C626" s="309"/>
      <c r="D626" s="309"/>
      <c r="E626" s="309"/>
      <c r="F626" s="309"/>
      <c r="G626" s="309"/>
      <c r="H626" s="309"/>
      <c r="I626" s="309"/>
      <c r="J626" s="309"/>
      <c r="K626" s="1020"/>
      <c r="L626" s="1020"/>
      <c r="M626" s="309"/>
      <c r="N626" s="309"/>
      <c r="O626" s="309"/>
      <c r="P626" s="309"/>
      <c r="Q626" s="326"/>
      <c r="R626" s="326"/>
      <c r="S626" s="326"/>
      <c r="T626" s="309"/>
      <c r="U626" s="309"/>
      <c r="V626" s="309"/>
      <c r="W626" s="328"/>
      <c r="X626" s="309"/>
      <c r="Y626" s="309"/>
      <c r="Z626" s="309"/>
      <c r="AA626" s="309"/>
      <c r="AB626" s="309"/>
      <c r="AC626" s="309"/>
    </row>
    <row r="627" spans="1:29" ht="12.75" customHeight="1">
      <c r="A627" s="309"/>
      <c r="B627" s="309"/>
      <c r="C627" s="309"/>
      <c r="D627" s="309"/>
      <c r="E627" s="309"/>
      <c r="F627" s="309"/>
      <c r="G627" s="309"/>
      <c r="H627" s="309"/>
      <c r="I627" s="309"/>
      <c r="J627" s="309"/>
      <c r="K627" s="1020"/>
      <c r="L627" s="1020"/>
      <c r="M627" s="309"/>
      <c r="N627" s="309"/>
      <c r="O627" s="309"/>
      <c r="P627" s="309"/>
      <c r="Q627" s="326"/>
      <c r="R627" s="326"/>
      <c r="S627" s="326"/>
      <c r="T627" s="309"/>
      <c r="U627" s="309"/>
      <c r="V627" s="309"/>
      <c r="W627" s="328"/>
      <c r="X627" s="309"/>
      <c r="Y627" s="309"/>
      <c r="Z627" s="309"/>
      <c r="AA627" s="309"/>
      <c r="AB627" s="309"/>
      <c r="AC627" s="309"/>
    </row>
    <row r="628" spans="1:29" ht="12.75" customHeight="1">
      <c r="A628" s="309"/>
      <c r="B628" s="309"/>
      <c r="C628" s="309"/>
      <c r="D628" s="309"/>
      <c r="E628" s="309"/>
      <c r="F628" s="309"/>
      <c r="G628" s="309"/>
      <c r="H628" s="309"/>
      <c r="I628" s="309"/>
      <c r="J628" s="309"/>
      <c r="K628" s="1020"/>
      <c r="L628" s="1020"/>
      <c r="M628" s="309"/>
      <c r="N628" s="309"/>
      <c r="O628" s="309"/>
      <c r="P628" s="309"/>
      <c r="Q628" s="326"/>
      <c r="R628" s="326"/>
      <c r="S628" s="326"/>
      <c r="T628" s="309"/>
      <c r="U628" s="309"/>
      <c r="V628" s="309"/>
      <c r="W628" s="328"/>
      <c r="X628" s="309"/>
      <c r="Y628" s="309"/>
      <c r="Z628" s="309"/>
      <c r="AA628" s="309"/>
      <c r="AB628" s="309"/>
      <c r="AC628" s="309"/>
    </row>
    <row r="629" spans="1:29" ht="12.75" customHeight="1">
      <c r="A629" s="309"/>
      <c r="B629" s="309"/>
      <c r="C629" s="309"/>
      <c r="D629" s="309"/>
      <c r="E629" s="309"/>
      <c r="F629" s="309"/>
      <c r="G629" s="309"/>
      <c r="H629" s="309"/>
      <c r="I629" s="309"/>
      <c r="J629" s="309"/>
      <c r="K629" s="1020"/>
      <c r="L629" s="1020"/>
      <c r="M629" s="309"/>
      <c r="N629" s="309"/>
      <c r="O629" s="309"/>
      <c r="P629" s="309"/>
      <c r="Q629" s="326"/>
      <c r="R629" s="326"/>
      <c r="S629" s="326"/>
      <c r="T629" s="309"/>
      <c r="U629" s="309"/>
      <c r="V629" s="309"/>
      <c r="W629" s="328"/>
      <c r="X629" s="309"/>
      <c r="Y629" s="309"/>
      <c r="Z629" s="309"/>
      <c r="AA629" s="309"/>
      <c r="AB629" s="309"/>
      <c r="AC629" s="309"/>
    </row>
    <row r="630" spans="1:29" ht="12.75" customHeight="1">
      <c r="A630" s="309"/>
      <c r="B630" s="309"/>
      <c r="C630" s="309"/>
      <c r="D630" s="309"/>
      <c r="E630" s="309"/>
      <c r="F630" s="309"/>
      <c r="G630" s="309"/>
      <c r="H630" s="309"/>
      <c r="I630" s="309"/>
      <c r="J630" s="309"/>
      <c r="K630" s="1020"/>
      <c r="L630" s="1020"/>
      <c r="M630" s="309"/>
      <c r="N630" s="309"/>
      <c r="O630" s="309"/>
      <c r="P630" s="309"/>
      <c r="Q630" s="326"/>
      <c r="R630" s="326"/>
      <c r="S630" s="326"/>
      <c r="T630" s="309"/>
      <c r="U630" s="309"/>
      <c r="V630" s="309"/>
      <c r="W630" s="328"/>
      <c r="X630" s="309"/>
      <c r="Y630" s="309"/>
      <c r="Z630" s="309"/>
      <c r="AA630" s="309"/>
      <c r="AB630" s="309"/>
      <c r="AC630" s="309"/>
    </row>
    <row r="631" spans="1:29" ht="12.75" customHeight="1">
      <c r="A631" s="309"/>
      <c r="B631" s="309"/>
      <c r="C631" s="309"/>
      <c r="D631" s="309"/>
      <c r="E631" s="309"/>
      <c r="F631" s="309"/>
      <c r="G631" s="309"/>
      <c r="H631" s="309"/>
      <c r="I631" s="309"/>
      <c r="J631" s="309"/>
      <c r="K631" s="1020"/>
      <c r="L631" s="1020"/>
      <c r="M631" s="309"/>
      <c r="N631" s="309"/>
      <c r="O631" s="309"/>
      <c r="P631" s="309"/>
      <c r="Q631" s="326"/>
      <c r="R631" s="326"/>
      <c r="S631" s="326"/>
      <c r="T631" s="309"/>
      <c r="U631" s="309"/>
      <c r="V631" s="309"/>
      <c r="W631" s="328"/>
      <c r="X631" s="309"/>
      <c r="Y631" s="309"/>
      <c r="Z631" s="309"/>
      <c r="AA631" s="309"/>
      <c r="AB631" s="309"/>
      <c r="AC631" s="309"/>
    </row>
    <row r="632" spans="1:29" ht="12.75" customHeight="1">
      <c r="A632" s="309"/>
      <c r="B632" s="309"/>
      <c r="C632" s="309"/>
      <c r="D632" s="309"/>
      <c r="E632" s="309"/>
      <c r="F632" s="309"/>
      <c r="G632" s="309"/>
      <c r="H632" s="309"/>
      <c r="I632" s="309"/>
      <c r="J632" s="309"/>
      <c r="K632" s="1020"/>
      <c r="L632" s="1020"/>
      <c r="M632" s="309"/>
      <c r="N632" s="309"/>
      <c r="O632" s="309"/>
      <c r="P632" s="309"/>
      <c r="Q632" s="326"/>
      <c r="R632" s="326"/>
      <c r="S632" s="326"/>
      <c r="T632" s="309"/>
      <c r="U632" s="309"/>
      <c r="V632" s="309"/>
      <c r="W632" s="328"/>
      <c r="X632" s="309"/>
      <c r="Y632" s="309"/>
      <c r="Z632" s="309"/>
      <c r="AA632" s="309"/>
      <c r="AB632" s="309"/>
      <c r="AC632" s="309"/>
    </row>
    <row r="633" spans="1:29" ht="12.75" customHeight="1">
      <c r="A633" s="309"/>
      <c r="B633" s="309"/>
      <c r="C633" s="309"/>
      <c r="D633" s="309"/>
      <c r="E633" s="309"/>
      <c r="F633" s="309"/>
      <c r="G633" s="309"/>
      <c r="H633" s="309"/>
      <c r="I633" s="309"/>
      <c r="J633" s="309"/>
      <c r="K633" s="1020"/>
      <c r="L633" s="1020"/>
      <c r="M633" s="309"/>
      <c r="N633" s="309"/>
      <c r="O633" s="309"/>
      <c r="P633" s="309"/>
      <c r="Q633" s="326"/>
      <c r="R633" s="326"/>
      <c r="S633" s="326"/>
      <c r="T633" s="309"/>
      <c r="U633" s="309"/>
      <c r="V633" s="309"/>
      <c r="W633" s="328"/>
      <c r="X633" s="309"/>
      <c r="Y633" s="309"/>
      <c r="Z633" s="309"/>
      <c r="AA633" s="309"/>
      <c r="AB633" s="309"/>
      <c r="AC633" s="309"/>
    </row>
    <row r="634" spans="1:29" ht="12.75" customHeight="1">
      <c r="A634" s="309"/>
      <c r="B634" s="309"/>
      <c r="C634" s="309"/>
      <c r="D634" s="309"/>
      <c r="E634" s="309"/>
      <c r="F634" s="309"/>
      <c r="G634" s="309"/>
      <c r="H634" s="309"/>
      <c r="I634" s="309"/>
      <c r="J634" s="309"/>
      <c r="K634" s="1020"/>
      <c r="L634" s="1020"/>
      <c r="M634" s="309"/>
      <c r="N634" s="309"/>
      <c r="O634" s="309"/>
      <c r="P634" s="309"/>
      <c r="Q634" s="326"/>
      <c r="R634" s="326"/>
      <c r="S634" s="326"/>
      <c r="T634" s="309"/>
      <c r="U634" s="309"/>
      <c r="V634" s="309"/>
      <c r="W634" s="328"/>
      <c r="X634" s="309"/>
      <c r="Y634" s="309"/>
      <c r="Z634" s="309"/>
      <c r="AA634" s="309"/>
      <c r="AB634" s="309"/>
      <c r="AC634" s="309"/>
    </row>
    <row r="635" spans="1:29" ht="12.75" customHeight="1">
      <c r="A635" s="309"/>
      <c r="B635" s="309"/>
      <c r="C635" s="309"/>
      <c r="D635" s="309"/>
      <c r="E635" s="309"/>
      <c r="F635" s="309"/>
      <c r="G635" s="309"/>
      <c r="H635" s="309"/>
      <c r="I635" s="309"/>
      <c r="J635" s="309"/>
      <c r="K635" s="1020"/>
      <c r="L635" s="1020"/>
      <c r="M635" s="309"/>
      <c r="N635" s="309"/>
      <c r="O635" s="309"/>
      <c r="P635" s="309"/>
      <c r="Q635" s="326"/>
      <c r="R635" s="326"/>
      <c r="S635" s="326"/>
      <c r="T635" s="309"/>
      <c r="U635" s="309"/>
      <c r="V635" s="309"/>
      <c r="W635" s="328"/>
      <c r="X635" s="309"/>
      <c r="Y635" s="309"/>
      <c r="Z635" s="309"/>
      <c r="AA635" s="309"/>
      <c r="AB635" s="309"/>
      <c r="AC635" s="309"/>
    </row>
    <row r="636" spans="1:29" ht="12.75" customHeight="1">
      <c r="A636" s="309"/>
      <c r="B636" s="309"/>
      <c r="C636" s="309"/>
      <c r="D636" s="309"/>
      <c r="E636" s="309"/>
      <c r="F636" s="309"/>
      <c r="G636" s="309"/>
      <c r="H636" s="309"/>
      <c r="I636" s="309"/>
      <c r="J636" s="309"/>
      <c r="K636" s="1020"/>
      <c r="L636" s="1020"/>
      <c r="M636" s="309"/>
      <c r="N636" s="309"/>
      <c r="O636" s="309"/>
      <c r="P636" s="309"/>
      <c r="Q636" s="326"/>
      <c r="R636" s="326"/>
      <c r="S636" s="326"/>
      <c r="T636" s="309"/>
      <c r="U636" s="309"/>
      <c r="V636" s="309"/>
      <c r="W636" s="328"/>
      <c r="X636" s="309"/>
      <c r="Y636" s="309"/>
      <c r="Z636" s="309"/>
      <c r="AA636" s="309"/>
      <c r="AB636" s="309"/>
      <c r="AC636" s="309"/>
    </row>
    <row r="637" spans="1:29" ht="12.75" customHeight="1">
      <c r="A637" s="309"/>
      <c r="B637" s="309"/>
      <c r="C637" s="309"/>
      <c r="D637" s="309"/>
      <c r="E637" s="309"/>
      <c r="F637" s="309"/>
      <c r="G637" s="309"/>
      <c r="H637" s="309"/>
      <c r="I637" s="309"/>
      <c r="J637" s="309"/>
      <c r="K637" s="1020"/>
      <c r="L637" s="1020"/>
      <c r="M637" s="309"/>
      <c r="N637" s="309"/>
      <c r="O637" s="309"/>
      <c r="P637" s="309"/>
      <c r="Q637" s="326"/>
      <c r="R637" s="326"/>
      <c r="S637" s="326"/>
      <c r="T637" s="309"/>
      <c r="U637" s="309"/>
      <c r="V637" s="309"/>
      <c r="W637" s="328"/>
      <c r="X637" s="309"/>
      <c r="Y637" s="309"/>
      <c r="Z637" s="309"/>
      <c r="AA637" s="309"/>
      <c r="AB637" s="309"/>
      <c r="AC637" s="309"/>
    </row>
    <row r="638" spans="1:29" ht="12.75" customHeight="1">
      <c r="A638" s="309"/>
      <c r="B638" s="309"/>
      <c r="C638" s="309"/>
      <c r="D638" s="309"/>
      <c r="E638" s="309"/>
      <c r="F638" s="309"/>
      <c r="G638" s="309"/>
      <c r="H638" s="309"/>
      <c r="I638" s="309"/>
      <c r="J638" s="309"/>
      <c r="K638" s="1020"/>
      <c r="L638" s="1020"/>
      <c r="M638" s="309"/>
      <c r="N638" s="309"/>
      <c r="O638" s="309"/>
      <c r="P638" s="309"/>
      <c r="Q638" s="326"/>
      <c r="R638" s="326"/>
      <c r="S638" s="326"/>
      <c r="T638" s="309"/>
      <c r="U638" s="309"/>
      <c r="V638" s="309"/>
      <c r="W638" s="328"/>
      <c r="X638" s="309"/>
      <c r="Y638" s="309"/>
      <c r="Z638" s="309"/>
      <c r="AA638" s="309"/>
      <c r="AB638" s="309"/>
      <c r="AC638" s="309"/>
    </row>
    <row r="639" spans="1:29" ht="12.75" customHeight="1">
      <c r="A639" s="309"/>
      <c r="B639" s="309"/>
      <c r="C639" s="309"/>
      <c r="D639" s="309"/>
      <c r="E639" s="309"/>
      <c r="F639" s="309"/>
      <c r="G639" s="309"/>
      <c r="H639" s="309"/>
      <c r="I639" s="309"/>
      <c r="J639" s="309"/>
      <c r="K639" s="1020"/>
      <c r="L639" s="1020"/>
      <c r="M639" s="309"/>
      <c r="N639" s="309"/>
      <c r="O639" s="309"/>
      <c r="P639" s="309"/>
      <c r="Q639" s="326"/>
      <c r="R639" s="326"/>
      <c r="S639" s="326"/>
      <c r="T639" s="309"/>
      <c r="U639" s="309"/>
      <c r="V639" s="309"/>
      <c r="W639" s="328"/>
      <c r="X639" s="309"/>
      <c r="Y639" s="309"/>
      <c r="Z639" s="309"/>
      <c r="AA639" s="309"/>
      <c r="AB639" s="309"/>
      <c r="AC639" s="309"/>
    </row>
    <row r="640" spans="1:29" ht="12.75" customHeight="1">
      <c r="A640" s="309"/>
      <c r="B640" s="309"/>
      <c r="C640" s="309"/>
      <c r="D640" s="309"/>
      <c r="E640" s="309"/>
      <c r="F640" s="309"/>
      <c r="G640" s="309"/>
      <c r="H640" s="309"/>
      <c r="I640" s="309"/>
      <c r="J640" s="309"/>
      <c r="K640" s="1020"/>
      <c r="L640" s="1020"/>
      <c r="M640" s="309"/>
      <c r="N640" s="309"/>
      <c r="O640" s="309"/>
      <c r="P640" s="309"/>
      <c r="Q640" s="326"/>
      <c r="R640" s="326"/>
      <c r="S640" s="326"/>
      <c r="T640" s="309"/>
      <c r="U640" s="309"/>
      <c r="V640" s="309"/>
      <c r="W640" s="328"/>
      <c r="X640" s="309"/>
      <c r="Y640" s="309"/>
      <c r="Z640" s="309"/>
      <c r="AA640" s="309"/>
      <c r="AB640" s="309"/>
      <c r="AC640" s="309"/>
    </row>
    <row r="641" spans="1:29" ht="12.75" customHeight="1">
      <c r="A641" s="309"/>
      <c r="B641" s="309"/>
      <c r="C641" s="309"/>
      <c r="D641" s="309"/>
      <c r="E641" s="309"/>
      <c r="F641" s="309"/>
      <c r="G641" s="309"/>
      <c r="H641" s="309"/>
      <c r="I641" s="309"/>
      <c r="J641" s="309"/>
      <c r="K641" s="1020"/>
      <c r="L641" s="1020"/>
      <c r="M641" s="309"/>
      <c r="N641" s="309"/>
      <c r="O641" s="309"/>
      <c r="P641" s="309"/>
      <c r="Q641" s="326"/>
      <c r="R641" s="326"/>
      <c r="S641" s="326"/>
      <c r="T641" s="309"/>
      <c r="U641" s="309"/>
      <c r="V641" s="309"/>
      <c r="W641" s="328"/>
      <c r="X641" s="309"/>
      <c r="Y641" s="309"/>
      <c r="Z641" s="309"/>
      <c r="AA641" s="309"/>
      <c r="AB641" s="309"/>
      <c r="AC641" s="309"/>
    </row>
    <row r="642" spans="1:29" ht="12.75" customHeight="1">
      <c r="A642" s="309"/>
      <c r="B642" s="309"/>
      <c r="C642" s="309"/>
      <c r="D642" s="309"/>
      <c r="E642" s="309"/>
      <c r="F642" s="309"/>
      <c r="G642" s="309"/>
      <c r="H642" s="309"/>
      <c r="I642" s="309"/>
      <c r="J642" s="309"/>
      <c r="K642" s="1020"/>
      <c r="L642" s="1020"/>
      <c r="M642" s="309"/>
      <c r="N642" s="309"/>
      <c r="O642" s="309"/>
      <c r="P642" s="309"/>
      <c r="Q642" s="326"/>
      <c r="R642" s="326"/>
      <c r="S642" s="326"/>
      <c r="T642" s="309"/>
      <c r="U642" s="309"/>
      <c r="V642" s="309"/>
      <c r="W642" s="328"/>
      <c r="X642" s="309"/>
      <c r="Y642" s="309"/>
      <c r="Z642" s="309"/>
      <c r="AA642" s="309"/>
      <c r="AB642" s="309"/>
      <c r="AC642" s="309"/>
    </row>
    <row r="643" spans="1:29" ht="12.75" customHeight="1">
      <c r="A643" s="309"/>
      <c r="B643" s="309"/>
      <c r="C643" s="309"/>
      <c r="D643" s="309"/>
      <c r="E643" s="309"/>
      <c r="F643" s="309"/>
      <c r="G643" s="309"/>
      <c r="H643" s="309"/>
      <c r="I643" s="309"/>
      <c r="J643" s="309"/>
      <c r="K643" s="1020"/>
      <c r="L643" s="1020"/>
      <c r="M643" s="309"/>
      <c r="N643" s="309"/>
      <c r="O643" s="309"/>
      <c r="P643" s="309"/>
      <c r="Q643" s="326"/>
      <c r="R643" s="326"/>
      <c r="S643" s="326"/>
      <c r="T643" s="309"/>
      <c r="U643" s="309"/>
      <c r="V643" s="309"/>
      <c r="W643" s="328"/>
      <c r="X643" s="309"/>
      <c r="Y643" s="309"/>
      <c r="Z643" s="309"/>
      <c r="AA643" s="309"/>
      <c r="AB643" s="309"/>
      <c r="AC643" s="309"/>
    </row>
    <row r="644" spans="1:29" ht="12.75" customHeight="1">
      <c r="A644" s="309"/>
      <c r="B644" s="309"/>
      <c r="C644" s="309"/>
      <c r="D644" s="309"/>
      <c r="E644" s="309"/>
      <c r="F644" s="309"/>
      <c r="G644" s="309"/>
      <c r="H644" s="309"/>
      <c r="I644" s="309"/>
      <c r="J644" s="309"/>
      <c r="K644" s="1020"/>
      <c r="L644" s="1020"/>
      <c r="M644" s="309"/>
      <c r="N644" s="309"/>
      <c r="O644" s="309"/>
      <c r="P644" s="309"/>
      <c r="Q644" s="326"/>
      <c r="R644" s="326"/>
      <c r="S644" s="326"/>
      <c r="T644" s="309"/>
      <c r="U644" s="309"/>
      <c r="V644" s="309"/>
      <c r="W644" s="328"/>
      <c r="X644" s="309"/>
      <c r="Y644" s="309"/>
      <c r="Z644" s="309"/>
      <c r="AA644" s="309"/>
      <c r="AB644" s="309"/>
      <c r="AC644" s="309"/>
    </row>
    <row r="645" spans="1:29" ht="12.75" customHeight="1">
      <c r="A645" s="309"/>
      <c r="B645" s="309"/>
      <c r="C645" s="309"/>
      <c r="D645" s="309"/>
      <c r="E645" s="309"/>
      <c r="F645" s="309"/>
      <c r="G645" s="309"/>
      <c r="H645" s="309"/>
      <c r="I645" s="309"/>
      <c r="J645" s="309"/>
      <c r="K645" s="1020"/>
      <c r="L645" s="1020"/>
      <c r="M645" s="309"/>
      <c r="N645" s="309"/>
      <c r="O645" s="309"/>
      <c r="P645" s="309"/>
      <c r="Q645" s="326"/>
      <c r="R645" s="326"/>
      <c r="S645" s="326"/>
      <c r="T645" s="309"/>
      <c r="U645" s="309"/>
      <c r="V645" s="309"/>
      <c r="W645" s="328"/>
      <c r="X645" s="309"/>
      <c r="Y645" s="309"/>
      <c r="Z645" s="309"/>
      <c r="AA645" s="309"/>
      <c r="AB645" s="309"/>
      <c r="AC645" s="309"/>
    </row>
    <row r="646" spans="1:29" ht="12.75" customHeight="1">
      <c r="A646" s="309"/>
      <c r="B646" s="309"/>
      <c r="C646" s="309"/>
      <c r="D646" s="309"/>
      <c r="E646" s="309"/>
      <c r="F646" s="309"/>
      <c r="G646" s="309"/>
      <c r="H646" s="309"/>
      <c r="I646" s="309"/>
      <c r="J646" s="309"/>
      <c r="K646" s="1020"/>
      <c r="L646" s="1020"/>
      <c r="M646" s="309"/>
      <c r="N646" s="309"/>
      <c r="O646" s="309"/>
      <c r="P646" s="309"/>
      <c r="Q646" s="326"/>
      <c r="R646" s="326"/>
      <c r="S646" s="326"/>
      <c r="T646" s="309"/>
      <c r="U646" s="309"/>
      <c r="V646" s="309"/>
      <c r="W646" s="328"/>
      <c r="X646" s="309"/>
      <c r="Y646" s="309"/>
      <c r="Z646" s="309"/>
      <c r="AA646" s="309"/>
      <c r="AB646" s="309"/>
      <c r="AC646" s="309"/>
    </row>
    <row r="647" spans="1:29" ht="12.75" customHeight="1">
      <c r="A647" s="309"/>
      <c r="B647" s="309"/>
      <c r="C647" s="309"/>
      <c r="D647" s="309"/>
      <c r="E647" s="309"/>
      <c r="F647" s="309"/>
      <c r="G647" s="309"/>
      <c r="H647" s="309"/>
      <c r="I647" s="309"/>
      <c r="J647" s="309"/>
      <c r="K647" s="1020"/>
      <c r="L647" s="1020"/>
      <c r="M647" s="309"/>
      <c r="N647" s="309"/>
      <c r="O647" s="309"/>
      <c r="P647" s="309"/>
      <c r="Q647" s="326"/>
      <c r="R647" s="326"/>
      <c r="S647" s="326"/>
      <c r="T647" s="309"/>
      <c r="U647" s="309"/>
      <c r="V647" s="309"/>
      <c r="W647" s="328"/>
      <c r="X647" s="309"/>
      <c r="Y647" s="309"/>
      <c r="Z647" s="309"/>
      <c r="AA647" s="309"/>
      <c r="AB647" s="309"/>
      <c r="AC647" s="309"/>
    </row>
    <row r="648" spans="1:29" ht="12.75" customHeight="1">
      <c r="A648" s="309"/>
      <c r="B648" s="309"/>
      <c r="C648" s="309"/>
      <c r="D648" s="309"/>
      <c r="E648" s="309"/>
      <c r="F648" s="309"/>
      <c r="G648" s="309"/>
      <c r="H648" s="309"/>
      <c r="I648" s="309"/>
      <c r="J648" s="309"/>
      <c r="K648" s="1020"/>
      <c r="L648" s="1020"/>
      <c r="M648" s="309"/>
      <c r="N648" s="309"/>
      <c r="O648" s="309"/>
      <c r="P648" s="309"/>
      <c r="Q648" s="326"/>
      <c r="R648" s="326"/>
      <c r="S648" s="326"/>
      <c r="T648" s="309"/>
      <c r="U648" s="309"/>
      <c r="V648" s="309"/>
      <c r="W648" s="328"/>
      <c r="X648" s="309"/>
      <c r="Y648" s="309"/>
      <c r="Z648" s="309"/>
      <c r="AA648" s="309"/>
      <c r="AB648" s="309"/>
      <c r="AC648" s="309"/>
    </row>
    <row r="649" spans="1:29" ht="12.75" customHeight="1">
      <c r="A649" s="309"/>
      <c r="B649" s="309"/>
      <c r="C649" s="309"/>
      <c r="D649" s="309"/>
      <c r="E649" s="309"/>
      <c r="F649" s="309"/>
      <c r="G649" s="309"/>
      <c r="H649" s="309"/>
      <c r="I649" s="309"/>
      <c r="J649" s="309"/>
      <c r="K649" s="1020"/>
      <c r="L649" s="1020"/>
      <c r="M649" s="309"/>
      <c r="N649" s="309"/>
      <c r="O649" s="309"/>
      <c r="P649" s="309"/>
      <c r="Q649" s="326"/>
      <c r="R649" s="326"/>
      <c r="S649" s="326"/>
      <c r="T649" s="309"/>
      <c r="U649" s="309"/>
      <c r="V649" s="309"/>
      <c r="W649" s="328"/>
      <c r="X649" s="309"/>
      <c r="Y649" s="309"/>
      <c r="Z649" s="309"/>
      <c r="AA649" s="309"/>
      <c r="AB649" s="309"/>
      <c r="AC649" s="309"/>
    </row>
    <row r="650" spans="1:29" ht="12.75" customHeight="1">
      <c r="A650" s="309"/>
      <c r="B650" s="309"/>
      <c r="C650" s="309"/>
      <c r="D650" s="309"/>
      <c r="E650" s="309"/>
      <c r="F650" s="309"/>
      <c r="G650" s="309"/>
      <c r="H650" s="309"/>
      <c r="I650" s="309"/>
      <c r="J650" s="309"/>
      <c r="K650" s="1020"/>
      <c r="L650" s="1020"/>
      <c r="M650" s="309"/>
      <c r="N650" s="309"/>
      <c r="O650" s="309"/>
      <c r="P650" s="309"/>
      <c r="Q650" s="326"/>
      <c r="R650" s="326"/>
      <c r="S650" s="326"/>
      <c r="T650" s="309"/>
      <c r="U650" s="309"/>
      <c r="V650" s="309"/>
      <c r="W650" s="328"/>
      <c r="X650" s="309"/>
      <c r="Y650" s="309"/>
      <c r="Z650" s="309"/>
      <c r="AA650" s="309"/>
      <c r="AB650" s="309"/>
      <c r="AC650" s="309"/>
    </row>
    <row r="651" spans="1:29" ht="12.75" customHeight="1">
      <c r="A651" s="309"/>
      <c r="B651" s="309"/>
      <c r="C651" s="309"/>
      <c r="D651" s="309"/>
      <c r="E651" s="309"/>
      <c r="F651" s="309"/>
      <c r="G651" s="309"/>
      <c r="H651" s="309"/>
      <c r="I651" s="309"/>
      <c r="J651" s="309"/>
      <c r="K651" s="1020"/>
      <c r="L651" s="1020"/>
      <c r="M651" s="309"/>
      <c r="N651" s="309"/>
      <c r="O651" s="309"/>
      <c r="P651" s="309"/>
      <c r="Q651" s="326"/>
      <c r="R651" s="326"/>
      <c r="S651" s="326"/>
      <c r="T651" s="309"/>
      <c r="U651" s="309"/>
      <c r="V651" s="309"/>
      <c r="W651" s="328"/>
      <c r="X651" s="309"/>
      <c r="Y651" s="309"/>
      <c r="Z651" s="309"/>
      <c r="AA651" s="309"/>
      <c r="AB651" s="309"/>
      <c r="AC651" s="309"/>
    </row>
    <row r="652" spans="1:29" ht="12.75" customHeight="1">
      <c r="A652" s="309"/>
      <c r="B652" s="309"/>
      <c r="C652" s="309"/>
      <c r="D652" s="309"/>
      <c r="E652" s="309"/>
      <c r="F652" s="309"/>
      <c r="G652" s="309"/>
      <c r="H652" s="309"/>
      <c r="I652" s="309"/>
      <c r="J652" s="309"/>
      <c r="K652" s="1020"/>
      <c r="L652" s="1020"/>
      <c r="M652" s="309"/>
      <c r="N652" s="309"/>
      <c r="O652" s="309"/>
      <c r="P652" s="309"/>
      <c r="Q652" s="326"/>
      <c r="R652" s="326"/>
      <c r="S652" s="326"/>
      <c r="T652" s="309"/>
      <c r="U652" s="309"/>
      <c r="V652" s="309"/>
      <c r="W652" s="328"/>
      <c r="X652" s="309"/>
      <c r="Y652" s="309"/>
      <c r="Z652" s="309"/>
      <c r="AA652" s="309"/>
      <c r="AB652" s="309"/>
      <c r="AC652" s="309"/>
    </row>
    <row r="653" spans="1:29" ht="12.75" customHeight="1">
      <c r="A653" s="309"/>
      <c r="B653" s="309"/>
      <c r="C653" s="309"/>
      <c r="D653" s="309"/>
      <c r="E653" s="309"/>
      <c r="F653" s="309"/>
      <c r="G653" s="309"/>
      <c r="H653" s="309"/>
      <c r="I653" s="309"/>
      <c r="J653" s="309"/>
      <c r="K653" s="1020"/>
      <c r="L653" s="1020"/>
      <c r="M653" s="309"/>
      <c r="N653" s="309"/>
      <c r="O653" s="309"/>
      <c r="P653" s="309"/>
      <c r="Q653" s="326"/>
      <c r="R653" s="326"/>
      <c r="S653" s="326"/>
      <c r="T653" s="309"/>
      <c r="U653" s="309"/>
      <c r="V653" s="309"/>
      <c r="W653" s="328"/>
      <c r="X653" s="309"/>
      <c r="Y653" s="309"/>
      <c r="Z653" s="309"/>
      <c r="AA653" s="309"/>
      <c r="AB653" s="309"/>
      <c r="AC653" s="309"/>
    </row>
    <row r="654" spans="1:29" ht="12.75" customHeight="1">
      <c r="A654" s="309"/>
      <c r="B654" s="309"/>
      <c r="C654" s="309"/>
      <c r="D654" s="309"/>
      <c r="E654" s="309"/>
      <c r="F654" s="309"/>
      <c r="G654" s="309"/>
      <c r="H654" s="309"/>
      <c r="I654" s="309"/>
      <c r="J654" s="309"/>
      <c r="K654" s="1020"/>
      <c r="L654" s="1020"/>
      <c r="M654" s="309"/>
      <c r="N654" s="309"/>
      <c r="O654" s="309"/>
      <c r="P654" s="309"/>
      <c r="Q654" s="326"/>
      <c r="R654" s="326"/>
      <c r="S654" s="326"/>
      <c r="T654" s="309"/>
      <c r="U654" s="309"/>
      <c r="V654" s="309"/>
      <c r="W654" s="328"/>
      <c r="X654" s="309"/>
      <c r="Y654" s="309"/>
      <c r="Z654" s="309"/>
      <c r="AA654" s="309"/>
      <c r="AB654" s="309"/>
      <c r="AC654" s="309"/>
    </row>
    <row r="655" spans="1:29" ht="12.75" customHeight="1">
      <c r="A655" s="309"/>
      <c r="B655" s="309"/>
      <c r="C655" s="309"/>
      <c r="D655" s="309"/>
      <c r="E655" s="309"/>
      <c r="F655" s="309"/>
      <c r="G655" s="309"/>
      <c r="H655" s="309"/>
      <c r="I655" s="309"/>
      <c r="J655" s="309"/>
      <c r="K655" s="1020"/>
      <c r="L655" s="1020"/>
      <c r="M655" s="309"/>
      <c r="N655" s="309"/>
      <c r="O655" s="309"/>
      <c r="P655" s="309"/>
      <c r="Q655" s="326"/>
      <c r="R655" s="326"/>
      <c r="S655" s="326"/>
      <c r="T655" s="309"/>
      <c r="U655" s="309"/>
      <c r="V655" s="309"/>
      <c r="W655" s="328"/>
      <c r="X655" s="309"/>
      <c r="Y655" s="309"/>
      <c r="Z655" s="309"/>
      <c r="AA655" s="309"/>
      <c r="AB655" s="309"/>
      <c r="AC655" s="309"/>
    </row>
    <row r="656" spans="1:29" ht="12.75" customHeight="1">
      <c r="A656" s="309"/>
      <c r="B656" s="309"/>
      <c r="C656" s="309"/>
      <c r="D656" s="309"/>
      <c r="E656" s="309"/>
      <c r="F656" s="309"/>
      <c r="G656" s="309"/>
      <c r="H656" s="309"/>
      <c r="I656" s="309"/>
      <c r="J656" s="309"/>
      <c r="K656" s="1020"/>
      <c r="L656" s="1020"/>
      <c r="M656" s="309"/>
      <c r="N656" s="309"/>
      <c r="O656" s="309"/>
      <c r="P656" s="309"/>
      <c r="Q656" s="326"/>
      <c r="R656" s="326"/>
      <c r="S656" s="326"/>
      <c r="T656" s="309"/>
      <c r="U656" s="309"/>
      <c r="V656" s="309"/>
      <c r="W656" s="328"/>
      <c r="X656" s="309"/>
      <c r="Y656" s="309"/>
      <c r="Z656" s="309"/>
      <c r="AA656" s="309"/>
      <c r="AB656" s="309"/>
      <c r="AC656" s="309"/>
    </row>
    <row r="657" spans="1:29" ht="12.75" customHeight="1">
      <c r="A657" s="309"/>
      <c r="B657" s="309"/>
      <c r="C657" s="309"/>
      <c r="D657" s="309"/>
      <c r="E657" s="309"/>
      <c r="F657" s="309"/>
      <c r="G657" s="309"/>
      <c r="H657" s="309"/>
      <c r="I657" s="309"/>
      <c r="J657" s="309"/>
      <c r="K657" s="1020"/>
      <c r="L657" s="1020"/>
      <c r="M657" s="309"/>
      <c r="N657" s="309"/>
      <c r="O657" s="309"/>
      <c r="P657" s="309"/>
      <c r="Q657" s="326"/>
      <c r="R657" s="326"/>
      <c r="S657" s="326"/>
      <c r="T657" s="309"/>
      <c r="U657" s="309"/>
      <c r="V657" s="309"/>
      <c r="W657" s="328"/>
      <c r="X657" s="309"/>
      <c r="Y657" s="309"/>
      <c r="Z657" s="309"/>
      <c r="AA657" s="309"/>
      <c r="AB657" s="309"/>
      <c r="AC657" s="309"/>
    </row>
    <row r="658" spans="1:29" ht="12.75" customHeight="1">
      <c r="A658" s="309"/>
      <c r="B658" s="309"/>
      <c r="C658" s="309"/>
      <c r="D658" s="309"/>
      <c r="E658" s="309"/>
      <c r="F658" s="309"/>
      <c r="G658" s="309"/>
      <c r="H658" s="309"/>
      <c r="I658" s="309"/>
      <c r="J658" s="309"/>
      <c r="K658" s="1020"/>
      <c r="L658" s="1020"/>
      <c r="M658" s="309"/>
      <c r="N658" s="309"/>
      <c r="O658" s="309"/>
      <c r="P658" s="309"/>
      <c r="Q658" s="326"/>
      <c r="R658" s="326"/>
      <c r="S658" s="326"/>
      <c r="T658" s="309"/>
      <c r="U658" s="309"/>
      <c r="V658" s="309"/>
      <c r="W658" s="328"/>
      <c r="X658" s="309"/>
      <c r="Y658" s="309"/>
      <c r="Z658" s="309"/>
      <c r="AA658" s="309"/>
      <c r="AB658" s="309"/>
      <c r="AC658" s="309"/>
    </row>
    <row r="659" spans="1:29" ht="12.75" customHeight="1">
      <c r="A659" s="309"/>
      <c r="B659" s="309"/>
      <c r="C659" s="309"/>
      <c r="D659" s="309"/>
      <c r="E659" s="309"/>
      <c r="F659" s="309"/>
      <c r="G659" s="309"/>
      <c r="H659" s="309"/>
      <c r="I659" s="309"/>
      <c r="J659" s="309"/>
      <c r="K659" s="1020"/>
      <c r="L659" s="1020"/>
      <c r="M659" s="309"/>
      <c r="N659" s="309"/>
      <c r="O659" s="309"/>
      <c r="P659" s="309"/>
      <c r="Q659" s="326"/>
      <c r="R659" s="326"/>
      <c r="S659" s="326"/>
      <c r="T659" s="309"/>
      <c r="U659" s="309"/>
      <c r="V659" s="309"/>
      <c r="W659" s="328"/>
      <c r="X659" s="309"/>
      <c r="Y659" s="309"/>
      <c r="Z659" s="309"/>
      <c r="AA659" s="309"/>
      <c r="AB659" s="309"/>
      <c r="AC659" s="309"/>
    </row>
    <row r="660" spans="1:29" ht="12.75" customHeight="1">
      <c r="A660" s="309"/>
      <c r="B660" s="309"/>
      <c r="C660" s="309"/>
      <c r="D660" s="309"/>
      <c r="E660" s="309"/>
      <c r="F660" s="309"/>
      <c r="G660" s="309"/>
      <c r="H660" s="309"/>
      <c r="I660" s="309"/>
      <c r="J660" s="309"/>
      <c r="K660" s="1020"/>
      <c r="L660" s="1020"/>
      <c r="M660" s="309"/>
      <c r="N660" s="309"/>
      <c r="O660" s="309"/>
      <c r="P660" s="309"/>
      <c r="Q660" s="326"/>
      <c r="R660" s="326"/>
      <c r="S660" s="326"/>
      <c r="T660" s="309"/>
      <c r="U660" s="309"/>
      <c r="V660" s="309"/>
      <c r="W660" s="328"/>
      <c r="X660" s="309"/>
      <c r="Y660" s="309"/>
      <c r="Z660" s="309"/>
      <c r="AA660" s="309"/>
      <c r="AB660" s="309"/>
      <c r="AC660" s="309"/>
    </row>
    <row r="661" spans="1:29" ht="12.75" customHeight="1">
      <c r="A661" s="309"/>
      <c r="B661" s="309"/>
      <c r="C661" s="309"/>
      <c r="D661" s="309"/>
      <c r="E661" s="309"/>
      <c r="F661" s="309"/>
      <c r="G661" s="309"/>
      <c r="H661" s="309"/>
      <c r="I661" s="309"/>
      <c r="J661" s="309"/>
      <c r="K661" s="1020"/>
      <c r="L661" s="1020"/>
      <c r="M661" s="309"/>
      <c r="N661" s="309"/>
      <c r="O661" s="309"/>
      <c r="P661" s="309"/>
      <c r="Q661" s="326"/>
      <c r="R661" s="326"/>
      <c r="S661" s="326"/>
      <c r="T661" s="309"/>
      <c r="U661" s="309"/>
      <c r="V661" s="309"/>
      <c r="W661" s="328"/>
      <c r="X661" s="309"/>
      <c r="Y661" s="309"/>
      <c r="Z661" s="309"/>
      <c r="AA661" s="309"/>
      <c r="AB661" s="309"/>
      <c r="AC661" s="309"/>
    </row>
    <row r="662" spans="1:29" ht="12.75" customHeight="1">
      <c r="A662" s="309"/>
      <c r="B662" s="309"/>
      <c r="C662" s="309"/>
      <c r="D662" s="309"/>
      <c r="E662" s="309"/>
      <c r="F662" s="309"/>
      <c r="G662" s="309"/>
      <c r="H662" s="309"/>
      <c r="I662" s="309"/>
      <c r="J662" s="309"/>
      <c r="K662" s="1020"/>
      <c r="L662" s="1020"/>
      <c r="M662" s="309"/>
      <c r="N662" s="309"/>
      <c r="O662" s="309"/>
      <c r="P662" s="309"/>
      <c r="Q662" s="326"/>
      <c r="R662" s="326"/>
      <c r="S662" s="326"/>
      <c r="T662" s="309"/>
      <c r="U662" s="309"/>
      <c r="V662" s="309"/>
      <c r="W662" s="328"/>
      <c r="X662" s="309"/>
      <c r="Y662" s="309"/>
      <c r="Z662" s="309"/>
      <c r="AA662" s="309"/>
      <c r="AB662" s="309"/>
      <c r="AC662" s="309"/>
    </row>
    <row r="663" spans="1:29" ht="12.75" customHeight="1">
      <c r="A663" s="309"/>
      <c r="B663" s="309"/>
      <c r="C663" s="309"/>
      <c r="D663" s="309"/>
      <c r="E663" s="309"/>
      <c r="F663" s="309"/>
      <c r="G663" s="309"/>
      <c r="H663" s="309"/>
      <c r="I663" s="309"/>
      <c r="J663" s="309"/>
      <c r="K663" s="1020"/>
      <c r="L663" s="1020"/>
      <c r="M663" s="309"/>
      <c r="N663" s="309"/>
      <c r="O663" s="309"/>
      <c r="P663" s="309"/>
      <c r="Q663" s="326"/>
      <c r="R663" s="326"/>
      <c r="S663" s="326"/>
      <c r="T663" s="309"/>
      <c r="U663" s="309"/>
      <c r="V663" s="309"/>
      <c r="W663" s="328"/>
      <c r="X663" s="309"/>
      <c r="Y663" s="309"/>
      <c r="Z663" s="309"/>
      <c r="AA663" s="309"/>
      <c r="AB663" s="309"/>
      <c r="AC663" s="309"/>
    </row>
    <row r="664" spans="1:29" ht="12.75" customHeight="1">
      <c r="A664" s="309"/>
      <c r="B664" s="309"/>
      <c r="C664" s="309"/>
      <c r="D664" s="309"/>
      <c r="E664" s="309"/>
      <c r="F664" s="309"/>
      <c r="G664" s="309"/>
      <c r="H664" s="309"/>
      <c r="I664" s="309"/>
      <c r="J664" s="309"/>
      <c r="K664" s="1020"/>
      <c r="L664" s="1020"/>
      <c r="M664" s="309"/>
      <c r="N664" s="309"/>
      <c r="O664" s="309"/>
      <c r="P664" s="309"/>
      <c r="Q664" s="326"/>
      <c r="R664" s="326"/>
      <c r="S664" s="326"/>
      <c r="T664" s="309"/>
      <c r="U664" s="309"/>
      <c r="V664" s="309"/>
      <c r="W664" s="328"/>
      <c r="X664" s="309"/>
      <c r="Y664" s="309"/>
      <c r="Z664" s="309"/>
      <c r="AA664" s="309"/>
      <c r="AB664" s="309"/>
      <c r="AC664" s="309"/>
    </row>
    <row r="665" spans="1:29" ht="12.75" customHeight="1">
      <c r="A665" s="309"/>
      <c r="B665" s="309"/>
      <c r="C665" s="309"/>
      <c r="D665" s="309"/>
      <c r="E665" s="309"/>
      <c r="F665" s="309"/>
      <c r="G665" s="309"/>
      <c r="H665" s="309"/>
      <c r="I665" s="309"/>
      <c r="J665" s="309"/>
      <c r="K665" s="1020"/>
      <c r="L665" s="1020"/>
      <c r="M665" s="309"/>
      <c r="N665" s="309"/>
      <c r="O665" s="309"/>
      <c r="P665" s="309"/>
      <c r="Q665" s="326"/>
      <c r="R665" s="326"/>
      <c r="S665" s="326"/>
      <c r="T665" s="309"/>
      <c r="U665" s="309"/>
      <c r="V665" s="309"/>
      <c r="W665" s="328"/>
      <c r="X665" s="309"/>
      <c r="Y665" s="309"/>
      <c r="Z665" s="309"/>
      <c r="AA665" s="309"/>
      <c r="AB665" s="309"/>
      <c r="AC665" s="309"/>
    </row>
    <row r="666" spans="1:29" ht="12.75" customHeight="1">
      <c r="A666" s="309"/>
      <c r="B666" s="309"/>
      <c r="C666" s="309"/>
      <c r="D666" s="309"/>
      <c r="E666" s="309"/>
      <c r="F666" s="309"/>
      <c r="G666" s="309"/>
      <c r="H666" s="309"/>
      <c r="I666" s="309"/>
      <c r="J666" s="309"/>
      <c r="K666" s="1020"/>
      <c r="L666" s="1020"/>
      <c r="M666" s="309"/>
      <c r="N666" s="309"/>
      <c r="O666" s="309"/>
      <c r="P666" s="309"/>
      <c r="Q666" s="326"/>
      <c r="R666" s="326"/>
      <c r="S666" s="326"/>
      <c r="T666" s="309"/>
      <c r="U666" s="309"/>
      <c r="V666" s="309"/>
      <c r="W666" s="328"/>
      <c r="X666" s="309"/>
      <c r="Y666" s="309"/>
      <c r="Z666" s="309"/>
      <c r="AA666" s="309"/>
      <c r="AB666" s="309"/>
      <c r="AC666" s="309"/>
    </row>
    <row r="667" spans="1:29" ht="12.75" customHeight="1">
      <c r="A667" s="309"/>
      <c r="B667" s="309"/>
      <c r="C667" s="309"/>
      <c r="D667" s="309"/>
      <c r="E667" s="309"/>
      <c r="F667" s="309"/>
      <c r="G667" s="309"/>
      <c r="H667" s="309"/>
      <c r="I667" s="309"/>
      <c r="J667" s="309"/>
      <c r="K667" s="1020"/>
      <c r="L667" s="1020"/>
      <c r="M667" s="309"/>
      <c r="N667" s="309"/>
      <c r="O667" s="309"/>
      <c r="P667" s="309"/>
      <c r="Q667" s="326"/>
      <c r="R667" s="326"/>
      <c r="S667" s="326"/>
      <c r="T667" s="309"/>
      <c r="U667" s="309"/>
      <c r="V667" s="309"/>
      <c r="W667" s="328"/>
      <c r="X667" s="309"/>
      <c r="Y667" s="309"/>
      <c r="Z667" s="309"/>
      <c r="AA667" s="309"/>
      <c r="AB667" s="309"/>
      <c r="AC667" s="309"/>
    </row>
    <row r="668" spans="1:29" ht="12.75" customHeight="1">
      <c r="A668" s="309"/>
      <c r="B668" s="309"/>
      <c r="C668" s="309"/>
      <c r="D668" s="309"/>
      <c r="E668" s="309"/>
      <c r="F668" s="309"/>
      <c r="G668" s="309"/>
      <c r="H668" s="309"/>
      <c r="I668" s="309"/>
      <c r="J668" s="309"/>
      <c r="K668" s="1020"/>
      <c r="L668" s="1020"/>
      <c r="M668" s="309"/>
      <c r="N668" s="309"/>
      <c r="O668" s="309"/>
      <c r="P668" s="309"/>
      <c r="Q668" s="326"/>
      <c r="R668" s="326"/>
      <c r="S668" s="326"/>
      <c r="T668" s="309"/>
      <c r="U668" s="309"/>
      <c r="V668" s="309"/>
      <c r="W668" s="328"/>
      <c r="X668" s="309"/>
      <c r="Y668" s="309"/>
      <c r="Z668" s="309"/>
      <c r="AA668" s="309"/>
      <c r="AB668" s="309"/>
      <c r="AC668" s="309"/>
    </row>
    <row r="669" spans="1:29" ht="12.75" customHeight="1">
      <c r="A669" s="309"/>
      <c r="B669" s="309"/>
      <c r="C669" s="309"/>
      <c r="D669" s="309"/>
      <c r="E669" s="309"/>
      <c r="F669" s="309"/>
      <c r="G669" s="309"/>
      <c r="H669" s="309"/>
      <c r="I669" s="309"/>
      <c r="J669" s="309"/>
      <c r="K669" s="1020"/>
      <c r="L669" s="1020"/>
      <c r="M669" s="309"/>
      <c r="N669" s="309"/>
      <c r="O669" s="309"/>
      <c r="P669" s="309"/>
      <c r="Q669" s="326"/>
      <c r="R669" s="326"/>
      <c r="S669" s="326"/>
      <c r="T669" s="309"/>
      <c r="U669" s="309"/>
      <c r="V669" s="309"/>
      <c r="W669" s="328"/>
      <c r="X669" s="309"/>
      <c r="Y669" s="309"/>
      <c r="Z669" s="309"/>
      <c r="AA669" s="309"/>
      <c r="AB669" s="309"/>
      <c r="AC669" s="309"/>
    </row>
    <row r="670" spans="1:29" ht="12.75" customHeight="1">
      <c r="A670" s="309"/>
      <c r="B670" s="309"/>
      <c r="C670" s="309"/>
      <c r="D670" s="309"/>
      <c r="E670" s="309"/>
      <c r="F670" s="309"/>
      <c r="G670" s="309"/>
      <c r="H670" s="309"/>
      <c r="I670" s="309"/>
      <c r="J670" s="309"/>
      <c r="K670" s="1020"/>
      <c r="L670" s="1020"/>
      <c r="M670" s="309"/>
      <c r="N670" s="309"/>
      <c r="O670" s="309"/>
      <c r="P670" s="309"/>
      <c r="Q670" s="326"/>
      <c r="R670" s="326"/>
      <c r="S670" s="326"/>
      <c r="T670" s="309"/>
      <c r="U670" s="309"/>
      <c r="V670" s="309"/>
      <c r="W670" s="328"/>
      <c r="X670" s="309"/>
      <c r="Y670" s="309"/>
      <c r="Z670" s="309"/>
      <c r="AA670" s="309"/>
      <c r="AB670" s="309"/>
      <c r="AC670" s="309"/>
    </row>
    <row r="671" spans="1:29" ht="12.75" customHeight="1">
      <c r="A671" s="309"/>
      <c r="B671" s="309"/>
      <c r="C671" s="309"/>
      <c r="D671" s="309"/>
      <c r="E671" s="309"/>
      <c r="F671" s="309"/>
      <c r="G671" s="309"/>
      <c r="H671" s="309"/>
      <c r="I671" s="309"/>
      <c r="J671" s="309"/>
      <c r="K671" s="1020"/>
      <c r="L671" s="1020"/>
      <c r="M671" s="309"/>
      <c r="N671" s="309"/>
      <c r="O671" s="309"/>
      <c r="P671" s="309"/>
      <c r="Q671" s="326"/>
      <c r="R671" s="326"/>
      <c r="S671" s="326"/>
      <c r="T671" s="309"/>
      <c r="U671" s="309"/>
      <c r="V671" s="309"/>
      <c r="W671" s="328"/>
      <c r="X671" s="309"/>
      <c r="Y671" s="309"/>
      <c r="Z671" s="309"/>
      <c r="AA671" s="309"/>
      <c r="AB671" s="309"/>
      <c r="AC671" s="309"/>
    </row>
    <row r="672" spans="1:29" ht="12.75" customHeight="1">
      <c r="A672" s="309"/>
      <c r="B672" s="309"/>
      <c r="C672" s="309"/>
      <c r="D672" s="309"/>
      <c r="E672" s="309"/>
      <c r="F672" s="309"/>
      <c r="G672" s="309"/>
      <c r="H672" s="309"/>
      <c r="I672" s="309"/>
      <c r="J672" s="309"/>
      <c r="K672" s="1020"/>
      <c r="L672" s="1020"/>
      <c r="M672" s="309"/>
      <c r="N672" s="309"/>
      <c r="O672" s="309"/>
      <c r="P672" s="309"/>
      <c r="Q672" s="326"/>
      <c r="R672" s="326"/>
      <c r="S672" s="326"/>
      <c r="T672" s="309"/>
      <c r="U672" s="309"/>
      <c r="V672" s="309"/>
      <c r="W672" s="328"/>
      <c r="X672" s="309"/>
      <c r="Y672" s="309"/>
      <c r="Z672" s="309"/>
      <c r="AA672" s="309"/>
      <c r="AB672" s="309"/>
      <c r="AC672" s="309"/>
    </row>
    <row r="673" spans="1:29" ht="12.75" customHeight="1">
      <c r="A673" s="309"/>
      <c r="B673" s="309"/>
      <c r="C673" s="309"/>
      <c r="D673" s="309"/>
      <c r="E673" s="309"/>
      <c r="F673" s="309"/>
      <c r="G673" s="309"/>
      <c r="H673" s="309"/>
      <c r="I673" s="309"/>
      <c r="J673" s="309"/>
      <c r="K673" s="1020"/>
      <c r="L673" s="1020"/>
      <c r="M673" s="309"/>
      <c r="N673" s="309"/>
      <c r="O673" s="309"/>
      <c r="P673" s="309"/>
      <c r="Q673" s="326"/>
      <c r="R673" s="326"/>
      <c r="S673" s="326"/>
      <c r="T673" s="309"/>
      <c r="U673" s="309"/>
      <c r="V673" s="309"/>
      <c r="W673" s="328"/>
      <c r="X673" s="309"/>
      <c r="Y673" s="309"/>
      <c r="Z673" s="309"/>
      <c r="AA673" s="309"/>
      <c r="AB673" s="309"/>
      <c r="AC673" s="309"/>
    </row>
    <row r="674" spans="1:29" ht="12.75" customHeight="1">
      <c r="A674" s="309"/>
      <c r="B674" s="309"/>
      <c r="C674" s="309"/>
      <c r="D674" s="309"/>
      <c r="E674" s="309"/>
      <c r="F674" s="309"/>
      <c r="G674" s="309"/>
      <c r="H674" s="309"/>
      <c r="I674" s="309"/>
      <c r="J674" s="309"/>
      <c r="K674" s="1020"/>
      <c r="L674" s="1020"/>
      <c r="M674" s="309"/>
      <c r="N674" s="309"/>
      <c r="O674" s="309"/>
      <c r="P674" s="309"/>
      <c r="Q674" s="326"/>
      <c r="R674" s="326"/>
      <c r="S674" s="326"/>
      <c r="T674" s="309"/>
      <c r="U674" s="309"/>
      <c r="V674" s="309"/>
      <c r="W674" s="328"/>
      <c r="X674" s="309"/>
      <c r="Y674" s="309"/>
      <c r="Z674" s="309"/>
      <c r="AA674" s="309"/>
      <c r="AB674" s="309"/>
      <c r="AC674" s="309"/>
    </row>
    <row r="675" spans="1:29" ht="12.75" customHeight="1">
      <c r="A675" s="309"/>
      <c r="B675" s="309"/>
      <c r="C675" s="309"/>
      <c r="D675" s="309"/>
      <c r="E675" s="309"/>
      <c r="F675" s="309"/>
      <c r="G675" s="309"/>
      <c r="H675" s="309"/>
      <c r="I675" s="309"/>
      <c r="J675" s="309"/>
      <c r="K675" s="1020"/>
      <c r="L675" s="1020"/>
      <c r="M675" s="309"/>
      <c r="N675" s="309"/>
      <c r="O675" s="309"/>
      <c r="P675" s="309"/>
      <c r="Q675" s="326"/>
      <c r="R675" s="326"/>
      <c r="S675" s="326"/>
      <c r="T675" s="309"/>
      <c r="U675" s="309"/>
      <c r="V675" s="309"/>
      <c r="W675" s="328"/>
      <c r="X675" s="309"/>
      <c r="Y675" s="309"/>
      <c r="Z675" s="309"/>
      <c r="AA675" s="309"/>
      <c r="AB675" s="309"/>
      <c r="AC675" s="309"/>
    </row>
    <row r="676" spans="1:29" ht="12.75" customHeight="1">
      <c r="A676" s="309"/>
      <c r="B676" s="309"/>
      <c r="C676" s="309"/>
      <c r="D676" s="309"/>
      <c r="E676" s="309"/>
      <c r="F676" s="309"/>
      <c r="G676" s="309"/>
      <c r="H676" s="309"/>
      <c r="I676" s="309"/>
      <c r="J676" s="309"/>
      <c r="K676" s="1020"/>
      <c r="L676" s="1020"/>
      <c r="M676" s="309"/>
      <c r="N676" s="309"/>
      <c r="O676" s="309"/>
      <c r="P676" s="309"/>
      <c r="Q676" s="326"/>
      <c r="R676" s="326"/>
      <c r="S676" s="326"/>
      <c r="T676" s="309"/>
      <c r="U676" s="309"/>
      <c r="V676" s="309"/>
      <c r="W676" s="328"/>
      <c r="X676" s="309"/>
      <c r="Y676" s="309"/>
      <c r="Z676" s="309"/>
      <c r="AA676" s="309"/>
      <c r="AB676" s="309"/>
      <c r="AC676" s="309"/>
    </row>
    <row r="677" spans="1:29" ht="12.75" customHeight="1">
      <c r="A677" s="309"/>
      <c r="B677" s="309"/>
      <c r="C677" s="309"/>
      <c r="D677" s="309"/>
      <c r="E677" s="309"/>
      <c r="F677" s="309"/>
      <c r="G677" s="309"/>
      <c r="H677" s="309"/>
      <c r="I677" s="309"/>
      <c r="J677" s="309"/>
      <c r="K677" s="1020"/>
      <c r="L677" s="1020"/>
      <c r="M677" s="309"/>
      <c r="N677" s="309"/>
      <c r="O677" s="309"/>
      <c r="P677" s="309"/>
      <c r="Q677" s="326"/>
      <c r="R677" s="326"/>
      <c r="S677" s="326"/>
      <c r="T677" s="309"/>
      <c r="U677" s="309"/>
      <c r="V677" s="309"/>
      <c r="W677" s="328"/>
      <c r="X677" s="309"/>
      <c r="Y677" s="309"/>
      <c r="Z677" s="309"/>
      <c r="AA677" s="309"/>
      <c r="AB677" s="309"/>
      <c r="AC677" s="309"/>
    </row>
    <row r="678" spans="1:29" ht="12.75" customHeight="1">
      <c r="A678" s="309"/>
      <c r="B678" s="309"/>
      <c r="C678" s="309"/>
      <c r="D678" s="309"/>
      <c r="E678" s="309"/>
      <c r="F678" s="309"/>
      <c r="G678" s="309"/>
      <c r="H678" s="309"/>
      <c r="I678" s="309"/>
      <c r="J678" s="309"/>
      <c r="K678" s="1020"/>
      <c r="L678" s="1020"/>
      <c r="M678" s="309"/>
      <c r="N678" s="309"/>
      <c r="O678" s="309"/>
      <c r="P678" s="309"/>
      <c r="Q678" s="326"/>
      <c r="R678" s="326"/>
      <c r="S678" s="326"/>
      <c r="T678" s="309"/>
      <c r="U678" s="309"/>
      <c r="V678" s="309"/>
      <c r="W678" s="328"/>
      <c r="X678" s="309"/>
      <c r="Y678" s="309"/>
      <c r="Z678" s="309"/>
      <c r="AA678" s="309"/>
      <c r="AB678" s="309"/>
      <c r="AC678" s="309"/>
    </row>
    <row r="679" spans="1:29" ht="12.75" customHeight="1">
      <c r="A679" s="309"/>
      <c r="B679" s="309"/>
      <c r="C679" s="309"/>
      <c r="D679" s="309"/>
      <c r="E679" s="309"/>
      <c r="F679" s="309"/>
      <c r="G679" s="309"/>
      <c r="H679" s="309"/>
      <c r="I679" s="309"/>
      <c r="J679" s="309"/>
      <c r="K679" s="1020"/>
      <c r="L679" s="1020"/>
      <c r="M679" s="309"/>
      <c r="N679" s="309"/>
      <c r="O679" s="309"/>
      <c r="P679" s="309"/>
      <c r="Q679" s="326"/>
      <c r="R679" s="326"/>
      <c r="S679" s="326"/>
      <c r="T679" s="309"/>
      <c r="U679" s="309"/>
      <c r="V679" s="309"/>
      <c r="W679" s="328"/>
      <c r="X679" s="309"/>
      <c r="Y679" s="309"/>
      <c r="Z679" s="309"/>
      <c r="AA679" s="309"/>
      <c r="AB679" s="309"/>
      <c r="AC679" s="309"/>
    </row>
    <row r="680" spans="1:29" ht="12.75" customHeight="1">
      <c r="A680" s="309"/>
      <c r="B680" s="309"/>
      <c r="C680" s="309"/>
      <c r="D680" s="309"/>
      <c r="E680" s="309"/>
      <c r="F680" s="309"/>
      <c r="G680" s="309"/>
      <c r="H680" s="309"/>
      <c r="I680" s="309"/>
      <c r="J680" s="309"/>
      <c r="K680" s="1020"/>
      <c r="L680" s="1020"/>
      <c r="M680" s="309"/>
      <c r="N680" s="309"/>
      <c r="O680" s="309"/>
      <c r="P680" s="309"/>
      <c r="Q680" s="326"/>
      <c r="R680" s="326"/>
      <c r="S680" s="326"/>
      <c r="T680" s="309"/>
      <c r="U680" s="309"/>
      <c r="V680" s="309"/>
      <c r="W680" s="328"/>
      <c r="X680" s="309"/>
      <c r="Y680" s="309"/>
      <c r="Z680" s="309"/>
      <c r="AA680" s="309"/>
      <c r="AB680" s="309"/>
      <c r="AC680" s="309"/>
    </row>
    <row r="681" spans="1:29" ht="12.75" customHeight="1">
      <c r="A681" s="309"/>
      <c r="B681" s="309"/>
      <c r="C681" s="309"/>
      <c r="D681" s="309"/>
      <c r="E681" s="309"/>
      <c r="F681" s="309"/>
      <c r="G681" s="309"/>
      <c r="H681" s="309"/>
      <c r="I681" s="309"/>
      <c r="J681" s="309"/>
      <c r="K681" s="1020"/>
      <c r="L681" s="1020"/>
      <c r="M681" s="309"/>
      <c r="N681" s="309"/>
      <c r="O681" s="309"/>
      <c r="P681" s="309"/>
      <c r="Q681" s="326"/>
      <c r="R681" s="326"/>
      <c r="S681" s="326"/>
      <c r="T681" s="309"/>
      <c r="U681" s="309"/>
      <c r="V681" s="309"/>
      <c r="W681" s="328"/>
      <c r="X681" s="309"/>
      <c r="Y681" s="309"/>
      <c r="Z681" s="309"/>
      <c r="AA681" s="309"/>
      <c r="AB681" s="309"/>
      <c r="AC681" s="309"/>
    </row>
    <row r="682" spans="1:29" ht="12.75" customHeight="1">
      <c r="A682" s="309"/>
      <c r="B682" s="309"/>
      <c r="C682" s="309"/>
      <c r="D682" s="309"/>
      <c r="E682" s="309"/>
      <c r="F682" s="309"/>
      <c r="G682" s="309"/>
      <c r="H682" s="309"/>
      <c r="I682" s="309"/>
      <c r="J682" s="309"/>
      <c r="K682" s="1020"/>
      <c r="L682" s="1020"/>
      <c r="M682" s="309"/>
      <c r="N682" s="309"/>
      <c r="O682" s="309"/>
      <c r="P682" s="309"/>
      <c r="Q682" s="326"/>
      <c r="R682" s="326"/>
      <c r="S682" s="326"/>
      <c r="T682" s="309"/>
      <c r="U682" s="309"/>
      <c r="V682" s="309"/>
      <c r="W682" s="328"/>
      <c r="X682" s="309"/>
      <c r="Y682" s="309"/>
      <c r="Z682" s="309"/>
      <c r="AA682" s="309"/>
      <c r="AB682" s="309"/>
      <c r="AC682" s="309"/>
    </row>
    <row r="683" spans="1:29" ht="12.75" customHeight="1">
      <c r="A683" s="309"/>
      <c r="B683" s="309"/>
      <c r="C683" s="309"/>
      <c r="D683" s="309"/>
      <c r="E683" s="309"/>
      <c r="F683" s="309"/>
      <c r="G683" s="309"/>
      <c r="H683" s="309"/>
      <c r="I683" s="309"/>
      <c r="J683" s="309"/>
      <c r="K683" s="1020"/>
      <c r="L683" s="1020"/>
      <c r="M683" s="309"/>
      <c r="N683" s="309"/>
      <c r="O683" s="309"/>
      <c r="P683" s="309"/>
      <c r="Q683" s="326"/>
      <c r="R683" s="326"/>
      <c r="S683" s="326"/>
      <c r="T683" s="309"/>
      <c r="U683" s="309"/>
      <c r="V683" s="309"/>
      <c r="W683" s="328"/>
      <c r="X683" s="309"/>
      <c r="Y683" s="309"/>
      <c r="Z683" s="309"/>
      <c r="AA683" s="309"/>
      <c r="AB683" s="309"/>
      <c r="AC683" s="309"/>
    </row>
    <row r="684" spans="1:29" ht="12.75" customHeight="1">
      <c r="A684" s="309"/>
      <c r="B684" s="309"/>
      <c r="C684" s="309"/>
      <c r="D684" s="309"/>
      <c r="E684" s="309"/>
      <c r="F684" s="309"/>
      <c r="G684" s="309"/>
      <c r="H684" s="309"/>
      <c r="I684" s="309"/>
      <c r="J684" s="309"/>
      <c r="K684" s="1020"/>
      <c r="L684" s="1020"/>
      <c r="M684" s="309"/>
      <c r="N684" s="309"/>
      <c r="O684" s="309"/>
      <c r="P684" s="309"/>
      <c r="Q684" s="326"/>
      <c r="R684" s="326"/>
      <c r="S684" s="326"/>
      <c r="T684" s="309"/>
      <c r="U684" s="309"/>
      <c r="V684" s="309"/>
      <c r="W684" s="328"/>
      <c r="X684" s="309"/>
      <c r="Y684" s="309"/>
      <c r="Z684" s="309"/>
      <c r="AA684" s="309"/>
      <c r="AB684" s="309"/>
      <c r="AC684" s="309"/>
    </row>
    <row r="685" spans="1:29" ht="12.75" customHeight="1">
      <c r="A685" s="309"/>
      <c r="B685" s="309"/>
      <c r="C685" s="309"/>
      <c r="D685" s="309"/>
      <c r="E685" s="309"/>
      <c r="F685" s="309"/>
      <c r="G685" s="309"/>
      <c r="H685" s="309"/>
      <c r="I685" s="309"/>
      <c r="J685" s="309"/>
      <c r="K685" s="1020"/>
      <c r="L685" s="1020"/>
      <c r="M685" s="309"/>
      <c r="N685" s="309"/>
      <c r="O685" s="309"/>
      <c r="P685" s="309"/>
      <c r="Q685" s="326"/>
      <c r="R685" s="326"/>
      <c r="S685" s="326"/>
      <c r="T685" s="309"/>
      <c r="U685" s="309"/>
      <c r="V685" s="309"/>
      <c r="W685" s="328"/>
      <c r="X685" s="309"/>
      <c r="Y685" s="309"/>
      <c r="Z685" s="309"/>
      <c r="AA685" s="309"/>
      <c r="AB685" s="309"/>
      <c r="AC685" s="309"/>
    </row>
    <row r="686" spans="1:29" ht="12.75" customHeight="1">
      <c r="A686" s="309"/>
      <c r="B686" s="309"/>
      <c r="C686" s="309"/>
      <c r="D686" s="309"/>
      <c r="E686" s="309"/>
      <c r="F686" s="309"/>
      <c r="G686" s="309"/>
      <c r="H686" s="309"/>
      <c r="I686" s="309"/>
      <c r="J686" s="309"/>
      <c r="K686" s="1020"/>
      <c r="L686" s="1020"/>
      <c r="M686" s="309"/>
      <c r="N686" s="309"/>
      <c r="O686" s="309"/>
      <c r="P686" s="309"/>
      <c r="Q686" s="326"/>
      <c r="R686" s="326"/>
      <c r="S686" s="326"/>
      <c r="T686" s="309"/>
      <c r="U686" s="309"/>
      <c r="V686" s="309"/>
      <c r="W686" s="328"/>
      <c r="X686" s="309"/>
      <c r="Y686" s="309"/>
      <c r="Z686" s="309"/>
      <c r="AA686" s="309"/>
      <c r="AB686" s="309"/>
      <c r="AC686" s="309"/>
    </row>
    <row r="687" spans="1:29" ht="12.75" customHeight="1">
      <c r="A687" s="309"/>
      <c r="B687" s="309"/>
      <c r="C687" s="309"/>
      <c r="D687" s="309"/>
      <c r="E687" s="309"/>
      <c r="F687" s="309"/>
      <c r="G687" s="309"/>
      <c r="H687" s="309"/>
      <c r="I687" s="309"/>
      <c r="J687" s="309"/>
      <c r="K687" s="1020"/>
      <c r="L687" s="1020"/>
      <c r="M687" s="309"/>
      <c r="N687" s="309"/>
      <c r="O687" s="309"/>
      <c r="P687" s="309"/>
      <c r="Q687" s="326"/>
      <c r="R687" s="326"/>
      <c r="S687" s="326"/>
      <c r="T687" s="309"/>
      <c r="U687" s="309"/>
      <c r="V687" s="309"/>
      <c r="W687" s="328"/>
      <c r="X687" s="309"/>
      <c r="Y687" s="309"/>
      <c r="Z687" s="309"/>
      <c r="AA687" s="309"/>
      <c r="AB687" s="309"/>
      <c r="AC687" s="309"/>
    </row>
    <row r="688" spans="1:29" ht="12.75" customHeight="1">
      <c r="A688" s="309"/>
      <c r="B688" s="309"/>
      <c r="C688" s="309"/>
      <c r="D688" s="309"/>
      <c r="E688" s="309"/>
      <c r="F688" s="309"/>
      <c r="G688" s="309"/>
      <c r="H688" s="309"/>
      <c r="I688" s="309"/>
      <c r="J688" s="309"/>
      <c r="K688" s="1020"/>
      <c r="L688" s="1020"/>
      <c r="M688" s="309"/>
      <c r="N688" s="309"/>
      <c r="O688" s="309"/>
      <c r="P688" s="309"/>
      <c r="Q688" s="326"/>
      <c r="R688" s="326"/>
      <c r="S688" s="326"/>
      <c r="T688" s="309"/>
      <c r="U688" s="309"/>
      <c r="V688" s="309"/>
      <c r="W688" s="328"/>
      <c r="X688" s="309"/>
      <c r="Y688" s="309"/>
      <c r="Z688" s="309"/>
      <c r="AA688" s="309"/>
      <c r="AB688" s="309"/>
      <c r="AC688" s="309"/>
    </row>
    <row r="689" spans="1:29" ht="12.75" customHeight="1">
      <c r="A689" s="309"/>
      <c r="B689" s="309"/>
      <c r="C689" s="309"/>
      <c r="D689" s="309"/>
      <c r="E689" s="309"/>
      <c r="F689" s="309"/>
      <c r="G689" s="309"/>
      <c r="H689" s="309"/>
      <c r="I689" s="309"/>
      <c r="J689" s="309"/>
      <c r="K689" s="1020"/>
      <c r="L689" s="1020"/>
      <c r="M689" s="309"/>
      <c r="N689" s="309"/>
      <c r="O689" s="309"/>
      <c r="P689" s="309"/>
      <c r="Q689" s="326"/>
      <c r="R689" s="326"/>
      <c r="S689" s="326"/>
      <c r="T689" s="309"/>
      <c r="U689" s="309"/>
      <c r="V689" s="309"/>
      <c r="W689" s="328"/>
      <c r="X689" s="309"/>
      <c r="Y689" s="309"/>
      <c r="Z689" s="309"/>
      <c r="AA689" s="309"/>
      <c r="AB689" s="309"/>
      <c r="AC689" s="309"/>
    </row>
    <row r="690" spans="1:29" ht="12.75" customHeight="1">
      <c r="A690" s="309"/>
      <c r="B690" s="309"/>
      <c r="C690" s="309"/>
      <c r="D690" s="309"/>
      <c r="E690" s="309"/>
      <c r="F690" s="309"/>
      <c r="G690" s="309"/>
      <c r="H690" s="309"/>
      <c r="I690" s="309"/>
      <c r="J690" s="309"/>
      <c r="K690" s="1020"/>
      <c r="L690" s="1020"/>
      <c r="M690" s="309"/>
      <c r="N690" s="309"/>
      <c r="O690" s="309"/>
      <c r="P690" s="309"/>
      <c r="Q690" s="326"/>
      <c r="R690" s="326"/>
      <c r="S690" s="326"/>
      <c r="T690" s="309"/>
      <c r="U690" s="309"/>
      <c r="V690" s="309"/>
      <c r="W690" s="328"/>
      <c r="X690" s="309"/>
      <c r="Y690" s="309"/>
      <c r="Z690" s="309"/>
      <c r="AA690" s="309"/>
      <c r="AB690" s="309"/>
      <c r="AC690" s="309"/>
    </row>
    <row r="691" spans="1:29" ht="12.75" customHeight="1">
      <c r="A691" s="309"/>
      <c r="B691" s="309"/>
      <c r="C691" s="309"/>
      <c r="D691" s="309"/>
      <c r="E691" s="309"/>
      <c r="F691" s="309"/>
      <c r="G691" s="309"/>
      <c r="H691" s="309"/>
      <c r="I691" s="309"/>
      <c r="J691" s="309"/>
      <c r="K691" s="1020"/>
      <c r="L691" s="1020"/>
      <c r="M691" s="309"/>
      <c r="N691" s="309"/>
      <c r="O691" s="309"/>
      <c r="P691" s="309"/>
      <c r="Q691" s="326"/>
      <c r="R691" s="326"/>
      <c r="S691" s="326"/>
      <c r="T691" s="309"/>
      <c r="U691" s="309"/>
      <c r="V691" s="309"/>
      <c r="W691" s="328"/>
      <c r="X691" s="309"/>
      <c r="Y691" s="309"/>
      <c r="Z691" s="309"/>
      <c r="AA691" s="309"/>
      <c r="AB691" s="309"/>
      <c r="AC691" s="309"/>
    </row>
    <row r="692" spans="1:29" ht="12.75" customHeight="1">
      <c r="A692" s="309"/>
      <c r="B692" s="309"/>
      <c r="C692" s="309"/>
      <c r="D692" s="309"/>
      <c r="E692" s="309"/>
      <c r="F692" s="309"/>
      <c r="G692" s="309"/>
      <c r="H692" s="309"/>
      <c r="I692" s="309"/>
      <c r="J692" s="309"/>
      <c r="K692" s="1020"/>
      <c r="L692" s="1020"/>
      <c r="M692" s="309"/>
      <c r="N692" s="309"/>
      <c r="O692" s="309"/>
      <c r="P692" s="309"/>
      <c r="Q692" s="326"/>
      <c r="R692" s="326"/>
      <c r="S692" s="326"/>
      <c r="T692" s="309"/>
      <c r="U692" s="309"/>
      <c r="V692" s="309"/>
      <c r="W692" s="328"/>
      <c r="X692" s="309"/>
      <c r="Y692" s="309"/>
      <c r="Z692" s="309"/>
      <c r="AA692" s="309"/>
      <c r="AB692" s="309"/>
      <c r="AC692" s="309"/>
    </row>
    <row r="693" spans="1:29" ht="12.75" customHeight="1">
      <c r="A693" s="309"/>
      <c r="B693" s="309"/>
      <c r="C693" s="309"/>
      <c r="D693" s="309"/>
      <c r="E693" s="309"/>
      <c r="F693" s="309"/>
      <c r="G693" s="309"/>
      <c r="H693" s="309"/>
      <c r="I693" s="309"/>
      <c r="J693" s="309"/>
      <c r="K693" s="1020"/>
      <c r="L693" s="1020"/>
      <c r="M693" s="309"/>
      <c r="N693" s="309"/>
      <c r="O693" s="309"/>
      <c r="P693" s="309"/>
      <c r="Q693" s="326"/>
      <c r="R693" s="326"/>
      <c r="S693" s="326"/>
      <c r="T693" s="309"/>
      <c r="U693" s="309"/>
      <c r="V693" s="309"/>
      <c r="W693" s="328"/>
      <c r="X693" s="309"/>
      <c r="Y693" s="309"/>
      <c r="Z693" s="309"/>
      <c r="AA693" s="309"/>
      <c r="AB693" s="309"/>
      <c r="AC693" s="309"/>
    </row>
    <row r="694" spans="1:29" ht="12.75" customHeight="1">
      <c r="A694" s="309"/>
      <c r="B694" s="309"/>
      <c r="C694" s="309"/>
      <c r="D694" s="309"/>
      <c r="E694" s="309"/>
      <c r="F694" s="309"/>
      <c r="G694" s="309"/>
      <c r="H694" s="309"/>
      <c r="I694" s="309"/>
      <c r="J694" s="309"/>
      <c r="K694" s="1020"/>
      <c r="L694" s="1020"/>
      <c r="M694" s="309"/>
      <c r="N694" s="309"/>
      <c r="O694" s="309"/>
      <c r="P694" s="309"/>
      <c r="Q694" s="326"/>
      <c r="R694" s="326"/>
      <c r="S694" s="326"/>
      <c r="T694" s="309"/>
      <c r="U694" s="309"/>
      <c r="V694" s="309"/>
      <c r="W694" s="328"/>
      <c r="X694" s="309"/>
      <c r="Y694" s="309"/>
      <c r="Z694" s="309"/>
      <c r="AA694" s="309"/>
      <c r="AB694" s="309"/>
      <c r="AC694" s="309"/>
    </row>
    <row r="695" spans="1:29" ht="12.75" customHeight="1">
      <c r="A695" s="309"/>
      <c r="B695" s="309"/>
      <c r="C695" s="309"/>
      <c r="D695" s="309"/>
      <c r="E695" s="309"/>
      <c r="F695" s="309"/>
      <c r="G695" s="309"/>
      <c r="H695" s="309"/>
      <c r="I695" s="309"/>
      <c r="J695" s="309"/>
      <c r="K695" s="1020"/>
      <c r="L695" s="1020"/>
      <c r="M695" s="309"/>
      <c r="N695" s="309"/>
      <c r="O695" s="309"/>
      <c r="P695" s="309"/>
      <c r="Q695" s="326"/>
      <c r="R695" s="326"/>
      <c r="S695" s="326"/>
      <c r="T695" s="309"/>
      <c r="U695" s="309"/>
      <c r="V695" s="309"/>
      <c r="W695" s="328"/>
      <c r="X695" s="309"/>
      <c r="Y695" s="309"/>
      <c r="Z695" s="309"/>
      <c r="AA695" s="309"/>
      <c r="AB695" s="309"/>
      <c r="AC695" s="309"/>
    </row>
    <row r="696" spans="1:29" ht="12.75" customHeight="1">
      <c r="A696" s="309"/>
      <c r="B696" s="309"/>
      <c r="C696" s="309"/>
      <c r="D696" s="309"/>
      <c r="E696" s="309"/>
      <c r="F696" s="309"/>
      <c r="G696" s="309"/>
      <c r="H696" s="309"/>
      <c r="I696" s="309"/>
      <c r="J696" s="309"/>
      <c r="K696" s="1020"/>
      <c r="L696" s="1020"/>
      <c r="M696" s="309"/>
      <c r="N696" s="309"/>
      <c r="O696" s="309"/>
      <c r="P696" s="309"/>
      <c r="Q696" s="326"/>
      <c r="R696" s="326"/>
      <c r="S696" s="326"/>
      <c r="T696" s="309"/>
      <c r="U696" s="309"/>
      <c r="V696" s="309"/>
      <c r="W696" s="328"/>
      <c r="X696" s="309"/>
      <c r="Y696" s="309"/>
      <c r="Z696" s="309"/>
      <c r="AA696" s="309"/>
      <c r="AB696" s="309"/>
      <c r="AC696" s="309"/>
    </row>
    <row r="697" spans="1:29" ht="12.75" customHeight="1">
      <c r="A697" s="309"/>
      <c r="B697" s="309"/>
      <c r="C697" s="309"/>
      <c r="D697" s="309"/>
      <c r="E697" s="309"/>
      <c r="F697" s="309"/>
      <c r="G697" s="309"/>
      <c r="H697" s="309"/>
      <c r="I697" s="309"/>
      <c r="J697" s="309"/>
      <c r="K697" s="1020"/>
      <c r="L697" s="1020"/>
      <c r="M697" s="309"/>
      <c r="N697" s="309"/>
      <c r="O697" s="309"/>
      <c r="P697" s="309"/>
      <c r="Q697" s="326"/>
      <c r="R697" s="326"/>
      <c r="S697" s="326"/>
      <c r="T697" s="309"/>
      <c r="U697" s="309"/>
      <c r="V697" s="309"/>
      <c r="W697" s="328"/>
      <c r="X697" s="309"/>
      <c r="Y697" s="309"/>
      <c r="Z697" s="309"/>
      <c r="AA697" s="309"/>
      <c r="AB697" s="309"/>
      <c r="AC697" s="309"/>
    </row>
    <row r="698" spans="1:29" ht="12.75" customHeight="1">
      <c r="A698" s="309"/>
      <c r="B698" s="309"/>
      <c r="C698" s="309"/>
      <c r="D698" s="309"/>
      <c r="E698" s="309"/>
      <c r="F698" s="309"/>
      <c r="G698" s="309"/>
      <c r="H698" s="309"/>
      <c r="I698" s="309"/>
      <c r="J698" s="309"/>
      <c r="K698" s="1020"/>
      <c r="L698" s="1020"/>
      <c r="M698" s="309"/>
      <c r="N698" s="309"/>
      <c r="O698" s="309"/>
      <c r="P698" s="309"/>
      <c r="Q698" s="326"/>
      <c r="R698" s="326"/>
      <c r="S698" s="326"/>
      <c r="T698" s="309"/>
      <c r="U698" s="309"/>
      <c r="V698" s="309"/>
      <c r="W698" s="328"/>
      <c r="X698" s="309"/>
      <c r="Y698" s="309"/>
      <c r="Z698" s="309"/>
      <c r="AA698" s="309"/>
      <c r="AB698" s="309"/>
      <c r="AC698" s="309"/>
    </row>
    <row r="699" spans="1:29" ht="12.75" customHeight="1">
      <c r="A699" s="309"/>
      <c r="B699" s="309"/>
      <c r="C699" s="309"/>
      <c r="D699" s="309"/>
      <c r="E699" s="309"/>
      <c r="F699" s="309"/>
      <c r="G699" s="309"/>
      <c r="H699" s="309"/>
      <c r="I699" s="309"/>
      <c r="J699" s="309"/>
      <c r="K699" s="1020"/>
      <c r="L699" s="1020"/>
      <c r="M699" s="309"/>
      <c r="N699" s="309"/>
      <c r="O699" s="309"/>
      <c r="P699" s="309"/>
      <c r="Q699" s="326"/>
      <c r="R699" s="326"/>
      <c r="S699" s="326"/>
      <c r="T699" s="309"/>
      <c r="U699" s="309"/>
      <c r="V699" s="309"/>
      <c r="W699" s="328"/>
      <c r="X699" s="309"/>
      <c r="Y699" s="309"/>
      <c r="Z699" s="309"/>
      <c r="AA699" s="309"/>
      <c r="AB699" s="309"/>
      <c r="AC699" s="309"/>
    </row>
    <row r="700" spans="1:29" ht="12.75" customHeight="1">
      <c r="A700" s="309"/>
      <c r="B700" s="309"/>
      <c r="C700" s="309"/>
      <c r="D700" s="309"/>
      <c r="E700" s="309"/>
      <c r="F700" s="309"/>
      <c r="G700" s="309"/>
      <c r="H700" s="309"/>
      <c r="I700" s="309"/>
      <c r="J700" s="309"/>
      <c r="K700" s="1020"/>
      <c r="L700" s="1020"/>
      <c r="M700" s="309"/>
      <c r="N700" s="309"/>
      <c r="O700" s="309"/>
      <c r="P700" s="309"/>
      <c r="Q700" s="326"/>
      <c r="R700" s="326"/>
      <c r="S700" s="326"/>
      <c r="T700" s="309"/>
      <c r="U700" s="309"/>
      <c r="V700" s="309"/>
      <c r="W700" s="328"/>
      <c r="X700" s="309"/>
      <c r="Y700" s="309"/>
      <c r="Z700" s="309"/>
      <c r="AA700" s="309"/>
      <c r="AB700" s="309"/>
      <c r="AC700" s="309"/>
    </row>
    <row r="701" spans="1:29" ht="12.75" customHeight="1">
      <c r="A701" s="309"/>
      <c r="B701" s="309"/>
      <c r="C701" s="309"/>
      <c r="D701" s="309"/>
      <c r="E701" s="309"/>
      <c r="F701" s="309"/>
      <c r="G701" s="309"/>
      <c r="H701" s="309"/>
      <c r="I701" s="309"/>
      <c r="J701" s="309"/>
      <c r="K701" s="1020"/>
      <c r="L701" s="1020"/>
      <c r="M701" s="309"/>
      <c r="N701" s="309"/>
      <c r="O701" s="309"/>
      <c r="P701" s="309"/>
      <c r="Q701" s="326"/>
      <c r="R701" s="326"/>
      <c r="S701" s="326"/>
      <c r="T701" s="309"/>
      <c r="U701" s="309"/>
      <c r="V701" s="309"/>
      <c r="W701" s="328"/>
      <c r="X701" s="309"/>
      <c r="Y701" s="309"/>
      <c r="Z701" s="309"/>
      <c r="AA701" s="309"/>
      <c r="AB701" s="309"/>
      <c r="AC701" s="309"/>
    </row>
    <row r="702" spans="1:29" ht="12.75" customHeight="1">
      <c r="A702" s="309"/>
      <c r="B702" s="309"/>
      <c r="C702" s="309"/>
      <c r="D702" s="309"/>
      <c r="E702" s="309"/>
      <c r="F702" s="309"/>
      <c r="G702" s="309"/>
      <c r="H702" s="309"/>
      <c r="I702" s="309"/>
      <c r="J702" s="309"/>
      <c r="K702" s="1020"/>
      <c r="L702" s="1020"/>
      <c r="M702" s="309"/>
      <c r="N702" s="309"/>
      <c r="O702" s="309"/>
      <c r="P702" s="309"/>
      <c r="Q702" s="326"/>
      <c r="R702" s="326"/>
      <c r="S702" s="326"/>
      <c r="T702" s="309"/>
      <c r="U702" s="309"/>
      <c r="V702" s="309"/>
      <c r="W702" s="328"/>
      <c r="X702" s="309"/>
      <c r="Y702" s="309"/>
      <c r="Z702" s="309"/>
      <c r="AA702" s="309"/>
      <c r="AB702" s="309"/>
      <c r="AC702" s="309"/>
    </row>
    <row r="703" spans="1:29" ht="12.75" customHeight="1">
      <c r="A703" s="309"/>
      <c r="B703" s="309"/>
      <c r="C703" s="309"/>
      <c r="D703" s="309"/>
      <c r="E703" s="309"/>
      <c r="F703" s="309"/>
      <c r="G703" s="309"/>
      <c r="H703" s="309"/>
      <c r="I703" s="309"/>
      <c r="J703" s="309"/>
      <c r="K703" s="1020"/>
      <c r="L703" s="1020"/>
      <c r="M703" s="309"/>
      <c r="N703" s="309"/>
      <c r="O703" s="309"/>
      <c r="P703" s="309"/>
      <c r="Q703" s="326"/>
      <c r="R703" s="326"/>
      <c r="S703" s="326"/>
      <c r="T703" s="309"/>
      <c r="U703" s="309"/>
      <c r="V703" s="309"/>
      <c r="W703" s="328"/>
      <c r="X703" s="309"/>
      <c r="Y703" s="309"/>
      <c r="Z703" s="309"/>
      <c r="AA703" s="309"/>
      <c r="AB703" s="309"/>
      <c r="AC703" s="309"/>
    </row>
    <row r="704" spans="1:29" ht="12.75" customHeight="1">
      <c r="A704" s="309"/>
      <c r="B704" s="309"/>
      <c r="C704" s="309"/>
      <c r="D704" s="309"/>
      <c r="E704" s="309"/>
      <c r="F704" s="309"/>
      <c r="G704" s="309"/>
      <c r="H704" s="309"/>
      <c r="I704" s="309"/>
      <c r="J704" s="309"/>
      <c r="K704" s="1020"/>
      <c r="L704" s="1020"/>
      <c r="M704" s="309"/>
      <c r="N704" s="309"/>
      <c r="O704" s="309"/>
      <c r="P704" s="309"/>
      <c r="Q704" s="326"/>
      <c r="R704" s="326"/>
      <c r="S704" s="326"/>
      <c r="T704" s="309"/>
      <c r="U704" s="309"/>
      <c r="V704" s="309"/>
      <c r="W704" s="328"/>
      <c r="X704" s="309"/>
      <c r="Y704" s="309"/>
      <c r="Z704" s="309"/>
      <c r="AA704" s="309"/>
      <c r="AB704" s="309"/>
      <c r="AC704" s="309"/>
    </row>
    <row r="705" spans="1:29" ht="12.75" customHeight="1">
      <c r="A705" s="309"/>
      <c r="B705" s="309"/>
      <c r="C705" s="309"/>
      <c r="D705" s="309"/>
      <c r="E705" s="309"/>
      <c r="F705" s="309"/>
      <c r="G705" s="309"/>
      <c r="H705" s="309"/>
      <c r="I705" s="309"/>
      <c r="J705" s="309"/>
      <c r="K705" s="1020"/>
      <c r="L705" s="1020"/>
      <c r="M705" s="309"/>
      <c r="N705" s="309"/>
      <c r="O705" s="309"/>
      <c r="P705" s="309"/>
      <c r="Q705" s="326"/>
      <c r="R705" s="326"/>
      <c r="S705" s="326"/>
      <c r="T705" s="309"/>
      <c r="U705" s="309"/>
      <c r="V705" s="309"/>
      <c r="W705" s="328"/>
      <c r="X705" s="309"/>
      <c r="Y705" s="309"/>
      <c r="Z705" s="309"/>
      <c r="AA705" s="309"/>
      <c r="AB705" s="309"/>
      <c r="AC705" s="309"/>
    </row>
    <row r="706" spans="1:29" ht="12.75" customHeight="1">
      <c r="A706" s="309"/>
      <c r="B706" s="309"/>
      <c r="C706" s="309"/>
      <c r="D706" s="309"/>
      <c r="E706" s="309"/>
      <c r="F706" s="309"/>
      <c r="G706" s="309"/>
      <c r="H706" s="309"/>
      <c r="I706" s="309"/>
      <c r="J706" s="309"/>
      <c r="K706" s="1020"/>
      <c r="L706" s="1020"/>
      <c r="M706" s="309"/>
      <c r="N706" s="309"/>
      <c r="O706" s="309"/>
      <c r="P706" s="309"/>
      <c r="Q706" s="326"/>
      <c r="R706" s="326"/>
      <c r="S706" s="326"/>
      <c r="T706" s="309"/>
      <c r="U706" s="309"/>
      <c r="V706" s="309"/>
      <c r="W706" s="328"/>
      <c r="X706" s="309"/>
      <c r="Y706" s="309"/>
      <c r="Z706" s="309"/>
      <c r="AA706" s="309"/>
      <c r="AB706" s="309"/>
      <c r="AC706" s="309"/>
    </row>
    <row r="707" spans="1:29" ht="12.75" customHeight="1">
      <c r="A707" s="309"/>
      <c r="B707" s="309"/>
      <c r="C707" s="309"/>
      <c r="D707" s="309"/>
      <c r="E707" s="309"/>
      <c r="F707" s="309"/>
      <c r="G707" s="309"/>
      <c r="H707" s="309"/>
      <c r="I707" s="309"/>
      <c r="J707" s="309"/>
      <c r="K707" s="1020"/>
      <c r="L707" s="1020"/>
      <c r="M707" s="309"/>
      <c r="N707" s="309"/>
      <c r="O707" s="309"/>
      <c r="P707" s="309"/>
      <c r="Q707" s="326"/>
      <c r="R707" s="326"/>
      <c r="S707" s="326"/>
      <c r="T707" s="309"/>
      <c r="U707" s="309"/>
      <c r="V707" s="309"/>
      <c r="W707" s="328"/>
      <c r="X707" s="309"/>
      <c r="Y707" s="309"/>
      <c r="Z707" s="309"/>
      <c r="AA707" s="309"/>
      <c r="AB707" s="309"/>
      <c r="AC707" s="309"/>
    </row>
    <row r="708" spans="1:29" ht="12.75" customHeight="1">
      <c r="A708" s="309"/>
      <c r="B708" s="309"/>
      <c r="C708" s="309"/>
      <c r="D708" s="309"/>
      <c r="E708" s="309"/>
      <c r="F708" s="309"/>
      <c r="G708" s="309"/>
      <c r="H708" s="309"/>
      <c r="I708" s="309"/>
      <c r="J708" s="309"/>
      <c r="K708" s="1020"/>
      <c r="L708" s="1020"/>
      <c r="M708" s="309"/>
      <c r="N708" s="309"/>
      <c r="O708" s="309"/>
      <c r="P708" s="309"/>
      <c r="Q708" s="326"/>
      <c r="R708" s="326"/>
      <c r="S708" s="326"/>
      <c r="T708" s="309"/>
      <c r="U708" s="309"/>
      <c r="V708" s="309"/>
      <c r="W708" s="328"/>
      <c r="X708" s="309"/>
      <c r="Y708" s="309"/>
      <c r="Z708" s="309"/>
      <c r="AA708" s="309"/>
      <c r="AB708" s="309"/>
      <c r="AC708" s="309"/>
    </row>
    <row r="709" spans="1:29" ht="12.75" customHeight="1">
      <c r="A709" s="309"/>
      <c r="B709" s="309"/>
      <c r="C709" s="309"/>
      <c r="D709" s="309"/>
      <c r="E709" s="309"/>
      <c r="F709" s="309"/>
      <c r="G709" s="309"/>
      <c r="H709" s="309"/>
      <c r="I709" s="309"/>
      <c r="J709" s="309"/>
      <c r="K709" s="1020"/>
      <c r="L709" s="1020"/>
      <c r="M709" s="309"/>
      <c r="N709" s="309"/>
      <c r="O709" s="309"/>
      <c r="P709" s="309"/>
      <c r="Q709" s="326"/>
      <c r="R709" s="326"/>
      <c r="S709" s="326"/>
      <c r="T709" s="309"/>
      <c r="U709" s="309"/>
      <c r="V709" s="309"/>
      <c r="W709" s="328"/>
      <c r="X709" s="309"/>
      <c r="Y709" s="309"/>
      <c r="Z709" s="309"/>
      <c r="AA709" s="309"/>
      <c r="AB709" s="309"/>
      <c r="AC709" s="309"/>
    </row>
    <row r="710" spans="1:29" ht="12.75" customHeight="1">
      <c r="A710" s="309"/>
      <c r="B710" s="309"/>
      <c r="C710" s="309"/>
      <c r="D710" s="309"/>
      <c r="E710" s="309"/>
      <c r="F710" s="309"/>
      <c r="G710" s="309"/>
      <c r="H710" s="309"/>
      <c r="I710" s="309"/>
      <c r="J710" s="309"/>
      <c r="K710" s="1020"/>
      <c r="L710" s="1020"/>
      <c r="M710" s="309"/>
      <c r="N710" s="309"/>
      <c r="O710" s="309"/>
      <c r="P710" s="309"/>
      <c r="Q710" s="326"/>
      <c r="R710" s="326"/>
      <c r="S710" s="326"/>
      <c r="T710" s="309"/>
      <c r="U710" s="309"/>
      <c r="V710" s="309"/>
      <c r="W710" s="328"/>
      <c r="X710" s="309"/>
      <c r="Y710" s="309"/>
      <c r="Z710" s="309"/>
      <c r="AA710" s="309"/>
      <c r="AB710" s="309"/>
      <c r="AC710" s="309"/>
    </row>
    <row r="711" spans="1:29" ht="12.75" customHeight="1">
      <c r="A711" s="309"/>
      <c r="B711" s="309"/>
      <c r="C711" s="309"/>
      <c r="D711" s="309"/>
      <c r="E711" s="309"/>
      <c r="F711" s="309"/>
      <c r="G711" s="309"/>
      <c r="H711" s="309"/>
      <c r="I711" s="309"/>
      <c r="J711" s="309"/>
      <c r="K711" s="1020"/>
      <c r="L711" s="1020"/>
      <c r="M711" s="309"/>
      <c r="N711" s="309"/>
      <c r="O711" s="309"/>
      <c r="P711" s="309"/>
      <c r="Q711" s="326"/>
      <c r="R711" s="326"/>
      <c r="S711" s="326"/>
      <c r="T711" s="309"/>
      <c r="U711" s="309"/>
      <c r="V711" s="309"/>
      <c r="W711" s="328"/>
      <c r="X711" s="309"/>
      <c r="Y711" s="309"/>
      <c r="Z711" s="309"/>
      <c r="AA711" s="309"/>
      <c r="AB711" s="309"/>
      <c r="AC711" s="309"/>
    </row>
    <row r="712" spans="1:29" ht="12.75" customHeight="1">
      <c r="A712" s="309"/>
      <c r="B712" s="309"/>
      <c r="C712" s="309"/>
      <c r="D712" s="309"/>
      <c r="E712" s="309"/>
      <c r="F712" s="309"/>
      <c r="G712" s="309"/>
      <c r="H712" s="309"/>
      <c r="I712" s="309"/>
      <c r="J712" s="309"/>
      <c r="K712" s="1020"/>
      <c r="L712" s="1020"/>
      <c r="M712" s="309"/>
      <c r="N712" s="309"/>
      <c r="O712" s="309"/>
      <c r="P712" s="309"/>
      <c r="Q712" s="326"/>
      <c r="R712" s="326"/>
      <c r="S712" s="326"/>
      <c r="T712" s="309"/>
      <c r="U712" s="309"/>
      <c r="V712" s="309"/>
      <c r="W712" s="328"/>
      <c r="X712" s="309"/>
      <c r="Y712" s="309"/>
      <c r="Z712" s="309"/>
      <c r="AA712" s="309"/>
      <c r="AB712" s="309"/>
      <c r="AC712" s="309"/>
    </row>
    <row r="713" spans="1:29" ht="12.75" customHeight="1">
      <c r="A713" s="309"/>
      <c r="B713" s="309"/>
      <c r="C713" s="309"/>
      <c r="D713" s="309"/>
      <c r="E713" s="309"/>
      <c r="F713" s="309"/>
      <c r="G713" s="309"/>
      <c r="H713" s="309"/>
      <c r="I713" s="309"/>
      <c r="J713" s="309"/>
      <c r="K713" s="1020"/>
      <c r="L713" s="1020"/>
      <c r="M713" s="309"/>
      <c r="N713" s="309"/>
      <c r="O713" s="309"/>
      <c r="P713" s="309"/>
      <c r="Q713" s="326"/>
      <c r="R713" s="326"/>
      <c r="S713" s="326"/>
      <c r="T713" s="309"/>
      <c r="U713" s="309"/>
      <c r="V713" s="309"/>
      <c r="W713" s="328"/>
      <c r="X713" s="309"/>
      <c r="Y713" s="309"/>
      <c r="Z713" s="309"/>
      <c r="AA713" s="309"/>
      <c r="AB713" s="309"/>
      <c r="AC713" s="309"/>
    </row>
    <row r="714" spans="1:29" ht="12.75" customHeight="1">
      <c r="A714" s="309"/>
      <c r="B714" s="309"/>
      <c r="C714" s="309"/>
      <c r="D714" s="309"/>
      <c r="E714" s="309"/>
      <c r="F714" s="309"/>
      <c r="G714" s="309"/>
      <c r="H714" s="309"/>
      <c r="I714" s="309"/>
      <c r="J714" s="309"/>
      <c r="K714" s="1020"/>
      <c r="L714" s="1020"/>
      <c r="M714" s="309"/>
      <c r="N714" s="309"/>
      <c r="O714" s="309"/>
      <c r="P714" s="309"/>
      <c r="Q714" s="326"/>
      <c r="R714" s="326"/>
      <c r="S714" s="326"/>
      <c r="T714" s="309"/>
      <c r="U714" s="309"/>
      <c r="V714" s="309"/>
      <c r="W714" s="328"/>
      <c r="X714" s="309"/>
      <c r="Y714" s="309"/>
      <c r="Z714" s="309"/>
      <c r="AA714" s="309"/>
      <c r="AB714" s="309"/>
      <c r="AC714" s="309"/>
    </row>
    <row r="715" spans="1:29" ht="12.75" customHeight="1">
      <c r="A715" s="309"/>
      <c r="B715" s="309"/>
      <c r="C715" s="309"/>
      <c r="D715" s="309"/>
      <c r="E715" s="309"/>
      <c r="F715" s="309"/>
      <c r="G715" s="309"/>
      <c r="H715" s="309"/>
      <c r="I715" s="309"/>
      <c r="J715" s="309"/>
      <c r="K715" s="1020"/>
      <c r="L715" s="1020"/>
      <c r="M715" s="309"/>
      <c r="N715" s="309"/>
      <c r="O715" s="309"/>
      <c r="P715" s="309"/>
      <c r="Q715" s="326"/>
      <c r="R715" s="326"/>
      <c r="S715" s="326"/>
      <c r="T715" s="309"/>
      <c r="U715" s="309"/>
      <c r="V715" s="309"/>
      <c r="W715" s="328"/>
      <c r="X715" s="309"/>
      <c r="Y715" s="309"/>
      <c r="Z715" s="309"/>
      <c r="AA715" s="309"/>
      <c r="AB715" s="309"/>
      <c r="AC715" s="309"/>
    </row>
    <row r="716" spans="1:29" ht="12.75" customHeight="1">
      <c r="A716" s="309"/>
      <c r="B716" s="309"/>
      <c r="C716" s="309"/>
      <c r="D716" s="309"/>
      <c r="E716" s="309"/>
      <c r="F716" s="309"/>
      <c r="G716" s="309"/>
      <c r="H716" s="309"/>
      <c r="I716" s="309"/>
      <c r="J716" s="309"/>
      <c r="K716" s="1020"/>
      <c r="L716" s="1020"/>
      <c r="M716" s="309"/>
      <c r="N716" s="309"/>
      <c r="O716" s="309"/>
      <c r="P716" s="309"/>
      <c r="Q716" s="326"/>
      <c r="R716" s="326"/>
      <c r="S716" s="326"/>
      <c r="T716" s="309"/>
      <c r="U716" s="309"/>
      <c r="V716" s="309"/>
      <c r="W716" s="328"/>
      <c r="X716" s="309"/>
      <c r="Y716" s="309"/>
      <c r="Z716" s="309"/>
      <c r="AA716" s="309"/>
      <c r="AB716" s="309"/>
      <c r="AC716" s="309"/>
    </row>
    <row r="717" spans="1:29" ht="12.75" customHeight="1">
      <c r="A717" s="309"/>
      <c r="B717" s="309"/>
      <c r="C717" s="309"/>
      <c r="D717" s="309"/>
      <c r="E717" s="309"/>
      <c r="F717" s="309"/>
      <c r="G717" s="309"/>
      <c r="H717" s="309"/>
      <c r="I717" s="309"/>
      <c r="J717" s="309"/>
      <c r="K717" s="1020"/>
      <c r="L717" s="1020"/>
      <c r="M717" s="309"/>
      <c r="N717" s="309"/>
      <c r="O717" s="309"/>
      <c r="P717" s="309"/>
      <c r="Q717" s="326"/>
      <c r="R717" s="326"/>
      <c r="S717" s="326"/>
      <c r="T717" s="309"/>
      <c r="U717" s="309"/>
      <c r="V717" s="309"/>
      <c r="W717" s="328"/>
      <c r="X717" s="309"/>
      <c r="Y717" s="309"/>
      <c r="Z717" s="309"/>
      <c r="AA717" s="309"/>
      <c r="AB717" s="309"/>
      <c r="AC717" s="309"/>
    </row>
    <row r="718" spans="1:29" ht="12.75" customHeight="1">
      <c r="A718" s="309"/>
      <c r="B718" s="309"/>
      <c r="C718" s="309"/>
      <c r="D718" s="309"/>
      <c r="E718" s="309"/>
      <c r="F718" s="309"/>
      <c r="G718" s="309"/>
      <c r="H718" s="309"/>
      <c r="I718" s="309"/>
      <c r="J718" s="309"/>
      <c r="K718" s="1020"/>
      <c r="L718" s="1020"/>
      <c r="M718" s="309"/>
      <c r="N718" s="309"/>
      <c r="O718" s="309"/>
      <c r="P718" s="309"/>
      <c r="Q718" s="326"/>
      <c r="R718" s="326"/>
      <c r="S718" s="326"/>
      <c r="T718" s="309"/>
      <c r="U718" s="309"/>
      <c r="V718" s="309"/>
      <c r="W718" s="328"/>
      <c r="X718" s="309"/>
      <c r="Y718" s="309"/>
      <c r="Z718" s="309"/>
      <c r="AA718" s="309"/>
      <c r="AB718" s="309"/>
      <c r="AC718" s="309"/>
    </row>
    <row r="719" spans="1:29" ht="12.75" customHeight="1">
      <c r="A719" s="309"/>
      <c r="B719" s="309"/>
      <c r="C719" s="309"/>
      <c r="D719" s="309"/>
      <c r="E719" s="309"/>
      <c r="F719" s="309"/>
      <c r="G719" s="309"/>
      <c r="H719" s="309"/>
      <c r="I719" s="309"/>
      <c r="J719" s="309"/>
      <c r="K719" s="1020"/>
      <c r="L719" s="1020"/>
      <c r="M719" s="309"/>
      <c r="N719" s="309"/>
      <c r="O719" s="309"/>
      <c r="P719" s="309"/>
      <c r="Q719" s="326"/>
      <c r="R719" s="326"/>
      <c r="S719" s="326"/>
      <c r="T719" s="309"/>
      <c r="U719" s="309"/>
      <c r="V719" s="309"/>
      <c r="W719" s="328"/>
      <c r="X719" s="309"/>
      <c r="Y719" s="309"/>
      <c r="Z719" s="309"/>
      <c r="AA719" s="309"/>
      <c r="AB719" s="309"/>
      <c r="AC719" s="309"/>
    </row>
    <row r="720" spans="1:29" ht="12.75" customHeight="1">
      <c r="A720" s="309"/>
      <c r="B720" s="309"/>
      <c r="C720" s="309"/>
      <c r="D720" s="309"/>
      <c r="E720" s="309"/>
      <c r="F720" s="309"/>
      <c r="G720" s="309"/>
      <c r="H720" s="309"/>
      <c r="I720" s="309"/>
      <c r="J720" s="309"/>
      <c r="K720" s="1020"/>
      <c r="L720" s="1020"/>
      <c r="M720" s="309"/>
      <c r="N720" s="309"/>
      <c r="O720" s="309"/>
      <c r="P720" s="309"/>
      <c r="Q720" s="326"/>
      <c r="R720" s="326"/>
      <c r="S720" s="326"/>
      <c r="T720" s="309"/>
      <c r="U720" s="309"/>
      <c r="V720" s="309"/>
      <c r="W720" s="328"/>
      <c r="X720" s="309"/>
      <c r="Y720" s="309"/>
      <c r="Z720" s="309"/>
      <c r="AA720" s="309"/>
      <c r="AB720" s="309"/>
      <c r="AC720" s="309"/>
    </row>
    <row r="721" spans="1:29" ht="12.75" customHeight="1">
      <c r="A721" s="309"/>
      <c r="B721" s="309"/>
      <c r="C721" s="309"/>
      <c r="D721" s="309"/>
      <c r="E721" s="309"/>
      <c r="F721" s="309"/>
      <c r="G721" s="309"/>
      <c r="H721" s="309"/>
      <c r="I721" s="309"/>
      <c r="J721" s="309"/>
      <c r="K721" s="1020"/>
      <c r="L721" s="1020"/>
      <c r="M721" s="309"/>
      <c r="N721" s="309"/>
      <c r="O721" s="309"/>
      <c r="P721" s="309"/>
      <c r="Q721" s="326"/>
      <c r="R721" s="326"/>
      <c r="S721" s="326"/>
      <c r="T721" s="309"/>
      <c r="U721" s="309"/>
      <c r="V721" s="309"/>
      <c r="W721" s="328"/>
      <c r="X721" s="309"/>
      <c r="Y721" s="309"/>
      <c r="Z721" s="309"/>
      <c r="AA721" s="309"/>
      <c r="AB721" s="309"/>
      <c r="AC721" s="309"/>
    </row>
    <row r="722" spans="1:29" ht="12.75" customHeight="1">
      <c r="A722" s="309"/>
      <c r="B722" s="309"/>
      <c r="C722" s="309"/>
      <c r="D722" s="309"/>
      <c r="E722" s="309"/>
      <c r="F722" s="309"/>
      <c r="G722" s="309"/>
      <c r="H722" s="309"/>
      <c r="I722" s="309"/>
      <c r="J722" s="309"/>
      <c r="K722" s="1020"/>
      <c r="L722" s="1020"/>
      <c r="M722" s="309"/>
      <c r="N722" s="309"/>
      <c r="O722" s="309"/>
      <c r="P722" s="309"/>
      <c r="Q722" s="326"/>
      <c r="R722" s="326"/>
      <c r="S722" s="326"/>
      <c r="T722" s="309"/>
      <c r="U722" s="309"/>
      <c r="V722" s="309"/>
      <c r="W722" s="328"/>
      <c r="X722" s="309"/>
      <c r="Y722" s="309"/>
      <c r="Z722" s="309"/>
      <c r="AA722" s="309"/>
      <c r="AB722" s="309"/>
      <c r="AC722" s="309"/>
    </row>
    <row r="723" spans="1:29" ht="12.75" customHeight="1">
      <c r="A723" s="309"/>
      <c r="B723" s="309"/>
      <c r="C723" s="309"/>
      <c r="D723" s="309"/>
      <c r="E723" s="309"/>
      <c r="F723" s="309"/>
      <c r="G723" s="309"/>
      <c r="H723" s="309"/>
      <c r="I723" s="309"/>
      <c r="J723" s="309"/>
      <c r="K723" s="1020"/>
      <c r="L723" s="1020"/>
      <c r="M723" s="309"/>
      <c r="N723" s="309"/>
      <c r="O723" s="309"/>
      <c r="P723" s="309"/>
      <c r="Q723" s="326"/>
      <c r="R723" s="326"/>
      <c r="S723" s="326"/>
      <c r="T723" s="309"/>
      <c r="U723" s="309"/>
      <c r="V723" s="309"/>
      <c r="W723" s="328"/>
      <c r="X723" s="309"/>
      <c r="Y723" s="309"/>
      <c r="Z723" s="309"/>
      <c r="AA723" s="309"/>
      <c r="AB723" s="309"/>
      <c r="AC723" s="309"/>
    </row>
    <row r="724" spans="1:29" ht="12.75" customHeight="1">
      <c r="A724" s="309"/>
      <c r="B724" s="309"/>
      <c r="C724" s="309"/>
      <c r="D724" s="309"/>
      <c r="E724" s="309"/>
      <c r="F724" s="309"/>
      <c r="G724" s="309"/>
      <c r="H724" s="309"/>
      <c r="I724" s="309"/>
      <c r="J724" s="309"/>
      <c r="K724" s="1020"/>
      <c r="L724" s="1020"/>
      <c r="M724" s="309"/>
      <c r="N724" s="309"/>
      <c r="O724" s="309"/>
      <c r="P724" s="309"/>
      <c r="Q724" s="326"/>
      <c r="R724" s="326"/>
      <c r="S724" s="326"/>
      <c r="T724" s="309"/>
      <c r="U724" s="309"/>
      <c r="V724" s="309"/>
      <c r="W724" s="328"/>
      <c r="X724" s="309"/>
      <c r="Y724" s="309"/>
      <c r="Z724" s="309"/>
      <c r="AA724" s="309"/>
      <c r="AB724" s="309"/>
      <c r="AC724" s="309"/>
    </row>
    <row r="725" spans="1:29" ht="12.75" customHeight="1">
      <c r="A725" s="309"/>
      <c r="B725" s="309"/>
      <c r="C725" s="309"/>
      <c r="D725" s="309"/>
      <c r="E725" s="309"/>
      <c r="F725" s="309"/>
      <c r="G725" s="309"/>
      <c r="H725" s="309"/>
      <c r="I725" s="309"/>
      <c r="J725" s="309"/>
      <c r="K725" s="1020"/>
      <c r="L725" s="1020"/>
      <c r="M725" s="309"/>
      <c r="N725" s="309"/>
      <c r="O725" s="309"/>
      <c r="P725" s="309"/>
      <c r="Q725" s="326"/>
      <c r="R725" s="326"/>
      <c r="S725" s="326"/>
      <c r="T725" s="309"/>
      <c r="U725" s="309"/>
      <c r="V725" s="309"/>
      <c r="W725" s="328"/>
      <c r="X725" s="309"/>
      <c r="Y725" s="309"/>
      <c r="Z725" s="309"/>
      <c r="AA725" s="309"/>
      <c r="AB725" s="309"/>
      <c r="AC725" s="309"/>
    </row>
    <row r="726" spans="1:29" ht="12.75" customHeight="1">
      <c r="A726" s="309"/>
      <c r="B726" s="309"/>
      <c r="C726" s="309"/>
      <c r="D726" s="309"/>
      <c r="E726" s="309"/>
      <c r="F726" s="309"/>
      <c r="G726" s="309"/>
      <c r="H726" s="309"/>
      <c r="I726" s="309"/>
      <c r="J726" s="309"/>
      <c r="K726" s="1020"/>
      <c r="L726" s="1020"/>
      <c r="M726" s="309"/>
      <c r="N726" s="309"/>
      <c r="O726" s="309"/>
      <c r="P726" s="309"/>
      <c r="Q726" s="326"/>
      <c r="R726" s="326"/>
      <c r="S726" s="326"/>
      <c r="T726" s="309"/>
      <c r="U726" s="309"/>
      <c r="V726" s="309"/>
      <c r="W726" s="328"/>
      <c r="X726" s="309"/>
      <c r="Y726" s="309"/>
      <c r="Z726" s="309"/>
      <c r="AA726" s="309"/>
      <c r="AB726" s="309"/>
      <c r="AC726" s="309"/>
    </row>
    <row r="727" spans="1:29" ht="12.75" customHeight="1">
      <c r="A727" s="309"/>
      <c r="B727" s="309"/>
      <c r="C727" s="309"/>
      <c r="D727" s="309"/>
      <c r="E727" s="309"/>
      <c r="F727" s="309"/>
      <c r="G727" s="309"/>
      <c r="H727" s="309"/>
      <c r="I727" s="309"/>
      <c r="J727" s="309"/>
      <c r="K727" s="1020"/>
      <c r="L727" s="1020"/>
      <c r="M727" s="309"/>
      <c r="N727" s="309"/>
      <c r="O727" s="309"/>
      <c r="P727" s="309"/>
      <c r="Q727" s="326"/>
      <c r="R727" s="326"/>
      <c r="S727" s="326"/>
      <c r="T727" s="309"/>
      <c r="U727" s="309"/>
      <c r="V727" s="309"/>
      <c r="W727" s="328"/>
      <c r="X727" s="309"/>
      <c r="Y727" s="309"/>
      <c r="Z727" s="309"/>
      <c r="AA727" s="309"/>
      <c r="AB727" s="309"/>
      <c r="AC727" s="309"/>
    </row>
    <row r="728" spans="1:29" ht="12.75" customHeight="1">
      <c r="A728" s="309"/>
      <c r="B728" s="309"/>
      <c r="C728" s="309"/>
      <c r="D728" s="309"/>
      <c r="E728" s="309"/>
      <c r="F728" s="309"/>
      <c r="G728" s="309"/>
      <c r="H728" s="309"/>
      <c r="I728" s="309"/>
      <c r="J728" s="309"/>
      <c r="K728" s="1020"/>
      <c r="L728" s="1020"/>
      <c r="M728" s="309"/>
      <c r="N728" s="309"/>
      <c r="O728" s="309"/>
      <c r="P728" s="309"/>
      <c r="Q728" s="326"/>
      <c r="R728" s="326"/>
      <c r="S728" s="326"/>
      <c r="T728" s="309"/>
      <c r="U728" s="309"/>
      <c r="V728" s="309"/>
      <c r="W728" s="328"/>
      <c r="X728" s="309"/>
      <c r="Y728" s="309"/>
      <c r="Z728" s="309"/>
      <c r="AA728" s="309"/>
      <c r="AB728" s="309"/>
      <c r="AC728" s="309"/>
    </row>
    <row r="729" spans="1:29" ht="12.75" customHeight="1">
      <c r="A729" s="309"/>
      <c r="B729" s="309"/>
      <c r="C729" s="309"/>
      <c r="D729" s="309"/>
      <c r="E729" s="309"/>
      <c r="F729" s="309"/>
      <c r="G729" s="309"/>
      <c r="H729" s="309"/>
      <c r="I729" s="309"/>
      <c r="J729" s="309"/>
      <c r="K729" s="1020"/>
      <c r="L729" s="1020"/>
      <c r="M729" s="309"/>
      <c r="N729" s="309"/>
      <c r="O729" s="309"/>
      <c r="P729" s="309"/>
      <c r="Q729" s="326"/>
      <c r="R729" s="326"/>
      <c r="S729" s="326"/>
      <c r="T729" s="309"/>
      <c r="U729" s="309"/>
      <c r="V729" s="309"/>
      <c r="W729" s="328"/>
      <c r="X729" s="309"/>
      <c r="Y729" s="309"/>
      <c r="Z729" s="309"/>
      <c r="AA729" s="309"/>
      <c r="AB729" s="309"/>
      <c r="AC729" s="309"/>
    </row>
    <row r="730" spans="1:29" ht="12.75" customHeight="1">
      <c r="A730" s="309"/>
      <c r="B730" s="309"/>
      <c r="C730" s="309"/>
      <c r="D730" s="309"/>
      <c r="E730" s="309"/>
      <c r="F730" s="309"/>
      <c r="G730" s="309"/>
      <c r="H730" s="309"/>
      <c r="I730" s="309"/>
      <c r="J730" s="309"/>
      <c r="K730" s="1020"/>
      <c r="L730" s="1020"/>
      <c r="M730" s="309"/>
      <c r="N730" s="309"/>
      <c r="O730" s="309"/>
      <c r="P730" s="309"/>
      <c r="Q730" s="326"/>
      <c r="R730" s="326"/>
      <c r="S730" s="326"/>
      <c r="T730" s="309"/>
      <c r="U730" s="309"/>
      <c r="V730" s="309"/>
      <c r="W730" s="328"/>
      <c r="X730" s="309"/>
      <c r="Y730" s="309"/>
      <c r="Z730" s="309"/>
      <c r="AA730" s="309"/>
      <c r="AB730" s="309"/>
      <c r="AC730" s="309"/>
    </row>
    <row r="731" spans="1:29" ht="12.75" customHeight="1">
      <c r="A731" s="309"/>
      <c r="B731" s="309"/>
      <c r="C731" s="309"/>
      <c r="D731" s="309"/>
      <c r="E731" s="309"/>
      <c r="F731" s="309"/>
      <c r="G731" s="309"/>
      <c r="H731" s="309"/>
      <c r="I731" s="309"/>
      <c r="J731" s="309"/>
      <c r="K731" s="1020"/>
      <c r="L731" s="1020"/>
      <c r="M731" s="309"/>
      <c r="N731" s="309"/>
      <c r="O731" s="309"/>
      <c r="P731" s="309"/>
      <c r="Q731" s="326"/>
      <c r="R731" s="326"/>
      <c r="S731" s="326"/>
      <c r="T731" s="309"/>
      <c r="U731" s="309"/>
      <c r="V731" s="309"/>
      <c r="W731" s="328"/>
      <c r="X731" s="309"/>
      <c r="Y731" s="309"/>
      <c r="Z731" s="309"/>
      <c r="AA731" s="309"/>
      <c r="AB731" s="309"/>
      <c r="AC731" s="309"/>
    </row>
    <row r="732" spans="1:29" ht="12.75" customHeight="1">
      <c r="A732" s="309"/>
      <c r="B732" s="309"/>
      <c r="C732" s="309"/>
      <c r="D732" s="309"/>
      <c r="E732" s="309"/>
      <c r="F732" s="309"/>
      <c r="G732" s="309"/>
      <c r="H732" s="309"/>
      <c r="I732" s="309"/>
      <c r="J732" s="309"/>
      <c r="K732" s="1020"/>
      <c r="L732" s="1020"/>
      <c r="M732" s="309"/>
      <c r="N732" s="309"/>
      <c r="O732" s="309"/>
      <c r="P732" s="309"/>
      <c r="Q732" s="326"/>
      <c r="R732" s="326"/>
      <c r="S732" s="326"/>
      <c r="T732" s="309"/>
      <c r="U732" s="309"/>
      <c r="V732" s="309"/>
      <c r="W732" s="328"/>
      <c r="X732" s="309"/>
      <c r="Y732" s="309"/>
      <c r="Z732" s="309"/>
      <c r="AA732" s="309"/>
      <c r="AB732" s="309"/>
      <c r="AC732" s="309"/>
    </row>
    <row r="733" spans="1:29" ht="12.75" customHeight="1">
      <c r="A733" s="309"/>
      <c r="B733" s="309"/>
      <c r="C733" s="309"/>
      <c r="D733" s="309"/>
      <c r="E733" s="309"/>
      <c r="F733" s="309"/>
      <c r="G733" s="309"/>
      <c r="H733" s="309"/>
      <c r="I733" s="309"/>
      <c r="J733" s="309"/>
      <c r="K733" s="1020"/>
      <c r="L733" s="1020"/>
      <c r="M733" s="309"/>
      <c r="N733" s="309"/>
      <c r="O733" s="309"/>
      <c r="P733" s="309"/>
      <c r="Q733" s="326"/>
      <c r="R733" s="326"/>
      <c r="S733" s="326"/>
      <c r="T733" s="309"/>
      <c r="U733" s="309"/>
      <c r="V733" s="309"/>
      <c r="W733" s="328"/>
      <c r="X733" s="309"/>
      <c r="Y733" s="309"/>
      <c r="Z733" s="309"/>
      <c r="AA733" s="309"/>
      <c r="AB733" s="309"/>
      <c r="AC733" s="309"/>
    </row>
    <row r="734" spans="1:29" ht="12.75" customHeight="1">
      <c r="A734" s="309"/>
      <c r="B734" s="309"/>
      <c r="C734" s="309"/>
      <c r="D734" s="309"/>
      <c r="E734" s="309"/>
      <c r="F734" s="309"/>
      <c r="G734" s="309"/>
      <c r="H734" s="309"/>
      <c r="I734" s="309"/>
      <c r="J734" s="309"/>
      <c r="K734" s="1020"/>
      <c r="L734" s="1020"/>
      <c r="M734" s="309"/>
      <c r="N734" s="309"/>
      <c r="O734" s="309"/>
      <c r="P734" s="309"/>
      <c r="Q734" s="326"/>
      <c r="R734" s="326"/>
      <c r="S734" s="326"/>
      <c r="T734" s="309"/>
      <c r="U734" s="309"/>
      <c r="V734" s="309"/>
      <c r="W734" s="328"/>
      <c r="X734" s="309"/>
      <c r="Y734" s="309"/>
      <c r="Z734" s="309"/>
      <c r="AA734" s="309"/>
      <c r="AB734" s="309"/>
      <c r="AC734" s="309"/>
    </row>
    <row r="735" spans="1:29" ht="12.75" customHeight="1">
      <c r="A735" s="309"/>
      <c r="B735" s="309"/>
      <c r="C735" s="309"/>
      <c r="D735" s="309"/>
      <c r="E735" s="309"/>
      <c r="F735" s="309"/>
      <c r="G735" s="309"/>
      <c r="H735" s="309"/>
      <c r="I735" s="309"/>
      <c r="J735" s="309"/>
      <c r="K735" s="1020"/>
      <c r="L735" s="1020"/>
      <c r="M735" s="309"/>
      <c r="N735" s="309"/>
      <c r="O735" s="309"/>
      <c r="P735" s="309"/>
      <c r="Q735" s="326"/>
      <c r="R735" s="326"/>
      <c r="S735" s="326"/>
      <c r="T735" s="309"/>
      <c r="U735" s="309"/>
      <c r="V735" s="309"/>
      <c r="W735" s="328"/>
      <c r="X735" s="309"/>
      <c r="Y735" s="309"/>
      <c r="Z735" s="309"/>
      <c r="AA735" s="309"/>
      <c r="AB735" s="309"/>
      <c r="AC735" s="309"/>
    </row>
    <row r="736" spans="1:29" ht="12.75" customHeight="1">
      <c r="A736" s="309"/>
      <c r="B736" s="309"/>
      <c r="C736" s="309"/>
      <c r="D736" s="309"/>
      <c r="E736" s="309"/>
      <c r="F736" s="309"/>
      <c r="G736" s="309"/>
      <c r="H736" s="309"/>
      <c r="I736" s="309"/>
      <c r="J736" s="309"/>
      <c r="K736" s="1020"/>
      <c r="L736" s="1020"/>
      <c r="M736" s="309"/>
      <c r="N736" s="309"/>
      <c r="O736" s="309"/>
      <c r="P736" s="309"/>
      <c r="Q736" s="326"/>
      <c r="R736" s="326"/>
      <c r="S736" s="326"/>
      <c r="T736" s="309"/>
      <c r="U736" s="309"/>
      <c r="V736" s="309"/>
      <c r="W736" s="328"/>
      <c r="X736" s="309"/>
      <c r="Y736" s="309"/>
      <c r="Z736" s="309"/>
      <c r="AA736" s="309"/>
      <c r="AB736" s="309"/>
      <c r="AC736" s="309"/>
    </row>
    <row r="737" spans="1:29" ht="12.75" customHeight="1">
      <c r="A737" s="309"/>
      <c r="B737" s="309"/>
      <c r="C737" s="309"/>
      <c r="D737" s="309"/>
      <c r="E737" s="309"/>
      <c r="F737" s="309"/>
      <c r="G737" s="309"/>
      <c r="H737" s="309"/>
      <c r="I737" s="309"/>
      <c r="J737" s="309"/>
      <c r="K737" s="1020"/>
      <c r="L737" s="1020"/>
      <c r="M737" s="309"/>
      <c r="N737" s="309"/>
      <c r="O737" s="309"/>
      <c r="P737" s="309"/>
      <c r="Q737" s="326"/>
      <c r="R737" s="326"/>
      <c r="S737" s="326"/>
      <c r="T737" s="309"/>
      <c r="U737" s="309"/>
      <c r="V737" s="309"/>
      <c r="W737" s="328"/>
      <c r="X737" s="309"/>
      <c r="Y737" s="309"/>
      <c r="Z737" s="309"/>
      <c r="AA737" s="309"/>
      <c r="AB737" s="309"/>
      <c r="AC737" s="309"/>
    </row>
    <row r="738" spans="1:29" ht="12.75" customHeight="1">
      <c r="A738" s="309"/>
      <c r="B738" s="309"/>
      <c r="C738" s="309"/>
      <c r="D738" s="309"/>
      <c r="E738" s="309"/>
      <c r="F738" s="309"/>
      <c r="G738" s="309"/>
      <c r="H738" s="309"/>
      <c r="I738" s="309"/>
      <c r="J738" s="309"/>
      <c r="K738" s="1020"/>
      <c r="L738" s="1020"/>
      <c r="M738" s="309"/>
      <c r="N738" s="309"/>
      <c r="O738" s="309"/>
      <c r="P738" s="309"/>
      <c r="Q738" s="326"/>
      <c r="R738" s="326"/>
      <c r="S738" s="326"/>
      <c r="T738" s="309"/>
      <c r="U738" s="309"/>
      <c r="V738" s="309"/>
      <c r="W738" s="328"/>
      <c r="X738" s="309"/>
      <c r="Y738" s="309"/>
      <c r="Z738" s="309"/>
      <c r="AA738" s="309"/>
      <c r="AB738" s="309"/>
      <c r="AC738" s="309"/>
    </row>
    <row r="739" spans="1:29" ht="12.75" customHeight="1">
      <c r="A739" s="309"/>
      <c r="B739" s="309"/>
      <c r="C739" s="309"/>
      <c r="D739" s="309"/>
      <c r="E739" s="309"/>
      <c r="F739" s="309"/>
      <c r="G739" s="309"/>
      <c r="H739" s="309"/>
      <c r="I739" s="309"/>
      <c r="J739" s="309"/>
      <c r="K739" s="1020"/>
      <c r="L739" s="1020"/>
      <c r="M739" s="309"/>
      <c r="N739" s="309"/>
      <c r="O739" s="309"/>
      <c r="P739" s="309"/>
      <c r="Q739" s="326"/>
      <c r="R739" s="326"/>
      <c r="S739" s="326"/>
      <c r="T739" s="309"/>
      <c r="U739" s="309"/>
      <c r="V739" s="309"/>
      <c r="W739" s="328"/>
      <c r="X739" s="309"/>
      <c r="Y739" s="309"/>
      <c r="Z739" s="309"/>
      <c r="AA739" s="309"/>
      <c r="AB739" s="309"/>
      <c r="AC739" s="309"/>
    </row>
    <row r="740" spans="1:29" ht="12.75" customHeight="1">
      <c r="A740" s="309"/>
      <c r="B740" s="309"/>
      <c r="C740" s="309"/>
      <c r="D740" s="309"/>
      <c r="E740" s="309"/>
      <c r="F740" s="309"/>
      <c r="G740" s="309"/>
      <c r="H740" s="309"/>
      <c r="I740" s="309"/>
      <c r="J740" s="309"/>
      <c r="K740" s="1020"/>
      <c r="L740" s="1020"/>
      <c r="M740" s="309"/>
      <c r="N740" s="309"/>
      <c r="O740" s="309"/>
      <c r="P740" s="309"/>
      <c r="Q740" s="326"/>
      <c r="R740" s="326"/>
      <c r="S740" s="326"/>
      <c r="T740" s="309"/>
      <c r="U740" s="309"/>
      <c r="V740" s="309"/>
      <c r="W740" s="328"/>
      <c r="X740" s="309"/>
      <c r="Y740" s="309"/>
      <c r="Z740" s="309"/>
      <c r="AA740" s="309"/>
      <c r="AB740" s="309"/>
      <c r="AC740" s="309"/>
    </row>
    <row r="741" spans="1:29" ht="12.75" customHeight="1">
      <c r="A741" s="309"/>
      <c r="B741" s="309"/>
      <c r="C741" s="309"/>
      <c r="D741" s="309"/>
      <c r="E741" s="309"/>
      <c r="F741" s="309"/>
      <c r="G741" s="309"/>
      <c r="H741" s="309"/>
      <c r="I741" s="309"/>
      <c r="J741" s="309"/>
      <c r="K741" s="1020"/>
      <c r="L741" s="1020"/>
      <c r="M741" s="309"/>
      <c r="N741" s="309"/>
      <c r="O741" s="309"/>
      <c r="P741" s="309"/>
      <c r="Q741" s="326"/>
      <c r="R741" s="326"/>
      <c r="S741" s="326"/>
      <c r="T741" s="309"/>
      <c r="U741" s="309"/>
      <c r="V741" s="309"/>
      <c r="W741" s="328"/>
      <c r="X741" s="309"/>
      <c r="Y741" s="309"/>
      <c r="Z741" s="309"/>
      <c r="AA741" s="309"/>
      <c r="AB741" s="309"/>
      <c r="AC741" s="309"/>
    </row>
    <row r="742" spans="1:29" ht="12.75" customHeight="1">
      <c r="A742" s="309"/>
      <c r="B742" s="309"/>
      <c r="C742" s="309"/>
      <c r="D742" s="309"/>
      <c r="E742" s="309"/>
      <c r="F742" s="309"/>
      <c r="G742" s="309"/>
      <c r="H742" s="309"/>
      <c r="I742" s="309"/>
      <c r="J742" s="309"/>
      <c r="K742" s="1020"/>
      <c r="L742" s="1020"/>
      <c r="M742" s="309"/>
      <c r="N742" s="309"/>
      <c r="O742" s="309"/>
      <c r="P742" s="309"/>
      <c r="Q742" s="326"/>
      <c r="R742" s="326"/>
      <c r="S742" s="326"/>
      <c r="T742" s="309"/>
      <c r="U742" s="309"/>
      <c r="V742" s="309"/>
      <c r="W742" s="328"/>
      <c r="X742" s="309"/>
      <c r="Y742" s="309"/>
      <c r="Z742" s="309"/>
      <c r="AA742" s="309"/>
      <c r="AB742" s="309"/>
      <c r="AC742" s="309"/>
    </row>
    <row r="743" spans="1:29" ht="12.75" customHeight="1">
      <c r="A743" s="309"/>
      <c r="B743" s="309"/>
      <c r="C743" s="309"/>
      <c r="D743" s="309"/>
      <c r="E743" s="309"/>
      <c r="F743" s="309"/>
      <c r="G743" s="309"/>
      <c r="H743" s="309"/>
      <c r="I743" s="309"/>
      <c r="J743" s="309"/>
      <c r="K743" s="1020"/>
      <c r="L743" s="1020"/>
      <c r="M743" s="309"/>
      <c r="N743" s="309"/>
      <c r="O743" s="309"/>
      <c r="P743" s="309"/>
      <c r="Q743" s="326"/>
      <c r="R743" s="326"/>
      <c r="S743" s="326"/>
      <c r="T743" s="309"/>
      <c r="U743" s="309"/>
      <c r="V743" s="309"/>
      <c r="W743" s="328"/>
      <c r="X743" s="309"/>
      <c r="Y743" s="309"/>
      <c r="Z743" s="309"/>
      <c r="AA743" s="309"/>
      <c r="AB743" s="309"/>
      <c r="AC743" s="309"/>
    </row>
    <row r="744" spans="1:29" ht="12.75" customHeight="1">
      <c r="A744" s="309"/>
      <c r="B744" s="309"/>
      <c r="C744" s="309"/>
      <c r="D744" s="309"/>
      <c r="E744" s="309"/>
      <c r="F744" s="309"/>
      <c r="G744" s="309"/>
      <c r="H744" s="309"/>
      <c r="I744" s="309"/>
      <c r="J744" s="309"/>
      <c r="K744" s="1020"/>
      <c r="L744" s="1020"/>
      <c r="M744" s="309"/>
      <c r="N744" s="309"/>
      <c r="O744" s="309"/>
      <c r="P744" s="309"/>
      <c r="Q744" s="326"/>
      <c r="R744" s="326"/>
      <c r="S744" s="326"/>
      <c r="T744" s="309"/>
      <c r="U744" s="309"/>
      <c r="V744" s="309"/>
      <c r="W744" s="328"/>
      <c r="X744" s="309"/>
      <c r="Y744" s="309"/>
      <c r="Z744" s="309"/>
      <c r="AA744" s="309"/>
      <c r="AB744" s="309"/>
      <c r="AC744" s="309"/>
    </row>
    <row r="745" spans="1:29" ht="12.75" customHeight="1">
      <c r="A745" s="309"/>
      <c r="B745" s="309"/>
      <c r="C745" s="309"/>
      <c r="D745" s="309"/>
      <c r="E745" s="309"/>
      <c r="F745" s="309"/>
      <c r="G745" s="309"/>
      <c r="H745" s="309"/>
      <c r="I745" s="309"/>
      <c r="J745" s="309"/>
      <c r="K745" s="1020"/>
      <c r="L745" s="1020"/>
      <c r="M745" s="309"/>
      <c r="N745" s="309"/>
      <c r="O745" s="309"/>
      <c r="P745" s="309"/>
      <c r="Q745" s="326"/>
      <c r="R745" s="326"/>
      <c r="S745" s="326"/>
      <c r="T745" s="309"/>
      <c r="U745" s="309"/>
      <c r="V745" s="309"/>
      <c r="W745" s="328"/>
      <c r="X745" s="309"/>
      <c r="Y745" s="309"/>
      <c r="Z745" s="309"/>
      <c r="AA745" s="309"/>
      <c r="AB745" s="309"/>
      <c r="AC745" s="309"/>
    </row>
    <row r="746" spans="1:29" ht="12.75" customHeight="1">
      <c r="A746" s="309"/>
      <c r="B746" s="309"/>
      <c r="C746" s="309"/>
      <c r="D746" s="309"/>
      <c r="E746" s="309"/>
      <c r="F746" s="309"/>
      <c r="G746" s="309"/>
      <c r="H746" s="309"/>
      <c r="I746" s="309"/>
      <c r="J746" s="309"/>
      <c r="K746" s="1020"/>
      <c r="L746" s="1020"/>
      <c r="M746" s="309"/>
      <c r="N746" s="309"/>
      <c r="O746" s="309"/>
      <c r="P746" s="309"/>
      <c r="Q746" s="326"/>
      <c r="R746" s="326"/>
      <c r="S746" s="326"/>
      <c r="T746" s="309"/>
      <c r="U746" s="309"/>
      <c r="V746" s="309"/>
      <c r="W746" s="328"/>
      <c r="X746" s="309"/>
      <c r="Y746" s="309"/>
      <c r="Z746" s="309"/>
      <c r="AA746" s="309"/>
      <c r="AB746" s="309"/>
      <c r="AC746" s="309"/>
    </row>
    <row r="747" spans="1:29" ht="12.75" customHeight="1">
      <c r="A747" s="309"/>
      <c r="B747" s="309"/>
      <c r="C747" s="309"/>
      <c r="D747" s="309"/>
      <c r="E747" s="309"/>
      <c r="F747" s="309"/>
      <c r="G747" s="309"/>
      <c r="H747" s="309"/>
      <c r="I747" s="309"/>
      <c r="J747" s="309"/>
      <c r="K747" s="1020"/>
      <c r="L747" s="1020"/>
      <c r="M747" s="309"/>
      <c r="N747" s="309"/>
      <c r="O747" s="309"/>
      <c r="P747" s="309"/>
      <c r="Q747" s="326"/>
      <c r="R747" s="326"/>
      <c r="S747" s="326"/>
      <c r="T747" s="309"/>
      <c r="U747" s="309"/>
      <c r="V747" s="309"/>
      <c r="W747" s="328"/>
      <c r="X747" s="309"/>
      <c r="Y747" s="309"/>
      <c r="Z747" s="309"/>
      <c r="AA747" s="309"/>
      <c r="AB747" s="309"/>
      <c r="AC747" s="309"/>
    </row>
    <row r="748" spans="1:29" ht="12.75" customHeight="1">
      <c r="A748" s="309"/>
      <c r="B748" s="309"/>
      <c r="C748" s="309"/>
      <c r="D748" s="309"/>
      <c r="E748" s="309"/>
      <c r="F748" s="309"/>
      <c r="G748" s="309"/>
      <c r="H748" s="309"/>
      <c r="I748" s="309"/>
      <c r="J748" s="309"/>
      <c r="K748" s="1020"/>
      <c r="L748" s="1020"/>
      <c r="M748" s="309"/>
      <c r="N748" s="309"/>
      <c r="O748" s="309"/>
      <c r="P748" s="309"/>
      <c r="Q748" s="326"/>
      <c r="R748" s="326"/>
      <c r="S748" s="326"/>
      <c r="T748" s="309"/>
      <c r="U748" s="309"/>
      <c r="V748" s="309"/>
      <c r="W748" s="328"/>
      <c r="X748" s="309"/>
      <c r="Y748" s="309"/>
      <c r="Z748" s="309"/>
      <c r="AA748" s="309"/>
      <c r="AB748" s="309"/>
      <c r="AC748" s="309"/>
    </row>
    <row r="749" spans="1:29" ht="12.75" customHeight="1">
      <c r="A749" s="309"/>
      <c r="B749" s="309"/>
      <c r="C749" s="309"/>
      <c r="D749" s="309"/>
      <c r="E749" s="309"/>
      <c r="F749" s="309"/>
      <c r="G749" s="309"/>
      <c r="H749" s="309"/>
      <c r="I749" s="309"/>
      <c r="J749" s="309"/>
      <c r="K749" s="1020"/>
      <c r="L749" s="1020"/>
      <c r="M749" s="309"/>
      <c r="N749" s="309"/>
      <c r="O749" s="309"/>
      <c r="P749" s="309"/>
      <c r="Q749" s="326"/>
      <c r="R749" s="326"/>
      <c r="S749" s="326"/>
      <c r="T749" s="309"/>
      <c r="U749" s="309"/>
      <c r="V749" s="309"/>
      <c r="W749" s="328"/>
      <c r="X749" s="309"/>
      <c r="Y749" s="309"/>
      <c r="Z749" s="309"/>
      <c r="AA749" s="309"/>
      <c r="AB749" s="309"/>
      <c r="AC749" s="309"/>
    </row>
    <row r="750" spans="1:29" ht="12.75" customHeight="1">
      <c r="A750" s="309"/>
      <c r="B750" s="309"/>
      <c r="C750" s="309"/>
      <c r="D750" s="309"/>
      <c r="E750" s="309"/>
      <c r="F750" s="309"/>
      <c r="G750" s="309"/>
      <c r="H750" s="309"/>
      <c r="I750" s="309"/>
      <c r="J750" s="309"/>
      <c r="K750" s="1020"/>
      <c r="L750" s="1020"/>
      <c r="M750" s="309"/>
      <c r="N750" s="309"/>
      <c r="O750" s="309"/>
      <c r="P750" s="309"/>
      <c r="Q750" s="326"/>
      <c r="R750" s="326"/>
      <c r="S750" s="326"/>
      <c r="T750" s="309"/>
      <c r="U750" s="309"/>
      <c r="V750" s="309"/>
      <c r="W750" s="328"/>
      <c r="X750" s="309"/>
      <c r="Y750" s="309"/>
      <c r="Z750" s="309"/>
      <c r="AA750" s="309"/>
      <c r="AB750" s="309"/>
      <c r="AC750" s="309"/>
    </row>
    <row r="751" spans="1:29" ht="12.75" customHeight="1">
      <c r="A751" s="309"/>
      <c r="B751" s="309"/>
      <c r="C751" s="309"/>
      <c r="D751" s="309"/>
      <c r="E751" s="309"/>
      <c r="F751" s="309"/>
      <c r="G751" s="309"/>
      <c r="H751" s="309"/>
      <c r="I751" s="309"/>
      <c r="J751" s="309"/>
      <c r="K751" s="1020"/>
      <c r="L751" s="1020"/>
      <c r="M751" s="309"/>
      <c r="N751" s="309"/>
      <c r="O751" s="309"/>
      <c r="P751" s="309"/>
      <c r="Q751" s="326"/>
      <c r="R751" s="326"/>
      <c r="S751" s="326"/>
      <c r="T751" s="309"/>
      <c r="U751" s="309"/>
      <c r="V751" s="309"/>
      <c r="W751" s="328"/>
      <c r="X751" s="309"/>
      <c r="Y751" s="309"/>
      <c r="Z751" s="309"/>
      <c r="AA751" s="309"/>
      <c r="AB751" s="309"/>
      <c r="AC751" s="309"/>
    </row>
    <row r="752" spans="1:29" ht="12.75" customHeight="1">
      <c r="A752" s="309"/>
      <c r="B752" s="309"/>
      <c r="C752" s="309"/>
      <c r="D752" s="309"/>
      <c r="E752" s="309"/>
      <c r="F752" s="309"/>
      <c r="G752" s="309"/>
      <c r="H752" s="309"/>
      <c r="I752" s="309"/>
      <c r="J752" s="309"/>
      <c r="K752" s="1020"/>
      <c r="L752" s="1020"/>
      <c r="M752" s="309"/>
      <c r="N752" s="309"/>
      <c r="O752" s="309"/>
      <c r="P752" s="309"/>
      <c r="Q752" s="326"/>
      <c r="R752" s="326"/>
      <c r="S752" s="326"/>
      <c r="T752" s="309"/>
      <c r="U752" s="309"/>
      <c r="V752" s="309"/>
      <c r="W752" s="328"/>
      <c r="X752" s="309"/>
      <c r="Y752" s="309"/>
      <c r="Z752" s="309"/>
      <c r="AA752" s="309"/>
      <c r="AB752" s="309"/>
      <c r="AC752" s="309"/>
    </row>
    <row r="753" spans="1:29" ht="12.75" customHeight="1">
      <c r="A753" s="309"/>
      <c r="B753" s="309"/>
      <c r="C753" s="309"/>
      <c r="D753" s="309"/>
      <c r="E753" s="309"/>
      <c r="F753" s="309"/>
      <c r="G753" s="309"/>
      <c r="H753" s="309"/>
      <c r="I753" s="309"/>
      <c r="J753" s="309"/>
      <c r="K753" s="1020"/>
      <c r="L753" s="1020"/>
      <c r="M753" s="309"/>
      <c r="N753" s="309"/>
      <c r="O753" s="309"/>
      <c r="P753" s="309"/>
      <c r="Q753" s="326"/>
      <c r="R753" s="326"/>
      <c r="S753" s="326"/>
      <c r="T753" s="309"/>
      <c r="U753" s="309"/>
      <c r="V753" s="309"/>
      <c r="W753" s="328"/>
      <c r="X753" s="309"/>
      <c r="Y753" s="309"/>
      <c r="Z753" s="309"/>
      <c r="AA753" s="309"/>
      <c r="AB753" s="309"/>
      <c r="AC753" s="309"/>
    </row>
    <row r="754" spans="1:29" ht="12.75" customHeight="1">
      <c r="A754" s="309"/>
      <c r="B754" s="309"/>
      <c r="C754" s="309"/>
      <c r="D754" s="309"/>
      <c r="E754" s="309"/>
      <c r="F754" s="309"/>
      <c r="G754" s="309"/>
      <c r="H754" s="309"/>
      <c r="I754" s="309"/>
      <c r="J754" s="309"/>
      <c r="K754" s="1020"/>
      <c r="L754" s="1020"/>
      <c r="M754" s="309"/>
      <c r="N754" s="309"/>
      <c r="O754" s="309"/>
      <c r="P754" s="309"/>
      <c r="Q754" s="326"/>
      <c r="R754" s="326"/>
      <c r="S754" s="326"/>
      <c r="T754" s="309"/>
      <c r="U754" s="309"/>
      <c r="V754" s="309"/>
      <c r="W754" s="328"/>
      <c r="X754" s="309"/>
      <c r="Y754" s="309"/>
      <c r="Z754" s="309"/>
      <c r="AA754" s="309"/>
      <c r="AB754" s="309"/>
      <c r="AC754" s="309"/>
    </row>
    <row r="755" spans="1:29" ht="12.75" customHeight="1">
      <c r="A755" s="309"/>
      <c r="B755" s="309"/>
      <c r="C755" s="309"/>
      <c r="D755" s="309"/>
      <c r="E755" s="309"/>
      <c r="F755" s="309"/>
      <c r="G755" s="309"/>
      <c r="H755" s="309"/>
      <c r="I755" s="309"/>
      <c r="J755" s="309"/>
      <c r="K755" s="1020"/>
      <c r="L755" s="1020"/>
      <c r="M755" s="309"/>
      <c r="N755" s="309"/>
      <c r="O755" s="309"/>
      <c r="P755" s="309"/>
      <c r="Q755" s="326"/>
      <c r="R755" s="326"/>
      <c r="S755" s="326"/>
      <c r="T755" s="309"/>
      <c r="U755" s="309"/>
      <c r="V755" s="309"/>
      <c r="W755" s="328"/>
      <c r="X755" s="309"/>
      <c r="Y755" s="309"/>
      <c r="Z755" s="309"/>
      <c r="AA755" s="309"/>
      <c r="AB755" s="309"/>
      <c r="AC755" s="309"/>
    </row>
    <row r="756" spans="1:29" ht="12.75" customHeight="1">
      <c r="A756" s="309"/>
      <c r="B756" s="309"/>
      <c r="C756" s="309"/>
      <c r="D756" s="309"/>
      <c r="E756" s="309"/>
      <c r="F756" s="309"/>
      <c r="G756" s="309"/>
      <c r="H756" s="309"/>
      <c r="I756" s="309"/>
      <c r="J756" s="309"/>
      <c r="K756" s="1020"/>
      <c r="L756" s="1020"/>
      <c r="M756" s="309"/>
      <c r="N756" s="309"/>
      <c r="O756" s="309"/>
      <c r="P756" s="309"/>
      <c r="Q756" s="326"/>
      <c r="R756" s="326"/>
      <c r="S756" s="326"/>
      <c r="T756" s="309"/>
      <c r="U756" s="309"/>
      <c r="V756" s="309"/>
      <c r="W756" s="328"/>
      <c r="X756" s="309"/>
      <c r="Y756" s="309"/>
      <c r="Z756" s="309"/>
      <c r="AA756" s="309"/>
      <c r="AB756" s="309"/>
      <c r="AC756" s="309"/>
    </row>
    <row r="757" spans="1:29" ht="12.75" customHeight="1">
      <c r="A757" s="309"/>
      <c r="B757" s="309"/>
      <c r="C757" s="309"/>
      <c r="D757" s="309"/>
      <c r="E757" s="309"/>
      <c r="F757" s="309"/>
      <c r="G757" s="309"/>
      <c r="H757" s="309"/>
      <c r="I757" s="309"/>
      <c r="J757" s="309"/>
      <c r="K757" s="1020"/>
      <c r="L757" s="1020"/>
      <c r="M757" s="309"/>
      <c r="N757" s="309"/>
      <c r="O757" s="309"/>
      <c r="P757" s="309"/>
      <c r="Q757" s="326"/>
      <c r="R757" s="326"/>
      <c r="S757" s="326"/>
      <c r="T757" s="309"/>
      <c r="U757" s="309"/>
      <c r="V757" s="309"/>
      <c r="W757" s="328"/>
      <c r="X757" s="309"/>
      <c r="Y757" s="309"/>
      <c r="Z757" s="309"/>
      <c r="AA757" s="309"/>
      <c r="AB757" s="309"/>
      <c r="AC757" s="309"/>
    </row>
    <row r="758" spans="1:29" ht="12.75" customHeight="1">
      <c r="A758" s="309"/>
      <c r="B758" s="309"/>
      <c r="C758" s="309"/>
      <c r="D758" s="309"/>
      <c r="E758" s="309"/>
      <c r="F758" s="309"/>
      <c r="G758" s="309"/>
      <c r="H758" s="309"/>
      <c r="I758" s="309"/>
      <c r="J758" s="309"/>
      <c r="K758" s="1020"/>
      <c r="L758" s="1020"/>
      <c r="M758" s="309"/>
      <c r="N758" s="309"/>
      <c r="O758" s="309"/>
      <c r="P758" s="309"/>
      <c r="Q758" s="326"/>
      <c r="R758" s="326"/>
      <c r="S758" s="326"/>
      <c r="T758" s="309"/>
      <c r="U758" s="309"/>
      <c r="V758" s="309"/>
      <c r="W758" s="328"/>
      <c r="X758" s="309"/>
      <c r="Y758" s="309"/>
      <c r="Z758" s="309"/>
      <c r="AA758" s="309"/>
      <c r="AB758" s="309"/>
      <c r="AC758" s="309"/>
    </row>
    <row r="759" spans="1:29" ht="12.75" customHeight="1">
      <c r="A759" s="309"/>
      <c r="B759" s="309"/>
      <c r="C759" s="309"/>
      <c r="D759" s="309"/>
      <c r="E759" s="309"/>
      <c r="F759" s="309"/>
      <c r="G759" s="309"/>
      <c r="H759" s="309"/>
      <c r="I759" s="309"/>
      <c r="J759" s="309"/>
      <c r="K759" s="1020"/>
      <c r="L759" s="1020"/>
      <c r="M759" s="309"/>
      <c r="N759" s="309"/>
      <c r="O759" s="309"/>
      <c r="P759" s="309"/>
      <c r="Q759" s="326"/>
      <c r="R759" s="326"/>
      <c r="S759" s="326"/>
      <c r="T759" s="309"/>
      <c r="U759" s="309"/>
      <c r="V759" s="309"/>
      <c r="W759" s="328"/>
      <c r="X759" s="309"/>
      <c r="Y759" s="309"/>
      <c r="Z759" s="309"/>
      <c r="AA759" s="309"/>
      <c r="AB759" s="309"/>
      <c r="AC759" s="309"/>
    </row>
    <row r="760" spans="1:29" ht="12.75" customHeight="1">
      <c r="A760" s="309"/>
      <c r="B760" s="309"/>
      <c r="C760" s="309"/>
      <c r="D760" s="309"/>
      <c r="E760" s="309"/>
      <c r="F760" s="309"/>
      <c r="G760" s="309"/>
      <c r="H760" s="309"/>
      <c r="I760" s="309"/>
      <c r="J760" s="309"/>
      <c r="K760" s="1020"/>
      <c r="L760" s="1020"/>
      <c r="M760" s="309"/>
      <c r="N760" s="309"/>
      <c r="O760" s="309"/>
      <c r="P760" s="309"/>
      <c r="Q760" s="326"/>
      <c r="R760" s="326"/>
      <c r="S760" s="326"/>
      <c r="T760" s="309"/>
      <c r="U760" s="309"/>
      <c r="V760" s="309"/>
      <c r="W760" s="328"/>
      <c r="X760" s="309"/>
      <c r="Y760" s="309"/>
      <c r="Z760" s="309"/>
      <c r="AA760" s="309"/>
      <c r="AB760" s="309"/>
      <c r="AC760" s="309"/>
    </row>
    <row r="761" spans="1:29" ht="12.75" customHeight="1">
      <c r="A761" s="309"/>
      <c r="B761" s="309"/>
      <c r="C761" s="309"/>
      <c r="D761" s="309"/>
      <c r="E761" s="309"/>
      <c r="F761" s="309"/>
      <c r="G761" s="309"/>
      <c r="H761" s="309"/>
      <c r="I761" s="309"/>
      <c r="J761" s="309"/>
      <c r="K761" s="1020"/>
      <c r="L761" s="1020"/>
      <c r="M761" s="309"/>
      <c r="N761" s="309"/>
      <c r="O761" s="309"/>
      <c r="P761" s="309"/>
      <c r="Q761" s="326"/>
      <c r="R761" s="326"/>
      <c r="S761" s="326"/>
      <c r="T761" s="309"/>
      <c r="U761" s="309"/>
      <c r="V761" s="309"/>
      <c r="W761" s="328"/>
      <c r="X761" s="309"/>
      <c r="Y761" s="309"/>
      <c r="Z761" s="309"/>
      <c r="AA761" s="309"/>
      <c r="AB761" s="309"/>
      <c r="AC761" s="309"/>
    </row>
    <row r="762" spans="1:29" ht="12.75" customHeight="1">
      <c r="A762" s="309"/>
      <c r="B762" s="309"/>
      <c r="C762" s="309"/>
      <c r="D762" s="309"/>
      <c r="E762" s="309"/>
      <c r="F762" s="309"/>
      <c r="G762" s="309"/>
      <c r="H762" s="309"/>
      <c r="I762" s="309"/>
      <c r="J762" s="309"/>
      <c r="K762" s="1020"/>
      <c r="L762" s="1020"/>
      <c r="M762" s="309"/>
      <c r="N762" s="309"/>
      <c r="O762" s="309"/>
      <c r="P762" s="309"/>
      <c r="Q762" s="326"/>
      <c r="R762" s="326"/>
      <c r="S762" s="326"/>
      <c r="T762" s="309"/>
      <c r="U762" s="309"/>
      <c r="V762" s="309"/>
      <c r="W762" s="328"/>
      <c r="X762" s="309"/>
      <c r="Y762" s="309"/>
      <c r="Z762" s="309"/>
      <c r="AA762" s="309"/>
      <c r="AB762" s="309"/>
      <c r="AC762" s="309"/>
    </row>
    <row r="763" spans="1:29" ht="12.75" customHeight="1">
      <c r="A763" s="309"/>
      <c r="B763" s="309"/>
      <c r="C763" s="309"/>
      <c r="D763" s="309"/>
      <c r="E763" s="309"/>
      <c r="F763" s="309"/>
      <c r="G763" s="309"/>
      <c r="H763" s="309"/>
      <c r="I763" s="309"/>
      <c r="J763" s="309"/>
      <c r="K763" s="1020"/>
      <c r="L763" s="1020"/>
      <c r="M763" s="309"/>
      <c r="N763" s="309"/>
      <c r="O763" s="309"/>
      <c r="P763" s="309"/>
      <c r="Q763" s="326"/>
      <c r="R763" s="326"/>
      <c r="S763" s="326"/>
      <c r="T763" s="309"/>
      <c r="U763" s="309"/>
      <c r="V763" s="309"/>
      <c r="W763" s="328"/>
      <c r="X763" s="309"/>
      <c r="Y763" s="309"/>
      <c r="Z763" s="309"/>
      <c r="AA763" s="309"/>
      <c r="AB763" s="309"/>
      <c r="AC763" s="309"/>
    </row>
    <row r="764" spans="1:29" ht="12.75" customHeight="1">
      <c r="A764" s="309"/>
      <c r="B764" s="309"/>
      <c r="C764" s="309"/>
      <c r="D764" s="309"/>
      <c r="E764" s="309"/>
      <c r="F764" s="309"/>
      <c r="G764" s="309"/>
      <c r="H764" s="309"/>
      <c r="I764" s="309"/>
      <c r="J764" s="309"/>
      <c r="K764" s="1020"/>
      <c r="L764" s="1020"/>
      <c r="M764" s="309"/>
      <c r="N764" s="309"/>
      <c r="O764" s="309"/>
      <c r="P764" s="309"/>
      <c r="Q764" s="326"/>
      <c r="R764" s="326"/>
      <c r="S764" s="326"/>
      <c r="T764" s="309"/>
      <c r="U764" s="309"/>
      <c r="V764" s="309"/>
      <c r="W764" s="328"/>
      <c r="X764" s="309"/>
      <c r="Y764" s="309"/>
      <c r="Z764" s="309"/>
      <c r="AA764" s="309"/>
      <c r="AB764" s="309"/>
      <c r="AC764" s="309"/>
    </row>
    <row r="765" spans="1:29" ht="12.75" customHeight="1">
      <c r="A765" s="309"/>
      <c r="B765" s="309"/>
      <c r="C765" s="309"/>
      <c r="D765" s="309"/>
      <c r="E765" s="309"/>
      <c r="F765" s="309"/>
      <c r="G765" s="309"/>
      <c r="H765" s="309"/>
      <c r="I765" s="309"/>
      <c r="J765" s="309"/>
      <c r="K765" s="1020"/>
      <c r="L765" s="1020"/>
      <c r="M765" s="309"/>
      <c r="N765" s="309"/>
      <c r="O765" s="309"/>
      <c r="P765" s="309"/>
      <c r="Q765" s="326"/>
      <c r="R765" s="326"/>
      <c r="S765" s="326"/>
      <c r="T765" s="309"/>
      <c r="U765" s="309"/>
      <c r="V765" s="309"/>
      <c r="W765" s="328"/>
      <c r="X765" s="309"/>
      <c r="Y765" s="309"/>
      <c r="Z765" s="309"/>
      <c r="AA765" s="309"/>
      <c r="AB765" s="309"/>
      <c r="AC765" s="309"/>
    </row>
    <row r="766" spans="1:29" ht="12.75" customHeight="1">
      <c r="A766" s="309"/>
      <c r="B766" s="309"/>
      <c r="C766" s="309"/>
      <c r="D766" s="309"/>
      <c r="E766" s="309"/>
      <c r="F766" s="309"/>
      <c r="G766" s="309"/>
      <c r="H766" s="309"/>
      <c r="I766" s="309"/>
      <c r="J766" s="309"/>
      <c r="K766" s="1020"/>
      <c r="L766" s="1020"/>
      <c r="M766" s="309"/>
      <c r="N766" s="309"/>
      <c r="O766" s="309"/>
      <c r="P766" s="309"/>
      <c r="Q766" s="326"/>
      <c r="R766" s="326"/>
      <c r="S766" s="326"/>
      <c r="T766" s="309"/>
      <c r="U766" s="309"/>
      <c r="V766" s="309"/>
      <c r="W766" s="328"/>
      <c r="X766" s="309"/>
      <c r="Y766" s="309"/>
      <c r="Z766" s="309"/>
      <c r="AA766" s="309"/>
      <c r="AB766" s="309"/>
      <c r="AC766" s="309"/>
    </row>
    <row r="767" spans="1:29" ht="12.75" customHeight="1">
      <c r="A767" s="309"/>
      <c r="B767" s="309"/>
      <c r="C767" s="309"/>
      <c r="D767" s="309"/>
      <c r="E767" s="309"/>
      <c r="F767" s="309"/>
      <c r="G767" s="309"/>
      <c r="H767" s="309"/>
      <c r="I767" s="309"/>
      <c r="J767" s="309"/>
      <c r="K767" s="1020"/>
      <c r="L767" s="1020"/>
      <c r="M767" s="309"/>
      <c r="N767" s="309"/>
      <c r="O767" s="309"/>
      <c r="P767" s="309"/>
      <c r="Q767" s="326"/>
      <c r="R767" s="326"/>
      <c r="S767" s="326"/>
      <c r="T767" s="309"/>
      <c r="U767" s="309"/>
      <c r="V767" s="309"/>
      <c r="W767" s="328"/>
      <c r="X767" s="309"/>
      <c r="Y767" s="309"/>
      <c r="Z767" s="309"/>
      <c r="AA767" s="309"/>
      <c r="AB767" s="309"/>
      <c r="AC767" s="309"/>
    </row>
    <row r="768" spans="1:29" ht="12.75" customHeight="1">
      <c r="A768" s="309"/>
      <c r="B768" s="309"/>
      <c r="C768" s="309"/>
      <c r="D768" s="309"/>
      <c r="E768" s="309"/>
      <c r="F768" s="309"/>
      <c r="G768" s="309"/>
      <c r="H768" s="309"/>
      <c r="I768" s="309"/>
      <c r="J768" s="309"/>
      <c r="K768" s="1020"/>
      <c r="L768" s="1020"/>
      <c r="M768" s="309"/>
      <c r="N768" s="309"/>
      <c r="O768" s="309"/>
      <c r="P768" s="309"/>
      <c r="Q768" s="326"/>
      <c r="R768" s="326"/>
      <c r="S768" s="326"/>
      <c r="T768" s="309"/>
      <c r="U768" s="309"/>
      <c r="V768" s="309"/>
      <c r="W768" s="328"/>
      <c r="X768" s="309"/>
      <c r="Y768" s="309"/>
      <c r="Z768" s="309"/>
      <c r="AA768" s="309"/>
      <c r="AB768" s="309"/>
      <c r="AC768" s="309"/>
    </row>
    <row r="769" spans="1:29" ht="12.75" customHeight="1">
      <c r="A769" s="309"/>
      <c r="B769" s="309"/>
      <c r="C769" s="309"/>
      <c r="D769" s="309"/>
      <c r="E769" s="309"/>
      <c r="F769" s="309"/>
      <c r="G769" s="309"/>
      <c r="H769" s="309"/>
      <c r="I769" s="309"/>
      <c r="J769" s="309"/>
      <c r="K769" s="1020"/>
      <c r="L769" s="1020"/>
      <c r="M769" s="309"/>
      <c r="N769" s="309"/>
      <c r="O769" s="309"/>
      <c r="P769" s="309"/>
      <c r="Q769" s="326"/>
      <c r="R769" s="326"/>
      <c r="S769" s="326"/>
      <c r="T769" s="309"/>
      <c r="U769" s="309"/>
      <c r="V769" s="309"/>
      <c r="W769" s="328"/>
      <c r="X769" s="309"/>
      <c r="Y769" s="309"/>
      <c r="Z769" s="309"/>
      <c r="AA769" s="309"/>
      <c r="AB769" s="309"/>
      <c r="AC769" s="309"/>
    </row>
    <row r="770" spans="1:29" ht="12.75" customHeight="1">
      <c r="A770" s="309"/>
      <c r="B770" s="309"/>
      <c r="C770" s="309"/>
      <c r="D770" s="309"/>
      <c r="E770" s="309"/>
      <c r="F770" s="309"/>
      <c r="G770" s="309"/>
      <c r="H770" s="309"/>
      <c r="I770" s="309"/>
      <c r="J770" s="309"/>
      <c r="K770" s="1020"/>
      <c r="L770" s="1020"/>
      <c r="M770" s="309"/>
      <c r="N770" s="309"/>
      <c r="O770" s="309"/>
      <c r="P770" s="309"/>
      <c r="Q770" s="326"/>
      <c r="R770" s="326"/>
      <c r="S770" s="326"/>
      <c r="T770" s="309"/>
      <c r="U770" s="309"/>
      <c r="V770" s="309"/>
      <c r="W770" s="328"/>
      <c r="X770" s="309"/>
      <c r="Y770" s="309"/>
      <c r="Z770" s="309"/>
      <c r="AA770" s="309"/>
      <c r="AB770" s="309"/>
      <c r="AC770" s="309"/>
    </row>
    <row r="771" spans="1:29" ht="12.75" customHeight="1">
      <c r="A771" s="309"/>
      <c r="B771" s="309"/>
      <c r="C771" s="309"/>
      <c r="D771" s="309"/>
      <c r="E771" s="309"/>
      <c r="F771" s="309"/>
      <c r="G771" s="309"/>
      <c r="H771" s="309"/>
      <c r="I771" s="309"/>
      <c r="J771" s="309"/>
      <c r="K771" s="1020"/>
      <c r="L771" s="1020"/>
      <c r="M771" s="309"/>
      <c r="N771" s="309"/>
      <c r="O771" s="309"/>
      <c r="P771" s="309"/>
      <c r="Q771" s="326"/>
      <c r="R771" s="326"/>
      <c r="S771" s="326"/>
      <c r="T771" s="309"/>
      <c r="U771" s="309"/>
      <c r="V771" s="309"/>
      <c r="W771" s="328"/>
      <c r="X771" s="309"/>
      <c r="Y771" s="309"/>
      <c r="Z771" s="309"/>
      <c r="AA771" s="309"/>
      <c r="AB771" s="309"/>
      <c r="AC771" s="309"/>
    </row>
    <row r="772" spans="1:29" ht="12.75" customHeight="1">
      <c r="A772" s="309"/>
      <c r="B772" s="309"/>
      <c r="C772" s="309"/>
      <c r="D772" s="309"/>
      <c r="E772" s="309"/>
      <c r="F772" s="309"/>
      <c r="G772" s="309"/>
      <c r="H772" s="309"/>
      <c r="I772" s="309"/>
      <c r="J772" s="309"/>
      <c r="K772" s="1020"/>
      <c r="L772" s="1020"/>
      <c r="M772" s="309"/>
      <c r="N772" s="309"/>
      <c r="O772" s="309"/>
      <c r="P772" s="309"/>
      <c r="Q772" s="326"/>
      <c r="R772" s="326"/>
      <c r="S772" s="326"/>
      <c r="T772" s="309"/>
      <c r="U772" s="309"/>
      <c r="V772" s="309"/>
      <c r="W772" s="328"/>
      <c r="X772" s="309"/>
      <c r="Y772" s="309"/>
      <c r="Z772" s="309"/>
      <c r="AA772" s="309"/>
      <c r="AB772" s="309"/>
      <c r="AC772" s="309"/>
    </row>
    <row r="773" spans="1:29" ht="12.75" customHeight="1">
      <c r="A773" s="309"/>
      <c r="B773" s="309"/>
      <c r="C773" s="309"/>
      <c r="D773" s="309"/>
      <c r="E773" s="309"/>
      <c r="F773" s="309"/>
      <c r="G773" s="309"/>
      <c r="H773" s="309"/>
      <c r="I773" s="309"/>
      <c r="J773" s="309"/>
      <c r="K773" s="1020"/>
      <c r="L773" s="1020"/>
      <c r="M773" s="309"/>
      <c r="N773" s="309"/>
      <c r="O773" s="309"/>
      <c r="P773" s="309"/>
      <c r="Q773" s="326"/>
      <c r="R773" s="326"/>
      <c r="S773" s="326"/>
      <c r="T773" s="309"/>
      <c r="U773" s="309"/>
      <c r="V773" s="309"/>
      <c r="W773" s="328"/>
      <c r="X773" s="309"/>
      <c r="Y773" s="309"/>
      <c r="Z773" s="309"/>
      <c r="AA773" s="309"/>
      <c r="AB773" s="309"/>
      <c r="AC773" s="309"/>
    </row>
    <row r="774" spans="1:29" ht="12.75" customHeight="1">
      <c r="A774" s="309"/>
      <c r="B774" s="309"/>
      <c r="C774" s="309"/>
      <c r="D774" s="309"/>
      <c r="E774" s="309"/>
      <c r="F774" s="309"/>
      <c r="G774" s="309"/>
      <c r="H774" s="309"/>
      <c r="I774" s="309"/>
      <c r="J774" s="309"/>
      <c r="K774" s="1020"/>
      <c r="L774" s="1020"/>
      <c r="M774" s="309"/>
      <c r="N774" s="309"/>
      <c r="O774" s="309"/>
      <c r="P774" s="309"/>
      <c r="Q774" s="326"/>
      <c r="R774" s="326"/>
      <c r="S774" s="326"/>
      <c r="T774" s="309"/>
      <c r="U774" s="309"/>
      <c r="V774" s="309"/>
      <c r="W774" s="328"/>
      <c r="X774" s="309"/>
      <c r="Y774" s="309"/>
      <c r="Z774" s="309"/>
      <c r="AA774" s="309"/>
      <c r="AB774" s="309"/>
      <c r="AC774" s="309"/>
    </row>
    <row r="775" spans="1:29" ht="12.75" customHeight="1">
      <c r="A775" s="309"/>
      <c r="B775" s="309"/>
      <c r="C775" s="309"/>
      <c r="D775" s="309"/>
      <c r="E775" s="309"/>
      <c r="F775" s="309"/>
      <c r="G775" s="309"/>
      <c r="H775" s="309"/>
      <c r="I775" s="309"/>
      <c r="J775" s="309"/>
      <c r="K775" s="1020"/>
      <c r="L775" s="1020"/>
      <c r="M775" s="309"/>
      <c r="N775" s="309"/>
      <c r="O775" s="309"/>
      <c r="P775" s="309"/>
      <c r="Q775" s="326"/>
      <c r="R775" s="326"/>
      <c r="S775" s="326"/>
      <c r="T775" s="309"/>
      <c r="U775" s="309"/>
      <c r="V775" s="309"/>
      <c r="W775" s="328"/>
      <c r="X775" s="309"/>
      <c r="Y775" s="309"/>
      <c r="Z775" s="309"/>
      <c r="AA775" s="309"/>
      <c r="AB775" s="309"/>
      <c r="AC775" s="309"/>
    </row>
    <row r="776" spans="1:29" ht="12.75" customHeight="1">
      <c r="A776" s="309"/>
      <c r="B776" s="309"/>
      <c r="C776" s="309"/>
      <c r="D776" s="309"/>
      <c r="E776" s="309"/>
      <c r="F776" s="309"/>
      <c r="G776" s="309"/>
      <c r="H776" s="309"/>
      <c r="I776" s="309"/>
      <c r="J776" s="309"/>
      <c r="K776" s="1020"/>
      <c r="L776" s="1020"/>
      <c r="M776" s="309"/>
      <c r="N776" s="309"/>
      <c r="O776" s="309"/>
      <c r="P776" s="309"/>
      <c r="Q776" s="326"/>
      <c r="R776" s="326"/>
      <c r="S776" s="326"/>
      <c r="T776" s="309"/>
      <c r="U776" s="309"/>
      <c r="V776" s="309"/>
      <c r="W776" s="328"/>
      <c r="X776" s="309"/>
      <c r="Y776" s="309"/>
      <c r="Z776" s="309"/>
      <c r="AA776" s="309"/>
      <c r="AB776" s="309"/>
      <c r="AC776" s="309"/>
    </row>
    <row r="777" spans="1:29" ht="12.75" customHeight="1">
      <c r="A777" s="309"/>
      <c r="B777" s="309"/>
      <c r="C777" s="309"/>
      <c r="D777" s="309"/>
      <c r="E777" s="309"/>
      <c r="F777" s="309"/>
      <c r="G777" s="309"/>
      <c r="H777" s="309"/>
      <c r="I777" s="309"/>
      <c r="J777" s="309"/>
      <c r="K777" s="1020"/>
      <c r="L777" s="1020"/>
      <c r="M777" s="309"/>
      <c r="N777" s="309"/>
      <c r="O777" s="309"/>
      <c r="P777" s="309"/>
      <c r="Q777" s="326"/>
      <c r="R777" s="326"/>
      <c r="S777" s="326"/>
      <c r="T777" s="309"/>
      <c r="U777" s="309"/>
      <c r="V777" s="309"/>
      <c r="W777" s="328"/>
      <c r="X777" s="309"/>
      <c r="Y777" s="309"/>
      <c r="Z777" s="309"/>
      <c r="AA777" s="309"/>
      <c r="AB777" s="309"/>
      <c r="AC777" s="309"/>
    </row>
    <row r="778" spans="1:29" ht="12.75" customHeight="1">
      <c r="A778" s="309"/>
      <c r="B778" s="309"/>
      <c r="C778" s="309"/>
      <c r="D778" s="309"/>
      <c r="E778" s="309"/>
      <c r="F778" s="309"/>
      <c r="G778" s="309"/>
      <c r="H778" s="309"/>
      <c r="I778" s="309"/>
      <c r="J778" s="309"/>
      <c r="K778" s="1020"/>
      <c r="L778" s="1020"/>
      <c r="M778" s="309"/>
      <c r="N778" s="309"/>
      <c r="O778" s="309"/>
      <c r="P778" s="309"/>
      <c r="Q778" s="326"/>
      <c r="R778" s="326"/>
      <c r="S778" s="326"/>
      <c r="T778" s="309"/>
      <c r="U778" s="309"/>
      <c r="V778" s="309"/>
      <c r="W778" s="328"/>
      <c r="X778" s="309"/>
      <c r="Y778" s="309"/>
      <c r="Z778" s="309"/>
      <c r="AA778" s="309"/>
      <c r="AB778" s="309"/>
      <c r="AC778" s="309"/>
    </row>
    <row r="779" spans="1:29" ht="12.75" customHeight="1">
      <c r="A779" s="309"/>
      <c r="B779" s="309"/>
      <c r="C779" s="309"/>
      <c r="D779" s="309"/>
      <c r="E779" s="309"/>
      <c r="F779" s="309"/>
      <c r="G779" s="309"/>
      <c r="H779" s="309"/>
      <c r="I779" s="309"/>
      <c r="J779" s="309"/>
      <c r="K779" s="1020"/>
      <c r="L779" s="1020"/>
      <c r="M779" s="309"/>
      <c r="N779" s="309"/>
      <c r="O779" s="309"/>
      <c r="P779" s="309"/>
      <c r="Q779" s="326"/>
      <c r="R779" s="326"/>
      <c r="S779" s="326"/>
      <c r="T779" s="309"/>
      <c r="U779" s="309"/>
      <c r="V779" s="309"/>
      <c r="W779" s="328"/>
      <c r="X779" s="309"/>
      <c r="Y779" s="309"/>
      <c r="Z779" s="309"/>
      <c r="AA779" s="309"/>
      <c r="AB779" s="309"/>
      <c r="AC779" s="309"/>
    </row>
    <row r="780" spans="1:29" ht="12.75" customHeight="1">
      <c r="A780" s="309"/>
      <c r="B780" s="309"/>
      <c r="C780" s="309"/>
      <c r="D780" s="309"/>
      <c r="E780" s="309"/>
      <c r="F780" s="309"/>
      <c r="G780" s="309"/>
      <c r="H780" s="309"/>
      <c r="I780" s="309"/>
      <c r="J780" s="309"/>
      <c r="K780" s="1020"/>
      <c r="L780" s="1020"/>
      <c r="M780" s="309"/>
      <c r="N780" s="309"/>
      <c r="O780" s="309"/>
      <c r="P780" s="309"/>
      <c r="Q780" s="326"/>
      <c r="R780" s="326"/>
      <c r="S780" s="326"/>
      <c r="T780" s="309"/>
      <c r="U780" s="309"/>
      <c r="V780" s="309"/>
      <c r="W780" s="328"/>
      <c r="X780" s="309"/>
      <c r="Y780" s="309"/>
      <c r="Z780" s="309"/>
      <c r="AA780" s="309"/>
      <c r="AB780" s="309"/>
      <c r="AC780" s="309"/>
    </row>
    <row r="781" spans="1:29" ht="12.75" customHeight="1">
      <c r="A781" s="309"/>
      <c r="B781" s="309"/>
      <c r="C781" s="309"/>
      <c r="D781" s="309"/>
      <c r="E781" s="309"/>
      <c r="F781" s="309"/>
      <c r="G781" s="309"/>
      <c r="H781" s="309"/>
      <c r="I781" s="309"/>
      <c r="J781" s="309"/>
      <c r="K781" s="1020"/>
      <c r="L781" s="1020"/>
      <c r="M781" s="309"/>
      <c r="N781" s="309"/>
      <c r="O781" s="309"/>
      <c r="P781" s="309"/>
      <c r="Q781" s="326"/>
      <c r="R781" s="326"/>
      <c r="S781" s="326"/>
      <c r="T781" s="309"/>
      <c r="U781" s="309"/>
      <c r="V781" s="309"/>
      <c r="W781" s="328"/>
      <c r="X781" s="309"/>
      <c r="Y781" s="309"/>
      <c r="Z781" s="309"/>
      <c r="AA781" s="309"/>
      <c r="AB781" s="309"/>
      <c r="AC781" s="309"/>
    </row>
    <row r="782" spans="1:29" ht="12.75" customHeight="1">
      <c r="A782" s="309"/>
      <c r="B782" s="309"/>
      <c r="C782" s="309"/>
      <c r="D782" s="309"/>
      <c r="E782" s="309"/>
      <c r="F782" s="309"/>
      <c r="G782" s="309"/>
      <c r="H782" s="309"/>
      <c r="I782" s="309"/>
      <c r="J782" s="309"/>
      <c r="K782" s="1020"/>
      <c r="L782" s="1020"/>
      <c r="M782" s="309"/>
      <c r="N782" s="309"/>
      <c r="O782" s="309"/>
      <c r="P782" s="309"/>
      <c r="Q782" s="326"/>
      <c r="R782" s="326"/>
      <c r="S782" s="326"/>
      <c r="T782" s="309"/>
      <c r="U782" s="309"/>
      <c r="V782" s="309"/>
      <c r="W782" s="328"/>
      <c r="X782" s="309"/>
      <c r="Y782" s="309"/>
      <c r="Z782" s="309"/>
      <c r="AA782" s="309"/>
      <c r="AB782" s="309"/>
      <c r="AC782" s="309"/>
    </row>
    <row r="783" spans="1:29" ht="12.75" customHeight="1">
      <c r="A783" s="309"/>
      <c r="B783" s="309"/>
      <c r="C783" s="309"/>
      <c r="D783" s="309"/>
      <c r="E783" s="309"/>
      <c r="F783" s="309"/>
      <c r="G783" s="309"/>
      <c r="H783" s="309"/>
      <c r="I783" s="309"/>
      <c r="J783" s="309"/>
      <c r="K783" s="1020"/>
      <c r="L783" s="1020"/>
      <c r="M783" s="309"/>
      <c r="N783" s="309"/>
      <c r="O783" s="309"/>
      <c r="P783" s="309"/>
      <c r="Q783" s="326"/>
      <c r="R783" s="326"/>
      <c r="S783" s="326"/>
      <c r="T783" s="309"/>
      <c r="U783" s="309"/>
      <c r="V783" s="309"/>
      <c r="W783" s="328"/>
      <c r="X783" s="309"/>
      <c r="Y783" s="309"/>
      <c r="Z783" s="309"/>
      <c r="AA783" s="309"/>
      <c r="AB783" s="309"/>
      <c r="AC783" s="309"/>
    </row>
    <row r="784" spans="1:29" ht="12.75" customHeight="1">
      <c r="A784" s="309"/>
      <c r="B784" s="309"/>
      <c r="C784" s="309"/>
      <c r="D784" s="309"/>
      <c r="E784" s="309"/>
      <c r="F784" s="309"/>
      <c r="G784" s="309"/>
      <c r="H784" s="309"/>
      <c r="I784" s="309"/>
      <c r="J784" s="309"/>
      <c r="K784" s="1020"/>
      <c r="L784" s="1020"/>
      <c r="M784" s="309"/>
      <c r="N784" s="309"/>
      <c r="O784" s="309"/>
      <c r="P784" s="309"/>
      <c r="Q784" s="326"/>
      <c r="R784" s="326"/>
      <c r="S784" s="326"/>
      <c r="T784" s="309"/>
      <c r="U784" s="309"/>
      <c r="V784" s="309"/>
      <c r="W784" s="328"/>
      <c r="X784" s="309"/>
      <c r="Y784" s="309"/>
      <c r="Z784" s="309"/>
      <c r="AA784" s="309"/>
      <c r="AB784" s="309"/>
      <c r="AC784" s="309"/>
    </row>
    <row r="785" spans="1:29" ht="12.75" customHeight="1">
      <c r="A785" s="309"/>
      <c r="B785" s="309"/>
      <c r="C785" s="309"/>
      <c r="D785" s="309"/>
      <c r="E785" s="309"/>
      <c r="F785" s="309"/>
      <c r="G785" s="309"/>
      <c r="H785" s="309"/>
      <c r="I785" s="309"/>
      <c r="J785" s="309"/>
      <c r="K785" s="1020"/>
      <c r="L785" s="1020"/>
      <c r="M785" s="309"/>
      <c r="N785" s="309"/>
      <c r="O785" s="309"/>
      <c r="P785" s="309"/>
      <c r="Q785" s="326"/>
      <c r="R785" s="326"/>
      <c r="S785" s="326"/>
      <c r="T785" s="309"/>
      <c r="U785" s="309"/>
      <c r="V785" s="309"/>
      <c r="W785" s="328"/>
      <c r="X785" s="309"/>
      <c r="Y785" s="309"/>
      <c r="Z785" s="309"/>
      <c r="AA785" s="309"/>
      <c r="AB785" s="309"/>
      <c r="AC785" s="309"/>
    </row>
    <row r="786" spans="1:29" ht="12.75" customHeight="1">
      <c r="A786" s="309"/>
      <c r="B786" s="309"/>
      <c r="C786" s="309"/>
      <c r="D786" s="309"/>
      <c r="E786" s="309"/>
      <c r="F786" s="309"/>
      <c r="G786" s="309"/>
      <c r="H786" s="309"/>
      <c r="I786" s="309"/>
      <c r="J786" s="309"/>
      <c r="K786" s="1020"/>
      <c r="L786" s="1020"/>
      <c r="M786" s="309"/>
      <c r="N786" s="309"/>
      <c r="O786" s="309"/>
      <c r="P786" s="309"/>
      <c r="Q786" s="326"/>
      <c r="R786" s="326"/>
      <c r="S786" s="326"/>
      <c r="T786" s="309"/>
      <c r="U786" s="309"/>
      <c r="V786" s="309"/>
      <c r="W786" s="328"/>
      <c r="X786" s="309"/>
      <c r="Y786" s="309"/>
      <c r="Z786" s="309"/>
      <c r="AA786" s="309"/>
      <c r="AB786" s="309"/>
      <c r="AC786" s="309"/>
    </row>
    <row r="787" spans="1:29" ht="12.75" customHeight="1">
      <c r="A787" s="309"/>
      <c r="B787" s="309"/>
      <c r="C787" s="309"/>
      <c r="D787" s="309"/>
      <c r="E787" s="309"/>
      <c r="F787" s="309"/>
      <c r="G787" s="309"/>
      <c r="H787" s="309"/>
      <c r="I787" s="309"/>
      <c r="J787" s="309"/>
      <c r="K787" s="1020"/>
      <c r="L787" s="1020"/>
      <c r="M787" s="309"/>
      <c r="N787" s="309"/>
      <c r="O787" s="309"/>
      <c r="P787" s="309"/>
      <c r="Q787" s="326"/>
      <c r="R787" s="326"/>
      <c r="S787" s="326"/>
      <c r="T787" s="309"/>
      <c r="U787" s="309"/>
      <c r="V787" s="309"/>
      <c r="W787" s="328"/>
      <c r="X787" s="309"/>
      <c r="Y787" s="309"/>
      <c r="Z787" s="309"/>
      <c r="AA787" s="309"/>
      <c r="AB787" s="309"/>
      <c r="AC787" s="309"/>
    </row>
    <row r="788" spans="1:29" ht="12.75" customHeight="1">
      <c r="A788" s="309"/>
      <c r="B788" s="309"/>
      <c r="C788" s="309"/>
      <c r="D788" s="309"/>
      <c r="E788" s="309"/>
      <c r="F788" s="309"/>
      <c r="G788" s="309"/>
      <c r="H788" s="309"/>
      <c r="I788" s="309"/>
      <c r="J788" s="309"/>
      <c r="K788" s="1020"/>
      <c r="L788" s="1020"/>
      <c r="M788" s="309"/>
      <c r="N788" s="309"/>
      <c r="O788" s="309"/>
      <c r="P788" s="309"/>
      <c r="Q788" s="326"/>
      <c r="R788" s="326"/>
      <c r="S788" s="326"/>
      <c r="T788" s="309"/>
      <c r="U788" s="309"/>
      <c r="V788" s="309"/>
      <c r="W788" s="328"/>
      <c r="X788" s="309"/>
      <c r="Y788" s="309"/>
      <c r="Z788" s="309"/>
      <c r="AA788" s="309"/>
      <c r="AB788" s="309"/>
      <c r="AC788" s="309"/>
    </row>
    <row r="789" spans="1:29" ht="12.75" customHeight="1">
      <c r="A789" s="309"/>
      <c r="B789" s="309"/>
      <c r="C789" s="309"/>
      <c r="D789" s="309"/>
      <c r="E789" s="309"/>
      <c r="F789" s="309"/>
      <c r="G789" s="309"/>
      <c r="H789" s="309"/>
      <c r="I789" s="309"/>
      <c r="J789" s="309"/>
      <c r="K789" s="1020"/>
      <c r="L789" s="1020"/>
      <c r="M789" s="309"/>
      <c r="N789" s="309"/>
      <c r="O789" s="309"/>
      <c r="P789" s="309"/>
      <c r="Q789" s="326"/>
      <c r="R789" s="326"/>
      <c r="S789" s="326"/>
      <c r="T789" s="309"/>
      <c r="U789" s="309"/>
      <c r="V789" s="309"/>
      <c r="W789" s="328"/>
      <c r="X789" s="309"/>
      <c r="Y789" s="309"/>
      <c r="Z789" s="309"/>
      <c r="AA789" s="309"/>
      <c r="AB789" s="309"/>
      <c r="AC789" s="309"/>
    </row>
    <row r="790" spans="1:29" ht="12.75" customHeight="1">
      <c r="A790" s="309"/>
      <c r="B790" s="309"/>
      <c r="C790" s="309"/>
      <c r="D790" s="309"/>
      <c r="E790" s="309"/>
      <c r="F790" s="309"/>
      <c r="G790" s="309"/>
      <c r="H790" s="309"/>
      <c r="I790" s="309"/>
      <c r="J790" s="309"/>
      <c r="K790" s="1020"/>
      <c r="L790" s="1020"/>
      <c r="M790" s="309"/>
      <c r="N790" s="309"/>
      <c r="O790" s="309"/>
      <c r="P790" s="309"/>
      <c r="Q790" s="326"/>
      <c r="R790" s="326"/>
      <c r="S790" s="326"/>
      <c r="T790" s="309"/>
      <c r="U790" s="309"/>
      <c r="V790" s="309"/>
      <c r="W790" s="328"/>
      <c r="X790" s="309"/>
      <c r="Y790" s="309"/>
      <c r="Z790" s="309"/>
      <c r="AA790" s="309"/>
      <c r="AB790" s="309"/>
      <c r="AC790" s="309"/>
    </row>
    <row r="791" spans="1:29" ht="12.75" customHeight="1">
      <c r="A791" s="309"/>
      <c r="B791" s="309"/>
      <c r="C791" s="309"/>
      <c r="D791" s="309"/>
      <c r="E791" s="309"/>
      <c r="F791" s="309"/>
      <c r="G791" s="309"/>
      <c r="H791" s="309"/>
      <c r="I791" s="309"/>
      <c r="J791" s="309"/>
      <c r="K791" s="1020"/>
      <c r="L791" s="1020"/>
      <c r="M791" s="309"/>
      <c r="N791" s="309"/>
      <c r="O791" s="309"/>
      <c r="P791" s="309"/>
      <c r="Q791" s="326"/>
      <c r="R791" s="326"/>
      <c r="S791" s="326"/>
      <c r="T791" s="309"/>
      <c r="U791" s="309"/>
      <c r="V791" s="309"/>
      <c r="W791" s="328"/>
      <c r="X791" s="309"/>
      <c r="Y791" s="309"/>
      <c r="Z791" s="309"/>
      <c r="AA791" s="309"/>
      <c r="AB791" s="309"/>
      <c r="AC791" s="309"/>
    </row>
    <row r="792" spans="1:29" ht="12.75" customHeight="1">
      <c r="A792" s="309"/>
      <c r="B792" s="309"/>
      <c r="C792" s="309"/>
      <c r="D792" s="309"/>
      <c r="E792" s="309"/>
      <c r="F792" s="309"/>
      <c r="G792" s="309"/>
      <c r="H792" s="309"/>
      <c r="I792" s="309"/>
      <c r="J792" s="309"/>
      <c r="K792" s="1020"/>
      <c r="L792" s="1020"/>
      <c r="M792" s="309"/>
      <c r="N792" s="309"/>
      <c r="O792" s="309"/>
      <c r="P792" s="309"/>
      <c r="Q792" s="326"/>
      <c r="R792" s="326"/>
      <c r="S792" s="326"/>
      <c r="T792" s="309"/>
      <c r="U792" s="309"/>
      <c r="V792" s="309"/>
      <c r="W792" s="328"/>
      <c r="X792" s="309"/>
      <c r="Y792" s="309"/>
      <c r="Z792" s="309"/>
      <c r="AA792" s="309"/>
      <c r="AB792" s="309"/>
      <c r="AC792" s="309"/>
    </row>
    <row r="793" spans="1:29" ht="12.75" customHeight="1">
      <c r="A793" s="309"/>
      <c r="B793" s="309"/>
      <c r="C793" s="309"/>
      <c r="D793" s="309"/>
      <c r="E793" s="309"/>
      <c r="F793" s="309"/>
      <c r="G793" s="309"/>
      <c r="H793" s="309"/>
      <c r="I793" s="309"/>
      <c r="J793" s="309"/>
      <c r="K793" s="1020"/>
      <c r="L793" s="1020"/>
      <c r="M793" s="309"/>
      <c r="N793" s="309"/>
      <c r="O793" s="309"/>
      <c r="P793" s="309"/>
      <c r="Q793" s="326"/>
      <c r="R793" s="326"/>
      <c r="S793" s="326"/>
      <c r="T793" s="309"/>
      <c r="U793" s="309"/>
      <c r="V793" s="309"/>
      <c r="W793" s="328"/>
      <c r="X793" s="309"/>
      <c r="Y793" s="309"/>
      <c r="Z793" s="309"/>
      <c r="AA793" s="309"/>
      <c r="AB793" s="309"/>
      <c r="AC793" s="309"/>
    </row>
    <row r="794" spans="1:29" ht="12.75" customHeight="1">
      <c r="A794" s="309"/>
      <c r="B794" s="309"/>
      <c r="C794" s="309"/>
      <c r="D794" s="309"/>
      <c r="E794" s="309"/>
      <c r="F794" s="309"/>
      <c r="G794" s="309"/>
      <c r="H794" s="309"/>
      <c r="I794" s="309"/>
      <c r="J794" s="309"/>
      <c r="K794" s="1020"/>
      <c r="L794" s="1020"/>
      <c r="M794" s="309"/>
      <c r="N794" s="309"/>
      <c r="O794" s="309"/>
      <c r="P794" s="309"/>
      <c r="Q794" s="326"/>
      <c r="R794" s="326"/>
      <c r="S794" s="326"/>
      <c r="T794" s="309"/>
      <c r="U794" s="309"/>
      <c r="V794" s="309"/>
      <c r="W794" s="328"/>
      <c r="X794" s="309"/>
      <c r="Y794" s="309"/>
      <c r="Z794" s="309"/>
      <c r="AA794" s="309"/>
      <c r="AB794" s="309"/>
      <c r="AC794" s="309"/>
    </row>
    <row r="795" spans="1:29" ht="12.75" customHeight="1">
      <c r="A795" s="309"/>
      <c r="B795" s="309"/>
      <c r="C795" s="309"/>
      <c r="D795" s="309"/>
      <c r="E795" s="309"/>
      <c r="F795" s="309"/>
      <c r="G795" s="309"/>
      <c r="H795" s="309"/>
      <c r="I795" s="309"/>
      <c r="J795" s="309"/>
      <c r="K795" s="1020"/>
      <c r="L795" s="1020"/>
      <c r="M795" s="309"/>
      <c r="N795" s="309"/>
      <c r="O795" s="309"/>
      <c r="P795" s="309"/>
      <c r="Q795" s="326"/>
      <c r="R795" s="326"/>
      <c r="S795" s="326"/>
      <c r="T795" s="309"/>
      <c r="U795" s="309"/>
      <c r="V795" s="309"/>
      <c r="W795" s="328"/>
      <c r="X795" s="309"/>
      <c r="Y795" s="309"/>
      <c r="Z795" s="309"/>
      <c r="AA795" s="309"/>
      <c r="AB795" s="309"/>
      <c r="AC795" s="309"/>
    </row>
    <row r="796" spans="1:29" ht="12.75" customHeight="1">
      <c r="A796" s="309"/>
      <c r="B796" s="309"/>
      <c r="C796" s="309"/>
      <c r="D796" s="309"/>
      <c r="E796" s="309"/>
      <c r="F796" s="309"/>
      <c r="G796" s="309"/>
      <c r="H796" s="309"/>
      <c r="I796" s="309"/>
      <c r="J796" s="309"/>
      <c r="K796" s="1020"/>
      <c r="L796" s="1020"/>
      <c r="M796" s="309"/>
      <c r="N796" s="309"/>
      <c r="O796" s="309"/>
      <c r="P796" s="309"/>
      <c r="Q796" s="326"/>
      <c r="R796" s="326"/>
      <c r="S796" s="326"/>
      <c r="T796" s="309"/>
      <c r="U796" s="309"/>
      <c r="V796" s="309"/>
      <c r="W796" s="328"/>
      <c r="X796" s="309"/>
      <c r="Y796" s="309"/>
      <c r="Z796" s="309"/>
      <c r="AA796" s="309"/>
      <c r="AB796" s="309"/>
      <c r="AC796" s="309"/>
    </row>
    <row r="797" spans="1:29" ht="12.75" customHeight="1">
      <c r="A797" s="309"/>
      <c r="B797" s="309"/>
      <c r="C797" s="309"/>
      <c r="D797" s="309"/>
      <c r="E797" s="309"/>
      <c r="F797" s="309"/>
      <c r="G797" s="309"/>
      <c r="H797" s="309"/>
      <c r="I797" s="309"/>
      <c r="J797" s="309"/>
      <c r="K797" s="1020"/>
      <c r="L797" s="1020"/>
      <c r="M797" s="309"/>
      <c r="N797" s="309"/>
      <c r="O797" s="309"/>
      <c r="P797" s="309"/>
      <c r="Q797" s="326"/>
      <c r="R797" s="326"/>
      <c r="S797" s="326"/>
      <c r="T797" s="309"/>
      <c r="U797" s="309"/>
      <c r="V797" s="309"/>
      <c r="W797" s="328"/>
      <c r="X797" s="309"/>
      <c r="Y797" s="309"/>
      <c r="Z797" s="309"/>
      <c r="AA797" s="309"/>
      <c r="AB797" s="309"/>
      <c r="AC797" s="309"/>
    </row>
    <row r="798" spans="1:29" ht="12.75" customHeight="1">
      <c r="A798" s="309"/>
      <c r="B798" s="309"/>
      <c r="C798" s="309"/>
      <c r="D798" s="309"/>
      <c r="E798" s="309"/>
      <c r="F798" s="309"/>
      <c r="G798" s="309"/>
      <c r="H798" s="309"/>
      <c r="I798" s="309"/>
      <c r="J798" s="309"/>
      <c r="K798" s="1020"/>
      <c r="L798" s="1020"/>
      <c r="M798" s="309"/>
      <c r="N798" s="309"/>
      <c r="O798" s="309"/>
      <c r="P798" s="309"/>
      <c r="Q798" s="326"/>
      <c r="R798" s="326"/>
      <c r="S798" s="326"/>
      <c r="T798" s="309"/>
      <c r="U798" s="309"/>
      <c r="V798" s="309"/>
      <c r="W798" s="328"/>
      <c r="X798" s="309"/>
      <c r="Y798" s="309"/>
      <c r="Z798" s="309"/>
      <c r="AA798" s="309"/>
      <c r="AB798" s="309"/>
      <c r="AC798" s="309"/>
    </row>
    <row r="799" spans="1:29" ht="12.75" customHeight="1">
      <c r="A799" s="309"/>
      <c r="B799" s="309"/>
      <c r="C799" s="309"/>
      <c r="D799" s="309"/>
      <c r="E799" s="309"/>
      <c r="F799" s="309"/>
      <c r="G799" s="309"/>
      <c r="H799" s="309"/>
      <c r="I799" s="309"/>
      <c r="J799" s="309"/>
      <c r="K799" s="1020"/>
      <c r="L799" s="1020"/>
      <c r="M799" s="309"/>
      <c r="N799" s="309"/>
      <c r="O799" s="309"/>
      <c r="P799" s="309"/>
      <c r="Q799" s="326"/>
      <c r="R799" s="326"/>
      <c r="S799" s="326"/>
      <c r="T799" s="309"/>
      <c r="U799" s="309"/>
      <c r="V799" s="309"/>
      <c r="W799" s="328"/>
      <c r="X799" s="309"/>
      <c r="Y799" s="309"/>
      <c r="Z799" s="309"/>
      <c r="AA799" s="309"/>
      <c r="AB799" s="309"/>
      <c r="AC799" s="309"/>
    </row>
    <row r="800" spans="1:29" ht="12.75" customHeight="1">
      <c r="A800" s="309"/>
      <c r="B800" s="309"/>
      <c r="C800" s="309"/>
      <c r="D800" s="309"/>
      <c r="E800" s="309"/>
      <c r="F800" s="309"/>
      <c r="G800" s="309"/>
      <c r="H800" s="309"/>
      <c r="I800" s="309"/>
      <c r="J800" s="309"/>
      <c r="K800" s="1020"/>
      <c r="L800" s="1020"/>
      <c r="M800" s="309"/>
      <c r="N800" s="309"/>
      <c r="O800" s="309"/>
      <c r="P800" s="309"/>
      <c r="Q800" s="326"/>
      <c r="R800" s="326"/>
      <c r="S800" s="326"/>
      <c r="T800" s="309"/>
      <c r="U800" s="309"/>
      <c r="V800" s="309"/>
      <c r="W800" s="328"/>
      <c r="X800" s="309"/>
      <c r="Y800" s="309"/>
      <c r="Z800" s="309"/>
      <c r="AA800" s="309"/>
      <c r="AB800" s="309"/>
      <c r="AC800" s="309"/>
    </row>
    <row r="801" spans="1:29" ht="12.75" customHeight="1">
      <c r="A801" s="309"/>
      <c r="B801" s="309"/>
      <c r="C801" s="309"/>
      <c r="D801" s="309"/>
      <c r="E801" s="309"/>
      <c r="F801" s="309"/>
      <c r="G801" s="309"/>
      <c r="H801" s="309"/>
      <c r="I801" s="309"/>
      <c r="J801" s="309"/>
      <c r="K801" s="1020"/>
      <c r="L801" s="1020"/>
      <c r="M801" s="309"/>
      <c r="N801" s="309"/>
      <c r="O801" s="309"/>
      <c r="P801" s="309"/>
      <c r="Q801" s="326"/>
      <c r="R801" s="326"/>
      <c r="S801" s="326"/>
      <c r="T801" s="309"/>
      <c r="U801" s="309"/>
      <c r="V801" s="309"/>
      <c r="W801" s="328"/>
      <c r="X801" s="309"/>
      <c r="Y801" s="309"/>
      <c r="Z801" s="309"/>
      <c r="AA801" s="309"/>
      <c r="AB801" s="309"/>
      <c r="AC801" s="309"/>
    </row>
    <row r="802" spans="1:29" ht="12.75" customHeight="1">
      <c r="A802" s="309"/>
      <c r="B802" s="309"/>
      <c r="C802" s="309"/>
      <c r="D802" s="309"/>
      <c r="E802" s="309"/>
      <c r="F802" s="309"/>
      <c r="G802" s="309"/>
      <c r="H802" s="309"/>
      <c r="I802" s="309"/>
      <c r="J802" s="309"/>
      <c r="K802" s="1020"/>
      <c r="L802" s="1020"/>
      <c r="M802" s="309"/>
      <c r="N802" s="309"/>
      <c r="O802" s="309"/>
      <c r="P802" s="309"/>
      <c r="Q802" s="326"/>
      <c r="R802" s="326"/>
      <c r="S802" s="326"/>
      <c r="T802" s="309"/>
      <c r="U802" s="309"/>
      <c r="V802" s="309"/>
      <c r="W802" s="328"/>
      <c r="X802" s="309"/>
      <c r="Y802" s="309"/>
      <c r="Z802" s="309"/>
      <c r="AA802" s="309"/>
      <c r="AB802" s="309"/>
      <c r="AC802" s="309"/>
    </row>
    <row r="803" spans="1:29" ht="12.75" customHeight="1">
      <c r="A803" s="309"/>
      <c r="B803" s="309"/>
      <c r="C803" s="309"/>
      <c r="D803" s="309"/>
      <c r="E803" s="309"/>
      <c r="F803" s="309"/>
      <c r="G803" s="309"/>
      <c r="H803" s="309"/>
      <c r="I803" s="309"/>
      <c r="J803" s="309"/>
      <c r="K803" s="1020"/>
      <c r="L803" s="1020"/>
      <c r="M803" s="309"/>
      <c r="N803" s="309"/>
      <c r="O803" s="309"/>
      <c r="P803" s="309"/>
      <c r="Q803" s="326"/>
      <c r="R803" s="326"/>
      <c r="S803" s="326"/>
      <c r="T803" s="309"/>
      <c r="U803" s="309"/>
      <c r="V803" s="309"/>
      <c r="W803" s="328"/>
      <c r="X803" s="309"/>
      <c r="Y803" s="309"/>
      <c r="Z803" s="309"/>
      <c r="AA803" s="309"/>
      <c r="AB803" s="309"/>
      <c r="AC803" s="309"/>
    </row>
    <row r="804" spans="1:29" ht="12.75" customHeight="1">
      <c r="A804" s="309"/>
      <c r="B804" s="309"/>
      <c r="C804" s="309"/>
      <c r="D804" s="309"/>
      <c r="E804" s="309"/>
      <c r="F804" s="309"/>
      <c r="G804" s="309"/>
      <c r="H804" s="309"/>
      <c r="I804" s="309"/>
      <c r="J804" s="309"/>
      <c r="K804" s="1020"/>
      <c r="L804" s="1020"/>
      <c r="M804" s="309"/>
      <c r="N804" s="309"/>
      <c r="O804" s="309"/>
      <c r="P804" s="309"/>
      <c r="Q804" s="326"/>
      <c r="R804" s="326"/>
      <c r="S804" s="326"/>
      <c r="T804" s="309"/>
      <c r="U804" s="309"/>
      <c r="V804" s="309"/>
      <c r="W804" s="328"/>
      <c r="X804" s="309"/>
      <c r="Y804" s="309"/>
      <c r="Z804" s="309"/>
      <c r="AA804" s="309"/>
      <c r="AB804" s="309"/>
      <c r="AC804" s="309"/>
    </row>
    <row r="805" spans="1:29" ht="12.75" customHeight="1">
      <c r="A805" s="309"/>
      <c r="B805" s="309"/>
      <c r="C805" s="309"/>
      <c r="D805" s="309"/>
      <c r="E805" s="309"/>
      <c r="F805" s="309"/>
      <c r="G805" s="309"/>
      <c r="H805" s="309"/>
      <c r="I805" s="309"/>
      <c r="J805" s="309"/>
      <c r="K805" s="1020"/>
      <c r="L805" s="1020"/>
      <c r="M805" s="309"/>
      <c r="N805" s="309"/>
      <c r="O805" s="309"/>
      <c r="P805" s="309"/>
      <c r="Q805" s="326"/>
      <c r="R805" s="326"/>
      <c r="S805" s="326"/>
      <c r="T805" s="309"/>
      <c r="U805" s="309"/>
      <c r="V805" s="309"/>
      <c r="W805" s="328"/>
      <c r="X805" s="309"/>
      <c r="Y805" s="309"/>
      <c r="Z805" s="309"/>
      <c r="AA805" s="309"/>
      <c r="AB805" s="309"/>
      <c r="AC805" s="309"/>
    </row>
    <row r="806" spans="1:29" ht="12.75" customHeight="1">
      <c r="A806" s="309"/>
      <c r="B806" s="309"/>
      <c r="C806" s="309"/>
      <c r="D806" s="309"/>
      <c r="E806" s="309"/>
      <c r="F806" s="309"/>
      <c r="G806" s="309"/>
      <c r="H806" s="309"/>
      <c r="I806" s="309"/>
      <c r="J806" s="309"/>
      <c r="K806" s="1020"/>
      <c r="L806" s="1020"/>
      <c r="M806" s="309"/>
      <c r="N806" s="309"/>
      <c r="O806" s="309"/>
      <c r="P806" s="309"/>
      <c r="Q806" s="326"/>
      <c r="R806" s="326"/>
      <c r="S806" s="326"/>
      <c r="T806" s="309"/>
      <c r="U806" s="309"/>
      <c r="V806" s="309"/>
      <c r="W806" s="328"/>
      <c r="X806" s="309"/>
      <c r="Y806" s="309"/>
      <c r="Z806" s="309"/>
      <c r="AA806" s="309"/>
      <c r="AB806" s="309"/>
      <c r="AC806" s="309"/>
    </row>
    <row r="807" spans="1:29" ht="12.75" customHeight="1">
      <c r="A807" s="309"/>
      <c r="B807" s="309"/>
      <c r="C807" s="309"/>
      <c r="D807" s="309"/>
      <c r="E807" s="309"/>
      <c r="F807" s="309"/>
      <c r="G807" s="309"/>
      <c r="H807" s="309"/>
      <c r="I807" s="309"/>
      <c r="J807" s="309"/>
      <c r="K807" s="1020"/>
      <c r="L807" s="1020"/>
      <c r="M807" s="309"/>
      <c r="N807" s="309"/>
      <c r="O807" s="309"/>
      <c r="P807" s="309"/>
      <c r="Q807" s="326"/>
      <c r="R807" s="326"/>
      <c r="S807" s="326"/>
      <c r="T807" s="309"/>
      <c r="U807" s="309"/>
      <c r="V807" s="309"/>
      <c r="W807" s="328"/>
      <c r="X807" s="309"/>
      <c r="Y807" s="309"/>
      <c r="Z807" s="309"/>
      <c r="AA807" s="309"/>
      <c r="AB807" s="309"/>
      <c r="AC807" s="309"/>
    </row>
    <row r="808" spans="1:29" ht="12.75" customHeight="1">
      <c r="A808" s="309"/>
      <c r="B808" s="309"/>
      <c r="C808" s="309"/>
      <c r="D808" s="309"/>
      <c r="E808" s="309"/>
      <c r="F808" s="309"/>
      <c r="G808" s="309"/>
      <c r="H808" s="309"/>
      <c r="I808" s="309"/>
      <c r="J808" s="309"/>
      <c r="K808" s="1020"/>
      <c r="L808" s="1020"/>
      <c r="M808" s="309"/>
      <c r="N808" s="309"/>
      <c r="O808" s="309"/>
      <c r="P808" s="309"/>
      <c r="Q808" s="326"/>
      <c r="R808" s="326"/>
      <c r="S808" s="326"/>
      <c r="T808" s="309"/>
      <c r="U808" s="309"/>
      <c r="V808" s="309"/>
      <c r="W808" s="328"/>
      <c r="X808" s="309"/>
      <c r="Y808" s="309"/>
      <c r="Z808" s="309"/>
      <c r="AA808" s="309"/>
      <c r="AB808" s="309"/>
      <c r="AC808" s="309"/>
    </row>
    <row r="809" spans="1:29" ht="12.75" customHeight="1">
      <c r="A809" s="309"/>
      <c r="B809" s="309"/>
      <c r="C809" s="309"/>
      <c r="D809" s="309"/>
      <c r="E809" s="309"/>
      <c r="F809" s="309"/>
      <c r="G809" s="309"/>
      <c r="H809" s="309"/>
      <c r="I809" s="309"/>
      <c r="J809" s="309"/>
      <c r="K809" s="1020"/>
      <c r="L809" s="1020"/>
      <c r="M809" s="309"/>
      <c r="N809" s="309"/>
      <c r="O809" s="309"/>
      <c r="P809" s="309"/>
      <c r="Q809" s="326"/>
      <c r="R809" s="326"/>
      <c r="S809" s="326"/>
      <c r="T809" s="309"/>
      <c r="U809" s="309"/>
      <c r="V809" s="309"/>
      <c r="W809" s="328"/>
      <c r="X809" s="309"/>
      <c r="Y809" s="309"/>
      <c r="Z809" s="309"/>
      <c r="AA809" s="309"/>
      <c r="AB809" s="309"/>
      <c r="AC809" s="309"/>
    </row>
    <row r="810" spans="1:29" ht="12.75" customHeight="1">
      <c r="A810" s="309"/>
      <c r="B810" s="309"/>
      <c r="C810" s="309"/>
      <c r="D810" s="309"/>
      <c r="E810" s="309"/>
      <c r="F810" s="309"/>
      <c r="G810" s="309"/>
      <c r="H810" s="309"/>
      <c r="I810" s="309"/>
      <c r="J810" s="309"/>
      <c r="K810" s="1020"/>
      <c r="L810" s="1020"/>
      <c r="M810" s="309"/>
      <c r="N810" s="309"/>
      <c r="O810" s="309"/>
      <c r="P810" s="309"/>
      <c r="Q810" s="326"/>
      <c r="R810" s="326"/>
      <c r="S810" s="326"/>
      <c r="T810" s="309"/>
      <c r="U810" s="309"/>
      <c r="V810" s="309"/>
      <c r="W810" s="328"/>
      <c r="X810" s="309"/>
      <c r="Y810" s="309"/>
      <c r="Z810" s="309"/>
      <c r="AA810" s="309"/>
      <c r="AB810" s="309"/>
      <c r="AC810" s="309"/>
    </row>
    <row r="811" spans="1:29" ht="12.75" customHeight="1">
      <c r="A811" s="309"/>
      <c r="B811" s="309"/>
      <c r="C811" s="309"/>
      <c r="D811" s="309"/>
      <c r="E811" s="309"/>
      <c r="F811" s="309"/>
      <c r="G811" s="309"/>
      <c r="H811" s="309"/>
      <c r="I811" s="309"/>
      <c r="J811" s="309"/>
      <c r="K811" s="1020"/>
      <c r="L811" s="1020"/>
      <c r="M811" s="309"/>
      <c r="N811" s="309"/>
      <c r="O811" s="309"/>
      <c r="P811" s="309"/>
      <c r="Q811" s="326"/>
      <c r="R811" s="326"/>
      <c r="S811" s="326"/>
      <c r="T811" s="309"/>
      <c r="U811" s="309"/>
      <c r="V811" s="309"/>
      <c r="W811" s="328"/>
      <c r="X811" s="309"/>
      <c r="Y811" s="309"/>
      <c r="Z811" s="309"/>
      <c r="AA811" s="309"/>
      <c r="AB811" s="309"/>
      <c r="AC811" s="309"/>
    </row>
    <row r="812" spans="1:29" ht="12.75" customHeight="1">
      <c r="A812" s="309"/>
      <c r="B812" s="309"/>
      <c r="C812" s="309"/>
      <c r="D812" s="309"/>
      <c r="E812" s="309"/>
      <c r="F812" s="309"/>
      <c r="G812" s="309"/>
      <c r="H812" s="309"/>
      <c r="I812" s="309"/>
      <c r="J812" s="309"/>
      <c r="K812" s="1020"/>
      <c r="L812" s="1020"/>
      <c r="M812" s="309"/>
      <c r="N812" s="309"/>
      <c r="O812" s="309"/>
      <c r="P812" s="309"/>
      <c r="Q812" s="326"/>
      <c r="R812" s="326"/>
      <c r="S812" s="326"/>
      <c r="T812" s="309"/>
      <c r="U812" s="309"/>
      <c r="V812" s="309"/>
      <c r="W812" s="328"/>
      <c r="X812" s="309"/>
      <c r="Y812" s="309"/>
      <c r="Z812" s="309"/>
      <c r="AA812" s="309"/>
      <c r="AB812" s="309"/>
      <c r="AC812" s="309"/>
    </row>
    <row r="813" spans="1:29" ht="12.75" customHeight="1">
      <c r="A813" s="309"/>
      <c r="B813" s="309"/>
      <c r="C813" s="309"/>
      <c r="D813" s="309"/>
      <c r="E813" s="309"/>
      <c r="F813" s="309"/>
      <c r="G813" s="309"/>
      <c r="H813" s="309"/>
      <c r="I813" s="309"/>
      <c r="J813" s="309"/>
      <c r="K813" s="1020"/>
      <c r="L813" s="1020"/>
      <c r="M813" s="309"/>
      <c r="N813" s="309"/>
      <c r="O813" s="309"/>
      <c r="P813" s="309"/>
      <c r="Q813" s="326"/>
      <c r="R813" s="326"/>
      <c r="S813" s="326"/>
      <c r="T813" s="309"/>
      <c r="U813" s="309"/>
      <c r="V813" s="309"/>
      <c r="W813" s="328"/>
      <c r="X813" s="309"/>
      <c r="Y813" s="309"/>
      <c r="Z813" s="309"/>
      <c r="AA813" s="309"/>
      <c r="AB813" s="309"/>
      <c r="AC813" s="309"/>
    </row>
    <row r="814" spans="1:29" ht="12.75" customHeight="1">
      <c r="A814" s="309"/>
      <c r="B814" s="309"/>
      <c r="C814" s="309"/>
      <c r="D814" s="309"/>
      <c r="E814" s="309"/>
      <c r="F814" s="309"/>
      <c r="G814" s="309"/>
      <c r="H814" s="309"/>
      <c r="I814" s="309"/>
      <c r="J814" s="309"/>
      <c r="K814" s="1020"/>
      <c r="L814" s="1020"/>
      <c r="M814" s="309"/>
      <c r="N814" s="309"/>
      <c r="O814" s="309"/>
      <c r="P814" s="309"/>
      <c r="Q814" s="326"/>
      <c r="R814" s="326"/>
      <c r="S814" s="326"/>
      <c r="T814" s="309"/>
      <c r="U814" s="309"/>
      <c r="V814" s="309"/>
      <c r="W814" s="328"/>
      <c r="X814" s="309"/>
      <c r="Y814" s="309"/>
      <c r="Z814" s="309"/>
      <c r="AA814" s="309"/>
      <c r="AB814" s="309"/>
      <c r="AC814" s="309"/>
    </row>
    <row r="815" spans="1:29" ht="12.75" customHeight="1">
      <c r="A815" s="309"/>
      <c r="B815" s="309"/>
      <c r="C815" s="309"/>
      <c r="D815" s="309"/>
      <c r="E815" s="309"/>
      <c r="F815" s="309"/>
      <c r="G815" s="309"/>
      <c r="H815" s="309"/>
      <c r="I815" s="309"/>
      <c r="J815" s="309"/>
      <c r="K815" s="1020"/>
      <c r="L815" s="1020"/>
      <c r="M815" s="309"/>
      <c r="N815" s="309"/>
      <c r="O815" s="309"/>
      <c r="P815" s="309"/>
      <c r="Q815" s="326"/>
      <c r="R815" s="326"/>
      <c r="S815" s="326"/>
      <c r="T815" s="309"/>
      <c r="U815" s="309"/>
      <c r="V815" s="309"/>
      <c r="W815" s="328"/>
      <c r="X815" s="309"/>
      <c r="Y815" s="309"/>
      <c r="Z815" s="309"/>
      <c r="AA815" s="309"/>
      <c r="AB815" s="309"/>
      <c r="AC815" s="309"/>
    </row>
    <row r="816" spans="1:29" ht="12.75" customHeight="1">
      <c r="A816" s="309"/>
      <c r="B816" s="309"/>
      <c r="C816" s="309"/>
      <c r="D816" s="309"/>
      <c r="E816" s="309"/>
      <c r="F816" s="309"/>
      <c r="G816" s="309"/>
      <c r="H816" s="309"/>
      <c r="I816" s="309"/>
      <c r="J816" s="309"/>
      <c r="K816" s="1020"/>
      <c r="L816" s="1020"/>
      <c r="M816" s="309"/>
      <c r="N816" s="309"/>
      <c r="O816" s="309"/>
      <c r="P816" s="309"/>
      <c r="Q816" s="326"/>
      <c r="R816" s="326"/>
      <c r="S816" s="326"/>
      <c r="T816" s="309"/>
      <c r="U816" s="309"/>
      <c r="V816" s="309"/>
      <c r="W816" s="328"/>
      <c r="X816" s="309"/>
      <c r="Y816" s="309"/>
      <c r="Z816" s="309"/>
      <c r="AA816" s="309"/>
      <c r="AB816" s="309"/>
      <c r="AC816" s="309"/>
    </row>
    <row r="817" spans="1:29" ht="12.75" customHeight="1">
      <c r="A817" s="309"/>
      <c r="B817" s="309"/>
      <c r="C817" s="309"/>
      <c r="D817" s="309"/>
      <c r="E817" s="309"/>
      <c r="F817" s="309"/>
      <c r="G817" s="309"/>
      <c r="H817" s="309"/>
      <c r="I817" s="309"/>
      <c r="J817" s="309"/>
      <c r="K817" s="1020"/>
      <c r="L817" s="1020"/>
      <c r="M817" s="309"/>
      <c r="N817" s="309"/>
      <c r="O817" s="309"/>
      <c r="P817" s="309"/>
      <c r="Q817" s="326"/>
      <c r="R817" s="326"/>
      <c r="S817" s="326"/>
      <c r="T817" s="309"/>
      <c r="U817" s="309"/>
      <c r="V817" s="309"/>
      <c r="W817" s="328"/>
      <c r="X817" s="309"/>
      <c r="Y817" s="309"/>
      <c r="Z817" s="309"/>
      <c r="AA817" s="309"/>
      <c r="AB817" s="309"/>
      <c r="AC817" s="309"/>
    </row>
    <row r="818" spans="1:29" ht="12.75" customHeight="1">
      <c r="A818" s="309"/>
      <c r="B818" s="309"/>
      <c r="C818" s="309"/>
      <c r="D818" s="309"/>
      <c r="E818" s="309"/>
      <c r="F818" s="309"/>
      <c r="G818" s="309"/>
      <c r="H818" s="309"/>
      <c r="I818" s="309"/>
      <c r="J818" s="309"/>
      <c r="K818" s="1020"/>
      <c r="L818" s="1020"/>
      <c r="M818" s="309"/>
      <c r="N818" s="309"/>
      <c r="O818" s="309"/>
      <c r="P818" s="309"/>
      <c r="Q818" s="326"/>
      <c r="R818" s="326"/>
      <c r="S818" s="326"/>
      <c r="T818" s="309"/>
      <c r="U818" s="309"/>
      <c r="V818" s="309"/>
      <c r="W818" s="328"/>
      <c r="X818" s="309"/>
      <c r="Y818" s="309"/>
      <c r="Z818" s="309"/>
      <c r="AA818" s="309"/>
      <c r="AB818" s="309"/>
      <c r="AC818" s="309"/>
    </row>
    <row r="819" spans="1:29" ht="12.75" customHeight="1">
      <c r="A819" s="309"/>
      <c r="B819" s="309"/>
      <c r="C819" s="309"/>
      <c r="D819" s="309"/>
      <c r="E819" s="309"/>
      <c r="F819" s="309"/>
      <c r="G819" s="309"/>
      <c r="H819" s="309"/>
      <c r="I819" s="309"/>
      <c r="J819" s="309"/>
      <c r="K819" s="1020"/>
      <c r="L819" s="1020"/>
      <c r="M819" s="309"/>
      <c r="N819" s="309"/>
      <c r="O819" s="309"/>
      <c r="P819" s="309"/>
      <c r="Q819" s="326"/>
      <c r="R819" s="326"/>
      <c r="S819" s="326"/>
      <c r="T819" s="309"/>
      <c r="U819" s="309"/>
      <c r="V819" s="309"/>
      <c r="W819" s="328"/>
      <c r="X819" s="309"/>
      <c r="Y819" s="309"/>
      <c r="Z819" s="309"/>
      <c r="AA819" s="309"/>
      <c r="AB819" s="309"/>
      <c r="AC819" s="309"/>
    </row>
    <row r="820" spans="1:29" ht="12.75" customHeight="1">
      <c r="A820" s="309"/>
      <c r="B820" s="309"/>
      <c r="C820" s="309"/>
      <c r="D820" s="309"/>
      <c r="E820" s="309"/>
      <c r="F820" s="309"/>
      <c r="G820" s="309"/>
      <c r="H820" s="309"/>
      <c r="I820" s="309"/>
      <c r="J820" s="309"/>
      <c r="K820" s="1020"/>
      <c r="L820" s="1020"/>
      <c r="M820" s="309"/>
      <c r="N820" s="309"/>
      <c r="O820" s="309"/>
      <c r="P820" s="309"/>
      <c r="Q820" s="326"/>
      <c r="R820" s="326"/>
      <c r="S820" s="326"/>
      <c r="T820" s="309"/>
      <c r="U820" s="309"/>
      <c r="V820" s="309"/>
      <c r="W820" s="328"/>
      <c r="X820" s="309"/>
      <c r="Y820" s="309"/>
      <c r="Z820" s="309"/>
      <c r="AA820" s="309"/>
      <c r="AB820" s="309"/>
      <c r="AC820" s="309"/>
    </row>
    <row r="821" spans="1:29" ht="12.75" customHeight="1">
      <c r="A821" s="309"/>
      <c r="B821" s="309"/>
      <c r="C821" s="309"/>
      <c r="D821" s="309"/>
      <c r="E821" s="309"/>
      <c r="F821" s="309"/>
      <c r="G821" s="309"/>
      <c r="H821" s="309"/>
      <c r="I821" s="309"/>
      <c r="J821" s="309"/>
      <c r="K821" s="1020"/>
      <c r="L821" s="1020"/>
      <c r="M821" s="309"/>
      <c r="N821" s="309"/>
      <c r="O821" s="309"/>
      <c r="P821" s="309"/>
      <c r="Q821" s="326"/>
      <c r="R821" s="326"/>
      <c r="S821" s="326"/>
      <c r="T821" s="309"/>
      <c r="U821" s="309"/>
      <c r="V821" s="309"/>
      <c r="W821" s="328"/>
      <c r="X821" s="309"/>
      <c r="Y821" s="309"/>
      <c r="Z821" s="309"/>
      <c r="AA821" s="309"/>
      <c r="AB821" s="309"/>
      <c r="AC821" s="309"/>
    </row>
    <row r="822" spans="1:29" ht="12.75" customHeight="1">
      <c r="A822" s="309"/>
      <c r="B822" s="309"/>
      <c r="C822" s="309"/>
      <c r="D822" s="309"/>
      <c r="E822" s="309"/>
      <c r="F822" s="309"/>
      <c r="G822" s="309"/>
      <c r="H822" s="309"/>
      <c r="I822" s="309"/>
      <c r="J822" s="309"/>
      <c r="K822" s="1020"/>
      <c r="L822" s="1020"/>
      <c r="M822" s="309"/>
      <c r="N822" s="309"/>
      <c r="O822" s="309"/>
      <c r="P822" s="309"/>
      <c r="Q822" s="326"/>
      <c r="R822" s="326"/>
      <c r="S822" s="326"/>
      <c r="T822" s="309"/>
      <c r="U822" s="309"/>
      <c r="V822" s="309"/>
      <c r="W822" s="328"/>
      <c r="X822" s="309"/>
      <c r="Y822" s="309"/>
      <c r="Z822" s="309"/>
      <c r="AA822" s="309"/>
      <c r="AB822" s="309"/>
      <c r="AC822" s="309"/>
    </row>
    <row r="823" spans="1:29" ht="12.75" customHeight="1">
      <c r="A823" s="309"/>
      <c r="B823" s="309"/>
      <c r="C823" s="309"/>
      <c r="D823" s="309"/>
      <c r="E823" s="309"/>
      <c r="F823" s="309"/>
      <c r="G823" s="309"/>
      <c r="H823" s="309"/>
      <c r="I823" s="309"/>
      <c r="J823" s="309"/>
      <c r="K823" s="1020"/>
      <c r="L823" s="1020"/>
      <c r="M823" s="309"/>
      <c r="N823" s="309"/>
      <c r="O823" s="309"/>
      <c r="P823" s="309"/>
      <c r="Q823" s="326"/>
      <c r="R823" s="326"/>
      <c r="S823" s="326"/>
      <c r="T823" s="309"/>
      <c r="U823" s="309"/>
      <c r="V823" s="309"/>
      <c r="W823" s="328"/>
      <c r="X823" s="309"/>
      <c r="Y823" s="309"/>
      <c r="Z823" s="309"/>
      <c r="AA823" s="309"/>
      <c r="AB823" s="309"/>
      <c r="AC823" s="309"/>
    </row>
    <row r="824" spans="1:29" ht="12.75" customHeight="1">
      <c r="A824" s="309"/>
      <c r="B824" s="309"/>
      <c r="C824" s="309"/>
      <c r="D824" s="309"/>
      <c r="E824" s="309"/>
      <c r="F824" s="309"/>
      <c r="G824" s="309"/>
      <c r="H824" s="309"/>
      <c r="I824" s="309"/>
      <c r="J824" s="309"/>
      <c r="K824" s="1020"/>
      <c r="L824" s="1020"/>
      <c r="M824" s="309"/>
      <c r="N824" s="309"/>
      <c r="O824" s="309"/>
      <c r="P824" s="309"/>
      <c r="Q824" s="326"/>
      <c r="R824" s="326"/>
      <c r="S824" s="326"/>
      <c r="T824" s="309"/>
      <c r="U824" s="309"/>
      <c r="V824" s="309"/>
      <c r="W824" s="328"/>
      <c r="X824" s="309"/>
      <c r="Y824" s="309"/>
      <c r="Z824" s="309"/>
      <c r="AA824" s="309"/>
      <c r="AB824" s="309"/>
      <c r="AC824" s="309"/>
    </row>
    <row r="825" spans="1:29" ht="12.75" customHeight="1">
      <c r="A825" s="309"/>
      <c r="B825" s="309"/>
      <c r="C825" s="309"/>
      <c r="D825" s="309"/>
      <c r="E825" s="309"/>
      <c r="F825" s="309"/>
      <c r="G825" s="309"/>
      <c r="H825" s="309"/>
      <c r="I825" s="309"/>
      <c r="J825" s="309"/>
      <c r="K825" s="1020"/>
      <c r="L825" s="1020"/>
      <c r="M825" s="309"/>
      <c r="N825" s="309"/>
      <c r="O825" s="309"/>
      <c r="P825" s="309"/>
      <c r="Q825" s="326"/>
      <c r="R825" s="326"/>
      <c r="S825" s="326"/>
      <c r="T825" s="309"/>
      <c r="U825" s="309"/>
      <c r="V825" s="309"/>
      <c r="W825" s="328"/>
      <c r="X825" s="309"/>
      <c r="Y825" s="309"/>
      <c r="Z825" s="309"/>
      <c r="AA825" s="309"/>
      <c r="AB825" s="309"/>
      <c r="AC825" s="309"/>
    </row>
    <row r="826" spans="1:29" ht="12.75" customHeight="1">
      <c r="A826" s="309"/>
      <c r="B826" s="309"/>
      <c r="C826" s="309"/>
      <c r="D826" s="309"/>
      <c r="E826" s="309"/>
      <c r="F826" s="309"/>
      <c r="G826" s="309"/>
      <c r="H826" s="309"/>
      <c r="I826" s="309"/>
      <c r="J826" s="309"/>
      <c r="K826" s="1020"/>
      <c r="L826" s="1020"/>
      <c r="M826" s="309"/>
      <c r="N826" s="309"/>
      <c r="O826" s="309"/>
      <c r="P826" s="309"/>
      <c r="Q826" s="326"/>
      <c r="R826" s="326"/>
      <c r="S826" s="326"/>
      <c r="T826" s="309"/>
      <c r="U826" s="309"/>
      <c r="V826" s="309"/>
      <c r="W826" s="328"/>
      <c r="X826" s="309"/>
      <c r="Y826" s="309"/>
      <c r="Z826" s="309"/>
      <c r="AA826" s="309"/>
      <c r="AB826" s="309"/>
      <c r="AC826" s="309"/>
    </row>
    <row r="827" spans="1:29" ht="12.75" customHeight="1">
      <c r="A827" s="309"/>
      <c r="B827" s="309"/>
      <c r="C827" s="309"/>
      <c r="D827" s="309"/>
      <c r="E827" s="309"/>
      <c r="F827" s="309"/>
      <c r="G827" s="309"/>
      <c r="H827" s="309"/>
      <c r="I827" s="309"/>
      <c r="J827" s="309"/>
      <c r="K827" s="1020"/>
      <c r="L827" s="1020"/>
      <c r="M827" s="309"/>
      <c r="N827" s="309"/>
      <c r="O827" s="309"/>
      <c r="P827" s="309"/>
      <c r="Q827" s="326"/>
      <c r="R827" s="326"/>
      <c r="S827" s="326"/>
      <c r="T827" s="309"/>
      <c r="U827" s="309"/>
      <c r="V827" s="309"/>
      <c r="W827" s="328"/>
      <c r="X827" s="309"/>
      <c r="Y827" s="309"/>
      <c r="Z827" s="309"/>
      <c r="AA827" s="309"/>
      <c r="AB827" s="309"/>
      <c r="AC827" s="309"/>
    </row>
    <row r="828" spans="1:29" ht="12.75" customHeight="1">
      <c r="A828" s="309"/>
      <c r="B828" s="309"/>
      <c r="C828" s="309"/>
      <c r="D828" s="309"/>
      <c r="E828" s="309"/>
      <c r="F828" s="309"/>
      <c r="G828" s="309"/>
      <c r="H828" s="309"/>
      <c r="I828" s="309"/>
      <c r="J828" s="309"/>
      <c r="K828" s="1020"/>
      <c r="L828" s="1020"/>
      <c r="M828" s="309"/>
      <c r="N828" s="309"/>
      <c r="O828" s="309"/>
      <c r="P828" s="309"/>
      <c r="Q828" s="326"/>
      <c r="R828" s="326"/>
      <c r="S828" s="326"/>
      <c r="T828" s="309"/>
      <c r="U828" s="309"/>
      <c r="V828" s="309"/>
      <c r="W828" s="328"/>
      <c r="X828" s="309"/>
      <c r="Y828" s="309"/>
      <c r="Z828" s="309"/>
      <c r="AA828" s="309"/>
      <c r="AB828" s="309"/>
      <c r="AC828" s="309"/>
    </row>
    <row r="829" spans="1:29" ht="12.75" customHeight="1">
      <c r="A829" s="309"/>
      <c r="B829" s="309"/>
      <c r="C829" s="309"/>
      <c r="D829" s="309"/>
      <c r="E829" s="309"/>
      <c r="F829" s="309"/>
      <c r="G829" s="309"/>
      <c r="H829" s="309"/>
      <c r="I829" s="309"/>
      <c r="J829" s="309"/>
      <c r="K829" s="1020"/>
      <c r="L829" s="1020"/>
      <c r="M829" s="309"/>
      <c r="N829" s="309"/>
      <c r="O829" s="309"/>
      <c r="P829" s="309"/>
      <c r="Q829" s="326"/>
      <c r="R829" s="326"/>
      <c r="S829" s="326"/>
      <c r="T829" s="309"/>
      <c r="U829" s="309"/>
      <c r="V829" s="309"/>
      <c r="W829" s="328"/>
      <c r="X829" s="309"/>
      <c r="Y829" s="309"/>
      <c r="Z829" s="309"/>
      <c r="AA829" s="309"/>
      <c r="AB829" s="309"/>
      <c r="AC829" s="309"/>
    </row>
    <row r="830" spans="1:29" ht="12.75" customHeight="1">
      <c r="A830" s="309"/>
      <c r="B830" s="309"/>
      <c r="C830" s="309"/>
      <c r="D830" s="309"/>
      <c r="E830" s="309"/>
      <c r="F830" s="309"/>
      <c r="G830" s="309"/>
      <c r="H830" s="309"/>
      <c r="I830" s="309"/>
      <c r="J830" s="309"/>
      <c r="K830" s="1020"/>
      <c r="L830" s="1020"/>
      <c r="M830" s="309"/>
      <c r="N830" s="309"/>
      <c r="O830" s="309"/>
      <c r="P830" s="309"/>
      <c r="Q830" s="326"/>
      <c r="R830" s="326"/>
      <c r="S830" s="326"/>
      <c r="T830" s="309"/>
      <c r="U830" s="309"/>
      <c r="V830" s="309"/>
      <c r="W830" s="328"/>
      <c r="X830" s="309"/>
      <c r="Y830" s="309"/>
      <c r="Z830" s="309"/>
      <c r="AA830" s="309"/>
      <c r="AB830" s="309"/>
      <c r="AC830" s="309"/>
    </row>
    <row r="831" spans="1:29" ht="12.75" customHeight="1">
      <c r="A831" s="309"/>
      <c r="B831" s="309"/>
      <c r="C831" s="309"/>
      <c r="D831" s="309"/>
      <c r="E831" s="309"/>
      <c r="F831" s="309"/>
      <c r="G831" s="309"/>
      <c r="H831" s="309"/>
      <c r="I831" s="309"/>
      <c r="J831" s="309"/>
      <c r="K831" s="1020"/>
      <c r="L831" s="1020"/>
      <c r="M831" s="309"/>
      <c r="N831" s="309"/>
      <c r="O831" s="309"/>
      <c r="P831" s="309"/>
      <c r="Q831" s="326"/>
      <c r="R831" s="326"/>
      <c r="S831" s="326"/>
      <c r="T831" s="309"/>
      <c r="U831" s="309"/>
      <c r="V831" s="309"/>
      <c r="W831" s="328"/>
      <c r="X831" s="309"/>
      <c r="Y831" s="309"/>
      <c r="Z831" s="309"/>
      <c r="AA831" s="309"/>
      <c r="AB831" s="309"/>
      <c r="AC831" s="309"/>
    </row>
    <row r="832" spans="1:29" ht="12.75" customHeight="1">
      <c r="A832" s="309"/>
      <c r="B832" s="309"/>
      <c r="C832" s="309"/>
      <c r="D832" s="309"/>
      <c r="E832" s="309"/>
      <c r="F832" s="309"/>
      <c r="G832" s="309"/>
      <c r="H832" s="309"/>
      <c r="I832" s="309"/>
      <c r="J832" s="309"/>
      <c r="K832" s="1020"/>
      <c r="L832" s="1020"/>
      <c r="M832" s="309"/>
      <c r="N832" s="309"/>
      <c r="O832" s="309"/>
      <c r="P832" s="309"/>
      <c r="Q832" s="326"/>
      <c r="R832" s="326"/>
      <c r="S832" s="326"/>
      <c r="T832" s="309"/>
      <c r="U832" s="309"/>
      <c r="V832" s="309"/>
      <c r="W832" s="328"/>
      <c r="X832" s="309"/>
      <c r="Y832" s="309"/>
      <c r="Z832" s="309"/>
      <c r="AA832" s="309"/>
      <c r="AB832" s="309"/>
      <c r="AC832" s="309"/>
    </row>
    <row r="833" spans="1:29" ht="12.75" customHeight="1">
      <c r="A833" s="309"/>
      <c r="B833" s="309"/>
      <c r="C833" s="309"/>
      <c r="D833" s="309"/>
      <c r="E833" s="309"/>
      <c r="F833" s="309"/>
      <c r="G833" s="309"/>
      <c r="H833" s="309"/>
      <c r="I833" s="309"/>
      <c r="J833" s="309"/>
      <c r="K833" s="1020"/>
      <c r="L833" s="1020"/>
      <c r="M833" s="309"/>
      <c r="N833" s="309"/>
      <c r="O833" s="309"/>
      <c r="P833" s="309"/>
      <c r="Q833" s="326"/>
      <c r="R833" s="326"/>
      <c r="S833" s="326"/>
      <c r="T833" s="309"/>
      <c r="U833" s="309"/>
      <c r="V833" s="309"/>
      <c r="W833" s="328"/>
      <c r="X833" s="309"/>
      <c r="Y833" s="309"/>
      <c r="Z833" s="309"/>
      <c r="AA833" s="309"/>
      <c r="AB833" s="309"/>
      <c r="AC833" s="309"/>
    </row>
    <row r="834" spans="1:29" ht="12.75" customHeight="1">
      <c r="A834" s="309"/>
      <c r="B834" s="309"/>
      <c r="C834" s="309"/>
      <c r="D834" s="309"/>
      <c r="E834" s="309"/>
      <c r="F834" s="309"/>
      <c r="G834" s="309"/>
      <c r="H834" s="309"/>
      <c r="I834" s="309"/>
      <c r="J834" s="309"/>
      <c r="K834" s="1020"/>
      <c r="L834" s="1020"/>
      <c r="M834" s="309"/>
      <c r="N834" s="309"/>
      <c r="O834" s="309"/>
      <c r="P834" s="309"/>
      <c r="Q834" s="326"/>
      <c r="R834" s="326"/>
      <c r="S834" s="326"/>
      <c r="T834" s="309"/>
      <c r="U834" s="309"/>
      <c r="V834" s="309"/>
      <c r="W834" s="328"/>
      <c r="X834" s="309"/>
      <c r="Y834" s="309"/>
      <c r="Z834" s="309"/>
      <c r="AA834" s="309"/>
      <c r="AB834" s="309"/>
      <c r="AC834" s="309"/>
    </row>
    <row r="835" spans="1:29" ht="12.75" customHeight="1">
      <c r="A835" s="309"/>
      <c r="B835" s="309"/>
      <c r="C835" s="309"/>
      <c r="D835" s="309"/>
      <c r="E835" s="309"/>
      <c r="F835" s="309"/>
      <c r="G835" s="309"/>
      <c r="H835" s="309"/>
      <c r="I835" s="309"/>
      <c r="J835" s="309"/>
      <c r="K835" s="1020"/>
      <c r="L835" s="1020"/>
      <c r="M835" s="309"/>
      <c r="N835" s="309"/>
      <c r="O835" s="309"/>
      <c r="P835" s="309"/>
      <c r="Q835" s="326"/>
      <c r="R835" s="326"/>
      <c r="S835" s="326"/>
      <c r="T835" s="309"/>
      <c r="U835" s="309"/>
      <c r="V835" s="309"/>
      <c r="W835" s="328"/>
      <c r="X835" s="309"/>
      <c r="Y835" s="309"/>
      <c r="Z835" s="309"/>
      <c r="AA835" s="309"/>
      <c r="AB835" s="309"/>
      <c r="AC835" s="309"/>
    </row>
    <row r="836" spans="1:29" ht="12.75" customHeight="1">
      <c r="A836" s="309"/>
      <c r="B836" s="309"/>
      <c r="C836" s="309"/>
      <c r="D836" s="309"/>
      <c r="E836" s="309"/>
      <c r="F836" s="309"/>
      <c r="G836" s="309"/>
      <c r="H836" s="309"/>
      <c r="I836" s="309"/>
      <c r="J836" s="309"/>
      <c r="K836" s="1020"/>
      <c r="L836" s="1020"/>
      <c r="M836" s="309"/>
      <c r="N836" s="309"/>
      <c r="O836" s="309"/>
      <c r="P836" s="309"/>
      <c r="Q836" s="326"/>
      <c r="R836" s="326"/>
      <c r="S836" s="326"/>
      <c r="T836" s="309"/>
      <c r="U836" s="309"/>
      <c r="V836" s="309"/>
      <c r="W836" s="328"/>
      <c r="X836" s="309"/>
      <c r="Y836" s="309"/>
      <c r="Z836" s="309"/>
      <c r="AA836" s="309"/>
      <c r="AB836" s="309"/>
      <c r="AC836" s="309"/>
    </row>
    <row r="837" spans="1:29" ht="12.75" customHeight="1">
      <c r="A837" s="309"/>
      <c r="B837" s="309"/>
      <c r="C837" s="309"/>
      <c r="D837" s="309"/>
      <c r="E837" s="309"/>
      <c r="F837" s="309"/>
      <c r="G837" s="309"/>
      <c r="H837" s="309"/>
      <c r="I837" s="309"/>
      <c r="J837" s="309"/>
      <c r="K837" s="1020"/>
      <c r="L837" s="1020"/>
      <c r="M837" s="309"/>
      <c r="N837" s="309"/>
      <c r="O837" s="309"/>
      <c r="P837" s="309"/>
      <c r="Q837" s="326"/>
      <c r="R837" s="326"/>
      <c r="S837" s="326"/>
      <c r="T837" s="309"/>
      <c r="U837" s="309"/>
      <c r="V837" s="309"/>
      <c r="W837" s="328"/>
      <c r="X837" s="309"/>
      <c r="Y837" s="309"/>
      <c r="Z837" s="309"/>
      <c r="AA837" s="309"/>
      <c r="AB837" s="309"/>
      <c r="AC837" s="309"/>
    </row>
    <row r="838" spans="1:29" ht="12.75" customHeight="1">
      <c r="A838" s="309"/>
      <c r="B838" s="309"/>
      <c r="C838" s="309"/>
      <c r="D838" s="309"/>
      <c r="E838" s="309"/>
      <c r="F838" s="309"/>
      <c r="G838" s="309"/>
      <c r="H838" s="309"/>
      <c r="I838" s="309"/>
      <c r="J838" s="309"/>
      <c r="K838" s="1020"/>
      <c r="L838" s="1020"/>
      <c r="M838" s="309"/>
      <c r="N838" s="309"/>
      <c r="O838" s="309"/>
      <c r="P838" s="309"/>
      <c r="Q838" s="326"/>
      <c r="R838" s="326"/>
      <c r="S838" s="326"/>
      <c r="T838" s="309"/>
      <c r="U838" s="309"/>
      <c r="V838" s="309"/>
      <c r="W838" s="328"/>
      <c r="X838" s="309"/>
      <c r="Y838" s="309"/>
      <c r="Z838" s="309"/>
      <c r="AA838" s="309"/>
      <c r="AB838" s="309"/>
      <c r="AC838" s="309"/>
    </row>
    <row r="839" spans="1:29" ht="12.75" customHeight="1">
      <c r="A839" s="309"/>
      <c r="B839" s="309"/>
      <c r="C839" s="309"/>
      <c r="D839" s="309"/>
      <c r="E839" s="309"/>
      <c r="F839" s="309"/>
      <c r="G839" s="309"/>
      <c r="H839" s="309"/>
      <c r="I839" s="309"/>
      <c r="J839" s="309"/>
      <c r="K839" s="1020"/>
      <c r="L839" s="1020"/>
      <c r="M839" s="309"/>
      <c r="N839" s="309"/>
      <c r="O839" s="309"/>
      <c r="P839" s="309"/>
      <c r="Q839" s="326"/>
      <c r="R839" s="326"/>
      <c r="S839" s="326"/>
      <c r="T839" s="309"/>
      <c r="U839" s="309"/>
      <c r="V839" s="309"/>
      <c r="W839" s="328"/>
      <c r="X839" s="309"/>
      <c r="Y839" s="309"/>
      <c r="Z839" s="309"/>
      <c r="AA839" s="309"/>
      <c r="AB839" s="309"/>
      <c r="AC839" s="309"/>
    </row>
    <row r="840" spans="1:29" ht="12.75" customHeight="1">
      <c r="A840" s="309"/>
      <c r="B840" s="309"/>
      <c r="C840" s="309"/>
      <c r="D840" s="309"/>
      <c r="E840" s="309"/>
      <c r="F840" s="309"/>
      <c r="G840" s="309"/>
      <c r="H840" s="309"/>
      <c r="I840" s="309"/>
      <c r="J840" s="309"/>
      <c r="K840" s="1020"/>
      <c r="L840" s="1020"/>
      <c r="M840" s="309"/>
      <c r="N840" s="309"/>
      <c r="O840" s="309"/>
      <c r="P840" s="309"/>
      <c r="Q840" s="326"/>
      <c r="R840" s="326"/>
      <c r="S840" s="326"/>
      <c r="T840" s="309"/>
      <c r="U840" s="309"/>
      <c r="V840" s="309"/>
      <c r="W840" s="328"/>
      <c r="X840" s="309"/>
      <c r="Y840" s="309"/>
      <c r="Z840" s="309"/>
      <c r="AA840" s="309"/>
      <c r="AB840" s="309"/>
      <c r="AC840" s="309"/>
    </row>
    <row r="841" spans="1:29" ht="12.75" customHeight="1">
      <c r="A841" s="309"/>
      <c r="B841" s="309"/>
      <c r="C841" s="309"/>
      <c r="D841" s="309"/>
      <c r="E841" s="309"/>
      <c r="F841" s="309"/>
      <c r="G841" s="309"/>
      <c r="H841" s="309"/>
      <c r="I841" s="309"/>
      <c r="J841" s="309"/>
      <c r="K841" s="1020"/>
      <c r="L841" s="1020"/>
      <c r="M841" s="309"/>
      <c r="N841" s="309"/>
      <c r="O841" s="309"/>
      <c r="P841" s="309"/>
      <c r="Q841" s="326"/>
      <c r="R841" s="326"/>
      <c r="S841" s="326"/>
      <c r="T841" s="309"/>
      <c r="U841" s="309"/>
      <c r="V841" s="309"/>
      <c r="W841" s="328"/>
      <c r="X841" s="309"/>
      <c r="Y841" s="309"/>
      <c r="Z841" s="309"/>
      <c r="AA841" s="309"/>
      <c r="AB841" s="309"/>
      <c r="AC841" s="309"/>
    </row>
    <row r="842" spans="1:29" ht="12.75" customHeight="1">
      <c r="A842" s="309"/>
      <c r="B842" s="309"/>
      <c r="C842" s="309"/>
      <c r="D842" s="309"/>
      <c r="E842" s="309"/>
      <c r="F842" s="309"/>
      <c r="G842" s="309"/>
      <c r="H842" s="309"/>
      <c r="I842" s="309"/>
      <c r="J842" s="309"/>
      <c r="K842" s="1020"/>
      <c r="L842" s="1020"/>
      <c r="M842" s="309"/>
      <c r="N842" s="309"/>
      <c r="O842" s="309"/>
      <c r="P842" s="309"/>
      <c r="Q842" s="326"/>
      <c r="R842" s="326"/>
      <c r="S842" s="326"/>
      <c r="T842" s="309"/>
      <c r="U842" s="309"/>
      <c r="V842" s="309"/>
      <c r="W842" s="328"/>
      <c r="X842" s="309"/>
      <c r="Y842" s="309"/>
      <c r="Z842" s="309"/>
      <c r="AA842" s="309"/>
      <c r="AB842" s="309"/>
      <c r="AC842" s="309"/>
    </row>
    <row r="843" spans="1:29" ht="12.75" customHeight="1">
      <c r="A843" s="309"/>
      <c r="B843" s="309"/>
      <c r="C843" s="309"/>
      <c r="D843" s="309"/>
      <c r="E843" s="309"/>
      <c r="F843" s="309"/>
      <c r="G843" s="309"/>
      <c r="H843" s="309"/>
      <c r="I843" s="309"/>
      <c r="J843" s="309"/>
      <c r="K843" s="1020"/>
      <c r="L843" s="1020"/>
      <c r="M843" s="309"/>
      <c r="N843" s="309"/>
      <c r="O843" s="309"/>
      <c r="P843" s="309"/>
      <c r="Q843" s="326"/>
      <c r="R843" s="326"/>
      <c r="S843" s="326"/>
      <c r="T843" s="309"/>
      <c r="U843" s="309"/>
      <c r="V843" s="309"/>
      <c r="W843" s="328"/>
      <c r="X843" s="309"/>
      <c r="Y843" s="309"/>
      <c r="Z843" s="309"/>
      <c r="AA843" s="309"/>
      <c r="AB843" s="309"/>
      <c r="AC843" s="309"/>
    </row>
    <row r="844" spans="1:29" ht="12.75" customHeight="1">
      <c r="A844" s="309"/>
      <c r="B844" s="309"/>
      <c r="C844" s="309"/>
      <c r="D844" s="309"/>
      <c r="E844" s="309"/>
      <c r="F844" s="309"/>
      <c r="G844" s="309"/>
      <c r="H844" s="309"/>
      <c r="I844" s="309"/>
      <c r="J844" s="309"/>
      <c r="K844" s="1020"/>
      <c r="L844" s="1020"/>
      <c r="M844" s="309"/>
      <c r="N844" s="309"/>
      <c r="O844" s="309"/>
      <c r="P844" s="309"/>
      <c r="Q844" s="326"/>
      <c r="R844" s="326"/>
      <c r="S844" s="326"/>
      <c r="T844" s="309"/>
      <c r="U844" s="309"/>
      <c r="V844" s="309"/>
      <c r="W844" s="328"/>
      <c r="X844" s="309"/>
      <c r="Y844" s="309"/>
      <c r="Z844" s="309"/>
      <c r="AA844" s="309"/>
      <c r="AB844" s="309"/>
      <c r="AC844" s="309"/>
    </row>
    <row r="845" spans="1:29" ht="12.75" customHeight="1">
      <c r="A845" s="309"/>
      <c r="B845" s="309"/>
      <c r="C845" s="309"/>
      <c r="D845" s="309"/>
      <c r="E845" s="309"/>
      <c r="F845" s="309"/>
      <c r="G845" s="309"/>
      <c r="H845" s="309"/>
      <c r="I845" s="309"/>
      <c r="J845" s="309"/>
      <c r="K845" s="1020"/>
      <c r="L845" s="1020"/>
      <c r="M845" s="309"/>
      <c r="N845" s="309"/>
      <c r="O845" s="309"/>
      <c r="P845" s="309"/>
      <c r="Q845" s="326"/>
      <c r="R845" s="326"/>
      <c r="S845" s="326"/>
      <c r="T845" s="309"/>
      <c r="U845" s="309"/>
      <c r="V845" s="309"/>
      <c r="W845" s="328"/>
      <c r="X845" s="309"/>
      <c r="Y845" s="309"/>
      <c r="Z845" s="309"/>
      <c r="AA845" s="309"/>
      <c r="AB845" s="309"/>
      <c r="AC845" s="309"/>
    </row>
    <row r="846" spans="1:29" ht="12.75" customHeight="1">
      <c r="A846" s="309"/>
      <c r="B846" s="309"/>
      <c r="C846" s="309"/>
      <c r="D846" s="309"/>
      <c r="E846" s="309"/>
      <c r="F846" s="309"/>
      <c r="G846" s="309"/>
      <c r="H846" s="309"/>
      <c r="I846" s="309"/>
      <c r="J846" s="309"/>
      <c r="K846" s="1020"/>
      <c r="L846" s="1020"/>
      <c r="M846" s="309"/>
      <c r="N846" s="309"/>
      <c r="O846" s="309"/>
      <c r="P846" s="309"/>
      <c r="Q846" s="326"/>
      <c r="R846" s="326"/>
      <c r="S846" s="326"/>
      <c r="T846" s="309"/>
      <c r="U846" s="309"/>
      <c r="V846" s="309"/>
      <c r="W846" s="328"/>
      <c r="X846" s="309"/>
      <c r="Y846" s="309"/>
      <c r="Z846" s="309"/>
      <c r="AA846" s="309"/>
      <c r="AB846" s="309"/>
      <c r="AC846" s="309"/>
    </row>
    <row r="847" spans="1:29" ht="12.75" customHeight="1">
      <c r="A847" s="309"/>
      <c r="B847" s="309"/>
      <c r="C847" s="309"/>
      <c r="D847" s="309"/>
      <c r="E847" s="309"/>
      <c r="F847" s="309"/>
      <c r="G847" s="309"/>
      <c r="H847" s="309"/>
      <c r="I847" s="309"/>
      <c r="J847" s="309"/>
      <c r="K847" s="1020"/>
      <c r="L847" s="1020"/>
      <c r="M847" s="309"/>
      <c r="N847" s="309"/>
      <c r="O847" s="309"/>
      <c r="P847" s="309"/>
      <c r="Q847" s="326"/>
      <c r="R847" s="326"/>
      <c r="S847" s="326"/>
      <c r="T847" s="309"/>
      <c r="U847" s="309"/>
      <c r="V847" s="309"/>
      <c r="W847" s="328"/>
      <c r="X847" s="309"/>
      <c r="Y847" s="309"/>
      <c r="Z847" s="309"/>
      <c r="AA847" s="309"/>
      <c r="AB847" s="309"/>
      <c r="AC847" s="309"/>
    </row>
    <row r="848" spans="1:29" ht="12.75" customHeight="1">
      <c r="A848" s="309"/>
      <c r="B848" s="309"/>
      <c r="C848" s="309"/>
      <c r="D848" s="309"/>
      <c r="E848" s="309"/>
      <c r="F848" s="309"/>
      <c r="G848" s="309"/>
      <c r="H848" s="309"/>
      <c r="I848" s="309"/>
      <c r="J848" s="309"/>
      <c r="K848" s="1020"/>
      <c r="L848" s="1020"/>
      <c r="M848" s="309"/>
      <c r="N848" s="309"/>
      <c r="O848" s="309"/>
      <c r="P848" s="309"/>
      <c r="Q848" s="326"/>
      <c r="R848" s="326"/>
      <c r="S848" s="326"/>
      <c r="T848" s="309"/>
      <c r="U848" s="309"/>
      <c r="V848" s="309"/>
      <c r="W848" s="328"/>
      <c r="X848" s="309"/>
      <c r="Y848" s="309"/>
      <c r="Z848" s="309"/>
      <c r="AA848" s="309"/>
      <c r="AB848" s="309"/>
      <c r="AC848" s="309"/>
    </row>
    <row r="849" spans="1:29" ht="12.75" customHeight="1">
      <c r="A849" s="309"/>
      <c r="B849" s="309"/>
      <c r="C849" s="309"/>
      <c r="D849" s="309"/>
      <c r="E849" s="309"/>
      <c r="F849" s="309"/>
      <c r="G849" s="309"/>
      <c r="H849" s="309"/>
      <c r="I849" s="309"/>
      <c r="J849" s="309"/>
      <c r="K849" s="1020"/>
      <c r="L849" s="1020"/>
      <c r="M849" s="309"/>
      <c r="N849" s="309"/>
      <c r="O849" s="309"/>
      <c r="P849" s="309"/>
      <c r="Q849" s="326"/>
      <c r="R849" s="326"/>
      <c r="S849" s="326"/>
      <c r="T849" s="309"/>
      <c r="U849" s="309"/>
      <c r="V849" s="309"/>
      <c r="W849" s="328"/>
      <c r="X849" s="309"/>
      <c r="Y849" s="309"/>
      <c r="Z849" s="309"/>
      <c r="AA849" s="309"/>
      <c r="AB849" s="309"/>
      <c r="AC849" s="309"/>
    </row>
    <row r="850" spans="1:29" ht="12.75" customHeight="1">
      <c r="A850" s="309"/>
      <c r="B850" s="309"/>
      <c r="C850" s="309"/>
      <c r="D850" s="309"/>
      <c r="E850" s="309"/>
      <c r="F850" s="309"/>
      <c r="G850" s="309"/>
      <c r="H850" s="309"/>
      <c r="I850" s="309"/>
      <c r="J850" s="309"/>
      <c r="K850" s="1020"/>
      <c r="L850" s="1020"/>
      <c r="M850" s="309"/>
      <c r="N850" s="309"/>
      <c r="O850" s="309"/>
      <c r="P850" s="309"/>
      <c r="Q850" s="326"/>
      <c r="R850" s="326"/>
      <c r="S850" s="326"/>
      <c r="T850" s="309"/>
      <c r="U850" s="309"/>
      <c r="V850" s="309"/>
      <c r="W850" s="328"/>
      <c r="X850" s="309"/>
      <c r="Y850" s="309"/>
      <c r="Z850" s="309"/>
      <c r="AA850" s="309"/>
      <c r="AB850" s="309"/>
      <c r="AC850" s="309"/>
    </row>
    <row r="851" spans="1:29" ht="12.75" customHeight="1">
      <c r="A851" s="309"/>
      <c r="B851" s="309"/>
      <c r="C851" s="309"/>
      <c r="D851" s="309"/>
      <c r="E851" s="309"/>
      <c r="F851" s="309"/>
      <c r="G851" s="309"/>
      <c r="H851" s="309"/>
      <c r="I851" s="309"/>
      <c r="J851" s="309"/>
      <c r="K851" s="1020"/>
      <c r="L851" s="1020"/>
      <c r="M851" s="309"/>
      <c r="N851" s="309"/>
      <c r="O851" s="309"/>
      <c r="P851" s="309"/>
      <c r="Q851" s="326"/>
      <c r="R851" s="326"/>
      <c r="S851" s="326"/>
      <c r="T851" s="309"/>
      <c r="U851" s="309"/>
      <c r="V851" s="309"/>
      <c r="W851" s="328"/>
      <c r="X851" s="309"/>
      <c r="Y851" s="309"/>
      <c r="Z851" s="309"/>
      <c r="AA851" s="309"/>
      <c r="AB851" s="309"/>
      <c r="AC851" s="309"/>
    </row>
    <row r="852" spans="1:29" ht="12.75" customHeight="1">
      <c r="A852" s="309"/>
      <c r="B852" s="309"/>
      <c r="C852" s="309"/>
      <c r="D852" s="309"/>
      <c r="E852" s="309"/>
      <c r="F852" s="309"/>
      <c r="G852" s="309"/>
      <c r="H852" s="309"/>
      <c r="I852" s="309"/>
      <c r="J852" s="309"/>
      <c r="K852" s="1020"/>
      <c r="L852" s="1020"/>
      <c r="M852" s="309"/>
      <c r="N852" s="309"/>
      <c r="O852" s="309"/>
      <c r="P852" s="309"/>
      <c r="Q852" s="326"/>
      <c r="R852" s="326"/>
      <c r="S852" s="326"/>
      <c r="T852" s="309"/>
      <c r="U852" s="309"/>
      <c r="V852" s="309"/>
      <c r="W852" s="328"/>
      <c r="X852" s="309"/>
      <c r="Y852" s="309"/>
      <c r="Z852" s="309"/>
      <c r="AA852" s="309"/>
      <c r="AB852" s="309"/>
      <c r="AC852" s="309"/>
    </row>
    <row r="853" spans="1:29" ht="12.75" customHeight="1">
      <c r="A853" s="309"/>
      <c r="B853" s="309"/>
      <c r="C853" s="309"/>
      <c r="D853" s="309"/>
      <c r="E853" s="309"/>
      <c r="F853" s="309"/>
      <c r="G853" s="309"/>
      <c r="H853" s="309"/>
      <c r="I853" s="309"/>
      <c r="J853" s="309"/>
      <c r="K853" s="1020"/>
      <c r="L853" s="1020"/>
      <c r="M853" s="309"/>
      <c r="N853" s="309"/>
      <c r="O853" s="309"/>
      <c r="P853" s="309"/>
      <c r="Q853" s="326"/>
      <c r="R853" s="326"/>
      <c r="S853" s="326"/>
      <c r="T853" s="309"/>
      <c r="U853" s="309"/>
      <c r="V853" s="309"/>
      <c r="W853" s="328"/>
      <c r="X853" s="309"/>
      <c r="Y853" s="309"/>
      <c r="Z853" s="309"/>
      <c r="AA853" s="309"/>
      <c r="AB853" s="309"/>
      <c r="AC853" s="309"/>
    </row>
    <row r="854" spans="1:29" ht="12.75" customHeight="1">
      <c r="A854" s="309"/>
      <c r="B854" s="309"/>
      <c r="C854" s="309"/>
      <c r="D854" s="309"/>
      <c r="E854" s="309"/>
      <c r="F854" s="309"/>
      <c r="G854" s="309"/>
      <c r="H854" s="309"/>
      <c r="I854" s="309"/>
      <c r="J854" s="309"/>
      <c r="K854" s="1020"/>
      <c r="L854" s="1020"/>
      <c r="M854" s="309"/>
      <c r="N854" s="309"/>
      <c r="O854" s="309"/>
      <c r="P854" s="309"/>
      <c r="Q854" s="326"/>
      <c r="R854" s="326"/>
      <c r="S854" s="326"/>
      <c r="T854" s="309"/>
      <c r="U854" s="309"/>
      <c r="V854" s="309"/>
      <c r="W854" s="328"/>
      <c r="X854" s="309"/>
      <c r="Y854" s="309"/>
      <c r="Z854" s="309"/>
      <c r="AA854" s="309"/>
      <c r="AB854" s="309"/>
      <c r="AC854" s="309"/>
    </row>
    <row r="855" spans="1:29" ht="12.75" customHeight="1">
      <c r="A855" s="309"/>
      <c r="B855" s="309"/>
      <c r="C855" s="309"/>
      <c r="D855" s="309"/>
      <c r="E855" s="309"/>
      <c r="F855" s="309"/>
      <c r="G855" s="309"/>
      <c r="H855" s="309"/>
      <c r="I855" s="309"/>
      <c r="J855" s="309"/>
      <c r="K855" s="1020"/>
      <c r="L855" s="1020"/>
      <c r="M855" s="309"/>
      <c r="N855" s="309"/>
      <c r="O855" s="309"/>
      <c r="P855" s="309"/>
      <c r="Q855" s="326"/>
      <c r="R855" s="326"/>
      <c r="S855" s="326"/>
      <c r="T855" s="309"/>
      <c r="U855" s="309"/>
      <c r="V855" s="309"/>
      <c r="W855" s="328"/>
      <c r="X855" s="309"/>
      <c r="Y855" s="309"/>
      <c r="Z855" s="309"/>
      <c r="AA855" s="309"/>
      <c r="AB855" s="309"/>
      <c r="AC855" s="309"/>
    </row>
    <row r="856" spans="1:29" ht="12.75" customHeight="1">
      <c r="A856" s="309"/>
      <c r="B856" s="309"/>
      <c r="C856" s="309"/>
      <c r="D856" s="309"/>
      <c r="E856" s="309"/>
      <c r="F856" s="309"/>
      <c r="G856" s="309"/>
      <c r="H856" s="309"/>
      <c r="I856" s="309"/>
      <c r="J856" s="309"/>
      <c r="K856" s="1020"/>
      <c r="L856" s="1020"/>
      <c r="M856" s="309"/>
      <c r="N856" s="309"/>
      <c r="O856" s="309"/>
      <c r="P856" s="309"/>
      <c r="Q856" s="326"/>
      <c r="R856" s="326"/>
      <c r="S856" s="326"/>
      <c r="T856" s="309"/>
      <c r="U856" s="309"/>
      <c r="V856" s="309"/>
      <c r="W856" s="328"/>
      <c r="X856" s="309"/>
      <c r="Y856" s="309"/>
      <c r="Z856" s="309"/>
      <c r="AA856" s="309"/>
      <c r="AB856" s="309"/>
      <c r="AC856" s="309"/>
    </row>
    <row r="857" spans="1:29" ht="12.75" customHeight="1">
      <c r="A857" s="309"/>
      <c r="B857" s="309"/>
      <c r="C857" s="309"/>
      <c r="D857" s="309"/>
      <c r="E857" s="309"/>
      <c r="F857" s="309"/>
      <c r="G857" s="309"/>
      <c r="H857" s="309"/>
      <c r="I857" s="309"/>
      <c r="J857" s="309"/>
      <c r="K857" s="1020"/>
      <c r="L857" s="1020"/>
      <c r="M857" s="309"/>
      <c r="N857" s="309"/>
      <c r="O857" s="309"/>
      <c r="P857" s="309"/>
      <c r="Q857" s="326"/>
      <c r="R857" s="326"/>
      <c r="S857" s="326"/>
      <c r="T857" s="309"/>
      <c r="U857" s="309"/>
      <c r="V857" s="309"/>
      <c r="W857" s="328"/>
      <c r="X857" s="309"/>
      <c r="Y857" s="309"/>
      <c r="Z857" s="309"/>
      <c r="AA857" s="309"/>
      <c r="AB857" s="309"/>
      <c r="AC857" s="309"/>
    </row>
    <row r="858" spans="1:29" ht="12.75" customHeight="1">
      <c r="A858" s="309"/>
      <c r="B858" s="309"/>
      <c r="C858" s="309"/>
      <c r="D858" s="309"/>
      <c r="E858" s="309"/>
      <c r="F858" s="309"/>
      <c r="G858" s="309"/>
      <c r="H858" s="309"/>
      <c r="I858" s="309"/>
      <c r="J858" s="309"/>
      <c r="K858" s="1020"/>
      <c r="L858" s="1020"/>
      <c r="M858" s="309"/>
      <c r="N858" s="309"/>
      <c r="O858" s="309"/>
      <c r="P858" s="309"/>
      <c r="Q858" s="326"/>
      <c r="R858" s="326"/>
      <c r="S858" s="326"/>
      <c r="T858" s="309"/>
      <c r="U858" s="309"/>
      <c r="V858" s="309"/>
      <c r="W858" s="328"/>
      <c r="X858" s="309"/>
      <c r="Y858" s="309"/>
      <c r="Z858" s="309"/>
      <c r="AA858" s="309"/>
      <c r="AB858" s="309"/>
      <c r="AC858" s="309"/>
    </row>
    <row r="859" spans="1:29" ht="12.75" customHeight="1">
      <c r="A859" s="309"/>
      <c r="B859" s="309"/>
      <c r="C859" s="309"/>
      <c r="D859" s="309"/>
      <c r="E859" s="309"/>
      <c r="F859" s="309"/>
      <c r="G859" s="309"/>
      <c r="H859" s="309"/>
      <c r="I859" s="309"/>
      <c r="J859" s="309"/>
      <c r="K859" s="1020"/>
      <c r="L859" s="1020"/>
      <c r="M859" s="309"/>
      <c r="N859" s="309"/>
      <c r="O859" s="309"/>
      <c r="P859" s="309"/>
      <c r="Q859" s="326"/>
      <c r="R859" s="326"/>
      <c r="S859" s="326"/>
      <c r="T859" s="309"/>
      <c r="U859" s="309"/>
      <c r="V859" s="309"/>
      <c r="W859" s="328"/>
      <c r="X859" s="309"/>
      <c r="Y859" s="309"/>
      <c r="Z859" s="309"/>
      <c r="AA859" s="309"/>
      <c r="AB859" s="309"/>
      <c r="AC859" s="309"/>
    </row>
    <row r="860" spans="1:29" ht="12.75" customHeight="1">
      <c r="A860" s="309"/>
      <c r="B860" s="309"/>
      <c r="C860" s="309"/>
      <c r="D860" s="309"/>
      <c r="E860" s="309"/>
      <c r="F860" s="309"/>
      <c r="G860" s="309"/>
      <c r="H860" s="309"/>
      <c r="I860" s="309"/>
      <c r="J860" s="309"/>
      <c r="K860" s="1020"/>
      <c r="L860" s="1020"/>
      <c r="M860" s="309"/>
      <c r="N860" s="309"/>
      <c r="O860" s="309"/>
      <c r="P860" s="309"/>
      <c r="Q860" s="326"/>
      <c r="R860" s="326"/>
      <c r="S860" s="326"/>
      <c r="T860" s="309"/>
      <c r="U860" s="309"/>
      <c r="V860" s="309"/>
      <c r="W860" s="328"/>
      <c r="X860" s="309"/>
      <c r="Y860" s="309"/>
      <c r="Z860" s="309"/>
      <c r="AA860" s="309"/>
      <c r="AB860" s="309"/>
      <c r="AC860" s="309"/>
    </row>
    <row r="861" spans="1:29" ht="12.75" customHeight="1">
      <c r="A861" s="309"/>
      <c r="B861" s="309"/>
      <c r="C861" s="309"/>
      <c r="D861" s="309"/>
      <c r="E861" s="309"/>
      <c r="F861" s="309"/>
      <c r="G861" s="309"/>
      <c r="H861" s="309"/>
      <c r="I861" s="309"/>
      <c r="J861" s="309"/>
      <c r="K861" s="1020"/>
      <c r="L861" s="1020"/>
      <c r="M861" s="309"/>
      <c r="N861" s="309"/>
      <c r="O861" s="309"/>
      <c r="P861" s="309"/>
      <c r="Q861" s="326"/>
      <c r="R861" s="326"/>
      <c r="S861" s="326"/>
      <c r="T861" s="309"/>
      <c r="U861" s="309"/>
      <c r="V861" s="309"/>
      <c r="W861" s="328"/>
      <c r="X861" s="309"/>
      <c r="Y861" s="309"/>
      <c r="Z861" s="309"/>
      <c r="AA861" s="309"/>
      <c r="AB861" s="309"/>
      <c r="AC861" s="309"/>
    </row>
    <row r="862" spans="1:29" ht="12.75" customHeight="1">
      <c r="A862" s="309"/>
      <c r="B862" s="309"/>
      <c r="C862" s="309"/>
      <c r="D862" s="309"/>
      <c r="E862" s="309"/>
      <c r="F862" s="309"/>
      <c r="G862" s="309"/>
      <c r="H862" s="309"/>
      <c r="I862" s="309"/>
      <c r="J862" s="309"/>
      <c r="K862" s="1020"/>
      <c r="L862" s="1020"/>
      <c r="M862" s="309"/>
      <c r="N862" s="309"/>
      <c r="O862" s="309"/>
      <c r="P862" s="309"/>
      <c r="Q862" s="326"/>
      <c r="R862" s="326"/>
      <c r="S862" s="326"/>
      <c r="T862" s="309"/>
      <c r="U862" s="309"/>
      <c r="V862" s="309"/>
      <c r="W862" s="328"/>
      <c r="X862" s="309"/>
      <c r="Y862" s="309"/>
      <c r="Z862" s="309"/>
      <c r="AA862" s="309"/>
      <c r="AB862" s="309"/>
      <c r="AC862" s="309"/>
    </row>
    <row r="863" spans="1:29" ht="12.75" customHeight="1">
      <c r="A863" s="309"/>
      <c r="B863" s="309"/>
      <c r="C863" s="309"/>
      <c r="D863" s="309"/>
      <c r="E863" s="309"/>
      <c r="F863" s="309"/>
      <c r="G863" s="309"/>
      <c r="H863" s="309"/>
      <c r="I863" s="309"/>
      <c r="J863" s="309"/>
      <c r="K863" s="1020"/>
      <c r="L863" s="1020"/>
      <c r="M863" s="309"/>
      <c r="N863" s="309"/>
      <c r="O863" s="309"/>
      <c r="P863" s="309"/>
      <c r="Q863" s="326"/>
      <c r="R863" s="326"/>
      <c r="S863" s="326"/>
      <c r="T863" s="309"/>
      <c r="U863" s="309"/>
      <c r="V863" s="309"/>
      <c r="W863" s="328"/>
      <c r="X863" s="309"/>
      <c r="Y863" s="309"/>
      <c r="Z863" s="309"/>
      <c r="AA863" s="309"/>
      <c r="AB863" s="309"/>
      <c r="AC863" s="309"/>
    </row>
    <row r="864" spans="1:29" ht="12.75" customHeight="1">
      <c r="A864" s="309"/>
      <c r="B864" s="309"/>
      <c r="C864" s="309"/>
      <c r="D864" s="309"/>
      <c r="E864" s="309"/>
      <c r="F864" s="309"/>
      <c r="G864" s="309"/>
      <c r="H864" s="309"/>
      <c r="I864" s="309"/>
      <c r="J864" s="309"/>
      <c r="K864" s="1020"/>
      <c r="L864" s="1020"/>
      <c r="M864" s="309"/>
      <c r="N864" s="309"/>
      <c r="O864" s="309"/>
      <c r="P864" s="309"/>
      <c r="Q864" s="326"/>
      <c r="R864" s="326"/>
      <c r="S864" s="326"/>
      <c r="T864" s="309"/>
      <c r="U864" s="309"/>
      <c r="V864" s="309"/>
      <c r="W864" s="328"/>
      <c r="X864" s="309"/>
      <c r="Y864" s="309"/>
      <c r="Z864" s="309"/>
      <c r="AA864" s="309"/>
      <c r="AB864" s="309"/>
      <c r="AC864" s="309"/>
    </row>
    <row r="865" spans="1:29" ht="12.75" customHeight="1">
      <c r="A865" s="309"/>
      <c r="B865" s="309"/>
      <c r="C865" s="309"/>
      <c r="D865" s="309"/>
      <c r="E865" s="309"/>
      <c r="F865" s="309"/>
      <c r="G865" s="309"/>
      <c r="H865" s="309"/>
      <c r="I865" s="309"/>
      <c r="J865" s="309"/>
      <c r="K865" s="1020"/>
      <c r="L865" s="1020"/>
      <c r="M865" s="309"/>
      <c r="N865" s="309"/>
      <c r="O865" s="309"/>
      <c r="P865" s="309"/>
      <c r="Q865" s="326"/>
      <c r="R865" s="326"/>
      <c r="S865" s="326"/>
      <c r="T865" s="309"/>
      <c r="U865" s="309"/>
      <c r="V865" s="309"/>
      <c r="W865" s="328"/>
      <c r="X865" s="309"/>
      <c r="Y865" s="309"/>
      <c r="Z865" s="309"/>
      <c r="AA865" s="309"/>
      <c r="AB865" s="309"/>
      <c r="AC865" s="309"/>
    </row>
    <row r="866" spans="1:29" ht="12.75" customHeight="1">
      <c r="A866" s="309"/>
      <c r="B866" s="309"/>
      <c r="C866" s="309"/>
      <c r="D866" s="309"/>
      <c r="E866" s="309"/>
      <c r="F866" s="309"/>
      <c r="G866" s="309"/>
      <c r="H866" s="309"/>
      <c r="I866" s="309"/>
      <c r="J866" s="309"/>
      <c r="K866" s="1020"/>
      <c r="L866" s="1020"/>
      <c r="M866" s="309"/>
      <c r="N866" s="309"/>
      <c r="O866" s="309"/>
      <c r="P866" s="309"/>
      <c r="Q866" s="326"/>
      <c r="R866" s="326"/>
      <c r="S866" s="326"/>
      <c r="T866" s="309"/>
      <c r="U866" s="309"/>
      <c r="V866" s="309"/>
      <c r="W866" s="328"/>
      <c r="X866" s="309"/>
      <c r="Y866" s="309"/>
      <c r="Z866" s="309"/>
      <c r="AA866" s="309"/>
      <c r="AB866" s="309"/>
      <c r="AC866" s="309"/>
    </row>
    <row r="867" spans="1:29" ht="12.75" customHeight="1">
      <c r="A867" s="309"/>
      <c r="B867" s="309"/>
      <c r="C867" s="309"/>
      <c r="D867" s="309"/>
      <c r="E867" s="309"/>
      <c r="F867" s="309"/>
      <c r="G867" s="309"/>
      <c r="H867" s="309"/>
      <c r="I867" s="309"/>
      <c r="J867" s="309"/>
      <c r="K867" s="1020"/>
      <c r="L867" s="1020"/>
      <c r="M867" s="309"/>
      <c r="N867" s="309"/>
      <c r="O867" s="309"/>
      <c r="P867" s="309"/>
      <c r="Q867" s="326"/>
      <c r="R867" s="326"/>
      <c r="S867" s="326"/>
      <c r="T867" s="309"/>
      <c r="U867" s="309"/>
      <c r="V867" s="309"/>
      <c r="W867" s="328"/>
      <c r="X867" s="309"/>
      <c r="Y867" s="309"/>
      <c r="Z867" s="309"/>
      <c r="AA867" s="309"/>
      <c r="AB867" s="309"/>
      <c r="AC867" s="309"/>
    </row>
    <row r="868" spans="1:29" ht="12.75" customHeight="1">
      <c r="A868" s="309"/>
      <c r="B868" s="309"/>
      <c r="C868" s="309"/>
      <c r="D868" s="309"/>
      <c r="E868" s="309"/>
      <c r="F868" s="309"/>
      <c r="G868" s="309"/>
      <c r="H868" s="309"/>
      <c r="I868" s="309"/>
      <c r="J868" s="309"/>
      <c r="K868" s="1020"/>
      <c r="L868" s="1020"/>
      <c r="M868" s="309"/>
      <c r="N868" s="309"/>
      <c r="O868" s="309"/>
      <c r="P868" s="309"/>
      <c r="Q868" s="326"/>
      <c r="R868" s="326"/>
      <c r="S868" s="326"/>
      <c r="T868" s="309"/>
      <c r="U868" s="309"/>
      <c r="V868" s="309"/>
      <c r="W868" s="328"/>
      <c r="X868" s="309"/>
      <c r="Y868" s="309"/>
      <c r="Z868" s="309"/>
      <c r="AA868" s="309"/>
      <c r="AB868" s="309"/>
      <c r="AC868" s="309"/>
    </row>
    <row r="869" spans="1:29" ht="12.75" customHeight="1">
      <c r="A869" s="309"/>
      <c r="B869" s="309"/>
      <c r="C869" s="309"/>
      <c r="D869" s="309"/>
      <c r="E869" s="309"/>
      <c r="F869" s="309"/>
      <c r="G869" s="309"/>
      <c r="H869" s="309"/>
      <c r="I869" s="309"/>
      <c r="J869" s="309"/>
      <c r="K869" s="1020"/>
      <c r="L869" s="1020"/>
      <c r="M869" s="309"/>
      <c r="N869" s="309"/>
      <c r="O869" s="309"/>
      <c r="P869" s="309"/>
      <c r="Q869" s="326"/>
      <c r="R869" s="326"/>
      <c r="S869" s="326"/>
      <c r="T869" s="309"/>
      <c r="U869" s="309"/>
      <c r="V869" s="309"/>
      <c r="W869" s="328"/>
      <c r="X869" s="309"/>
      <c r="Y869" s="309"/>
      <c r="Z869" s="309"/>
      <c r="AA869" s="309"/>
      <c r="AB869" s="309"/>
      <c r="AC869" s="309"/>
    </row>
    <row r="870" spans="1:29" ht="12.75" customHeight="1">
      <c r="A870" s="309"/>
      <c r="B870" s="309"/>
      <c r="C870" s="309"/>
      <c r="D870" s="309"/>
      <c r="E870" s="309"/>
      <c r="F870" s="309"/>
      <c r="G870" s="309"/>
      <c r="H870" s="309"/>
      <c r="I870" s="309"/>
      <c r="J870" s="309"/>
      <c r="K870" s="1020"/>
      <c r="L870" s="1020"/>
      <c r="M870" s="309"/>
      <c r="N870" s="309"/>
      <c r="O870" s="309"/>
      <c r="P870" s="309"/>
      <c r="Q870" s="326"/>
      <c r="R870" s="326"/>
      <c r="S870" s="326"/>
      <c r="T870" s="309"/>
      <c r="U870" s="309"/>
      <c r="V870" s="309"/>
      <c r="W870" s="328"/>
      <c r="X870" s="309"/>
      <c r="Y870" s="309"/>
      <c r="Z870" s="309"/>
      <c r="AA870" s="309"/>
      <c r="AB870" s="309"/>
      <c r="AC870" s="309"/>
    </row>
    <row r="871" spans="1:29" ht="12.75" customHeight="1">
      <c r="A871" s="309"/>
      <c r="B871" s="309"/>
      <c r="C871" s="309"/>
      <c r="D871" s="309"/>
      <c r="E871" s="309"/>
      <c r="F871" s="309"/>
      <c r="G871" s="309"/>
      <c r="H871" s="309"/>
      <c r="I871" s="309"/>
      <c r="J871" s="309"/>
      <c r="K871" s="1020"/>
      <c r="L871" s="1020"/>
      <c r="M871" s="309"/>
      <c r="N871" s="309"/>
      <c r="O871" s="309"/>
      <c r="P871" s="309"/>
      <c r="Q871" s="326"/>
      <c r="R871" s="326"/>
      <c r="S871" s="326"/>
      <c r="T871" s="309"/>
      <c r="U871" s="309"/>
      <c r="V871" s="309"/>
      <c r="W871" s="328"/>
      <c r="X871" s="309"/>
      <c r="Y871" s="309"/>
      <c r="Z871" s="309"/>
      <c r="AA871" s="309"/>
      <c r="AB871" s="309"/>
      <c r="AC871" s="309"/>
    </row>
    <row r="872" spans="1:29" ht="12.75" customHeight="1">
      <c r="A872" s="309"/>
      <c r="B872" s="309"/>
      <c r="C872" s="309"/>
      <c r="D872" s="309"/>
      <c r="E872" s="309"/>
      <c r="F872" s="309"/>
      <c r="G872" s="309"/>
      <c r="H872" s="309"/>
      <c r="I872" s="309"/>
      <c r="J872" s="309"/>
      <c r="K872" s="1020"/>
      <c r="L872" s="1020"/>
      <c r="M872" s="309"/>
      <c r="N872" s="309"/>
      <c r="O872" s="309"/>
      <c r="P872" s="309"/>
      <c r="Q872" s="326"/>
      <c r="R872" s="326"/>
      <c r="S872" s="326"/>
      <c r="T872" s="309"/>
      <c r="U872" s="309"/>
      <c r="V872" s="309"/>
      <c r="W872" s="328"/>
      <c r="X872" s="309"/>
      <c r="Y872" s="309"/>
      <c r="Z872" s="309"/>
      <c r="AA872" s="309"/>
      <c r="AB872" s="309"/>
      <c r="AC872" s="309"/>
    </row>
    <row r="873" spans="1:29" ht="12.75" customHeight="1">
      <c r="A873" s="309"/>
      <c r="B873" s="309"/>
      <c r="C873" s="309"/>
      <c r="D873" s="309"/>
      <c r="E873" s="309"/>
      <c r="F873" s="309"/>
      <c r="G873" s="309"/>
      <c r="H873" s="309"/>
      <c r="I873" s="309"/>
      <c r="J873" s="309"/>
      <c r="K873" s="1020"/>
      <c r="L873" s="1020"/>
      <c r="M873" s="309"/>
      <c r="N873" s="309"/>
      <c r="O873" s="309"/>
      <c r="P873" s="309"/>
      <c r="Q873" s="326"/>
      <c r="R873" s="326"/>
      <c r="S873" s="326"/>
      <c r="T873" s="309"/>
      <c r="U873" s="309"/>
      <c r="V873" s="309"/>
      <c r="W873" s="328"/>
      <c r="X873" s="309"/>
      <c r="Y873" s="309"/>
      <c r="Z873" s="309"/>
      <c r="AA873" s="309"/>
      <c r="AB873" s="309"/>
      <c r="AC873" s="309"/>
    </row>
    <row r="874" spans="1:29" ht="12.75" customHeight="1">
      <c r="A874" s="309"/>
      <c r="B874" s="309"/>
      <c r="C874" s="309"/>
      <c r="D874" s="309"/>
      <c r="E874" s="309"/>
      <c r="F874" s="309"/>
      <c r="G874" s="309"/>
      <c r="H874" s="309"/>
      <c r="I874" s="309"/>
      <c r="J874" s="309"/>
      <c r="K874" s="1020"/>
      <c r="L874" s="1020"/>
      <c r="M874" s="309"/>
      <c r="N874" s="309"/>
      <c r="O874" s="309"/>
      <c r="P874" s="309"/>
      <c r="Q874" s="326"/>
      <c r="R874" s="326"/>
      <c r="S874" s="326"/>
      <c r="T874" s="309"/>
      <c r="U874" s="309"/>
      <c r="V874" s="309"/>
      <c r="W874" s="328"/>
      <c r="X874" s="309"/>
      <c r="Y874" s="309"/>
      <c r="Z874" s="309"/>
      <c r="AA874" s="309"/>
      <c r="AB874" s="309"/>
      <c r="AC874" s="309"/>
    </row>
    <row r="875" spans="1:29" ht="12.75" customHeight="1">
      <c r="A875" s="309"/>
      <c r="B875" s="309"/>
      <c r="C875" s="309"/>
      <c r="D875" s="309"/>
      <c r="E875" s="309"/>
      <c r="F875" s="309"/>
      <c r="G875" s="309"/>
      <c r="H875" s="309"/>
      <c r="I875" s="309"/>
      <c r="J875" s="309"/>
      <c r="K875" s="1020"/>
      <c r="L875" s="1020"/>
      <c r="M875" s="309"/>
      <c r="N875" s="309"/>
      <c r="O875" s="309"/>
      <c r="P875" s="309"/>
      <c r="Q875" s="326"/>
      <c r="R875" s="326"/>
      <c r="S875" s="326"/>
      <c r="T875" s="309"/>
      <c r="U875" s="309"/>
      <c r="V875" s="309"/>
      <c r="W875" s="328"/>
      <c r="X875" s="309"/>
      <c r="Y875" s="309"/>
      <c r="Z875" s="309"/>
      <c r="AA875" s="309"/>
      <c r="AB875" s="309"/>
      <c r="AC875" s="309"/>
    </row>
    <row r="876" spans="1:29" ht="12.75" customHeight="1">
      <c r="A876" s="309"/>
      <c r="B876" s="309"/>
      <c r="C876" s="309"/>
      <c r="D876" s="309"/>
      <c r="E876" s="309"/>
      <c r="F876" s="309"/>
      <c r="G876" s="309"/>
      <c r="H876" s="309"/>
      <c r="I876" s="309"/>
      <c r="J876" s="309"/>
      <c r="K876" s="1020"/>
      <c r="L876" s="1020"/>
      <c r="M876" s="309"/>
      <c r="N876" s="309"/>
      <c r="O876" s="309"/>
      <c r="P876" s="309"/>
      <c r="Q876" s="326"/>
      <c r="R876" s="326"/>
      <c r="S876" s="326"/>
      <c r="T876" s="309"/>
      <c r="U876" s="309"/>
      <c r="V876" s="309"/>
      <c r="W876" s="328"/>
      <c r="X876" s="309"/>
      <c r="Y876" s="309"/>
      <c r="Z876" s="309"/>
      <c r="AA876" s="309"/>
      <c r="AB876" s="309"/>
      <c r="AC876" s="309"/>
    </row>
    <row r="877" spans="1:29" ht="12.75" customHeight="1">
      <c r="A877" s="309"/>
      <c r="B877" s="309"/>
      <c r="C877" s="309"/>
      <c r="D877" s="309"/>
      <c r="E877" s="309"/>
      <c r="F877" s="309"/>
      <c r="G877" s="309"/>
      <c r="H877" s="309"/>
      <c r="I877" s="309"/>
      <c r="J877" s="309"/>
      <c r="K877" s="1020"/>
      <c r="L877" s="1020"/>
      <c r="M877" s="309"/>
      <c r="N877" s="309"/>
      <c r="O877" s="309"/>
      <c r="P877" s="309"/>
      <c r="Q877" s="326"/>
      <c r="R877" s="326"/>
      <c r="S877" s="326"/>
      <c r="T877" s="309"/>
      <c r="U877" s="309"/>
      <c r="V877" s="309"/>
      <c r="W877" s="328"/>
      <c r="X877" s="309"/>
      <c r="Y877" s="309"/>
      <c r="Z877" s="309"/>
      <c r="AA877" s="309"/>
      <c r="AB877" s="309"/>
      <c r="AC877" s="309"/>
    </row>
    <row r="878" spans="1:29" ht="12.75" customHeight="1">
      <c r="A878" s="309"/>
      <c r="B878" s="309"/>
      <c r="C878" s="309"/>
      <c r="D878" s="309"/>
      <c r="E878" s="309"/>
      <c r="F878" s="309"/>
      <c r="G878" s="309"/>
      <c r="H878" s="309"/>
      <c r="I878" s="309"/>
      <c r="J878" s="309"/>
      <c r="K878" s="1020"/>
      <c r="L878" s="1020"/>
      <c r="M878" s="309"/>
      <c r="N878" s="309"/>
      <c r="O878" s="309"/>
      <c r="P878" s="309"/>
      <c r="Q878" s="326"/>
      <c r="R878" s="326"/>
      <c r="S878" s="326"/>
      <c r="T878" s="309"/>
      <c r="U878" s="309"/>
      <c r="V878" s="309"/>
      <c r="W878" s="328"/>
      <c r="X878" s="309"/>
      <c r="Y878" s="309"/>
      <c r="Z878" s="309"/>
      <c r="AA878" s="309"/>
      <c r="AB878" s="309"/>
      <c r="AC878" s="309"/>
    </row>
    <row r="879" spans="1:29" ht="12.75" customHeight="1">
      <c r="A879" s="309"/>
      <c r="B879" s="309"/>
      <c r="C879" s="309"/>
      <c r="D879" s="309"/>
      <c r="E879" s="309"/>
      <c r="F879" s="309"/>
      <c r="G879" s="309"/>
      <c r="H879" s="309"/>
      <c r="I879" s="309"/>
      <c r="J879" s="309"/>
      <c r="K879" s="1020"/>
      <c r="L879" s="1020"/>
      <c r="M879" s="309"/>
      <c r="N879" s="309"/>
      <c r="O879" s="309"/>
      <c r="P879" s="309"/>
      <c r="Q879" s="326"/>
      <c r="R879" s="326"/>
      <c r="S879" s="326"/>
      <c r="T879" s="309"/>
      <c r="U879" s="309"/>
      <c r="V879" s="309"/>
      <c r="W879" s="328"/>
      <c r="X879" s="309"/>
      <c r="Y879" s="309"/>
      <c r="Z879" s="309"/>
      <c r="AA879" s="309"/>
      <c r="AB879" s="309"/>
      <c r="AC879" s="309"/>
    </row>
    <row r="880" spans="1:29" ht="12.75" customHeight="1">
      <c r="A880" s="309"/>
      <c r="B880" s="309"/>
      <c r="C880" s="309"/>
      <c r="D880" s="309"/>
      <c r="E880" s="309"/>
      <c r="F880" s="309"/>
      <c r="G880" s="309"/>
      <c r="H880" s="309"/>
      <c r="I880" s="309"/>
      <c r="J880" s="309"/>
      <c r="K880" s="1020"/>
      <c r="L880" s="1020"/>
      <c r="M880" s="309"/>
      <c r="N880" s="309"/>
      <c r="O880" s="309"/>
      <c r="P880" s="309"/>
      <c r="Q880" s="326"/>
      <c r="R880" s="326"/>
      <c r="S880" s="326"/>
      <c r="T880" s="309"/>
      <c r="U880" s="309"/>
      <c r="V880" s="309"/>
      <c r="W880" s="328"/>
      <c r="X880" s="309"/>
      <c r="Y880" s="309"/>
      <c r="Z880" s="309"/>
      <c r="AA880" s="309"/>
      <c r="AB880" s="309"/>
      <c r="AC880" s="309"/>
    </row>
    <row r="881" spans="1:29" ht="12.75" customHeight="1">
      <c r="A881" s="309"/>
      <c r="B881" s="309"/>
      <c r="C881" s="309"/>
      <c r="D881" s="309"/>
      <c r="E881" s="309"/>
      <c r="F881" s="309"/>
      <c r="G881" s="309"/>
      <c r="H881" s="309"/>
      <c r="I881" s="309"/>
      <c r="J881" s="309"/>
      <c r="K881" s="1020"/>
      <c r="L881" s="1020"/>
      <c r="M881" s="309"/>
      <c r="N881" s="309"/>
      <c r="O881" s="309"/>
      <c r="P881" s="309"/>
      <c r="Q881" s="326"/>
      <c r="R881" s="326"/>
      <c r="S881" s="326"/>
      <c r="T881" s="309"/>
      <c r="U881" s="309"/>
      <c r="V881" s="309"/>
      <c r="W881" s="328"/>
      <c r="X881" s="309"/>
      <c r="Y881" s="309"/>
      <c r="Z881" s="309"/>
      <c r="AA881" s="309"/>
      <c r="AB881" s="309"/>
      <c r="AC881" s="309"/>
    </row>
    <row r="882" spans="1:29" ht="12.75" customHeight="1">
      <c r="A882" s="309"/>
      <c r="B882" s="309"/>
      <c r="C882" s="309"/>
      <c r="D882" s="309"/>
      <c r="E882" s="309"/>
      <c r="F882" s="309"/>
      <c r="G882" s="309"/>
      <c r="H882" s="309"/>
      <c r="I882" s="309"/>
      <c r="J882" s="309"/>
      <c r="K882" s="1020"/>
      <c r="L882" s="1020"/>
      <c r="M882" s="309"/>
      <c r="N882" s="309"/>
      <c r="O882" s="309"/>
      <c r="P882" s="309"/>
      <c r="Q882" s="326"/>
      <c r="R882" s="326"/>
      <c r="S882" s="326"/>
      <c r="T882" s="309"/>
      <c r="U882" s="309"/>
      <c r="V882" s="309"/>
      <c r="W882" s="328"/>
      <c r="X882" s="309"/>
      <c r="Y882" s="309"/>
      <c r="Z882" s="309"/>
      <c r="AA882" s="309"/>
      <c r="AB882" s="309"/>
      <c r="AC882" s="309"/>
    </row>
    <row r="883" spans="1:29" ht="12.75" customHeight="1">
      <c r="A883" s="309"/>
      <c r="B883" s="309"/>
      <c r="C883" s="309"/>
      <c r="D883" s="309"/>
      <c r="E883" s="309"/>
      <c r="F883" s="309"/>
      <c r="G883" s="309"/>
      <c r="H883" s="309"/>
      <c r="I883" s="309"/>
      <c r="J883" s="309"/>
      <c r="K883" s="1020"/>
      <c r="L883" s="1020"/>
      <c r="M883" s="309"/>
      <c r="N883" s="309"/>
      <c r="O883" s="309"/>
      <c r="P883" s="309"/>
      <c r="Q883" s="326"/>
      <c r="R883" s="326"/>
      <c r="S883" s="326"/>
      <c r="T883" s="309"/>
      <c r="U883" s="309"/>
      <c r="V883" s="309"/>
      <c r="W883" s="328"/>
      <c r="X883" s="309"/>
      <c r="Y883" s="309"/>
      <c r="Z883" s="309"/>
      <c r="AA883" s="309"/>
      <c r="AB883" s="309"/>
      <c r="AC883" s="309"/>
    </row>
    <row r="884" spans="1:29" ht="12.75" customHeight="1">
      <c r="A884" s="309"/>
      <c r="B884" s="309"/>
      <c r="C884" s="309"/>
      <c r="D884" s="309"/>
      <c r="E884" s="309"/>
      <c r="F884" s="309"/>
      <c r="G884" s="309"/>
      <c r="H884" s="309"/>
      <c r="I884" s="309"/>
      <c r="J884" s="309"/>
      <c r="K884" s="1020"/>
      <c r="L884" s="1020"/>
      <c r="M884" s="309"/>
      <c r="N884" s="309"/>
      <c r="O884" s="309"/>
      <c r="P884" s="309"/>
      <c r="Q884" s="326"/>
      <c r="R884" s="326"/>
      <c r="S884" s="326"/>
      <c r="T884" s="309"/>
      <c r="U884" s="309"/>
      <c r="V884" s="309"/>
      <c r="W884" s="328"/>
      <c r="X884" s="309"/>
      <c r="Y884" s="309"/>
      <c r="Z884" s="309"/>
      <c r="AA884" s="309"/>
      <c r="AB884" s="309"/>
      <c r="AC884" s="309"/>
    </row>
    <row r="885" spans="1:29" ht="12.75" customHeight="1">
      <c r="A885" s="309"/>
      <c r="B885" s="309"/>
      <c r="C885" s="309"/>
      <c r="D885" s="309"/>
      <c r="E885" s="309"/>
      <c r="F885" s="309"/>
      <c r="G885" s="309"/>
      <c r="H885" s="309"/>
      <c r="I885" s="309"/>
      <c r="J885" s="309"/>
      <c r="K885" s="1020"/>
      <c r="L885" s="1020"/>
      <c r="M885" s="309"/>
      <c r="N885" s="309"/>
      <c r="O885" s="309"/>
      <c r="P885" s="309"/>
      <c r="Q885" s="326"/>
      <c r="R885" s="326"/>
      <c r="S885" s="326"/>
      <c r="T885" s="309"/>
      <c r="U885" s="309"/>
      <c r="V885" s="309"/>
      <c r="W885" s="328"/>
      <c r="X885" s="309"/>
      <c r="Y885" s="309"/>
      <c r="Z885" s="309"/>
      <c r="AA885" s="309"/>
      <c r="AB885" s="309"/>
      <c r="AC885" s="309"/>
    </row>
    <row r="886" spans="1:29" ht="12.75" customHeight="1">
      <c r="A886" s="309"/>
      <c r="B886" s="309"/>
      <c r="C886" s="309"/>
      <c r="D886" s="309"/>
      <c r="E886" s="309"/>
      <c r="F886" s="309"/>
      <c r="G886" s="309"/>
      <c r="H886" s="309"/>
      <c r="I886" s="309"/>
      <c r="J886" s="309"/>
      <c r="K886" s="1020"/>
      <c r="L886" s="1020"/>
      <c r="M886" s="309"/>
      <c r="N886" s="309"/>
      <c r="O886" s="309"/>
      <c r="P886" s="309"/>
      <c r="Q886" s="326"/>
      <c r="R886" s="326"/>
      <c r="S886" s="326"/>
      <c r="T886" s="309"/>
      <c r="U886" s="309"/>
      <c r="V886" s="309"/>
      <c r="W886" s="328"/>
      <c r="X886" s="309"/>
      <c r="Y886" s="309"/>
      <c r="Z886" s="309"/>
      <c r="AA886" s="309"/>
      <c r="AB886" s="309"/>
      <c r="AC886" s="309"/>
    </row>
    <row r="887" spans="1:29" ht="12.75" customHeight="1">
      <c r="A887" s="309"/>
      <c r="B887" s="309"/>
      <c r="C887" s="309"/>
      <c r="D887" s="309"/>
      <c r="E887" s="309"/>
      <c r="F887" s="309"/>
      <c r="G887" s="309"/>
      <c r="H887" s="309"/>
      <c r="I887" s="309"/>
      <c r="J887" s="309"/>
      <c r="K887" s="1020"/>
      <c r="L887" s="1020"/>
      <c r="M887" s="309"/>
      <c r="N887" s="309"/>
      <c r="O887" s="309"/>
      <c r="P887" s="309"/>
      <c r="Q887" s="326"/>
      <c r="R887" s="326"/>
      <c r="S887" s="326"/>
      <c r="T887" s="309"/>
      <c r="U887" s="309"/>
      <c r="V887" s="309"/>
      <c r="W887" s="328"/>
      <c r="X887" s="309"/>
      <c r="Y887" s="309"/>
      <c r="Z887" s="309"/>
      <c r="AA887" s="309"/>
      <c r="AB887" s="309"/>
      <c r="AC887" s="309"/>
    </row>
    <row r="888" spans="1:29" ht="12.75" customHeight="1">
      <c r="A888" s="309"/>
      <c r="B888" s="309"/>
      <c r="C888" s="309"/>
      <c r="D888" s="309"/>
      <c r="E888" s="309"/>
      <c r="F888" s="309"/>
      <c r="G888" s="309"/>
      <c r="H888" s="309"/>
      <c r="I888" s="309"/>
      <c r="J888" s="309"/>
      <c r="K888" s="1020"/>
      <c r="L888" s="1020"/>
      <c r="M888" s="309"/>
      <c r="N888" s="309"/>
      <c r="O888" s="309"/>
      <c r="P888" s="309"/>
      <c r="Q888" s="326"/>
      <c r="R888" s="326"/>
      <c r="S888" s="326"/>
      <c r="T888" s="309"/>
      <c r="U888" s="309"/>
      <c r="V888" s="309"/>
      <c r="W888" s="328"/>
      <c r="X888" s="309"/>
      <c r="Y888" s="309"/>
      <c r="Z888" s="309"/>
      <c r="AA888" s="309"/>
      <c r="AB888" s="309"/>
      <c r="AC888" s="309"/>
    </row>
    <row r="889" spans="1:29" ht="12.75" customHeight="1">
      <c r="A889" s="309"/>
      <c r="B889" s="309"/>
      <c r="C889" s="309"/>
      <c r="D889" s="309"/>
      <c r="E889" s="309"/>
      <c r="F889" s="309"/>
      <c r="G889" s="309"/>
      <c r="H889" s="309"/>
      <c r="I889" s="309"/>
      <c r="J889" s="309"/>
      <c r="K889" s="1020"/>
      <c r="L889" s="1020"/>
      <c r="M889" s="309"/>
      <c r="N889" s="309"/>
      <c r="O889" s="309"/>
      <c r="P889" s="309"/>
      <c r="Q889" s="326"/>
      <c r="R889" s="326"/>
      <c r="S889" s="326"/>
      <c r="T889" s="309"/>
      <c r="U889" s="309"/>
      <c r="V889" s="309"/>
      <c r="W889" s="328"/>
      <c r="X889" s="309"/>
      <c r="Y889" s="309"/>
      <c r="Z889" s="309"/>
      <c r="AA889" s="309"/>
      <c r="AB889" s="309"/>
      <c r="AC889" s="309"/>
    </row>
    <row r="890" spans="1:29" ht="12.75" customHeight="1">
      <c r="A890" s="309"/>
      <c r="B890" s="309"/>
      <c r="C890" s="309"/>
      <c r="D890" s="309"/>
      <c r="E890" s="309"/>
      <c r="F890" s="309"/>
      <c r="G890" s="309"/>
      <c r="H890" s="309"/>
      <c r="I890" s="309"/>
      <c r="J890" s="309"/>
      <c r="K890" s="1020"/>
      <c r="L890" s="1020"/>
      <c r="M890" s="309"/>
      <c r="N890" s="309"/>
      <c r="O890" s="309"/>
      <c r="P890" s="309"/>
      <c r="Q890" s="326"/>
      <c r="R890" s="326"/>
      <c r="S890" s="326"/>
      <c r="T890" s="309"/>
      <c r="U890" s="309"/>
      <c r="V890" s="309"/>
      <c r="W890" s="328"/>
      <c r="X890" s="309"/>
      <c r="Y890" s="309"/>
      <c r="Z890" s="309"/>
      <c r="AA890" s="309"/>
      <c r="AB890" s="309"/>
      <c r="AC890" s="309"/>
    </row>
    <row r="891" spans="1:29" ht="12.75" customHeight="1">
      <c r="A891" s="309"/>
      <c r="B891" s="309"/>
      <c r="C891" s="309"/>
      <c r="D891" s="309"/>
      <c r="E891" s="309"/>
      <c r="F891" s="309"/>
      <c r="G891" s="309"/>
      <c r="H891" s="309"/>
      <c r="I891" s="309"/>
      <c r="J891" s="309"/>
      <c r="K891" s="1020"/>
      <c r="L891" s="1020"/>
      <c r="M891" s="309"/>
      <c r="N891" s="309"/>
      <c r="O891" s="309"/>
      <c r="P891" s="309"/>
      <c r="Q891" s="326"/>
      <c r="R891" s="326"/>
      <c r="S891" s="326"/>
      <c r="T891" s="309"/>
      <c r="U891" s="309"/>
      <c r="V891" s="309"/>
      <c r="W891" s="328"/>
      <c r="X891" s="309"/>
      <c r="Y891" s="309"/>
      <c r="Z891" s="309"/>
      <c r="AA891" s="309"/>
      <c r="AB891" s="309"/>
      <c r="AC891" s="309"/>
    </row>
    <row r="892" spans="1:29" ht="12.75" customHeight="1">
      <c r="A892" s="309"/>
      <c r="B892" s="309"/>
      <c r="C892" s="309"/>
      <c r="D892" s="309"/>
      <c r="E892" s="309"/>
      <c r="F892" s="309"/>
      <c r="G892" s="309"/>
      <c r="H892" s="309"/>
      <c r="I892" s="309"/>
      <c r="J892" s="309"/>
      <c r="K892" s="1020"/>
      <c r="L892" s="1020"/>
      <c r="M892" s="309"/>
      <c r="N892" s="309"/>
      <c r="O892" s="309"/>
      <c r="P892" s="309"/>
      <c r="Q892" s="326"/>
      <c r="R892" s="326"/>
      <c r="S892" s="326"/>
      <c r="T892" s="309"/>
      <c r="U892" s="309"/>
      <c r="V892" s="309"/>
      <c r="W892" s="328"/>
      <c r="X892" s="309"/>
      <c r="Y892" s="309"/>
      <c r="Z892" s="309"/>
      <c r="AA892" s="309"/>
      <c r="AB892" s="309"/>
      <c r="AC892" s="309"/>
    </row>
    <row r="893" spans="1:29" ht="12.75" customHeight="1">
      <c r="A893" s="309"/>
      <c r="B893" s="309"/>
      <c r="C893" s="309"/>
      <c r="D893" s="309"/>
      <c r="E893" s="309"/>
      <c r="F893" s="309"/>
      <c r="G893" s="309"/>
      <c r="H893" s="309"/>
      <c r="I893" s="309"/>
      <c r="J893" s="309"/>
      <c r="K893" s="1020"/>
      <c r="L893" s="1020"/>
      <c r="M893" s="309"/>
      <c r="N893" s="309"/>
      <c r="O893" s="309"/>
      <c r="P893" s="309"/>
      <c r="Q893" s="326"/>
      <c r="R893" s="326"/>
      <c r="S893" s="326"/>
      <c r="T893" s="309"/>
      <c r="U893" s="309"/>
      <c r="V893" s="309"/>
      <c r="W893" s="328"/>
      <c r="X893" s="309"/>
      <c r="Y893" s="309"/>
      <c r="Z893" s="309"/>
      <c r="AA893" s="309"/>
      <c r="AB893" s="309"/>
      <c r="AC893" s="309"/>
    </row>
    <row r="894" spans="1:29" ht="12.75" customHeight="1">
      <c r="A894" s="309"/>
      <c r="B894" s="309"/>
      <c r="C894" s="309"/>
      <c r="D894" s="309"/>
      <c r="E894" s="309"/>
      <c r="F894" s="309"/>
      <c r="G894" s="309"/>
      <c r="H894" s="309"/>
      <c r="I894" s="309"/>
      <c r="J894" s="309"/>
      <c r="K894" s="1020"/>
      <c r="L894" s="1020"/>
      <c r="M894" s="309"/>
      <c r="N894" s="309"/>
      <c r="O894" s="309"/>
      <c r="P894" s="309"/>
      <c r="Q894" s="326"/>
      <c r="R894" s="326"/>
      <c r="S894" s="326"/>
      <c r="T894" s="309"/>
      <c r="U894" s="309"/>
      <c r="V894" s="309"/>
      <c r="W894" s="328"/>
      <c r="X894" s="309"/>
      <c r="Y894" s="309"/>
      <c r="Z894" s="309"/>
      <c r="AA894" s="309"/>
      <c r="AB894" s="309"/>
      <c r="AC894" s="309"/>
    </row>
    <row r="895" spans="1:29" ht="12.75" customHeight="1">
      <c r="A895" s="309"/>
      <c r="B895" s="309"/>
      <c r="C895" s="309"/>
      <c r="D895" s="309"/>
      <c r="E895" s="309"/>
      <c r="F895" s="309"/>
      <c r="G895" s="309"/>
      <c r="H895" s="309"/>
      <c r="I895" s="309"/>
      <c r="J895" s="309"/>
      <c r="K895" s="1020"/>
      <c r="L895" s="1020"/>
      <c r="M895" s="309"/>
      <c r="N895" s="309"/>
      <c r="O895" s="309"/>
      <c r="P895" s="309"/>
      <c r="Q895" s="326"/>
      <c r="R895" s="326"/>
      <c r="S895" s="326"/>
      <c r="T895" s="309"/>
      <c r="U895" s="309"/>
      <c r="V895" s="309"/>
      <c r="W895" s="328"/>
      <c r="X895" s="309"/>
      <c r="Y895" s="309"/>
      <c r="Z895" s="309"/>
      <c r="AA895" s="309"/>
      <c r="AB895" s="309"/>
      <c r="AC895" s="309"/>
    </row>
    <row r="896" spans="1:29" ht="12.75" customHeight="1">
      <c r="A896" s="309"/>
      <c r="B896" s="309"/>
      <c r="C896" s="309"/>
      <c r="D896" s="309"/>
      <c r="E896" s="309"/>
      <c r="F896" s="309"/>
      <c r="G896" s="309"/>
      <c r="H896" s="309"/>
      <c r="I896" s="309"/>
      <c r="J896" s="309"/>
      <c r="K896" s="1020"/>
      <c r="L896" s="1020"/>
      <c r="M896" s="309"/>
      <c r="N896" s="309"/>
      <c r="O896" s="309"/>
      <c r="P896" s="309"/>
      <c r="Q896" s="326"/>
      <c r="R896" s="326"/>
      <c r="S896" s="326"/>
      <c r="T896" s="309"/>
      <c r="U896" s="309"/>
      <c r="V896" s="309"/>
      <c r="W896" s="328"/>
      <c r="X896" s="309"/>
      <c r="Y896" s="309"/>
      <c r="Z896" s="309"/>
      <c r="AA896" s="309"/>
      <c r="AB896" s="309"/>
      <c r="AC896" s="309"/>
    </row>
    <row r="897" spans="1:29" ht="12.75" customHeight="1">
      <c r="A897" s="309"/>
      <c r="B897" s="309"/>
      <c r="C897" s="309"/>
      <c r="D897" s="309"/>
      <c r="E897" s="309"/>
      <c r="F897" s="309"/>
      <c r="G897" s="309"/>
      <c r="H897" s="309"/>
      <c r="I897" s="309"/>
      <c r="J897" s="309"/>
      <c r="K897" s="1020"/>
      <c r="L897" s="1020"/>
      <c r="M897" s="309"/>
      <c r="N897" s="309"/>
      <c r="O897" s="309"/>
      <c r="P897" s="309"/>
      <c r="Q897" s="326"/>
      <c r="R897" s="326"/>
      <c r="S897" s="326"/>
      <c r="T897" s="309"/>
      <c r="U897" s="309"/>
      <c r="V897" s="309"/>
      <c r="W897" s="328"/>
      <c r="X897" s="309"/>
      <c r="Y897" s="309"/>
      <c r="Z897" s="309"/>
      <c r="AA897" s="309"/>
      <c r="AB897" s="309"/>
      <c r="AC897" s="309"/>
    </row>
    <row r="898" spans="1:29" ht="12.75" customHeight="1">
      <c r="A898" s="309"/>
      <c r="B898" s="309"/>
      <c r="C898" s="309"/>
      <c r="D898" s="309"/>
      <c r="E898" s="309"/>
      <c r="F898" s="309"/>
      <c r="G898" s="309"/>
      <c r="H898" s="309"/>
      <c r="I898" s="309"/>
      <c r="J898" s="309"/>
      <c r="K898" s="1020"/>
      <c r="L898" s="1020"/>
      <c r="M898" s="309"/>
      <c r="N898" s="309"/>
      <c r="O898" s="309"/>
      <c r="P898" s="309"/>
      <c r="Q898" s="326"/>
      <c r="R898" s="326"/>
      <c r="S898" s="326"/>
      <c r="T898" s="309"/>
      <c r="U898" s="309"/>
      <c r="V898" s="309"/>
      <c r="W898" s="328"/>
      <c r="X898" s="309"/>
      <c r="Y898" s="309"/>
      <c r="Z898" s="309"/>
      <c r="AA898" s="309"/>
      <c r="AB898" s="309"/>
      <c r="AC898" s="309"/>
    </row>
    <row r="899" spans="1:29" ht="12.75" customHeight="1">
      <c r="A899" s="309"/>
      <c r="B899" s="309"/>
      <c r="C899" s="309"/>
      <c r="D899" s="309"/>
      <c r="E899" s="309"/>
      <c r="F899" s="309"/>
      <c r="G899" s="309"/>
      <c r="H899" s="309"/>
      <c r="I899" s="309"/>
      <c r="J899" s="309"/>
      <c r="K899" s="1020"/>
      <c r="L899" s="1020"/>
      <c r="M899" s="309"/>
      <c r="N899" s="309"/>
      <c r="O899" s="309"/>
      <c r="P899" s="309"/>
      <c r="Q899" s="326"/>
      <c r="R899" s="326"/>
      <c r="S899" s="326"/>
      <c r="T899" s="309"/>
      <c r="U899" s="309"/>
      <c r="V899" s="309"/>
      <c r="W899" s="328"/>
      <c r="X899" s="309"/>
      <c r="Y899" s="309"/>
      <c r="Z899" s="309"/>
      <c r="AA899" s="309"/>
      <c r="AB899" s="309"/>
      <c r="AC899" s="309"/>
    </row>
    <row r="900" spans="1:29" ht="12.75" customHeight="1">
      <c r="A900" s="309"/>
      <c r="B900" s="309"/>
      <c r="C900" s="309"/>
      <c r="D900" s="309"/>
      <c r="E900" s="309"/>
      <c r="F900" s="309"/>
      <c r="G900" s="309"/>
      <c r="H900" s="309"/>
      <c r="I900" s="309"/>
      <c r="J900" s="309"/>
      <c r="K900" s="1020"/>
      <c r="L900" s="1020"/>
      <c r="M900" s="309"/>
      <c r="N900" s="309"/>
      <c r="O900" s="309"/>
      <c r="P900" s="309"/>
      <c r="Q900" s="326"/>
      <c r="R900" s="326"/>
      <c r="S900" s="326"/>
      <c r="T900" s="309"/>
      <c r="U900" s="309"/>
      <c r="V900" s="309"/>
      <c r="W900" s="328"/>
      <c r="X900" s="309"/>
      <c r="Y900" s="309"/>
      <c r="Z900" s="309"/>
      <c r="AA900" s="309"/>
      <c r="AB900" s="309"/>
      <c r="AC900" s="309"/>
    </row>
    <row r="901" spans="1:29" ht="12.75" customHeight="1">
      <c r="A901" s="309"/>
      <c r="B901" s="309"/>
      <c r="C901" s="309"/>
      <c r="D901" s="309"/>
      <c r="E901" s="309"/>
      <c r="F901" s="309"/>
      <c r="G901" s="309"/>
      <c r="H901" s="309"/>
      <c r="I901" s="309"/>
      <c r="J901" s="309"/>
      <c r="K901" s="1020"/>
      <c r="L901" s="1020"/>
      <c r="M901" s="309"/>
      <c r="N901" s="309"/>
      <c r="O901" s="309"/>
      <c r="P901" s="309"/>
      <c r="Q901" s="326"/>
      <c r="R901" s="326"/>
      <c r="S901" s="326"/>
      <c r="T901" s="309"/>
      <c r="U901" s="309"/>
      <c r="V901" s="309"/>
      <c r="W901" s="328"/>
      <c r="X901" s="309"/>
      <c r="Y901" s="309"/>
      <c r="Z901" s="309"/>
      <c r="AA901" s="309"/>
      <c r="AB901" s="309"/>
      <c r="AC901" s="309"/>
    </row>
    <row r="902" spans="1:29" ht="12.75" customHeight="1">
      <c r="A902" s="309"/>
      <c r="B902" s="309"/>
      <c r="C902" s="309"/>
      <c r="D902" s="309"/>
      <c r="E902" s="309"/>
      <c r="F902" s="309"/>
      <c r="G902" s="309"/>
      <c r="H902" s="309"/>
      <c r="I902" s="309"/>
      <c r="J902" s="309"/>
      <c r="K902" s="1020"/>
      <c r="L902" s="1020"/>
      <c r="M902" s="309"/>
      <c r="N902" s="309"/>
      <c r="O902" s="309"/>
      <c r="P902" s="309"/>
      <c r="Q902" s="326"/>
      <c r="R902" s="326"/>
      <c r="S902" s="326"/>
      <c r="T902" s="309"/>
      <c r="U902" s="309"/>
      <c r="V902" s="309"/>
      <c r="W902" s="328"/>
      <c r="X902" s="309"/>
      <c r="Y902" s="309"/>
      <c r="Z902" s="309"/>
      <c r="AA902" s="309"/>
      <c r="AB902" s="309"/>
      <c r="AC902" s="309"/>
    </row>
    <row r="903" spans="1:29" ht="12.75" customHeight="1">
      <c r="A903" s="309"/>
      <c r="B903" s="309"/>
      <c r="C903" s="309"/>
      <c r="D903" s="309"/>
      <c r="E903" s="309"/>
      <c r="F903" s="309"/>
      <c r="G903" s="309"/>
      <c r="H903" s="309"/>
      <c r="I903" s="309"/>
      <c r="J903" s="309"/>
      <c r="K903" s="1020"/>
      <c r="L903" s="1020"/>
      <c r="M903" s="309"/>
      <c r="N903" s="309"/>
      <c r="O903" s="309"/>
      <c r="P903" s="309"/>
      <c r="Q903" s="326"/>
      <c r="R903" s="326"/>
      <c r="S903" s="326"/>
      <c r="T903" s="309"/>
      <c r="U903" s="309"/>
      <c r="V903" s="309"/>
      <c r="W903" s="328"/>
      <c r="X903" s="309"/>
      <c r="Y903" s="309"/>
      <c r="Z903" s="309"/>
      <c r="AA903" s="309"/>
      <c r="AB903" s="309"/>
      <c r="AC903" s="309"/>
    </row>
    <row r="904" spans="1:29" ht="12.75" customHeight="1">
      <c r="A904" s="309"/>
      <c r="B904" s="309"/>
      <c r="C904" s="309"/>
      <c r="D904" s="309"/>
      <c r="E904" s="309"/>
      <c r="F904" s="309"/>
      <c r="G904" s="309"/>
      <c r="H904" s="309"/>
      <c r="I904" s="309"/>
      <c r="J904" s="309"/>
      <c r="K904" s="1020"/>
      <c r="L904" s="1020"/>
      <c r="M904" s="309"/>
      <c r="N904" s="309"/>
      <c r="O904" s="309"/>
      <c r="P904" s="309"/>
      <c r="Q904" s="326"/>
      <c r="R904" s="326"/>
      <c r="S904" s="326"/>
      <c r="T904" s="309"/>
      <c r="U904" s="309"/>
      <c r="V904" s="309"/>
      <c r="W904" s="328"/>
      <c r="X904" s="309"/>
      <c r="Y904" s="309"/>
      <c r="Z904" s="309"/>
      <c r="AA904" s="309"/>
      <c r="AB904" s="309"/>
      <c r="AC904" s="309"/>
    </row>
    <row r="905" spans="1:29" ht="12.75" customHeight="1">
      <c r="A905" s="309"/>
      <c r="B905" s="309"/>
      <c r="C905" s="309"/>
      <c r="D905" s="309"/>
      <c r="E905" s="309"/>
      <c r="F905" s="309"/>
      <c r="G905" s="309"/>
      <c r="H905" s="309"/>
      <c r="I905" s="309"/>
      <c r="J905" s="309"/>
      <c r="K905" s="1020"/>
      <c r="L905" s="1020"/>
      <c r="M905" s="309"/>
      <c r="N905" s="309"/>
      <c r="O905" s="309"/>
      <c r="P905" s="309"/>
      <c r="Q905" s="326"/>
      <c r="R905" s="326"/>
      <c r="S905" s="326"/>
      <c r="T905" s="309"/>
      <c r="U905" s="309"/>
      <c r="V905" s="309"/>
      <c r="W905" s="328"/>
      <c r="X905" s="309"/>
      <c r="Y905" s="309"/>
      <c r="Z905" s="309"/>
      <c r="AA905" s="309"/>
      <c r="AB905" s="309"/>
      <c r="AC905" s="309"/>
    </row>
    <row r="906" spans="1:29" ht="12.75" customHeight="1">
      <c r="A906" s="309"/>
      <c r="B906" s="309"/>
      <c r="C906" s="309"/>
      <c r="D906" s="309"/>
      <c r="E906" s="309"/>
      <c r="F906" s="309"/>
      <c r="G906" s="309"/>
      <c r="H906" s="309"/>
      <c r="I906" s="309"/>
      <c r="J906" s="309"/>
      <c r="K906" s="1020"/>
      <c r="L906" s="1020"/>
      <c r="M906" s="309"/>
      <c r="N906" s="309"/>
      <c r="O906" s="309"/>
      <c r="P906" s="309"/>
      <c r="Q906" s="326"/>
      <c r="R906" s="326"/>
      <c r="S906" s="326"/>
      <c r="T906" s="309"/>
      <c r="U906" s="309"/>
      <c r="V906" s="309"/>
      <c r="W906" s="328"/>
      <c r="X906" s="309"/>
      <c r="Y906" s="309"/>
      <c r="Z906" s="309"/>
      <c r="AA906" s="309"/>
      <c r="AB906" s="309"/>
      <c r="AC906" s="309"/>
    </row>
    <row r="907" spans="1:29" ht="12.75" customHeight="1">
      <c r="A907" s="309"/>
      <c r="B907" s="309"/>
      <c r="C907" s="309"/>
      <c r="D907" s="309"/>
      <c r="E907" s="309"/>
      <c r="F907" s="309"/>
      <c r="G907" s="309"/>
      <c r="H907" s="309"/>
      <c r="I907" s="309"/>
      <c r="J907" s="309"/>
      <c r="K907" s="1020"/>
      <c r="L907" s="1020"/>
      <c r="M907" s="309"/>
      <c r="N907" s="309"/>
      <c r="O907" s="309"/>
      <c r="P907" s="309"/>
      <c r="Q907" s="326"/>
      <c r="R907" s="326"/>
      <c r="S907" s="326"/>
      <c r="T907" s="309"/>
      <c r="U907" s="309"/>
      <c r="V907" s="309"/>
      <c r="W907" s="328"/>
      <c r="X907" s="309"/>
      <c r="Y907" s="309"/>
      <c r="Z907" s="309"/>
      <c r="AA907" s="309"/>
      <c r="AB907" s="309"/>
      <c r="AC907" s="309"/>
    </row>
    <row r="908" spans="1:29" ht="12.75" customHeight="1">
      <c r="A908" s="309"/>
      <c r="B908" s="309"/>
      <c r="C908" s="309"/>
      <c r="D908" s="309"/>
      <c r="E908" s="309"/>
      <c r="F908" s="309"/>
      <c r="G908" s="309"/>
      <c r="H908" s="309"/>
      <c r="I908" s="309"/>
      <c r="J908" s="309"/>
      <c r="K908" s="1020"/>
      <c r="L908" s="1020"/>
      <c r="M908" s="309"/>
      <c r="N908" s="309"/>
      <c r="O908" s="309"/>
      <c r="P908" s="309"/>
      <c r="Q908" s="326"/>
      <c r="R908" s="326"/>
      <c r="S908" s="326"/>
      <c r="T908" s="309"/>
      <c r="U908" s="309"/>
      <c r="V908" s="309"/>
      <c r="W908" s="328"/>
      <c r="X908" s="309"/>
      <c r="Y908" s="309"/>
      <c r="Z908" s="309"/>
      <c r="AA908" s="309"/>
      <c r="AB908" s="309"/>
      <c r="AC908" s="309"/>
    </row>
    <row r="909" spans="1:29" ht="12.75" customHeight="1">
      <c r="A909" s="309"/>
      <c r="B909" s="309"/>
      <c r="C909" s="309"/>
      <c r="D909" s="309"/>
      <c r="E909" s="309"/>
      <c r="F909" s="309"/>
      <c r="G909" s="309"/>
      <c r="H909" s="309"/>
      <c r="I909" s="309"/>
      <c r="J909" s="309"/>
      <c r="K909" s="1020"/>
      <c r="L909" s="1020"/>
      <c r="M909" s="309"/>
      <c r="N909" s="309"/>
      <c r="O909" s="309"/>
      <c r="P909" s="309"/>
      <c r="Q909" s="326"/>
      <c r="R909" s="326"/>
      <c r="S909" s="326"/>
      <c r="T909" s="309"/>
      <c r="U909" s="309"/>
      <c r="V909" s="309"/>
      <c r="W909" s="328"/>
      <c r="X909" s="309"/>
      <c r="Y909" s="309"/>
      <c r="Z909" s="309"/>
      <c r="AA909" s="309"/>
      <c r="AB909" s="309"/>
      <c r="AC909" s="309"/>
    </row>
    <row r="910" spans="1:29" ht="12.75" customHeight="1">
      <c r="A910" s="309"/>
      <c r="B910" s="309"/>
      <c r="C910" s="309"/>
      <c r="D910" s="309"/>
      <c r="E910" s="309"/>
      <c r="F910" s="309"/>
      <c r="G910" s="309"/>
      <c r="H910" s="309"/>
      <c r="I910" s="309"/>
      <c r="J910" s="309"/>
      <c r="K910" s="1020"/>
      <c r="L910" s="1020"/>
      <c r="M910" s="309"/>
      <c r="N910" s="309"/>
      <c r="O910" s="309"/>
      <c r="P910" s="309"/>
      <c r="Q910" s="326"/>
      <c r="R910" s="326"/>
      <c r="S910" s="326"/>
      <c r="T910" s="309"/>
      <c r="U910" s="309"/>
      <c r="V910" s="309"/>
      <c r="W910" s="328"/>
      <c r="X910" s="309"/>
      <c r="Y910" s="309"/>
      <c r="Z910" s="309"/>
      <c r="AA910" s="309"/>
      <c r="AB910" s="309"/>
      <c r="AC910" s="309"/>
    </row>
    <row r="911" spans="1:29" ht="12.75" customHeight="1">
      <c r="A911" s="309"/>
      <c r="B911" s="309"/>
      <c r="C911" s="309"/>
      <c r="D911" s="309"/>
      <c r="E911" s="309"/>
      <c r="F911" s="309"/>
      <c r="G911" s="309"/>
      <c r="H911" s="309"/>
      <c r="I911" s="309"/>
      <c r="J911" s="309"/>
      <c r="K911" s="1020"/>
      <c r="L911" s="1020"/>
      <c r="M911" s="309"/>
      <c r="N911" s="309"/>
      <c r="O911" s="309"/>
      <c r="P911" s="309"/>
      <c r="Q911" s="326"/>
      <c r="R911" s="326"/>
      <c r="S911" s="326"/>
      <c r="T911" s="309"/>
      <c r="U911" s="309"/>
      <c r="V911" s="309"/>
      <c r="W911" s="328"/>
      <c r="X911" s="309"/>
      <c r="Y911" s="309"/>
      <c r="Z911" s="309"/>
      <c r="AA911" s="309"/>
      <c r="AB911" s="309"/>
      <c r="AC911" s="309"/>
    </row>
    <row r="912" spans="1:29" ht="12.75" customHeight="1">
      <c r="A912" s="309"/>
      <c r="B912" s="309"/>
      <c r="C912" s="309"/>
      <c r="D912" s="309"/>
      <c r="E912" s="309"/>
      <c r="F912" s="309"/>
      <c r="G912" s="309"/>
      <c r="H912" s="309"/>
      <c r="I912" s="309"/>
      <c r="J912" s="309"/>
      <c r="K912" s="1020"/>
      <c r="L912" s="1020"/>
      <c r="M912" s="309"/>
      <c r="N912" s="309"/>
      <c r="O912" s="309"/>
      <c r="P912" s="309"/>
      <c r="Q912" s="326"/>
      <c r="R912" s="326"/>
      <c r="S912" s="326"/>
      <c r="T912" s="309"/>
      <c r="U912" s="309"/>
      <c r="V912" s="309"/>
      <c r="W912" s="328"/>
      <c r="X912" s="309"/>
      <c r="Y912" s="309"/>
      <c r="Z912" s="309"/>
      <c r="AA912" s="309"/>
      <c r="AB912" s="309"/>
      <c r="AC912" s="309"/>
    </row>
    <row r="913" spans="1:29" ht="12.75" customHeight="1">
      <c r="A913" s="309"/>
      <c r="B913" s="309"/>
      <c r="C913" s="309"/>
      <c r="D913" s="309"/>
      <c r="E913" s="309"/>
      <c r="F913" s="309"/>
      <c r="G913" s="309"/>
      <c r="H913" s="309"/>
      <c r="I913" s="309"/>
      <c r="J913" s="309"/>
      <c r="K913" s="1020"/>
      <c r="L913" s="1020"/>
      <c r="M913" s="309"/>
      <c r="N913" s="309"/>
      <c r="O913" s="309"/>
      <c r="P913" s="309"/>
      <c r="Q913" s="326"/>
      <c r="R913" s="326"/>
      <c r="S913" s="326"/>
      <c r="T913" s="309"/>
      <c r="U913" s="309"/>
      <c r="V913" s="309"/>
      <c r="W913" s="328"/>
      <c r="X913" s="309"/>
      <c r="Y913" s="309"/>
      <c r="Z913" s="309"/>
      <c r="AA913" s="309"/>
      <c r="AB913" s="309"/>
      <c r="AC913" s="309"/>
    </row>
    <row r="914" spans="1:29" ht="12.75" customHeight="1">
      <c r="A914" s="309"/>
      <c r="B914" s="309"/>
      <c r="C914" s="309"/>
      <c r="D914" s="309"/>
      <c r="E914" s="309"/>
      <c r="F914" s="309"/>
      <c r="G914" s="309"/>
      <c r="H914" s="309"/>
      <c r="I914" s="309"/>
      <c r="J914" s="309"/>
      <c r="K914" s="1020"/>
      <c r="L914" s="1020"/>
      <c r="M914" s="309"/>
      <c r="N914" s="309"/>
      <c r="O914" s="309"/>
      <c r="P914" s="309"/>
      <c r="Q914" s="326"/>
      <c r="R914" s="326"/>
      <c r="S914" s="326"/>
      <c r="T914" s="309"/>
      <c r="U914" s="309"/>
      <c r="V914" s="309"/>
      <c r="W914" s="328"/>
      <c r="X914" s="309"/>
      <c r="Y914" s="309"/>
      <c r="Z914" s="309"/>
      <c r="AA914" s="309"/>
      <c r="AB914" s="309"/>
      <c r="AC914" s="309"/>
    </row>
    <row r="915" spans="1:29" ht="12.75" customHeight="1">
      <c r="A915" s="309"/>
      <c r="B915" s="309"/>
      <c r="C915" s="309"/>
      <c r="D915" s="309"/>
      <c r="E915" s="309"/>
      <c r="F915" s="309"/>
      <c r="G915" s="309"/>
      <c r="H915" s="309"/>
      <c r="I915" s="309"/>
      <c r="J915" s="309"/>
      <c r="K915" s="1020"/>
      <c r="L915" s="1020"/>
      <c r="M915" s="309"/>
      <c r="N915" s="309"/>
      <c r="O915" s="309"/>
      <c r="P915" s="309"/>
      <c r="Q915" s="326"/>
      <c r="R915" s="326"/>
      <c r="S915" s="326"/>
      <c r="T915" s="309"/>
      <c r="U915" s="309"/>
      <c r="V915" s="309"/>
      <c r="W915" s="328"/>
      <c r="X915" s="309"/>
      <c r="Y915" s="309"/>
      <c r="Z915" s="309"/>
      <c r="AA915" s="309"/>
      <c r="AB915" s="309"/>
      <c r="AC915" s="309"/>
    </row>
    <row r="916" spans="1:29" ht="12.75" customHeight="1">
      <c r="A916" s="309"/>
      <c r="B916" s="309"/>
      <c r="C916" s="309"/>
      <c r="D916" s="309"/>
      <c r="E916" s="309"/>
      <c r="F916" s="309"/>
      <c r="G916" s="309"/>
      <c r="H916" s="309"/>
      <c r="I916" s="309"/>
      <c r="J916" s="309"/>
      <c r="K916" s="1020"/>
      <c r="L916" s="1020"/>
      <c r="M916" s="309"/>
      <c r="N916" s="309"/>
      <c r="O916" s="309"/>
      <c r="P916" s="309"/>
      <c r="Q916" s="326"/>
      <c r="R916" s="326"/>
      <c r="S916" s="326"/>
      <c r="T916" s="309"/>
      <c r="U916" s="309"/>
      <c r="V916" s="309"/>
      <c r="W916" s="328"/>
      <c r="X916" s="309"/>
      <c r="Y916" s="309"/>
      <c r="Z916" s="309"/>
      <c r="AA916" s="309"/>
      <c r="AB916" s="309"/>
      <c r="AC916" s="309"/>
    </row>
    <row r="917" spans="1:29" ht="12.75" customHeight="1">
      <c r="A917" s="309"/>
      <c r="B917" s="309"/>
      <c r="C917" s="309"/>
      <c r="D917" s="309"/>
      <c r="E917" s="309"/>
      <c r="F917" s="309"/>
      <c r="G917" s="309"/>
      <c r="H917" s="309"/>
      <c r="I917" s="309"/>
      <c r="J917" s="309"/>
      <c r="K917" s="1020"/>
      <c r="L917" s="1020"/>
      <c r="M917" s="309"/>
      <c r="N917" s="309"/>
      <c r="O917" s="309"/>
      <c r="P917" s="309"/>
      <c r="Q917" s="326"/>
      <c r="R917" s="326"/>
      <c r="S917" s="326"/>
      <c r="T917" s="309"/>
      <c r="U917" s="309"/>
      <c r="V917" s="309"/>
      <c r="W917" s="328"/>
      <c r="X917" s="309"/>
      <c r="Y917" s="309"/>
      <c r="Z917" s="309"/>
      <c r="AA917" s="309"/>
      <c r="AB917" s="309"/>
      <c r="AC917" s="309"/>
    </row>
    <row r="918" spans="1:29" ht="12.75" customHeight="1">
      <c r="A918" s="309"/>
      <c r="B918" s="309"/>
      <c r="C918" s="309"/>
      <c r="D918" s="309"/>
      <c r="E918" s="309"/>
      <c r="F918" s="309"/>
      <c r="G918" s="309"/>
      <c r="H918" s="309"/>
      <c r="I918" s="309"/>
      <c r="J918" s="309"/>
      <c r="K918" s="1020"/>
      <c r="L918" s="1020"/>
      <c r="M918" s="309"/>
      <c r="N918" s="309"/>
      <c r="O918" s="309"/>
      <c r="P918" s="309"/>
      <c r="Q918" s="326"/>
      <c r="R918" s="326"/>
      <c r="S918" s="326"/>
      <c r="T918" s="309"/>
      <c r="U918" s="309"/>
      <c r="V918" s="309"/>
      <c r="W918" s="328"/>
      <c r="X918" s="309"/>
      <c r="Y918" s="309"/>
      <c r="Z918" s="309"/>
      <c r="AA918" s="309"/>
      <c r="AB918" s="309"/>
      <c r="AC918" s="309"/>
    </row>
    <row r="919" spans="1:29" ht="12.75" customHeight="1">
      <c r="A919" s="309"/>
      <c r="B919" s="309"/>
      <c r="C919" s="309"/>
      <c r="D919" s="309"/>
      <c r="E919" s="309"/>
      <c r="F919" s="309"/>
      <c r="G919" s="309"/>
      <c r="H919" s="309"/>
      <c r="I919" s="309"/>
      <c r="J919" s="309"/>
      <c r="K919" s="1020"/>
      <c r="L919" s="1020"/>
      <c r="M919" s="309"/>
      <c r="N919" s="309"/>
      <c r="O919" s="309"/>
      <c r="P919" s="309"/>
      <c r="Q919" s="326"/>
      <c r="R919" s="326"/>
      <c r="S919" s="326"/>
      <c r="T919" s="309"/>
      <c r="U919" s="309"/>
      <c r="V919" s="309"/>
      <c r="W919" s="328"/>
      <c r="X919" s="309"/>
      <c r="Y919" s="309"/>
      <c r="Z919" s="309"/>
      <c r="AA919" s="309"/>
      <c r="AB919" s="309"/>
      <c r="AC919" s="309"/>
    </row>
    <row r="920" spans="1:29" ht="12.75" customHeight="1">
      <c r="A920" s="309"/>
      <c r="B920" s="309"/>
      <c r="C920" s="309"/>
      <c r="D920" s="309"/>
      <c r="E920" s="309"/>
      <c r="F920" s="309"/>
      <c r="G920" s="309"/>
      <c r="H920" s="309"/>
      <c r="I920" s="309"/>
      <c r="J920" s="309"/>
      <c r="K920" s="1020"/>
      <c r="L920" s="1020"/>
      <c r="M920" s="309"/>
      <c r="N920" s="309"/>
      <c r="O920" s="309"/>
      <c r="P920" s="309"/>
      <c r="Q920" s="326"/>
      <c r="R920" s="326"/>
      <c r="S920" s="326"/>
      <c r="T920" s="309"/>
      <c r="U920" s="309"/>
      <c r="V920" s="309"/>
      <c r="W920" s="328"/>
      <c r="X920" s="309"/>
      <c r="Y920" s="309"/>
      <c r="Z920" s="309"/>
      <c r="AA920" s="309"/>
      <c r="AB920" s="309"/>
      <c r="AC920" s="309"/>
    </row>
    <row r="921" spans="1:29" ht="12.75" customHeight="1">
      <c r="A921" s="309"/>
      <c r="B921" s="309"/>
      <c r="C921" s="309"/>
      <c r="D921" s="309"/>
      <c r="E921" s="309"/>
      <c r="F921" s="309"/>
      <c r="G921" s="309"/>
      <c r="H921" s="309"/>
      <c r="I921" s="309"/>
      <c r="J921" s="309"/>
      <c r="K921" s="1020"/>
      <c r="L921" s="1020"/>
      <c r="M921" s="309"/>
      <c r="N921" s="309"/>
      <c r="O921" s="309"/>
      <c r="P921" s="309"/>
      <c r="Q921" s="326"/>
      <c r="R921" s="326"/>
      <c r="S921" s="326"/>
      <c r="T921" s="309"/>
      <c r="U921" s="309"/>
      <c r="V921" s="309"/>
      <c r="W921" s="328"/>
      <c r="X921" s="309"/>
      <c r="Y921" s="309"/>
      <c r="Z921" s="309"/>
      <c r="AA921" s="309"/>
      <c r="AB921" s="309"/>
      <c r="AC921" s="309"/>
    </row>
    <row r="922" spans="1:29" ht="12.75" customHeight="1">
      <c r="A922" s="309"/>
      <c r="B922" s="309"/>
      <c r="C922" s="309"/>
      <c r="D922" s="309"/>
      <c r="E922" s="309"/>
      <c r="F922" s="309"/>
      <c r="G922" s="309"/>
      <c r="H922" s="309"/>
      <c r="I922" s="309"/>
      <c r="J922" s="309"/>
      <c r="K922" s="1020"/>
      <c r="L922" s="1020"/>
      <c r="M922" s="309"/>
      <c r="N922" s="309"/>
      <c r="O922" s="309"/>
      <c r="P922" s="309"/>
      <c r="Q922" s="326"/>
      <c r="R922" s="326"/>
      <c r="S922" s="326"/>
      <c r="T922" s="309"/>
      <c r="U922" s="309"/>
      <c r="V922" s="309"/>
      <c r="W922" s="328"/>
      <c r="X922" s="309"/>
      <c r="Y922" s="309"/>
      <c r="Z922" s="309"/>
      <c r="AA922" s="309"/>
      <c r="AB922" s="309"/>
      <c r="AC922" s="309"/>
    </row>
    <row r="923" spans="1:29" ht="12.75" customHeight="1">
      <c r="A923" s="309"/>
      <c r="B923" s="309"/>
      <c r="C923" s="309"/>
      <c r="D923" s="309"/>
      <c r="E923" s="309"/>
      <c r="F923" s="309"/>
      <c r="G923" s="309"/>
      <c r="H923" s="309"/>
      <c r="I923" s="309"/>
      <c r="J923" s="309"/>
      <c r="K923" s="1020"/>
      <c r="L923" s="1020"/>
      <c r="M923" s="309"/>
      <c r="N923" s="309"/>
      <c r="O923" s="309"/>
      <c r="P923" s="309"/>
      <c r="Q923" s="326"/>
      <c r="R923" s="326"/>
      <c r="S923" s="326"/>
      <c r="T923" s="309"/>
      <c r="U923" s="309"/>
      <c r="V923" s="309"/>
      <c r="W923" s="328"/>
      <c r="X923" s="309"/>
      <c r="Y923" s="309"/>
      <c r="Z923" s="309"/>
      <c r="AA923" s="309"/>
      <c r="AB923" s="309"/>
      <c r="AC923" s="309"/>
    </row>
    <row r="924" spans="1:29" ht="12.75" customHeight="1">
      <c r="A924" s="309"/>
      <c r="B924" s="309"/>
      <c r="C924" s="309"/>
      <c r="D924" s="309"/>
      <c r="E924" s="309"/>
      <c r="F924" s="309"/>
      <c r="G924" s="309"/>
      <c r="H924" s="309"/>
      <c r="I924" s="309"/>
      <c r="J924" s="309"/>
      <c r="K924" s="1020"/>
      <c r="L924" s="1020"/>
      <c r="M924" s="309"/>
      <c r="N924" s="309"/>
      <c r="O924" s="309"/>
      <c r="P924" s="309"/>
      <c r="Q924" s="326"/>
      <c r="R924" s="326"/>
      <c r="S924" s="326"/>
      <c r="T924" s="309"/>
      <c r="U924" s="309"/>
      <c r="V924" s="309"/>
      <c r="W924" s="328"/>
      <c r="X924" s="309"/>
      <c r="Y924" s="309"/>
      <c r="Z924" s="309"/>
      <c r="AA924" s="309"/>
      <c r="AB924" s="309"/>
      <c r="AC924" s="309"/>
    </row>
    <row r="925" spans="1:29" ht="12.75" customHeight="1">
      <c r="A925" s="309"/>
      <c r="B925" s="309"/>
      <c r="C925" s="309"/>
      <c r="D925" s="309"/>
      <c r="E925" s="309"/>
      <c r="F925" s="309"/>
      <c r="G925" s="309"/>
      <c r="H925" s="309"/>
      <c r="I925" s="309"/>
      <c r="J925" s="309"/>
      <c r="K925" s="1020"/>
      <c r="L925" s="1020"/>
      <c r="M925" s="309"/>
      <c r="N925" s="309"/>
      <c r="O925" s="309"/>
      <c r="P925" s="309"/>
      <c r="Q925" s="326"/>
      <c r="R925" s="326"/>
      <c r="S925" s="326"/>
      <c r="T925" s="309"/>
      <c r="U925" s="309"/>
      <c r="V925" s="309"/>
      <c r="W925" s="328"/>
      <c r="X925" s="309"/>
      <c r="Y925" s="309"/>
      <c r="Z925" s="309"/>
      <c r="AA925" s="309"/>
      <c r="AB925" s="309"/>
      <c r="AC925" s="309"/>
    </row>
    <row r="926" spans="1:29" ht="12.75" customHeight="1">
      <c r="A926" s="309"/>
      <c r="B926" s="309"/>
      <c r="C926" s="309"/>
      <c r="D926" s="309"/>
      <c r="E926" s="309"/>
      <c r="F926" s="309"/>
      <c r="G926" s="309"/>
      <c r="H926" s="309"/>
      <c r="I926" s="309"/>
      <c r="J926" s="309"/>
      <c r="K926" s="1020"/>
      <c r="L926" s="1020"/>
      <c r="M926" s="309"/>
      <c r="N926" s="309"/>
      <c r="O926" s="309"/>
      <c r="P926" s="309"/>
      <c r="Q926" s="326"/>
      <c r="R926" s="326"/>
      <c r="S926" s="326"/>
      <c r="T926" s="309"/>
      <c r="U926" s="309"/>
      <c r="V926" s="309"/>
      <c r="W926" s="328"/>
      <c r="X926" s="309"/>
      <c r="Y926" s="309"/>
      <c r="Z926" s="309"/>
      <c r="AA926" s="309"/>
      <c r="AB926" s="309"/>
      <c r="AC926" s="309"/>
    </row>
    <row r="927" spans="1:29" ht="12.75" customHeight="1">
      <c r="A927" s="309"/>
      <c r="B927" s="309"/>
      <c r="C927" s="309"/>
      <c r="D927" s="309"/>
      <c r="E927" s="309"/>
      <c r="F927" s="309"/>
      <c r="G927" s="309"/>
      <c r="H927" s="309"/>
      <c r="I927" s="309"/>
      <c r="J927" s="309"/>
      <c r="K927" s="1020"/>
      <c r="L927" s="1020"/>
      <c r="M927" s="309"/>
      <c r="N927" s="309"/>
      <c r="O927" s="309"/>
      <c r="P927" s="309"/>
      <c r="Q927" s="326"/>
      <c r="R927" s="326"/>
      <c r="S927" s="326"/>
      <c r="T927" s="309"/>
      <c r="U927" s="309"/>
      <c r="V927" s="309"/>
      <c r="W927" s="328"/>
      <c r="X927" s="309"/>
      <c r="Y927" s="309"/>
      <c r="Z927" s="309"/>
      <c r="AA927" s="309"/>
      <c r="AB927" s="309"/>
      <c r="AC927" s="309"/>
    </row>
    <row r="928" spans="1:29" ht="12.75" customHeight="1">
      <c r="A928" s="309"/>
      <c r="B928" s="309"/>
      <c r="C928" s="309"/>
      <c r="D928" s="309"/>
      <c r="E928" s="309"/>
      <c r="F928" s="309"/>
      <c r="G928" s="309"/>
      <c r="H928" s="309"/>
      <c r="I928" s="309"/>
      <c r="J928" s="309"/>
      <c r="K928" s="1020"/>
      <c r="L928" s="1020"/>
      <c r="M928" s="309"/>
      <c r="N928" s="309"/>
      <c r="O928" s="309"/>
      <c r="P928" s="309"/>
      <c r="Q928" s="326"/>
      <c r="R928" s="326"/>
      <c r="S928" s="326"/>
      <c r="T928" s="309"/>
      <c r="U928" s="309"/>
      <c r="V928" s="309"/>
      <c r="W928" s="328"/>
      <c r="X928" s="309"/>
      <c r="Y928" s="309"/>
      <c r="Z928" s="309"/>
      <c r="AA928" s="309"/>
      <c r="AB928" s="309"/>
      <c r="AC928" s="309"/>
    </row>
    <row r="929" spans="1:29" ht="12.75" customHeight="1">
      <c r="A929" s="309"/>
      <c r="B929" s="309"/>
      <c r="C929" s="309"/>
      <c r="D929" s="309"/>
      <c r="E929" s="309"/>
      <c r="F929" s="309"/>
      <c r="G929" s="309"/>
      <c r="H929" s="309"/>
      <c r="I929" s="309"/>
      <c r="J929" s="309"/>
      <c r="K929" s="1020"/>
      <c r="L929" s="1020"/>
      <c r="M929" s="309"/>
      <c r="N929" s="309"/>
      <c r="O929" s="309"/>
      <c r="P929" s="309"/>
      <c r="Q929" s="326"/>
      <c r="R929" s="326"/>
      <c r="S929" s="326"/>
      <c r="T929" s="309"/>
      <c r="U929" s="309"/>
      <c r="V929" s="309"/>
      <c r="W929" s="328"/>
      <c r="X929" s="309"/>
      <c r="Y929" s="309"/>
      <c r="Z929" s="309"/>
      <c r="AA929" s="309"/>
      <c r="AB929" s="309"/>
      <c r="AC929" s="309"/>
    </row>
    <row r="930" spans="1:29" ht="12.75" customHeight="1">
      <c r="A930" s="309"/>
      <c r="B930" s="309"/>
      <c r="C930" s="309"/>
      <c r="D930" s="309"/>
      <c r="E930" s="309"/>
      <c r="F930" s="309"/>
      <c r="G930" s="309"/>
      <c r="H930" s="309"/>
      <c r="I930" s="309"/>
      <c r="J930" s="309"/>
      <c r="K930" s="1020"/>
      <c r="L930" s="1020"/>
      <c r="M930" s="309"/>
      <c r="N930" s="309"/>
      <c r="O930" s="309"/>
      <c r="P930" s="309"/>
      <c r="Q930" s="326"/>
      <c r="R930" s="326"/>
      <c r="S930" s="326"/>
      <c r="T930" s="309"/>
      <c r="U930" s="309"/>
      <c r="V930" s="309"/>
      <c r="W930" s="328"/>
      <c r="X930" s="309"/>
      <c r="Y930" s="309"/>
      <c r="Z930" s="309"/>
      <c r="AA930" s="309"/>
      <c r="AB930" s="309"/>
      <c r="AC930" s="309"/>
    </row>
    <row r="931" spans="1:29" ht="12.75" customHeight="1">
      <c r="A931" s="309"/>
      <c r="B931" s="309"/>
      <c r="C931" s="309"/>
      <c r="D931" s="309"/>
      <c r="E931" s="309"/>
      <c r="F931" s="309"/>
      <c r="G931" s="309"/>
      <c r="H931" s="309"/>
      <c r="I931" s="309"/>
      <c r="J931" s="309"/>
      <c r="K931" s="1020"/>
      <c r="L931" s="1020"/>
      <c r="M931" s="309"/>
      <c r="N931" s="309"/>
      <c r="O931" s="309"/>
      <c r="P931" s="309"/>
      <c r="Q931" s="326"/>
      <c r="R931" s="326"/>
      <c r="S931" s="326"/>
      <c r="T931" s="309"/>
      <c r="U931" s="309"/>
      <c r="V931" s="309"/>
      <c r="W931" s="328"/>
      <c r="X931" s="309"/>
      <c r="Y931" s="309"/>
      <c r="Z931" s="309"/>
      <c r="AA931" s="309"/>
      <c r="AB931" s="309"/>
      <c r="AC931" s="309"/>
    </row>
    <row r="932" spans="1:29" ht="12.75" customHeight="1">
      <c r="A932" s="309"/>
      <c r="B932" s="309"/>
      <c r="C932" s="309"/>
      <c r="D932" s="309"/>
      <c r="E932" s="309"/>
      <c r="F932" s="309"/>
      <c r="G932" s="309"/>
      <c r="H932" s="309"/>
      <c r="I932" s="309"/>
      <c r="J932" s="309"/>
      <c r="K932" s="1020"/>
      <c r="L932" s="1020"/>
      <c r="M932" s="309"/>
      <c r="N932" s="309"/>
      <c r="O932" s="309"/>
      <c r="P932" s="309"/>
      <c r="Q932" s="326"/>
      <c r="R932" s="326"/>
      <c r="S932" s="326"/>
      <c r="T932" s="309"/>
      <c r="U932" s="309"/>
      <c r="V932" s="309"/>
      <c r="W932" s="328"/>
      <c r="X932" s="309"/>
      <c r="Y932" s="309"/>
      <c r="Z932" s="309"/>
      <c r="AA932" s="309"/>
      <c r="AB932" s="309"/>
      <c r="AC932" s="309"/>
    </row>
    <row r="933" spans="1:29" ht="12.75" customHeight="1">
      <c r="A933" s="309"/>
      <c r="B933" s="309"/>
      <c r="C933" s="309"/>
      <c r="D933" s="309"/>
      <c r="E933" s="309"/>
      <c r="F933" s="309"/>
      <c r="G933" s="309"/>
      <c r="H933" s="309"/>
      <c r="I933" s="309"/>
      <c r="J933" s="309"/>
      <c r="K933" s="1020"/>
      <c r="L933" s="1020"/>
      <c r="M933" s="309"/>
      <c r="N933" s="309"/>
      <c r="O933" s="309"/>
      <c r="P933" s="309"/>
      <c r="Q933" s="326"/>
      <c r="R933" s="326"/>
      <c r="S933" s="326"/>
      <c r="T933" s="309"/>
      <c r="U933" s="309"/>
      <c r="V933" s="309"/>
      <c r="W933" s="328"/>
      <c r="X933" s="309"/>
      <c r="Y933" s="309"/>
      <c r="Z933" s="309"/>
      <c r="AA933" s="309"/>
      <c r="AB933" s="309"/>
      <c r="AC933" s="309"/>
    </row>
    <row r="934" spans="1:29" ht="12.75" customHeight="1">
      <c r="A934" s="309"/>
      <c r="B934" s="309"/>
      <c r="C934" s="309"/>
      <c r="D934" s="309"/>
      <c r="E934" s="309"/>
      <c r="F934" s="309"/>
      <c r="G934" s="309"/>
      <c r="H934" s="309"/>
      <c r="I934" s="309"/>
      <c r="J934" s="309"/>
      <c r="K934" s="1020"/>
      <c r="L934" s="1020"/>
      <c r="M934" s="309"/>
      <c r="N934" s="309"/>
      <c r="O934" s="309"/>
      <c r="P934" s="309"/>
      <c r="Q934" s="326"/>
      <c r="R934" s="326"/>
      <c r="S934" s="326"/>
      <c r="T934" s="309"/>
      <c r="U934" s="309"/>
      <c r="V934" s="309"/>
      <c r="W934" s="328"/>
      <c r="X934" s="309"/>
      <c r="Y934" s="309"/>
      <c r="Z934" s="309"/>
      <c r="AA934" s="309"/>
      <c r="AB934" s="309"/>
      <c r="AC934" s="309"/>
    </row>
    <row r="935" spans="1:29" ht="12.75" customHeight="1">
      <c r="A935" s="309"/>
      <c r="B935" s="309"/>
      <c r="C935" s="309"/>
      <c r="D935" s="309"/>
      <c r="E935" s="309"/>
      <c r="F935" s="309"/>
      <c r="G935" s="309"/>
      <c r="H935" s="309"/>
      <c r="I935" s="309"/>
      <c r="J935" s="309"/>
      <c r="K935" s="1020"/>
      <c r="L935" s="1020"/>
      <c r="M935" s="309"/>
      <c r="N935" s="309"/>
      <c r="O935" s="309"/>
      <c r="P935" s="309"/>
      <c r="Q935" s="326"/>
      <c r="R935" s="326"/>
      <c r="S935" s="326"/>
      <c r="T935" s="309"/>
      <c r="U935" s="309"/>
      <c r="V935" s="309"/>
      <c r="W935" s="328"/>
      <c r="X935" s="309"/>
      <c r="Y935" s="309"/>
      <c r="Z935" s="309"/>
      <c r="AA935" s="309"/>
      <c r="AB935" s="309"/>
      <c r="AC935" s="309"/>
    </row>
    <row r="936" spans="1:29" ht="12.75" customHeight="1">
      <c r="A936" s="309"/>
      <c r="B936" s="309"/>
      <c r="C936" s="309"/>
      <c r="D936" s="309"/>
      <c r="E936" s="309"/>
      <c r="F936" s="309"/>
      <c r="G936" s="309"/>
      <c r="H936" s="309"/>
      <c r="I936" s="309"/>
      <c r="J936" s="309"/>
      <c r="K936" s="1020"/>
      <c r="L936" s="1020"/>
      <c r="M936" s="309"/>
      <c r="N936" s="309"/>
      <c r="O936" s="309"/>
      <c r="P936" s="309"/>
      <c r="Q936" s="326"/>
      <c r="R936" s="326"/>
      <c r="S936" s="326"/>
      <c r="T936" s="309"/>
      <c r="U936" s="309"/>
      <c r="V936" s="309"/>
      <c r="W936" s="328"/>
      <c r="X936" s="309"/>
      <c r="Y936" s="309"/>
      <c r="Z936" s="309"/>
      <c r="AA936" s="309"/>
      <c r="AB936" s="309"/>
      <c r="AC936" s="309"/>
    </row>
    <row r="937" spans="1:29" ht="12.75" customHeight="1">
      <c r="A937" s="309"/>
      <c r="B937" s="309"/>
      <c r="C937" s="309"/>
      <c r="D937" s="309"/>
      <c r="E937" s="309"/>
      <c r="F937" s="309"/>
      <c r="G937" s="309"/>
      <c r="H937" s="309"/>
      <c r="I937" s="309"/>
      <c r="J937" s="309"/>
      <c r="K937" s="1020"/>
      <c r="L937" s="1020"/>
      <c r="M937" s="309"/>
      <c r="N937" s="309"/>
      <c r="O937" s="309"/>
      <c r="P937" s="309"/>
      <c r="Q937" s="326"/>
      <c r="R937" s="326"/>
      <c r="S937" s="326"/>
      <c r="T937" s="309"/>
      <c r="U937" s="309"/>
      <c r="V937" s="309"/>
      <c r="W937" s="328"/>
      <c r="X937" s="309"/>
      <c r="Y937" s="309"/>
      <c r="Z937" s="309"/>
      <c r="AA937" s="309"/>
      <c r="AB937" s="309"/>
      <c r="AC937" s="309"/>
    </row>
    <row r="938" spans="1:29" ht="12.75" customHeight="1">
      <c r="A938" s="309"/>
      <c r="B938" s="309"/>
      <c r="C938" s="309"/>
      <c r="D938" s="309"/>
      <c r="E938" s="309"/>
      <c r="F938" s="309"/>
      <c r="G938" s="309"/>
      <c r="H938" s="309"/>
      <c r="I938" s="309"/>
      <c r="J938" s="309"/>
      <c r="K938" s="1020"/>
      <c r="L938" s="1020"/>
      <c r="M938" s="309"/>
      <c r="N938" s="309"/>
      <c r="O938" s="309"/>
      <c r="P938" s="309"/>
      <c r="Q938" s="326"/>
      <c r="R938" s="326"/>
      <c r="S938" s="326"/>
      <c r="T938" s="309"/>
      <c r="U938" s="309"/>
      <c r="V938" s="309"/>
      <c r="W938" s="328"/>
      <c r="X938" s="309"/>
      <c r="Y938" s="309"/>
      <c r="Z938" s="309"/>
      <c r="AA938" s="309"/>
      <c r="AB938" s="309"/>
      <c r="AC938" s="309"/>
    </row>
    <row r="939" spans="1:29" ht="12.75" customHeight="1">
      <c r="A939" s="309"/>
      <c r="B939" s="309"/>
      <c r="C939" s="309"/>
      <c r="D939" s="309"/>
      <c r="E939" s="309"/>
      <c r="F939" s="309"/>
      <c r="G939" s="309"/>
      <c r="H939" s="309"/>
      <c r="I939" s="309"/>
      <c r="J939" s="309"/>
      <c r="K939" s="1020"/>
      <c r="L939" s="1020"/>
      <c r="M939" s="309"/>
      <c r="N939" s="309"/>
      <c r="O939" s="309"/>
      <c r="P939" s="309"/>
      <c r="Q939" s="326"/>
      <c r="R939" s="326"/>
      <c r="S939" s="326"/>
      <c r="T939" s="309"/>
      <c r="U939" s="309"/>
      <c r="V939" s="309"/>
      <c r="W939" s="328"/>
      <c r="X939" s="309"/>
      <c r="Y939" s="309"/>
      <c r="Z939" s="309"/>
      <c r="AA939" s="309"/>
      <c r="AB939" s="309"/>
      <c r="AC939" s="309"/>
    </row>
    <row r="940" spans="1:29" ht="12.75" customHeight="1">
      <c r="A940" s="309"/>
      <c r="B940" s="309"/>
      <c r="C940" s="309"/>
      <c r="D940" s="309"/>
      <c r="E940" s="309"/>
      <c r="F940" s="309"/>
      <c r="G940" s="309"/>
      <c r="H940" s="309"/>
      <c r="I940" s="309"/>
      <c r="J940" s="309"/>
      <c r="K940" s="1020"/>
      <c r="L940" s="1020"/>
      <c r="M940" s="309"/>
      <c r="N940" s="309"/>
      <c r="O940" s="309"/>
      <c r="P940" s="309"/>
      <c r="Q940" s="326"/>
      <c r="R940" s="326"/>
      <c r="S940" s="326"/>
      <c r="T940" s="309"/>
      <c r="U940" s="309"/>
      <c r="V940" s="309"/>
      <c r="W940" s="328"/>
      <c r="X940" s="309"/>
      <c r="Y940" s="309"/>
      <c r="Z940" s="309"/>
      <c r="AA940" s="309"/>
      <c r="AB940" s="309"/>
      <c r="AC940" s="309"/>
    </row>
    <row r="941" spans="1:29" ht="12.75" customHeight="1">
      <c r="A941" s="309"/>
      <c r="B941" s="309"/>
      <c r="C941" s="309"/>
      <c r="D941" s="309"/>
      <c r="E941" s="309"/>
      <c r="F941" s="309"/>
      <c r="G941" s="309"/>
      <c r="H941" s="309"/>
      <c r="I941" s="309"/>
      <c r="J941" s="309"/>
      <c r="K941" s="1020"/>
      <c r="L941" s="1020"/>
      <c r="M941" s="309"/>
      <c r="N941" s="309"/>
      <c r="O941" s="309"/>
      <c r="P941" s="309"/>
      <c r="Q941" s="326"/>
      <c r="R941" s="326"/>
      <c r="S941" s="326"/>
      <c r="T941" s="309"/>
      <c r="U941" s="309"/>
      <c r="V941" s="309"/>
      <c r="W941" s="328"/>
      <c r="X941" s="309"/>
      <c r="Y941" s="309"/>
      <c r="Z941" s="309"/>
      <c r="AA941" s="309"/>
      <c r="AB941" s="309"/>
      <c r="AC941" s="309"/>
    </row>
    <row r="942" spans="1:29" ht="12.75" customHeight="1">
      <c r="A942" s="309"/>
      <c r="B942" s="309"/>
      <c r="C942" s="309"/>
      <c r="D942" s="309"/>
      <c r="E942" s="309"/>
      <c r="F942" s="309"/>
      <c r="G942" s="309"/>
      <c r="H942" s="309"/>
      <c r="I942" s="309"/>
      <c r="J942" s="309"/>
      <c r="K942" s="1020"/>
      <c r="L942" s="1020"/>
      <c r="M942" s="309"/>
      <c r="N942" s="309"/>
      <c r="O942" s="309"/>
      <c r="P942" s="309"/>
      <c r="Q942" s="326"/>
      <c r="R942" s="326"/>
      <c r="S942" s="326"/>
      <c r="T942" s="309"/>
      <c r="U942" s="309"/>
      <c r="V942" s="309"/>
      <c r="W942" s="328"/>
      <c r="X942" s="309"/>
      <c r="Y942" s="309"/>
      <c r="Z942" s="309"/>
      <c r="AA942" s="309"/>
      <c r="AB942" s="309"/>
      <c r="AC942" s="309"/>
    </row>
    <row r="943" spans="1:29" ht="12.75" customHeight="1">
      <c r="A943" s="309"/>
      <c r="B943" s="309"/>
      <c r="C943" s="309"/>
      <c r="D943" s="309"/>
      <c r="E943" s="309"/>
      <c r="F943" s="309"/>
      <c r="G943" s="309"/>
      <c r="H943" s="309"/>
      <c r="I943" s="309"/>
      <c r="J943" s="309"/>
      <c r="K943" s="1020"/>
      <c r="L943" s="1020"/>
      <c r="M943" s="309"/>
      <c r="N943" s="309"/>
      <c r="O943" s="309"/>
      <c r="P943" s="309"/>
      <c r="Q943" s="326"/>
      <c r="R943" s="326"/>
      <c r="S943" s="326"/>
      <c r="T943" s="309"/>
      <c r="U943" s="309"/>
      <c r="V943" s="309"/>
      <c r="W943" s="328"/>
      <c r="X943" s="309"/>
      <c r="Y943" s="309"/>
      <c r="Z943" s="309"/>
      <c r="AA943" s="309"/>
      <c r="AB943" s="309"/>
      <c r="AC943" s="309"/>
    </row>
    <row r="944" spans="1:29" ht="12.75" customHeight="1">
      <c r="A944" s="309"/>
      <c r="B944" s="309"/>
      <c r="C944" s="309"/>
      <c r="D944" s="309"/>
      <c r="E944" s="309"/>
      <c r="F944" s="309"/>
      <c r="G944" s="309"/>
      <c r="H944" s="309"/>
      <c r="I944" s="309"/>
      <c r="J944" s="309"/>
      <c r="K944" s="1020"/>
      <c r="L944" s="1020"/>
      <c r="M944" s="309"/>
      <c r="N944" s="309"/>
      <c r="O944" s="309"/>
      <c r="P944" s="309"/>
      <c r="Q944" s="326"/>
      <c r="R944" s="326"/>
      <c r="S944" s="326"/>
      <c r="T944" s="309"/>
      <c r="U944" s="309"/>
      <c r="V944" s="309"/>
      <c r="W944" s="328"/>
      <c r="X944" s="309"/>
      <c r="Y944" s="309"/>
      <c r="Z944" s="309"/>
      <c r="AA944" s="309"/>
      <c r="AB944" s="309"/>
      <c r="AC944" s="309"/>
    </row>
    <row r="945" spans="1:29" ht="12.75" customHeight="1">
      <c r="A945" s="309"/>
      <c r="B945" s="309"/>
      <c r="C945" s="309"/>
      <c r="D945" s="309"/>
      <c r="E945" s="309"/>
      <c r="F945" s="309"/>
      <c r="G945" s="309"/>
      <c r="H945" s="309"/>
      <c r="I945" s="309"/>
      <c r="J945" s="309"/>
      <c r="K945" s="1020"/>
      <c r="L945" s="1020"/>
      <c r="M945" s="309"/>
      <c r="N945" s="309"/>
      <c r="O945" s="309"/>
      <c r="P945" s="309"/>
      <c r="Q945" s="326"/>
      <c r="R945" s="326"/>
      <c r="S945" s="326"/>
      <c r="T945" s="309"/>
      <c r="U945" s="309"/>
      <c r="V945" s="309"/>
      <c r="W945" s="328"/>
      <c r="X945" s="309"/>
      <c r="Y945" s="309"/>
      <c r="Z945" s="309"/>
      <c r="AA945" s="309"/>
      <c r="AB945" s="309"/>
      <c r="AC945" s="309"/>
    </row>
    <row r="946" spans="1:29" ht="12.75" customHeight="1">
      <c r="A946" s="309"/>
      <c r="B946" s="309"/>
      <c r="C946" s="309"/>
      <c r="D946" s="309"/>
      <c r="E946" s="309"/>
      <c r="F946" s="309"/>
      <c r="G946" s="309"/>
      <c r="H946" s="309"/>
      <c r="I946" s="309"/>
      <c r="J946" s="309"/>
      <c r="K946" s="1020"/>
      <c r="L946" s="1020"/>
      <c r="M946" s="309"/>
      <c r="N946" s="309"/>
      <c r="O946" s="309"/>
      <c r="P946" s="309"/>
      <c r="Q946" s="326"/>
      <c r="R946" s="326"/>
      <c r="S946" s="326"/>
      <c r="T946" s="309"/>
      <c r="U946" s="309"/>
      <c r="V946" s="309"/>
      <c r="W946" s="328"/>
      <c r="X946" s="309"/>
      <c r="Y946" s="309"/>
      <c r="Z946" s="309"/>
      <c r="AA946" s="309"/>
      <c r="AB946" s="309"/>
      <c r="AC946" s="309"/>
    </row>
    <row r="947" spans="1:29" ht="12.75" customHeight="1">
      <c r="A947" s="309"/>
      <c r="B947" s="309"/>
      <c r="C947" s="309"/>
      <c r="D947" s="309"/>
      <c r="E947" s="309"/>
      <c r="F947" s="309"/>
      <c r="G947" s="309"/>
      <c r="H947" s="309"/>
      <c r="I947" s="309"/>
      <c r="J947" s="309"/>
      <c r="K947" s="1020"/>
      <c r="L947" s="1020"/>
      <c r="M947" s="309"/>
      <c r="N947" s="309"/>
      <c r="O947" s="309"/>
      <c r="P947" s="309"/>
      <c r="Q947" s="326"/>
      <c r="R947" s="326"/>
      <c r="S947" s="326"/>
      <c r="T947" s="309"/>
      <c r="U947" s="309"/>
      <c r="V947" s="309"/>
      <c r="W947" s="328"/>
      <c r="X947" s="309"/>
      <c r="Y947" s="309"/>
      <c r="Z947" s="309"/>
      <c r="AA947" s="309"/>
      <c r="AB947" s="309"/>
      <c r="AC947" s="309"/>
    </row>
    <row r="948" spans="1:29" ht="12.75" customHeight="1">
      <c r="A948" s="309"/>
      <c r="B948" s="309"/>
      <c r="C948" s="309"/>
      <c r="D948" s="309"/>
      <c r="E948" s="309"/>
      <c r="F948" s="309"/>
      <c r="G948" s="309"/>
      <c r="H948" s="309"/>
      <c r="I948" s="309"/>
      <c r="J948" s="309"/>
      <c r="K948" s="1020"/>
      <c r="L948" s="1020"/>
      <c r="M948" s="309"/>
      <c r="N948" s="309"/>
      <c r="O948" s="309"/>
      <c r="P948" s="309"/>
      <c r="Q948" s="326"/>
      <c r="R948" s="326"/>
      <c r="S948" s="326"/>
      <c r="T948" s="309"/>
      <c r="U948" s="309"/>
      <c r="V948" s="309"/>
      <c r="W948" s="328"/>
      <c r="X948" s="309"/>
      <c r="Y948" s="309"/>
      <c r="Z948" s="309"/>
      <c r="AA948" s="309"/>
      <c r="AB948" s="309"/>
      <c r="AC948" s="309"/>
    </row>
    <row r="949" spans="1:29" ht="12.75" customHeight="1">
      <c r="A949" s="309"/>
      <c r="B949" s="309"/>
      <c r="C949" s="309"/>
      <c r="D949" s="309"/>
      <c r="E949" s="309"/>
      <c r="F949" s="309"/>
      <c r="G949" s="309"/>
      <c r="H949" s="309"/>
      <c r="I949" s="309"/>
      <c r="J949" s="309"/>
      <c r="K949" s="1020"/>
      <c r="L949" s="1020"/>
      <c r="M949" s="309"/>
      <c r="N949" s="309"/>
      <c r="O949" s="309"/>
      <c r="P949" s="309"/>
      <c r="Q949" s="326"/>
      <c r="R949" s="326"/>
      <c r="S949" s="326"/>
      <c r="T949" s="309"/>
      <c r="U949" s="309"/>
      <c r="V949" s="309"/>
      <c r="W949" s="328"/>
      <c r="X949" s="309"/>
      <c r="Y949" s="309"/>
      <c r="Z949" s="309"/>
      <c r="AA949" s="309"/>
      <c r="AB949" s="309"/>
      <c r="AC949" s="309"/>
    </row>
    <row r="950" spans="1:29" ht="12.75" customHeight="1">
      <c r="A950" s="309"/>
      <c r="B950" s="309"/>
      <c r="C950" s="309"/>
      <c r="D950" s="309"/>
      <c r="E950" s="309"/>
      <c r="F950" s="309"/>
      <c r="G950" s="309"/>
      <c r="H950" s="309"/>
      <c r="I950" s="309"/>
      <c r="J950" s="309"/>
      <c r="K950" s="1020"/>
      <c r="L950" s="1020"/>
      <c r="M950" s="309"/>
      <c r="N950" s="309"/>
      <c r="O950" s="309"/>
      <c r="P950" s="309"/>
      <c r="Q950" s="326"/>
      <c r="R950" s="326"/>
      <c r="S950" s="326"/>
      <c r="T950" s="309"/>
      <c r="U950" s="309"/>
      <c r="V950" s="309"/>
      <c r="W950" s="328"/>
      <c r="X950" s="309"/>
      <c r="Y950" s="309"/>
      <c r="Z950" s="309"/>
      <c r="AA950" s="309"/>
      <c r="AB950" s="309"/>
      <c r="AC950" s="309"/>
    </row>
    <row r="951" spans="1:29" ht="12.75" customHeight="1">
      <c r="A951" s="309"/>
      <c r="B951" s="309"/>
      <c r="C951" s="309"/>
      <c r="D951" s="309"/>
      <c r="E951" s="309"/>
      <c r="F951" s="309"/>
      <c r="G951" s="309"/>
      <c r="H951" s="309"/>
      <c r="I951" s="309"/>
      <c r="J951" s="309"/>
      <c r="K951" s="1020"/>
      <c r="L951" s="1020"/>
      <c r="M951" s="309"/>
      <c r="N951" s="309"/>
      <c r="O951" s="309"/>
      <c r="P951" s="309"/>
      <c r="Q951" s="326"/>
      <c r="R951" s="326"/>
      <c r="S951" s="326"/>
      <c r="T951" s="309"/>
      <c r="U951" s="309"/>
      <c r="V951" s="309"/>
      <c r="W951" s="328"/>
      <c r="X951" s="309"/>
      <c r="Y951" s="309"/>
      <c r="Z951" s="309"/>
      <c r="AA951" s="309"/>
      <c r="AB951" s="309"/>
      <c r="AC951" s="309"/>
    </row>
    <row r="952" spans="1:29" ht="12.75" customHeight="1">
      <c r="A952" s="309"/>
      <c r="B952" s="309"/>
      <c r="C952" s="309"/>
      <c r="D952" s="309"/>
      <c r="E952" s="309"/>
      <c r="F952" s="309"/>
      <c r="G952" s="309"/>
      <c r="H952" s="309"/>
      <c r="I952" s="309"/>
      <c r="J952" s="309"/>
      <c r="K952" s="1020"/>
      <c r="L952" s="1020"/>
      <c r="M952" s="309"/>
      <c r="N952" s="309"/>
      <c r="O952" s="309"/>
      <c r="P952" s="309"/>
      <c r="Q952" s="326"/>
      <c r="R952" s="326"/>
      <c r="S952" s="326"/>
      <c r="T952" s="309"/>
      <c r="U952" s="309"/>
      <c r="V952" s="309"/>
      <c r="W952" s="328"/>
      <c r="X952" s="309"/>
      <c r="Y952" s="309"/>
      <c r="Z952" s="309"/>
      <c r="AA952" s="309"/>
      <c r="AB952" s="309"/>
      <c r="AC952" s="309"/>
    </row>
    <row r="953" spans="1:29" ht="12.75" customHeight="1">
      <c r="A953" s="309"/>
      <c r="B953" s="309"/>
      <c r="C953" s="309"/>
      <c r="D953" s="309"/>
      <c r="E953" s="309"/>
      <c r="F953" s="309"/>
      <c r="G953" s="309"/>
      <c r="H953" s="309"/>
      <c r="I953" s="309"/>
      <c r="J953" s="309"/>
      <c r="K953" s="1020"/>
      <c r="L953" s="1020"/>
      <c r="M953" s="309"/>
      <c r="N953" s="309"/>
      <c r="O953" s="309"/>
      <c r="P953" s="309"/>
      <c r="Q953" s="326"/>
      <c r="R953" s="326"/>
      <c r="S953" s="326"/>
      <c r="T953" s="309"/>
      <c r="U953" s="309"/>
      <c r="V953" s="309"/>
      <c r="W953" s="328"/>
      <c r="X953" s="309"/>
      <c r="Y953" s="309"/>
      <c r="Z953" s="309"/>
      <c r="AA953" s="309"/>
      <c r="AB953" s="309"/>
      <c r="AC953" s="309"/>
    </row>
    <row r="954" spans="1:29" ht="12.75" customHeight="1">
      <c r="A954" s="309"/>
      <c r="B954" s="309"/>
      <c r="C954" s="309"/>
      <c r="D954" s="309"/>
      <c r="E954" s="309"/>
      <c r="F954" s="309"/>
      <c r="G954" s="309"/>
      <c r="H954" s="309"/>
      <c r="I954" s="309"/>
      <c r="J954" s="309"/>
      <c r="K954" s="1020"/>
      <c r="L954" s="1020"/>
      <c r="M954" s="309"/>
      <c r="N954" s="309"/>
      <c r="O954" s="309"/>
      <c r="P954" s="309"/>
      <c r="Q954" s="326"/>
      <c r="R954" s="326"/>
      <c r="S954" s="326"/>
      <c r="T954" s="309"/>
      <c r="U954" s="309"/>
      <c r="V954" s="309"/>
      <c r="W954" s="328"/>
      <c r="X954" s="309"/>
      <c r="Y954" s="309"/>
      <c r="Z954" s="309"/>
      <c r="AA954" s="309"/>
      <c r="AB954" s="309"/>
      <c r="AC954" s="309"/>
    </row>
    <row r="955" spans="1:29" ht="12.75" customHeight="1">
      <c r="A955" s="309"/>
      <c r="B955" s="309"/>
      <c r="C955" s="309"/>
      <c r="D955" s="309"/>
      <c r="E955" s="309"/>
      <c r="F955" s="309"/>
      <c r="G955" s="309"/>
      <c r="H955" s="309"/>
      <c r="I955" s="309"/>
      <c r="J955" s="309"/>
      <c r="K955" s="1020"/>
      <c r="L955" s="1020"/>
      <c r="M955" s="309"/>
      <c r="N955" s="309"/>
      <c r="O955" s="309"/>
      <c r="P955" s="309"/>
      <c r="Q955" s="326"/>
      <c r="R955" s="326"/>
      <c r="S955" s="326"/>
      <c r="T955" s="309"/>
      <c r="U955" s="309"/>
      <c r="V955" s="309"/>
      <c r="W955" s="328"/>
      <c r="X955" s="309"/>
      <c r="Y955" s="309"/>
      <c r="Z955" s="309"/>
      <c r="AA955" s="309"/>
      <c r="AB955" s="309"/>
      <c r="AC955" s="309"/>
    </row>
    <row r="956" spans="1:29" ht="12.75" customHeight="1">
      <c r="A956" s="309"/>
      <c r="B956" s="309"/>
      <c r="C956" s="309"/>
      <c r="D956" s="309"/>
      <c r="E956" s="309"/>
      <c r="F956" s="309"/>
      <c r="G956" s="309"/>
      <c r="H956" s="309"/>
      <c r="I956" s="309"/>
      <c r="J956" s="309"/>
      <c r="K956" s="1020"/>
      <c r="L956" s="1020"/>
      <c r="M956" s="309"/>
      <c r="N956" s="309"/>
      <c r="O956" s="309"/>
      <c r="P956" s="309"/>
      <c r="Q956" s="326"/>
      <c r="R956" s="326"/>
      <c r="S956" s="326"/>
      <c r="T956" s="309"/>
      <c r="U956" s="309"/>
      <c r="V956" s="309"/>
      <c r="W956" s="328"/>
      <c r="X956" s="309"/>
      <c r="Y956" s="309"/>
      <c r="Z956" s="309"/>
      <c r="AA956" s="309"/>
      <c r="AB956" s="309"/>
      <c r="AC956" s="309"/>
    </row>
    <row r="957" spans="1:29" ht="12.75" customHeight="1">
      <c r="A957" s="309"/>
      <c r="B957" s="309"/>
      <c r="C957" s="309"/>
      <c r="D957" s="309"/>
      <c r="E957" s="309"/>
      <c r="F957" s="309"/>
      <c r="G957" s="309"/>
      <c r="H957" s="309"/>
      <c r="I957" s="309"/>
      <c r="J957" s="309"/>
      <c r="K957" s="1020"/>
      <c r="L957" s="1020"/>
      <c r="M957" s="309"/>
      <c r="N957" s="309"/>
      <c r="O957" s="309"/>
      <c r="P957" s="309"/>
      <c r="Q957" s="326"/>
      <c r="R957" s="326"/>
      <c r="S957" s="326"/>
      <c r="T957" s="309"/>
      <c r="U957" s="309"/>
      <c r="V957" s="309"/>
      <c r="W957" s="328"/>
      <c r="X957" s="309"/>
      <c r="Y957" s="309"/>
      <c r="Z957" s="309"/>
      <c r="AA957" s="309"/>
      <c r="AB957" s="309"/>
      <c r="AC957" s="309"/>
    </row>
    <row r="958" spans="1:29" ht="12.75" customHeight="1">
      <c r="A958" s="309"/>
      <c r="B958" s="309"/>
      <c r="C958" s="309"/>
      <c r="D958" s="309"/>
      <c r="E958" s="309"/>
      <c r="F958" s="309"/>
      <c r="G958" s="309"/>
      <c r="H958" s="309"/>
      <c r="I958" s="309"/>
      <c r="J958" s="309"/>
      <c r="K958" s="1020"/>
      <c r="L958" s="1020"/>
      <c r="M958" s="309"/>
      <c r="N958" s="309"/>
      <c r="O958" s="309"/>
      <c r="P958" s="309"/>
      <c r="Q958" s="326"/>
      <c r="R958" s="326"/>
      <c r="S958" s="326"/>
      <c r="T958" s="309"/>
      <c r="U958" s="309"/>
      <c r="V958" s="309"/>
      <c r="W958" s="328"/>
      <c r="X958" s="309"/>
      <c r="Y958" s="309"/>
      <c r="Z958" s="309"/>
      <c r="AA958" s="309"/>
      <c r="AB958" s="309"/>
      <c r="AC958" s="309"/>
    </row>
    <row r="959" spans="1:29" ht="12.75" customHeight="1">
      <c r="A959" s="309"/>
      <c r="B959" s="309"/>
      <c r="C959" s="309"/>
      <c r="D959" s="309"/>
      <c r="E959" s="309"/>
      <c r="F959" s="309"/>
      <c r="G959" s="309"/>
      <c r="H959" s="309"/>
      <c r="I959" s="309"/>
      <c r="J959" s="309"/>
      <c r="K959" s="1020"/>
      <c r="L959" s="1020"/>
      <c r="M959" s="309"/>
      <c r="N959" s="309"/>
      <c r="O959" s="309"/>
      <c r="P959" s="309"/>
      <c r="Q959" s="326"/>
      <c r="R959" s="326"/>
      <c r="S959" s="326"/>
      <c r="T959" s="309"/>
      <c r="U959" s="309"/>
      <c r="V959" s="309"/>
      <c r="W959" s="328"/>
      <c r="X959" s="309"/>
      <c r="Y959" s="309"/>
      <c r="Z959" s="309"/>
      <c r="AA959" s="309"/>
      <c r="AB959" s="309"/>
      <c r="AC959" s="309"/>
    </row>
    <row r="960" spans="1:29" ht="12.75" customHeight="1">
      <c r="A960" s="309"/>
      <c r="B960" s="309"/>
      <c r="C960" s="309"/>
      <c r="D960" s="309"/>
      <c r="E960" s="309"/>
      <c r="F960" s="309"/>
      <c r="G960" s="309"/>
      <c r="H960" s="309"/>
      <c r="I960" s="309"/>
      <c r="J960" s="309"/>
      <c r="K960" s="1020"/>
      <c r="L960" s="1020"/>
      <c r="M960" s="309"/>
      <c r="N960" s="309"/>
      <c r="O960" s="309"/>
      <c r="P960" s="309"/>
      <c r="Q960" s="326"/>
      <c r="R960" s="326"/>
      <c r="S960" s="326"/>
      <c r="T960" s="309"/>
      <c r="U960" s="309"/>
      <c r="V960" s="309"/>
      <c r="W960" s="328"/>
      <c r="X960" s="309"/>
      <c r="Y960" s="309"/>
      <c r="Z960" s="309"/>
      <c r="AA960" s="309"/>
      <c r="AB960" s="309"/>
      <c r="AC960" s="309"/>
    </row>
    <row r="961" spans="1:29" ht="12.75" customHeight="1">
      <c r="A961" s="309"/>
      <c r="B961" s="309"/>
      <c r="C961" s="309"/>
      <c r="D961" s="309"/>
      <c r="E961" s="309"/>
      <c r="F961" s="309"/>
      <c r="G961" s="309"/>
      <c r="H961" s="309"/>
      <c r="I961" s="309"/>
      <c r="J961" s="309"/>
      <c r="K961" s="1020"/>
      <c r="L961" s="1020"/>
      <c r="M961" s="309"/>
      <c r="N961" s="309"/>
      <c r="O961" s="309"/>
      <c r="P961" s="309"/>
      <c r="Q961" s="326"/>
      <c r="R961" s="326"/>
      <c r="S961" s="326"/>
      <c r="T961" s="309"/>
      <c r="U961" s="309"/>
      <c r="V961" s="309"/>
      <c r="W961" s="328"/>
      <c r="X961" s="309"/>
      <c r="Y961" s="309"/>
      <c r="Z961" s="309"/>
      <c r="AA961" s="309"/>
      <c r="AB961" s="309"/>
      <c r="AC961" s="309"/>
    </row>
    <row r="962" spans="1:29" ht="12.75" customHeight="1">
      <c r="A962" s="309"/>
      <c r="B962" s="309"/>
      <c r="C962" s="309"/>
      <c r="D962" s="309"/>
      <c r="E962" s="309"/>
      <c r="F962" s="309"/>
      <c r="G962" s="309"/>
      <c r="H962" s="309"/>
      <c r="I962" s="309"/>
      <c r="J962" s="309"/>
      <c r="K962" s="1020"/>
      <c r="L962" s="1020"/>
      <c r="M962" s="309"/>
      <c r="N962" s="309"/>
      <c r="O962" s="309"/>
      <c r="P962" s="309"/>
      <c r="Q962" s="326"/>
      <c r="R962" s="326"/>
      <c r="S962" s="326"/>
      <c r="T962" s="309"/>
      <c r="U962" s="309"/>
      <c r="V962" s="309"/>
      <c r="W962" s="328"/>
      <c r="X962" s="309"/>
      <c r="Y962" s="309"/>
      <c r="Z962" s="309"/>
      <c r="AA962" s="309"/>
      <c r="AB962" s="309"/>
      <c r="AC962" s="309"/>
    </row>
    <row r="963" spans="1:29" ht="12.75" customHeight="1">
      <c r="A963" s="309"/>
      <c r="B963" s="309"/>
      <c r="C963" s="309"/>
      <c r="D963" s="309"/>
      <c r="E963" s="309"/>
      <c r="F963" s="309"/>
      <c r="G963" s="309"/>
      <c r="H963" s="309"/>
      <c r="I963" s="309"/>
      <c r="J963" s="309"/>
      <c r="K963" s="1020"/>
      <c r="L963" s="1020"/>
      <c r="M963" s="309"/>
      <c r="N963" s="309"/>
      <c r="O963" s="309"/>
      <c r="P963" s="309"/>
      <c r="Q963" s="326"/>
      <c r="R963" s="326"/>
      <c r="S963" s="326"/>
      <c r="T963" s="309"/>
      <c r="U963" s="309"/>
      <c r="V963" s="309"/>
      <c r="W963" s="328"/>
      <c r="X963" s="309"/>
      <c r="Y963" s="309"/>
      <c r="Z963" s="309"/>
      <c r="AA963" s="309"/>
      <c r="AB963" s="309"/>
      <c r="AC963" s="309"/>
    </row>
    <row r="964" spans="1:29" ht="12.75" customHeight="1">
      <c r="A964" s="309"/>
      <c r="B964" s="309"/>
      <c r="C964" s="309"/>
      <c r="D964" s="309"/>
      <c r="E964" s="309"/>
      <c r="F964" s="309"/>
      <c r="G964" s="309"/>
      <c r="H964" s="309"/>
      <c r="I964" s="309"/>
      <c r="J964" s="309"/>
      <c r="K964" s="1020"/>
      <c r="L964" s="1020"/>
      <c r="M964" s="309"/>
      <c r="N964" s="309"/>
      <c r="O964" s="309"/>
      <c r="P964" s="309"/>
      <c r="Q964" s="326"/>
      <c r="R964" s="326"/>
      <c r="S964" s="326"/>
      <c r="T964" s="309"/>
      <c r="U964" s="309"/>
      <c r="V964" s="309"/>
      <c r="W964" s="328"/>
      <c r="X964" s="309"/>
      <c r="Y964" s="309"/>
      <c r="Z964" s="309"/>
      <c r="AA964" s="309"/>
      <c r="AB964" s="309"/>
      <c r="AC964" s="309"/>
    </row>
    <row r="965" spans="1:29" ht="12.75" customHeight="1">
      <c r="A965" s="309"/>
      <c r="B965" s="309"/>
      <c r="C965" s="309"/>
      <c r="D965" s="309"/>
      <c r="E965" s="309"/>
      <c r="F965" s="309"/>
      <c r="G965" s="309"/>
      <c r="H965" s="309"/>
      <c r="I965" s="309"/>
      <c r="J965" s="309"/>
      <c r="K965" s="1020"/>
      <c r="L965" s="1020"/>
      <c r="M965" s="309"/>
      <c r="N965" s="309"/>
      <c r="O965" s="309"/>
      <c r="P965" s="309"/>
      <c r="Q965" s="326"/>
      <c r="R965" s="326"/>
      <c r="S965" s="326"/>
      <c r="T965" s="309"/>
      <c r="U965" s="309"/>
      <c r="V965" s="309"/>
      <c r="W965" s="328"/>
      <c r="X965" s="309"/>
      <c r="Y965" s="309"/>
      <c r="Z965" s="309"/>
      <c r="AA965" s="309"/>
      <c r="AB965" s="309"/>
      <c r="AC965" s="309"/>
    </row>
    <row r="966" spans="1:29" ht="12.75" customHeight="1">
      <c r="A966" s="309"/>
      <c r="B966" s="309"/>
      <c r="C966" s="309"/>
      <c r="D966" s="309"/>
      <c r="E966" s="309"/>
      <c r="F966" s="309"/>
      <c r="G966" s="309"/>
      <c r="H966" s="309"/>
      <c r="I966" s="309"/>
      <c r="J966" s="309"/>
      <c r="K966" s="1020"/>
      <c r="L966" s="1020"/>
      <c r="M966" s="309"/>
      <c r="N966" s="309"/>
      <c r="O966" s="309"/>
      <c r="P966" s="309"/>
      <c r="Q966" s="326"/>
      <c r="R966" s="326"/>
      <c r="S966" s="326"/>
      <c r="T966" s="309"/>
      <c r="U966" s="309"/>
      <c r="V966" s="309"/>
      <c r="W966" s="328"/>
      <c r="X966" s="309"/>
      <c r="Y966" s="309"/>
      <c r="Z966" s="309"/>
      <c r="AA966" s="309"/>
      <c r="AB966" s="309"/>
      <c r="AC966" s="309"/>
    </row>
    <row r="967" spans="1:29" ht="12.75" customHeight="1">
      <c r="A967" s="309"/>
      <c r="B967" s="309"/>
      <c r="C967" s="309"/>
      <c r="D967" s="309"/>
      <c r="E967" s="309"/>
      <c r="F967" s="309"/>
      <c r="G967" s="309"/>
      <c r="H967" s="309"/>
      <c r="I967" s="309"/>
      <c r="J967" s="309"/>
      <c r="K967" s="1020"/>
      <c r="L967" s="1020"/>
      <c r="M967" s="309"/>
      <c r="N967" s="309"/>
      <c r="O967" s="309"/>
      <c r="P967" s="309"/>
      <c r="Q967" s="326"/>
      <c r="R967" s="326"/>
      <c r="S967" s="326"/>
      <c r="T967" s="309"/>
      <c r="U967" s="309"/>
      <c r="V967" s="309"/>
      <c r="W967" s="328"/>
      <c r="X967" s="309"/>
      <c r="Y967" s="309"/>
      <c r="Z967" s="309"/>
      <c r="AA967" s="309"/>
      <c r="AB967" s="309"/>
      <c r="AC967" s="309"/>
    </row>
    <row r="968" spans="1:29" ht="12.75" customHeight="1">
      <c r="A968" s="309"/>
      <c r="B968" s="309"/>
      <c r="C968" s="309"/>
      <c r="D968" s="309"/>
      <c r="E968" s="309"/>
      <c r="F968" s="309"/>
      <c r="G968" s="309"/>
      <c r="H968" s="309"/>
      <c r="I968" s="309"/>
      <c r="J968" s="309"/>
      <c r="K968" s="1020"/>
      <c r="L968" s="1020"/>
      <c r="M968" s="309"/>
      <c r="N968" s="309"/>
      <c r="O968" s="309"/>
      <c r="P968" s="309"/>
      <c r="Q968" s="326"/>
      <c r="R968" s="326"/>
      <c r="S968" s="326"/>
      <c r="T968" s="309"/>
      <c r="U968" s="309"/>
      <c r="V968" s="309"/>
      <c r="W968" s="328"/>
      <c r="X968" s="309"/>
      <c r="Y968" s="309"/>
      <c r="Z968" s="309"/>
      <c r="AA968" s="309"/>
      <c r="AB968" s="309"/>
      <c r="AC968" s="309"/>
    </row>
    <row r="969" spans="1:29" ht="12.75" customHeight="1">
      <c r="A969" s="309"/>
      <c r="B969" s="309"/>
      <c r="C969" s="309"/>
      <c r="D969" s="309"/>
      <c r="E969" s="309"/>
      <c r="F969" s="309"/>
      <c r="G969" s="309"/>
      <c r="H969" s="309"/>
      <c r="I969" s="309"/>
      <c r="J969" s="309"/>
      <c r="K969" s="1020"/>
      <c r="L969" s="1020"/>
      <c r="M969" s="309"/>
      <c r="N969" s="309"/>
      <c r="O969" s="309"/>
      <c r="P969" s="309"/>
      <c r="Q969" s="326"/>
      <c r="R969" s="326"/>
      <c r="S969" s="326"/>
      <c r="T969" s="309"/>
      <c r="U969" s="309"/>
      <c r="V969" s="309"/>
      <c r="W969" s="328"/>
      <c r="X969" s="309"/>
      <c r="Y969" s="309"/>
      <c r="Z969" s="309"/>
      <c r="AA969" s="309"/>
      <c r="AB969" s="309"/>
      <c r="AC969" s="309"/>
    </row>
    <row r="970" spans="1:29" ht="12.75" customHeight="1">
      <c r="A970" s="309"/>
      <c r="B970" s="309"/>
      <c r="C970" s="309"/>
      <c r="D970" s="309"/>
      <c r="E970" s="309"/>
      <c r="F970" s="309"/>
      <c r="G970" s="309"/>
      <c r="H970" s="309"/>
      <c r="I970" s="309"/>
      <c r="J970" s="309"/>
      <c r="K970" s="1020"/>
      <c r="L970" s="1020"/>
      <c r="M970" s="309"/>
      <c r="N970" s="309"/>
      <c r="O970" s="309"/>
      <c r="P970" s="309"/>
      <c r="Q970" s="326"/>
      <c r="R970" s="326"/>
      <c r="S970" s="326"/>
      <c r="T970" s="309"/>
      <c r="U970" s="309"/>
      <c r="V970" s="309"/>
      <c r="W970" s="328"/>
      <c r="X970" s="309"/>
      <c r="Y970" s="309"/>
      <c r="Z970" s="309"/>
      <c r="AA970" s="309"/>
      <c r="AB970" s="309"/>
      <c r="AC970" s="309"/>
    </row>
    <row r="971" spans="1:29" ht="12.75" customHeight="1">
      <c r="A971" s="309"/>
      <c r="B971" s="309"/>
      <c r="C971" s="309"/>
      <c r="D971" s="309"/>
      <c r="E971" s="309"/>
      <c r="F971" s="309"/>
      <c r="G971" s="309"/>
      <c r="H971" s="309"/>
      <c r="I971" s="309"/>
      <c r="J971" s="309"/>
      <c r="K971" s="1020"/>
      <c r="L971" s="1020"/>
      <c r="M971" s="309"/>
      <c r="N971" s="309"/>
      <c r="O971" s="309"/>
      <c r="P971" s="309"/>
      <c r="Q971" s="326"/>
      <c r="R971" s="326"/>
      <c r="S971" s="326"/>
      <c r="T971" s="309"/>
      <c r="U971" s="309"/>
      <c r="V971" s="309"/>
      <c r="W971" s="328"/>
      <c r="X971" s="309"/>
      <c r="Y971" s="309"/>
      <c r="Z971" s="309"/>
      <c r="AA971" s="309"/>
      <c r="AB971" s="309"/>
      <c r="AC971" s="309"/>
    </row>
    <row r="972" spans="1:29" ht="12.75" customHeight="1">
      <c r="A972" s="309"/>
      <c r="B972" s="309"/>
      <c r="C972" s="309"/>
      <c r="D972" s="309"/>
      <c r="E972" s="309"/>
      <c r="F972" s="309"/>
      <c r="G972" s="309"/>
      <c r="H972" s="309"/>
      <c r="I972" s="309"/>
      <c r="J972" s="309"/>
      <c r="K972" s="1020"/>
      <c r="L972" s="1020"/>
      <c r="M972" s="309"/>
      <c r="N972" s="309"/>
      <c r="O972" s="309"/>
      <c r="P972" s="309"/>
      <c r="Q972" s="326"/>
      <c r="R972" s="326"/>
      <c r="S972" s="326"/>
      <c r="T972" s="309"/>
      <c r="U972" s="309"/>
      <c r="V972" s="309"/>
      <c r="W972" s="328"/>
      <c r="X972" s="309"/>
      <c r="Y972" s="309"/>
      <c r="Z972" s="309"/>
      <c r="AA972" s="309"/>
      <c r="AB972" s="309"/>
      <c r="AC972" s="309"/>
    </row>
    <row r="973" spans="1:29" ht="12.75" customHeight="1">
      <c r="A973" s="309"/>
      <c r="B973" s="309"/>
      <c r="C973" s="309"/>
      <c r="D973" s="309"/>
      <c r="E973" s="309"/>
      <c r="F973" s="309"/>
      <c r="G973" s="309"/>
      <c r="H973" s="309"/>
      <c r="I973" s="309"/>
      <c r="J973" s="309"/>
      <c r="K973" s="1020"/>
      <c r="L973" s="1020"/>
      <c r="M973" s="309"/>
      <c r="N973" s="309"/>
      <c r="O973" s="309"/>
      <c r="P973" s="309"/>
      <c r="Q973" s="326"/>
      <c r="R973" s="326"/>
      <c r="S973" s="326"/>
      <c r="T973" s="309"/>
      <c r="U973" s="309"/>
      <c r="V973" s="309"/>
      <c r="W973" s="328"/>
      <c r="X973" s="309"/>
      <c r="Y973" s="309"/>
      <c r="Z973" s="309"/>
      <c r="AA973" s="309"/>
      <c r="AB973" s="309"/>
      <c r="AC973" s="309"/>
    </row>
    <row r="974" spans="1:29" ht="12.75" customHeight="1">
      <c r="A974" s="309"/>
      <c r="B974" s="309"/>
      <c r="C974" s="309"/>
      <c r="D974" s="309"/>
      <c r="E974" s="309"/>
      <c r="F974" s="309"/>
      <c r="G974" s="309"/>
      <c r="H974" s="309"/>
      <c r="I974" s="309"/>
      <c r="J974" s="309"/>
      <c r="K974" s="1020"/>
      <c r="L974" s="1020"/>
      <c r="M974" s="309"/>
      <c r="N974" s="309"/>
      <c r="O974" s="309"/>
      <c r="P974" s="309"/>
      <c r="Q974" s="326"/>
      <c r="R974" s="326"/>
      <c r="S974" s="326"/>
      <c r="T974" s="309"/>
      <c r="U974" s="309"/>
      <c r="V974" s="309"/>
      <c r="W974" s="328"/>
      <c r="X974" s="309"/>
      <c r="Y974" s="309"/>
      <c r="Z974" s="309"/>
      <c r="AA974" s="309"/>
      <c r="AB974" s="309"/>
      <c r="AC974" s="309"/>
    </row>
    <row r="975" spans="1:29" ht="12.75" customHeight="1">
      <c r="A975" s="309"/>
      <c r="B975" s="309"/>
      <c r="C975" s="309"/>
      <c r="D975" s="309"/>
      <c r="E975" s="309"/>
      <c r="F975" s="309"/>
      <c r="G975" s="309"/>
      <c r="H975" s="309"/>
      <c r="I975" s="309"/>
      <c r="J975" s="309"/>
      <c r="K975" s="1020"/>
      <c r="L975" s="1020"/>
      <c r="M975" s="309"/>
      <c r="N975" s="309"/>
      <c r="O975" s="309"/>
      <c r="P975" s="309"/>
      <c r="Q975" s="326"/>
      <c r="R975" s="326"/>
      <c r="S975" s="326"/>
      <c r="T975" s="309"/>
      <c r="U975" s="309"/>
      <c r="V975" s="309"/>
      <c r="W975" s="328"/>
      <c r="X975" s="309"/>
      <c r="Y975" s="309"/>
      <c r="Z975" s="309"/>
      <c r="AA975" s="309"/>
      <c r="AB975" s="309"/>
      <c r="AC975" s="309"/>
    </row>
    <row r="976" spans="1:29" ht="12.75" customHeight="1">
      <c r="A976" s="309"/>
      <c r="B976" s="309"/>
      <c r="C976" s="309"/>
      <c r="D976" s="309"/>
      <c r="E976" s="309"/>
      <c r="F976" s="309"/>
      <c r="G976" s="309"/>
      <c r="H976" s="309"/>
      <c r="I976" s="309"/>
      <c r="J976" s="309"/>
      <c r="K976" s="1020"/>
      <c r="L976" s="1020"/>
      <c r="M976" s="309"/>
      <c r="N976" s="309"/>
      <c r="O976" s="309"/>
      <c r="P976" s="309"/>
      <c r="Q976" s="326"/>
      <c r="R976" s="326"/>
      <c r="S976" s="326"/>
      <c r="T976" s="309"/>
      <c r="U976" s="309"/>
      <c r="V976" s="309"/>
      <c r="W976" s="328"/>
      <c r="X976" s="309"/>
      <c r="Y976" s="309"/>
      <c r="Z976" s="309"/>
      <c r="AA976" s="309"/>
      <c r="AB976" s="309"/>
      <c r="AC976" s="309"/>
    </row>
    <row r="977" spans="1:29" ht="12.75" customHeight="1">
      <c r="A977" s="309"/>
      <c r="B977" s="309"/>
      <c r="C977" s="309"/>
      <c r="D977" s="309"/>
      <c r="E977" s="309"/>
      <c r="F977" s="309"/>
      <c r="G977" s="309"/>
      <c r="H977" s="309"/>
      <c r="I977" s="309"/>
      <c r="J977" s="309"/>
      <c r="K977" s="1020"/>
      <c r="L977" s="1020"/>
      <c r="M977" s="309"/>
      <c r="N977" s="309"/>
      <c r="O977" s="309"/>
      <c r="P977" s="309"/>
      <c r="Q977" s="326"/>
      <c r="R977" s="326"/>
      <c r="S977" s="326"/>
      <c r="T977" s="309"/>
      <c r="U977" s="309"/>
      <c r="V977" s="309"/>
      <c r="W977" s="328"/>
      <c r="X977" s="309"/>
      <c r="Y977" s="309"/>
      <c r="Z977" s="309"/>
      <c r="AA977" s="309"/>
      <c r="AB977" s="309"/>
      <c r="AC977" s="309"/>
    </row>
    <row r="978" spans="1:29" ht="12.75" customHeight="1">
      <c r="A978" s="309"/>
      <c r="B978" s="309"/>
      <c r="C978" s="309"/>
      <c r="D978" s="309"/>
      <c r="E978" s="309"/>
      <c r="F978" s="309"/>
      <c r="G978" s="309"/>
      <c r="H978" s="309"/>
      <c r="I978" s="309"/>
      <c r="J978" s="309"/>
      <c r="K978" s="1020"/>
      <c r="L978" s="1020"/>
      <c r="M978" s="309"/>
      <c r="N978" s="309"/>
      <c r="O978" s="309"/>
      <c r="P978" s="309"/>
      <c r="Q978" s="326"/>
      <c r="R978" s="326"/>
      <c r="S978" s="326"/>
      <c r="T978" s="309"/>
      <c r="U978" s="309"/>
      <c r="V978" s="309"/>
      <c r="W978" s="328"/>
      <c r="X978" s="309"/>
      <c r="Y978" s="309"/>
      <c r="Z978" s="309"/>
      <c r="AA978" s="309"/>
      <c r="AB978" s="309"/>
      <c r="AC978" s="309"/>
    </row>
    <row r="979" spans="1:29" ht="12.75" customHeight="1">
      <c r="A979" s="309"/>
      <c r="B979" s="309"/>
      <c r="C979" s="309"/>
      <c r="D979" s="309"/>
      <c r="E979" s="309"/>
      <c r="F979" s="309"/>
      <c r="G979" s="309"/>
      <c r="H979" s="309"/>
      <c r="I979" s="309"/>
      <c r="J979" s="309"/>
      <c r="K979" s="1020"/>
      <c r="L979" s="1020"/>
      <c r="M979" s="309"/>
      <c r="N979" s="309"/>
      <c r="O979" s="309"/>
      <c r="P979" s="309"/>
      <c r="Q979" s="326"/>
      <c r="R979" s="326"/>
      <c r="S979" s="326"/>
      <c r="T979" s="309"/>
      <c r="U979" s="309"/>
      <c r="V979" s="309"/>
      <c r="W979" s="328"/>
      <c r="X979" s="309"/>
      <c r="Y979" s="309"/>
      <c r="Z979" s="309"/>
      <c r="AA979" s="309"/>
      <c r="AB979" s="309"/>
      <c r="AC979" s="309"/>
    </row>
    <row r="980" spans="1:29" ht="12.75" customHeight="1">
      <c r="A980" s="309"/>
      <c r="B980" s="309"/>
      <c r="C980" s="309"/>
      <c r="D980" s="309"/>
      <c r="E980" s="309"/>
      <c r="F980" s="309"/>
      <c r="G980" s="309"/>
      <c r="H980" s="309"/>
      <c r="I980" s="309"/>
      <c r="J980" s="309"/>
      <c r="K980" s="1020"/>
      <c r="L980" s="1020"/>
      <c r="M980" s="309"/>
      <c r="N980" s="309"/>
      <c r="O980" s="309"/>
      <c r="P980" s="309"/>
      <c r="Q980" s="326"/>
      <c r="R980" s="326"/>
      <c r="S980" s="326"/>
      <c r="T980" s="309"/>
      <c r="U980" s="309"/>
      <c r="V980" s="309"/>
      <c r="W980" s="328"/>
      <c r="X980" s="309"/>
      <c r="Y980" s="309"/>
      <c r="Z980" s="309"/>
      <c r="AA980" s="309"/>
      <c r="AB980" s="309"/>
      <c r="AC980" s="309"/>
    </row>
    <row r="981" spans="1:29" ht="12.75" customHeight="1">
      <c r="A981" s="309"/>
      <c r="B981" s="309"/>
      <c r="C981" s="309"/>
      <c r="D981" s="309"/>
      <c r="E981" s="309"/>
      <c r="F981" s="309"/>
      <c r="G981" s="309"/>
      <c r="H981" s="309"/>
      <c r="I981" s="309"/>
      <c r="J981" s="309"/>
      <c r="K981" s="1020"/>
      <c r="L981" s="1020"/>
      <c r="M981" s="309"/>
      <c r="N981" s="309"/>
      <c r="O981" s="309"/>
      <c r="P981" s="309"/>
      <c r="Q981" s="326"/>
      <c r="R981" s="326"/>
      <c r="S981" s="326"/>
      <c r="T981" s="309"/>
      <c r="U981" s="309"/>
      <c r="V981" s="309"/>
      <c r="W981" s="328"/>
      <c r="X981" s="309"/>
      <c r="Y981" s="309"/>
      <c r="Z981" s="309"/>
      <c r="AA981" s="309"/>
      <c r="AB981" s="309"/>
      <c r="AC981" s="309"/>
    </row>
    <row r="982" spans="1:29" ht="12.75" customHeight="1">
      <c r="A982" s="309"/>
      <c r="B982" s="309"/>
      <c r="C982" s="309"/>
      <c r="D982" s="309"/>
      <c r="E982" s="309"/>
      <c r="F982" s="309"/>
      <c r="G982" s="309"/>
      <c r="H982" s="309"/>
      <c r="I982" s="309"/>
      <c r="J982" s="309"/>
      <c r="K982" s="1020"/>
      <c r="L982" s="1020"/>
      <c r="M982" s="309"/>
      <c r="N982" s="309"/>
      <c r="O982" s="309"/>
      <c r="P982" s="309"/>
      <c r="Q982" s="326"/>
      <c r="R982" s="326"/>
      <c r="S982" s="326"/>
      <c r="T982" s="309"/>
      <c r="U982" s="309"/>
      <c r="V982" s="309"/>
      <c r="W982" s="328"/>
      <c r="X982" s="309"/>
      <c r="Y982" s="309"/>
      <c r="Z982" s="309"/>
      <c r="AA982" s="309"/>
      <c r="AB982" s="309"/>
      <c r="AC982" s="309"/>
    </row>
    <row r="983" spans="1:29" ht="12.75" customHeight="1">
      <c r="A983" s="309"/>
      <c r="B983" s="309"/>
      <c r="C983" s="309"/>
      <c r="D983" s="309"/>
      <c r="E983" s="309"/>
      <c r="F983" s="309"/>
      <c r="G983" s="309"/>
      <c r="H983" s="309"/>
      <c r="I983" s="309"/>
      <c r="J983" s="309"/>
      <c r="K983" s="1020"/>
      <c r="L983" s="1020"/>
      <c r="M983" s="309"/>
      <c r="N983" s="309"/>
      <c r="O983" s="309"/>
      <c r="P983" s="309"/>
      <c r="Q983" s="326"/>
      <c r="R983" s="326"/>
      <c r="S983" s="326"/>
      <c r="T983" s="309"/>
      <c r="U983" s="309"/>
      <c r="V983" s="309"/>
      <c r="W983" s="328"/>
      <c r="X983" s="309"/>
      <c r="Y983" s="309"/>
      <c r="Z983" s="309"/>
      <c r="AA983" s="309"/>
      <c r="AB983" s="309"/>
      <c r="AC983" s="309"/>
    </row>
    <row r="984" spans="1:29" ht="12.75" customHeight="1">
      <c r="A984" s="309"/>
      <c r="B984" s="309"/>
      <c r="C984" s="309"/>
      <c r="D984" s="309"/>
      <c r="E984" s="309"/>
      <c r="F984" s="309"/>
      <c r="G984" s="309"/>
      <c r="H984" s="309"/>
      <c r="I984" s="309"/>
      <c r="J984" s="309"/>
      <c r="K984" s="1020"/>
      <c r="L984" s="1020"/>
      <c r="M984" s="309"/>
      <c r="N984" s="309"/>
      <c r="O984" s="309"/>
      <c r="P984" s="309"/>
      <c r="Q984" s="326"/>
      <c r="R984" s="326"/>
      <c r="S984" s="326"/>
      <c r="T984" s="309"/>
      <c r="U984" s="309"/>
      <c r="V984" s="309"/>
      <c r="W984" s="328"/>
      <c r="X984" s="309"/>
      <c r="Y984" s="309"/>
      <c r="Z984" s="309"/>
      <c r="AA984" s="309"/>
      <c r="AB984" s="309"/>
      <c r="AC984" s="309"/>
    </row>
    <row r="985" spans="1:29" ht="12.75" customHeight="1">
      <c r="A985" s="309"/>
      <c r="B985" s="309"/>
      <c r="C985" s="309"/>
      <c r="D985" s="309"/>
      <c r="E985" s="309"/>
      <c r="F985" s="309"/>
      <c r="G985" s="309"/>
      <c r="H985" s="309"/>
      <c r="I985" s="309"/>
      <c r="J985" s="309"/>
      <c r="K985" s="1020"/>
      <c r="L985" s="1020"/>
      <c r="M985" s="309"/>
      <c r="N985" s="309"/>
      <c r="O985" s="309"/>
      <c r="P985" s="309"/>
      <c r="Q985" s="326"/>
      <c r="R985" s="326"/>
      <c r="S985" s="326"/>
      <c r="T985" s="309"/>
      <c r="U985" s="309"/>
      <c r="V985" s="309"/>
      <c r="W985" s="328"/>
      <c r="X985" s="309"/>
      <c r="Y985" s="309"/>
      <c r="Z985" s="309"/>
      <c r="AA985" s="309"/>
      <c r="AB985" s="309"/>
      <c r="AC985" s="309"/>
    </row>
    <row r="986" spans="1:29" ht="12.75" customHeight="1">
      <c r="A986" s="309"/>
      <c r="B986" s="309"/>
      <c r="C986" s="309"/>
      <c r="D986" s="309"/>
      <c r="E986" s="309"/>
      <c r="F986" s="309"/>
      <c r="G986" s="309"/>
      <c r="H986" s="309"/>
      <c r="I986" s="309"/>
      <c r="J986" s="309"/>
      <c r="K986" s="1020"/>
      <c r="L986" s="1020"/>
      <c r="M986" s="309"/>
      <c r="N986" s="309"/>
      <c r="O986" s="309"/>
      <c r="P986" s="309"/>
      <c r="Q986" s="326"/>
      <c r="R986" s="326"/>
      <c r="S986" s="326"/>
      <c r="T986" s="309"/>
      <c r="U986" s="309"/>
      <c r="V986" s="309"/>
      <c r="W986" s="328"/>
      <c r="X986" s="309"/>
      <c r="Y986" s="309"/>
      <c r="Z986" s="309"/>
      <c r="AA986" s="309"/>
      <c r="AB986" s="309"/>
      <c r="AC986" s="309"/>
    </row>
    <row r="987" spans="1:29" ht="12.75" customHeight="1">
      <c r="A987" s="309"/>
      <c r="B987" s="309"/>
      <c r="C987" s="309"/>
      <c r="D987" s="309"/>
      <c r="E987" s="309"/>
      <c r="F987" s="309"/>
      <c r="G987" s="309"/>
      <c r="H987" s="309"/>
      <c r="I987" s="309"/>
      <c r="J987" s="309"/>
      <c r="K987" s="1020"/>
      <c r="L987" s="1020"/>
      <c r="M987" s="309"/>
      <c r="N987" s="309"/>
      <c r="O987" s="309"/>
      <c r="P987" s="309"/>
      <c r="Q987" s="326"/>
      <c r="R987" s="326"/>
      <c r="S987" s="326"/>
      <c r="T987" s="309"/>
      <c r="U987" s="309"/>
      <c r="V987" s="309"/>
      <c r="W987" s="328"/>
      <c r="X987" s="309"/>
      <c r="Y987" s="309"/>
      <c r="Z987" s="309"/>
      <c r="AA987" s="309"/>
      <c r="AB987" s="309"/>
      <c r="AC987" s="309"/>
    </row>
    <row r="988" spans="1:29" ht="12.75" customHeight="1">
      <c r="A988" s="309"/>
      <c r="B988" s="309"/>
      <c r="C988" s="309"/>
      <c r="D988" s="309"/>
      <c r="E988" s="309"/>
      <c r="F988" s="309"/>
      <c r="G988" s="309"/>
      <c r="H988" s="309"/>
      <c r="I988" s="309"/>
      <c r="J988" s="309"/>
      <c r="K988" s="1020"/>
      <c r="L988" s="1020"/>
      <c r="M988" s="309"/>
      <c r="N988" s="309"/>
      <c r="O988" s="309"/>
      <c r="P988" s="309"/>
      <c r="Q988" s="326"/>
      <c r="R988" s="326"/>
      <c r="S988" s="326"/>
      <c r="T988" s="309"/>
      <c r="U988" s="309"/>
      <c r="V988" s="309"/>
      <c r="W988" s="328"/>
      <c r="X988" s="309"/>
      <c r="Y988" s="309"/>
      <c r="Z988" s="309"/>
      <c r="AA988" s="309"/>
      <c r="AB988" s="309"/>
      <c r="AC988" s="309"/>
    </row>
    <row r="989" spans="1:29" ht="12.75" customHeight="1">
      <c r="A989" s="309"/>
      <c r="B989" s="309"/>
      <c r="C989" s="309"/>
      <c r="D989" s="309"/>
      <c r="E989" s="309"/>
      <c r="F989" s="309"/>
      <c r="G989" s="309"/>
      <c r="H989" s="309"/>
      <c r="I989" s="309"/>
      <c r="J989" s="309"/>
      <c r="K989" s="1020"/>
      <c r="L989" s="1020"/>
      <c r="M989" s="309"/>
      <c r="N989" s="309"/>
      <c r="O989" s="309"/>
      <c r="P989" s="309"/>
      <c r="Q989" s="326"/>
      <c r="R989" s="326"/>
      <c r="S989" s="326"/>
      <c r="T989" s="309"/>
      <c r="U989" s="309"/>
      <c r="V989" s="309"/>
      <c r="W989" s="328"/>
      <c r="X989" s="309"/>
      <c r="Y989" s="309"/>
      <c r="Z989" s="309"/>
      <c r="AA989" s="309"/>
      <c r="AB989" s="309"/>
      <c r="AC989" s="309"/>
    </row>
    <row r="990" spans="1:29" ht="12.75" customHeight="1">
      <c r="A990" s="309"/>
      <c r="B990" s="309"/>
      <c r="C990" s="309"/>
      <c r="D990" s="309"/>
      <c r="E990" s="309"/>
      <c r="F990" s="309"/>
      <c r="G990" s="309"/>
      <c r="H990" s="309"/>
      <c r="I990" s="309"/>
      <c r="J990" s="309"/>
      <c r="K990" s="1020"/>
      <c r="L990" s="1020"/>
      <c r="M990" s="309"/>
      <c r="N990" s="309"/>
      <c r="O990" s="309"/>
      <c r="P990" s="309"/>
      <c r="Q990" s="326"/>
      <c r="R990" s="326"/>
      <c r="S990" s="326"/>
      <c r="T990" s="309"/>
      <c r="U990" s="309"/>
      <c r="V990" s="309"/>
      <c r="W990" s="328"/>
      <c r="X990" s="309"/>
      <c r="Y990" s="309"/>
      <c r="Z990" s="309"/>
      <c r="AA990" s="309"/>
      <c r="AB990" s="309"/>
      <c r="AC990" s="309"/>
    </row>
    <row r="991" spans="1:29" ht="12.75" customHeight="1">
      <c r="A991" s="309"/>
      <c r="B991" s="309"/>
      <c r="C991" s="309"/>
      <c r="D991" s="309"/>
      <c r="E991" s="309"/>
      <c r="F991" s="309"/>
      <c r="G991" s="309"/>
      <c r="H991" s="309"/>
      <c r="I991" s="309"/>
      <c r="J991" s="309"/>
      <c r="K991" s="1020"/>
      <c r="L991" s="1020"/>
      <c r="M991" s="309"/>
      <c r="N991" s="309"/>
      <c r="O991" s="309"/>
      <c r="P991" s="309"/>
      <c r="Q991" s="326"/>
      <c r="R991" s="326"/>
      <c r="S991" s="326"/>
      <c r="T991" s="309"/>
      <c r="U991" s="309"/>
      <c r="V991" s="309"/>
      <c r="W991" s="328"/>
      <c r="X991" s="309"/>
      <c r="Y991" s="309"/>
      <c r="Z991" s="309"/>
      <c r="AA991" s="309"/>
      <c r="AB991" s="309"/>
      <c r="AC991" s="309"/>
    </row>
    <row r="992" spans="1:29" ht="12.75" customHeight="1">
      <c r="A992" s="309"/>
      <c r="B992" s="309"/>
      <c r="C992" s="309"/>
      <c r="D992" s="309"/>
      <c r="E992" s="309"/>
      <c r="F992" s="309"/>
      <c r="G992" s="309"/>
      <c r="H992" s="309"/>
      <c r="I992" s="309"/>
      <c r="J992" s="309"/>
      <c r="K992" s="1020"/>
      <c r="L992" s="1020"/>
      <c r="M992" s="309"/>
      <c r="N992" s="309"/>
      <c r="O992" s="309"/>
      <c r="P992" s="309"/>
      <c r="Q992" s="326"/>
      <c r="R992" s="326"/>
      <c r="S992" s="326"/>
      <c r="T992" s="309"/>
      <c r="U992" s="309"/>
      <c r="V992" s="309"/>
      <c r="W992" s="328"/>
      <c r="X992" s="309"/>
      <c r="Y992" s="309"/>
      <c r="Z992" s="309"/>
      <c r="AA992" s="309"/>
      <c r="AB992" s="309"/>
      <c r="AC992" s="309"/>
    </row>
    <row r="993" spans="1:29" ht="12.75" customHeight="1">
      <c r="A993" s="309"/>
      <c r="B993" s="309"/>
      <c r="C993" s="309"/>
      <c r="D993" s="309"/>
      <c r="E993" s="309"/>
      <c r="F993" s="309"/>
      <c r="G993" s="309"/>
      <c r="H993" s="309"/>
      <c r="I993" s="309"/>
      <c r="J993" s="309"/>
      <c r="K993" s="1020"/>
      <c r="L993" s="1020"/>
      <c r="M993" s="309"/>
      <c r="N993" s="309"/>
      <c r="O993" s="309"/>
      <c r="P993" s="309"/>
      <c r="Q993" s="326"/>
      <c r="R993" s="326"/>
      <c r="S993" s="326"/>
      <c r="T993" s="309"/>
      <c r="U993" s="309"/>
      <c r="V993" s="309"/>
      <c r="W993" s="328"/>
      <c r="X993" s="309"/>
      <c r="Y993" s="309"/>
      <c r="Z993" s="309"/>
      <c r="AA993" s="309"/>
      <c r="AB993" s="309"/>
      <c r="AC993" s="309"/>
    </row>
    <row r="994" spans="1:29" ht="12.75" customHeight="1">
      <c r="A994" s="309"/>
      <c r="B994" s="309"/>
      <c r="C994" s="309"/>
      <c r="D994" s="309"/>
      <c r="E994" s="309"/>
      <c r="F994" s="309"/>
      <c r="G994" s="309"/>
      <c r="H994" s="309"/>
      <c r="I994" s="309"/>
      <c r="J994" s="309"/>
      <c r="K994" s="1020"/>
      <c r="L994" s="1020"/>
      <c r="M994" s="309"/>
      <c r="N994" s="309"/>
      <c r="O994" s="309"/>
      <c r="P994" s="309"/>
      <c r="Q994" s="326"/>
      <c r="R994" s="326"/>
      <c r="S994" s="326"/>
      <c r="T994" s="309"/>
      <c r="U994" s="309"/>
      <c r="V994" s="309"/>
      <c r="W994" s="328"/>
      <c r="X994" s="309"/>
      <c r="Y994" s="309"/>
      <c r="Z994" s="309"/>
      <c r="AA994" s="309"/>
      <c r="AB994" s="309"/>
      <c r="AC994" s="309"/>
    </row>
    <row r="995" spans="1:29" ht="12.75" customHeight="1">
      <c r="A995" s="309"/>
      <c r="B995" s="309"/>
      <c r="C995" s="309"/>
      <c r="D995" s="309"/>
      <c r="E995" s="309"/>
      <c r="F995" s="309"/>
      <c r="G995" s="309"/>
      <c r="H995" s="309"/>
      <c r="I995" s="309"/>
      <c r="J995" s="309"/>
      <c r="K995" s="1020"/>
      <c r="L995" s="1020"/>
      <c r="M995" s="309"/>
      <c r="N995" s="309"/>
      <c r="O995" s="309"/>
      <c r="P995" s="309"/>
      <c r="Q995" s="326"/>
      <c r="R995" s="326"/>
      <c r="S995" s="326"/>
      <c r="T995" s="309"/>
      <c r="U995" s="309"/>
      <c r="V995" s="309"/>
      <c r="W995" s="328"/>
      <c r="X995" s="309"/>
      <c r="Y995" s="309"/>
      <c r="Z995" s="309"/>
      <c r="AA995" s="309"/>
      <c r="AB995" s="309"/>
      <c r="AC995" s="309"/>
    </row>
    <row r="996" spans="1:29" ht="12.75" customHeight="1">
      <c r="A996" s="309"/>
      <c r="B996" s="309"/>
      <c r="C996" s="309"/>
      <c r="D996" s="309"/>
      <c r="E996" s="309"/>
      <c r="F996" s="309"/>
      <c r="G996" s="309"/>
      <c r="H996" s="309"/>
      <c r="I996" s="309"/>
      <c r="J996" s="309"/>
      <c r="K996" s="1020"/>
      <c r="L996" s="1020"/>
      <c r="M996" s="309"/>
      <c r="N996" s="309"/>
      <c r="O996" s="309"/>
      <c r="P996" s="309"/>
      <c r="Q996" s="326"/>
      <c r="R996" s="326"/>
      <c r="S996" s="326"/>
      <c r="T996" s="309"/>
      <c r="U996" s="309"/>
      <c r="V996" s="309"/>
      <c r="W996" s="328"/>
      <c r="X996" s="309"/>
      <c r="Y996" s="309"/>
      <c r="Z996" s="309"/>
      <c r="AA996" s="309"/>
      <c r="AB996" s="309"/>
      <c r="AC996" s="309"/>
    </row>
    <row r="997" spans="1:29" ht="12.75" customHeight="1">
      <c r="A997" s="309"/>
      <c r="B997" s="309"/>
      <c r="C997" s="309"/>
      <c r="D997" s="309"/>
      <c r="E997" s="309"/>
      <c r="F997" s="309"/>
      <c r="G997" s="309"/>
      <c r="H997" s="309"/>
      <c r="I997" s="309"/>
      <c r="J997" s="309"/>
      <c r="K997" s="1020"/>
      <c r="L997" s="1020"/>
      <c r="M997" s="309"/>
      <c r="N997" s="309"/>
      <c r="O997" s="309"/>
      <c r="P997" s="309"/>
      <c r="Q997" s="326"/>
      <c r="R997" s="326"/>
      <c r="S997" s="326"/>
      <c r="T997" s="309"/>
      <c r="U997" s="309"/>
      <c r="V997" s="309"/>
      <c r="W997" s="328"/>
      <c r="X997" s="309"/>
      <c r="Y997" s="309"/>
      <c r="Z997" s="309"/>
      <c r="AA997" s="309"/>
      <c r="AB997" s="309"/>
      <c r="AC997" s="309"/>
    </row>
    <row r="998" spans="1:29" ht="12.75" customHeight="1">
      <c r="A998" s="309"/>
      <c r="B998" s="309"/>
      <c r="C998" s="309"/>
      <c r="D998" s="309"/>
      <c r="E998" s="309"/>
      <c r="F998" s="309"/>
      <c r="G998" s="309"/>
      <c r="H998" s="309"/>
      <c r="I998" s="309"/>
      <c r="J998" s="309"/>
      <c r="K998" s="1020"/>
      <c r="L998" s="1020"/>
      <c r="M998" s="309"/>
      <c r="N998" s="309"/>
      <c r="O998" s="309"/>
      <c r="P998" s="309"/>
      <c r="Q998" s="326"/>
      <c r="R998" s="326"/>
      <c r="S998" s="326"/>
      <c r="T998" s="309"/>
      <c r="U998" s="309"/>
      <c r="V998" s="309"/>
      <c r="W998" s="328"/>
      <c r="X998" s="309"/>
      <c r="Y998" s="309"/>
      <c r="Z998" s="309"/>
      <c r="AA998" s="309"/>
      <c r="AB998" s="309"/>
      <c r="AC998" s="309"/>
    </row>
    <row r="999" spans="1:29" ht="12.75" customHeight="1">
      <c r="A999" s="309"/>
      <c r="B999" s="309"/>
      <c r="C999" s="309"/>
      <c r="D999" s="309"/>
      <c r="E999" s="309"/>
      <c r="F999" s="309"/>
      <c r="G999" s="309"/>
      <c r="H999" s="309"/>
      <c r="I999" s="309"/>
      <c r="J999" s="309"/>
      <c r="K999" s="1020"/>
      <c r="L999" s="1020"/>
      <c r="M999" s="309"/>
      <c r="N999" s="309"/>
      <c r="O999" s="309"/>
      <c r="P999" s="309"/>
      <c r="Q999" s="326"/>
      <c r="R999" s="326"/>
      <c r="S999" s="326"/>
      <c r="T999" s="309"/>
      <c r="U999" s="309"/>
      <c r="V999" s="309"/>
      <c r="W999" s="328"/>
      <c r="X999" s="309"/>
      <c r="Y999" s="309"/>
      <c r="Z999" s="309"/>
      <c r="AA999" s="309"/>
      <c r="AB999" s="309"/>
      <c r="AC999" s="309"/>
    </row>
    <row r="1000" spans="1:29" ht="12.75" customHeight="1">
      <c r="A1000" s="309"/>
      <c r="B1000" s="309"/>
      <c r="C1000" s="309"/>
      <c r="D1000" s="309"/>
      <c r="E1000" s="309"/>
      <c r="F1000" s="309"/>
      <c r="G1000" s="309"/>
      <c r="H1000" s="309"/>
      <c r="I1000" s="309"/>
      <c r="J1000" s="309"/>
      <c r="K1000" s="1020"/>
      <c r="L1000" s="1020"/>
      <c r="M1000" s="309"/>
      <c r="N1000" s="309"/>
      <c r="O1000" s="309"/>
      <c r="P1000" s="309"/>
      <c r="Q1000" s="326"/>
      <c r="R1000" s="326"/>
      <c r="S1000" s="326"/>
      <c r="T1000" s="309"/>
      <c r="U1000" s="309"/>
      <c r="V1000" s="309"/>
      <c r="W1000" s="328"/>
      <c r="X1000" s="309"/>
      <c r="Y1000" s="309"/>
      <c r="Z1000" s="309"/>
      <c r="AA1000" s="309"/>
      <c r="AB1000" s="309"/>
      <c r="AC1000" s="309"/>
    </row>
  </sheetData>
  <mergeCells count="7">
    <mergeCell ref="D6:G6"/>
    <mergeCell ref="I6:M6"/>
    <mergeCell ref="B1:P1"/>
    <mergeCell ref="B2:P2"/>
    <mergeCell ref="B3:P3"/>
    <mergeCell ref="D5:M5"/>
    <mergeCell ref="O5:P5"/>
  </mergeCells>
  <conditionalFormatting sqref="P8:Q8 O9:R19 O20:O32 P24:P32 O33:P37 O38:R51 P52:P53 O52:O57 Q65">
    <cfRule type="cellIs" dxfId="470" priority="1" stopIfTrue="1" operator="greaterThan">
      <formula>$O$64</formula>
    </cfRule>
    <cfRule type="cellIs" dxfId="469" priority="2" stopIfTrue="1" operator="lessThanOrEqual">
      <formula>$O$64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10" workbookViewId="0">
      <selection activeCell="E48" sqref="E48"/>
    </sheetView>
  </sheetViews>
  <sheetFormatPr defaultColWidth="14.28515625" defaultRowHeight="15" customHeight="1"/>
  <cols>
    <col min="1" max="1" width="3.28515625" customWidth="1"/>
    <col min="2" max="2" width="30.7109375" customWidth="1"/>
    <col min="3" max="3" width="6.7109375" customWidth="1"/>
    <col min="4" max="4" width="7.28515625" customWidth="1"/>
    <col min="5" max="5" width="7.7109375" customWidth="1"/>
    <col min="6" max="6" width="10.28515625" customWidth="1"/>
    <col min="7" max="7" width="7" customWidth="1"/>
    <col min="8" max="8" width="5.28515625" customWidth="1"/>
    <col min="9" max="9" width="6.7109375" customWidth="1"/>
    <col min="10" max="10" width="7" customWidth="1"/>
    <col min="11" max="11" width="10.7109375" customWidth="1"/>
    <col min="12" max="12" width="14.28515625" customWidth="1"/>
    <col min="13" max="13" width="17.7109375" customWidth="1"/>
    <col min="14" max="14" width="0.7109375" customWidth="1"/>
    <col min="15" max="15" width="8.7109375" bestFit="1" customWidth="1"/>
    <col min="16" max="17" width="7.28515625" customWidth="1"/>
    <col min="18" max="26" width="9.28515625" customWidth="1"/>
  </cols>
  <sheetData>
    <row r="1" spans="1:26" ht="12.75" customHeight="1">
      <c r="A1" s="309"/>
      <c r="B1" s="1984" t="s">
        <v>0</v>
      </c>
      <c r="C1" s="1985"/>
      <c r="D1" s="1985"/>
      <c r="E1" s="1985"/>
      <c r="F1" s="1985"/>
      <c r="G1" s="1985"/>
      <c r="H1" s="1985"/>
      <c r="I1" s="1985"/>
      <c r="J1" s="1985"/>
      <c r="K1" s="1985"/>
      <c r="L1" s="1985"/>
      <c r="M1" s="1985"/>
      <c r="N1" s="1985"/>
      <c r="O1" s="1985"/>
      <c r="P1" s="1985"/>
      <c r="Q1" s="989"/>
      <c r="R1" s="989"/>
      <c r="S1" s="989"/>
      <c r="T1" s="990"/>
      <c r="U1" s="990"/>
      <c r="V1" s="990"/>
      <c r="W1" s="1021"/>
      <c r="X1" s="5"/>
      <c r="Y1" s="5"/>
      <c r="Z1" s="5"/>
    </row>
    <row r="2" spans="1:26" ht="12.75" customHeight="1">
      <c r="A2" s="309"/>
      <c r="B2" s="1986" t="s">
        <v>203</v>
      </c>
      <c r="C2" s="1985"/>
      <c r="D2" s="1985"/>
      <c r="E2" s="1985"/>
      <c r="F2" s="1985"/>
      <c r="G2" s="1985"/>
      <c r="H2" s="1985"/>
      <c r="I2" s="1985"/>
      <c r="J2" s="1985"/>
      <c r="K2" s="1985"/>
      <c r="L2" s="1985"/>
      <c r="M2" s="1985"/>
      <c r="N2" s="1985"/>
      <c r="O2" s="1985"/>
      <c r="P2" s="1985"/>
      <c r="Q2" s="991"/>
      <c r="R2" s="991"/>
      <c r="S2" s="991"/>
      <c r="T2" s="345"/>
      <c r="U2" s="345"/>
      <c r="V2" s="345"/>
      <c r="W2" s="1022"/>
      <c r="X2" s="5"/>
      <c r="Y2" s="5"/>
      <c r="Z2" s="5"/>
    </row>
    <row r="3" spans="1:26" ht="12.75" customHeight="1">
      <c r="A3" s="309"/>
      <c r="B3" s="2001"/>
      <c r="C3" s="1985"/>
      <c r="D3" s="1985"/>
      <c r="E3" s="1985"/>
      <c r="F3" s="1985"/>
      <c r="G3" s="1985"/>
      <c r="H3" s="1985"/>
      <c r="I3" s="1985"/>
      <c r="J3" s="1985"/>
      <c r="K3" s="1985"/>
      <c r="L3" s="1985"/>
      <c r="M3" s="1985"/>
      <c r="N3" s="1985"/>
      <c r="O3" s="1985"/>
      <c r="P3" s="1985"/>
      <c r="Q3" s="991"/>
      <c r="R3" s="991"/>
      <c r="S3" s="991"/>
      <c r="T3" s="992"/>
      <c r="U3" s="992"/>
      <c r="V3" s="992"/>
      <c r="W3" s="1022"/>
      <c r="X3" s="5"/>
      <c r="Y3" s="5"/>
      <c r="Z3" s="5"/>
    </row>
    <row r="4" spans="1:26" ht="12.75" customHeight="1">
      <c r="A4" s="309"/>
      <c r="B4" s="894"/>
      <c r="C4" s="894"/>
      <c r="D4" s="894"/>
      <c r="E4" s="894"/>
      <c r="F4" s="894"/>
      <c r="G4" s="894"/>
      <c r="H4" s="894"/>
      <c r="I4" s="894"/>
      <c r="J4" s="894"/>
      <c r="K4" s="894"/>
      <c r="L4" s="894"/>
      <c r="M4" s="894"/>
      <c r="N4" s="894"/>
      <c r="O4" s="894"/>
      <c r="P4" s="894"/>
      <c r="Q4" s="994"/>
      <c r="R4" s="994"/>
      <c r="S4" s="994"/>
      <c r="T4" s="933"/>
      <c r="U4" s="933"/>
      <c r="V4" s="933"/>
      <c r="W4" s="609"/>
      <c r="X4" s="5"/>
      <c r="Y4" s="5"/>
      <c r="Z4" s="5"/>
    </row>
    <row r="5" spans="1:26" ht="12.75" customHeight="1">
      <c r="A5" s="897"/>
      <c r="B5" s="897"/>
      <c r="C5" s="898"/>
      <c r="D5" s="1988" t="s">
        <v>3</v>
      </c>
      <c r="E5" s="1989"/>
      <c r="F5" s="1989"/>
      <c r="G5" s="1989"/>
      <c r="H5" s="1989"/>
      <c r="I5" s="1989"/>
      <c r="J5" s="1989"/>
      <c r="K5" s="1989"/>
      <c r="L5" s="1989"/>
      <c r="M5" s="1990"/>
      <c r="N5" s="899"/>
      <c r="O5" s="1991"/>
      <c r="P5" s="1992"/>
      <c r="Q5" s="995"/>
      <c r="R5" s="995"/>
      <c r="S5" s="995"/>
      <c r="T5" s="309"/>
      <c r="U5" s="309"/>
      <c r="V5" s="309"/>
      <c r="W5" s="328"/>
      <c r="X5" s="5"/>
      <c r="Y5" s="5"/>
      <c r="Z5" s="5"/>
    </row>
    <row r="6" spans="1:26" ht="12.75" customHeight="1">
      <c r="A6" s="323"/>
      <c r="B6" s="900"/>
      <c r="C6" s="901"/>
      <c r="D6" s="1980">
        <v>39082</v>
      </c>
      <c r="E6" s="1981"/>
      <c r="F6" s="1981"/>
      <c r="G6" s="1981"/>
      <c r="H6" s="902"/>
      <c r="I6" s="1982">
        <v>39447</v>
      </c>
      <c r="J6" s="1981"/>
      <c r="K6" s="1981"/>
      <c r="L6" s="1981"/>
      <c r="M6" s="1983"/>
      <c r="N6" s="900"/>
      <c r="O6" s="900" t="s">
        <v>5</v>
      </c>
      <c r="P6" s="27" t="s">
        <v>6</v>
      </c>
      <c r="Q6" s="892"/>
      <c r="R6" s="892"/>
      <c r="S6" s="892"/>
      <c r="T6" s="323"/>
      <c r="U6" s="323"/>
      <c r="V6" s="323"/>
      <c r="W6" s="327"/>
      <c r="X6" s="5"/>
      <c r="Y6" s="5"/>
      <c r="Z6" s="5"/>
    </row>
    <row r="7" spans="1:26" ht="12.75" customHeight="1">
      <c r="A7" s="904"/>
      <c r="B7" s="905" t="s">
        <v>7</v>
      </c>
      <c r="C7" s="906" t="s">
        <v>8</v>
      </c>
      <c r="D7" s="1" t="s">
        <v>9</v>
      </c>
      <c r="E7" s="905" t="s">
        <v>10</v>
      </c>
      <c r="F7" s="905" t="s">
        <v>11</v>
      </c>
      <c r="G7" s="905" t="s">
        <v>12</v>
      </c>
      <c r="H7" s="905"/>
      <c r="I7" s="113" t="s">
        <v>9</v>
      </c>
      <c r="J7" s="905" t="s">
        <v>10</v>
      </c>
      <c r="K7" s="907" t="s">
        <v>11</v>
      </c>
      <c r="L7" s="907" t="s">
        <v>13</v>
      </c>
      <c r="M7" s="908" t="s">
        <v>14</v>
      </c>
      <c r="N7" s="905"/>
      <c r="O7" s="905" t="s">
        <v>15</v>
      </c>
      <c r="P7" s="908" t="s">
        <v>15</v>
      </c>
      <c r="Q7" s="900"/>
      <c r="R7" s="900"/>
      <c r="S7" s="892"/>
      <c r="T7" s="323"/>
      <c r="U7" s="323"/>
      <c r="V7" s="323"/>
      <c r="W7" s="327"/>
      <c r="X7" s="5"/>
      <c r="Y7" s="5"/>
      <c r="Z7" s="5"/>
    </row>
    <row r="8" spans="1:26" ht="12.75" customHeight="1">
      <c r="A8" s="1000">
        <v>1</v>
      </c>
      <c r="B8" s="323" t="s">
        <v>16</v>
      </c>
      <c r="C8" s="1023" t="s">
        <v>17</v>
      </c>
      <c r="D8" s="334">
        <v>50</v>
      </c>
      <c r="E8" s="323">
        <v>30.01</v>
      </c>
      <c r="F8" s="327">
        <f>E8*D8</f>
        <v>1500.5</v>
      </c>
      <c r="G8" s="1042">
        <f>F8/$F$53</f>
        <v>1.987788447908815E-2</v>
      </c>
      <c r="H8" s="323"/>
      <c r="I8" s="1024">
        <v>50</v>
      </c>
      <c r="J8" s="547" t="s">
        <v>86</v>
      </c>
      <c r="K8" s="1043" t="e">
        <f t="shared" ref="K8:K30" si="0">I8*J8</f>
        <v>#VALUE!</v>
      </c>
      <c r="L8" s="1025" t="e">
        <f t="shared" ref="L8:L30" si="1">K8/$K$49</f>
        <v>#VALUE!</v>
      </c>
      <c r="M8" s="1026" t="e">
        <f t="shared" ref="M8:M30" si="2">K8/$K$53</f>
        <v>#VALUE!</v>
      </c>
      <c r="N8" s="323"/>
      <c r="O8" s="495" t="e">
        <f>(J8-E8)/E8</f>
        <v>#VALUE!</v>
      </c>
      <c r="P8" s="1001" t="s">
        <v>86</v>
      </c>
      <c r="Q8" s="1044"/>
      <c r="R8" s="323"/>
      <c r="S8" s="1028"/>
      <c r="T8" s="323"/>
      <c r="U8" s="323"/>
      <c r="V8" s="323"/>
      <c r="W8" s="327"/>
      <c r="X8" s="5"/>
      <c r="Y8" s="5"/>
      <c r="Z8" s="5"/>
    </row>
    <row r="9" spans="1:26" ht="12.75" customHeight="1">
      <c r="A9" s="1000">
        <v>2</v>
      </c>
      <c r="B9" s="323" t="s">
        <v>18</v>
      </c>
      <c r="C9" s="1023" t="s">
        <v>19</v>
      </c>
      <c r="D9" s="334"/>
      <c r="E9" s="323"/>
      <c r="F9" s="327"/>
      <c r="G9" s="1042"/>
      <c r="H9" s="323"/>
      <c r="I9" s="1024">
        <v>60</v>
      </c>
      <c r="J9" s="547" t="s">
        <v>86</v>
      </c>
      <c r="K9" s="1043" t="e">
        <f t="shared" si="0"/>
        <v>#VALUE!</v>
      </c>
      <c r="L9" s="1025" t="e">
        <f t="shared" si="1"/>
        <v>#VALUE!</v>
      </c>
      <c r="M9" s="1026" t="e">
        <f t="shared" si="2"/>
        <v>#VALUE!</v>
      </c>
      <c r="N9" s="323"/>
      <c r="O9" s="495"/>
      <c r="P9" s="1001" t="s">
        <v>86</v>
      </c>
      <c r="Q9" s="1044"/>
      <c r="R9" s="323"/>
      <c r="S9" s="1028"/>
      <c r="T9" s="323"/>
      <c r="U9" s="323"/>
      <c r="V9" s="323"/>
      <c r="W9" s="327"/>
      <c r="X9" s="5"/>
      <c r="Y9" s="5"/>
      <c r="Z9" s="5"/>
    </row>
    <row r="10" spans="1:26" ht="12.75" customHeight="1">
      <c r="A10" s="1000">
        <v>3</v>
      </c>
      <c r="B10" s="323" t="s">
        <v>20</v>
      </c>
      <c r="C10" s="1023" t="s">
        <v>21</v>
      </c>
      <c r="D10" s="1029">
        <v>50</v>
      </c>
      <c r="E10" s="940">
        <v>62.08</v>
      </c>
      <c r="F10" s="327">
        <f>E10*D10</f>
        <v>3104</v>
      </c>
      <c r="G10" s="1042">
        <f>F10/$F$53</f>
        <v>4.1120262194661521E-2</v>
      </c>
      <c r="H10" s="940"/>
      <c r="I10" s="940">
        <v>100</v>
      </c>
      <c r="J10" s="547" t="s">
        <v>86</v>
      </c>
      <c r="K10" s="1043" t="e">
        <f t="shared" si="0"/>
        <v>#VALUE!</v>
      </c>
      <c r="L10" s="1025" t="e">
        <f t="shared" si="1"/>
        <v>#VALUE!</v>
      </c>
      <c r="M10" s="1026" t="e">
        <f t="shared" si="2"/>
        <v>#VALUE!</v>
      </c>
      <c r="N10" s="345"/>
      <c r="O10" s="495" t="e">
        <f>(K10-F10)/F10</f>
        <v>#VALUE!</v>
      </c>
      <c r="P10" s="1027" t="s">
        <v>86</v>
      </c>
      <c r="Q10" s="1044"/>
      <c r="R10" s="1001"/>
      <c r="S10" s="326"/>
      <c r="T10" s="309"/>
      <c r="U10" s="328"/>
      <c r="V10" s="309"/>
      <c r="W10" s="328"/>
      <c r="X10" s="5"/>
      <c r="Y10" s="5"/>
      <c r="Z10" s="5"/>
    </row>
    <row r="11" spans="1:26" ht="12.75" customHeight="1">
      <c r="A11" s="1000">
        <v>4</v>
      </c>
      <c r="B11" s="323" t="s">
        <v>204</v>
      </c>
      <c r="C11" s="1023" t="s">
        <v>205</v>
      </c>
      <c r="D11" s="1029"/>
      <c r="E11" s="940"/>
      <c r="F11" s="327"/>
      <c r="G11" s="1042"/>
      <c r="H11" s="940"/>
      <c r="I11" s="940">
        <v>35</v>
      </c>
      <c r="J11" s="547" t="s">
        <v>86</v>
      </c>
      <c r="K11" s="1043" t="e">
        <f t="shared" si="0"/>
        <v>#VALUE!</v>
      </c>
      <c r="L11" s="1025" t="e">
        <f t="shared" si="1"/>
        <v>#VALUE!</v>
      </c>
      <c r="M11" s="1026" t="e">
        <f t="shared" si="2"/>
        <v>#VALUE!</v>
      </c>
      <c r="N11" s="345"/>
      <c r="O11" s="495"/>
      <c r="P11" s="1027" t="s">
        <v>86</v>
      </c>
      <c r="Q11" s="1044"/>
      <c r="R11" s="1001"/>
      <c r="S11" s="326"/>
      <c r="T11" s="309"/>
      <c r="U11" s="328"/>
      <c r="V11" s="309"/>
      <c r="W11" s="328"/>
      <c r="X11" s="5"/>
      <c r="Y11" s="5"/>
      <c r="Z11" s="5"/>
    </row>
    <row r="12" spans="1:26" ht="12.75" customHeight="1">
      <c r="A12" s="1000">
        <v>5</v>
      </c>
      <c r="B12" s="323" t="s">
        <v>206</v>
      </c>
      <c r="C12" s="1023" t="s">
        <v>207</v>
      </c>
      <c r="D12" s="1029"/>
      <c r="E12" s="940"/>
      <c r="F12" s="327"/>
      <c r="G12" s="1042"/>
      <c r="H12" s="940"/>
      <c r="I12" s="940">
        <v>25</v>
      </c>
      <c r="J12" s="547" t="s">
        <v>86</v>
      </c>
      <c r="K12" s="1043" t="e">
        <f t="shared" si="0"/>
        <v>#VALUE!</v>
      </c>
      <c r="L12" s="1025" t="e">
        <f t="shared" si="1"/>
        <v>#VALUE!</v>
      </c>
      <c r="M12" s="1026" t="e">
        <f t="shared" si="2"/>
        <v>#VALUE!</v>
      </c>
      <c r="N12" s="345"/>
      <c r="O12" s="495"/>
      <c r="P12" s="1027" t="s">
        <v>86</v>
      </c>
      <c r="Q12" s="1044"/>
      <c r="R12" s="1001"/>
      <c r="S12" s="326"/>
      <c r="T12" s="309"/>
      <c r="U12" s="328"/>
      <c r="V12" s="309"/>
      <c r="W12" s="328"/>
      <c r="X12" s="5"/>
      <c r="Y12" s="5"/>
      <c r="Z12" s="5"/>
    </row>
    <row r="13" spans="1:26" ht="12.75" customHeight="1">
      <c r="A13" s="1000">
        <v>6</v>
      </c>
      <c r="B13" s="323" t="s">
        <v>208</v>
      </c>
      <c r="C13" s="1023" t="s">
        <v>209</v>
      </c>
      <c r="D13" s="1029"/>
      <c r="E13" s="940"/>
      <c r="F13" s="327"/>
      <c r="G13" s="1042"/>
      <c r="H13" s="940"/>
      <c r="I13" s="940">
        <v>100</v>
      </c>
      <c r="J13" s="547" t="s">
        <v>86</v>
      </c>
      <c r="K13" s="1043" t="e">
        <f t="shared" si="0"/>
        <v>#VALUE!</v>
      </c>
      <c r="L13" s="1025" t="e">
        <f t="shared" si="1"/>
        <v>#VALUE!</v>
      </c>
      <c r="M13" s="1026" t="e">
        <f t="shared" si="2"/>
        <v>#VALUE!</v>
      </c>
      <c r="N13" s="345"/>
      <c r="O13" s="495"/>
      <c r="P13" s="1027" t="s">
        <v>86</v>
      </c>
      <c r="Q13" s="1044"/>
      <c r="R13" s="1001"/>
      <c r="S13" s="326"/>
      <c r="T13" s="309"/>
      <c r="U13" s="328"/>
      <c r="V13" s="309"/>
      <c r="W13" s="328"/>
      <c r="X13" s="5"/>
      <c r="Y13" s="5"/>
      <c r="Z13" s="5"/>
    </row>
    <row r="14" spans="1:26" ht="12.75" customHeight="1">
      <c r="A14" s="1000">
        <v>7</v>
      </c>
      <c r="B14" s="913" t="s">
        <v>24</v>
      </c>
      <c r="C14" s="323" t="s">
        <v>25</v>
      </c>
      <c r="D14" s="946">
        <v>40</v>
      </c>
      <c r="E14" s="964">
        <v>72.44</v>
      </c>
      <c r="F14" s="327">
        <f>E14*D14</f>
        <v>2897.6</v>
      </c>
      <c r="G14" s="1042">
        <f>F14/$F$53</f>
        <v>3.8385976718830934E-2</v>
      </c>
      <c r="H14" s="949"/>
      <c r="I14" s="950">
        <v>40</v>
      </c>
      <c r="J14" s="547" t="s">
        <v>86</v>
      </c>
      <c r="K14" s="1043" t="e">
        <f t="shared" si="0"/>
        <v>#VALUE!</v>
      </c>
      <c r="L14" s="1025" t="e">
        <f t="shared" si="1"/>
        <v>#VALUE!</v>
      </c>
      <c r="M14" s="1026" t="e">
        <f t="shared" si="2"/>
        <v>#VALUE!</v>
      </c>
      <c r="N14" s="309"/>
      <c r="O14" s="495" t="e">
        <f>(J14-E14)/E14</f>
        <v>#VALUE!</v>
      </c>
      <c r="P14" s="1027" t="s">
        <v>86</v>
      </c>
      <c r="Q14" s="1044"/>
      <c r="R14" s="1001"/>
      <c r="S14" s="326"/>
      <c r="T14" s="309"/>
      <c r="U14" s="328"/>
      <c r="V14" s="309"/>
      <c r="W14" s="328"/>
      <c r="X14" s="5"/>
      <c r="Y14" s="5"/>
      <c r="Z14" s="5"/>
    </row>
    <row r="15" spans="1:26" ht="12.75" customHeight="1">
      <c r="A15" s="1000">
        <v>8</v>
      </c>
      <c r="B15" s="323" t="s">
        <v>26</v>
      </c>
      <c r="C15" s="323" t="s">
        <v>27</v>
      </c>
      <c r="D15" s="946">
        <v>60</v>
      </c>
      <c r="E15" s="964">
        <v>43.23</v>
      </c>
      <c r="F15" s="327">
        <f>E15*D15</f>
        <v>2593.7999999999997</v>
      </c>
      <c r="G15" s="1042">
        <f>F15/$F$53</f>
        <v>3.4361384046557038E-2</v>
      </c>
      <c r="H15" s="949"/>
      <c r="I15" s="950">
        <v>60</v>
      </c>
      <c r="J15" s="547" t="s">
        <v>86</v>
      </c>
      <c r="K15" s="1043" t="e">
        <f t="shared" si="0"/>
        <v>#VALUE!</v>
      </c>
      <c r="L15" s="1025" t="e">
        <f t="shared" si="1"/>
        <v>#VALUE!</v>
      </c>
      <c r="M15" s="1026" t="e">
        <f t="shared" si="2"/>
        <v>#VALUE!</v>
      </c>
      <c r="N15" s="309"/>
      <c r="O15" s="495" t="e">
        <f>(J15-E15)/E15</f>
        <v>#VALUE!</v>
      </c>
      <c r="P15" s="1027" t="s">
        <v>86</v>
      </c>
      <c r="Q15" s="1044"/>
      <c r="R15" s="1001"/>
      <c r="S15" s="326"/>
      <c r="T15" s="309"/>
      <c r="U15" s="328"/>
      <c r="V15" s="309"/>
      <c r="W15" s="328"/>
      <c r="X15" s="5"/>
      <c r="Y15" s="5"/>
      <c r="Z15" s="5"/>
    </row>
    <row r="16" spans="1:26" ht="12.75" customHeight="1">
      <c r="A16" s="1000">
        <v>9</v>
      </c>
      <c r="B16" s="323" t="s">
        <v>28</v>
      </c>
      <c r="C16" s="323" t="s">
        <v>29</v>
      </c>
      <c r="D16" s="946"/>
      <c r="E16" s="964"/>
      <c r="F16" s="327"/>
      <c r="G16" s="1042"/>
      <c r="H16" s="949"/>
      <c r="I16" s="950">
        <v>100</v>
      </c>
      <c r="J16" s="547" t="s">
        <v>86</v>
      </c>
      <c r="K16" s="1043" t="e">
        <f t="shared" si="0"/>
        <v>#VALUE!</v>
      </c>
      <c r="L16" s="1025" t="e">
        <f t="shared" si="1"/>
        <v>#VALUE!</v>
      </c>
      <c r="M16" s="1026" t="e">
        <f t="shared" si="2"/>
        <v>#VALUE!</v>
      </c>
      <c r="N16" s="309"/>
      <c r="O16" s="495"/>
      <c r="P16" s="1027" t="s">
        <v>86</v>
      </c>
      <c r="Q16" s="1044"/>
      <c r="R16" s="1001"/>
      <c r="S16" s="326"/>
      <c r="T16" s="309"/>
      <c r="U16" s="328"/>
      <c r="V16" s="309"/>
      <c r="W16" s="328"/>
      <c r="X16" s="5"/>
      <c r="Y16" s="5"/>
      <c r="Z16" s="5"/>
    </row>
    <row r="17" spans="1:26" ht="12.75" customHeight="1">
      <c r="A17" s="1000">
        <v>10</v>
      </c>
      <c r="B17" s="323" t="s">
        <v>30</v>
      </c>
      <c r="C17" s="323" t="s">
        <v>31</v>
      </c>
      <c r="D17" s="946">
        <v>60</v>
      </c>
      <c r="E17" s="964">
        <v>27.58</v>
      </c>
      <c r="F17" s="327">
        <f>E17*D17</f>
        <v>1654.8</v>
      </c>
      <c r="G17" s="1042">
        <f>F17/$F$53</f>
        <v>2.1921974832385917E-2</v>
      </c>
      <c r="H17" s="949"/>
      <c r="I17" s="950">
        <v>60</v>
      </c>
      <c r="J17" s="547" t="s">
        <v>86</v>
      </c>
      <c r="K17" s="1043" t="e">
        <f t="shared" si="0"/>
        <v>#VALUE!</v>
      </c>
      <c r="L17" s="1025" t="e">
        <f t="shared" si="1"/>
        <v>#VALUE!</v>
      </c>
      <c r="M17" s="1026" t="e">
        <f t="shared" si="2"/>
        <v>#VALUE!</v>
      </c>
      <c r="N17" s="309"/>
      <c r="O17" s="495" t="e">
        <f>(J17-E17)/E17</f>
        <v>#VALUE!</v>
      </c>
      <c r="P17" s="1027" t="s">
        <v>86</v>
      </c>
      <c r="Q17" s="1044"/>
      <c r="R17" s="1001"/>
      <c r="S17" s="326"/>
      <c r="T17" s="309"/>
      <c r="U17" s="328"/>
      <c r="V17" s="309"/>
      <c r="W17" s="328"/>
      <c r="X17" s="5"/>
      <c r="Y17" s="5"/>
      <c r="Z17" s="5"/>
    </row>
    <row r="18" spans="1:26" ht="12.75" customHeight="1">
      <c r="A18" s="1000">
        <v>11</v>
      </c>
      <c r="B18" s="323" t="s">
        <v>32</v>
      </c>
      <c r="C18" s="323" t="s">
        <v>33</v>
      </c>
      <c r="D18" s="946"/>
      <c r="E18" s="964"/>
      <c r="F18" s="327"/>
      <c r="G18" s="1042"/>
      <c r="H18" s="949"/>
      <c r="I18" s="950">
        <v>75</v>
      </c>
      <c r="J18" s="547" t="s">
        <v>86</v>
      </c>
      <c r="K18" s="1043" t="e">
        <f t="shared" si="0"/>
        <v>#VALUE!</v>
      </c>
      <c r="L18" s="1025" t="e">
        <f t="shared" si="1"/>
        <v>#VALUE!</v>
      </c>
      <c r="M18" s="1026" t="e">
        <f t="shared" si="2"/>
        <v>#VALUE!</v>
      </c>
      <c r="N18" s="309"/>
      <c r="O18" s="495"/>
      <c r="P18" s="1027" t="s">
        <v>86</v>
      </c>
      <c r="Q18" s="1044"/>
      <c r="R18" s="1001"/>
      <c r="S18" s="326"/>
      <c r="T18" s="309"/>
      <c r="U18" s="328"/>
      <c r="V18" s="309"/>
      <c r="W18" s="328"/>
      <c r="X18" s="5"/>
      <c r="Y18" s="5"/>
      <c r="Z18" s="5"/>
    </row>
    <row r="19" spans="1:26" ht="12.75" customHeight="1">
      <c r="A19" s="1000">
        <v>12</v>
      </c>
      <c r="B19" s="323" t="s">
        <v>34</v>
      </c>
      <c r="C19" s="323" t="s">
        <v>35</v>
      </c>
      <c r="D19" s="946"/>
      <c r="E19" s="964"/>
      <c r="F19" s="327"/>
      <c r="G19" s="1042"/>
      <c r="H19" s="949"/>
      <c r="I19" s="950">
        <v>75</v>
      </c>
      <c r="J19" s="547" t="s">
        <v>86</v>
      </c>
      <c r="K19" s="1043" t="e">
        <f t="shared" si="0"/>
        <v>#VALUE!</v>
      </c>
      <c r="L19" s="1025" t="e">
        <f t="shared" si="1"/>
        <v>#VALUE!</v>
      </c>
      <c r="M19" s="1026" t="e">
        <f t="shared" si="2"/>
        <v>#VALUE!</v>
      </c>
      <c r="N19" s="309"/>
      <c r="O19" s="495"/>
      <c r="P19" s="1027" t="s">
        <v>86</v>
      </c>
      <c r="Q19" s="1044"/>
      <c r="R19" s="1001"/>
      <c r="S19" s="326"/>
      <c r="T19" s="309"/>
      <c r="U19" s="328"/>
      <c r="V19" s="309"/>
      <c r="W19" s="328"/>
      <c r="X19" s="5"/>
      <c r="Y19" s="5"/>
      <c r="Z19" s="5"/>
    </row>
    <row r="20" spans="1:26" ht="12.75" customHeight="1">
      <c r="A20" s="1000">
        <v>13</v>
      </c>
      <c r="B20" s="323" t="s">
        <v>210</v>
      </c>
      <c r="C20" s="323" t="s">
        <v>211</v>
      </c>
      <c r="D20" s="946"/>
      <c r="E20" s="964"/>
      <c r="F20" s="327"/>
      <c r="G20" s="1042"/>
      <c r="H20" s="949"/>
      <c r="I20" s="950">
        <v>55</v>
      </c>
      <c r="J20" s="547" t="s">
        <v>86</v>
      </c>
      <c r="K20" s="1043" t="e">
        <f t="shared" si="0"/>
        <v>#VALUE!</v>
      </c>
      <c r="L20" s="1025" t="e">
        <f t="shared" si="1"/>
        <v>#VALUE!</v>
      </c>
      <c r="M20" s="1026" t="e">
        <f t="shared" si="2"/>
        <v>#VALUE!</v>
      </c>
      <c r="N20" s="309"/>
      <c r="O20" s="495"/>
      <c r="P20" s="1027" t="s">
        <v>86</v>
      </c>
      <c r="Q20" s="1044"/>
      <c r="R20" s="1001"/>
      <c r="S20" s="326"/>
      <c r="T20" s="309"/>
      <c r="U20" s="328"/>
      <c r="V20" s="309"/>
      <c r="W20" s="328"/>
      <c r="X20" s="5"/>
      <c r="Y20" s="5"/>
      <c r="Z20" s="5"/>
    </row>
    <row r="21" spans="1:26" ht="12.75" customHeight="1">
      <c r="A21" s="1000">
        <v>14</v>
      </c>
      <c r="B21" s="323" t="s">
        <v>212</v>
      </c>
      <c r="C21" s="323" t="s">
        <v>213</v>
      </c>
      <c r="D21" s="946"/>
      <c r="E21" s="964"/>
      <c r="F21" s="327"/>
      <c r="G21" s="1042"/>
      <c r="H21" s="949"/>
      <c r="I21" s="950">
        <v>20</v>
      </c>
      <c r="J21" s="547" t="s">
        <v>86</v>
      </c>
      <c r="K21" s="1043" t="e">
        <f t="shared" si="0"/>
        <v>#VALUE!</v>
      </c>
      <c r="L21" s="1025" t="e">
        <f t="shared" si="1"/>
        <v>#VALUE!</v>
      </c>
      <c r="M21" s="1026" t="e">
        <f t="shared" si="2"/>
        <v>#VALUE!</v>
      </c>
      <c r="N21" s="309"/>
      <c r="O21" s="495"/>
      <c r="P21" s="1027" t="s">
        <v>86</v>
      </c>
      <c r="Q21" s="1044"/>
      <c r="R21" s="1001"/>
      <c r="S21" s="326"/>
      <c r="T21" s="309"/>
      <c r="U21" s="328"/>
      <c r="V21" s="309"/>
      <c r="W21" s="328"/>
      <c r="X21" s="5"/>
      <c r="Y21" s="5"/>
      <c r="Z21" s="5"/>
    </row>
    <row r="22" spans="1:26" ht="12.75" customHeight="1">
      <c r="A22" s="1000">
        <v>15</v>
      </c>
      <c r="B22" s="323" t="s">
        <v>214</v>
      </c>
      <c r="C22" s="323" t="s">
        <v>215</v>
      </c>
      <c r="D22" s="946"/>
      <c r="E22" s="964"/>
      <c r="F22" s="327"/>
      <c r="G22" s="1042"/>
      <c r="H22" s="949"/>
      <c r="I22" s="950">
        <v>150</v>
      </c>
      <c r="J22" s="547" t="s">
        <v>86</v>
      </c>
      <c r="K22" s="1043" t="e">
        <f t="shared" si="0"/>
        <v>#VALUE!</v>
      </c>
      <c r="L22" s="1025" t="e">
        <f t="shared" si="1"/>
        <v>#VALUE!</v>
      </c>
      <c r="M22" s="1026" t="e">
        <f t="shared" si="2"/>
        <v>#VALUE!</v>
      </c>
      <c r="N22" s="309"/>
      <c r="O22" s="495"/>
      <c r="P22" s="1027" t="s">
        <v>86</v>
      </c>
      <c r="Q22" s="1044"/>
      <c r="R22" s="1001"/>
      <c r="S22" s="326"/>
      <c r="T22" s="309"/>
      <c r="U22" s="328"/>
      <c r="V22" s="309"/>
      <c r="W22" s="328"/>
      <c r="X22" s="5"/>
      <c r="Y22" s="5"/>
      <c r="Z22" s="5"/>
    </row>
    <row r="23" spans="1:26" ht="12.75" customHeight="1">
      <c r="A23" s="1000">
        <v>16</v>
      </c>
      <c r="B23" s="323" t="s">
        <v>216</v>
      </c>
      <c r="C23" s="323" t="s">
        <v>217</v>
      </c>
      <c r="D23" s="946"/>
      <c r="E23" s="964"/>
      <c r="F23" s="327"/>
      <c r="G23" s="1042"/>
      <c r="H23" s="949"/>
      <c r="I23" s="950">
        <v>100</v>
      </c>
      <c r="J23" s="547" t="s">
        <v>86</v>
      </c>
      <c r="K23" s="1043" t="e">
        <f t="shared" si="0"/>
        <v>#VALUE!</v>
      </c>
      <c r="L23" s="1025" t="e">
        <f t="shared" si="1"/>
        <v>#VALUE!</v>
      </c>
      <c r="M23" s="1026" t="e">
        <f t="shared" si="2"/>
        <v>#VALUE!</v>
      </c>
      <c r="N23" s="309"/>
      <c r="O23" s="495"/>
      <c r="P23" s="1027" t="s">
        <v>86</v>
      </c>
      <c r="Q23" s="1044"/>
      <c r="R23" s="1001"/>
      <c r="S23" s="326"/>
      <c r="T23" s="309"/>
      <c r="U23" s="328"/>
      <c r="V23" s="309"/>
      <c r="W23" s="328"/>
      <c r="X23" s="5"/>
      <c r="Y23" s="5"/>
      <c r="Z23" s="5"/>
    </row>
    <row r="24" spans="1:26" ht="12.75" customHeight="1">
      <c r="A24" s="1000">
        <v>17</v>
      </c>
      <c r="B24" s="323" t="s">
        <v>40</v>
      </c>
      <c r="C24" s="323" t="s">
        <v>41</v>
      </c>
      <c r="D24" s="946">
        <v>75</v>
      </c>
      <c r="E24" s="964">
        <v>29.86</v>
      </c>
      <c r="F24" s="327">
        <f>E24*D24</f>
        <v>2239.5</v>
      </c>
      <c r="G24" s="1042">
        <f>F24/$F$53</f>
        <v>2.9667792263190877E-2</v>
      </c>
      <c r="H24" s="949"/>
      <c r="I24" s="950">
        <v>75</v>
      </c>
      <c r="J24" s="547" t="s">
        <v>86</v>
      </c>
      <c r="K24" s="1043" t="e">
        <f t="shared" si="0"/>
        <v>#VALUE!</v>
      </c>
      <c r="L24" s="1025" t="e">
        <f t="shared" si="1"/>
        <v>#VALUE!</v>
      </c>
      <c r="M24" s="1026" t="e">
        <f t="shared" si="2"/>
        <v>#VALUE!</v>
      </c>
      <c r="N24" s="309"/>
      <c r="O24" s="495" t="e">
        <f>(J24-E24)/E24</f>
        <v>#VALUE!</v>
      </c>
      <c r="P24" s="1027" t="s">
        <v>86</v>
      </c>
      <c r="Q24" s="1044"/>
      <c r="R24" s="1001"/>
      <c r="S24" s="326"/>
      <c r="T24" s="309"/>
      <c r="U24" s="328"/>
      <c r="V24" s="309"/>
      <c r="W24" s="328"/>
      <c r="X24" s="5"/>
      <c r="Y24" s="5"/>
      <c r="Z24" s="5"/>
    </row>
    <row r="25" spans="1:26" ht="12.75" customHeight="1">
      <c r="A25" s="1000">
        <v>18</v>
      </c>
      <c r="B25" s="323" t="s">
        <v>218</v>
      </c>
      <c r="C25" s="323" t="s">
        <v>219</v>
      </c>
      <c r="D25" s="946"/>
      <c r="E25" s="964"/>
      <c r="F25" s="327"/>
      <c r="G25" s="1042"/>
      <c r="H25" s="949"/>
      <c r="I25" s="950">
        <v>65</v>
      </c>
      <c r="J25" s="547" t="s">
        <v>86</v>
      </c>
      <c r="K25" s="1043" t="e">
        <f t="shared" si="0"/>
        <v>#VALUE!</v>
      </c>
      <c r="L25" s="1025" t="e">
        <f t="shared" si="1"/>
        <v>#VALUE!</v>
      </c>
      <c r="M25" s="1026" t="e">
        <f t="shared" si="2"/>
        <v>#VALUE!</v>
      </c>
      <c r="N25" s="309"/>
      <c r="O25" s="495"/>
      <c r="P25" s="1027" t="s">
        <v>86</v>
      </c>
      <c r="Q25" s="1044"/>
      <c r="R25" s="1001"/>
      <c r="S25" s="326"/>
      <c r="T25" s="309"/>
      <c r="U25" s="328"/>
      <c r="V25" s="309"/>
      <c r="W25" s="328"/>
      <c r="X25" s="5"/>
      <c r="Y25" s="5"/>
      <c r="Z25" s="5"/>
    </row>
    <row r="26" spans="1:26" ht="12.75" customHeight="1">
      <c r="A26" s="1000">
        <v>19</v>
      </c>
      <c r="B26" s="323" t="s">
        <v>220</v>
      </c>
      <c r="C26" s="323" t="s">
        <v>221</v>
      </c>
      <c r="D26" s="946"/>
      <c r="E26" s="964"/>
      <c r="F26" s="327"/>
      <c r="G26" s="1042"/>
      <c r="H26" s="949"/>
      <c r="I26" s="950">
        <v>65</v>
      </c>
      <c r="J26" s="547" t="s">
        <v>86</v>
      </c>
      <c r="K26" s="1043" t="e">
        <f t="shared" si="0"/>
        <v>#VALUE!</v>
      </c>
      <c r="L26" s="1025" t="e">
        <f t="shared" si="1"/>
        <v>#VALUE!</v>
      </c>
      <c r="M26" s="1026" t="e">
        <f t="shared" si="2"/>
        <v>#VALUE!</v>
      </c>
      <c r="N26" s="309"/>
      <c r="O26" s="495"/>
      <c r="P26" s="1027" t="s">
        <v>86</v>
      </c>
      <c r="Q26" s="1044"/>
      <c r="R26" s="1001"/>
      <c r="S26" s="326"/>
      <c r="T26" s="309"/>
      <c r="U26" s="328"/>
      <c r="V26" s="309"/>
      <c r="W26" s="328"/>
      <c r="X26" s="5"/>
      <c r="Y26" s="5"/>
      <c r="Z26" s="5"/>
    </row>
    <row r="27" spans="1:26" ht="12.75" customHeight="1">
      <c r="A27" s="1000">
        <v>20</v>
      </c>
      <c r="B27" s="323" t="s">
        <v>46</v>
      </c>
      <c r="C27" s="323" t="s">
        <v>47</v>
      </c>
      <c r="D27" s="946">
        <v>75</v>
      </c>
      <c r="E27" s="964">
        <v>31.08</v>
      </c>
      <c r="F27" s="327">
        <f>E27*D27</f>
        <v>2331</v>
      </c>
      <c r="G27" s="1042">
        <f>F27/$F$53</f>
        <v>3.0879939167447169E-2</v>
      </c>
      <c r="H27" s="949"/>
      <c r="I27" s="950">
        <v>75</v>
      </c>
      <c r="J27" s="547" t="s">
        <v>86</v>
      </c>
      <c r="K27" s="1043" t="e">
        <f t="shared" si="0"/>
        <v>#VALUE!</v>
      </c>
      <c r="L27" s="1025" t="e">
        <f t="shared" si="1"/>
        <v>#VALUE!</v>
      </c>
      <c r="M27" s="1026" t="e">
        <f t="shared" si="2"/>
        <v>#VALUE!</v>
      </c>
      <c r="N27" s="309"/>
      <c r="O27" s="495" t="e">
        <f>(J27-E27)/E27</f>
        <v>#VALUE!</v>
      </c>
      <c r="P27" s="1027" t="s">
        <v>86</v>
      </c>
      <c r="Q27" s="1044"/>
      <c r="R27" s="1001"/>
      <c r="S27" s="326"/>
      <c r="T27" s="309"/>
      <c r="U27" s="328"/>
      <c r="V27" s="309"/>
      <c r="W27" s="328"/>
      <c r="X27" s="5"/>
      <c r="Y27" s="5"/>
      <c r="Z27" s="5"/>
    </row>
    <row r="28" spans="1:26" ht="12.75" customHeight="1">
      <c r="A28" s="1000">
        <v>21</v>
      </c>
      <c r="B28" s="323" t="s">
        <v>222</v>
      </c>
      <c r="C28" s="323" t="s">
        <v>223</v>
      </c>
      <c r="D28" s="946"/>
      <c r="E28" s="964"/>
      <c r="F28" s="327"/>
      <c r="G28" s="1042"/>
      <c r="H28" s="949"/>
      <c r="I28" s="950">
        <v>30</v>
      </c>
      <c r="J28" s="547" t="s">
        <v>86</v>
      </c>
      <c r="K28" s="1043" t="e">
        <f t="shared" si="0"/>
        <v>#VALUE!</v>
      </c>
      <c r="L28" s="1025" t="e">
        <f t="shared" si="1"/>
        <v>#VALUE!</v>
      </c>
      <c r="M28" s="1026" t="e">
        <f t="shared" si="2"/>
        <v>#VALUE!</v>
      </c>
      <c r="N28" s="309"/>
      <c r="O28" s="495"/>
      <c r="P28" s="1027" t="s">
        <v>86</v>
      </c>
      <c r="Q28" s="1044"/>
      <c r="R28" s="1001"/>
      <c r="S28" s="326"/>
      <c r="T28" s="309"/>
      <c r="U28" s="328"/>
      <c r="V28" s="309"/>
      <c r="W28" s="328"/>
      <c r="X28" s="5"/>
      <c r="Y28" s="5"/>
      <c r="Z28" s="5"/>
    </row>
    <row r="29" spans="1:26" ht="12.75" customHeight="1">
      <c r="A29" s="1000">
        <v>22</v>
      </c>
      <c r="B29" s="323" t="s">
        <v>48</v>
      </c>
      <c r="C29" s="323" t="s">
        <v>49</v>
      </c>
      <c r="D29" s="946"/>
      <c r="E29" s="964"/>
      <c r="F29" s="948"/>
      <c r="G29" s="949"/>
      <c r="H29" s="949"/>
      <c r="I29" s="950">
        <v>90</v>
      </c>
      <c r="J29" s="547" t="s">
        <v>86</v>
      </c>
      <c r="K29" s="1043" t="e">
        <f t="shared" si="0"/>
        <v>#VALUE!</v>
      </c>
      <c r="L29" s="1025" t="e">
        <f t="shared" si="1"/>
        <v>#VALUE!</v>
      </c>
      <c r="M29" s="1026" t="e">
        <f t="shared" si="2"/>
        <v>#VALUE!</v>
      </c>
      <c r="N29" s="309"/>
      <c r="O29" s="1001"/>
      <c r="P29" s="1027" t="s">
        <v>86</v>
      </c>
      <c r="Q29" s="1044"/>
      <c r="R29" s="1001"/>
      <c r="S29" s="326"/>
      <c r="T29" s="309"/>
      <c r="U29" s="328"/>
      <c r="V29" s="309"/>
      <c r="W29" s="328"/>
      <c r="X29" s="5"/>
      <c r="Y29" s="5"/>
      <c r="Z29" s="5"/>
    </row>
    <row r="30" spans="1:26" ht="12.75" customHeight="1">
      <c r="A30" s="1000">
        <v>23</v>
      </c>
      <c r="B30" s="913" t="s">
        <v>50</v>
      </c>
      <c r="C30" s="323" t="s">
        <v>51</v>
      </c>
      <c r="D30" s="946"/>
      <c r="E30" s="947"/>
      <c r="F30" s="948"/>
      <c r="G30" s="949"/>
      <c r="H30" s="949"/>
      <c r="I30" s="950">
        <v>100</v>
      </c>
      <c r="J30" s="547" t="s">
        <v>86</v>
      </c>
      <c r="K30" s="1043" t="e">
        <f t="shared" si="0"/>
        <v>#VALUE!</v>
      </c>
      <c r="L30" s="1025" t="e">
        <f t="shared" si="1"/>
        <v>#VALUE!</v>
      </c>
      <c r="M30" s="1026" t="e">
        <f t="shared" si="2"/>
        <v>#VALUE!</v>
      </c>
      <c r="N30" s="309"/>
      <c r="O30" s="949"/>
      <c r="P30" s="1027" t="s">
        <v>86</v>
      </c>
      <c r="Q30" s="1044"/>
      <c r="R30" s="956"/>
      <c r="S30" s="326"/>
      <c r="T30" s="309"/>
      <c r="U30" s="328"/>
      <c r="V30" s="309"/>
      <c r="W30" s="328"/>
      <c r="X30" s="5"/>
      <c r="Y30" s="5"/>
      <c r="Z30" s="5"/>
    </row>
    <row r="31" spans="1:26" ht="12.75" customHeight="1">
      <c r="A31" s="18"/>
      <c r="B31" s="959"/>
      <c r="C31" s="309"/>
      <c r="D31" s="946"/>
      <c r="E31" s="947"/>
      <c r="F31" s="948"/>
      <c r="G31" s="949"/>
      <c r="H31" s="949"/>
      <c r="I31" s="950"/>
      <c r="J31" s="1032"/>
      <c r="K31" s="1043"/>
      <c r="L31" s="1030"/>
      <c r="M31" s="1031"/>
      <c r="N31" s="309"/>
      <c r="O31" s="949"/>
      <c r="P31" s="1033"/>
      <c r="Q31" s="326"/>
      <c r="R31" s="326"/>
      <c r="S31" s="326"/>
      <c r="T31" s="309"/>
      <c r="U31" s="309"/>
      <c r="V31" s="309"/>
      <c r="W31" s="328"/>
      <c r="X31" s="5"/>
      <c r="Y31" s="5"/>
      <c r="Z31" s="5"/>
    </row>
    <row r="32" spans="1:26" ht="12.75" customHeight="1">
      <c r="A32" s="18"/>
      <c r="B32" s="1002" t="s">
        <v>52</v>
      </c>
      <c r="C32" s="972"/>
      <c r="D32" s="1003"/>
      <c r="E32" s="1004"/>
      <c r="F32" s="1005"/>
      <c r="G32" s="1006"/>
      <c r="H32" s="1006"/>
      <c r="I32" s="1007"/>
      <c r="J32" s="1008"/>
      <c r="K32" s="1045"/>
      <c r="L32" s="1034"/>
      <c r="M32" s="28"/>
      <c r="N32" s="972"/>
      <c r="O32" s="1006"/>
      <c r="P32" s="20"/>
      <c r="Q32" s="1035"/>
      <c r="R32" s="326"/>
      <c r="S32" s="326"/>
      <c r="T32" s="309"/>
      <c r="U32" s="309"/>
      <c r="V32" s="309"/>
      <c r="W32" s="328"/>
      <c r="X32" s="5"/>
      <c r="Y32" s="5"/>
      <c r="Z32" s="5"/>
    </row>
    <row r="33" spans="1:26" ht="12.75" hidden="1" customHeight="1">
      <c r="A33" s="1036"/>
      <c r="B33" s="323"/>
      <c r="C33" s="323"/>
      <c r="D33" s="946"/>
      <c r="E33" s="964"/>
      <c r="F33" s="948"/>
      <c r="G33" s="949"/>
      <c r="H33" s="949"/>
      <c r="I33" s="950"/>
      <c r="J33" s="964"/>
      <c r="K33" s="1046"/>
      <c r="L33" s="1037"/>
      <c r="M33" s="1031"/>
      <c r="N33" s="309"/>
      <c r="O33" s="1001"/>
      <c r="P33" s="965"/>
      <c r="Q33" s="326"/>
      <c r="R33" s="326"/>
      <c r="S33" s="326"/>
      <c r="T33" s="309"/>
      <c r="U33" s="309"/>
      <c r="V33" s="309"/>
      <c r="W33" s="328"/>
      <c r="X33" s="5"/>
      <c r="Y33" s="5"/>
      <c r="Z33" s="5"/>
    </row>
    <row r="34" spans="1:26" ht="12.75" hidden="1" customHeight="1">
      <c r="A34" s="1000"/>
      <c r="B34" s="323"/>
      <c r="C34" s="323"/>
      <c r="D34" s="946"/>
      <c r="E34" s="964"/>
      <c r="F34" s="948"/>
      <c r="G34" s="949"/>
      <c r="H34" s="949"/>
      <c r="I34" s="950"/>
      <c r="J34" s="1032"/>
      <c r="K34" s="1043"/>
      <c r="L34" s="1030"/>
      <c r="M34" s="1031"/>
      <c r="N34" s="309"/>
      <c r="O34" s="1001"/>
      <c r="P34" s="1027"/>
      <c r="Q34" s="326"/>
      <c r="R34" s="326"/>
      <c r="S34" s="326"/>
      <c r="T34" s="309"/>
      <c r="U34" s="309"/>
      <c r="V34" s="309"/>
      <c r="W34" s="328"/>
      <c r="X34" s="5"/>
      <c r="Y34" s="5"/>
      <c r="Z34" s="5"/>
    </row>
    <row r="35" spans="1:26" ht="12.75" hidden="1" customHeight="1">
      <c r="A35" s="1036"/>
      <c r="B35" s="323"/>
      <c r="C35" s="323"/>
      <c r="D35" s="946"/>
      <c r="E35" s="964"/>
      <c r="F35" s="1047"/>
      <c r="G35" s="949"/>
      <c r="H35" s="949"/>
      <c r="I35" s="950"/>
      <c r="J35" s="1032"/>
      <c r="K35" s="1043"/>
      <c r="L35" s="1030"/>
      <c r="M35" s="1031"/>
      <c r="N35" s="309"/>
      <c r="O35" s="1001"/>
      <c r="P35" s="1027"/>
      <c r="Q35" s="326"/>
      <c r="R35" s="326"/>
      <c r="S35" s="326"/>
      <c r="T35" s="309"/>
      <c r="U35" s="309"/>
      <c r="V35" s="309"/>
      <c r="W35" s="328"/>
      <c r="X35" s="5"/>
      <c r="Y35" s="5"/>
      <c r="Z35" s="5"/>
    </row>
    <row r="36" spans="1:26" ht="12.75" hidden="1" customHeight="1">
      <c r="A36" s="1000"/>
      <c r="B36" s="323"/>
      <c r="C36" s="323"/>
      <c r="D36" s="946"/>
      <c r="E36" s="964"/>
      <c r="F36" s="948"/>
      <c r="G36" s="949"/>
      <c r="H36" s="949"/>
      <c r="I36" s="950"/>
      <c r="J36" s="1032"/>
      <c r="K36" s="1043"/>
      <c r="L36" s="1030"/>
      <c r="M36" s="1031"/>
      <c r="N36" s="309"/>
      <c r="O36" s="1001"/>
      <c r="P36" s="1027"/>
      <c r="Q36" s="326"/>
      <c r="R36" s="326"/>
      <c r="S36" s="326"/>
      <c r="T36" s="309"/>
      <c r="U36" s="309"/>
      <c r="V36" s="309"/>
      <c r="W36" s="328"/>
      <c r="X36" s="5"/>
      <c r="Y36" s="5"/>
      <c r="Z36" s="5"/>
    </row>
    <row r="37" spans="1:26" ht="12.75" hidden="1" customHeight="1">
      <c r="A37" s="1036"/>
      <c r="B37" s="323"/>
      <c r="C37" s="323"/>
      <c r="D37" s="946"/>
      <c r="E37" s="964"/>
      <c r="F37" s="948"/>
      <c r="G37" s="949"/>
      <c r="H37" s="949"/>
      <c r="I37" s="950"/>
      <c r="J37" s="1032"/>
      <c r="K37" s="1043"/>
      <c r="L37" s="1030"/>
      <c r="M37" s="1031"/>
      <c r="N37" s="309"/>
      <c r="O37" s="1001"/>
      <c r="P37" s="1027"/>
      <c r="Q37" s="326"/>
      <c r="R37" s="326"/>
      <c r="S37" s="326"/>
      <c r="T37" s="309"/>
      <c r="U37" s="309"/>
      <c r="V37" s="309"/>
      <c r="W37" s="328"/>
      <c r="X37" s="5"/>
      <c r="Y37" s="5"/>
      <c r="Z37" s="5"/>
    </row>
    <row r="38" spans="1:26" ht="12.75" hidden="1" customHeight="1">
      <c r="A38" s="1000"/>
      <c r="B38" s="323"/>
      <c r="C38" s="323"/>
      <c r="D38" s="946"/>
      <c r="E38" s="964"/>
      <c r="F38" s="948"/>
      <c r="G38" s="949"/>
      <c r="H38" s="949"/>
      <c r="I38" s="950"/>
      <c r="J38" s="1032"/>
      <c r="K38" s="1043"/>
      <c r="L38" s="1030"/>
      <c r="M38" s="1031"/>
      <c r="N38" s="309"/>
      <c r="O38" s="1001"/>
      <c r="P38" s="1027"/>
      <c r="Q38" s="326"/>
      <c r="R38" s="326"/>
      <c r="S38" s="326"/>
      <c r="T38" s="309"/>
      <c r="U38" s="309"/>
      <c r="V38" s="309"/>
      <c r="W38" s="328"/>
      <c r="X38" s="5"/>
      <c r="Y38" s="5"/>
      <c r="Z38" s="5"/>
    </row>
    <row r="39" spans="1:26" ht="13.5" hidden="1" customHeight="1">
      <c r="A39" s="1036"/>
      <c r="B39" s="913"/>
      <c r="C39" s="323"/>
      <c r="D39" s="946"/>
      <c r="E39" s="964"/>
      <c r="F39" s="948"/>
      <c r="G39" s="949"/>
      <c r="H39" s="949"/>
      <c r="I39" s="950"/>
      <c r="J39" s="1032"/>
      <c r="K39" s="1043"/>
      <c r="L39" s="1030"/>
      <c r="M39" s="1031"/>
      <c r="N39" s="309"/>
      <c r="O39" s="1001"/>
      <c r="P39" s="1027"/>
      <c r="Q39" s="326"/>
      <c r="R39" s="326"/>
      <c r="S39" s="326"/>
      <c r="T39" s="309"/>
      <c r="U39" s="309"/>
      <c r="V39" s="309"/>
      <c r="W39" s="328"/>
      <c r="X39" s="5"/>
      <c r="Y39" s="5"/>
      <c r="Z39" s="5"/>
    </row>
    <row r="40" spans="1:26" ht="12.75" hidden="1" customHeight="1">
      <c r="A40" s="29"/>
      <c r="B40" s="323"/>
      <c r="C40" s="138"/>
      <c r="D40" s="950"/>
      <c r="E40" s="964"/>
      <c r="F40" s="948"/>
      <c r="G40" s="949"/>
      <c r="H40" s="949"/>
      <c r="I40" s="950"/>
      <c r="J40" s="1032"/>
      <c r="K40" s="1043"/>
      <c r="L40" s="1030"/>
      <c r="M40" s="1031"/>
      <c r="N40" s="309"/>
      <c r="O40" s="1001"/>
      <c r="P40" s="1027"/>
      <c r="Q40" s="326"/>
      <c r="R40" s="326"/>
      <c r="S40" s="326"/>
      <c r="T40" s="309"/>
      <c r="U40" s="309"/>
      <c r="V40" s="309"/>
      <c r="W40" s="328"/>
      <c r="X40" s="5"/>
      <c r="Y40" s="5"/>
      <c r="Z40" s="5"/>
    </row>
    <row r="41" spans="1:26" ht="12.75" hidden="1" customHeight="1">
      <c r="A41" s="1000"/>
      <c r="B41" s="323"/>
      <c r="C41" s="323"/>
      <c r="D41" s="946"/>
      <c r="E41" s="964"/>
      <c r="F41" s="948"/>
      <c r="G41" s="949"/>
      <c r="H41" s="949"/>
      <c r="I41" s="950"/>
      <c r="J41" s="1032"/>
      <c r="K41" s="1043"/>
      <c r="L41" s="1030"/>
      <c r="M41" s="1031"/>
      <c r="N41" s="309"/>
      <c r="O41" s="1001"/>
      <c r="P41" s="1027"/>
      <c r="Q41" s="326"/>
      <c r="R41" s="326"/>
      <c r="S41" s="326"/>
      <c r="T41" s="309"/>
      <c r="U41" s="309"/>
      <c r="V41" s="309"/>
      <c r="W41" s="328"/>
      <c r="X41" s="5"/>
      <c r="Y41" s="5"/>
      <c r="Z41" s="5"/>
    </row>
    <row r="42" spans="1:26" ht="12.75" customHeight="1">
      <c r="A42" s="1039">
        <v>1</v>
      </c>
      <c r="B42" s="334" t="s">
        <v>61</v>
      </c>
      <c r="C42" s="323" t="s">
        <v>62</v>
      </c>
      <c r="D42" s="946">
        <v>100</v>
      </c>
      <c r="E42" s="964">
        <v>48.77</v>
      </c>
      <c r="F42" s="948">
        <f t="shared" ref="F42:F48" si="3">D42*E42</f>
        <v>4877</v>
      </c>
      <c r="G42" s="949"/>
      <c r="H42" s="949"/>
      <c r="I42" s="950"/>
      <c r="J42" s="1032"/>
      <c r="K42" s="1043"/>
      <c r="L42" s="1030"/>
      <c r="M42" s="1031"/>
      <c r="N42" s="309"/>
      <c r="O42" s="1001"/>
      <c r="P42" s="1027"/>
      <c r="Q42" s="326"/>
      <c r="R42" s="326"/>
      <c r="S42" s="326"/>
      <c r="T42" s="309"/>
      <c r="U42" s="309"/>
      <c r="V42" s="309"/>
      <c r="W42" s="328"/>
      <c r="X42" s="5"/>
      <c r="Y42" s="5"/>
      <c r="Z42" s="5"/>
    </row>
    <row r="43" spans="1:26" ht="12.75" customHeight="1">
      <c r="A43" s="1039">
        <v>2</v>
      </c>
      <c r="B43" s="334" t="s">
        <v>36</v>
      </c>
      <c r="C43" s="323" t="s">
        <v>37</v>
      </c>
      <c r="D43" s="946">
        <v>20</v>
      </c>
      <c r="E43" s="964">
        <v>121.58</v>
      </c>
      <c r="F43" s="948">
        <f t="shared" si="3"/>
        <v>2431.6</v>
      </c>
      <c r="G43" s="949"/>
      <c r="H43" s="949"/>
      <c r="I43" s="950"/>
      <c r="J43" s="1032"/>
      <c r="K43" s="1043"/>
      <c r="L43" s="1030"/>
      <c r="M43" s="1031"/>
      <c r="N43" s="309"/>
      <c r="O43" s="1001"/>
      <c r="P43" s="1027"/>
      <c r="Q43" s="326"/>
      <c r="R43" s="326"/>
      <c r="S43" s="326"/>
      <c r="T43" s="309"/>
      <c r="U43" s="309"/>
      <c r="V43" s="309"/>
      <c r="W43" s="328"/>
      <c r="X43" s="916"/>
      <c r="Y43" s="916"/>
      <c r="Z43" s="916"/>
    </row>
    <row r="44" spans="1:26" ht="12.75" customHeight="1">
      <c r="A44" s="1039">
        <v>3</v>
      </c>
      <c r="B44" s="334" t="s">
        <v>38</v>
      </c>
      <c r="C44" s="323" t="s">
        <v>39</v>
      </c>
      <c r="D44" s="946">
        <v>165</v>
      </c>
      <c r="E44" s="964">
        <v>40.159999999999997</v>
      </c>
      <c r="F44" s="948">
        <f t="shared" si="3"/>
        <v>6626.4</v>
      </c>
      <c r="G44" s="949"/>
      <c r="H44" s="949"/>
      <c r="I44" s="950"/>
      <c r="J44" s="1032"/>
      <c r="K44" s="1043"/>
      <c r="L44" s="1030"/>
      <c r="M44" s="1031"/>
      <c r="N44" s="309"/>
      <c r="O44" s="1001"/>
      <c r="P44" s="1027"/>
      <c r="Q44" s="326"/>
      <c r="R44" s="326"/>
      <c r="S44" s="326"/>
      <c r="T44" s="309"/>
      <c r="U44" s="309"/>
      <c r="V44" s="309"/>
      <c r="W44" s="328"/>
      <c r="X44" s="5"/>
      <c r="Y44" s="5"/>
      <c r="Z44" s="5"/>
    </row>
    <row r="45" spans="1:26" ht="12.75" customHeight="1">
      <c r="A45" s="1000">
        <v>4</v>
      </c>
      <c r="B45" s="323" t="s">
        <v>22</v>
      </c>
      <c r="C45" s="323" t="s">
        <v>23</v>
      </c>
      <c r="D45" s="1029">
        <v>50</v>
      </c>
      <c r="E45" s="940">
        <v>53.39</v>
      </c>
      <c r="F45" s="948">
        <f t="shared" si="3"/>
        <v>2669.5</v>
      </c>
      <c r="G45" s="949"/>
      <c r="H45" s="949"/>
      <c r="I45" s="950"/>
      <c r="J45" s="1032"/>
      <c r="K45" s="1043"/>
      <c r="L45" s="1030"/>
      <c r="M45" s="1031"/>
      <c r="N45" s="309"/>
      <c r="O45" s="1001"/>
      <c r="P45" s="1027"/>
      <c r="Q45" s="326"/>
      <c r="R45" s="326"/>
      <c r="S45" s="326"/>
      <c r="T45" s="309"/>
      <c r="U45" s="309"/>
      <c r="V45" s="309"/>
      <c r="W45" s="328"/>
      <c r="X45" s="5"/>
      <c r="Y45" s="5"/>
      <c r="Z45" s="5"/>
    </row>
    <row r="46" spans="1:26" ht="12.75" customHeight="1">
      <c r="A46" s="1000">
        <v>5</v>
      </c>
      <c r="B46" s="323" t="s">
        <v>44</v>
      </c>
      <c r="C46" s="323" t="s">
        <v>45</v>
      </c>
      <c r="D46" s="946">
        <v>186</v>
      </c>
      <c r="E46" s="964">
        <v>23.23</v>
      </c>
      <c r="F46" s="948">
        <f t="shared" si="3"/>
        <v>4320.78</v>
      </c>
      <c r="G46" s="949"/>
      <c r="H46" s="949"/>
      <c r="I46" s="950"/>
      <c r="J46" s="1032"/>
      <c r="K46" s="1043"/>
      <c r="L46" s="1030"/>
      <c r="M46" s="1031"/>
      <c r="N46" s="309"/>
      <c r="O46" s="1001"/>
      <c r="P46" s="1027"/>
      <c r="Q46" s="326"/>
      <c r="R46" s="326"/>
      <c r="S46" s="326"/>
      <c r="T46" s="309"/>
      <c r="U46" s="309"/>
      <c r="V46" s="309"/>
      <c r="W46" s="328"/>
      <c r="X46" s="5"/>
      <c r="Y46" s="5"/>
      <c r="Z46" s="5"/>
    </row>
    <row r="47" spans="1:26" ht="12.75" customHeight="1">
      <c r="A47" s="1000">
        <v>6</v>
      </c>
      <c r="B47" s="323" t="s">
        <v>42</v>
      </c>
      <c r="C47" s="323" t="s">
        <v>43</v>
      </c>
      <c r="D47" s="946">
        <v>129</v>
      </c>
      <c r="E47" s="964">
        <v>17.47</v>
      </c>
      <c r="F47" s="948">
        <f t="shared" si="3"/>
        <v>2253.6299999999997</v>
      </c>
      <c r="G47" s="949"/>
      <c r="H47" s="949"/>
      <c r="I47" s="950"/>
      <c r="J47" s="1032"/>
      <c r="K47" s="1043"/>
      <c r="L47" s="1030"/>
      <c r="M47" s="1031"/>
      <c r="N47" s="309"/>
      <c r="O47" s="1001"/>
      <c r="P47" s="1027"/>
      <c r="Q47" s="326"/>
      <c r="R47" s="326"/>
      <c r="S47" s="326"/>
      <c r="T47" s="309"/>
      <c r="U47" s="309"/>
      <c r="V47" s="309"/>
      <c r="W47" s="328"/>
      <c r="X47" s="5"/>
      <c r="Y47" s="5"/>
      <c r="Z47" s="5"/>
    </row>
    <row r="48" spans="1:26" ht="12.75" customHeight="1">
      <c r="A48" s="29">
        <v>7</v>
      </c>
      <c r="B48" s="1048" t="s">
        <v>224</v>
      </c>
      <c r="C48" s="918" t="s">
        <v>225</v>
      </c>
      <c r="D48" s="1003">
        <v>90</v>
      </c>
      <c r="E48" s="1008">
        <v>144.18</v>
      </c>
      <c r="F48" s="1005">
        <f t="shared" si="3"/>
        <v>12976.2</v>
      </c>
      <c r="G48" s="1006"/>
      <c r="H48" s="1006"/>
      <c r="I48" s="1007"/>
      <c r="J48" s="1049"/>
      <c r="K48" s="1045"/>
      <c r="L48" s="1034"/>
      <c r="M48" s="28"/>
      <c r="N48" s="972"/>
      <c r="O48" s="1050"/>
      <c r="P48" s="30"/>
      <c r="Q48" s="326"/>
      <c r="R48" s="326"/>
      <c r="S48" s="326"/>
      <c r="T48" s="309"/>
      <c r="U48" s="309"/>
      <c r="V48" s="309"/>
      <c r="W48" s="328"/>
      <c r="X48" s="5"/>
      <c r="Y48" s="5"/>
      <c r="Z48" s="5"/>
    </row>
    <row r="49" spans="1:26" ht="12.75" customHeight="1">
      <c r="A49" s="309"/>
      <c r="B49" s="345" t="s">
        <v>63</v>
      </c>
      <c r="C49" s="345"/>
      <c r="D49" s="921"/>
      <c r="E49" s="308"/>
      <c r="F49" s="922">
        <v>34814.879999999997</v>
      </c>
      <c r="G49" s="967">
        <f>F49/$F$53</f>
        <v>0.46121037173829815</v>
      </c>
      <c r="H49" s="968"/>
      <c r="I49" s="308"/>
      <c r="J49" s="308"/>
      <c r="K49" s="1012" t="e">
        <f>SUM(K8:K30)</f>
        <v>#VALUE!</v>
      </c>
      <c r="L49" s="1012"/>
      <c r="M49" s="969" t="e">
        <f>K49/$K$53</f>
        <v>#VALUE!</v>
      </c>
      <c r="N49" s="345"/>
      <c r="O49" s="970"/>
      <c r="P49" s="134"/>
      <c r="Q49" s="326"/>
      <c r="R49" s="326"/>
      <c r="S49" s="326"/>
      <c r="T49" s="309"/>
      <c r="U49" s="309"/>
      <c r="V49" s="309"/>
      <c r="W49" s="328"/>
      <c r="X49" s="5"/>
      <c r="Y49" s="5"/>
      <c r="Z49" s="5"/>
    </row>
    <row r="50" spans="1:26" ht="12.75" customHeight="1">
      <c r="A50" s="309"/>
      <c r="B50" s="345"/>
      <c r="C50" s="345"/>
      <c r="D50" s="921"/>
      <c r="E50" s="922"/>
      <c r="F50" s="966"/>
      <c r="G50" s="967"/>
      <c r="H50" s="968"/>
      <c r="I50" s="308"/>
      <c r="J50" s="922"/>
      <c r="K50" s="1014"/>
      <c r="L50" s="309"/>
      <c r="M50" s="969"/>
      <c r="N50" s="345"/>
      <c r="O50" s="968"/>
      <c r="P50" s="134"/>
      <c r="Q50" s="326"/>
      <c r="R50" s="326"/>
      <c r="S50" s="326"/>
      <c r="T50" s="309"/>
      <c r="U50" s="309"/>
      <c r="V50" s="309"/>
      <c r="W50" s="328"/>
      <c r="X50" s="5"/>
      <c r="Y50" s="5"/>
      <c r="Z50" s="5"/>
    </row>
    <row r="51" spans="1:26" ht="12.75" customHeight="1">
      <c r="A51" s="309"/>
      <c r="B51" s="345" t="s">
        <v>64</v>
      </c>
      <c r="C51" s="345"/>
      <c r="D51" s="921"/>
      <c r="E51" s="922"/>
      <c r="F51" s="922">
        <v>40671.019999999997</v>
      </c>
      <c r="G51" s="967">
        <f>F51/$F$53</f>
        <v>0.53878962826170185</v>
      </c>
      <c r="H51" s="968"/>
      <c r="I51" s="308"/>
      <c r="J51" s="922"/>
      <c r="K51" s="1012">
        <v>5408.52</v>
      </c>
      <c r="L51" s="1012"/>
      <c r="M51" s="969" t="e">
        <f>K51/$K$53</f>
        <v>#VALUE!</v>
      </c>
      <c r="N51" s="345"/>
      <c r="O51" s="968"/>
      <c r="P51" s="134"/>
      <c r="Q51" s="326"/>
      <c r="R51" s="326"/>
      <c r="S51" s="326"/>
      <c r="T51" s="977"/>
      <c r="U51" s="309"/>
      <c r="V51" s="309"/>
      <c r="W51" s="328"/>
      <c r="X51" s="5"/>
      <c r="Y51" s="5"/>
      <c r="Z51" s="5"/>
    </row>
    <row r="52" spans="1:26" ht="12.75" customHeight="1">
      <c r="A52" s="923"/>
      <c r="B52" s="924" t="s">
        <v>65</v>
      </c>
      <c r="C52" s="924"/>
      <c r="D52" s="6"/>
      <c r="E52" s="925"/>
      <c r="F52" s="978"/>
      <c r="G52" s="979"/>
      <c r="H52" s="980"/>
      <c r="I52" s="925"/>
      <c r="J52" s="925"/>
      <c r="K52" s="1015"/>
      <c r="L52" s="1015"/>
      <c r="M52" s="21"/>
      <c r="N52" s="924"/>
      <c r="O52" s="981"/>
      <c r="P52" s="22"/>
      <c r="Q52" s="326"/>
      <c r="R52" s="326"/>
      <c r="S52" s="326"/>
      <c r="T52" s="309"/>
      <c r="U52" s="309"/>
      <c r="V52" s="309"/>
      <c r="W52" s="328"/>
      <c r="X52" s="5"/>
      <c r="Y52" s="5"/>
      <c r="Z52" s="5"/>
    </row>
    <row r="53" spans="1:26" ht="12.75" customHeight="1">
      <c r="A53" s="309"/>
      <c r="B53" s="345" t="s">
        <v>66</v>
      </c>
      <c r="C53" s="345"/>
      <c r="D53" s="927"/>
      <c r="E53" s="928"/>
      <c r="F53" s="982">
        <f>SUM(F49:F52)</f>
        <v>75485.899999999994</v>
      </c>
      <c r="G53" s="983">
        <f>SUM(G49:G52)</f>
        <v>1</v>
      </c>
      <c r="H53" s="983"/>
      <c r="I53" s="928"/>
      <c r="J53" s="928"/>
      <c r="K53" s="1016" t="e">
        <f>SUM(K49:K52)</f>
        <v>#VALUE!</v>
      </c>
      <c r="L53" s="1016"/>
      <c r="M53" s="23" t="e">
        <f>SUM(M49:M52)</f>
        <v>#VALUE!</v>
      </c>
      <c r="N53" s="345"/>
      <c r="O53" s="24" t="e">
        <f>(K53-F53)/F53</f>
        <v>#VALUE!</v>
      </c>
      <c r="P53" s="309"/>
      <c r="Q53" s="326"/>
      <c r="R53" s="326"/>
      <c r="S53" s="326"/>
      <c r="T53" s="309"/>
      <c r="U53" s="309"/>
      <c r="V53" s="309"/>
      <c r="W53" s="328"/>
      <c r="X53" s="5"/>
      <c r="Y53" s="5"/>
      <c r="Z53" s="5"/>
    </row>
    <row r="54" spans="1:26" ht="12.75" customHeight="1">
      <c r="A54" s="309"/>
      <c r="B54" s="309"/>
      <c r="C54" s="985"/>
      <c r="D54" s="940"/>
      <c r="E54" s="940"/>
      <c r="F54" s="940"/>
      <c r="G54" s="940"/>
      <c r="H54" s="940"/>
      <c r="I54" s="940"/>
      <c r="J54" s="940"/>
      <c r="K54" s="1017"/>
      <c r="L54" s="1017"/>
      <c r="M54" s="949"/>
      <c r="N54" s="309"/>
      <c r="O54" s="309"/>
      <c r="P54" s="309"/>
      <c r="Q54" s="326"/>
      <c r="R54" s="326"/>
      <c r="S54" s="326"/>
      <c r="T54" s="309"/>
      <c r="U54" s="309"/>
      <c r="V54" s="309"/>
      <c r="W54" s="328"/>
      <c r="X54" s="5"/>
      <c r="Y54" s="5"/>
      <c r="Z54" s="5"/>
    </row>
    <row r="55" spans="1:26" ht="12.75" customHeight="1">
      <c r="A55" s="309"/>
      <c r="B55" s="872"/>
      <c r="C55" s="873"/>
      <c r="D55" s="872"/>
      <c r="E55" s="879"/>
      <c r="F55" s="986"/>
      <c r="G55" s="881"/>
      <c r="H55" s="879"/>
      <c r="I55" s="879"/>
      <c r="J55" s="879"/>
      <c r="K55" s="1018"/>
      <c r="L55" s="1018"/>
      <c r="M55" s="881"/>
      <c r="N55" s="879"/>
      <c r="O55" s="872"/>
      <c r="P55" s="987"/>
      <c r="Q55" s="1019"/>
      <c r="R55" s="1019"/>
      <c r="S55" s="1019"/>
      <c r="T55" s="309"/>
      <c r="U55" s="309"/>
      <c r="V55" s="309"/>
      <c r="W55" s="328"/>
      <c r="X55" s="5"/>
      <c r="Y55" s="5"/>
      <c r="Z55" s="5"/>
    </row>
    <row r="56" spans="1:26" ht="12.75" customHeight="1">
      <c r="A56" s="309"/>
      <c r="B56" s="345" t="s">
        <v>67</v>
      </c>
      <c r="C56" s="309"/>
      <c r="D56" s="309"/>
      <c r="E56" s="309"/>
      <c r="F56" s="955"/>
      <c r="G56" s="309"/>
      <c r="H56" s="309"/>
      <c r="I56" s="309"/>
      <c r="J56" s="309"/>
      <c r="K56" s="1020"/>
      <c r="L56" s="1020"/>
      <c r="M56" s="309"/>
      <c r="N56" s="309"/>
      <c r="O56" s="956"/>
      <c r="P56" s="1041"/>
      <c r="Q56" s="1001"/>
      <c r="R56" s="326"/>
      <c r="S56" s="326"/>
      <c r="T56" s="309"/>
      <c r="U56" s="309"/>
      <c r="V56" s="309"/>
      <c r="W56" s="328"/>
      <c r="X56" s="5"/>
      <c r="Y56" s="5"/>
      <c r="Z56" s="5"/>
    </row>
    <row r="57" spans="1:26" ht="12.75" customHeight="1">
      <c r="A57" s="309"/>
      <c r="B57" s="309" t="s">
        <v>226</v>
      </c>
      <c r="C57" s="309"/>
      <c r="D57" s="309"/>
      <c r="E57" s="309"/>
      <c r="F57" s="955">
        <v>1418.3</v>
      </c>
      <c r="G57" s="309"/>
      <c r="H57" s="309"/>
      <c r="I57" s="309"/>
      <c r="J57" s="309"/>
      <c r="K57" s="1020" t="s">
        <v>86</v>
      </c>
      <c r="L57" s="1020"/>
      <c r="M57" s="1040"/>
      <c r="N57" s="309"/>
      <c r="O57" s="956" t="e">
        <f>(K57-F57)/F57</f>
        <v>#VALUE!</v>
      </c>
      <c r="P57" s="1041"/>
      <c r="Q57" s="1030"/>
      <c r="R57" s="326"/>
      <c r="S57" s="326"/>
      <c r="T57" s="309"/>
      <c r="U57" s="309"/>
      <c r="V57" s="309"/>
      <c r="W57" s="328"/>
      <c r="X57" s="5"/>
      <c r="Y57" s="5"/>
      <c r="Z57" s="5"/>
    </row>
    <row r="58" spans="1:26" ht="12.75" customHeight="1">
      <c r="A58" s="309"/>
      <c r="B58" s="309" t="s">
        <v>227</v>
      </c>
      <c r="C58" s="309"/>
      <c r="D58" s="309"/>
      <c r="E58" s="309"/>
      <c r="F58" s="309"/>
      <c r="G58" s="309"/>
      <c r="H58" s="309"/>
      <c r="I58" s="309"/>
      <c r="J58" s="309"/>
      <c r="K58" s="1020"/>
      <c r="L58" s="1020"/>
      <c r="M58" s="309"/>
      <c r="N58" s="309"/>
      <c r="O58" s="1051">
        <v>1.9599999999999999E-2</v>
      </c>
      <c r="P58" s="309"/>
      <c r="Q58" s="326"/>
      <c r="R58" s="326"/>
      <c r="S58" s="326"/>
      <c r="T58" s="309"/>
      <c r="U58" s="309"/>
      <c r="V58" s="309"/>
      <c r="W58" s="328"/>
      <c r="X58" s="5"/>
      <c r="Y58" s="5"/>
      <c r="Z58" s="5"/>
    </row>
    <row r="59" spans="1:26" ht="12.75" customHeight="1">
      <c r="A59" s="309"/>
      <c r="B59" s="309" t="s">
        <v>228</v>
      </c>
      <c r="C59" s="309"/>
      <c r="D59" s="309"/>
      <c r="E59" s="309"/>
      <c r="F59" s="309"/>
      <c r="G59" s="309"/>
      <c r="H59" s="309"/>
      <c r="I59" s="309"/>
      <c r="J59" s="309"/>
      <c r="K59" s="1020"/>
      <c r="L59" s="1020"/>
      <c r="M59" s="309"/>
      <c r="N59" s="309"/>
      <c r="O59" s="956" t="e">
        <f>O57+O58</f>
        <v>#VALUE!</v>
      </c>
      <c r="P59" s="309"/>
      <c r="Q59" s="326"/>
      <c r="R59" s="326"/>
      <c r="S59" s="326"/>
      <c r="T59" s="309"/>
      <c r="U59" s="309"/>
      <c r="V59" s="309"/>
      <c r="W59" s="328"/>
      <c r="X59" s="5"/>
      <c r="Y59" s="5"/>
      <c r="Z59" s="5"/>
    </row>
    <row r="60" spans="1:26"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7">
    <mergeCell ref="D6:G6"/>
    <mergeCell ref="I6:M6"/>
    <mergeCell ref="B1:P1"/>
    <mergeCell ref="B2:P2"/>
    <mergeCell ref="B3:P3"/>
    <mergeCell ref="D5:M5"/>
    <mergeCell ref="O5:P5"/>
  </mergeCells>
  <conditionalFormatting sqref="O8:O28">
    <cfRule type="cellIs" dxfId="468" priority="3" stopIfTrue="1" operator="greaterThanOrEqual">
      <formula>0</formula>
    </cfRule>
    <cfRule type="cellIs" dxfId="467" priority="4" stopIfTrue="1" operator="lessThan">
      <formula>0</formula>
    </cfRule>
  </conditionalFormatting>
  <conditionalFormatting sqref="P8:Q30 R10:R29 O29:O48 P34:P48 Q56:Q57">
    <cfRule type="cellIs" dxfId="466" priority="1" stopIfTrue="1" operator="greaterThan">
      <formula>$O$55</formula>
    </cfRule>
    <cfRule type="cellIs" dxfId="465" priority="2" stopIfTrue="1" operator="lessThanOrEqual">
      <formula>$O$55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topLeftCell="A4" workbookViewId="0"/>
  </sheetViews>
  <sheetFormatPr defaultColWidth="14.28515625" defaultRowHeight="15" customHeight="1"/>
  <cols>
    <col min="1" max="1" width="3.28515625" customWidth="1"/>
    <col min="2" max="2" width="30.7109375" customWidth="1"/>
    <col min="3" max="3" width="6.7109375" customWidth="1"/>
    <col min="4" max="4" width="7.28515625" customWidth="1"/>
    <col min="5" max="5" width="9.28515625" customWidth="1"/>
    <col min="6" max="6" width="12.28515625" customWidth="1"/>
    <col min="7" max="7" width="7.28515625" customWidth="1"/>
    <col min="8" max="8" width="5.28515625" customWidth="1"/>
    <col min="9" max="9" width="6.7109375" customWidth="1"/>
    <col min="10" max="10" width="8.28515625" customWidth="1"/>
    <col min="11" max="11" width="12.28515625" customWidth="1"/>
    <col min="12" max="12" width="14.28515625" customWidth="1"/>
    <col min="13" max="13" width="17.7109375" customWidth="1"/>
    <col min="14" max="14" width="0.7109375" customWidth="1"/>
    <col min="15" max="15" width="8.28515625" customWidth="1"/>
    <col min="16" max="17" width="7.28515625" customWidth="1"/>
    <col min="18" max="27" width="8.7109375" customWidth="1"/>
  </cols>
  <sheetData>
    <row r="1" spans="1:23" ht="12.75" customHeight="1">
      <c r="A1" s="323"/>
      <c r="B1" s="2004" t="s">
        <v>0</v>
      </c>
      <c r="C1" s="1985"/>
      <c r="D1" s="1985"/>
      <c r="E1" s="1985"/>
      <c r="F1" s="1985"/>
      <c r="G1" s="1985"/>
      <c r="H1" s="1985"/>
      <c r="I1" s="1985"/>
      <c r="J1" s="1985"/>
      <c r="K1" s="1985"/>
      <c r="L1" s="1985"/>
      <c r="M1" s="1985"/>
      <c r="N1" s="1985"/>
      <c r="O1" s="1985"/>
      <c r="P1" s="1985"/>
      <c r="Q1" s="989"/>
      <c r="R1" s="989"/>
      <c r="S1" s="989"/>
      <c r="T1" s="990"/>
      <c r="U1" s="990"/>
      <c r="V1" s="990"/>
      <c r="W1" s="1021"/>
    </row>
    <row r="2" spans="1:23" ht="12.75" customHeight="1">
      <c r="A2" s="323"/>
      <c r="B2" s="2004" t="s">
        <v>229</v>
      </c>
      <c r="C2" s="1985"/>
      <c r="D2" s="1985"/>
      <c r="E2" s="1985"/>
      <c r="F2" s="1985"/>
      <c r="G2" s="1985"/>
      <c r="H2" s="1985"/>
      <c r="I2" s="1985"/>
      <c r="J2" s="1985"/>
      <c r="K2" s="1985"/>
      <c r="L2" s="1985"/>
      <c r="M2" s="1985"/>
      <c r="N2" s="1985"/>
      <c r="O2" s="1985"/>
      <c r="P2" s="1985"/>
      <c r="Q2" s="991"/>
      <c r="R2" s="991"/>
      <c r="S2" s="991"/>
      <c r="T2" s="345"/>
      <c r="U2" s="345"/>
      <c r="V2" s="345"/>
      <c r="W2" s="1022"/>
    </row>
    <row r="3" spans="1:23" ht="12.75" customHeight="1">
      <c r="A3" s="323"/>
      <c r="B3" s="2005"/>
      <c r="C3" s="1985"/>
      <c r="D3" s="1985"/>
      <c r="E3" s="1985"/>
      <c r="F3" s="1985"/>
      <c r="G3" s="1985"/>
      <c r="H3" s="1985"/>
      <c r="I3" s="1985"/>
      <c r="J3" s="1985"/>
      <c r="K3" s="1985"/>
      <c r="L3" s="1985"/>
      <c r="M3" s="1985"/>
      <c r="N3" s="1985"/>
      <c r="O3" s="1985"/>
      <c r="P3" s="1985"/>
      <c r="Q3" s="991"/>
      <c r="R3" s="991"/>
      <c r="S3" s="991"/>
      <c r="T3" s="992"/>
      <c r="U3" s="992"/>
      <c r="V3" s="992"/>
      <c r="W3" s="1022"/>
    </row>
    <row r="4" spans="1:23" ht="12.75" customHeight="1">
      <c r="A4" s="323"/>
      <c r="B4" s="1052"/>
      <c r="C4" s="1052"/>
      <c r="D4" s="1052"/>
      <c r="E4" s="1052"/>
      <c r="F4" s="1052"/>
      <c r="G4" s="1052"/>
      <c r="H4" s="1052"/>
      <c r="I4" s="1052"/>
      <c r="J4" s="1052"/>
      <c r="K4" s="1052"/>
      <c r="L4" s="1052"/>
      <c r="M4" s="1052"/>
      <c r="N4" s="1052"/>
      <c r="O4" s="1052"/>
      <c r="P4" s="1052"/>
      <c r="Q4" s="994"/>
      <c r="R4" s="994"/>
      <c r="S4" s="994"/>
      <c r="T4" s="933"/>
      <c r="U4" s="933"/>
      <c r="V4" s="933"/>
      <c r="W4" s="609"/>
    </row>
    <row r="5" spans="1:23" ht="12.75" customHeight="1">
      <c r="A5" s="904"/>
      <c r="B5" s="904"/>
      <c r="C5" s="905"/>
      <c r="D5" s="2006" t="s">
        <v>3</v>
      </c>
      <c r="E5" s="1989"/>
      <c r="F5" s="1989"/>
      <c r="G5" s="1989"/>
      <c r="H5" s="1989"/>
      <c r="I5" s="1989"/>
      <c r="J5" s="1989"/>
      <c r="K5" s="1989"/>
      <c r="L5" s="1989"/>
      <c r="M5" s="1990"/>
      <c r="N5" s="905"/>
      <c r="O5" s="2007"/>
      <c r="P5" s="1992"/>
      <c r="Q5" s="995"/>
      <c r="R5" s="995"/>
      <c r="S5" s="995"/>
      <c r="T5" s="309"/>
      <c r="U5" s="309"/>
      <c r="V5" s="309"/>
      <c r="W5" s="328"/>
    </row>
    <row r="6" spans="1:23" ht="12.75" customHeight="1">
      <c r="A6" s="323"/>
      <c r="B6" s="900"/>
      <c r="C6" s="901"/>
      <c r="D6" s="1980">
        <v>39447</v>
      </c>
      <c r="E6" s="1981"/>
      <c r="F6" s="1981"/>
      <c r="G6" s="1981"/>
      <c r="H6" s="902"/>
      <c r="I6" s="2003">
        <v>39813</v>
      </c>
      <c r="J6" s="1981"/>
      <c r="K6" s="1981"/>
      <c r="L6" s="1981"/>
      <c r="M6" s="1983"/>
      <c r="N6" s="900"/>
      <c r="O6" s="900" t="s">
        <v>5</v>
      </c>
      <c r="P6" s="27" t="s">
        <v>6</v>
      </c>
      <c r="Q6" s="892"/>
      <c r="R6" s="892"/>
      <c r="S6" s="892"/>
      <c r="T6" s="323"/>
      <c r="U6" s="323"/>
      <c r="V6" s="323"/>
      <c r="W6" s="327"/>
    </row>
    <row r="7" spans="1:23" ht="12.75" customHeight="1">
      <c r="A7" s="904"/>
      <c r="B7" s="905" t="s">
        <v>7</v>
      </c>
      <c r="C7" s="906" t="s">
        <v>8</v>
      </c>
      <c r="D7" s="1" t="s">
        <v>9</v>
      </c>
      <c r="E7" s="905" t="s">
        <v>10</v>
      </c>
      <c r="F7" s="905" t="s">
        <v>11</v>
      </c>
      <c r="G7" s="905" t="s">
        <v>12</v>
      </c>
      <c r="H7" s="905"/>
      <c r="I7" s="113" t="s">
        <v>9</v>
      </c>
      <c r="J7" s="905" t="s">
        <v>10</v>
      </c>
      <c r="K7" s="907" t="s">
        <v>11</v>
      </c>
      <c r="L7" s="907" t="s">
        <v>13</v>
      </c>
      <c r="M7" s="908" t="s">
        <v>14</v>
      </c>
      <c r="N7" s="905"/>
      <c r="O7" s="905" t="s">
        <v>15</v>
      </c>
      <c r="P7" s="908" t="s">
        <v>15</v>
      </c>
      <c r="Q7" s="900"/>
      <c r="R7" s="900"/>
      <c r="S7" s="892"/>
      <c r="T7" s="323"/>
      <c r="U7" s="323"/>
      <c r="V7" s="323"/>
      <c r="W7" s="327"/>
    </row>
    <row r="8" spans="1:23" ht="12.75" customHeight="1">
      <c r="A8" s="547">
        <v>1</v>
      </c>
      <c r="B8" s="1053" t="s">
        <v>230</v>
      </c>
      <c r="C8" s="1023" t="s">
        <v>231</v>
      </c>
      <c r="D8" s="1054"/>
      <c r="E8" s="900"/>
      <c r="F8" s="327"/>
      <c r="G8" s="1042"/>
      <c r="H8" s="900"/>
      <c r="I8" s="1024">
        <v>25</v>
      </c>
      <c r="J8" s="1055">
        <v>57.54</v>
      </c>
      <c r="K8" s="1056">
        <f t="shared" ref="K8:K32" si="0">I8*J8</f>
        <v>1438.5</v>
      </c>
      <c r="L8" s="1025">
        <f t="shared" ref="L8:L32" si="1">K8/$K$49</f>
        <v>3.2064263158328804E-2</v>
      </c>
      <c r="M8" s="1026">
        <f t="shared" ref="M8:M32" si="2">K8/$K$53</f>
        <v>3.0483934849781059E-2</v>
      </c>
      <c r="N8" s="900"/>
      <c r="O8" s="495"/>
      <c r="P8" s="895" t="s">
        <v>86</v>
      </c>
      <c r="Q8" s="1044"/>
      <c r="R8" s="900"/>
      <c r="S8" s="892"/>
      <c r="T8" s="323"/>
      <c r="U8" s="323"/>
      <c r="V8" s="323"/>
      <c r="W8" s="327"/>
    </row>
    <row r="9" spans="1:23" ht="12.75" customHeight="1">
      <c r="A9" s="547">
        <v>2</v>
      </c>
      <c r="B9" s="334" t="s">
        <v>16</v>
      </c>
      <c r="C9" s="1023" t="s">
        <v>17</v>
      </c>
      <c r="D9" s="334">
        <v>50</v>
      </c>
      <c r="E9" s="327">
        <v>36.549999999999997</v>
      </c>
      <c r="F9" s="327">
        <f>E9*D9</f>
        <v>1827.4999999999998</v>
      </c>
      <c r="G9" s="1042">
        <f>F9/$F$53</f>
        <v>2.2889881695321704E-2</v>
      </c>
      <c r="H9" s="323"/>
      <c r="I9" s="1024">
        <v>50</v>
      </c>
      <c r="J9" s="1055">
        <v>11.26</v>
      </c>
      <c r="K9" s="1056">
        <f t="shared" si="0"/>
        <v>563</v>
      </c>
      <c r="L9" s="1025">
        <f t="shared" si="1"/>
        <v>1.2549308417197858E-2</v>
      </c>
      <c r="M9" s="1026">
        <f t="shared" si="2"/>
        <v>1.1930799666615735E-2</v>
      </c>
      <c r="N9" s="323"/>
      <c r="O9" s="495">
        <f>(J9-E9)/E9</f>
        <v>-0.69192886456908342</v>
      </c>
      <c r="P9" s="895" t="s">
        <v>86</v>
      </c>
      <c r="Q9" s="1044"/>
      <c r="R9" s="323"/>
      <c r="S9" s="1028"/>
      <c r="T9" s="323"/>
      <c r="U9" s="323"/>
      <c r="V9" s="323"/>
      <c r="W9" s="327"/>
    </row>
    <row r="10" spans="1:23" ht="12.75" customHeight="1">
      <c r="A10" s="547">
        <v>3</v>
      </c>
      <c r="B10" s="334" t="s">
        <v>20</v>
      </c>
      <c r="C10" s="1023" t="s">
        <v>21</v>
      </c>
      <c r="D10" s="1057">
        <v>100</v>
      </c>
      <c r="E10" s="1058">
        <v>46.37</v>
      </c>
      <c r="F10" s="327">
        <f>E10*D10</f>
        <v>4637</v>
      </c>
      <c r="G10" s="1042">
        <f>F10/$F$53</f>
        <v>5.807955207726772E-2</v>
      </c>
      <c r="H10" s="1024"/>
      <c r="I10" s="1024">
        <v>100</v>
      </c>
      <c r="J10" s="1055">
        <v>23.98</v>
      </c>
      <c r="K10" s="1056">
        <f t="shared" si="0"/>
        <v>2398</v>
      </c>
      <c r="L10" s="1025">
        <f t="shared" si="1"/>
        <v>5.3451583631332969E-2</v>
      </c>
      <c r="M10" s="1026">
        <f t="shared" si="2"/>
        <v>5.0817153819794909E-2</v>
      </c>
      <c r="N10" s="900"/>
      <c r="O10" s="495">
        <f>(J10-E10)/E10</f>
        <v>-0.48285529437136077</v>
      </c>
      <c r="P10" s="329" t="s">
        <v>86</v>
      </c>
      <c r="Q10" s="1044"/>
      <c r="R10" s="1001"/>
      <c r="S10" s="326"/>
      <c r="T10" s="309"/>
      <c r="U10" s="328"/>
      <c r="V10" s="309"/>
      <c r="W10" s="328"/>
    </row>
    <row r="11" spans="1:23" ht="12.75" customHeight="1">
      <c r="A11" s="547">
        <v>4</v>
      </c>
      <c r="B11" s="334" t="s">
        <v>204</v>
      </c>
      <c r="C11" s="1023" t="s">
        <v>205</v>
      </c>
      <c r="D11" s="1057">
        <v>35</v>
      </c>
      <c r="E11" s="1058">
        <v>70.150000000000006</v>
      </c>
      <c r="F11" s="327">
        <f>E11*D11</f>
        <v>2455.25</v>
      </c>
      <c r="G11" s="1042">
        <f>F11/$F$53</f>
        <v>3.0752603027326197E-2</v>
      </c>
      <c r="H11" s="1024"/>
      <c r="I11" s="1024">
        <v>35</v>
      </c>
      <c r="J11" s="1055">
        <v>76.62</v>
      </c>
      <c r="K11" s="1056">
        <f t="shared" si="0"/>
        <v>2681.7000000000003</v>
      </c>
      <c r="L11" s="1025">
        <f t="shared" si="1"/>
        <v>5.9775275990052397E-2</v>
      </c>
      <c r="M11" s="1026">
        <f t="shared" si="2"/>
        <v>5.6829174895139292E-2</v>
      </c>
      <c r="N11" s="900"/>
      <c r="O11" s="495">
        <f>(J11-E11)/E11</f>
        <v>9.2230933713471103E-2</v>
      </c>
      <c r="P11" s="329" t="s">
        <v>86</v>
      </c>
      <c r="Q11" s="1044"/>
      <c r="R11" s="1001"/>
      <c r="S11" s="326"/>
      <c r="T11" s="309"/>
      <c r="U11" s="328"/>
      <c r="V11" s="309"/>
      <c r="W11" s="328"/>
    </row>
    <row r="12" spans="1:23" ht="12.75" customHeight="1">
      <c r="A12" s="547">
        <v>5</v>
      </c>
      <c r="B12" s="334" t="s">
        <v>206</v>
      </c>
      <c r="C12" s="1023" t="s">
        <v>207</v>
      </c>
      <c r="D12" s="1057">
        <v>25</v>
      </c>
      <c r="E12" s="1058">
        <v>198.08</v>
      </c>
      <c r="F12" s="327">
        <f>E12*D12</f>
        <v>4952</v>
      </c>
      <c r="G12" s="1042">
        <f>F12/$F$53</f>
        <v>6.202500364171442E-2</v>
      </c>
      <c r="H12" s="1024"/>
      <c r="I12" s="1024">
        <v>25</v>
      </c>
      <c r="J12" s="1055">
        <v>85.35</v>
      </c>
      <c r="K12" s="1056">
        <f t="shared" si="0"/>
        <v>2133.75</v>
      </c>
      <c r="L12" s="1025">
        <f t="shared" si="1"/>
        <v>4.7561433099815149E-2</v>
      </c>
      <c r="M12" s="1026">
        <f t="shared" si="2"/>
        <v>4.5217306907000585E-2</v>
      </c>
      <c r="N12" s="900"/>
      <c r="O12" s="495">
        <f>(J12-E12)/E12</f>
        <v>-0.56911348949919227</v>
      </c>
      <c r="P12" s="329" t="s">
        <v>86</v>
      </c>
      <c r="Q12" s="1044"/>
      <c r="R12" s="1001"/>
      <c r="S12" s="326"/>
      <c r="T12" s="309"/>
      <c r="U12" s="328"/>
      <c r="V12" s="309"/>
      <c r="W12" s="328"/>
    </row>
    <row r="13" spans="1:23" ht="12.75" customHeight="1">
      <c r="A13" s="547">
        <v>6</v>
      </c>
      <c r="B13" s="334" t="s">
        <v>208</v>
      </c>
      <c r="C13" s="1023" t="s">
        <v>209</v>
      </c>
      <c r="D13" s="1057">
        <v>100</v>
      </c>
      <c r="E13" s="1058">
        <v>32.68</v>
      </c>
      <c r="F13" s="327">
        <f>E13*D13</f>
        <v>3268</v>
      </c>
      <c r="G13" s="1042">
        <f>F13/$F$53</f>
        <v>4.0932494325751759E-2</v>
      </c>
      <c r="H13" s="1024"/>
      <c r="I13" s="1024">
        <v>100</v>
      </c>
      <c r="J13" s="1055">
        <v>26.23</v>
      </c>
      <c r="K13" s="1056">
        <f t="shared" si="0"/>
        <v>2623</v>
      </c>
      <c r="L13" s="1025">
        <f t="shared" si="1"/>
        <v>5.84668489845648E-2</v>
      </c>
      <c r="M13" s="1026">
        <f t="shared" si="2"/>
        <v>5.5585235391710612E-2</v>
      </c>
      <c r="N13" s="900"/>
      <c r="O13" s="495">
        <f>(J13-E13)/E13</f>
        <v>-0.19736842105263155</v>
      </c>
      <c r="P13" s="329" t="s">
        <v>86</v>
      </c>
      <c r="Q13" s="1044"/>
      <c r="R13" s="1001"/>
      <c r="S13" s="326"/>
      <c r="T13" s="309"/>
      <c r="U13" s="328"/>
      <c r="V13" s="309"/>
      <c r="W13" s="328"/>
    </row>
    <row r="14" spans="1:23" ht="12.75" customHeight="1">
      <c r="A14" s="547">
        <v>7</v>
      </c>
      <c r="B14" s="334" t="s">
        <v>232</v>
      </c>
      <c r="C14" s="1023" t="s">
        <v>154</v>
      </c>
      <c r="D14" s="1057"/>
      <c r="E14" s="1058"/>
      <c r="F14" s="327"/>
      <c r="G14" s="1042"/>
      <c r="H14" s="1024"/>
      <c r="I14" s="1024">
        <v>50</v>
      </c>
      <c r="J14" s="1055">
        <v>45.27</v>
      </c>
      <c r="K14" s="1056">
        <f t="shared" si="0"/>
        <v>2263.5</v>
      </c>
      <c r="L14" s="1025">
        <f t="shared" si="1"/>
        <v>5.0453569453512169E-2</v>
      </c>
      <c r="M14" s="1026">
        <f t="shared" si="2"/>
        <v>4.7966900613471967E-2</v>
      </c>
      <c r="N14" s="900"/>
      <c r="O14" s="495"/>
      <c r="P14" s="329" t="s">
        <v>86</v>
      </c>
      <c r="Q14" s="1044"/>
      <c r="R14" s="1001"/>
      <c r="S14" s="326"/>
      <c r="T14" s="309"/>
      <c r="U14" s="328"/>
      <c r="V14" s="309"/>
      <c r="W14" s="328"/>
    </row>
    <row r="15" spans="1:23" ht="12.75" customHeight="1">
      <c r="A15" s="547">
        <v>8</v>
      </c>
      <c r="B15" s="1059" t="s">
        <v>24</v>
      </c>
      <c r="C15" s="323" t="s">
        <v>25</v>
      </c>
      <c r="D15" s="1060">
        <v>40</v>
      </c>
      <c r="E15" s="1058">
        <v>87.74</v>
      </c>
      <c r="F15" s="327">
        <f>E15*D15</f>
        <v>3509.6</v>
      </c>
      <c r="G15" s="1042">
        <f>F15/$F$53</f>
        <v>4.3958593049467067E-2</v>
      </c>
      <c r="H15" s="1061"/>
      <c r="I15" s="1062">
        <v>40</v>
      </c>
      <c r="J15" s="1055">
        <v>56.61</v>
      </c>
      <c r="K15" s="1056">
        <f t="shared" si="0"/>
        <v>2264.4</v>
      </c>
      <c r="L15" s="1025">
        <f t="shared" si="1"/>
        <v>5.0473630514925101E-2</v>
      </c>
      <c r="M15" s="1026">
        <f t="shared" si="2"/>
        <v>4.7985972939759633E-2</v>
      </c>
      <c r="N15" s="323"/>
      <c r="O15" s="495">
        <f>(J15-E15)/E15</f>
        <v>-0.35479826760884431</v>
      </c>
      <c r="P15" s="329" t="s">
        <v>86</v>
      </c>
      <c r="Q15" s="1044"/>
      <c r="R15" s="1001"/>
      <c r="S15" s="326"/>
      <c r="T15" s="309"/>
      <c r="U15" s="328"/>
      <c r="V15" s="309"/>
      <c r="W15" s="328"/>
    </row>
    <row r="16" spans="1:23" ht="12.75" customHeight="1">
      <c r="A16" s="547">
        <v>9</v>
      </c>
      <c r="B16" s="334" t="s">
        <v>28</v>
      </c>
      <c r="C16" s="323" t="s">
        <v>29</v>
      </c>
      <c r="D16" s="1060">
        <v>100</v>
      </c>
      <c r="E16" s="1058">
        <v>33.19</v>
      </c>
      <c r="F16" s="327">
        <f>E16*D16</f>
        <v>3319</v>
      </c>
      <c r="G16" s="1042">
        <f>F16/$F$53</f>
        <v>4.157128172190027E-2</v>
      </c>
      <c r="H16" s="1061"/>
      <c r="I16" s="1062">
        <v>100</v>
      </c>
      <c r="J16" s="1055">
        <v>13.96</v>
      </c>
      <c r="K16" s="1056">
        <f t="shared" si="0"/>
        <v>1396</v>
      </c>
      <c r="L16" s="1025">
        <f t="shared" si="1"/>
        <v>3.1116935258273908E-2</v>
      </c>
      <c r="M16" s="1026">
        <f t="shared" si="2"/>
        <v>2.9583297219530316E-2</v>
      </c>
      <c r="N16" s="323"/>
      <c r="O16" s="495">
        <f>(J16-E16)/E16</f>
        <v>-0.57939138294667059</v>
      </c>
      <c r="P16" s="329" t="s">
        <v>86</v>
      </c>
      <c r="Q16" s="1044"/>
      <c r="R16" s="1001"/>
      <c r="S16" s="326"/>
      <c r="T16" s="309"/>
      <c r="U16" s="328"/>
      <c r="V16" s="309"/>
      <c r="W16" s="328"/>
    </row>
    <row r="17" spans="1:23" ht="12.75" customHeight="1">
      <c r="A17" s="547">
        <v>10</v>
      </c>
      <c r="B17" s="334" t="s">
        <v>32</v>
      </c>
      <c r="C17" s="323" t="s">
        <v>33</v>
      </c>
      <c r="D17" s="1060">
        <v>75</v>
      </c>
      <c r="E17" s="1058">
        <v>40.42</v>
      </c>
      <c r="F17" s="327">
        <f>E17*D17</f>
        <v>3031.5</v>
      </c>
      <c r="G17" s="1042">
        <f>F17/$F$53</f>
        <v>3.7970274341651303E-2</v>
      </c>
      <c r="H17" s="1061"/>
      <c r="I17" s="1062">
        <v>75</v>
      </c>
      <c r="J17" s="1055">
        <v>34.85</v>
      </c>
      <c r="K17" s="1056">
        <f t="shared" si="0"/>
        <v>2613.75</v>
      </c>
      <c r="L17" s="1025">
        <f t="shared" si="1"/>
        <v>5.826066585337638E-2</v>
      </c>
      <c r="M17" s="1026">
        <f t="shared" si="2"/>
        <v>5.5389214260420747E-2</v>
      </c>
      <c r="N17" s="323"/>
      <c r="O17" s="495">
        <f>(J17-E17)/E17</f>
        <v>-0.13780306778822365</v>
      </c>
      <c r="P17" s="329" t="s">
        <v>86</v>
      </c>
      <c r="Q17" s="1044"/>
      <c r="R17" s="1001"/>
      <c r="S17" s="326"/>
      <c r="T17" s="309"/>
      <c r="U17" s="328"/>
      <c r="V17" s="309"/>
      <c r="W17" s="328"/>
    </row>
    <row r="18" spans="1:23" ht="12.75" customHeight="1">
      <c r="A18" s="547">
        <v>11</v>
      </c>
      <c r="B18" s="334" t="s">
        <v>233</v>
      </c>
      <c r="C18" s="323" t="s">
        <v>234</v>
      </c>
      <c r="D18" s="1060"/>
      <c r="E18" s="1058"/>
      <c r="F18" s="327"/>
      <c r="G18" s="1042"/>
      <c r="H18" s="1061"/>
      <c r="I18" s="1062">
        <v>57</v>
      </c>
      <c r="J18" s="1055">
        <v>9.09</v>
      </c>
      <c r="K18" s="1056">
        <f t="shared" si="0"/>
        <v>518.13</v>
      </c>
      <c r="L18" s="1025">
        <f t="shared" si="1"/>
        <v>1.154915305542225E-2</v>
      </c>
      <c r="M18" s="1026">
        <f t="shared" si="2"/>
        <v>1.0979938243807481E-2</v>
      </c>
      <c r="N18" s="323"/>
      <c r="O18" s="495"/>
      <c r="P18" s="329" t="s">
        <v>86</v>
      </c>
      <c r="Q18" s="1044"/>
      <c r="R18" s="1001"/>
      <c r="S18" s="326"/>
      <c r="T18" s="309"/>
      <c r="U18" s="328"/>
      <c r="V18" s="309"/>
      <c r="W18" s="328"/>
    </row>
    <row r="19" spans="1:23" ht="12.75" customHeight="1">
      <c r="A19" s="547">
        <v>12</v>
      </c>
      <c r="B19" s="334" t="s">
        <v>34</v>
      </c>
      <c r="C19" s="323" t="s">
        <v>35</v>
      </c>
      <c r="D19" s="1060">
        <v>75</v>
      </c>
      <c r="E19" s="1058">
        <v>37.07</v>
      </c>
      <c r="F19" s="327">
        <f>E19*D19</f>
        <v>2780.25</v>
      </c>
      <c r="G19" s="1042">
        <f>F19/$F$53</f>
        <v>3.4823307022390247E-2</v>
      </c>
      <c r="H19" s="1061"/>
      <c r="I19" s="1062">
        <v>75</v>
      </c>
      <c r="J19" s="1055">
        <v>16.2</v>
      </c>
      <c r="K19" s="1056">
        <f t="shared" si="0"/>
        <v>1215</v>
      </c>
      <c r="L19" s="1025">
        <f t="shared" si="1"/>
        <v>2.708243290745186E-2</v>
      </c>
      <c r="M19" s="1026">
        <f t="shared" si="2"/>
        <v>2.5747640488344794E-2</v>
      </c>
      <c r="N19" s="323"/>
      <c r="O19" s="495">
        <f>(J19-E19)/E19</f>
        <v>-0.56298893984353926</v>
      </c>
      <c r="P19" s="329" t="s">
        <v>86</v>
      </c>
      <c r="Q19" s="1044"/>
      <c r="R19" s="1001"/>
      <c r="S19" s="326"/>
      <c r="T19" s="309"/>
      <c r="U19" s="328"/>
      <c r="V19" s="309"/>
      <c r="W19" s="328"/>
    </row>
    <row r="20" spans="1:23" ht="12.75" customHeight="1">
      <c r="A20" s="547">
        <v>13</v>
      </c>
      <c r="B20" s="334" t="s">
        <v>210</v>
      </c>
      <c r="C20" s="323" t="s">
        <v>211</v>
      </c>
      <c r="D20" s="1060">
        <v>55</v>
      </c>
      <c r="E20" s="1058">
        <v>23.78</v>
      </c>
      <c r="F20" s="327">
        <f>E20*D20</f>
        <v>1307.9000000000001</v>
      </c>
      <c r="G20" s="1042">
        <f>F20/$F$53</f>
        <v>1.6381765400443921E-2</v>
      </c>
      <c r="H20" s="1061"/>
      <c r="I20" s="1062">
        <v>55</v>
      </c>
      <c r="J20" s="1055">
        <v>4.75</v>
      </c>
      <c r="K20" s="1056">
        <f t="shared" si="0"/>
        <v>261.25</v>
      </c>
      <c r="L20" s="1025">
        <f t="shared" si="1"/>
        <v>5.8232803268080642E-3</v>
      </c>
      <c r="M20" s="1026">
        <f t="shared" si="2"/>
        <v>5.5362724918354552E-3</v>
      </c>
      <c r="N20" s="323"/>
      <c r="O20" s="495">
        <f>(J20-E20)/E20</f>
        <v>-0.80025231286795628</v>
      </c>
      <c r="P20" s="329" t="s">
        <v>86</v>
      </c>
      <c r="Q20" s="1044"/>
      <c r="R20" s="1001"/>
      <c r="S20" s="326"/>
      <c r="T20" s="309"/>
      <c r="U20" s="328"/>
      <c r="V20" s="309"/>
      <c r="W20" s="328"/>
    </row>
    <row r="21" spans="1:23" ht="12.75" customHeight="1">
      <c r="A21" s="547">
        <v>14</v>
      </c>
      <c r="B21" s="334" t="s">
        <v>235</v>
      </c>
      <c r="C21" s="323" t="s">
        <v>213</v>
      </c>
      <c r="D21" s="1060">
        <v>100</v>
      </c>
      <c r="E21" s="1058">
        <v>49.78</v>
      </c>
      <c r="F21" s="327">
        <f>E21*D21</f>
        <v>4978</v>
      </c>
      <c r="G21" s="1042">
        <f>F21/$F$53</f>
        <v>6.2350659961319541E-2</v>
      </c>
      <c r="H21" s="1061"/>
      <c r="I21" s="1062">
        <v>100</v>
      </c>
      <c r="J21" s="1055">
        <v>25.47</v>
      </c>
      <c r="K21" s="1056">
        <f t="shared" si="0"/>
        <v>2547</v>
      </c>
      <c r="L21" s="1025">
        <f t="shared" si="1"/>
        <v>5.6772803798584272E-2</v>
      </c>
      <c r="M21" s="1026">
        <f t="shared" si="2"/>
        <v>5.3974683394085753E-2</v>
      </c>
      <c r="N21" s="323"/>
      <c r="O21" s="495">
        <f>(J21-E21)/E21</f>
        <v>-0.48834873443149862</v>
      </c>
      <c r="P21" s="329" t="s">
        <v>86</v>
      </c>
      <c r="Q21" s="1044"/>
      <c r="R21" s="1001"/>
      <c r="S21" s="326"/>
      <c r="T21" s="309"/>
      <c r="U21" s="328"/>
      <c r="V21" s="309"/>
      <c r="W21" s="328"/>
    </row>
    <row r="22" spans="1:23" ht="12.75" customHeight="1">
      <c r="A22" s="547">
        <v>15</v>
      </c>
      <c r="B22" s="334" t="s">
        <v>214</v>
      </c>
      <c r="C22" s="323" t="s">
        <v>215</v>
      </c>
      <c r="D22" s="1060">
        <v>150</v>
      </c>
      <c r="E22" s="1058">
        <v>14.05</v>
      </c>
      <c r="F22" s="327">
        <f>E22*D22</f>
        <v>2107.5</v>
      </c>
      <c r="G22" s="1042">
        <f>F22/$F$53</f>
        <v>2.639694975260766E-2</v>
      </c>
      <c r="H22" s="1061"/>
      <c r="I22" s="1062">
        <v>150</v>
      </c>
      <c r="J22" s="1055">
        <v>6.82</v>
      </c>
      <c r="K22" s="1056">
        <f t="shared" si="0"/>
        <v>1023</v>
      </c>
      <c r="L22" s="1025">
        <f t="shared" si="1"/>
        <v>2.2802739806027369E-2</v>
      </c>
      <c r="M22" s="1026">
        <f t="shared" si="2"/>
        <v>2.1678877546976727E-2</v>
      </c>
      <c r="N22" s="323"/>
      <c r="O22" s="495">
        <f>(J22-E22)/E22</f>
        <v>-0.51459074733096088</v>
      </c>
      <c r="P22" s="329" t="s">
        <v>86</v>
      </c>
      <c r="Q22" s="1044"/>
      <c r="R22" s="1001"/>
      <c r="S22" s="326"/>
      <c r="T22" s="309"/>
      <c r="U22" s="328"/>
      <c r="V22" s="309"/>
      <c r="W22" s="328"/>
    </row>
    <row r="23" spans="1:23" ht="12.75" customHeight="1">
      <c r="A23" s="547">
        <v>16</v>
      </c>
      <c r="B23" s="334" t="s">
        <v>40</v>
      </c>
      <c r="C23" s="323" t="s">
        <v>41</v>
      </c>
      <c r="D23" s="1060">
        <v>75</v>
      </c>
      <c r="E23" s="1058">
        <v>35.6</v>
      </c>
      <c r="F23" s="327">
        <f>E23*D23</f>
        <v>2670</v>
      </c>
      <c r="G23" s="1042">
        <f>F23/$F$53</f>
        <v>3.3442398974833906E-2</v>
      </c>
      <c r="H23" s="1061"/>
      <c r="I23" s="1062">
        <v>75</v>
      </c>
      <c r="J23" s="1055">
        <v>19.440000000000001</v>
      </c>
      <c r="K23" s="1056">
        <f t="shared" si="0"/>
        <v>1458</v>
      </c>
      <c r="L23" s="1025">
        <f t="shared" si="1"/>
        <v>3.2498919488942235E-2</v>
      </c>
      <c r="M23" s="1026">
        <f t="shared" si="2"/>
        <v>3.0897168586013754E-2</v>
      </c>
      <c r="N23" s="323"/>
      <c r="O23" s="495">
        <f>(J23-E23)/E23</f>
        <v>-0.45393258426966293</v>
      </c>
      <c r="P23" s="329" t="s">
        <v>86</v>
      </c>
      <c r="Q23" s="1044"/>
      <c r="R23" s="1001"/>
      <c r="S23" s="326"/>
      <c r="T23" s="309"/>
      <c r="U23" s="328"/>
      <c r="V23" s="309"/>
      <c r="W23" s="328"/>
    </row>
    <row r="24" spans="1:23" ht="12.75" customHeight="1">
      <c r="A24" s="547">
        <v>17</v>
      </c>
      <c r="B24" s="334" t="s">
        <v>236</v>
      </c>
      <c r="C24" s="323" t="s">
        <v>237</v>
      </c>
      <c r="D24" s="1060"/>
      <c r="E24" s="1058"/>
      <c r="F24" s="327"/>
      <c r="G24" s="1042"/>
      <c r="H24" s="1061"/>
      <c r="I24" s="1062">
        <v>15</v>
      </c>
      <c r="J24" s="1055">
        <v>73.22</v>
      </c>
      <c r="K24" s="1056">
        <f t="shared" si="0"/>
        <v>1098.3</v>
      </c>
      <c r="L24" s="1025">
        <f t="shared" si="1"/>
        <v>2.4481181944242286E-2</v>
      </c>
      <c r="M24" s="1026">
        <f t="shared" si="2"/>
        <v>2.3274595513044515E-2</v>
      </c>
      <c r="N24" s="323"/>
      <c r="O24" s="495"/>
      <c r="P24" s="329" t="s">
        <v>86</v>
      </c>
      <c r="Q24" s="1044"/>
      <c r="R24" s="1001"/>
      <c r="S24" s="326"/>
      <c r="T24" s="309"/>
      <c r="U24" s="328"/>
      <c r="V24" s="309"/>
      <c r="W24" s="328"/>
    </row>
    <row r="25" spans="1:23" ht="12.75" customHeight="1">
      <c r="A25" s="547">
        <v>18</v>
      </c>
      <c r="B25" s="334" t="s">
        <v>218</v>
      </c>
      <c r="C25" s="323" t="s">
        <v>219</v>
      </c>
      <c r="D25" s="1060">
        <v>65</v>
      </c>
      <c r="E25" s="1058">
        <v>63.38</v>
      </c>
      <c r="F25" s="327">
        <f>E25*D25</f>
        <v>4119.7</v>
      </c>
      <c r="G25" s="1042">
        <f>F25/$F$53</f>
        <v>5.1600243841431921E-2</v>
      </c>
      <c r="H25" s="1061"/>
      <c r="I25" s="1062">
        <v>65</v>
      </c>
      <c r="J25" s="1055">
        <v>13.89</v>
      </c>
      <c r="K25" s="1056">
        <f t="shared" si="0"/>
        <v>902.85</v>
      </c>
      <c r="L25" s="1025">
        <f t="shared" si="1"/>
        <v>2.0124588107401573E-2</v>
      </c>
      <c r="M25" s="1026">
        <f t="shared" si="2"/>
        <v>1.9132721987573743E-2</v>
      </c>
      <c r="N25" s="323"/>
      <c r="O25" s="495">
        <f>(J25-E25)/E25</f>
        <v>-0.7808456926475229</v>
      </c>
      <c r="P25" s="329" t="s">
        <v>86</v>
      </c>
      <c r="Q25" s="1044"/>
      <c r="R25" s="1001"/>
      <c r="S25" s="326"/>
      <c r="T25" s="309"/>
      <c r="U25" s="328"/>
      <c r="V25" s="309"/>
      <c r="W25" s="328"/>
    </row>
    <row r="26" spans="1:23" ht="12.75" customHeight="1">
      <c r="A26" s="547">
        <v>19</v>
      </c>
      <c r="B26" s="334" t="s">
        <v>220</v>
      </c>
      <c r="C26" s="323" t="s">
        <v>221</v>
      </c>
      <c r="D26" s="1060">
        <v>65</v>
      </c>
      <c r="E26" s="1058">
        <v>52.09</v>
      </c>
      <c r="F26" s="327">
        <f>E26*D26</f>
        <v>3385.8500000000004</v>
      </c>
      <c r="G26" s="1042">
        <f>F26/$F$53</f>
        <v>4.24085942205773E-2</v>
      </c>
      <c r="H26" s="1061"/>
      <c r="I26" s="1062">
        <v>65</v>
      </c>
      <c r="J26" s="1055">
        <v>30.69</v>
      </c>
      <c r="K26" s="1056">
        <f t="shared" si="0"/>
        <v>1994.8500000000001</v>
      </c>
      <c r="L26" s="1025">
        <f t="shared" si="1"/>
        <v>4.4465342621753369E-2</v>
      </c>
      <c r="M26" s="1026">
        <f t="shared" si="2"/>
        <v>4.2273811216604625E-2</v>
      </c>
      <c r="N26" s="323"/>
      <c r="O26" s="495">
        <f>(J26-E26)/E26</f>
        <v>-0.41082741409099638</v>
      </c>
      <c r="P26" s="329" t="s">
        <v>86</v>
      </c>
      <c r="Q26" s="1044"/>
      <c r="R26" s="1001"/>
      <c r="S26" s="326"/>
      <c r="T26" s="309"/>
      <c r="U26" s="328"/>
      <c r="V26" s="309"/>
      <c r="W26" s="328"/>
    </row>
    <row r="27" spans="1:23" ht="12.75" customHeight="1">
      <c r="A27" s="547">
        <v>20</v>
      </c>
      <c r="B27" s="334" t="s">
        <v>238</v>
      </c>
      <c r="C27" s="323" t="s">
        <v>239</v>
      </c>
      <c r="D27" s="1060"/>
      <c r="E27" s="1058"/>
      <c r="F27" s="327"/>
      <c r="G27" s="1042"/>
      <c r="H27" s="1061"/>
      <c r="I27" s="1062">
        <v>40</v>
      </c>
      <c r="J27" s="1055">
        <v>64.52</v>
      </c>
      <c r="K27" s="1056">
        <f t="shared" si="0"/>
        <v>2580.7999999999997</v>
      </c>
      <c r="L27" s="1025">
        <f t="shared" si="1"/>
        <v>5.7526208104980867E-2</v>
      </c>
      <c r="M27" s="1026">
        <f t="shared" si="2"/>
        <v>5.4690955203555755E-2</v>
      </c>
      <c r="N27" s="323"/>
      <c r="O27" s="495"/>
      <c r="P27" s="329" t="s">
        <v>86</v>
      </c>
      <c r="Q27" s="1044"/>
      <c r="R27" s="1001"/>
      <c r="S27" s="326"/>
      <c r="T27" s="309"/>
      <c r="U27" s="328"/>
      <c r="V27" s="309"/>
      <c r="W27" s="328"/>
    </row>
    <row r="28" spans="1:23" ht="12.75" customHeight="1">
      <c r="A28" s="547">
        <v>21</v>
      </c>
      <c r="B28" s="334" t="s">
        <v>46</v>
      </c>
      <c r="C28" s="323" t="s">
        <v>47</v>
      </c>
      <c r="D28" s="1060">
        <v>75</v>
      </c>
      <c r="E28" s="1058">
        <v>46.48</v>
      </c>
      <c r="F28" s="327">
        <f>E28*D28</f>
        <v>3485.9999999999995</v>
      </c>
      <c r="G28" s="1042">
        <f>F28/$F$53</f>
        <v>4.3662997313210106E-2</v>
      </c>
      <c r="H28" s="1061"/>
      <c r="I28" s="1062">
        <v>75</v>
      </c>
      <c r="J28" s="1055">
        <v>42.57</v>
      </c>
      <c r="K28" s="1056">
        <f t="shared" si="0"/>
        <v>3192.75</v>
      </c>
      <c r="L28" s="1025">
        <f t="shared" si="1"/>
        <v>7.1166615362359617E-2</v>
      </c>
      <c r="M28" s="1026">
        <f t="shared" si="2"/>
        <v>6.7659077505483819E-2</v>
      </c>
      <c r="N28" s="323"/>
      <c r="O28" s="495">
        <f>(J28-E28)/E28</f>
        <v>-8.412220309810664E-2</v>
      </c>
      <c r="P28" s="329" t="s">
        <v>86</v>
      </c>
      <c r="Q28" s="1044"/>
      <c r="R28" s="1001"/>
      <c r="S28" s="326"/>
      <c r="T28" s="309"/>
      <c r="U28" s="328"/>
      <c r="V28" s="309"/>
      <c r="W28" s="328"/>
    </row>
    <row r="29" spans="1:23" ht="12.75" customHeight="1">
      <c r="A29" s="547">
        <v>22</v>
      </c>
      <c r="B29" s="334" t="s">
        <v>240</v>
      </c>
      <c r="C29" s="323" t="s">
        <v>241</v>
      </c>
      <c r="D29" s="1060"/>
      <c r="E29" s="1058"/>
      <c r="F29" s="327"/>
      <c r="G29" s="1042"/>
      <c r="H29" s="1061"/>
      <c r="I29" s="1062">
        <v>75</v>
      </c>
      <c r="J29" s="1055">
        <v>33.14</v>
      </c>
      <c r="K29" s="1056">
        <f t="shared" si="0"/>
        <v>2485.5</v>
      </c>
      <c r="L29" s="1025">
        <f t="shared" si="1"/>
        <v>5.540196460203424E-2</v>
      </c>
      <c r="M29" s="1026">
        <f t="shared" si="2"/>
        <v>5.2671407764428795E-2</v>
      </c>
      <c r="N29" s="323"/>
      <c r="O29" s="495"/>
      <c r="P29" s="329" t="s">
        <v>86</v>
      </c>
      <c r="Q29" s="1044"/>
      <c r="R29" s="1001"/>
      <c r="S29" s="326"/>
      <c r="T29" s="309"/>
      <c r="U29" s="328"/>
      <c r="V29" s="309"/>
      <c r="W29" s="328"/>
    </row>
    <row r="30" spans="1:23" ht="12.75" customHeight="1">
      <c r="A30" s="547">
        <v>23</v>
      </c>
      <c r="B30" s="334" t="s">
        <v>222</v>
      </c>
      <c r="C30" s="323" t="s">
        <v>223</v>
      </c>
      <c r="D30" s="1060">
        <v>60</v>
      </c>
      <c r="E30" s="1058">
        <v>34.299999999999997</v>
      </c>
      <c r="F30" s="327">
        <f>E30*D30</f>
        <v>2058</v>
      </c>
      <c r="G30" s="1042">
        <f>F30/$F$53</f>
        <v>2.577695022105175E-2</v>
      </c>
      <c r="H30" s="1061"/>
      <c r="I30" s="1062">
        <v>60</v>
      </c>
      <c r="J30" s="1055">
        <v>10.82</v>
      </c>
      <c r="K30" s="1056">
        <f t="shared" si="0"/>
        <v>649.20000000000005</v>
      </c>
      <c r="L30" s="1025">
        <f t="shared" si="1"/>
        <v>1.4470712299191562E-2</v>
      </c>
      <c r="M30" s="1026">
        <f t="shared" si="2"/>
        <v>1.3757504695500775E-2</v>
      </c>
      <c r="N30" s="323"/>
      <c r="O30" s="495">
        <f>(J30-E30)/E30</f>
        <v>-0.68454810495626817</v>
      </c>
      <c r="P30" s="329" t="s">
        <v>86</v>
      </c>
      <c r="Q30" s="1044"/>
      <c r="R30" s="1001"/>
      <c r="S30" s="326"/>
      <c r="T30" s="309"/>
      <c r="U30" s="328"/>
      <c r="V30" s="309"/>
      <c r="W30" s="328"/>
    </row>
    <row r="31" spans="1:23" ht="12.75" customHeight="1">
      <c r="A31" s="547">
        <v>24</v>
      </c>
      <c r="B31" s="334" t="s">
        <v>242</v>
      </c>
      <c r="C31" s="323" t="s">
        <v>243</v>
      </c>
      <c r="D31" s="1060"/>
      <c r="E31" s="1058"/>
      <c r="F31" s="327"/>
      <c r="G31" s="1042"/>
      <c r="H31" s="1061"/>
      <c r="I31" s="1062">
        <v>40</v>
      </c>
      <c r="J31" s="1055">
        <v>35.270000000000003</v>
      </c>
      <c r="K31" s="1056">
        <f t="shared" si="0"/>
        <v>1410.8000000000002</v>
      </c>
      <c r="L31" s="1025">
        <f t="shared" si="1"/>
        <v>3.1446828268175381E-2</v>
      </c>
      <c r="M31" s="1026">
        <f t="shared" si="2"/>
        <v>2.9896931029594107E-2</v>
      </c>
      <c r="N31" s="323"/>
      <c r="O31" s="495"/>
      <c r="P31" s="329" t="s">
        <v>86</v>
      </c>
      <c r="Q31" s="1044"/>
      <c r="R31" s="1001"/>
      <c r="S31" s="326"/>
      <c r="T31" s="309"/>
      <c r="U31" s="328"/>
      <c r="V31" s="309"/>
      <c r="W31" s="328"/>
    </row>
    <row r="32" spans="1:23" ht="12.75" customHeight="1">
      <c r="A32" s="547">
        <v>25</v>
      </c>
      <c r="B32" s="1059" t="s">
        <v>50</v>
      </c>
      <c r="C32" s="323" t="s">
        <v>51</v>
      </c>
      <c r="D32" s="1060">
        <v>100</v>
      </c>
      <c r="E32" s="1058">
        <v>38.270000000000003</v>
      </c>
      <c r="F32" s="327">
        <f>E32*D32</f>
        <v>3827.0000000000005</v>
      </c>
      <c r="G32" s="1042">
        <f>F32/$F$53</f>
        <v>4.7934105197261934E-2</v>
      </c>
      <c r="H32" s="1061"/>
      <c r="I32" s="1062">
        <v>100</v>
      </c>
      <c r="J32" s="1055">
        <v>31.5</v>
      </c>
      <c r="K32" s="1056">
        <f t="shared" si="0"/>
        <v>3150</v>
      </c>
      <c r="L32" s="1025">
        <f t="shared" si="1"/>
        <v>7.0213714945245559E-2</v>
      </c>
      <c r="M32" s="1026">
        <f t="shared" si="2"/>
        <v>6.6753142006819838E-2</v>
      </c>
      <c r="N32" s="323"/>
      <c r="O32" s="495">
        <f>(J32-E32)/E32</f>
        <v>-0.17690096681473746</v>
      </c>
      <c r="P32" s="329" t="s">
        <v>86</v>
      </c>
      <c r="Q32" s="1044"/>
      <c r="R32" s="956"/>
      <c r="S32" s="326"/>
      <c r="T32" s="309"/>
      <c r="U32" s="328"/>
      <c r="V32" s="309"/>
      <c r="W32" s="328"/>
    </row>
    <row r="33" spans="1:27" ht="12.75" customHeight="1">
      <c r="A33" s="31"/>
      <c r="B33" s="913"/>
      <c r="C33" s="323"/>
      <c r="D33" s="1060"/>
      <c r="E33" s="1063"/>
      <c r="F33" s="1064"/>
      <c r="G33" s="1061"/>
      <c r="H33" s="1061"/>
      <c r="I33" s="1062"/>
      <c r="J33" s="1065"/>
      <c r="K33" s="1056"/>
      <c r="L33" s="1066"/>
      <c r="M33" s="1067"/>
      <c r="N33" s="323"/>
      <c r="O33" s="1061"/>
      <c r="P33" s="1068"/>
      <c r="Q33" s="326"/>
      <c r="R33" s="326"/>
      <c r="S33" s="326"/>
      <c r="T33" s="309"/>
      <c r="U33" s="309"/>
      <c r="V33" s="309"/>
      <c r="W33" s="328"/>
    </row>
    <row r="34" spans="1:27" ht="12.75" hidden="1" customHeight="1">
      <c r="A34" s="1069"/>
      <c r="B34" s="323"/>
      <c r="C34" s="323"/>
      <c r="D34" s="1060"/>
      <c r="E34" s="1070"/>
      <c r="F34" s="1064"/>
      <c r="G34" s="1061"/>
      <c r="H34" s="1061"/>
      <c r="I34" s="1062"/>
      <c r="J34" s="1070"/>
      <c r="K34" s="1071"/>
      <c r="L34" s="1072"/>
      <c r="M34" s="1067"/>
      <c r="N34" s="323"/>
      <c r="O34" s="895"/>
      <c r="P34" s="1073"/>
      <c r="Q34" s="326" t="str">
        <f>IF(P34&lt;-0.15,"SELL","")</f>
        <v/>
      </c>
      <c r="R34" s="326"/>
      <c r="S34" s="326"/>
      <c r="T34" s="309"/>
      <c r="U34" s="309"/>
      <c r="V34" s="309"/>
      <c r="W34" s="328"/>
    </row>
    <row r="35" spans="1:27" ht="12.75" hidden="1" customHeight="1">
      <c r="A35" s="854"/>
      <c r="B35" s="323"/>
      <c r="C35" s="323"/>
      <c r="D35" s="1060"/>
      <c r="E35" s="1070"/>
      <c r="F35" s="1064"/>
      <c r="G35" s="1061"/>
      <c r="H35" s="1061"/>
      <c r="I35" s="1062"/>
      <c r="J35" s="1065"/>
      <c r="K35" s="1056"/>
      <c r="L35" s="1066"/>
      <c r="M35" s="1067"/>
      <c r="N35" s="323"/>
      <c r="O35" s="895"/>
      <c r="P35" s="329"/>
      <c r="Q35" s="326" t="str">
        <f>IF(P35&lt;-0.15,"SELL","")</f>
        <v/>
      </c>
      <c r="R35" s="326"/>
      <c r="S35" s="326"/>
      <c r="T35" s="309"/>
      <c r="U35" s="309"/>
      <c r="V35" s="309"/>
      <c r="W35" s="328"/>
    </row>
    <row r="36" spans="1:27" ht="12.75" hidden="1" customHeight="1">
      <c r="A36" s="1069"/>
      <c r="B36" s="323"/>
      <c r="C36" s="323"/>
      <c r="D36" s="1060"/>
      <c r="E36" s="1070"/>
      <c r="F36" s="1074"/>
      <c r="G36" s="1061"/>
      <c r="H36" s="1061"/>
      <c r="I36" s="1062"/>
      <c r="J36" s="1065"/>
      <c r="K36" s="1056"/>
      <c r="L36" s="1066"/>
      <c r="M36" s="1067"/>
      <c r="N36" s="323"/>
      <c r="O36" s="895"/>
      <c r="P36" s="329"/>
      <c r="Q36" s="326" t="str">
        <f>IF(P36&lt;-0.15,"SELL","")</f>
        <v/>
      </c>
      <c r="R36" s="326"/>
      <c r="S36" s="326"/>
      <c r="T36" s="309"/>
      <c r="U36" s="309"/>
      <c r="V36" s="309"/>
      <c r="W36" s="328"/>
    </row>
    <row r="37" spans="1:27" ht="12.75" hidden="1" customHeight="1">
      <c r="A37" s="854"/>
      <c r="B37" s="323"/>
      <c r="C37" s="323"/>
      <c r="D37" s="1060"/>
      <c r="E37" s="1070"/>
      <c r="F37" s="1064"/>
      <c r="G37" s="1061"/>
      <c r="H37" s="1061"/>
      <c r="I37" s="1062"/>
      <c r="J37" s="1065"/>
      <c r="K37" s="1056"/>
      <c r="L37" s="1066"/>
      <c r="M37" s="1067"/>
      <c r="N37" s="323"/>
      <c r="O37" s="895"/>
      <c r="P37" s="329"/>
      <c r="Q37" s="326"/>
      <c r="R37" s="326"/>
      <c r="S37" s="326"/>
      <c r="T37" s="309"/>
      <c r="U37" s="309"/>
      <c r="V37" s="309"/>
      <c r="W37" s="328"/>
    </row>
    <row r="38" spans="1:27" ht="12.75" hidden="1" customHeight="1">
      <c r="A38" s="1069"/>
      <c r="B38" s="323"/>
      <c r="C38" s="323"/>
      <c r="D38" s="1060"/>
      <c r="E38" s="1070"/>
      <c r="F38" s="1064"/>
      <c r="G38" s="1061"/>
      <c r="H38" s="1061"/>
      <c r="I38" s="1062"/>
      <c r="J38" s="1065"/>
      <c r="K38" s="1056"/>
      <c r="L38" s="1066"/>
      <c r="M38" s="1067"/>
      <c r="N38" s="323"/>
      <c r="O38" s="895"/>
      <c r="P38" s="329"/>
      <c r="Q38" s="326" t="str">
        <f>IF(P38&lt;-0.15,"SELL","")</f>
        <v/>
      </c>
      <c r="R38" s="326"/>
      <c r="S38" s="326"/>
      <c r="T38" s="309"/>
      <c r="U38" s="309"/>
      <c r="V38" s="309"/>
      <c r="W38" s="328"/>
    </row>
    <row r="39" spans="1:27" ht="12.75" hidden="1" customHeight="1">
      <c r="A39" s="854"/>
      <c r="B39" s="323"/>
      <c r="C39" s="323"/>
      <c r="D39" s="1060"/>
      <c r="E39" s="1070"/>
      <c r="F39" s="1064"/>
      <c r="G39" s="1061"/>
      <c r="H39" s="1061"/>
      <c r="I39" s="1062"/>
      <c r="J39" s="1065"/>
      <c r="K39" s="1056"/>
      <c r="L39" s="1066"/>
      <c r="M39" s="1067"/>
      <c r="N39" s="323"/>
      <c r="O39" s="895"/>
      <c r="P39" s="329"/>
      <c r="Q39" s="326" t="str">
        <f>IF(P39&lt;-0.15,"SELL","")</f>
        <v/>
      </c>
      <c r="R39" s="326"/>
      <c r="S39" s="326"/>
      <c r="T39" s="309"/>
      <c r="U39" s="309"/>
      <c r="V39" s="309"/>
      <c r="W39" s="328"/>
    </row>
    <row r="40" spans="1:27" ht="13.5" hidden="1" customHeight="1">
      <c r="A40" s="1069"/>
      <c r="B40" s="913"/>
      <c r="C40" s="323"/>
      <c r="D40" s="1060"/>
      <c r="E40" s="1070"/>
      <c r="F40" s="1064"/>
      <c r="G40" s="1061"/>
      <c r="H40" s="1061"/>
      <c r="I40" s="1062"/>
      <c r="J40" s="1065"/>
      <c r="K40" s="1056"/>
      <c r="L40" s="1066"/>
      <c r="M40" s="1067"/>
      <c r="N40" s="323"/>
      <c r="O40" s="895"/>
      <c r="P40" s="329"/>
      <c r="Q40" s="326"/>
      <c r="R40" s="326"/>
      <c r="S40" s="326"/>
      <c r="T40" s="309"/>
      <c r="U40" s="309"/>
      <c r="V40" s="309"/>
      <c r="W40" s="328"/>
    </row>
    <row r="41" spans="1:27" ht="12.75" hidden="1" customHeight="1">
      <c r="A41" s="32"/>
      <c r="B41" s="323"/>
      <c r="C41" s="138"/>
      <c r="D41" s="1062"/>
      <c r="E41" s="1070"/>
      <c r="F41" s="1064"/>
      <c r="G41" s="1061"/>
      <c r="H41" s="1061"/>
      <c r="I41" s="1062"/>
      <c r="J41" s="1065"/>
      <c r="K41" s="1056"/>
      <c r="L41" s="1066"/>
      <c r="M41" s="1067"/>
      <c r="N41" s="323"/>
      <c r="O41" s="895"/>
      <c r="P41" s="329"/>
      <c r="Q41" s="326" t="str">
        <f>IF(P41&lt;-0.15,"SELL","")</f>
        <v/>
      </c>
      <c r="R41" s="326"/>
      <c r="S41" s="326"/>
      <c r="T41" s="309"/>
      <c r="U41" s="309"/>
      <c r="V41" s="309"/>
      <c r="W41" s="328"/>
      <c r="X41" s="5"/>
      <c r="Y41" s="5"/>
      <c r="Z41" s="5"/>
      <c r="AA41" s="5"/>
    </row>
    <row r="42" spans="1:27" ht="12.75" hidden="1" customHeight="1">
      <c r="A42" s="854"/>
      <c r="B42" s="323"/>
      <c r="C42" s="323"/>
      <c r="D42" s="1060"/>
      <c r="E42" s="1070"/>
      <c r="F42" s="1064"/>
      <c r="G42" s="1061"/>
      <c r="H42" s="1061"/>
      <c r="I42" s="1062"/>
      <c r="J42" s="1065"/>
      <c r="K42" s="1056"/>
      <c r="L42" s="1066"/>
      <c r="M42" s="1067"/>
      <c r="N42" s="323"/>
      <c r="O42" s="895"/>
      <c r="P42" s="329"/>
      <c r="Q42" s="326"/>
      <c r="R42" s="326"/>
      <c r="S42" s="326"/>
      <c r="T42" s="309"/>
      <c r="U42" s="309"/>
      <c r="V42" s="309"/>
      <c r="W42" s="328"/>
      <c r="X42" s="5"/>
      <c r="Y42" s="5"/>
      <c r="Z42" s="5"/>
      <c r="AA42" s="5"/>
    </row>
    <row r="43" spans="1:27" ht="12.75" customHeight="1">
      <c r="A43" s="547"/>
      <c r="B43" s="1075" t="s">
        <v>52</v>
      </c>
      <c r="C43" s="323"/>
      <c r="D43" s="1060"/>
      <c r="E43" s="1070"/>
      <c r="F43" s="1064"/>
      <c r="G43" s="1061"/>
      <c r="H43" s="1061"/>
      <c r="I43" s="1062"/>
      <c r="J43" s="1065"/>
      <c r="K43" s="1056"/>
      <c r="L43" s="1066"/>
      <c r="M43" s="1067"/>
      <c r="N43" s="323"/>
      <c r="O43" s="895"/>
      <c r="P43" s="329"/>
      <c r="Q43" s="326"/>
      <c r="R43" s="326"/>
      <c r="S43" s="326"/>
      <c r="T43" s="309"/>
      <c r="U43" s="309"/>
      <c r="V43" s="309"/>
      <c r="W43" s="328"/>
      <c r="X43" s="5"/>
      <c r="Y43" s="5"/>
      <c r="Z43" s="5"/>
      <c r="AA43" s="5"/>
    </row>
    <row r="44" spans="1:27" ht="12.75" customHeight="1">
      <c r="A44" s="1076">
        <v>1</v>
      </c>
      <c r="B44" s="1077" t="s">
        <v>30</v>
      </c>
      <c r="C44" s="1078" t="s">
        <v>31</v>
      </c>
      <c r="D44" s="1079">
        <v>60</v>
      </c>
      <c r="E44" s="1080">
        <v>24.64</v>
      </c>
      <c r="F44" s="1081">
        <f>(D44*E44)-9.99</f>
        <v>1468.41</v>
      </c>
      <c r="G44" s="1082"/>
      <c r="H44" s="1082"/>
      <c r="I44" s="1083"/>
      <c r="J44" s="1083"/>
      <c r="K44" s="1083"/>
      <c r="L44" s="1084"/>
      <c r="M44" s="1085"/>
      <c r="N44" s="1078"/>
      <c r="O44" s="132"/>
      <c r="P44" s="1086"/>
      <c r="Q44" s="326"/>
      <c r="R44" s="326"/>
      <c r="S44" s="326"/>
      <c r="T44" s="309"/>
      <c r="U44" s="309"/>
      <c r="V44" s="309"/>
      <c r="W44" s="328"/>
      <c r="X44" s="5"/>
      <c r="Y44" s="5"/>
      <c r="Z44" s="5"/>
      <c r="AA44" s="5"/>
    </row>
    <row r="45" spans="1:27" ht="12.75" customHeight="1">
      <c r="A45" s="547">
        <v>2</v>
      </c>
      <c r="B45" s="334" t="s">
        <v>26</v>
      </c>
      <c r="C45" s="323" t="s">
        <v>27</v>
      </c>
      <c r="D45" s="1060">
        <v>60</v>
      </c>
      <c r="E45" s="1055">
        <v>35.03</v>
      </c>
      <c r="F45" s="1056">
        <f>(D45*E45)-9.99</f>
        <v>2091.8100000000004</v>
      </c>
      <c r="G45" s="1061"/>
      <c r="H45" s="1061"/>
      <c r="I45" s="5"/>
      <c r="J45" s="5"/>
      <c r="K45" s="5"/>
      <c r="L45" s="1066"/>
      <c r="M45" s="1067"/>
      <c r="N45" s="323"/>
      <c r="O45" s="895"/>
      <c r="P45" s="329"/>
      <c r="Q45" s="326"/>
      <c r="R45" s="326"/>
      <c r="S45" s="326"/>
      <c r="T45" s="309"/>
      <c r="U45" s="309"/>
      <c r="V45" s="309"/>
      <c r="W45" s="328"/>
      <c r="X45" s="5"/>
      <c r="Y45" s="5"/>
      <c r="Z45" s="5"/>
      <c r="AA45" s="5"/>
    </row>
    <row r="46" spans="1:27" ht="12.75" customHeight="1">
      <c r="A46" s="547">
        <v>3</v>
      </c>
      <c r="B46" s="334" t="s">
        <v>216</v>
      </c>
      <c r="C46" s="323" t="s">
        <v>217</v>
      </c>
      <c r="D46" s="1060">
        <v>100</v>
      </c>
      <c r="E46" s="1055">
        <v>45.98</v>
      </c>
      <c r="F46" s="1056">
        <f>(D46*E46)-9.99</f>
        <v>4588.01</v>
      </c>
      <c r="G46" s="1061"/>
      <c r="H46" s="1061"/>
      <c r="I46" s="5"/>
      <c r="J46" s="5"/>
      <c r="K46" s="5"/>
      <c r="L46" s="1066"/>
      <c r="M46" s="1067"/>
      <c r="N46" s="323"/>
      <c r="O46" s="895"/>
      <c r="P46" s="329"/>
      <c r="Q46" s="326"/>
      <c r="R46" s="326"/>
      <c r="S46" s="326"/>
      <c r="T46" s="309"/>
      <c r="U46" s="309"/>
      <c r="V46" s="309"/>
      <c r="W46" s="328"/>
      <c r="X46" s="5"/>
      <c r="Y46" s="5"/>
      <c r="Z46" s="5"/>
      <c r="AA46" s="5"/>
    </row>
    <row r="47" spans="1:27" ht="12.75" customHeight="1">
      <c r="A47" s="854">
        <v>4</v>
      </c>
      <c r="B47" s="323" t="s">
        <v>244</v>
      </c>
      <c r="C47" s="138" t="s">
        <v>19</v>
      </c>
      <c r="D47" s="1062">
        <v>60</v>
      </c>
      <c r="E47" s="1055">
        <v>44.64</v>
      </c>
      <c r="F47" s="1056">
        <f>(D47*E47)-9.99</f>
        <v>2668.4100000000003</v>
      </c>
      <c r="G47" s="1061"/>
      <c r="H47" s="1061"/>
      <c r="I47" s="5"/>
      <c r="J47" s="5"/>
      <c r="K47" s="5"/>
      <c r="L47" s="1066"/>
      <c r="M47" s="1067"/>
      <c r="N47" s="323"/>
      <c r="O47" s="895"/>
      <c r="P47" s="329"/>
      <c r="Q47" s="326"/>
      <c r="R47" s="326"/>
      <c r="S47" s="326"/>
      <c r="T47" s="309"/>
      <c r="U47" s="309"/>
      <c r="V47" s="309"/>
      <c r="W47" s="328"/>
      <c r="X47" s="5"/>
      <c r="Y47" s="5"/>
      <c r="Z47" s="5"/>
      <c r="AA47" s="5"/>
    </row>
    <row r="48" spans="1:27" ht="12.75" customHeight="1">
      <c r="A48" s="32">
        <v>5</v>
      </c>
      <c r="B48" s="33" t="s">
        <v>245</v>
      </c>
      <c r="C48" s="400" t="s">
        <v>49</v>
      </c>
      <c r="D48" s="1087">
        <v>90</v>
      </c>
      <c r="E48" s="1088">
        <v>18.64</v>
      </c>
      <c r="F48" s="1089">
        <f>(D48*E48)-9.99</f>
        <v>1667.6100000000001</v>
      </c>
      <c r="G48" s="1087"/>
      <c r="H48" s="1087"/>
      <c r="I48" s="916"/>
      <c r="J48" s="916"/>
      <c r="K48" s="916"/>
      <c r="L48" s="1087"/>
      <c r="M48" s="400"/>
      <c r="N48" s="1087"/>
      <c r="O48" s="1087"/>
      <c r="P48" s="400"/>
      <c r="Q48" s="5"/>
      <c r="R48" s="5"/>
      <c r="S48" s="5"/>
      <c r="T48" s="5"/>
      <c r="U48" s="5"/>
      <c r="V48" s="5"/>
      <c r="W48" s="5"/>
      <c r="X48" s="5"/>
      <c r="Y48" s="5"/>
      <c r="Z48" s="5"/>
      <c r="AA48" s="5"/>
    </row>
    <row r="49" spans="1:23" ht="12.75" customHeight="1">
      <c r="A49" s="323"/>
      <c r="B49" s="900" t="s">
        <v>63</v>
      </c>
      <c r="C49" s="900"/>
      <c r="D49" s="346"/>
      <c r="E49" s="782"/>
      <c r="F49" s="1090">
        <f>74430.25</f>
        <v>74430.25</v>
      </c>
      <c r="G49" s="1091">
        <f>F49/$F$53</f>
        <v>0.93225697239574201</v>
      </c>
      <c r="H49" s="587"/>
      <c r="I49" s="782"/>
      <c r="J49" s="782"/>
      <c r="K49" s="1092">
        <f>SUM(K8:K32)</f>
        <v>44863.03</v>
      </c>
      <c r="L49" s="1093"/>
      <c r="M49" s="1094">
        <f>K49/$K$53</f>
        <v>0.95071371823689477</v>
      </c>
      <c r="N49" s="900"/>
      <c r="O49" s="137"/>
      <c r="P49" s="138"/>
      <c r="Q49" s="326"/>
      <c r="R49" s="326"/>
      <c r="S49" s="326"/>
      <c r="T49" s="309"/>
      <c r="U49" s="309"/>
      <c r="V49" s="309"/>
      <c r="W49" s="328"/>
    </row>
    <row r="50" spans="1:23" ht="12.75" customHeight="1">
      <c r="A50" s="323"/>
      <c r="B50" s="900"/>
      <c r="C50" s="900"/>
      <c r="D50" s="346"/>
      <c r="E50" s="347"/>
      <c r="F50" s="1090"/>
      <c r="G50" s="1091"/>
      <c r="H50" s="587"/>
      <c r="I50" s="782"/>
      <c r="J50" s="347"/>
      <c r="K50" s="1095"/>
      <c r="L50" s="323"/>
      <c r="M50" s="1094"/>
      <c r="N50" s="900"/>
      <c r="O50" s="587"/>
      <c r="P50" s="138"/>
      <c r="Q50" s="326"/>
      <c r="R50" s="326"/>
      <c r="S50" s="326"/>
      <c r="T50" s="309"/>
      <c r="U50" s="309"/>
      <c r="V50" s="309"/>
      <c r="W50" s="328"/>
    </row>
    <row r="51" spans="1:23" ht="12.75" customHeight="1">
      <c r="A51" s="323"/>
      <c r="B51" s="900" t="s">
        <v>64</v>
      </c>
      <c r="C51" s="900"/>
      <c r="D51" s="346"/>
      <c r="E51" s="347"/>
      <c r="F51" s="1090">
        <v>5408.52</v>
      </c>
      <c r="G51" s="1091">
        <f>F51/$F$53</f>
        <v>6.7743027604257933E-2</v>
      </c>
      <c r="H51" s="587"/>
      <c r="I51" s="782"/>
      <c r="J51" s="347"/>
      <c r="K51" s="1096">
        <v>2325.7600000000002</v>
      </c>
      <c r="L51" s="1093"/>
      <c r="M51" s="1094">
        <f>K51/$K$53</f>
        <v>4.9286281763105184E-2</v>
      </c>
      <c r="N51" s="900"/>
      <c r="O51" s="587"/>
      <c r="P51" s="138"/>
      <c r="Q51" s="326"/>
      <c r="R51" s="326"/>
      <c r="S51" s="326"/>
      <c r="T51" s="977"/>
      <c r="U51" s="309"/>
      <c r="V51" s="309"/>
      <c r="W51" s="328"/>
    </row>
    <row r="52" spans="1:23" ht="12.75" customHeight="1">
      <c r="A52" s="1097"/>
      <c r="B52" s="1098" t="s">
        <v>65</v>
      </c>
      <c r="C52" s="1098"/>
      <c r="D52" s="34"/>
      <c r="E52" s="1099"/>
      <c r="F52" s="1100"/>
      <c r="G52" s="1101"/>
      <c r="H52" s="1102"/>
      <c r="I52" s="1099"/>
      <c r="J52" s="1099"/>
      <c r="K52" s="1103"/>
      <c r="L52" s="1104"/>
      <c r="M52" s="35"/>
      <c r="N52" s="1098"/>
      <c r="O52" s="588"/>
      <c r="P52" s="36"/>
      <c r="Q52" s="326"/>
      <c r="R52" s="326"/>
      <c r="S52" s="326"/>
      <c r="T52" s="309"/>
      <c r="U52" s="309"/>
      <c r="V52" s="309"/>
      <c r="W52" s="328"/>
    </row>
    <row r="53" spans="1:23" ht="12.75" customHeight="1">
      <c r="A53" s="323"/>
      <c r="B53" s="900" t="s">
        <v>66</v>
      </c>
      <c r="C53" s="900"/>
      <c r="D53" s="1105"/>
      <c r="E53" s="1106"/>
      <c r="F53" s="1107">
        <f>SUM(F49:F52)</f>
        <v>79838.77</v>
      </c>
      <c r="G53" s="1108">
        <f>SUM(G49:G52)</f>
        <v>1</v>
      </c>
      <c r="H53" s="1108"/>
      <c r="I53" s="1106"/>
      <c r="J53" s="1106"/>
      <c r="K53" s="1109">
        <f>SUM(K49:K52)</f>
        <v>47188.79</v>
      </c>
      <c r="L53" s="1110"/>
      <c r="M53" s="37">
        <f>SUM(M49:M52)</f>
        <v>1</v>
      </c>
      <c r="N53" s="900"/>
      <c r="O53" s="38">
        <f>(K53-F53)/F53</f>
        <v>-0.40894893546080435</v>
      </c>
      <c r="P53" s="323"/>
      <c r="Q53" s="326"/>
      <c r="R53" s="326"/>
      <c r="S53" s="326"/>
      <c r="T53" s="309"/>
      <c r="U53" s="309"/>
      <c r="V53" s="309"/>
      <c r="W53" s="328"/>
    </row>
    <row r="54" spans="1:23" ht="12.75" customHeight="1">
      <c r="A54" s="323"/>
      <c r="B54" s="323"/>
      <c r="C54" s="1023"/>
      <c r="D54" s="1024"/>
      <c r="E54" s="1024"/>
      <c r="F54" s="1024"/>
      <c r="G54" s="1024"/>
      <c r="H54" s="1024"/>
      <c r="I54" s="1024"/>
      <c r="J54" s="1024"/>
      <c r="K54" s="1111"/>
      <c r="L54" s="1111"/>
      <c r="M54" s="1061"/>
      <c r="N54" s="323"/>
      <c r="O54" s="323"/>
      <c r="P54" s="323"/>
      <c r="Q54" s="326"/>
      <c r="R54" s="326"/>
      <c r="S54" s="326"/>
      <c r="T54" s="309"/>
      <c r="U54" s="309"/>
      <c r="V54" s="309"/>
      <c r="W54" s="328"/>
    </row>
    <row r="55" spans="1:23" ht="12.75" customHeight="1">
      <c r="A55" s="323"/>
      <c r="B55" s="874"/>
      <c r="C55" s="1112"/>
      <c r="D55" s="874"/>
      <c r="E55" s="875"/>
      <c r="F55" s="876"/>
      <c r="G55" s="877"/>
      <c r="H55" s="875"/>
      <c r="I55" s="875"/>
      <c r="J55" s="875"/>
      <c r="K55" s="880"/>
      <c r="L55" s="880"/>
      <c r="M55" s="877"/>
      <c r="N55" s="875"/>
      <c r="O55" s="874"/>
      <c r="P55" s="1113"/>
      <c r="Q55" s="1019"/>
      <c r="R55" s="1019"/>
      <c r="S55" s="1019"/>
      <c r="T55" s="309"/>
      <c r="U55" s="309"/>
      <c r="V55" s="309"/>
      <c r="W55" s="328"/>
    </row>
    <row r="56" spans="1:23" ht="12.75" customHeight="1">
      <c r="A56" s="323"/>
      <c r="B56" s="900" t="s">
        <v>67</v>
      </c>
      <c r="C56" s="323"/>
      <c r="D56" s="323"/>
      <c r="E56" s="323"/>
      <c r="F56" s="1114"/>
      <c r="G56" s="323"/>
      <c r="H56" s="323"/>
      <c r="I56" s="323"/>
      <c r="J56" s="323"/>
      <c r="K56" s="324"/>
      <c r="L56" s="324"/>
      <c r="M56" s="323"/>
      <c r="N56" s="323"/>
      <c r="O56" s="1042"/>
      <c r="P56" s="1042"/>
      <c r="Q56" s="1001"/>
      <c r="R56" s="326"/>
      <c r="S56" s="326"/>
      <c r="T56" s="309"/>
      <c r="U56" s="309"/>
      <c r="V56" s="309"/>
      <c r="W56" s="328"/>
    </row>
    <row r="57" spans="1:23" ht="12.75" customHeight="1">
      <c r="A57" s="323"/>
      <c r="B57" s="323" t="s">
        <v>226</v>
      </c>
      <c r="C57" s="323"/>
      <c r="D57" s="323"/>
      <c r="E57" s="323"/>
      <c r="F57" s="1114">
        <v>1468.36</v>
      </c>
      <c r="G57" s="323"/>
      <c r="H57" s="323"/>
      <c r="I57" s="323"/>
      <c r="J57" s="323"/>
      <c r="K57" s="324" t="s">
        <v>86</v>
      </c>
      <c r="L57" s="324"/>
      <c r="M57" s="1115"/>
      <c r="N57" s="323"/>
      <c r="O57" s="1042" t="e">
        <f>(K57-F57)/F57</f>
        <v>#VALUE!</v>
      </c>
      <c r="P57" s="1042"/>
      <c r="Q57" s="1030"/>
      <c r="R57" s="326"/>
      <c r="S57" s="326"/>
      <c r="T57" s="309"/>
      <c r="U57" s="309"/>
      <c r="V57" s="309"/>
      <c r="W57" s="328"/>
    </row>
    <row r="58" spans="1:23" ht="12.75" customHeight="1">
      <c r="A58" s="323"/>
      <c r="B58" s="323" t="s">
        <v>227</v>
      </c>
      <c r="C58" s="323"/>
      <c r="D58" s="323"/>
      <c r="E58" s="323"/>
      <c r="F58" s="323"/>
      <c r="G58" s="323"/>
      <c r="H58" s="323"/>
      <c r="I58" s="323"/>
      <c r="J58" s="323"/>
      <c r="K58" s="324"/>
      <c r="L58" s="324"/>
      <c r="M58" s="323"/>
      <c r="N58" s="323"/>
      <c r="O58" s="1042">
        <v>1.49E-2</v>
      </c>
      <c r="P58" s="323"/>
      <c r="Q58" s="326"/>
      <c r="R58" s="326"/>
      <c r="S58" s="326"/>
      <c r="T58" s="309"/>
      <c r="U58" s="309"/>
      <c r="V58" s="309"/>
      <c r="W58" s="328"/>
    </row>
    <row r="59" spans="1:23" ht="12.75" customHeight="1">
      <c r="A59" s="39"/>
      <c r="B59" s="323" t="s">
        <v>228</v>
      </c>
      <c r="C59" s="39"/>
      <c r="D59" s="39"/>
      <c r="E59" s="39"/>
      <c r="F59" s="39"/>
      <c r="G59" s="39"/>
      <c r="H59" s="39"/>
      <c r="I59" s="39"/>
      <c r="J59" s="39"/>
      <c r="K59" s="39"/>
      <c r="L59" s="39"/>
      <c r="M59" s="39"/>
      <c r="N59" s="39"/>
      <c r="O59" s="40" t="e">
        <f>SUM(O57:O58)</f>
        <v>#VALUE!</v>
      </c>
      <c r="P59" s="39"/>
    </row>
    <row r="60" spans="1:23" ht="12.75" customHeight="1">
      <c r="A60" s="39"/>
      <c r="B60" s="39"/>
      <c r="C60" s="39"/>
      <c r="D60" s="39"/>
      <c r="E60" s="39"/>
      <c r="F60" s="39"/>
      <c r="G60" s="39"/>
      <c r="H60" s="39"/>
      <c r="I60" s="39"/>
      <c r="J60" s="39"/>
      <c r="K60" s="39"/>
      <c r="L60" s="39"/>
      <c r="M60" s="39"/>
      <c r="N60" s="39"/>
      <c r="O60" s="39"/>
      <c r="P60" s="39"/>
    </row>
    <row r="61" spans="1:23" ht="12.75" customHeight="1">
      <c r="A61" s="39"/>
      <c r="B61" s="39"/>
      <c r="C61" s="39"/>
      <c r="D61" s="39"/>
      <c r="E61" s="39"/>
      <c r="F61" s="39"/>
      <c r="G61" s="39"/>
      <c r="H61" s="39"/>
      <c r="I61" s="39"/>
      <c r="J61" s="39"/>
      <c r="K61" s="39"/>
      <c r="L61" s="39"/>
      <c r="M61" s="39"/>
      <c r="N61" s="39"/>
      <c r="O61" s="39"/>
      <c r="P61" s="39"/>
    </row>
    <row r="62" spans="1:23" ht="12.75" customHeight="1">
      <c r="A62" s="39"/>
      <c r="B62" s="39"/>
      <c r="C62" s="39"/>
      <c r="D62" s="39"/>
      <c r="E62" s="39"/>
      <c r="F62" s="39"/>
      <c r="G62" s="39"/>
      <c r="H62" s="39"/>
      <c r="I62" s="39"/>
      <c r="J62" s="39"/>
      <c r="K62" s="39"/>
      <c r="L62" s="39"/>
      <c r="M62" s="39"/>
      <c r="N62" s="39"/>
      <c r="O62" s="39"/>
      <c r="P62" s="39"/>
    </row>
    <row r="63" spans="1:23" ht="12.75" customHeight="1">
      <c r="A63" s="39"/>
      <c r="B63" s="39"/>
      <c r="C63" s="39"/>
      <c r="D63" s="39"/>
      <c r="E63" s="39"/>
      <c r="F63" s="39"/>
      <c r="G63" s="39"/>
      <c r="H63" s="39"/>
      <c r="I63" s="39"/>
      <c r="J63" s="39"/>
      <c r="K63" s="39"/>
      <c r="L63" s="39"/>
      <c r="M63" s="39"/>
      <c r="N63" s="39"/>
      <c r="O63" s="39"/>
      <c r="P63" s="39"/>
    </row>
    <row r="64" spans="1:23" ht="12.75" customHeight="1">
      <c r="A64" s="39"/>
      <c r="B64" s="39"/>
      <c r="C64" s="39"/>
      <c r="D64" s="39"/>
      <c r="E64" s="39"/>
      <c r="F64" s="39"/>
      <c r="G64" s="39"/>
      <c r="H64" s="39"/>
      <c r="I64" s="39"/>
      <c r="J64" s="39"/>
      <c r="K64" s="39"/>
      <c r="L64" s="39"/>
      <c r="M64" s="39"/>
      <c r="N64" s="39"/>
      <c r="O64" s="39"/>
      <c r="P64" s="39"/>
    </row>
    <row r="65" spans="1:16" ht="12.75" customHeight="1">
      <c r="A65" s="39"/>
      <c r="B65" s="39"/>
      <c r="C65" s="39"/>
      <c r="D65" s="39"/>
      <c r="E65" s="39"/>
      <c r="F65" s="39"/>
      <c r="G65" s="39"/>
      <c r="H65" s="39"/>
      <c r="I65" s="39"/>
      <c r="J65" s="39"/>
      <c r="K65" s="39"/>
      <c r="L65" s="39"/>
      <c r="M65" s="39"/>
      <c r="N65" s="39"/>
      <c r="O65" s="39"/>
      <c r="P65" s="39"/>
    </row>
    <row r="66" spans="1:16" ht="12.75" customHeight="1">
      <c r="A66" s="39"/>
      <c r="B66" s="39"/>
      <c r="C66" s="39"/>
      <c r="D66" s="39"/>
      <c r="E66" s="39"/>
      <c r="F66" s="39"/>
      <c r="G66" s="39"/>
      <c r="H66" s="39"/>
      <c r="I66" s="39"/>
      <c r="J66" s="39"/>
      <c r="K66" s="39"/>
      <c r="L66" s="39"/>
      <c r="M66" s="39"/>
      <c r="N66" s="39"/>
      <c r="O66" s="39"/>
      <c r="P66" s="39"/>
    </row>
    <row r="67" spans="1:16" ht="12.75" customHeight="1">
      <c r="A67" s="39"/>
      <c r="B67" s="39"/>
      <c r="C67" s="39"/>
      <c r="D67" s="39"/>
      <c r="E67" s="39"/>
      <c r="F67" s="39"/>
      <c r="G67" s="39"/>
      <c r="H67" s="39"/>
      <c r="I67" s="39"/>
      <c r="J67" s="39"/>
      <c r="K67" s="39"/>
      <c r="L67" s="39"/>
      <c r="M67" s="39"/>
      <c r="N67" s="39"/>
      <c r="O67" s="39"/>
      <c r="P67" s="39"/>
    </row>
    <row r="68" spans="1:16" ht="12.75" customHeight="1">
      <c r="A68" s="39"/>
      <c r="B68" s="39"/>
      <c r="C68" s="39"/>
      <c r="D68" s="39"/>
      <c r="E68" s="39"/>
      <c r="F68" s="39"/>
      <c r="G68" s="39"/>
      <c r="H68" s="39"/>
      <c r="I68" s="39"/>
      <c r="J68" s="39"/>
      <c r="K68" s="39"/>
      <c r="L68" s="39"/>
      <c r="M68" s="39"/>
      <c r="N68" s="39"/>
      <c r="O68" s="39"/>
      <c r="P68" s="39"/>
    </row>
    <row r="69" spans="1:16" ht="12.75" customHeight="1">
      <c r="A69" s="39"/>
      <c r="B69" s="39"/>
      <c r="C69" s="39"/>
      <c r="D69" s="39"/>
      <c r="E69" s="39"/>
      <c r="F69" s="39"/>
      <c r="G69" s="39"/>
      <c r="H69" s="39"/>
      <c r="I69" s="39"/>
      <c r="J69" s="39"/>
      <c r="K69" s="39"/>
      <c r="L69" s="39"/>
      <c r="M69" s="39"/>
      <c r="N69" s="39"/>
      <c r="O69" s="39"/>
      <c r="P69" s="39"/>
    </row>
    <row r="70" spans="1:16" ht="12.75" customHeight="1">
      <c r="A70" s="39"/>
      <c r="B70" s="39"/>
      <c r="C70" s="39"/>
      <c r="D70" s="39"/>
      <c r="E70" s="39"/>
      <c r="F70" s="39"/>
      <c r="G70" s="39"/>
      <c r="H70" s="39"/>
      <c r="I70" s="39"/>
      <c r="J70" s="39"/>
      <c r="K70" s="39"/>
      <c r="L70" s="39"/>
      <c r="M70" s="39"/>
      <c r="N70" s="39"/>
      <c r="O70" s="39"/>
      <c r="P70" s="39"/>
    </row>
    <row r="71" spans="1:16" ht="12.75" customHeight="1">
      <c r="A71" s="39"/>
      <c r="B71" s="39"/>
      <c r="C71" s="39"/>
      <c r="D71" s="39"/>
      <c r="E71" s="39"/>
      <c r="F71" s="39"/>
      <c r="G71" s="39"/>
      <c r="H71" s="39"/>
      <c r="I71" s="39"/>
      <c r="J71" s="39"/>
      <c r="K71" s="39"/>
      <c r="L71" s="39"/>
      <c r="M71" s="39"/>
      <c r="N71" s="39"/>
      <c r="O71" s="39"/>
      <c r="P71" s="39"/>
    </row>
    <row r="72" spans="1:16" ht="12.75" customHeight="1">
      <c r="A72" s="39"/>
      <c r="B72" s="39"/>
      <c r="C72" s="39"/>
      <c r="D72" s="39"/>
      <c r="E72" s="39"/>
      <c r="F72" s="39"/>
      <c r="G72" s="39"/>
      <c r="H72" s="39"/>
      <c r="I72" s="39"/>
      <c r="J72" s="39"/>
      <c r="K72" s="39"/>
      <c r="L72" s="39"/>
      <c r="M72" s="39"/>
      <c r="N72" s="39"/>
      <c r="O72" s="39"/>
      <c r="P72" s="39"/>
    </row>
    <row r="73" spans="1:16" ht="12.75" customHeight="1">
      <c r="A73" s="39"/>
      <c r="B73" s="39"/>
      <c r="C73" s="39"/>
      <c r="D73" s="39"/>
      <c r="E73" s="39"/>
      <c r="F73" s="39"/>
      <c r="G73" s="39"/>
      <c r="H73" s="39"/>
      <c r="I73" s="39"/>
      <c r="J73" s="39"/>
      <c r="K73" s="39"/>
      <c r="L73" s="39"/>
      <c r="M73" s="39"/>
      <c r="N73" s="39"/>
      <c r="O73" s="39"/>
      <c r="P73" s="39"/>
    </row>
    <row r="74" spans="1:16" ht="12.75" customHeight="1">
      <c r="A74" s="39"/>
      <c r="B74" s="39"/>
      <c r="C74" s="39"/>
      <c r="D74" s="39"/>
      <c r="E74" s="39"/>
      <c r="F74" s="39"/>
      <c r="G74" s="39"/>
      <c r="H74" s="39"/>
      <c r="I74" s="39"/>
      <c r="J74" s="39"/>
      <c r="K74" s="39"/>
      <c r="L74" s="39"/>
      <c r="M74" s="39"/>
      <c r="N74" s="39"/>
      <c r="O74" s="39"/>
      <c r="P74" s="39"/>
    </row>
    <row r="75" spans="1:16" ht="12.75" customHeight="1">
      <c r="A75" s="39"/>
      <c r="B75" s="39"/>
      <c r="C75" s="39"/>
      <c r="D75" s="39"/>
      <c r="E75" s="39"/>
      <c r="F75" s="39"/>
      <c r="G75" s="39"/>
      <c r="H75" s="39"/>
      <c r="I75" s="39"/>
      <c r="J75" s="39"/>
      <c r="K75" s="39"/>
      <c r="L75" s="39"/>
      <c r="M75" s="39"/>
      <c r="N75" s="39"/>
      <c r="O75" s="39"/>
      <c r="P75" s="39"/>
    </row>
    <row r="76" spans="1:16" ht="12.75" customHeight="1">
      <c r="A76" s="39"/>
      <c r="B76" s="39"/>
      <c r="C76" s="39"/>
      <c r="D76" s="39"/>
      <c r="E76" s="39"/>
      <c r="F76" s="39"/>
      <c r="G76" s="39"/>
      <c r="H76" s="39"/>
      <c r="I76" s="39"/>
      <c r="J76" s="39"/>
      <c r="K76" s="39"/>
      <c r="L76" s="39"/>
      <c r="M76" s="39"/>
      <c r="N76" s="39"/>
      <c r="O76" s="39"/>
      <c r="P76" s="39"/>
    </row>
    <row r="77" spans="1:16" ht="12.75" customHeight="1">
      <c r="A77" s="39"/>
      <c r="B77" s="39"/>
      <c r="C77" s="39"/>
      <c r="D77" s="39"/>
      <c r="E77" s="39"/>
      <c r="F77" s="39"/>
      <c r="G77" s="39"/>
      <c r="H77" s="39"/>
      <c r="I77" s="39"/>
      <c r="J77" s="39"/>
      <c r="K77" s="39"/>
      <c r="L77" s="39"/>
      <c r="M77" s="39"/>
      <c r="N77" s="39"/>
      <c r="O77" s="39"/>
      <c r="P77" s="39"/>
    </row>
    <row r="78" spans="1:16" ht="12.75" customHeight="1">
      <c r="A78" s="39"/>
      <c r="B78" s="39"/>
      <c r="C78" s="39"/>
      <c r="D78" s="39"/>
      <c r="E78" s="39"/>
      <c r="F78" s="39"/>
      <c r="G78" s="39"/>
      <c r="H78" s="39"/>
      <c r="I78" s="39"/>
      <c r="J78" s="39"/>
      <c r="K78" s="39"/>
      <c r="L78" s="39"/>
      <c r="M78" s="39"/>
      <c r="N78" s="39"/>
      <c r="O78" s="39"/>
      <c r="P78" s="39"/>
    </row>
    <row r="79" spans="1:16" ht="12.75" customHeight="1">
      <c r="A79" s="39"/>
      <c r="B79" s="39"/>
      <c r="C79" s="39"/>
      <c r="D79" s="39"/>
      <c r="E79" s="39"/>
      <c r="F79" s="39"/>
      <c r="G79" s="39"/>
      <c r="H79" s="39"/>
      <c r="I79" s="39"/>
      <c r="J79" s="39"/>
      <c r="K79" s="39"/>
      <c r="L79" s="39"/>
      <c r="M79" s="39"/>
      <c r="N79" s="39"/>
      <c r="O79" s="39"/>
      <c r="P79" s="39"/>
    </row>
    <row r="80" spans="1:16" ht="12.75" customHeight="1">
      <c r="A80" s="39"/>
      <c r="B80" s="39"/>
      <c r="C80" s="39"/>
      <c r="D80" s="39"/>
      <c r="E80" s="39"/>
      <c r="F80" s="39"/>
      <c r="G80" s="39"/>
      <c r="H80" s="39"/>
      <c r="I80" s="39"/>
      <c r="J80" s="39"/>
      <c r="K80" s="39"/>
      <c r="L80" s="39"/>
      <c r="M80" s="39"/>
      <c r="N80" s="39"/>
      <c r="O80" s="39"/>
      <c r="P80" s="39"/>
    </row>
    <row r="81" spans="1:16" ht="12.75" customHeight="1">
      <c r="A81" s="39"/>
      <c r="B81" s="39"/>
      <c r="C81" s="39"/>
      <c r="D81" s="39"/>
      <c r="E81" s="39"/>
      <c r="F81" s="39"/>
      <c r="G81" s="39"/>
      <c r="H81" s="39"/>
      <c r="I81" s="39"/>
      <c r="J81" s="39"/>
      <c r="K81" s="39"/>
      <c r="L81" s="39"/>
      <c r="M81" s="39"/>
      <c r="N81" s="39"/>
      <c r="O81" s="39"/>
      <c r="P81" s="39"/>
    </row>
    <row r="82" spans="1:16" ht="12.75" customHeight="1">
      <c r="A82" s="39"/>
      <c r="B82" s="39"/>
      <c r="C82" s="39"/>
      <c r="D82" s="39"/>
      <c r="E82" s="39"/>
      <c r="F82" s="39"/>
      <c r="G82" s="39"/>
      <c r="H82" s="39"/>
      <c r="I82" s="39"/>
      <c r="J82" s="39"/>
      <c r="K82" s="39"/>
      <c r="L82" s="39"/>
      <c r="M82" s="39"/>
      <c r="N82" s="39"/>
      <c r="O82" s="39"/>
      <c r="P82" s="39"/>
    </row>
    <row r="83" spans="1:16" ht="12.75" customHeight="1">
      <c r="A83" s="39"/>
      <c r="B83" s="39"/>
      <c r="C83" s="39"/>
      <c r="D83" s="39"/>
      <c r="E83" s="39"/>
      <c r="F83" s="39"/>
      <c r="G83" s="39"/>
      <c r="H83" s="39"/>
      <c r="I83" s="39"/>
      <c r="J83" s="39"/>
      <c r="K83" s="39"/>
      <c r="L83" s="39"/>
      <c r="M83" s="39"/>
      <c r="N83" s="39"/>
      <c r="O83" s="39"/>
      <c r="P83" s="39"/>
    </row>
    <row r="84" spans="1:16" ht="12.75" customHeight="1">
      <c r="A84" s="39"/>
      <c r="B84" s="39"/>
      <c r="C84" s="39"/>
      <c r="D84" s="39"/>
      <c r="E84" s="39"/>
      <c r="F84" s="39"/>
      <c r="G84" s="39"/>
      <c r="H84" s="39"/>
      <c r="I84" s="39"/>
      <c r="J84" s="39"/>
      <c r="K84" s="39"/>
      <c r="L84" s="39"/>
      <c r="M84" s="39"/>
      <c r="N84" s="39"/>
      <c r="O84" s="39"/>
      <c r="P84" s="39"/>
    </row>
    <row r="85" spans="1:16" ht="12.75" customHeight="1">
      <c r="A85" s="39"/>
      <c r="B85" s="39"/>
      <c r="C85" s="39"/>
      <c r="D85" s="39"/>
      <c r="E85" s="39"/>
      <c r="F85" s="39"/>
      <c r="G85" s="39"/>
      <c r="H85" s="39"/>
      <c r="I85" s="39"/>
      <c r="J85" s="39"/>
      <c r="K85" s="39"/>
      <c r="L85" s="39"/>
      <c r="M85" s="39"/>
      <c r="N85" s="39"/>
      <c r="O85" s="39"/>
      <c r="P85" s="39"/>
    </row>
    <row r="86" spans="1:16" ht="12.75" customHeight="1">
      <c r="A86" s="39"/>
      <c r="B86" s="39"/>
      <c r="C86" s="39"/>
      <c r="D86" s="39"/>
      <c r="E86" s="39"/>
      <c r="F86" s="39"/>
      <c r="G86" s="39"/>
      <c r="H86" s="39"/>
      <c r="I86" s="39"/>
      <c r="J86" s="39"/>
      <c r="K86" s="39"/>
      <c r="L86" s="39"/>
      <c r="M86" s="39"/>
      <c r="N86" s="39"/>
      <c r="O86" s="39"/>
      <c r="P86" s="39"/>
    </row>
    <row r="87" spans="1:16" ht="12.75" customHeight="1">
      <c r="A87" s="39"/>
      <c r="B87" s="39"/>
      <c r="C87" s="39"/>
      <c r="D87" s="39"/>
      <c r="E87" s="39"/>
      <c r="F87" s="39"/>
      <c r="G87" s="39"/>
      <c r="H87" s="39"/>
      <c r="I87" s="39"/>
      <c r="J87" s="39"/>
      <c r="K87" s="39"/>
      <c r="L87" s="39"/>
      <c r="M87" s="39"/>
      <c r="N87" s="39"/>
      <c r="O87" s="39"/>
      <c r="P87" s="39"/>
    </row>
    <row r="88" spans="1:16" ht="12.75" customHeight="1">
      <c r="A88" s="39"/>
      <c r="B88" s="39"/>
      <c r="C88" s="39"/>
      <c r="D88" s="39"/>
      <c r="E88" s="39"/>
      <c r="F88" s="39"/>
      <c r="G88" s="39"/>
      <c r="H88" s="39"/>
      <c r="I88" s="39"/>
      <c r="J88" s="39"/>
      <c r="K88" s="39"/>
      <c r="L88" s="39"/>
      <c r="M88" s="39"/>
      <c r="N88" s="39"/>
      <c r="O88" s="39"/>
      <c r="P88" s="39"/>
    </row>
    <row r="89" spans="1:16" ht="12.75" customHeight="1">
      <c r="A89" s="39"/>
      <c r="B89" s="39"/>
      <c r="C89" s="39"/>
      <c r="D89" s="39"/>
      <c r="E89" s="39"/>
      <c r="F89" s="39"/>
      <c r="G89" s="39"/>
      <c r="H89" s="39"/>
      <c r="I89" s="39"/>
      <c r="J89" s="39"/>
      <c r="K89" s="39"/>
      <c r="L89" s="39"/>
      <c r="M89" s="39"/>
      <c r="N89" s="39"/>
      <c r="O89" s="39"/>
      <c r="P89" s="39"/>
    </row>
    <row r="90" spans="1:16" ht="12.75" customHeight="1">
      <c r="A90" s="39"/>
      <c r="B90" s="39"/>
      <c r="C90" s="39"/>
      <c r="D90" s="39"/>
      <c r="E90" s="39"/>
      <c r="F90" s="39"/>
      <c r="G90" s="39"/>
      <c r="H90" s="39"/>
      <c r="I90" s="39"/>
      <c r="J90" s="39"/>
      <c r="K90" s="39"/>
      <c r="L90" s="39"/>
      <c r="M90" s="39"/>
      <c r="N90" s="39"/>
      <c r="O90" s="39"/>
      <c r="P90" s="39"/>
    </row>
    <row r="91" spans="1:16" ht="12.75" customHeight="1">
      <c r="A91" s="39"/>
      <c r="B91" s="39"/>
      <c r="C91" s="39"/>
      <c r="D91" s="39"/>
      <c r="E91" s="39"/>
      <c r="F91" s="39"/>
      <c r="G91" s="39"/>
      <c r="H91" s="39"/>
      <c r="I91" s="39"/>
      <c r="J91" s="39"/>
      <c r="K91" s="39"/>
      <c r="L91" s="39"/>
      <c r="M91" s="39"/>
      <c r="N91" s="39"/>
      <c r="O91" s="39"/>
      <c r="P91" s="39"/>
    </row>
    <row r="92" spans="1:16" ht="12.75" customHeight="1">
      <c r="A92" s="39"/>
      <c r="B92" s="39"/>
      <c r="C92" s="39"/>
      <c r="D92" s="39"/>
      <c r="E92" s="39"/>
      <c r="F92" s="39"/>
      <c r="G92" s="39"/>
      <c r="H92" s="39"/>
      <c r="I92" s="39"/>
      <c r="J92" s="39"/>
      <c r="K92" s="39"/>
      <c r="L92" s="39"/>
      <c r="M92" s="39"/>
      <c r="N92" s="39"/>
      <c r="O92" s="39"/>
      <c r="P92" s="39"/>
    </row>
    <row r="93" spans="1:16" ht="12.75" customHeight="1">
      <c r="A93" s="39"/>
      <c r="B93" s="39"/>
      <c r="C93" s="39"/>
      <c r="D93" s="39"/>
      <c r="E93" s="39"/>
      <c r="F93" s="39"/>
      <c r="G93" s="39"/>
      <c r="H93" s="39"/>
      <c r="I93" s="39"/>
      <c r="J93" s="39"/>
      <c r="K93" s="39"/>
      <c r="L93" s="39"/>
      <c r="M93" s="39"/>
      <c r="N93" s="39"/>
      <c r="O93" s="39"/>
      <c r="P93" s="39"/>
    </row>
    <row r="94" spans="1:16" ht="12.75" customHeight="1">
      <c r="A94" s="39"/>
      <c r="B94" s="39"/>
      <c r="C94" s="39"/>
      <c r="D94" s="39"/>
      <c r="E94" s="39"/>
      <c r="F94" s="39"/>
      <c r="G94" s="39"/>
      <c r="H94" s="39"/>
      <c r="I94" s="39"/>
      <c r="J94" s="39"/>
      <c r="K94" s="39"/>
      <c r="L94" s="39"/>
      <c r="M94" s="39"/>
      <c r="N94" s="39"/>
      <c r="O94" s="39"/>
      <c r="P94" s="39"/>
    </row>
    <row r="95" spans="1:16" ht="12.75" customHeight="1">
      <c r="A95" s="39"/>
      <c r="B95" s="39"/>
      <c r="C95" s="39"/>
      <c r="D95" s="39"/>
      <c r="E95" s="39"/>
      <c r="F95" s="39"/>
      <c r="G95" s="39"/>
      <c r="H95" s="39"/>
      <c r="I95" s="39"/>
      <c r="J95" s="39"/>
      <c r="K95" s="39"/>
      <c r="L95" s="39"/>
      <c r="M95" s="39"/>
      <c r="N95" s="39"/>
      <c r="O95" s="39"/>
      <c r="P95" s="39"/>
    </row>
    <row r="96" spans="1:16" ht="12.75" customHeight="1">
      <c r="A96" s="39"/>
      <c r="B96" s="39"/>
      <c r="C96" s="39"/>
      <c r="D96" s="39"/>
      <c r="E96" s="39"/>
      <c r="F96" s="39"/>
      <c r="G96" s="39"/>
      <c r="H96" s="39"/>
      <c r="I96" s="39"/>
      <c r="J96" s="39"/>
      <c r="K96" s="39"/>
      <c r="L96" s="39"/>
      <c r="M96" s="39"/>
      <c r="N96" s="39"/>
      <c r="O96" s="39"/>
      <c r="P96" s="39"/>
    </row>
    <row r="97" spans="1:16" ht="12.75" customHeight="1">
      <c r="A97" s="39"/>
      <c r="B97" s="39"/>
      <c r="C97" s="39"/>
      <c r="D97" s="39"/>
      <c r="E97" s="39"/>
      <c r="F97" s="39"/>
      <c r="G97" s="39"/>
      <c r="H97" s="39"/>
      <c r="I97" s="39"/>
      <c r="J97" s="39"/>
      <c r="K97" s="39"/>
      <c r="L97" s="39"/>
      <c r="M97" s="39"/>
      <c r="N97" s="39"/>
      <c r="O97" s="39"/>
      <c r="P97" s="39"/>
    </row>
    <row r="98" spans="1:16" ht="12.75" customHeight="1">
      <c r="A98" s="39"/>
      <c r="B98" s="39"/>
      <c r="C98" s="39"/>
      <c r="D98" s="39"/>
      <c r="E98" s="39"/>
      <c r="F98" s="39"/>
      <c r="G98" s="39"/>
      <c r="H98" s="39"/>
      <c r="I98" s="39"/>
      <c r="J98" s="39"/>
      <c r="K98" s="39"/>
      <c r="L98" s="39"/>
      <c r="M98" s="39"/>
      <c r="N98" s="39"/>
      <c r="O98" s="39"/>
      <c r="P98" s="39"/>
    </row>
    <row r="99" spans="1:16" ht="12.75" customHeight="1">
      <c r="A99" s="39"/>
      <c r="B99" s="39"/>
      <c r="C99" s="39"/>
      <c r="D99" s="39"/>
      <c r="E99" s="39"/>
      <c r="F99" s="39"/>
      <c r="G99" s="39"/>
      <c r="H99" s="39"/>
      <c r="I99" s="39"/>
      <c r="J99" s="39"/>
      <c r="K99" s="39"/>
      <c r="L99" s="39"/>
      <c r="M99" s="39"/>
      <c r="N99" s="39"/>
      <c r="O99" s="39"/>
      <c r="P99" s="39"/>
    </row>
    <row r="100" spans="1:16" ht="12.75" customHeight="1">
      <c r="A100" s="39"/>
      <c r="B100" s="39"/>
      <c r="C100" s="39"/>
      <c r="D100" s="39"/>
      <c r="E100" s="39"/>
      <c r="F100" s="39"/>
      <c r="G100" s="39"/>
      <c r="H100" s="39"/>
      <c r="I100" s="39"/>
      <c r="J100" s="39"/>
      <c r="K100" s="39"/>
      <c r="L100" s="39"/>
      <c r="M100" s="39"/>
      <c r="N100" s="39"/>
      <c r="O100" s="39"/>
      <c r="P100" s="39"/>
    </row>
    <row r="101" spans="1:16" ht="12.75" customHeight="1">
      <c r="A101" s="39"/>
      <c r="B101" s="39"/>
      <c r="C101" s="39"/>
      <c r="D101" s="39"/>
      <c r="E101" s="39"/>
      <c r="F101" s="39"/>
      <c r="G101" s="39"/>
      <c r="H101" s="39"/>
      <c r="I101" s="39"/>
      <c r="J101" s="39"/>
      <c r="K101" s="39"/>
      <c r="L101" s="39"/>
      <c r="M101" s="39"/>
      <c r="N101" s="39"/>
      <c r="O101" s="39"/>
      <c r="P101" s="39"/>
    </row>
    <row r="102" spans="1:16" ht="12.75" customHeight="1">
      <c r="A102" s="39"/>
      <c r="B102" s="39"/>
      <c r="C102" s="39"/>
      <c r="D102" s="39"/>
      <c r="E102" s="39"/>
      <c r="F102" s="39"/>
      <c r="G102" s="39"/>
      <c r="H102" s="39"/>
      <c r="I102" s="39"/>
      <c r="J102" s="39"/>
      <c r="K102" s="39"/>
      <c r="L102" s="39"/>
      <c r="M102" s="39"/>
      <c r="N102" s="39"/>
      <c r="O102" s="39"/>
      <c r="P102" s="39"/>
    </row>
    <row r="103" spans="1:16" ht="12.75" customHeight="1">
      <c r="A103" s="39"/>
      <c r="B103" s="39"/>
      <c r="C103" s="39"/>
      <c r="D103" s="39"/>
      <c r="E103" s="39"/>
      <c r="F103" s="39"/>
      <c r="G103" s="39"/>
      <c r="H103" s="39"/>
      <c r="I103" s="39"/>
      <c r="J103" s="39"/>
      <c r="K103" s="39"/>
      <c r="L103" s="39"/>
      <c r="M103" s="39"/>
      <c r="N103" s="39"/>
      <c r="O103" s="39"/>
      <c r="P103" s="39"/>
    </row>
    <row r="104" spans="1:16" ht="12.75" customHeight="1">
      <c r="A104" s="39"/>
      <c r="B104" s="39"/>
      <c r="C104" s="39"/>
      <c r="D104" s="39"/>
      <c r="E104" s="39"/>
      <c r="F104" s="39"/>
      <c r="G104" s="39"/>
      <c r="H104" s="39"/>
      <c r="I104" s="39"/>
      <c r="J104" s="39"/>
      <c r="K104" s="39"/>
      <c r="L104" s="39"/>
      <c r="M104" s="39"/>
      <c r="N104" s="39"/>
      <c r="O104" s="39"/>
      <c r="P104" s="39"/>
    </row>
    <row r="105" spans="1:16" ht="12.75" customHeight="1">
      <c r="A105" s="39"/>
      <c r="B105" s="39"/>
      <c r="C105" s="39"/>
      <c r="D105" s="39"/>
      <c r="E105" s="39"/>
      <c r="F105" s="39"/>
      <c r="G105" s="39"/>
      <c r="H105" s="39"/>
      <c r="I105" s="39"/>
      <c r="J105" s="39"/>
      <c r="K105" s="39"/>
      <c r="L105" s="39"/>
      <c r="M105" s="39"/>
      <c r="N105" s="39"/>
      <c r="O105" s="39"/>
      <c r="P105" s="39"/>
    </row>
    <row r="106" spans="1:16" ht="12.75" customHeight="1">
      <c r="A106" s="39"/>
      <c r="B106" s="39"/>
      <c r="C106" s="39"/>
      <c r="D106" s="39"/>
      <c r="E106" s="39"/>
      <c r="F106" s="39"/>
      <c r="G106" s="39"/>
      <c r="H106" s="39"/>
      <c r="I106" s="39"/>
      <c r="J106" s="39"/>
      <c r="K106" s="39"/>
      <c r="L106" s="39"/>
      <c r="M106" s="39"/>
      <c r="N106" s="39"/>
      <c r="O106" s="39"/>
      <c r="P106" s="39"/>
    </row>
    <row r="107" spans="1:16" ht="12.75" customHeight="1">
      <c r="A107" s="39"/>
      <c r="B107" s="39"/>
      <c r="C107" s="39"/>
      <c r="D107" s="39"/>
      <c r="E107" s="39"/>
      <c r="F107" s="39"/>
      <c r="G107" s="39"/>
      <c r="H107" s="39"/>
      <c r="I107" s="39"/>
      <c r="J107" s="39"/>
      <c r="K107" s="39"/>
      <c r="L107" s="39"/>
      <c r="M107" s="39"/>
      <c r="N107" s="39"/>
      <c r="O107" s="39"/>
      <c r="P107" s="39"/>
    </row>
    <row r="108" spans="1:16" ht="12.75" customHeight="1">
      <c r="A108" s="39"/>
      <c r="B108" s="39"/>
      <c r="C108" s="39"/>
      <c r="D108" s="39"/>
      <c r="E108" s="39"/>
      <c r="F108" s="39"/>
      <c r="G108" s="39"/>
      <c r="H108" s="39"/>
      <c r="I108" s="39"/>
      <c r="J108" s="39"/>
      <c r="K108" s="39"/>
      <c r="L108" s="39"/>
      <c r="M108" s="39"/>
      <c r="N108" s="39"/>
      <c r="O108" s="39"/>
      <c r="P108" s="39"/>
    </row>
    <row r="109" spans="1:16" ht="12.75" customHeight="1">
      <c r="A109" s="39"/>
      <c r="B109" s="39"/>
      <c r="C109" s="39"/>
      <c r="D109" s="39"/>
      <c r="E109" s="39"/>
      <c r="F109" s="39"/>
      <c r="G109" s="39"/>
      <c r="H109" s="39"/>
      <c r="I109" s="39"/>
      <c r="J109" s="39"/>
      <c r="K109" s="39"/>
      <c r="L109" s="39"/>
      <c r="M109" s="39"/>
      <c r="N109" s="39"/>
      <c r="O109" s="39"/>
      <c r="P109" s="39"/>
    </row>
    <row r="110" spans="1:16" ht="12.75" customHeight="1">
      <c r="A110" s="39"/>
      <c r="B110" s="39"/>
      <c r="C110" s="39"/>
      <c r="D110" s="39"/>
      <c r="E110" s="39"/>
      <c r="F110" s="39"/>
      <c r="G110" s="39"/>
      <c r="H110" s="39"/>
      <c r="I110" s="39"/>
      <c r="J110" s="39"/>
      <c r="K110" s="39"/>
      <c r="L110" s="39"/>
      <c r="M110" s="39"/>
      <c r="N110" s="39"/>
      <c r="O110" s="39"/>
      <c r="P110" s="39"/>
    </row>
    <row r="111" spans="1:16" ht="12.75" customHeight="1">
      <c r="A111" s="39"/>
      <c r="B111" s="39"/>
      <c r="C111" s="39"/>
      <c r="D111" s="39"/>
      <c r="E111" s="39"/>
      <c r="F111" s="39"/>
      <c r="G111" s="39"/>
      <c r="H111" s="39"/>
      <c r="I111" s="39"/>
      <c r="J111" s="39"/>
      <c r="K111" s="39"/>
      <c r="L111" s="39"/>
      <c r="M111" s="39"/>
      <c r="N111" s="39"/>
      <c r="O111" s="39"/>
      <c r="P111" s="39"/>
    </row>
    <row r="112" spans="1:16" ht="12.75" customHeight="1">
      <c r="A112" s="39"/>
      <c r="B112" s="39"/>
      <c r="C112" s="39"/>
      <c r="D112" s="39"/>
      <c r="E112" s="39"/>
      <c r="F112" s="39"/>
      <c r="G112" s="39"/>
      <c r="H112" s="39"/>
      <c r="I112" s="39"/>
      <c r="J112" s="39"/>
      <c r="K112" s="39"/>
      <c r="L112" s="39"/>
      <c r="M112" s="39"/>
      <c r="N112" s="39"/>
      <c r="O112" s="39"/>
      <c r="P112" s="39"/>
    </row>
    <row r="113" spans="1:16" ht="12.75" customHeight="1">
      <c r="A113" s="39"/>
      <c r="B113" s="39"/>
      <c r="C113" s="39"/>
      <c r="D113" s="39"/>
      <c r="E113" s="39"/>
      <c r="F113" s="39"/>
      <c r="G113" s="39"/>
      <c r="H113" s="39"/>
      <c r="I113" s="39"/>
      <c r="J113" s="39"/>
      <c r="K113" s="39"/>
      <c r="L113" s="39"/>
      <c r="M113" s="39"/>
      <c r="N113" s="39"/>
      <c r="O113" s="39"/>
      <c r="P113" s="39"/>
    </row>
    <row r="114" spans="1:16" ht="12.75" customHeight="1">
      <c r="A114" s="39"/>
      <c r="B114" s="39"/>
      <c r="C114" s="39"/>
      <c r="D114" s="39"/>
      <c r="E114" s="39"/>
      <c r="F114" s="39"/>
      <c r="G114" s="39"/>
      <c r="H114" s="39"/>
      <c r="I114" s="39"/>
      <c r="J114" s="39"/>
      <c r="K114" s="39"/>
      <c r="L114" s="39"/>
      <c r="M114" s="39"/>
      <c r="N114" s="39"/>
      <c r="O114" s="39"/>
      <c r="P114" s="39"/>
    </row>
    <row r="115" spans="1:16" ht="12.75" customHeight="1">
      <c r="A115" s="39"/>
      <c r="B115" s="39"/>
      <c r="C115" s="39"/>
      <c r="D115" s="39"/>
      <c r="E115" s="39"/>
      <c r="F115" s="39"/>
      <c r="G115" s="39"/>
      <c r="H115" s="39"/>
      <c r="I115" s="39"/>
      <c r="J115" s="39"/>
      <c r="K115" s="39"/>
      <c r="L115" s="39"/>
      <c r="M115" s="39"/>
      <c r="N115" s="39"/>
      <c r="O115" s="39"/>
      <c r="P115" s="39"/>
    </row>
    <row r="116" spans="1:16" ht="12.75" customHeight="1">
      <c r="A116" s="39"/>
      <c r="B116" s="39"/>
      <c r="C116" s="39"/>
      <c r="D116" s="39"/>
      <c r="E116" s="39"/>
      <c r="F116" s="39"/>
      <c r="G116" s="39"/>
      <c r="H116" s="39"/>
      <c r="I116" s="39"/>
      <c r="J116" s="39"/>
      <c r="K116" s="39"/>
      <c r="L116" s="39"/>
      <c r="M116" s="39"/>
      <c r="N116" s="39"/>
      <c r="O116" s="39"/>
      <c r="P116" s="39"/>
    </row>
    <row r="117" spans="1:16" ht="12.75" customHeight="1">
      <c r="A117" s="39"/>
      <c r="B117" s="39"/>
      <c r="C117" s="39"/>
      <c r="D117" s="39"/>
      <c r="E117" s="39"/>
      <c r="F117" s="39"/>
      <c r="G117" s="39"/>
      <c r="H117" s="39"/>
      <c r="I117" s="39"/>
      <c r="J117" s="39"/>
      <c r="K117" s="39"/>
      <c r="L117" s="39"/>
      <c r="M117" s="39"/>
      <c r="N117" s="39"/>
      <c r="O117" s="39"/>
      <c r="P117" s="39"/>
    </row>
    <row r="118" spans="1:16" ht="12.75" customHeight="1">
      <c r="A118" s="39"/>
      <c r="B118" s="39"/>
      <c r="C118" s="39"/>
      <c r="D118" s="39"/>
      <c r="E118" s="39"/>
      <c r="F118" s="39"/>
      <c r="G118" s="39"/>
      <c r="H118" s="39"/>
      <c r="I118" s="39"/>
      <c r="J118" s="39"/>
      <c r="K118" s="39"/>
      <c r="L118" s="39"/>
      <c r="M118" s="39"/>
      <c r="N118" s="39"/>
      <c r="O118" s="39"/>
      <c r="P118" s="39"/>
    </row>
    <row r="119" spans="1:16" ht="12.75" customHeight="1">
      <c r="A119" s="39"/>
      <c r="B119" s="39"/>
      <c r="C119" s="39"/>
      <c r="D119" s="39"/>
      <c r="E119" s="39"/>
      <c r="F119" s="39"/>
      <c r="G119" s="39"/>
      <c r="H119" s="39"/>
      <c r="I119" s="39"/>
      <c r="J119" s="39"/>
      <c r="K119" s="39"/>
      <c r="L119" s="39"/>
      <c r="M119" s="39"/>
      <c r="N119" s="39"/>
      <c r="O119" s="39"/>
      <c r="P119" s="39"/>
    </row>
    <row r="120" spans="1:16" ht="12.75" customHeight="1">
      <c r="A120" s="39"/>
      <c r="B120" s="39"/>
      <c r="C120" s="39"/>
      <c r="D120" s="39"/>
      <c r="E120" s="39"/>
      <c r="F120" s="39"/>
      <c r="G120" s="39"/>
      <c r="H120" s="39"/>
      <c r="I120" s="39"/>
      <c r="J120" s="39"/>
      <c r="K120" s="39"/>
      <c r="L120" s="39"/>
      <c r="M120" s="39"/>
      <c r="N120" s="39"/>
      <c r="O120" s="39"/>
      <c r="P120" s="39"/>
    </row>
    <row r="121" spans="1:16" ht="12.75" customHeight="1">
      <c r="A121" s="39"/>
      <c r="B121" s="39"/>
      <c r="C121" s="39"/>
      <c r="D121" s="39"/>
      <c r="E121" s="39"/>
      <c r="F121" s="39"/>
      <c r="G121" s="39"/>
      <c r="H121" s="39"/>
      <c r="I121" s="39"/>
      <c r="J121" s="39"/>
      <c r="K121" s="39"/>
      <c r="L121" s="39"/>
      <c r="M121" s="39"/>
      <c r="N121" s="39"/>
      <c r="O121" s="39"/>
      <c r="P121" s="39"/>
    </row>
    <row r="122" spans="1:16" ht="12.75" customHeight="1">
      <c r="A122" s="39"/>
      <c r="B122" s="39"/>
      <c r="C122" s="39"/>
      <c r="D122" s="39"/>
      <c r="E122" s="39"/>
      <c r="F122" s="39"/>
      <c r="G122" s="39"/>
      <c r="H122" s="39"/>
      <c r="I122" s="39"/>
      <c r="J122" s="39"/>
      <c r="K122" s="39"/>
      <c r="L122" s="39"/>
      <c r="M122" s="39"/>
      <c r="N122" s="39"/>
      <c r="O122" s="39"/>
      <c r="P122" s="39"/>
    </row>
    <row r="123" spans="1:16" ht="12.75" customHeight="1">
      <c r="A123" s="39"/>
      <c r="B123" s="39"/>
      <c r="C123" s="39"/>
      <c r="D123" s="39"/>
      <c r="E123" s="39"/>
      <c r="F123" s="39"/>
      <c r="G123" s="39"/>
      <c r="H123" s="39"/>
      <c r="I123" s="39"/>
      <c r="J123" s="39"/>
      <c r="K123" s="39"/>
      <c r="L123" s="39"/>
      <c r="M123" s="39"/>
      <c r="N123" s="39"/>
      <c r="O123" s="39"/>
      <c r="P123" s="39"/>
    </row>
    <row r="124" spans="1:16" ht="12.75" customHeight="1">
      <c r="A124" s="39"/>
      <c r="B124" s="39"/>
      <c r="C124" s="39"/>
      <c r="D124" s="39"/>
      <c r="E124" s="39"/>
      <c r="F124" s="39"/>
      <c r="G124" s="39"/>
      <c r="H124" s="39"/>
      <c r="I124" s="39"/>
      <c r="J124" s="39"/>
      <c r="K124" s="39"/>
      <c r="L124" s="39"/>
      <c r="M124" s="39"/>
      <c r="N124" s="39"/>
      <c r="O124" s="39"/>
      <c r="P124" s="39"/>
    </row>
    <row r="125" spans="1:16" ht="12.75" customHeight="1">
      <c r="A125" s="39"/>
      <c r="B125" s="39"/>
      <c r="C125" s="39"/>
      <c r="D125" s="39"/>
      <c r="E125" s="39"/>
      <c r="F125" s="39"/>
      <c r="G125" s="39"/>
      <c r="H125" s="39"/>
      <c r="I125" s="39"/>
      <c r="J125" s="39"/>
      <c r="K125" s="39"/>
      <c r="L125" s="39"/>
      <c r="M125" s="39"/>
      <c r="N125" s="39"/>
      <c r="O125" s="39"/>
      <c r="P125" s="39"/>
    </row>
    <row r="126" spans="1:16" ht="12.75" customHeight="1">
      <c r="A126" s="39"/>
      <c r="B126" s="39"/>
      <c r="C126" s="39"/>
      <c r="D126" s="39"/>
      <c r="E126" s="39"/>
      <c r="F126" s="39"/>
      <c r="G126" s="39"/>
      <c r="H126" s="39"/>
      <c r="I126" s="39"/>
      <c r="J126" s="39"/>
      <c r="K126" s="39"/>
      <c r="L126" s="39"/>
      <c r="M126" s="39"/>
      <c r="N126" s="39"/>
      <c r="O126" s="39"/>
      <c r="P126" s="39"/>
    </row>
    <row r="127" spans="1:16" ht="12.75" customHeight="1">
      <c r="A127" s="39"/>
      <c r="B127" s="39"/>
      <c r="C127" s="39"/>
      <c r="D127" s="39"/>
      <c r="E127" s="39"/>
      <c r="F127" s="39"/>
      <c r="G127" s="39"/>
      <c r="H127" s="39"/>
      <c r="I127" s="39"/>
      <c r="J127" s="39"/>
      <c r="K127" s="39"/>
      <c r="L127" s="39"/>
      <c r="M127" s="39"/>
      <c r="N127" s="39"/>
      <c r="O127" s="39"/>
      <c r="P127" s="39"/>
    </row>
    <row r="128" spans="1:16" ht="12.75" customHeight="1">
      <c r="A128" s="39"/>
      <c r="B128" s="39"/>
      <c r="C128" s="39"/>
      <c r="D128" s="39"/>
      <c r="E128" s="39"/>
      <c r="F128" s="39"/>
      <c r="G128" s="39"/>
      <c r="H128" s="39"/>
      <c r="I128" s="39"/>
      <c r="J128" s="39"/>
      <c r="K128" s="39"/>
      <c r="L128" s="39"/>
      <c r="M128" s="39"/>
      <c r="N128" s="39"/>
      <c r="O128" s="39"/>
      <c r="P128" s="39"/>
    </row>
    <row r="129" spans="1:16" ht="12.75" customHeight="1">
      <c r="A129" s="39"/>
      <c r="B129" s="39"/>
      <c r="C129" s="39"/>
      <c r="D129" s="39"/>
      <c r="E129" s="39"/>
      <c r="F129" s="39"/>
      <c r="G129" s="39"/>
      <c r="H129" s="39"/>
      <c r="I129" s="39"/>
      <c r="J129" s="39"/>
      <c r="K129" s="39"/>
      <c r="L129" s="39"/>
      <c r="M129" s="39"/>
      <c r="N129" s="39"/>
      <c r="O129" s="39"/>
      <c r="P129" s="39"/>
    </row>
    <row r="130" spans="1:16" ht="12.75" customHeight="1">
      <c r="A130" s="39"/>
      <c r="B130" s="39"/>
      <c r="C130" s="39"/>
      <c r="D130" s="39"/>
      <c r="E130" s="39"/>
      <c r="F130" s="39"/>
      <c r="G130" s="39"/>
      <c r="H130" s="39"/>
      <c r="I130" s="39"/>
      <c r="J130" s="39"/>
      <c r="K130" s="39"/>
      <c r="L130" s="39"/>
      <c r="M130" s="39"/>
      <c r="N130" s="39"/>
      <c r="O130" s="39"/>
      <c r="P130" s="39"/>
    </row>
    <row r="131" spans="1:16" ht="12.75" customHeight="1">
      <c r="A131" s="39"/>
      <c r="B131" s="39"/>
      <c r="C131" s="39"/>
      <c r="D131" s="39"/>
      <c r="E131" s="39"/>
      <c r="F131" s="39"/>
      <c r="G131" s="39"/>
      <c r="H131" s="39"/>
      <c r="I131" s="39"/>
      <c r="J131" s="39"/>
      <c r="K131" s="39"/>
      <c r="L131" s="39"/>
      <c r="M131" s="39"/>
      <c r="N131" s="39"/>
      <c r="O131" s="39"/>
      <c r="P131" s="39"/>
    </row>
    <row r="132" spans="1:16" ht="12.75" customHeight="1">
      <c r="A132" s="39"/>
      <c r="B132" s="39"/>
      <c r="C132" s="39"/>
      <c r="D132" s="39"/>
      <c r="E132" s="39"/>
      <c r="F132" s="39"/>
      <c r="G132" s="39"/>
      <c r="H132" s="39"/>
      <c r="I132" s="39"/>
      <c r="J132" s="39"/>
      <c r="K132" s="39"/>
      <c r="L132" s="39"/>
      <c r="M132" s="39"/>
      <c r="N132" s="39"/>
      <c r="O132" s="39"/>
      <c r="P132" s="39"/>
    </row>
    <row r="133" spans="1:16" ht="12.75" customHeight="1">
      <c r="A133" s="39"/>
      <c r="B133" s="39"/>
      <c r="C133" s="39"/>
      <c r="D133" s="39"/>
      <c r="E133" s="39"/>
      <c r="F133" s="39"/>
      <c r="G133" s="39"/>
      <c r="H133" s="39"/>
      <c r="I133" s="39"/>
      <c r="J133" s="39"/>
      <c r="K133" s="39"/>
      <c r="L133" s="39"/>
      <c r="M133" s="39"/>
      <c r="N133" s="39"/>
      <c r="O133" s="39"/>
      <c r="P133" s="39"/>
    </row>
    <row r="134" spans="1:16" ht="12.75" customHeight="1">
      <c r="A134" s="39"/>
      <c r="B134" s="39"/>
      <c r="C134" s="39"/>
      <c r="D134" s="39"/>
      <c r="E134" s="39"/>
      <c r="F134" s="39"/>
      <c r="G134" s="39"/>
      <c r="H134" s="39"/>
      <c r="I134" s="39"/>
      <c r="J134" s="39"/>
      <c r="K134" s="39"/>
      <c r="L134" s="39"/>
      <c r="M134" s="39"/>
      <c r="N134" s="39"/>
      <c r="O134" s="39"/>
      <c r="P134" s="39"/>
    </row>
    <row r="135" spans="1:16" ht="12.75" customHeight="1">
      <c r="A135" s="39"/>
      <c r="B135" s="39"/>
      <c r="C135" s="39"/>
      <c r="D135" s="39"/>
      <c r="E135" s="39"/>
      <c r="F135" s="39"/>
      <c r="G135" s="39"/>
      <c r="H135" s="39"/>
      <c r="I135" s="39"/>
      <c r="J135" s="39"/>
      <c r="K135" s="39"/>
      <c r="L135" s="39"/>
      <c r="M135" s="39"/>
      <c r="N135" s="39"/>
      <c r="O135" s="39"/>
      <c r="P135" s="39"/>
    </row>
    <row r="136" spans="1:16" ht="12.75" customHeight="1">
      <c r="A136" s="39"/>
      <c r="B136" s="39"/>
      <c r="C136" s="39"/>
      <c r="D136" s="39"/>
      <c r="E136" s="39"/>
      <c r="F136" s="39"/>
      <c r="G136" s="39"/>
      <c r="H136" s="39"/>
      <c r="I136" s="39"/>
      <c r="J136" s="39"/>
      <c r="K136" s="39"/>
      <c r="L136" s="39"/>
      <c r="M136" s="39"/>
      <c r="N136" s="39"/>
      <c r="O136" s="39"/>
      <c r="P136" s="39"/>
    </row>
    <row r="137" spans="1:16" ht="12.75" customHeight="1">
      <c r="A137" s="39"/>
      <c r="B137" s="39"/>
      <c r="C137" s="39"/>
      <c r="D137" s="39"/>
      <c r="E137" s="39"/>
      <c r="F137" s="39"/>
      <c r="G137" s="39"/>
      <c r="H137" s="39"/>
      <c r="I137" s="39"/>
      <c r="J137" s="39"/>
      <c r="K137" s="39"/>
      <c r="L137" s="39"/>
      <c r="M137" s="39"/>
      <c r="N137" s="39"/>
      <c r="O137" s="39"/>
      <c r="P137" s="39"/>
    </row>
    <row r="138" spans="1:16" ht="12.75" customHeight="1">
      <c r="A138" s="39"/>
      <c r="B138" s="39"/>
      <c r="C138" s="39"/>
      <c r="D138" s="39"/>
      <c r="E138" s="39"/>
      <c r="F138" s="39"/>
      <c r="G138" s="39"/>
      <c r="H138" s="39"/>
      <c r="I138" s="39"/>
      <c r="J138" s="39"/>
      <c r="K138" s="39"/>
      <c r="L138" s="39"/>
      <c r="M138" s="39"/>
      <c r="N138" s="39"/>
      <c r="O138" s="39"/>
      <c r="P138" s="39"/>
    </row>
    <row r="139" spans="1:16" ht="12.75" customHeight="1">
      <c r="A139" s="39"/>
      <c r="B139" s="39"/>
      <c r="C139" s="39"/>
      <c r="D139" s="39"/>
      <c r="E139" s="39"/>
      <c r="F139" s="39"/>
      <c r="G139" s="39"/>
      <c r="H139" s="39"/>
      <c r="I139" s="39"/>
      <c r="J139" s="39"/>
      <c r="K139" s="39"/>
      <c r="L139" s="39"/>
      <c r="M139" s="39"/>
      <c r="N139" s="39"/>
      <c r="O139" s="39"/>
      <c r="P139" s="39"/>
    </row>
    <row r="140" spans="1:16" ht="12.75" customHeight="1">
      <c r="A140" s="39"/>
      <c r="B140" s="39"/>
      <c r="C140" s="39"/>
      <c r="D140" s="39"/>
      <c r="E140" s="39"/>
      <c r="F140" s="39"/>
      <c r="G140" s="39"/>
      <c r="H140" s="39"/>
      <c r="I140" s="39"/>
      <c r="J140" s="39"/>
      <c r="K140" s="39"/>
      <c r="L140" s="39"/>
      <c r="M140" s="39"/>
      <c r="N140" s="39"/>
      <c r="O140" s="39"/>
      <c r="P140" s="39"/>
    </row>
    <row r="141" spans="1:16" ht="12.75" customHeight="1">
      <c r="A141" s="39"/>
      <c r="B141" s="39"/>
      <c r="C141" s="39"/>
      <c r="D141" s="39"/>
      <c r="E141" s="39"/>
      <c r="F141" s="39"/>
      <c r="G141" s="39"/>
      <c r="H141" s="39"/>
      <c r="I141" s="39"/>
      <c r="J141" s="39"/>
      <c r="K141" s="39"/>
      <c r="L141" s="39"/>
      <c r="M141" s="39"/>
      <c r="N141" s="39"/>
      <c r="O141" s="39"/>
      <c r="P141" s="39"/>
    </row>
    <row r="142" spans="1:16" ht="12.75" customHeight="1">
      <c r="A142" s="39"/>
      <c r="B142" s="39"/>
      <c r="C142" s="39"/>
      <c r="D142" s="39"/>
      <c r="E142" s="39"/>
      <c r="F142" s="39"/>
      <c r="G142" s="39"/>
      <c r="H142" s="39"/>
      <c r="I142" s="39"/>
      <c r="J142" s="39"/>
      <c r="K142" s="39"/>
      <c r="L142" s="39"/>
      <c r="M142" s="39"/>
      <c r="N142" s="39"/>
      <c r="O142" s="39"/>
      <c r="P142" s="39"/>
    </row>
    <row r="143" spans="1:16" ht="12.75" customHeight="1">
      <c r="A143" s="39"/>
      <c r="B143" s="39"/>
      <c r="C143" s="39"/>
      <c r="D143" s="39"/>
      <c r="E143" s="39"/>
      <c r="F143" s="39"/>
      <c r="G143" s="39"/>
      <c r="H143" s="39"/>
      <c r="I143" s="39"/>
      <c r="J143" s="39"/>
      <c r="K143" s="39"/>
      <c r="L143" s="39"/>
      <c r="M143" s="39"/>
      <c r="N143" s="39"/>
      <c r="O143" s="39"/>
      <c r="P143" s="39"/>
    </row>
    <row r="144" spans="1:16" ht="12.75" customHeight="1">
      <c r="A144" s="39"/>
      <c r="B144" s="39"/>
      <c r="C144" s="39"/>
      <c r="D144" s="39"/>
      <c r="E144" s="39"/>
      <c r="F144" s="39"/>
      <c r="G144" s="39"/>
      <c r="H144" s="39"/>
      <c r="I144" s="39"/>
      <c r="J144" s="39"/>
      <c r="K144" s="39"/>
      <c r="L144" s="39"/>
      <c r="M144" s="39"/>
      <c r="N144" s="39"/>
      <c r="O144" s="39"/>
      <c r="P144" s="39"/>
    </row>
    <row r="145" spans="1:16" ht="12.75" customHeight="1">
      <c r="A145" s="39"/>
      <c r="B145" s="39"/>
      <c r="C145" s="39"/>
      <c r="D145" s="39"/>
      <c r="E145" s="39"/>
      <c r="F145" s="39"/>
      <c r="G145" s="39"/>
      <c r="H145" s="39"/>
      <c r="I145" s="39"/>
      <c r="J145" s="39"/>
      <c r="K145" s="39"/>
      <c r="L145" s="39"/>
      <c r="M145" s="39"/>
      <c r="N145" s="39"/>
      <c r="O145" s="39"/>
      <c r="P145" s="39"/>
    </row>
    <row r="146" spans="1:16" ht="12.75" customHeight="1">
      <c r="A146" s="39"/>
      <c r="B146" s="39"/>
      <c r="C146" s="39"/>
      <c r="D146" s="39"/>
      <c r="E146" s="39"/>
      <c r="F146" s="39"/>
      <c r="G146" s="39"/>
      <c r="H146" s="39"/>
      <c r="I146" s="39"/>
      <c r="J146" s="39"/>
      <c r="K146" s="39"/>
      <c r="L146" s="39"/>
      <c r="M146" s="39"/>
      <c r="N146" s="39"/>
      <c r="O146" s="39"/>
      <c r="P146" s="39"/>
    </row>
    <row r="147" spans="1:16" ht="12.75" customHeight="1">
      <c r="A147" s="39"/>
      <c r="B147" s="39"/>
      <c r="C147" s="39"/>
      <c r="D147" s="39"/>
      <c r="E147" s="39"/>
      <c r="F147" s="39"/>
      <c r="G147" s="39"/>
      <c r="H147" s="39"/>
      <c r="I147" s="39"/>
      <c r="J147" s="39"/>
      <c r="K147" s="39"/>
      <c r="L147" s="39"/>
      <c r="M147" s="39"/>
      <c r="N147" s="39"/>
      <c r="O147" s="39"/>
      <c r="P147" s="39"/>
    </row>
    <row r="148" spans="1:16" ht="12.75" customHeight="1">
      <c r="A148" s="39"/>
      <c r="B148" s="39"/>
      <c r="C148" s="39"/>
      <c r="D148" s="39"/>
      <c r="E148" s="39"/>
      <c r="F148" s="39"/>
      <c r="G148" s="39"/>
      <c r="H148" s="39"/>
      <c r="I148" s="39"/>
      <c r="J148" s="39"/>
      <c r="K148" s="39"/>
      <c r="L148" s="39"/>
      <c r="M148" s="39"/>
      <c r="N148" s="39"/>
      <c r="O148" s="39"/>
      <c r="P148" s="39"/>
    </row>
    <row r="149" spans="1:16" ht="12.75" customHeight="1">
      <c r="A149" s="39"/>
      <c r="B149" s="39"/>
      <c r="C149" s="39"/>
      <c r="D149" s="39"/>
      <c r="E149" s="39"/>
      <c r="F149" s="39"/>
      <c r="G149" s="39"/>
      <c r="H149" s="39"/>
      <c r="I149" s="39"/>
      <c r="J149" s="39"/>
      <c r="K149" s="39"/>
      <c r="L149" s="39"/>
      <c r="M149" s="39"/>
      <c r="N149" s="39"/>
      <c r="O149" s="39"/>
      <c r="P149" s="39"/>
    </row>
    <row r="150" spans="1:16" ht="12.75" customHeight="1">
      <c r="A150" s="39"/>
      <c r="B150" s="39"/>
      <c r="C150" s="39"/>
      <c r="D150" s="39"/>
      <c r="E150" s="39"/>
      <c r="F150" s="39"/>
      <c r="G150" s="39"/>
      <c r="H150" s="39"/>
      <c r="I150" s="39"/>
      <c r="J150" s="39"/>
      <c r="K150" s="39"/>
      <c r="L150" s="39"/>
      <c r="M150" s="39"/>
      <c r="N150" s="39"/>
      <c r="O150" s="39"/>
      <c r="P150" s="39"/>
    </row>
    <row r="151" spans="1:16" ht="12.75" customHeight="1">
      <c r="A151" s="39"/>
      <c r="B151" s="39"/>
      <c r="C151" s="39"/>
      <c r="D151" s="39"/>
      <c r="E151" s="39"/>
      <c r="F151" s="39"/>
      <c r="G151" s="39"/>
      <c r="H151" s="39"/>
      <c r="I151" s="39"/>
      <c r="J151" s="39"/>
      <c r="K151" s="39"/>
      <c r="L151" s="39"/>
      <c r="M151" s="39"/>
      <c r="N151" s="39"/>
      <c r="O151" s="39"/>
      <c r="P151" s="39"/>
    </row>
    <row r="152" spans="1:16" ht="12.75" customHeight="1">
      <c r="A152" s="39"/>
      <c r="B152" s="39"/>
      <c r="C152" s="39"/>
      <c r="D152" s="39"/>
      <c r="E152" s="39"/>
      <c r="F152" s="39"/>
      <c r="G152" s="39"/>
      <c r="H152" s="39"/>
      <c r="I152" s="39"/>
      <c r="J152" s="39"/>
      <c r="K152" s="39"/>
      <c r="L152" s="39"/>
      <c r="M152" s="39"/>
      <c r="N152" s="39"/>
      <c r="O152" s="39"/>
      <c r="P152" s="39"/>
    </row>
    <row r="153" spans="1:16" ht="12.75" customHeight="1">
      <c r="A153" s="39"/>
      <c r="B153" s="39"/>
      <c r="C153" s="39"/>
      <c r="D153" s="39"/>
      <c r="E153" s="39"/>
      <c r="F153" s="39"/>
      <c r="G153" s="39"/>
      <c r="H153" s="39"/>
      <c r="I153" s="39"/>
      <c r="J153" s="39"/>
      <c r="K153" s="39"/>
      <c r="L153" s="39"/>
      <c r="M153" s="39"/>
      <c r="N153" s="39"/>
      <c r="O153" s="39"/>
      <c r="P153" s="39"/>
    </row>
    <row r="154" spans="1:16" ht="12.75" customHeight="1">
      <c r="A154" s="39"/>
      <c r="B154" s="39"/>
      <c r="C154" s="39"/>
      <c r="D154" s="39"/>
      <c r="E154" s="39"/>
      <c r="F154" s="39"/>
      <c r="G154" s="39"/>
      <c r="H154" s="39"/>
      <c r="I154" s="39"/>
      <c r="J154" s="39"/>
      <c r="K154" s="39"/>
      <c r="L154" s="39"/>
      <c r="M154" s="39"/>
      <c r="N154" s="39"/>
      <c r="O154" s="39"/>
      <c r="P154" s="39"/>
    </row>
    <row r="155" spans="1:16" ht="12.75" customHeight="1">
      <c r="A155" s="39"/>
      <c r="B155" s="39"/>
      <c r="C155" s="39"/>
      <c r="D155" s="39"/>
      <c r="E155" s="39"/>
      <c r="F155" s="39"/>
      <c r="G155" s="39"/>
      <c r="H155" s="39"/>
      <c r="I155" s="39"/>
      <c r="J155" s="39"/>
      <c r="K155" s="39"/>
      <c r="L155" s="39"/>
      <c r="M155" s="39"/>
      <c r="N155" s="39"/>
      <c r="O155" s="39"/>
      <c r="P155" s="39"/>
    </row>
    <row r="156" spans="1:16" ht="12.75" customHeight="1">
      <c r="A156" s="39"/>
      <c r="B156" s="39"/>
      <c r="C156" s="39"/>
      <c r="D156" s="39"/>
      <c r="E156" s="39"/>
      <c r="F156" s="39"/>
      <c r="G156" s="39"/>
      <c r="H156" s="39"/>
      <c r="I156" s="39"/>
      <c r="J156" s="39"/>
      <c r="K156" s="39"/>
      <c r="L156" s="39"/>
      <c r="M156" s="39"/>
      <c r="N156" s="39"/>
      <c r="O156" s="39"/>
      <c r="P156" s="39"/>
    </row>
    <row r="157" spans="1:16" ht="12.75" customHeight="1">
      <c r="A157" s="39"/>
      <c r="B157" s="39"/>
      <c r="C157" s="39"/>
      <c r="D157" s="39"/>
      <c r="E157" s="39"/>
      <c r="F157" s="39"/>
      <c r="G157" s="39"/>
      <c r="H157" s="39"/>
      <c r="I157" s="39"/>
      <c r="J157" s="39"/>
      <c r="K157" s="39"/>
      <c r="L157" s="39"/>
      <c r="M157" s="39"/>
      <c r="N157" s="39"/>
      <c r="O157" s="39"/>
      <c r="P157" s="39"/>
    </row>
    <row r="158" spans="1:16" ht="12.75" customHeight="1">
      <c r="A158" s="39"/>
      <c r="B158" s="39"/>
      <c r="C158" s="39"/>
      <c r="D158" s="39"/>
      <c r="E158" s="39"/>
      <c r="F158" s="39"/>
      <c r="G158" s="39"/>
      <c r="H158" s="39"/>
      <c r="I158" s="39"/>
      <c r="J158" s="39"/>
      <c r="K158" s="39"/>
      <c r="L158" s="39"/>
      <c r="M158" s="39"/>
      <c r="N158" s="39"/>
      <c r="O158" s="39"/>
      <c r="P158" s="39"/>
    </row>
    <row r="159" spans="1:16" ht="12.75" customHeight="1">
      <c r="A159" s="39"/>
      <c r="B159" s="39"/>
      <c r="C159" s="39"/>
      <c r="D159" s="39"/>
      <c r="E159" s="39"/>
      <c r="F159" s="39"/>
      <c r="G159" s="39"/>
      <c r="H159" s="39"/>
      <c r="I159" s="39"/>
      <c r="J159" s="39"/>
      <c r="K159" s="39"/>
      <c r="L159" s="39"/>
      <c r="M159" s="39"/>
      <c r="N159" s="39"/>
      <c r="O159" s="39"/>
      <c r="P159" s="39"/>
    </row>
    <row r="160" spans="1:16" ht="12.75" customHeight="1">
      <c r="A160" s="39"/>
      <c r="B160" s="39"/>
      <c r="C160" s="39"/>
      <c r="D160" s="39"/>
      <c r="E160" s="39"/>
      <c r="F160" s="39"/>
      <c r="G160" s="39"/>
      <c r="H160" s="39"/>
      <c r="I160" s="39"/>
      <c r="J160" s="39"/>
      <c r="K160" s="39"/>
      <c r="L160" s="39"/>
      <c r="M160" s="39"/>
      <c r="N160" s="39"/>
      <c r="O160" s="39"/>
      <c r="P160" s="39"/>
    </row>
    <row r="161" spans="1:16" ht="12.75" customHeight="1">
      <c r="A161" s="39"/>
      <c r="B161" s="39"/>
      <c r="C161" s="39"/>
      <c r="D161" s="39"/>
      <c r="E161" s="39"/>
      <c r="F161" s="39"/>
      <c r="G161" s="39"/>
      <c r="H161" s="39"/>
      <c r="I161" s="39"/>
      <c r="J161" s="39"/>
      <c r="K161" s="39"/>
      <c r="L161" s="39"/>
      <c r="M161" s="39"/>
      <c r="N161" s="39"/>
      <c r="O161" s="39"/>
      <c r="P161" s="39"/>
    </row>
    <row r="162" spans="1:16" ht="12.75" customHeight="1">
      <c r="A162" s="39"/>
      <c r="B162" s="39"/>
      <c r="C162" s="39"/>
      <c r="D162" s="39"/>
      <c r="E162" s="39"/>
      <c r="F162" s="39"/>
      <c r="G162" s="39"/>
      <c r="H162" s="39"/>
      <c r="I162" s="39"/>
      <c r="J162" s="39"/>
      <c r="K162" s="39"/>
      <c r="L162" s="39"/>
      <c r="M162" s="39"/>
      <c r="N162" s="39"/>
      <c r="O162" s="39"/>
      <c r="P162" s="39"/>
    </row>
    <row r="163" spans="1:16" ht="12.75" customHeight="1">
      <c r="A163" s="39"/>
      <c r="B163" s="39"/>
      <c r="C163" s="39"/>
      <c r="D163" s="39"/>
      <c r="E163" s="39"/>
      <c r="F163" s="39"/>
      <c r="G163" s="39"/>
      <c r="H163" s="39"/>
      <c r="I163" s="39"/>
      <c r="J163" s="39"/>
      <c r="K163" s="39"/>
      <c r="L163" s="39"/>
      <c r="M163" s="39"/>
      <c r="N163" s="39"/>
      <c r="O163" s="39"/>
      <c r="P163" s="39"/>
    </row>
    <row r="164" spans="1:16" ht="12.75" customHeight="1">
      <c r="A164" s="39"/>
      <c r="B164" s="39"/>
      <c r="C164" s="39"/>
      <c r="D164" s="39"/>
      <c r="E164" s="39"/>
      <c r="F164" s="39"/>
      <c r="G164" s="39"/>
      <c r="H164" s="39"/>
      <c r="I164" s="39"/>
      <c r="J164" s="39"/>
      <c r="K164" s="39"/>
      <c r="L164" s="39"/>
      <c r="M164" s="39"/>
      <c r="N164" s="39"/>
      <c r="O164" s="39"/>
      <c r="P164" s="39"/>
    </row>
    <row r="165" spans="1:16" ht="12.75" customHeight="1">
      <c r="A165" s="39"/>
      <c r="B165" s="39"/>
      <c r="C165" s="39"/>
      <c r="D165" s="39"/>
      <c r="E165" s="39"/>
      <c r="F165" s="39"/>
      <c r="G165" s="39"/>
      <c r="H165" s="39"/>
      <c r="I165" s="39"/>
      <c r="J165" s="39"/>
      <c r="K165" s="39"/>
      <c r="L165" s="39"/>
      <c r="M165" s="39"/>
      <c r="N165" s="39"/>
      <c r="O165" s="39"/>
      <c r="P165" s="39"/>
    </row>
    <row r="166" spans="1:16" ht="12.75" customHeight="1">
      <c r="A166" s="39"/>
      <c r="B166" s="39"/>
      <c r="C166" s="39"/>
      <c r="D166" s="39"/>
      <c r="E166" s="39"/>
      <c r="F166" s="39"/>
      <c r="G166" s="39"/>
      <c r="H166" s="39"/>
      <c r="I166" s="39"/>
      <c r="J166" s="39"/>
      <c r="K166" s="39"/>
      <c r="L166" s="39"/>
      <c r="M166" s="39"/>
      <c r="N166" s="39"/>
      <c r="O166" s="39"/>
      <c r="P166" s="39"/>
    </row>
    <row r="167" spans="1:16" ht="12.75" customHeight="1">
      <c r="A167" s="39"/>
      <c r="B167" s="39"/>
      <c r="C167" s="39"/>
      <c r="D167" s="39"/>
      <c r="E167" s="39"/>
      <c r="F167" s="39"/>
      <c r="G167" s="39"/>
      <c r="H167" s="39"/>
      <c r="I167" s="39"/>
      <c r="J167" s="39"/>
      <c r="K167" s="39"/>
      <c r="L167" s="39"/>
      <c r="M167" s="39"/>
      <c r="N167" s="39"/>
      <c r="O167" s="39"/>
      <c r="P167" s="39"/>
    </row>
    <row r="168" spans="1:16" ht="12.75" customHeight="1">
      <c r="A168" s="39"/>
      <c r="B168" s="39"/>
      <c r="C168" s="39"/>
      <c r="D168" s="39"/>
      <c r="E168" s="39"/>
      <c r="F168" s="39"/>
      <c r="G168" s="39"/>
      <c r="H168" s="39"/>
      <c r="I168" s="39"/>
      <c r="J168" s="39"/>
      <c r="K168" s="39"/>
      <c r="L168" s="39"/>
      <c r="M168" s="39"/>
      <c r="N168" s="39"/>
      <c r="O168" s="39"/>
      <c r="P168" s="39"/>
    </row>
    <row r="169" spans="1:16" ht="12.75" customHeight="1">
      <c r="A169" s="39"/>
      <c r="B169" s="39"/>
      <c r="C169" s="39"/>
      <c r="D169" s="39"/>
      <c r="E169" s="39"/>
      <c r="F169" s="39"/>
      <c r="G169" s="39"/>
      <c r="H169" s="39"/>
      <c r="I169" s="39"/>
      <c r="J169" s="39"/>
      <c r="K169" s="39"/>
      <c r="L169" s="39"/>
      <c r="M169" s="39"/>
      <c r="N169" s="39"/>
      <c r="O169" s="39"/>
      <c r="P169" s="39"/>
    </row>
    <row r="170" spans="1:16" ht="12.75" customHeight="1">
      <c r="A170" s="39"/>
      <c r="B170" s="39"/>
      <c r="C170" s="39"/>
      <c r="D170" s="39"/>
      <c r="E170" s="39"/>
      <c r="F170" s="39"/>
      <c r="G170" s="39"/>
      <c r="H170" s="39"/>
      <c r="I170" s="39"/>
      <c r="J170" s="39"/>
      <c r="K170" s="39"/>
      <c r="L170" s="39"/>
      <c r="M170" s="39"/>
      <c r="N170" s="39"/>
      <c r="O170" s="39"/>
      <c r="P170" s="39"/>
    </row>
    <row r="171" spans="1:16" ht="12.75" customHeight="1">
      <c r="A171" s="39"/>
      <c r="B171" s="39"/>
      <c r="C171" s="39"/>
      <c r="D171" s="39"/>
      <c r="E171" s="39"/>
      <c r="F171" s="39"/>
      <c r="G171" s="39"/>
      <c r="H171" s="39"/>
      <c r="I171" s="39"/>
      <c r="J171" s="39"/>
      <c r="K171" s="39"/>
      <c r="L171" s="39"/>
      <c r="M171" s="39"/>
      <c r="N171" s="39"/>
      <c r="O171" s="39"/>
      <c r="P171" s="39"/>
    </row>
    <row r="172" spans="1:16" ht="12.75" customHeight="1">
      <c r="A172" s="39"/>
      <c r="B172" s="39"/>
      <c r="C172" s="39"/>
      <c r="D172" s="39"/>
      <c r="E172" s="39"/>
      <c r="F172" s="39"/>
      <c r="G172" s="39"/>
      <c r="H172" s="39"/>
      <c r="I172" s="39"/>
      <c r="J172" s="39"/>
      <c r="K172" s="39"/>
      <c r="L172" s="39"/>
      <c r="M172" s="39"/>
      <c r="N172" s="39"/>
      <c r="O172" s="39"/>
      <c r="P172" s="39"/>
    </row>
    <row r="173" spans="1:16" ht="12.75" customHeight="1">
      <c r="A173" s="39"/>
      <c r="B173" s="39"/>
      <c r="C173" s="39"/>
      <c r="D173" s="39"/>
      <c r="E173" s="39"/>
      <c r="F173" s="39"/>
      <c r="G173" s="39"/>
      <c r="H173" s="39"/>
      <c r="I173" s="39"/>
      <c r="J173" s="39"/>
      <c r="K173" s="39"/>
      <c r="L173" s="39"/>
      <c r="M173" s="39"/>
      <c r="N173" s="39"/>
      <c r="O173" s="39"/>
      <c r="P173" s="39"/>
    </row>
    <row r="174" spans="1:16" ht="12.75" customHeight="1">
      <c r="A174" s="39"/>
      <c r="B174" s="39"/>
      <c r="C174" s="39"/>
      <c r="D174" s="39"/>
      <c r="E174" s="39"/>
      <c r="F174" s="39"/>
      <c r="G174" s="39"/>
      <c r="H174" s="39"/>
      <c r="I174" s="39"/>
      <c r="J174" s="39"/>
      <c r="K174" s="39"/>
      <c r="L174" s="39"/>
      <c r="M174" s="39"/>
      <c r="N174" s="39"/>
      <c r="O174" s="39"/>
      <c r="P174" s="39"/>
    </row>
    <row r="175" spans="1:16" ht="12.75" customHeight="1">
      <c r="A175" s="39"/>
      <c r="B175" s="39"/>
      <c r="C175" s="39"/>
      <c r="D175" s="39"/>
      <c r="E175" s="39"/>
      <c r="F175" s="39"/>
      <c r="G175" s="39"/>
      <c r="H175" s="39"/>
      <c r="I175" s="39"/>
      <c r="J175" s="39"/>
      <c r="K175" s="39"/>
      <c r="L175" s="39"/>
      <c r="M175" s="39"/>
      <c r="N175" s="39"/>
      <c r="O175" s="39"/>
      <c r="P175" s="39"/>
    </row>
    <row r="176" spans="1:16" ht="12.75" customHeight="1">
      <c r="A176" s="39"/>
      <c r="B176" s="39"/>
      <c r="C176" s="39"/>
      <c r="D176" s="39"/>
      <c r="E176" s="39"/>
      <c r="F176" s="39"/>
      <c r="G176" s="39"/>
      <c r="H176" s="39"/>
      <c r="I176" s="39"/>
      <c r="J176" s="39"/>
      <c r="K176" s="39"/>
      <c r="L176" s="39"/>
      <c r="M176" s="39"/>
      <c r="N176" s="39"/>
      <c r="O176" s="39"/>
      <c r="P176" s="39"/>
    </row>
    <row r="177" spans="1:16" ht="12.75" customHeight="1">
      <c r="A177" s="39"/>
      <c r="B177" s="39"/>
      <c r="C177" s="39"/>
      <c r="D177" s="39"/>
      <c r="E177" s="39"/>
      <c r="F177" s="39"/>
      <c r="G177" s="39"/>
      <c r="H177" s="39"/>
      <c r="I177" s="39"/>
      <c r="J177" s="39"/>
      <c r="K177" s="39"/>
      <c r="L177" s="39"/>
      <c r="M177" s="39"/>
      <c r="N177" s="39"/>
      <c r="O177" s="39"/>
      <c r="P177" s="39"/>
    </row>
    <row r="178" spans="1:16" ht="12.75" customHeight="1">
      <c r="A178" s="39"/>
      <c r="B178" s="39"/>
      <c r="C178" s="39"/>
      <c r="D178" s="39"/>
      <c r="E178" s="39"/>
      <c r="F178" s="39"/>
      <c r="G178" s="39"/>
      <c r="H178" s="39"/>
      <c r="I178" s="39"/>
      <c r="J178" s="39"/>
      <c r="K178" s="39"/>
      <c r="L178" s="39"/>
      <c r="M178" s="39"/>
      <c r="N178" s="39"/>
      <c r="O178" s="39"/>
      <c r="P178" s="39"/>
    </row>
    <row r="179" spans="1:16" ht="12.75" customHeight="1">
      <c r="A179" s="39"/>
      <c r="B179" s="39"/>
      <c r="C179" s="39"/>
      <c r="D179" s="39"/>
      <c r="E179" s="39"/>
      <c r="F179" s="39"/>
      <c r="G179" s="39"/>
      <c r="H179" s="39"/>
      <c r="I179" s="39"/>
      <c r="J179" s="39"/>
      <c r="K179" s="39"/>
      <c r="L179" s="39"/>
      <c r="M179" s="39"/>
      <c r="N179" s="39"/>
      <c r="O179" s="39"/>
      <c r="P179" s="39"/>
    </row>
    <row r="180" spans="1:16" ht="12.75" customHeight="1">
      <c r="A180" s="39"/>
      <c r="B180" s="39"/>
      <c r="C180" s="39"/>
      <c r="D180" s="39"/>
      <c r="E180" s="39"/>
      <c r="F180" s="39"/>
      <c r="G180" s="39"/>
      <c r="H180" s="39"/>
      <c r="I180" s="39"/>
      <c r="J180" s="39"/>
      <c r="K180" s="39"/>
      <c r="L180" s="39"/>
      <c r="M180" s="39"/>
      <c r="N180" s="39"/>
      <c r="O180" s="39"/>
      <c r="P180" s="39"/>
    </row>
    <row r="181" spans="1:16" ht="12.75" customHeight="1">
      <c r="A181" s="39"/>
      <c r="B181" s="39"/>
      <c r="C181" s="39"/>
      <c r="D181" s="39"/>
      <c r="E181" s="39"/>
      <c r="F181" s="39"/>
      <c r="G181" s="39"/>
      <c r="H181" s="39"/>
      <c r="I181" s="39"/>
      <c r="J181" s="39"/>
      <c r="K181" s="39"/>
      <c r="L181" s="39"/>
      <c r="M181" s="39"/>
      <c r="N181" s="39"/>
      <c r="O181" s="39"/>
      <c r="P181" s="39"/>
    </row>
    <row r="182" spans="1:16" ht="12.75" customHeight="1">
      <c r="A182" s="39"/>
      <c r="B182" s="39"/>
      <c r="C182" s="39"/>
      <c r="D182" s="39"/>
      <c r="E182" s="39"/>
      <c r="F182" s="39"/>
      <c r="G182" s="39"/>
      <c r="H182" s="39"/>
      <c r="I182" s="39"/>
      <c r="J182" s="39"/>
      <c r="K182" s="39"/>
      <c r="L182" s="39"/>
      <c r="M182" s="39"/>
      <c r="N182" s="39"/>
      <c r="O182" s="39"/>
      <c r="P182" s="39"/>
    </row>
    <row r="183" spans="1:16" ht="12.75" customHeight="1">
      <c r="A183" s="39"/>
      <c r="B183" s="39"/>
      <c r="C183" s="39"/>
      <c r="D183" s="39"/>
      <c r="E183" s="39"/>
      <c r="F183" s="39"/>
      <c r="G183" s="39"/>
      <c r="H183" s="39"/>
      <c r="I183" s="39"/>
      <c r="J183" s="39"/>
      <c r="K183" s="39"/>
      <c r="L183" s="39"/>
      <c r="M183" s="39"/>
      <c r="N183" s="39"/>
      <c r="O183" s="39"/>
      <c r="P183" s="39"/>
    </row>
    <row r="184" spans="1:16" ht="12.75" customHeight="1">
      <c r="A184" s="39"/>
      <c r="B184" s="39"/>
      <c r="C184" s="39"/>
      <c r="D184" s="39"/>
      <c r="E184" s="39"/>
      <c r="F184" s="39"/>
      <c r="G184" s="39"/>
      <c r="H184" s="39"/>
      <c r="I184" s="39"/>
      <c r="J184" s="39"/>
      <c r="K184" s="39"/>
      <c r="L184" s="39"/>
      <c r="M184" s="39"/>
      <c r="N184" s="39"/>
      <c r="O184" s="39"/>
      <c r="P184" s="39"/>
    </row>
    <row r="185" spans="1:16" ht="12.75" customHeight="1">
      <c r="A185" s="39"/>
      <c r="B185" s="39"/>
      <c r="C185" s="39"/>
      <c r="D185" s="39"/>
      <c r="E185" s="39"/>
      <c r="F185" s="39"/>
      <c r="G185" s="39"/>
      <c r="H185" s="39"/>
      <c r="I185" s="39"/>
      <c r="J185" s="39"/>
      <c r="K185" s="39"/>
      <c r="L185" s="39"/>
      <c r="M185" s="39"/>
      <c r="N185" s="39"/>
      <c r="O185" s="39"/>
      <c r="P185" s="39"/>
    </row>
    <row r="186" spans="1:16" ht="12.75" customHeight="1">
      <c r="A186" s="39"/>
      <c r="B186" s="39"/>
      <c r="C186" s="39"/>
      <c r="D186" s="39"/>
      <c r="E186" s="39"/>
      <c r="F186" s="39"/>
      <c r="G186" s="39"/>
      <c r="H186" s="39"/>
      <c r="I186" s="39"/>
      <c r="J186" s="39"/>
      <c r="K186" s="39"/>
      <c r="L186" s="39"/>
      <c r="M186" s="39"/>
      <c r="N186" s="39"/>
      <c r="O186" s="39"/>
      <c r="P186" s="39"/>
    </row>
    <row r="187" spans="1:16" ht="12.75" customHeight="1">
      <c r="A187" s="39"/>
      <c r="B187" s="39"/>
      <c r="C187" s="39"/>
      <c r="D187" s="39"/>
      <c r="E187" s="39"/>
      <c r="F187" s="39"/>
      <c r="G187" s="39"/>
      <c r="H187" s="39"/>
      <c r="I187" s="39"/>
      <c r="J187" s="39"/>
      <c r="K187" s="39"/>
      <c r="L187" s="39"/>
      <c r="M187" s="39"/>
      <c r="N187" s="39"/>
      <c r="O187" s="39"/>
      <c r="P187" s="39"/>
    </row>
    <row r="188" spans="1:16" ht="12.75" customHeight="1">
      <c r="A188" s="39"/>
      <c r="B188" s="39"/>
      <c r="C188" s="39"/>
      <c r="D188" s="39"/>
      <c r="E188" s="39"/>
      <c r="F188" s="39"/>
      <c r="G188" s="39"/>
      <c r="H188" s="39"/>
      <c r="I188" s="39"/>
      <c r="J188" s="39"/>
      <c r="K188" s="39"/>
      <c r="L188" s="39"/>
      <c r="M188" s="39"/>
      <c r="N188" s="39"/>
      <c r="O188" s="39"/>
      <c r="P188" s="39"/>
    </row>
    <row r="189" spans="1:16" ht="12.75" customHeight="1">
      <c r="A189" s="39"/>
      <c r="B189" s="39"/>
      <c r="C189" s="39"/>
      <c r="D189" s="39"/>
      <c r="E189" s="39"/>
      <c r="F189" s="39"/>
      <c r="G189" s="39"/>
      <c r="H189" s="39"/>
      <c r="I189" s="39"/>
      <c r="J189" s="39"/>
      <c r="K189" s="39"/>
      <c r="L189" s="39"/>
      <c r="M189" s="39"/>
      <c r="N189" s="39"/>
      <c r="O189" s="39"/>
      <c r="P189" s="39"/>
    </row>
    <row r="190" spans="1:16" ht="12.75" customHeight="1">
      <c r="A190" s="39"/>
      <c r="B190" s="39"/>
      <c r="C190" s="39"/>
      <c r="D190" s="39"/>
      <c r="E190" s="39"/>
      <c r="F190" s="39"/>
      <c r="G190" s="39"/>
      <c r="H190" s="39"/>
      <c r="I190" s="39"/>
      <c r="J190" s="39"/>
      <c r="K190" s="39"/>
      <c r="L190" s="39"/>
      <c r="M190" s="39"/>
      <c r="N190" s="39"/>
      <c r="O190" s="39"/>
      <c r="P190" s="39"/>
    </row>
    <row r="191" spans="1:16" ht="12.75" customHeight="1">
      <c r="A191" s="39"/>
      <c r="B191" s="39"/>
      <c r="C191" s="39"/>
      <c r="D191" s="39"/>
      <c r="E191" s="39"/>
      <c r="F191" s="39"/>
      <c r="G191" s="39"/>
      <c r="H191" s="39"/>
      <c r="I191" s="39"/>
      <c r="J191" s="39"/>
      <c r="K191" s="39"/>
      <c r="L191" s="39"/>
      <c r="M191" s="39"/>
      <c r="N191" s="39"/>
      <c r="O191" s="39"/>
      <c r="P191" s="39"/>
    </row>
    <row r="192" spans="1:16" ht="12.75" customHeight="1">
      <c r="A192" s="39"/>
      <c r="B192" s="39"/>
      <c r="C192" s="39"/>
      <c r="D192" s="39"/>
      <c r="E192" s="39"/>
      <c r="F192" s="39"/>
      <c r="G192" s="39"/>
      <c r="H192" s="39"/>
      <c r="I192" s="39"/>
      <c r="J192" s="39"/>
      <c r="K192" s="39"/>
      <c r="L192" s="39"/>
      <c r="M192" s="39"/>
      <c r="N192" s="39"/>
      <c r="O192" s="39"/>
      <c r="P192" s="39"/>
    </row>
    <row r="193" spans="1:16" ht="12.75" customHeight="1">
      <c r="A193" s="39"/>
      <c r="B193" s="39"/>
      <c r="C193" s="39"/>
      <c r="D193" s="39"/>
      <c r="E193" s="39"/>
      <c r="F193" s="39"/>
      <c r="G193" s="39"/>
      <c r="H193" s="39"/>
      <c r="I193" s="39"/>
      <c r="J193" s="39"/>
      <c r="K193" s="39"/>
      <c r="L193" s="39"/>
      <c r="M193" s="39"/>
      <c r="N193" s="39"/>
      <c r="O193" s="39"/>
      <c r="P193" s="39"/>
    </row>
    <row r="194" spans="1:16" ht="12.75" customHeight="1">
      <c r="A194" s="39"/>
      <c r="B194" s="39"/>
      <c r="C194" s="39"/>
      <c r="D194" s="39"/>
      <c r="E194" s="39"/>
      <c r="F194" s="39"/>
      <c r="G194" s="39"/>
      <c r="H194" s="39"/>
      <c r="I194" s="39"/>
      <c r="J194" s="39"/>
      <c r="K194" s="39"/>
      <c r="L194" s="39"/>
      <c r="M194" s="39"/>
      <c r="N194" s="39"/>
      <c r="O194" s="39"/>
      <c r="P194" s="39"/>
    </row>
    <row r="195" spans="1:16" ht="12.75" customHeight="1">
      <c r="A195" s="39"/>
      <c r="B195" s="39"/>
      <c r="C195" s="39"/>
      <c r="D195" s="39"/>
      <c r="E195" s="39"/>
      <c r="F195" s="39"/>
      <c r="G195" s="39"/>
      <c r="H195" s="39"/>
      <c r="I195" s="39"/>
      <c r="J195" s="39"/>
      <c r="K195" s="39"/>
      <c r="L195" s="39"/>
      <c r="M195" s="39"/>
      <c r="N195" s="39"/>
      <c r="O195" s="39"/>
      <c r="P195" s="39"/>
    </row>
    <row r="196" spans="1:16" ht="12.75" customHeight="1">
      <c r="A196" s="39"/>
      <c r="B196" s="39"/>
      <c r="C196" s="39"/>
      <c r="D196" s="39"/>
      <c r="E196" s="39"/>
      <c r="F196" s="39"/>
      <c r="G196" s="39"/>
      <c r="H196" s="39"/>
      <c r="I196" s="39"/>
      <c r="J196" s="39"/>
      <c r="K196" s="39"/>
      <c r="L196" s="39"/>
      <c r="M196" s="39"/>
      <c r="N196" s="39"/>
      <c r="O196" s="39"/>
      <c r="P196" s="39"/>
    </row>
    <row r="197" spans="1:16" ht="12.75" customHeight="1">
      <c r="A197" s="39"/>
      <c r="B197" s="39"/>
      <c r="C197" s="39"/>
      <c r="D197" s="39"/>
      <c r="E197" s="39"/>
      <c r="F197" s="39"/>
      <c r="G197" s="39"/>
      <c r="H197" s="39"/>
      <c r="I197" s="39"/>
      <c r="J197" s="39"/>
      <c r="K197" s="39"/>
      <c r="L197" s="39"/>
      <c r="M197" s="39"/>
      <c r="N197" s="39"/>
      <c r="O197" s="39"/>
      <c r="P197" s="39"/>
    </row>
    <row r="198" spans="1:16" ht="12.75" customHeight="1">
      <c r="A198" s="39"/>
      <c r="B198" s="39"/>
      <c r="C198" s="39"/>
      <c r="D198" s="39"/>
      <c r="E198" s="39"/>
      <c r="F198" s="39"/>
      <c r="G198" s="39"/>
      <c r="H198" s="39"/>
      <c r="I198" s="39"/>
      <c r="J198" s="39"/>
      <c r="K198" s="39"/>
      <c r="L198" s="39"/>
      <c r="M198" s="39"/>
      <c r="N198" s="39"/>
      <c r="O198" s="39"/>
      <c r="P198" s="39"/>
    </row>
    <row r="199" spans="1:16" ht="12.75" customHeight="1">
      <c r="A199" s="39"/>
      <c r="B199" s="39"/>
      <c r="C199" s="39"/>
      <c r="D199" s="39"/>
      <c r="E199" s="39"/>
      <c r="F199" s="39"/>
      <c r="G199" s="39"/>
      <c r="H199" s="39"/>
      <c r="I199" s="39"/>
      <c r="J199" s="39"/>
      <c r="K199" s="39"/>
      <c r="L199" s="39"/>
      <c r="M199" s="39"/>
      <c r="N199" s="39"/>
      <c r="O199" s="39"/>
      <c r="P199" s="39"/>
    </row>
    <row r="200" spans="1:16" ht="12.75" customHeight="1">
      <c r="A200" s="39"/>
      <c r="B200" s="39"/>
      <c r="C200" s="39"/>
      <c r="D200" s="39"/>
      <c r="E200" s="39"/>
      <c r="F200" s="39"/>
      <c r="G200" s="39"/>
      <c r="H200" s="39"/>
      <c r="I200" s="39"/>
      <c r="J200" s="39"/>
      <c r="K200" s="39"/>
      <c r="L200" s="39"/>
      <c r="M200" s="39"/>
      <c r="N200" s="39"/>
      <c r="O200" s="39"/>
      <c r="P200" s="39"/>
    </row>
    <row r="201" spans="1:16" ht="12.75" customHeight="1">
      <c r="A201" s="39"/>
      <c r="B201" s="39"/>
      <c r="C201" s="39"/>
      <c r="D201" s="39"/>
      <c r="E201" s="39"/>
      <c r="F201" s="39"/>
      <c r="G201" s="39"/>
      <c r="H201" s="39"/>
      <c r="I201" s="39"/>
      <c r="J201" s="39"/>
      <c r="K201" s="39"/>
      <c r="L201" s="39"/>
      <c r="M201" s="39"/>
      <c r="N201" s="39"/>
      <c r="O201" s="39"/>
      <c r="P201" s="39"/>
    </row>
    <row r="202" spans="1:16" ht="12.75" customHeight="1">
      <c r="A202" s="39"/>
      <c r="B202" s="39"/>
      <c r="C202" s="39"/>
      <c r="D202" s="39"/>
      <c r="E202" s="39"/>
      <c r="F202" s="39"/>
      <c r="G202" s="39"/>
      <c r="H202" s="39"/>
      <c r="I202" s="39"/>
      <c r="J202" s="39"/>
      <c r="K202" s="39"/>
      <c r="L202" s="39"/>
      <c r="M202" s="39"/>
      <c r="N202" s="39"/>
      <c r="O202" s="39"/>
      <c r="P202" s="39"/>
    </row>
    <row r="203" spans="1:16" ht="12.75" customHeight="1">
      <c r="A203" s="39"/>
      <c r="B203" s="39"/>
      <c r="C203" s="39"/>
      <c r="D203" s="39"/>
      <c r="E203" s="39"/>
      <c r="F203" s="39"/>
      <c r="G203" s="39"/>
      <c r="H203" s="39"/>
      <c r="I203" s="39"/>
      <c r="J203" s="39"/>
      <c r="K203" s="39"/>
      <c r="L203" s="39"/>
      <c r="M203" s="39"/>
      <c r="N203" s="39"/>
      <c r="O203" s="39"/>
      <c r="P203" s="39"/>
    </row>
    <row r="204" spans="1:16" ht="12.75" customHeight="1">
      <c r="A204" s="39"/>
      <c r="B204" s="39"/>
      <c r="C204" s="39"/>
      <c r="D204" s="39"/>
      <c r="E204" s="39"/>
      <c r="F204" s="39"/>
      <c r="G204" s="39"/>
      <c r="H204" s="39"/>
      <c r="I204" s="39"/>
      <c r="J204" s="39"/>
      <c r="K204" s="39"/>
      <c r="L204" s="39"/>
      <c r="M204" s="39"/>
      <c r="N204" s="39"/>
      <c r="O204" s="39"/>
      <c r="P204" s="39"/>
    </row>
    <row r="205" spans="1:16" ht="12.75" customHeight="1">
      <c r="A205" s="39"/>
      <c r="B205" s="39"/>
      <c r="C205" s="39"/>
      <c r="D205" s="39"/>
      <c r="E205" s="39"/>
      <c r="F205" s="39"/>
      <c r="G205" s="39"/>
      <c r="H205" s="39"/>
      <c r="I205" s="39"/>
      <c r="J205" s="39"/>
      <c r="K205" s="39"/>
      <c r="L205" s="39"/>
      <c r="M205" s="39"/>
      <c r="N205" s="39"/>
      <c r="O205" s="39"/>
      <c r="P205" s="39"/>
    </row>
    <row r="206" spans="1:16" ht="12.75" customHeight="1">
      <c r="A206" s="39"/>
      <c r="B206" s="39"/>
      <c r="C206" s="39"/>
      <c r="D206" s="39"/>
      <c r="E206" s="39"/>
      <c r="F206" s="39"/>
      <c r="G206" s="39"/>
      <c r="H206" s="39"/>
      <c r="I206" s="39"/>
      <c r="J206" s="39"/>
      <c r="K206" s="39"/>
      <c r="L206" s="39"/>
      <c r="M206" s="39"/>
      <c r="N206" s="39"/>
      <c r="O206" s="39"/>
      <c r="P206" s="39"/>
    </row>
    <row r="207" spans="1:16" ht="12.75" customHeight="1">
      <c r="A207" s="39"/>
      <c r="B207" s="39"/>
      <c r="C207" s="39"/>
      <c r="D207" s="39"/>
      <c r="E207" s="39"/>
      <c r="F207" s="39"/>
      <c r="G207" s="39"/>
      <c r="H207" s="39"/>
      <c r="I207" s="39"/>
      <c r="J207" s="39"/>
      <c r="K207" s="39"/>
      <c r="L207" s="39"/>
      <c r="M207" s="39"/>
      <c r="N207" s="39"/>
      <c r="O207" s="39"/>
      <c r="P207" s="39"/>
    </row>
    <row r="208" spans="1:16" ht="12.75" customHeight="1">
      <c r="A208" s="39"/>
      <c r="B208" s="39"/>
      <c r="C208" s="39"/>
      <c r="D208" s="39"/>
      <c r="E208" s="39"/>
      <c r="F208" s="39"/>
      <c r="G208" s="39"/>
      <c r="H208" s="39"/>
      <c r="I208" s="39"/>
      <c r="J208" s="39"/>
      <c r="K208" s="39"/>
      <c r="L208" s="39"/>
      <c r="M208" s="39"/>
      <c r="N208" s="39"/>
      <c r="O208" s="39"/>
      <c r="P208" s="39"/>
    </row>
    <row r="209" spans="1:16" ht="12.75" customHeight="1">
      <c r="A209" s="39"/>
      <c r="B209" s="39"/>
      <c r="C209" s="39"/>
      <c r="D209" s="39"/>
      <c r="E209" s="39"/>
      <c r="F209" s="39"/>
      <c r="G209" s="39"/>
      <c r="H209" s="39"/>
      <c r="I209" s="39"/>
      <c r="J209" s="39"/>
      <c r="K209" s="39"/>
      <c r="L209" s="39"/>
      <c r="M209" s="39"/>
      <c r="N209" s="39"/>
      <c r="O209" s="39"/>
      <c r="P209" s="39"/>
    </row>
    <row r="210" spans="1:16" ht="12.75" customHeight="1">
      <c r="A210" s="39"/>
      <c r="B210" s="39"/>
      <c r="C210" s="39"/>
      <c r="D210" s="39"/>
      <c r="E210" s="39"/>
      <c r="F210" s="39"/>
      <c r="G210" s="39"/>
      <c r="H210" s="39"/>
      <c r="I210" s="39"/>
      <c r="J210" s="39"/>
      <c r="K210" s="39"/>
      <c r="L210" s="39"/>
      <c r="M210" s="39"/>
      <c r="N210" s="39"/>
      <c r="O210" s="39"/>
      <c r="P210" s="39"/>
    </row>
    <row r="211" spans="1:16" ht="12.75" customHeight="1">
      <c r="A211" s="39"/>
      <c r="B211" s="39"/>
      <c r="C211" s="39"/>
      <c r="D211" s="39"/>
      <c r="E211" s="39"/>
      <c r="F211" s="39"/>
      <c r="G211" s="39"/>
      <c r="H211" s="39"/>
      <c r="I211" s="39"/>
      <c r="J211" s="39"/>
      <c r="K211" s="39"/>
      <c r="L211" s="39"/>
      <c r="M211" s="39"/>
      <c r="N211" s="39"/>
      <c r="O211" s="39"/>
      <c r="P211" s="39"/>
    </row>
    <row r="212" spans="1:16" ht="12.75" customHeight="1">
      <c r="A212" s="39"/>
      <c r="B212" s="39"/>
      <c r="C212" s="39"/>
      <c r="D212" s="39"/>
      <c r="E212" s="39"/>
      <c r="F212" s="39"/>
      <c r="G212" s="39"/>
      <c r="H212" s="39"/>
      <c r="I212" s="39"/>
      <c r="J212" s="39"/>
      <c r="K212" s="39"/>
      <c r="L212" s="39"/>
      <c r="M212" s="39"/>
      <c r="N212" s="39"/>
      <c r="O212" s="39"/>
      <c r="P212" s="39"/>
    </row>
    <row r="213" spans="1:16" ht="12.75" customHeight="1">
      <c r="A213" s="39"/>
      <c r="B213" s="39"/>
      <c r="C213" s="39"/>
      <c r="D213" s="39"/>
      <c r="E213" s="39"/>
      <c r="F213" s="39"/>
      <c r="G213" s="39"/>
      <c r="H213" s="39"/>
      <c r="I213" s="39"/>
      <c r="J213" s="39"/>
      <c r="K213" s="39"/>
      <c r="L213" s="39"/>
      <c r="M213" s="39"/>
      <c r="N213" s="39"/>
      <c r="O213" s="39"/>
      <c r="P213" s="39"/>
    </row>
    <row r="214" spans="1:16" ht="12.75" customHeight="1">
      <c r="A214" s="39"/>
      <c r="B214" s="39"/>
      <c r="C214" s="39"/>
      <c r="D214" s="39"/>
      <c r="E214" s="39"/>
      <c r="F214" s="39"/>
      <c r="G214" s="39"/>
      <c r="H214" s="39"/>
      <c r="I214" s="39"/>
      <c r="J214" s="39"/>
      <c r="K214" s="39"/>
      <c r="L214" s="39"/>
      <c r="M214" s="39"/>
      <c r="N214" s="39"/>
      <c r="O214" s="39"/>
      <c r="P214" s="39"/>
    </row>
    <row r="215" spans="1:16" ht="12.75" customHeight="1">
      <c r="A215" s="39"/>
      <c r="B215" s="39"/>
      <c r="C215" s="39"/>
      <c r="D215" s="39"/>
      <c r="E215" s="39"/>
      <c r="F215" s="39"/>
      <c r="G215" s="39"/>
      <c r="H215" s="39"/>
      <c r="I215" s="39"/>
      <c r="J215" s="39"/>
      <c r="K215" s="39"/>
      <c r="L215" s="39"/>
      <c r="M215" s="39"/>
      <c r="N215" s="39"/>
      <c r="O215" s="39"/>
      <c r="P215" s="39"/>
    </row>
    <row r="216" spans="1:16" ht="12.75" customHeight="1">
      <c r="A216" s="39"/>
      <c r="B216" s="39"/>
      <c r="C216" s="39"/>
      <c r="D216" s="39"/>
      <c r="E216" s="39"/>
      <c r="F216" s="39"/>
      <c r="G216" s="39"/>
      <c r="H216" s="39"/>
      <c r="I216" s="39"/>
      <c r="J216" s="39"/>
      <c r="K216" s="39"/>
      <c r="L216" s="39"/>
      <c r="M216" s="39"/>
      <c r="N216" s="39"/>
      <c r="O216" s="39"/>
      <c r="P216" s="39"/>
    </row>
    <row r="217" spans="1:16" ht="12.75" customHeight="1">
      <c r="A217" s="39"/>
      <c r="B217" s="39"/>
      <c r="C217" s="39"/>
      <c r="D217" s="39"/>
      <c r="E217" s="39"/>
      <c r="F217" s="39"/>
      <c r="G217" s="39"/>
      <c r="H217" s="39"/>
      <c r="I217" s="39"/>
      <c r="J217" s="39"/>
      <c r="K217" s="39"/>
      <c r="L217" s="39"/>
      <c r="M217" s="39"/>
      <c r="N217" s="39"/>
      <c r="O217" s="39"/>
      <c r="P217" s="39"/>
    </row>
    <row r="218" spans="1:16" ht="12.75" customHeight="1">
      <c r="A218" s="39"/>
      <c r="B218" s="39"/>
      <c r="C218" s="39"/>
      <c r="D218" s="39"/>
      <c r="E218" s="39"/>
      <c r="F218" s="39"/>
      <c r="G218" s="39"/>
      <c r="H218" s="39"/>
      <c r="I218" s="39"/>
      <c r="J218" s="39"/>
      <c r="K218" s="39"/>
      <c r="L218" s="39"/>
      <c r="M218" s="39"/>
      <c r="N218" s="39"/>
      <c r="O218" s="39"/>
      <c r="P218" s="39"/>
    </row>
    <row r="219" spans="1:16" ht="12.75" customHeight="1">
      <c r="A219" s="39"/>
      <c r="B219" s="39"/>
      <c r="C219" s="39"/>
      <c r="D219" s="39"/>
      <c r="E219" s="39"/>
      <c r="F219" s="39"/>
      <c r="G219" s="39"/>
      <c r="H219" s="39"/>
      <c r="I219" s="39"/>
      <c r="J219" s="39"/>
      <c r="K219" s="39"/>
      <c r="L219" s="39"/>
      <c r="M219" s="39"/>
      <c r="N219" s="39"/>
      <c r="O219" s="39"/>
      <c r="P219" s="39"/>
    </row>
    <row r="220" spans="1:16" ht="12.75" customHeight="1">
      <c r="A220" s="39"/>
      <c r="B220" s="39"/>
      <c r="C220" s="39"/>
      <c r="D220" s="39"/>
      <c r="E220" s="39"/>
      <c r="F220" s="39"/>
      <c r="G220" s="39"/>
      <c r="H220" s="39"/>
      <c r="I220" s="39"/>
      <c r="J220" s="39"/>
      <c r="K220" s="39"/>
      <c r="L220" s="39"/>
      <c r="M220" s="39"/>
      <c r="N220" s="39"/>
      <c r="O220" s="39"/>
      <c r="P220" s="39"/>
    </row>
    <row r="221" spans="1:16" ht="12.75" customHeight="1">
      <c r="A221" s="39"/>
      <c r="B221" s="39"/>
      <c r="C221" s="39"/>
      <c r="D221" s="39"/>
      <c r="E221" s="39"/>
      <c r="F221" s="39"/>
      <c r="G221" s="39"/>
      <c r="H221" s="39"/>
      <c r="I221" s="39"/>
      <c r="J221" s="39"/>
      <c r="K221" s="39"/>
      <c r="L221" s="39"/>
      <c r="M221" s="39"/>
      <c r="N221" s="39"/>
      <c r="O221" s="39"/>
      <c r="P221" s="39"/>
    </row>
    <row r="222" spans="1:16" ht="12.75" customHeight="1">
      <c r="A222" s="39"/>
      <c r="B222" s="39"/>
      <c r="C222" s="39"/>
      <c r="D222" s="39"/>
      <c r="E222" s="39"/>
      <c r="F222" s="39"/>
      <c r="G222" s="39"/>
      <c r="H222" s="39"/>
      <c r="I222" s="39"/>
      <c r="J222" s="39"/>
      <c r="K222" s="39"/>
      <c r="L222" s="39"/>
      <c r="M222" s="39"/>
      <c r="N222" s="39"/>
      <c r="O222" s="39"/>
      <c r="P222" s="39"/>
    </row>
    <row r="223" spans="1:16" ht="12.75" customHeight="1">
      <c r="A223" s="39"/>
      <c r="B223" s="39"/>
      <c r="C223" s="39"/>
      <c r="D223" s="39"/>
      <c r="E223" s="39"/>
      <c r="F223" s="39"/>
      <c r="G223" s="39"/>
      <c r="H223" s="39"/>
      <c r="I223" s="39"/>
      <c r="J223" s="39"/>
      <c r="K223" s="39"/>
      <c r="L223" s="39"/>
      <c r="M223" s="39"/>
      <c r="N223" s="39"/>
      <c r="O223" s="39"/>
      <c r="P223" s="39"/>
    </row>
    <row r="224" spans="1:16" ht="12.75" customHeight="1">
      <c r="A224" s="39"/>
      <c r="B224" s="39"/>
      <c r="C224" s="39"/>
      <c r="D224" s="39"/>
      <c r="E224" s="39"/>
      <c r="F224" s="39"/>
      <c r="G224" s="39"/>
      <c r="H224" s="39"/>
      <c r="I224" s="39"/>
      <c r="J224" s="39"/>
      <c r="K224" s="39"/>
      <c r="L224" s="39"/>
      <c r="M224" s="39"/>
      <c r="N224" s="39"/>
      <c r="O224" s="39"/>
      <c r="P224" s="39"/>
    </row>
    <row r="225" spans="1:16" ht="12.75" customHeight="1">
      <c r="A225" s="39"/>
      <c r="B225" s="39"/>
      <c r="C225" s="39"/>
      <c r="D225" s="39"/>
      <c r="E225" s="39"/>
      <c r="F225" s="39"/>
      <c r="G225" s="39"/>
      <c r="H225" s="39"/>
      <c r="I225" s="39"/>
      <c r="J225" s="39"/>
      <c r="K225" s="39"/>
      <c r="L225" s="39"/>
      <c r="M225" s="39"/>
      <c r="N225" s="39"/>
      <c r="O225" s="39"/>
      <c r="P225" s="39"/>
    </row>
    <row r="226" spans="1:16" ht="12.75" customHeight="1">
      <c r="A226" s="39"/>
      <c r="B226" s="39"/>
      <c r="C226" s="39"/>
      <c r="D226" s="39"/>
      <c r="E226" s="39"/>
      <c r="F226" s="39"/>
      <c r="G226" s="39"/>
      <c r="H226" s="39"/>
      <c r="I226" s="39"/>
      <c r="J226" s="39"/>
      <c r="K226" s="39"/>
      <c r="L226" s="39"/>
      <c r="M226" s="39"/>
      <c r="N226" s="39"/>
      <c r="O226" s="39"/>
      <c r="P226" s="39"/>
    </row>
    <row r="227" spans="1:16" ht="12.75" customHeight="1">
      <c r="A227" s="39"/>
      <c r="B227" s="39"/>
      <c r="C227" s="39"/>
      <c r="D227" s="39"/>
      <c r="E227" s="39"/>
      <c r="F227" s="39"/>
      <c r="G227" s="39"/>
      <c r="H227" s="39"/>
      <c r="I227" s="39"/>
      <c r="J227" s="39"/>
      <c r="K227" s="39"/>
      <c r="L227" s="39"/>
      <c r="M227" s="39"/>
      <c r="N227" s="39"/>
      <c r="O227" s="39"/>
      <c r="P227" s="39"/>
    </row>
    <row r="228" spans="1:16" ht="12.75" customHeight="1">
      <c r="A228" s="39"/>
      <c r="B228" s="39"/>
      <c r="C228" s="39"/>
      <c r="D228" s="39"/>
      <c r="E228" s="39"/>
      <c r="F228" s="39"/>
      <c r="G228" s="39"/>
      <c r="H228" s="39"/>
      <c r="I228" s="39"/>
      <c r="J228" s="39"/>
      <c r="K228" s="39"/>
      <c r="L228" s="39"/>
      <c r="M228" s="39"/>
      <c r="N228" s="39"/>
      <c r="O228" s="39"/>
      <c r="P228" s="39"/>
    </row>
    <row r="229" spans="1:16" ht="12.75" customHeight="1">
      <c r="A229" s="39"/>
      <c r="B229" s="39"/>
      <c r="C229" s="39"/>
      <c r="D229" s="39"/>
      <c r="E229" s="39"/>
      <c r="F229" s="39"/>
      <c r="G229" s="39"/>
      <c r="H229" s="39"/>
      <c r="I229" s="39"/>
      <c r="J229" s="39"/>
      <c r="K229" s="39"/>
      <c r="L229" s="39"/>
      <c r="M229" s="39"/>
      <c r="N229" s="39"/>
      <c r="O229" s="39"/>
      <c r="P229" s="39"/>
    </row>
    <row r="230" spans="1:16" ht="12.75" customHeight="1">
      <c r="A230" s="39"/>
      <c r="B230" s="39"/>
      <c r="C230" s="39"/>
      <c r="D230" s="39"/>
      <c r="E230" s="39"/>
      <c r="F230" s="39"/>
      <c r="G230" s="39"/>
      <c r="H230" s="39"/>
      <c r="I230" s="39"/>
      <c r="J230" s="39"/>
      <c r="K230" s="39"/>
      <c r="L230" s="39"/>
      <c r="M230" s="39"/>
      <c r="N230" s="39"/>
      <c r="O230" s="39"/>
      <c r="P230" s="39"/>
    </row>
    <row r="231" spans="1:16" ht="12.75" customHeight="1">
      <c r="A231" s="39"/>
      <c r="B231" s="39"/>
      <c r="C231" s="39"/>
      <c r="D231" s="39"/>
      <c r="E231" s="39"/>
      <c r="F231" s="39"/>
      <c r="G231" s="39"/>
      <c r="H231" s="39"/>
      <c r="I231" s="39"/>
      <c r="J231" s="39"/>
      <c r="K231" s="39"/>
      <c r="L231" s="39"/>
      <c r="M231" s="39"/>
      <c r="N231" s="39"/>
      <c r="O231" s="39"/>
      <c r="P231" s="39"/>
    </row>
    <row r="232" spans="1:16" ht="12.75" customHeight="1">
      <c r="A232" s="39"/>
      <c r="B232" s="39"/>
      <c r="C232" s="39"/>
      <c r="D232" s="39"/>
      <c r="E232" s="39"/>
      <c r="F232" s="39"/>
      <c r="G232" s="39"/>
      <c r="H232" s="39"/>
      <c r="I232" s="39"/>
      <c r="J232" s="39"/>
      <c r="K232" s="39"/>
      <c r="L232" s="39"/>
      <c r="M232" s="39"/>
      <c r="N232" s="39"/>
      <c r="O232" s="39"/>
      <c r="P232" s="39"/>
    </row>
    <row r="233" spans="1:16" ht="12.75" customHeight="1">
      <c r="A233" s="39"/>
      <c r="B233" s="39"/>
      <c r="C233" s="39"/>
      <c r="D233" s="39"/>
      <c r="E233" s="39"/>
      <c r="F233" s="39"/>
      <c r="G233" s="39"/>
      <c r="H233" s="39"/>
      <c r="I233" s="39"/>
      <c r="J233" s="39"/>
      <c r="K233" s="39"/>
      <c r="L233" s="39"/>
      <c r="M233" s="39"/>
      <c r="N233" s="39"/>
      <c r="O233" s="39"/>
      <c r="P233" s="39"/>
    </row>
    <row r="234" spans="1:16" ht="12.75" customHeight="1">
      <c r="A234" s="39"/>
      <c r="B234" s="39"/>
      <c r="C234" s="39"/>
      <c r="D234" s="39"/>
      <c r="E234" s="39"/>
      <c r="F234" s="39"/>
      <c r="G234" s="39"/>
      <c r="H234" s="39"/>
      <c r="I234" s="39"/>
      <c r="J234" s="39"/>
      <c r="K234" s="39"/>
      <c r="L234" s="39"/>
      <c r="M234" s="39"/>
      <c r="N234" s="39"/>
      <c r="O234" s="39"/>
      <c r="P234" s="39"/>
    </row>
    <row r="235" spans="1:16" ht="12.75" customHeight="1">
      <c r="A235" s="39"/>
      <c r="B235" s="39"/>
      <c r="C235" s="39"/>
      <c r="D235" s="39"/>
      <c r="E235" s="39"/>
      <c r="F235" s="39"/>
      <c r="G235" s="39"/>
      <c r="H235" s="39"/>
      <c r="I235" s="39"/>
      <c r="J235" s="39"/>
      <c r="K235" s="39"/>
      <c r="L235" s="39"/>
      <c r="M235" s="39"/>
      <c r="N235" s="39"/>
      <c r="O235" s="39"/>
      <c r="P235" s="39"/>
    </row>
    <row r="236" spans="1:16" ht="12.75" customHeight="1">
      <c r="A236" s="39"/>
      <c r="B236" s="39"/>
      <c r="C236" s="39"/>
      <c r="D236" s="39"/>
      <c r="E236" s="39"/>
      <c r="F236" s="39"/>
      <c r="G236" s="39"/>
      <c r="H236" s="39"/>
      <c r="I236" s="39"/>
      <c r="J236" s="39"/>
      <c r="K236" s="39"/>
      <c r="L236" s="39"/>
      <c r="M236" s="39"/>
      <c r="N236" s="39"/>
      <c r="O236" s="39"/>
      <c r="P236" s="39"/>
    </row>
    <row r="237" spans="1:16" ht="12.75" customHeight="1">
      <c r="A237" s="39"/>
      <c r="B237" s="39"/>
      <c r="C237" s="39"/>
      <c r="D237" s="39"/>
      <c r="E237" s="39"/>
      <c r="F237" s="39"/>
      <c r="G237" s="39"/>
      <c r="H237" s="39"/>
      <c r="I237" s="39"/>
      <c r="J237" s="39"/>
      <c r="K237" s="39"/>
      <c r="L237" s="39"/>
      <c r="M237" s="39"/>
      <c r="N237" s="39"/>
      <c r="O237" s="39"/>
      <c r="P237" s="39"/>
    </row>
    <row r="238" spans="1:16" ht="12.75" customHeight="1">
      <c r="A238" s="39"/>
      <c r="B238" s="39"/>
      <c r="C238" s="39"/>
      <c r="D238" s="39"/>
      <c r="E238" s="39"/>
      <c r="F238" s="39"/>
      <c r="G238" s="39"/>
      <c r="H238" s="39"/>
      <c r="I238" s="39"/>
      <c r="J238" s="39"/>
      <c r="K238" s="39"/>
      <c r="L238" s="39"/>
      <c r="M238" s="39"/>
      <c r="N238" s="39"/>
      <c r="O238" s="39"/>
      <c r="P238" s="39"/>
    </row>
    <row r="239" spans="1:16" ht="12.75" customHeight="1">
      <c r="A239" s="39"/>
      <c r="B239" s="39"/>
      <c r="C239" s="39"/>
      <c r="D239" s="39"/>
      <c r="E239" s="39"/>
      <c r="F239" s="39"/>
      <c r="G239" s="39"/>
      <c r="H239" s="39"/>
      <c r="I239" s="39"/>
      <c r="J239" s="39"/>
      <c r="K239" s="39"/>
      <c r="L239" s="39"/>
      <c r="M239" s="39"/>
      <c r="N239" s="39"/>
      <c r="O239" s="39"/>
      <c r="P239" s="39"/>
    </row>
    <row r="240" spans="1:16" ht="12.75" customHeight="1">
      <c r="A240" s="39"/>
      <c r="B240" s="39"/>
      <c r="C240" s="39"/>
      <c r="D240" s="39"/>
      <c r="E240" s="39"/>
      <c r="F240" s="39"/>
      <c r="G240" s="39"/>
      <c r="H240" s="39"/>
      <c r="I240" s="39"/>
      <c r="J240" s="39"/>
      <c r="K240" s="39"/>
      <c r="L240" s="39"/>
      <c r="M240" s="39"/>
      <c r="N240" s="39"/>
      <c r="O240" s="39"/>
      <c r="P240" s="39"/>
    </row>
    <row r="241" spans="1:16" ht="12.75" customHeight="1">
      <c r="A241" s="39"/>
      <c r="B241" s="39"/>
      <c r="C241" s="39"/>
      <c r="D241" s="39"/>
      <c r="E241" s="39"/>
      <c r="F241" s="39"/>
      <c r="G241" s="39"/>
      <c r="H241" s="39"/>
      <c r="I241" s="39"/>
      <c r="J241" s="39"/>
      <c r="K241" s="39"/>
      <c r="L241" s="39"/>
      <c r="M241" s="39"/>
      <c r="N241" s="39"/>
      <c r="O241" s="39"/>
      <c r="P241" s="39"/>
    </row>
    <row r="242" spans="1:16" ht="12.75" customHeight="1">
      <c r="A242" s="39"/>
      <c r="B242" s="39"/>
      <c r="C242" s="39"/>
      <c r="D242" s="39"/>
      <c r="E242" s="39"/>
      <c r="F242" s="39"/>
      <c r="G242" s="39"/>
      <c r="H242" s="39"/>
      <c r="I242" s="39"/>
      <c r="J242" s="39"/>
      <c r="K242" s="39"/>
      <c r="L242" s="39"/>
      <c r="M242" s="39"/>
      <c r="N242" s="39"/>
      <c r="O242" s="39"/>
      <c r="P242" s="39"/>
    </row>
    <row r="243" spans="1:16" ht="12.75" customHeight="1">
      <c r="A243" s="39"/>
      <c r="B243" s="39"/>
      <c r="C243" s="39"/>
      <c r="D243" s="39"/>
      <c r="E243" s="39"/>
      <c r="F243" s="39"/>
      <c r="G243" s="39"/>
      <c r="H243" s="39"/>
      <c r="I243" s="39"/>
      <c r="J243" s="39"/>
      <c r="K243" s="39"/>
      <c r="L243" s="39"/>
      <c r="M243" s="39"/>
      <c r="N243" s="39"/>
      <c r="O243" s="39"/>
      <c r="P243" s="39"/>
    </row>
    <row r="244" spans="1:16" ht="12.75" customHeight="1">
      <c r="A244" s="39"/>
      <c r="B244" s="39"/>
      <c r="C244" s="39"/>
      <c r="D244" s="39"/>
      <c r="E244" s="39"/>
      <c r="F244" s="39"/>
      <c r="G244" s="39"/>
      <c r="H244" s="39"/>
      <c r="I244" s="39"/>
      <c r="J244" s="39"/>
      <c r="K244" s="39"/>
      <c r="L244" s="39"/>
      <c r="M244" s="39"/>
      <c r="N244" s="39"/>
      <c r="O244" s="39"/>
      <c r="P244" s="39"/>
    </row>
    <row r="245" spans="1:16" ht="12.75" customHeight="1">
      <c r="A245" s="39"/>
      <c r="B245" s="39"/>
      <c r="C245" s="39"/>
      <c r="D245" s="39"/>
      <c r="E245" s="39"/>
      <c r="F245" s="39"/>
      <c r="G245" s="39"/>
      <c r="H245" s="39"/>
      <c r="I245" s="39"/>
      <c r="J245" s="39"/>
      <c r="K245" s="39"/>
      <c r="L245" s="39"/>
      <c r="M245" s="39"/>
      <c r="N245" s="39"/>
      <c r="O245" s="39"/>
      <c r="P245" s="39"/>
    </row>
    <row r="246" spans="1:16" ht="12.75" customHeight="1">
      <c r="A246" s="39"/>
      <c r="B246" s="39"/>
      <c r="C246" s="39"/>
      <c r="D246" s="39"/>
      <c r="E246" s="39"/>
      <c r="F246" s="39"/>
      <c r="G246" s="39"/>
      <c r="H246" s="39"/>
      <c r="I246" s="39"/>
      <c r="J246" s="39"/>
      <c r="K246" s="39"/>
      <c r="L246" s="39"/>
      <c r="M246" s="39"/>
      <c r="N246" s="39"/>
      <c r="O246" s="39"/>
      <c r="P246" s="39"/>
    </row>
    <row r="247" spans="1:16" ht="12.75" customHeight="1">
      <c r="A247" s="39"/>
      <c r="B247" s="39"/>
      <c r="C247" s="39"/>
      <c r="D247" s="39"/>
      <c r="E247" s="39"/>
      <c r="F247" s="39"/>
      <c r="G247" s="39"/>
      <c r="H247" s="39"/>
      <c r="I247" s="39"/>
      <c r="J247" s="39"/>
      <c r="K247" s="39"/>
      <c r="L247" s="39"/>
      <c r="M247" s="39"/>
      <c r="N247" s="39"/>
      <c r="O247" s="39"/>
      <c r="P247" s="39"/>
    </row>
    <row r="248" spans="1:16" ht="12.75" customHeight="1">
      <c r="A248" s="39"/>
      <c r="B248" s="39"/>
      <c r="C248" s="39"/>
      <c r="D248" s="39"/>
      <c r="E248" s="39"/>
      <c r="F248" s="39"/>
      <c r="G248" s="39"/>
      <c r="H248" s="39"/>
      <c r="I248" s="39"/>
      <c r="J248" s="39"/>
      <c r="K248" s="39"/>
      <c r="L248" s="39"/>
      <c r="M248" s="39"/>
      <c r="N248" s="39"/>
      <c r="O248" s="39"/>
      <c r="P248" s="39"/>
    </row>
    <row r="249" spans="1:16" ht="12.75" customHeight="1">
      <c r="A249" s="39"/>
      <c r="B249" s="39"/>
      <c r="C249" s="39"/>
      <c r="D249" s="39"/>
      <c r="E249" s="39"/>
      <c r="F249" s="39"/>
      <c r="G249" s="39"/>
      <c r="H249" s="39"/>
      <c r="I249" s="39"/>
      <c r="J249" s="39"/>
      <c r="K249" s="39"/>
      <c r="L249" s="39"/>
      <c r="M249" s="39"/>
      <c r="N249" s="39"/>
      <c r="O249" s="39"/>
      <c r="P249" s="39"/>
    </row>
    <row r="250" spans="1:16" ht="12.75" customHeight="1">
      <c r="A250" s="39"/>
      <c r="B250" s="39"/>
      <c r="C250" s="39"/>
      <c r="D250" s="39"/>
      <c r="E250" s="39"/>
      <c r="F250" s="39"/>
      <c r="G250" s="39"/>
      <c r="H250" s="39"/>
      <c r="I250" s="39"/>
      <c r="J250" s="39"/>
      <c r="K250" s="39"/>
      <c r="L250" s="39"/>
      <c r="M250" s="39"/>
      <c r="N250" s="39"/>
      <c r="O250" s="39"/>
      <c r="P250" s="39"/>
    </row>
    <row r="251" spans="1:16" ht="12.75" customHeight="1">
      <c r="A251" s="39"/>
      <c r="B251" s="39"/>
      <c r="C251" s="39"/>
      <c r="D251" s="39"/>
      <c r="E251" s="39"/>
      <c r="F251" s="39"/>
      <c r="G251" s="39"/>
      <c r="H251" s="39"/>
      <c r="I251" s="39"/>
      <c r="J251" s="39"/>
      <c r="K251" s="39"/>
      <c r="L251" s="39"/>
      <c r="M251" s="39"/>
      <c r="N251" s="39"/>
      <c r="O251" s="39"/>
      <c r="P251" s="39"/>
    </row>
    <row r="252" spans="1:16" ht="12.75" customHeight="1">
      <c r="A252" s="39"/>
      <c r="B252" s="39"/>
      <c r="C252" s="39"/>
      <c r="D252" s="39"/>
      <c r="E252" s="39"/>
      <c r="F252" s="39"/>
      <c r="G252" s="39"/>
      <c r="H252" s="39"/>
      <c r="I252" s="39"/>
      <c r="J252" s="39"/>
      <c r="K252" s="39"/>
      <c r="L252" s="39"/>
      <c r="M252" s="39"/>
      <c r="N252" s="39"/>
      <c r="O252" s="39"/>
      <c r="P252" s="39"/>
    </row>
    <row r="253" spans="1:16" ht="12.75" customHeight="1">
      <c r="A253" s="39"/>
      <c r="B253" s="39"/>
      <c r="C253" s="39"/>
      <c r="D253" s="39"/>
      <c r="E253" s="39"/>
      <c r="F253" s="39"/>
      <c r="G253" s="39"/>
      <c r="H253" s="39"/>
      <c r="I253" s="39"/>
      <c r="J253" s="39"/>
      <c r="K253" s="39"/>
      <c r="L253" s="39"/>
      <c r="M253" s="39"/>
      <c r="N253" s="39"/>
      <c r="O253" s="39"/>
      <c r="P253" s="39"/>
    </row>
    <row r="254" spans="1:16" ht="12.75" customHeight="1">
      <c r="A254" s="39"/>
      <c r="B254" s="39"/>
      <c r="C254" s="39"/>
      <c r="D254" s="39"/>
      <c r="E254" s="39"/>
      <c r="F254" s="39"/>
      <c r="G254" s="39"/>
      <c r="H254" s="39"/>
      <c r="I254" s="39"/>
      <c r="J254" s="39"/>
      <c r="K254" s="39"/>
      <c r="L254" s="39"/>
      <c r="M254" s="39"/>
      <c r="N254" s="39"/>
      <c r="O254" s="39"/>
      <c r="P254" s="39"/>
    </row>
    <row r="255" spans="1:16" ht="12.75" customHeight="1">
      <c r="A255" s="39"/>
      <c r="B255" s="39"/>
      <c r="C255" s="39"/>
      <c r="D255" s="39"/>
      <c r="E255" s="39"/>
      <c r="F255" s="39"/>
      <c r="G255" s="39"/>
      <c r="H255" s="39"/>
      <c r="I255" s="39"/>
      <c r="J255" s="39"/>
      <c r="K255" s="39"/>
      <c r="L255" s="39"/>
      <c r="M255" s="39"/>
      <c r="N255" s="39"/>
      <c r="O255" s="39"/>
      <c r="P255" s="39"/>
    </row>
    <row r="256" spans="1:16" ht="12.75" customHeight="1">
      <c r="A256" s="39"/>
      <c r="B256" s="39"/>
      <c r="C256" s="39"/>
      <c r="D256" s="39"/>
      <c r="E256" s="39"/>
      <c r="F256" s="39"/>
      <c r="G256" s="39"/>
      <c r="H256" s="39"/>
      <c r="I256" s="39"/>
      <c r="J256" s="39"/>
      <c r="K256" s="39"/>
      <c r="L256" s="39"/>
      <c r="M256" s="39"/>
      <c r="N256" s="39"/>
      <c r="O256" s="39"/>
      <c r="P256" s="39"/>
    </row>
    <row r="257" spans="1:16" ht="12.75" customHeight="1">
      <c r="A257" s="39"/>
      <c r="B257" s="39"/>
      <c r="C257" s="39"/>
      <c r="D257" s="39"/>
      <c r="E257" s="39"/>
      <c r="F257" s="39"/>
      <c r="G257" s="39"/>
      <c r="H257" s="39"/>
      <c r="I257" s="39"/>
      <c r="J257" s="39"/>
      <c r="K257" s="39"/>
      <c r="L257" s="39"/>
      <c r="M257" s="39"/>
      <c r="N257" s="39"/>
      <c r="O257" s="39"/>
      <c r="P257" s="39"/>
    </row>
    <row r="258" spans="1:16" ht="12.75" customHeight="1">
      <c r="A258" s="39"/>
      <c r="B258" s="39"/>
      <c r="C258" s="39"/>
      <c r="D258" s="39"/>
      <c r="E258" s="39"/>
      <c r="F258" s="39"/>
      <c r="G258" s="39"/>
      <c r="H258" s="39"/>
      <c r="I258" s="39"/>
      <c r="J258" s="39"/>
      <c r="K258" s="39"/>
      <c r="L258" s="39"/>
      <c r="M258" s="39"/>
      <c r="N258" s="39"/>
      <c r="O258" s="39"/>
      <c r="P258" s="39"/>
    </row>
    <row r="259" spans="1:16" ht="12.75" customHeight="1">
      <c r="A259" s="39"/>
      <c r="B259" s="39"/>
      <c r="C259" s="39"/>
      <c r="D259" s="39"/>
      <c r="E259" s="39"/>
      <c r="F259" s="39"/>
      <c r="G259" s="39"/>
      <c r="H259" s="39"/>
      <c r="I259" s="39"/>
      <c r="J259" s="39"/>
      <c r="K259" s="39"/>
      <c r="L259" s="39"/>
      <c r="M259" s="39"/>
      <c r="N259" s="39"/>
      <c r="O259" s="39"/>
      <c r="P259" s="39"/>
    </row>
    <row r="260" spans="1:16" ht="12.75" customHeight="1">
      <c r="A260" s="39"/>
      <c r="B260" s="39"/>
      <c r="C260" s="39"/>
      <c r="D260" s="39"/>
      <c r="E260" s="39"/>
      <c r="F260" s="39"/>
      <c r="G260" s="39"/>
      <c r="H260" s="39"/>
      <c r="I260" s="39"/>
      <c r="J260" s="39"/>
      <c r="K260" s="39"/>
      <c r="L260" s="39"/>
      <c r="M260" s="39"/>
      <c r="N260" s="39"/>
      <c r="O260" s="39"/>
      <c r="P260" s="39"/>
    </row>
    <row r="261" spans="1:16" ht="12.75" customHeight="1">
      <c r="A261" s="39"/>
      <c r="B261" s="39"/>
      <c r="C261" s="39"/>
      <c r="D261" s="39"/>
      <c r="E261" s="39"/>
      <c r="F261" s="39"/>
      <c r="G261" s="39"/>
      <c r="H261" s="39"/>
      <c r="I261" s="39"/>
      <c r="J261" s="39"/>
      <c r="K261" s="39"/>
      <c r="L261" s="39"/>
      <c r="M261" s="39"/>
      <c r="N261" s="39"/>
      <c r="O261" s="39"/>
      <c r="P261" s="39"/>
    </row>
    <row r="262" spans="1:16" ht="12.75" customHeight="1">
      <c r="A262" s="39"/>
      <c r="B262" s="39"/>
      <c r="C262" s="39"/>
      <c r="D262" s="39"/>
      <c r="E262" s="39"/>
      <c r="F262" s="39"/>
      <c r="G262" s="39"/>
      <c r="H262" s="39"/>
      <c r="I262" s="39"/>
      <c r="J262" s="39"/>
      <c r="K262" s="39"/>
      <c r="L262" s="39"/>
      <c r="M262" s="39"/>
      <c r="N262" s="39"/>
      <c r="O262" s="39"/>
      <c r="P262" s="39"/>
    </row>
    <row r="263" spans="1:16" ht="12.75" customHeight="1">
      <c r="A263" s="39"/>
      <c r="B263" s="39"/>
      <c r="C263" s="39"/>
      <c r="D263" s="39"/>
      <c r="E263" s="39"/>
      <c r="F263" s="39"/>
      <c r="G263" s="39"/>
      <c r="H263" s="39"/>
      <c r="I263" s="39"/>
      <c r="J263" s="39"/>
      <c r="K263" s="39"/>
      <c r="L263" s="39"/>
      <c r="M263" s="39"/>
      <c r="N263" s="39"/>
      <c r="O263" s="39"/>
      <c r="P263" s="39"/>
    </row>
    <row r="264" spans="1:16" ht="12.75" customHeight="1">
      <c r="A264" s="39"/>
      <c r="B264" s="39"/>
      <c r="C264" s="39"/>
      <c r="D264" s="39"/>
      <c r="E264" s="39"/>
      <c r="F264" s="39"/>
      <c r="G264" s="39"/>
      <c r="H264" s="39"/>
      <c r="I264" s="39"/>
      <c r="J264" s="39"/>
      <c r="K264" s="39"/>
      <c r="L264" s="39"/>
      <c r="M264" s="39"/>
      <c r="N264" s="39"/>
      <c r="O264" s="39"/>
      <c r="P264" s="39"/>
    </row>
    <row r="265" spans="1:16" ht="12.75" customHeight="1">
      <c r="A265" s="39"/>
      <c r="B265" s="39"/>
      <c r="C265" s="39"/>
      <c r="D265" s="39"/>
      <c r="E265" s="39"/>
      <c r="F265" s="39"/>
      <c r="G265" s="39"/>
      <c r="H265" s="39"/>
      <c r="I265" s="39"/>
      <c r="J265" s="39"/>
      <c r="K265" s="39"/>
      <c r="L265" s="39"/>
      <c r="M265" s="39"/>
      <c r="N265" s="39"/>
      <c r="O265" s="39"/>
      <c r="P265" s="39"/>
    </row>
    <row r="266" spans="1:16" ht="12.75" customHeight="1">
      <c r="A266" s="39"/>
      <c r="B266" s="39"/>
      <c r="C266" s="39"/>
      <c r="D266" s="39"/>
      <c r="E266" s="39"/>
      <c r="F266" s="39"/>
      <c r="G266" s="39"/>
      <c r="H266" s="39"/>
      <c r="I266" s="39"/>
      <c r="J266" s="39"/>
      <c r="K266" s="39"/>
      <c r="L266" s="39"/>
      <c r="M266" s="39"/>
      <c r="N266" s="39"/>
      <c r="O266" s="39"/>
      <c r="P266" s="39"/>
    </row>
    <row r="267" spans="1:16" ht="12.75" customHeight="1">
      <c r="A267" s="39"/>
      <c r="B267" s="39"/>
      <c r="C267" s="39"/>
      <c r="D267" s="39"/>
      <c r="E267" s="39"/>
      <c r="F267" s="39"/>
      <c r="G267" s="39"/>
      <c r="H267" s="39"/>
      <c r="I267" s="39"/>
      <c r="J267" s="39"/>
      <c r="K267" s="39"/>
      <c r="L267" s="39"/>
      <c r="M267" s="39"/>
      <c r="N267" s="39"/>
      <c r="O267" s="39"/>
      <c r="P267" s="39"/>
    </row>
    <row r="268" spans="1:16" ht="12.75" customHeight="1">
      <c r="A268" s="39"/>
      <c r="B268" s="39"/>
      <c r="C268" s="39"/>
      <c r="D268" s="39"/>
      <c r="E268" s="39"/>
      <c r="F268" s="39"/>
      <c r="G268" s="39"/>
      <c r="H268" s="39"/>
      <c r="I268" s="39"/>
      <c r="J268" s="39"/>
      <c r="K268" s="39"/>
      <c r="L268" s="39"/>
      <c r="M268" s="39"/>
      <c r="N268" s="39"/>
      <c r="O268" s="39"/>
      <c r="P268" s="39"/>
    </row>
    <row r="269" spans="1:16" ht="12.75" customHeight="1">
      <c r="A269" s="39"/>
      <c r="B269" s="39"/>
      <c r="C269" s="39"/>
      <c r="D269" s="39"/>
      <c r="E269" s="39"/>
      <c r="F269" s="39"/>
      <c r="G269" s="39"/>
      <c r="H269" s="39"/>
      <c r="I269" s="39"/>
      <c r="J269" s="39"/>
      <c r="K269" s="39"/>
      <c r="L269" s="39"/>
      <c r="M269" s="39"/>
      <c r="N269" s="39"/>
      <c r="O269" s="39"/>
      <c r="P269" s="39"/>
    </row>
    <row r="270" spans="1:16" ht="12.75" customHeight="1">
      <c r="A270" s="39"/>
      <c r="B270" s="39"/>
      <c r="C270" s="39"/>
      <c r="D270" s="39"/>
      <c r="E270" s="39"/>
      <c r="F270" s="39"/>
      <c r="G270" s="39"/>
      <c r="H270" s="39"/>
      <c r="I270" s="39"/>
      <c r="J270" s="39"/>
      <c r="K270" s="39"/>
      <c r="L270" s="39"/>
      <c r="M270" s="39"/>
      <c r="N270" s="39"/>
      <c r="O270" s="39"/>
      <c r="P270" s="39"/>
    </row>
    <row r="271" spans="1:16" ht="12.75" customHeight="1">
      <c r="A271" s="39"/>
      <c r="B271" s="39"/>
      <c r="C271" s="39"/>
      <c r="D271" s="39"/>
      <c r="E271" s="39"/>
      <c r="F271" s="39"/>
      <c r="G271" s="39"/>
      <c r="H271" s="39"/>
      <c r="I271" s="39"/>
      <c r="J271" s="39"/>
      <c r="K271" s="39"/>
      <c r="L271" s="39"/>
      <c r="M271" s="39"/>
      <c r="N271" s="39"/>
      <c r="O271" s="39"/>
      <c r="P271" s="39"/>
    </row>
    <row r="272" spans="1:16" ht="12.75" customHeight="1">
      <c r="A272" s="39"/>
      <c r="B272" s="39"/>
      <c r="C272" s="39"/>
      <c r="D272" s="39"/>
      <c r="E272" s="39"/>
      <c r="F272" s="39"/>
      <c r="G272" s="39"/>
      <c r="H272" s="39"/>
      <c r="I272" s="39"/>
      <c r="J272" s="39"/>
      <c r="K272" s="39"/>
      <c r="L272" s="39"/>
      <c r="M272" s="39"/>
      <c r="N272" s="39"/>
      <c r="O272" s="39"/>
      <c r="P272" s="39"/>
    </row>
    <row r="273" spans="1:16" ht="12.75" customHeight="1">
      <c r="A273" s="39"/>
      <c r="B273" s="39"/>
      <c r="C273" s="39"/>
      <c r="D273" s="39"/>
      <c r="E273" s="39"/>
      <c r="F273" s="39"/>
      <c r="G273" s="39"/>
      <c r="H273" s="39"/>
      <c r="I273" s="39"/>
      <c r="J273" s="39"/>
      <c r="K273" s="39"/>
      <c r="L273" s="39"/>
      <c r="M273" s="39"/>
      <c r="N273" s="39"/>
      <c r="O273" s="39"/>
      <c r="P273" s="39"/>
    </row>
    <row r="274" spans="1:16" ht="12.75" customHeight="1">
      <c r="A274" s="39"/>
      <c r="B274" s="39"/>
      <c r="C274" s="39"/>
      <c r="D274" s="39"/>
      <c r="E274" s="39"/>
      <c r="F274" s="39"/>
      <c r="G274" s="39"/>
      <c r="H274" s="39"/>
      <c r="I274" s="39"/>
      <c r="J274" s="39"/>
      <c r="K274" s="39"/>
      <c r="L274" s="39"/>
      <c r="M274" s="39"/>
      <c r="N274" s="39"/>
      <c r="O274" s="39"/>
      <c r="P274" s="39"/>
    </row>
    <row r="275" spans="1:16" ht="12.75" customHeight="1">
      <c r="A275" s="39"/>
      <c r="B275" s="39"/>
      <c r="C275" s="39"/>
      <c r="D275" s="39"/>
      <c r="E275" s="39"/>
      <c r="F275" s="39"/>
      <c r="G275" s="39"/>
      <c r="H275" s="39"/>
      <c r="I275" s="39"/>
      <c r="J275" s="39"/>
      <c r="K275" s="39"/>
      <c r="L275" s="39"/>
      <c r="M275" s="39"/>
      <c r="N275" s="39"/>
      <c r="O275" s="39"/>
      <c r="P275" s="39"/>
    </row>
    <row r="276" spans="1:16" ht="12.75" customHeight="1">
      <c r="A276" s="39"/>
      <c r="B276" s="39"/>
      <c r="C276" s="39"/>
      <c r="D276" s="39"/>
      <c r="E276" s="39"/>
      <c r="F276" s="39"/>
      <c r="G276" s="39"/>
      <c r="H276" s="39"/>
      <c r="I276" s="39"/>
      <c r="J276" s="39"/>
      <c r="K276" s="39"/>
      <c r="L276" s="39"/>
      <c r="M276" s="39"/>
      <c r="N276" s="39"/>
      <c r="O276" s="39"/>
      <c r="P276" s="39"/>
    </row>
    <row r="277" spans="1:16" ht="12.75" customHeight="1">
      <c r="A277" s="39"/>
      <c r="B277" s="39"/>
      <c r="C277" s="39"/>
      <c r="D277" s="39"/>
      <c r="E277" s="39"/>
      <c r="F277" s="39"/>
      <c r="G277" s="39"/>
      <c r="H277" s="39"/>
      <c r="I277" s="39"/>
      <c r="J277" s="39"/>
      <c r="K277" s="39"/>
      <c r="L277" s="39"/>
      <c r="M277" s="39"/>
      <c r="N277" s="39"/>
      <c r="O277" s="39"/>
      <c r="P277" s="39"/>
    </row>
    <row r="278" spans="1:16" ht="12.75" customHeight="1">
      <c r="A278" s="39"/>
      <c r="B278" s="39"/>
      <c r="C278" s="39"/>
      <c r="D278" s="39"/>
      <c r="E278" s="39"/>
      <c r="F278" s="39"/>
      <c r="G278" s="39"/>
      <c r="H278" s="39"/>
      <c r="I278" s="39"/>
      <c r="J278" s="39"/>
      <c r="K278" s="39"/>
      <c r="L278" s="39"/>
      <c r="M278" s="39"/>
      <c r="N278" s="39"/>
      <c r="O278" s="39"/>
      <c r="P278" s="39"/>
    </row>
    <row r="279" spans="1:16" ht="12.75" customHeight="1">
      <c r="A279" s="39"/>
      <c r="B279" s="39"/>
      <c r="C279" s="39"/>
      <c r="D279" s="39"/>
      <c r="E279" s="39"/>
      <c r="F279" s="39"/>
      <c r="G279" s="39"/>
      <c r="H279" s="39"/>
      <c r="I279" s="39"/>
      <c r="J279" s="39"/>
      <c r="K279" s="39"/>
      <c r="L279" s="39"/>
      <c r="M279" s="39"/>
      <c r="N279" s="39"/>
      <c r="O279" s="39"/>
      <c r="P279" s="39"/>
    </row>
    <row r="280" spans="1:16" ht="12.75" customHeight="1">
      <c r="A280" s="39"/>
      <c r="B280" s="39"/>
      <c r="C280" s="39"/>
      <c r="D280" s="39"/>
      <c r="E280" s="39"/>
      <c r="F280" s="39"/>
      <c r="G280" s="39"/>
      <c r="H280" s="39"/>
      <c r="I280" s="39"/>
      <c r="J280" s="39"/>
      <c r="K280" s="39"/>
      <c r="L280" s="39"/>
      <c r="M280" s="39"/>
      <c r="N280" s="39"/>
      <c r="O280" s="39"/>
      <c r="P280" s="39"/>
    </row>
    <row r="281" spans="1:16" ht="12.75" customHeight="1">
      <c r="A281" s="39"/>
      <c r="B281" s="39"/>
      <c r="C281" s="39"/>
      <c r="D281" s="39"/>
      <c r="E281" s="39"/>
      <c r="F281" s="39"/>
      <c r="G281" s="39"/>
      <c r="H281" s="39"/>
      <c r="I281" s="39"/>
      <c r="J281" s="39"/>
      <c r="K281" s="39"/>
      <c r="L281" s="39"/>
      <c r="M281" s="39"/>
      <c r="N281" s="39"/>
      <c r="O281" s="39"/>
      <c r="P281" s="39"/>
    </row>
    <row r="282" spans="1:16" ht="12.75" customHeight="1">
      <c r="A282" s="39"/>
      <c r="B282" s="39"/>
      <c r="C282" s="39"/>
      <c r="D282" s="39"/>
      <c r="E282" s="39"/>
      <c r="F282" s="39"/>
      <c r="G282" s="39"/>
      <c r="H282" s="39"/>
      <c r="I282" s="39"/>
      <c r="J282" s="39"/>
      <c r="K282" s="39"/>
      <c r="L282" s="39"/>
      <c r="M282" s="39"/>
      <c r="N282" s="39"/>
      <c r="O282" s="39"/>
      <c r="P282" s="39"/>
    </row>
    <row r="283" spans="1:16" ht="12.75" customHeight="1">
      <c r="A283" s="39"/>
      <c r="B283" s="39"/>
      <c r="C283" s="39"/>
      <c r="D283" s="39"/>
      <c r="E283" s="39"/>
      <c r="F283" s="39"/>
      <c r="G283" s="39"/>
      <c r="H283" s="39"/>
      <c r="I283" s="39"/>
      <c r="J283" s="39"/>
      <c r="K283" s="39"/>
      <c r="L283" s="39"/>
      <c r="M283" s="39"/>
      <c r="N283" s="39"/>
      <c r="O283" s="39"/>
      <c r="P283" s="39"/>
    </row>
    <row r="284" spans="1:16" ht="12.75" customHeight="1">
      <c r="A284" s="39"/>
      <c r="B284" s="39"/>
      <c r="C284" s="39"/>
      <c r="D284" s="39"/>
      <c r="E284" s="39"/>
      <c r="F284" s="39"/>
      <c r="G284" s="39"/>
      <c r="H284" s="39"/>
      <c r="I284" s="39"/>
      <c r="J284" s="39"/>
      <c r="K284" s="39"/>
      <c r="L284" s="39"/>
      <c r="M284" s="39"/>
      <c r="N284" s="39"/>
      <c r="O284" s="39"/>
      <c r="P284" s="39"/>
    </row>
    <row r="285" spans="1:16" ht="12.75" customHeight="1">
      <c r="A285" s="39"/>
      <c r="B285" s="39"/>
      <c r="C285" s="39"/>
      <c r="D285" s="39"/>
      <c r="E285" s="39"/>
      <c r="F285" s="39"/>
      <c r="G285" s="39"/>
      <c r="H285" s="39"/>
      <c r="I285" s="39"/>
      <c r="J285" s="39"/>
      <c r="K285" s="39"/>
      <c r="L285" s="39"/>
      <c r="M285" s="39"/>
      <c r="N285" s="39"/>
      <c r="O285" s="39"/>
      <c r="P285" s="39"/>
    </row>
    <row r="286" spans="1:16" ht="12.75" customHeight="1">
      <c r="A286" s="39"/>
      <c r="B286" s="39"/>
      <c r="C286" s="39"/>
      <c r="D286" s="39"/>
      <c r="E286" s="39"/>
      <c r="F286" s="39"/>
      <c r="G286" s="39"/>
      <c r="H286" s="39"/>
      <c r="I286" s="39"/>
      <c r="J286" s="39"/>
      <c r="K286" s="39"/>
      <c r="L286" s="39"/>
      <c r="M286" s="39"/>
      <c r="N286" s="39"/>
      <c r="O286" s="39"/>
      <c r="P286" s="39"/>
    </row>
    <row r="287" spans="1:16" ht="12.75" customHeight="1">
      <c r="A287" s="39"/>
      <c r="B287" s="39"/>
      <c r="C287" s="39"/>
      <c r="D287" s="39"/>
      <c r="E287" s="39"/>
      <c r="F287" s="39"/>
      <c r="G287" s="39"/>
      <c r="H287" s="39"/>
      <c r="I287" s="39"/>
      <c r="J287" s="39"/>
      <c r="K287" s="39"/>
      <c r="L287" s="39"/>
      <c r="M287" s="39"/>
      <c r="N287" s="39"/>
      <c r="O287" s="39"/>
      <c r="P287" s="39"/>
    </row>
    <row r="288" spans="1:16" ht="12.75" customHeight="1">
      <c r="A288" s="39"/>
      <c r="B288" s="39"/>
      <c r="C288" s="39"/>
      <c r="D288" s="39"/>
      <c r="E288" s="39"/>
      <c r="F288" s="39"/>
      <c r="G288" s="39"/>
      <c r="H288" s="39"/>
      <c r="I288" s="39"/>
      <c r="J288" s="39"/>
      <c r="K288" s="39"/>
      <c r="L288" s="39"/>
      <c r="M288" s="39"/>
      <c r="N288" s="39"/>
      <c r="O288" s="39"/>
      <c r="P288" s="39"/>
    </row>
    <row r="289" spans="1:16" ht="12.75" customHeight="1">
      <c r="A289" s="39"/>
      <c r="B289" s="39"/>
      <c r="C289" s="39"/>
      <c r="D289" s="39"/>
      <c r="E289" s="39"/>
      <c r="F289" s="39"/>
      <c r="G289" s="39"/>
      <c r="H289" s="39"/>
      <c r="I289" s="39"/>
      <c r="J289" s="39"/>
      <c r="K289" s="39"/>
      <c r="L289" s="39"/>
      <c r="M289" s="39"/>
      <c r="N289" s="39"/>
      <c r="O289" s="39"/>
      <c r="P289" s="39"/>
    </row>
    <row r="290" spans="1:16" ht="12.75" customHeight="1">
      <c r="A290" s="39"/>
      <c r="B290" s="39"/>
      <c r="C290" s="39"/>
      <c r="D290" s="39"/>
      <c r="E290" s="39"/>
      <c r="F290" s="39"/>
      <c r="G290" s="39"/>
      <c r="H290" s="39"/>
      <c r="I290" s="39"/>
      <c r="J290" s="39"/>
      <c r="K290" s="39"/>
      <c r="L290" s="39"/>
      <c r="M290" s="39"/>
      <c r="N290" s="39"/>
      <c r="O290" s="39"/>
      <c r="P290" s="39"/>
    </row>
    <row r="291" spans="1:16" ht="12.75" customHeight="1">
      <c r="A291" s="39"/>
      <c r="B291" s="39"/>
      <c r="C291" s="39"/>
      <c r="D291" s="39"/>
      <c r="E291" s="39"/>
      <c r="F291" s="39"/>
      <c r="G291" s="39"/>
      <c r="H291" s="39"/>
      <c r="I291" s="39"/>
      <c r="J291" s="39"/>
      <c r="K291" s="39"/>
      <c r="L291" s="39"/>
      <c r="M291" s="39"/>
      <c r="N291" s="39"/>
      <c r="O291" s="39"/>
      <c r="P291" s="39"/>
    </row>
    <row r="292" spans="1:16" ht="12.75" customHeight="1">
      <c r="A292" s="39"/>
      <c r="B292" s="39"/>
      <c r="C292" s="39"/>
      <c r="D292" s="39"/>
      <c r="E292" s="39"/>
      <c r="F292" s="39"/>
      <c r="G292" s="39"/>
      <c r="H292" s="39"/>
      <c r="I292" s="39"/>
      <c r="J292" s="39"/>
      <c r="K292" s="39"/>
      <c r="L292" s="39"/>
      <c r="M292" s="39"/>
      <c r="N292" s="39"/>
      <c r="O292" s="39"/>
      <c r="P292" s="39"/>
    </row>
    <row r="293" spans="1:16" ht="12.75" customHeight="1">
      <c r="A293" s="39"/>
      <c r="B293" s="39"/>
      <c r="C293" s="39"/>
      <c r="D293" s="39"/>
      <c r="E293" s="39"/>
      <c r="F293" s="39"/>
      <c r="G293" s="39"/>
      <c r="H293" s="39"/>
      <c r="I293" s="39"/>
      <c r="J293" s="39"/>
      <c r="K293" s="39"/>
      <c r="L293" s="39"/>
      <c r="M293" s="39"/>
      <c r="N293" s="39"/>
      <c r="O293" s="39"/>
      <c r="P293" s="39"/>
    </row>
    <row r="294" spans="1:16" ht="12.75" customHeight="1">
      <c r="A294" s="39"/>
      <c r="B294" s="39"/>
      <c r="C294" s="39"/>
      <c r="D294" s="39"/>
      <c r="E294" s="39"/>
      <c r="F294" s="39"/>
      <c r="G294" s="39"/>
      <c r="H294" s="39"/>
      <c r="I294" s="39"/>
      <c r="J294" s="39"/>
      <c r="K294" s="39"/>
      <c r="L294" s="39"/>
      <c r="M294" s="39"/>
      <c r="N294" s="39"/>
      <c r="O294" s="39"/>
      <c r="P294" s="39"/>
    </row>
    <row r="295" spans="1:16" ht="12.75" customHeight="1">
      <c r="A295" s="39"/>
      <c r="B295" s="39"/>
      <c r="C295" s="39"/>
      <c r="D295" s="39"/>
      <c r="E295" s="39"/>
      <c r="F295" s="39"/>
      <c r="G295" s="39"/>
      <c r="H295" s="39"/>
      <c r="I295" s="39"/>
      <c r="J295" s="39"/>
      <c r="K295" s="39"/>
      <c r="L295" s="39"/>
      <c r="M295" s="39"/>
      <c r="N295" s="39"/>
      <c r="O295" s="39"/>
      <c r="P295" s="39"/>
    </row>
    <row r="296" spans="1:16" ht="12.75" customHeight="1">
      <c r="A296" s="39"/>
      <c r="B296" s="39"/>
      <c r="C296" s="39"/>
      <c r="D296" s="39"/>
      <c r="E296" s="39"/>
      <c r="F296" s="39"/>
      <c r="G296" s="39"/>
      <c r="H296" s="39"/>
      <c r="I296" s="39"/>
      <c r="J296" s="39"/>
      <c r="K296" s="39"/>
      <c r="L296" s="39"/>
      <c r="M296" s="39"/>
      <c r="N296" s="39"/>
      <c r="O296" s="39"/>
      <c r="P296" s="39"/>
    </row>
    <row r="297" spans="1:16" ht="12.75" customHeight="1">
      <c r="A297" s="39"/>
      <c r="B297" s="39"/>
      <c r="C297" s="39"/>
      <c r="D297" s="39"/>
      <c r="E297" s="39"/>
      <c r="F297" s="39"/>
      <c r="G297" s="39"/>
      <c r="H297" s="39"/>
      <c r="I297" s="39"/>
      <c r="J297" s="39"/>
      <c r="K297" s="39"/>
      <c r="L297" s="39"/>
      <c r="M297" s="39"/>
      <c r="N297" s="39"/>
      <c r="O297" s="39"/>
      <c r="P297" s="39"/>
    </row>
    <row r="298" spans="1:16" ht="12.75" customHeight="1">
      <c r="A298" s="39"/>
      <c r="B298" s="39"/>
      <c r="C298" s="39"/>
      <c r="D298" s="39"/>
      <c r="E298" s="39"/>
      <c r="F298" s="39"/>
      <c r="G298" s="39"/>
      <c r="H298" s="39"/>
      <c r="I298" s="39"/>
      <c r="J298" s="39"/>
      <c r="K298" s="39"/>
      <c r="L298" s="39"/>
      <c r="M298" s="39"/>
      <c r="N298" s="39"/>
      <c r="O298" s="39"/>
      <c r="P298" s="39"/>
    </row>
    <row r="299" spans="1:16" ht="12.75" customHeight="1">
      <c r="A299" s="39"/>
      <c r="B299" s="39"/>
      <c r="C299" s="39"/>
      <c r="D299" s="39"/>
      <c r="E299" s="39"/>
      <c r="F299" s="39"/>
      <c r="G299" s="39"/>
      <c r="H299" s="39"/>
      <c r="I299" s="39"/>
      <c r="J299" s="39"/>
      <c r="K299" s="39"/>
      <c r="L299" s="39"/>
      <c r="M299" s="39"/>
      <c r="N299" s="39"/>
      <c r="O299" s="39"/>
      <c r="P299" s="39"/>
    </row>
    <row r="300" spans="1:16" ht="12.75" customHeight="1">
      <c r="A300" s="39"/>
      <c r="B300" s="39"/>
      <c r="C300" s="39"/>
      <c r="D300" s="39"/>
      <c r="E300" s="39"/>
      <c r="F300" s="39"/>
      <c r="G300" s="39"/>
      <c r="H300" s="39"/>
      <c r="I300" s="39"/>
      <c r="J300" s="39"/>
      <c r="K300" s="39"/>
      <c r="L300" s="39"/>
      <c r="M300" s="39"/>
      <c r="N300" s="39"/>
      <c r="O300" s="39"/>
      <c r="P300" s="39"/>
    </row>
    <row r="301" spans="1:16" ht="12.75" customHeight="1">
      <c r="A301" s="39"/>
      <c r="B301" s="39"/>
      <c r="C301" s="39"/>
      <c r="D301" s="39"/>
      <c r="E301" s="39"/>
      <c r="F301" s="39"/>
      <c r="G301" s="39"/>
      <c r="H301" s="39"/>
      <c r="I301" s="39"/>
      <c r="J301" s="39"/>
      <c r="K301" s="39"/>
      <c r="L301" s="39"/>
      <c r="M301" s="39"/>
      <c r="N301" s="39"/>
      <c r="O301" s="39"/>
      <c r="P301" s="39"/>
    </row>
    <row r="302" spans="1:16" ht="12.75" customHeight="1">
      <c r="A302" s="39"/>
      <c r="B302" s="39"/>
      <c r="C302" s="39"/>
      <c r="D302" s="39"/>
      <c r="E302" s="39"/>
      <c r="F302" s="39"/>
      <c r="G302" s="39"/>
      <c r="H302" s="39"/>
      <c r="I302" s="39"/>
      <c r="J302" s="39"/>
      <c r="K302" s="39"/>
      <c r="L302" s="39"/>
      <c r="M302" s="39"/>
      <c r="N302" s="39"/>
      <c r="O302" s="39"/>
      <c r="P302" s="39"/>
    </row>
    <row r="303" spans="1:16" ht="12.75" customHeight="1">
      <c r="A303" s="39"/>
      <c r="B303" s="39"/>
      <c r="C303" s="39"/>
      <c r="D303" s="39"/>
      <c r="E303" s="39"/>
      <c r="F303" s="39"/>
      <c r="G303" s="39"/>
      <c r="H303" s="39"/>
      <c r="I303" s="39"/>
      <c r="J303" s="39"/>
      <c r="K303" s="39"/>
      <c r="L303" s="39"/>
      <c r="M303" s="39"/>
      <c r="N303" s="39"/>
      <c r="O303" s="39"/>
      <c r="P303" s="39"/>
    </row>
    <row r="304" spans="1:16" ht="12.75" customHeight="1">
      <c r="A304" s="39"/>
      <c r="B304" s="39"/>
      <c r="C304" s="39"/>
      <c r="D304" s="39"/>
      <c r="E304" s="39"/>
      <c r="F304" s="39"/>
      <c r="G304" s="39"/>
      <c r="H304" s="39"/>
      <c r="I304" s="39"/>
      <c r="J304" s="39"/>
      <c r="K304" s="39"/>
      <c r="L304" s="39"/>
      <c r="M304" s="39"/>
      <c r="N304" s="39"/>
      <c r="O304" s="39"/>
      <c r="P304" s="39"/>
    </row>
    <row r="305" spans="1:16" ht="12.75" customHeight="1">
      <c r="A305" s="39"/>
      <c r="B305" s="39"/>
      <c r="C305" s="39"/>
      <c r="D305" s="39"/>
      <c r="E305" s="39"/>
      <c r="F305" s="39"/>
      <c r="G305" s="39"/>
      <c r="H305" s="39"/>
      <c r="I305" s="39"/>
      <c r="J305" s="39"/>
      <c r="K305" s="39"/>
      <c r="L305" s="39"/>
      <c r="M305" s="39"/>
      <c r="N305" s="39"/>
      <c r="O305" s="39"/>
      <c r="P305" s="39"/>
    </row>
    <row r="306" spans="1:16" ht="12.75" customHeight="1">
      <c r="A306" s="39"/>
      <c r="B306" s="39"/>
      <c r="C306" s="39"/>
      <c r="D306" s="39"/>
      <c r="E306" s="39"/>
      <c r="F306" s="39"/>
      <c r="G306" s="39"/>
      <c r="H306" s="39"/>
      <c r="I306" s="39"/>
      <c r="J306" s="39"/>
      <c r="K306" s="39"/>
      <c r="L306" s="39"/>
      <c r="M306" s="39"/>
      <c r="N306" s="39"/>
      <c r="O306" s="39"/>
      <c r="P306" s="39"/>
    </row>
    <row r="307" spans="1:16" ht="12.75" customHeight="1">
      <c r="A307" s="39"/>
      <c r="B307" s="39"/>
      <c r="C307" s="39"/>
      <c r="D307" s="39"/>
      <c r="E307" s="39"/>
      <c r="F307" s="39"/>
      <c r="G307" s="39"/>
      <c r="H307" s="39"/>
      <c r="I307" s="39"/>
      <c r="J307" s="39"/>
      <c r="K307" s="39"/>
      <c r="L307" s="39"/>
      <c r="M307" s="39"/>
      <c r="N307" s="39"/>
      <c r="O307" s="39"/>
      <c r="P307" s="39"/>
    </row>
    <row r="308" spans="1:16" ht="12.75" customHeight="1">
      <c r="A308" s="39"/>
      <c r="B308" s="39"/>
      <c r="C308" s="39"/>
      <c r="D308" s="39"/>
      <c r="E308" s="39"/>
      <c r="F308" s="39"/>
      <c r="G308" s="39"/>
      <c r="H308" s="39"/>
      <c r="I308" s="39"/>
      <c r="J308" s="39"/>
      <c r="K308" s="39"/>
      <c r="L308" s="39"/>
      <c r="M308" s="39"/>
      <c r="N308" s="39"/>
      <c r="O308" s="39"/>
      <c r="P308" s="39"/>
    </row>
    <row r="309" spans="1:16" ht="12.75" customHeight="1">
      <c r="A309" s="39"/>
      <c r="B309" s="39"/>
      <c r="C309" s="39"/>
      <c r="D309" s="39"/>
      <c r="E309" s="39"/>
      <c r="F309" s="39"/>
      <c r="G309" s="39"/>
      <c r="H309" s="39"/>
      <c r="I309" s="39"/>
      <c r="J309" s="39"/>
      <c r="K309" s="39"/>
      <c r="L309" s="39"/>
      <c r="M309" s="39"/>
      <c r="N309" s="39"/>
      <c r="O309" s="39"/>
      <c r="P309" s="39"/>
    </row>
    <row r="310" spans="1:16" ht="12.75" customHeight="1">
      <c r="A310" s="39"/>
      <c r="B310" s="39"/>
      <c r="C310" s="39"/>
      <c r="D310" s="39"/>
      <c r="E310" s="39"/>
      <c r="F310" s="39"/>
      <c r="G310" s="39"/>
      <c r="H310" s="39"/>
      <c r="I310" s="39"/>
      <c r="J310" s="39"/>
      <c r="K310" s="39"/>
      <c r="L310" s="39"/>
      <c r="M310" s="39"/>
      <c r="N310" s="39"/>
      <c r="O310" s="39"/>
      <c r="P310" s="39"/>
    </row>
    <row r="311" spans="1:16" ht="12.75" customHeight="1">
      <c r="A311" s="39"/>
      <c r="B311" s="39"/>
      <c r="C311" s="39"/>
      <c r="D311" s="39"/>
      <c r="E311" s="39"/>
      <c r="F311" s="39"/>
      <c r="G311" s="39"/>
      <c r="H311" s="39"/>
      <c r="I311" s="39"/>
      <c r="J311" s="39"/>
      <c r="K311" s="39"/>
      <c r="L311" s="39"/>
      <c r="M311" s="39"/>
      <c r="N311" s="39"/>
      <c r="O311" s="39"/>
      <c r="P311" s="39"/>
    </row>
    <row r="312" spans="1:16" ht="12.75" customHeight="1">
      <c r="A312" s="39"/>
      <c r="B312" s="39"/>
      <c r="C312" s="39"/>
      <c r="D312" s="39"/>
      <c r="E312" s="39"/>
      <c r="F312" s="39"/>
      <c r="G312" s="39"/>
      <c r="H312" s="39"/>
      <c r="I312" s="39"/>
      <c r="J312" s="39"/>
      <c r="K312" s="39"/>
      <c r="L312" s="39"/>
      <c r="M312" s="39"/>
      <c r="N312" s="39"/>
      <c r="O312" s="39"/>
      <c r="P312" s="39"/>
    </row>
    <row r="313" spans="1:16" ht="12.75" customHeight="1">
      <c r="A313" s="39"/>
      <c r="B313" s="39"/>
      <c r="C313" s="39"/>
      <c r="D313" s="39"/>
      <c r="E313" s="39"/>
      <c r="F313" s="39"/>
      <c r="G313" s="39"/>
      <c r="H313" s="39"/>
      <c r="I313" s="39"/>
      <c r="J313" s="39"/>
      <c r="K313" s="39"/>
      <c r="L313" s="39"/>
      <c r="M313" s="39"/>
      <c r="N313" s="39"/>
      <c r="O313" s="39"/>
      <c r="P313" s="39"/>
    </row>
    <row r="314" spans="1:16" ht="12.75" customHeight="1">
      <c r="A314" s="39"/>
      <c r="B314" s="39"/>
      <c r="C314" s="39"/>
      <c r="D314" s="39"/>
      <c r="E314" s="39"/>
      <c r="F314" s="39"/>
      <c r="G314" s="39"/>
      <c r="H314" s="39"/>
      <c r="I314" s="39"/>
      <c r="J314" s="39"/>
      <c r="K314" s="39"/>
      <c r="L314" s="39"/>
      <c r="M314" s="39"/>
      <c r="N314" s="39"/>
      <c r="O314" s="39"/>
      <c r="P314" s="39"/>
    </row>
    <row r="315" spans="1:16" ht="12.75" customHeight="1">
      <c r="A315" s="39"/>
      <c r="B315" s="39"/>
      <c r="C315" s="39"/>
      <c r="D315" s="39"/>
      <c r="E315" s="39"/>
      <c r="F315" s="39"/>
      <c r="G315" s="39"/>
      <c r="H315" s="39"/>
      <c r="I315" s="39"/>
      <c r="J315" s="39"/>
      <c r="K315" s="39"/>
      <c r="L315" s="39"/>
      <c r="M315" s="39"/>
      <c r="N315" s="39"/>
      <c r="O315" s="39"/>
      <c r="P315" s="39"/>
    </row>
    <row r="316" spans="1:16" ht="12.75" customHeight="1">
      <c r="A316" s="39"/>
      <c r="B316" s="39"/>
      <c r="C316" s="39"/>
      <c r="D316" s="39"/>
      <c r="E316" s="39"/>
      <c r="F316" s="39"/>
      <c r="G316" s="39"/>
      <c r="H316" s="39"/>
      <c r="I316" s="39"/>
      <c r="J316" s="39"/>
      <c r="K316" s="39"/>
      <c r="L316" s="39"/>
      <c r="M316" s="39"/>
      <c r="N316" s="39"/>
      <c r="O316" s="39"/>
      <c r="P316" s="39"/>
    </row>
    <row r="317" spans="1:16" ht="12.75" customHeight="1">
      <c r="A317" s="39"/>
      <c r="B317" s="39"/>
      <c r="C317" s="39"/>
      <c r="D317" s="39"/>
      <c r="E317" s="39"/>
      <c r="F317" s="39"/>
      <c r="G317" s="39"/>
      <c r="H317" s="39"/>
      <c r="I317" s="39"/>
      <c r="J317" s="39"/>
      <c r="K317" s="39"/>
      <c r="L317" s="39"/>
      <c r="M317" s="39"/>
      <c r="N317" s="39"/>
      <c r="O317" s="39"/>
      <c r="P317" s="39"/>
    </row>
    <row r="318" spans="1:16" ht="12.75" customHeight="1">
      <c r="A318" s="39"/>
      <c r="B318" s="39"/>
      <c r="C318" s="39"/>
      <c r="D318" s="39"/>
      <c r="E318" s="39"/>
      <c r="F318" s="39"/>
      <c r="G318" s="39"/>
      <c r="H318" s="39"/>
      <c r="I318" s="39"/>
      <c r="J318" s="39"/>
      <c r="K318" s="39"/>
      <c r="L318" s="39"/>
      <c r="M318" s="39"/>
      <c r="N318" s="39"/>
      <c r="O318" s="39"/>
      <c r="P318" s="39"/>
    </row>
    <row r="319" spans="1:16" ht="12.75" customHeight="1">
      <c r="A319" s="39"/>
      <c r="B319" s="39"/>
      <c r="C319" s="39"/>
      <c r="D319" s="39"/>
      <c r="E319" s="39"/>
      <c r="F319" s="39"/>
      <c r="G319" s="39"/>
      <c r="H319" s="39"/>
      <c r="I319" s="39"/>
      <c r="J319" s="39"/>
      <c r="K319" s="39"/>
      <c r="L319" s="39"/>
      <c r="M319" s="39"/>
      <c r="N319" s="39"/>
      <c r="O319" s="39"/>
      <c r="P319" s="39"/>
    </row>
    <row r="320" spans="1:16" ht="12.75" customHeight="1">
      <c r="A320" s="39"/>
      <c r="B320" s="39"/>
      <c r="C320" s="39"/>
      <c r="D320" s="39"/>
      <c r="E320" s="39"/>
      <c r="F320" s="39"/>
      <c r="G320" s="39"/>
      <c r="H320" s="39"/>
      <c r="I320" s="39"/>
      <c r="J320" s="39"/>
      <c r="K320" s="39"/>
      <c r="L320" s="39"/>
      <c r="M320" s="39"/>
      <c r="N320" s="39"/>
      <c r="O320" s="39"/>
      <c r="P320" s="39"/>
    </row>
    <row r="321" spans="1:16" ht="12.75" customHeight="1">
      <c r="A321" s="39"/>
      <c r="B321" s="39"/>
      <c r="C321" s="39"/>
      <c r="D321" s="39"/>
      <c r="E321" s="39"/>
      <c r="F321" s="39"/>
      <c r="G321" s="39"/>
      <c r="H321" s="39"/>
      <c r="I321" s="39"/>
      <c r="J321" s="39"/>
      <c r="K321" s="39"/>
      <c r="L321" s="39"/>
      <c r="M321" s="39"/>
      <c r="N321" s="39"/>
      <c r="O321" s="39"/>
      <c r="P321" s="39"/>
    </row>
    <row r="322" spans="1:16" ht="12.75" customHeight="1">
      <c r="A322" s="39"/>
      <c r="B322" s="39"/>
      <c r="C322" s="39"/>
      <c r="D322" s="39"/>
      <c r="E322" s="39"/>
      <c r="F322" s="39"/>
      <c r="G322" s="39"/>
      <c r="H322" s="39"/>
      <c r="I322" s="39"/>
      <c r="J322" s="39"/>
      <c r="K322" s="39"/>
      <c r="L322" s="39"/>
      <c r="M322" s="39"/>
      <c r="N322" s="39"/>
      <c r="O322" s="39"/>
      <c r="P322" s="39"/>
    </row>
    <row r="323" spans="1:16" ht="12.75" customHeight="1">
      <c r="A323" s="39"/>
      <c r="B323" s="39"/>
      <c r="C323" s="39"/>
      <c r="D323" s="39"/>
      <c r="E323" s="39"/>
      <c r="F323" s="39"/>
      <c r="G323" s="39"/>
      <c r="H323" s="39"/>
      <c r="I323" s="39"/>
      <c r="J323" s="39"/>
      <c r="K323" s="39"/>
      <c r="L323" s="39"/>
      <c r="M323" s="39"/>
      <c r="N323" s="39"/>
      <c r="O323" s="39"/>
      <c r="P323" s="39"/>
    </row>
    <row r="324" spans="1:16" ht="12.75" customHeight="1">
      <c r="A324" s="39"/>
      <c r="B324" s="39"/>
      <c r="C324" s="39"/>
      <c r="D324" s="39"/>
      <c r="E324" s="39"/>
      <c r="F324" s="39"/>
      <c r="G324" s="39"/>
      <c r="H324" s="39"/>
      <c r="I324" s="39"/>
      <c r="J324" s="39"/>
      <c r="K324" s="39"/>
      <c r="L324" s="39"/>
      <c r="M324" s="39"/>
      <c r="N324" s="39"/>
      <c r="O324" s="39"/>
      <c r="P324" s="39"/>
    </row>
    <row r="325" spans="1:16" ht="12.75" customHeight="1">
      <c r="A325" s="39"/>
      <c r="B325" s="39"/>
      <c r="C325" s="39"/>
      <c r="D325" s="39"/>
      <c r="E325" s="39"/>
      <c r="F325" s="39"/>
      <c r="G325" s="39"/>
      <c r="H325" s="39"/>
      <c r="I325" s="39"/>
      <c r="J325" s="39"/>
      <c r="K325" s="39"/>
      <c r="L325" s="39"/>
      <c r="M325" s="39"/>
      <c r="N325" s="39"/>
      <c r="O325" s="39"/>
      <c r="P325" s="39"/>
    </row>
    <row r="326" spans="1:16" ht="12.75" customHeight="1">
      <c r="A326" s="39"/>
      <c r="B326" s="39"/>
      <c r="C326" s="39"/>
      <c r="D326" s="39"/>
      <c r="E326" s="39"/>
      <c r="F326" s="39"/>
      <c r="G326" s="39"/>
      <c r="H326" s="39"/>
      <c r="I326" s="39"/>
      <c r="J326" s="39"/>
      <c r="K326" s="39"/>
      <c r="L326" s="39"/>
      <c r="M326" s="39"/>
      <c r="N326" s="39"/>
      <c r="O326" s="39"/>
      <c r="P326" s="39"/>
    </row>
    <row r="327" spans="1:16" ht="12.75" customHeight="1">
      <c r="A327" s="39"/>
      <c r="B327" s="39"/>
      <c r="C327" s="39"/>
      <c r="D327" s="39"/>
      <c r="E327" s="39"/>
      <c r="F327" s="39"/>
      <c r="G327" s="39"/>
      <c r="H327" s="39"/>
      <c r="I327" s="39"/>
      <c r="J327" s="39"/>
      <c r="K327" s="39"/>
      <c r="L327" s="39"/>
      <c r="M327" s="39"/>
      <c r="N327" s="39"/>
      <c r="O327" s="39"/>
      <c r="P327" s="39"/>
    </row>
    <row r="328" spans="1:16" ht="12.75" customHeight="1">
      <c r="A328" s="39"/>
      <c r="B328" s="39"/>
      <c r="C328" s="39"/>
      <c r="D328" s="39"/>
      <c r="E328" s="39"/>
      <c r="F328" s="39"/>
      <c r="G328" s="39"/>
      <c r="H328" s="39"/>
      <c r="I328" s="39"/>
      <c r="J328" s="39"/>
      <c r="K328" s="39"/>
      <c r="L328" s="39"/>
      <c r="M328" s="39"/>
      <c r="N328" s="39"/>
      <c r="O328" s="39"/>
      <c r="P328" s="39"/>
    </row>
    <row r="329" spans="1:16" ht="12.75" customHeight="1">
      <c r="A329" s="39"/>
      <c r="B329" s="39"/>
      <c r="C329" s="39"/>
      <c r="D329" s="39"/>
      <c r="E329" s="39"/>
      <c r="F329" s="39"/>
      <c r="G329" s="39"/>
      <c r="H329" s="39"/>
      <c r="I329" s="39"/>
      <c r="J329" s="39"/>
      <c r="K329" s="39"/>
      <c r="L329" s="39"/>
      <c r="M329" s="39"/>
      <c r="N329" s="39"/>
      <c r="O329" s="39"/>
      <c r="P329" s="39"/>
    </row>
    <row r="330" spans="1:16" ht="12.75" customHeight="1">
      <c r="A330" s="39"/>
      <c r="B330" s="39"/>
      <c r="C330" s="39"/>
      <c r="D330" s="39"/>
      <c r="E330" s="39"/>
      <c r="F330" s="39"/>
      <c r="G330" s="39"/>
      <c r="H330" s="39"/>
      <c r="I330" s="39"/>
      <c r="J330" s="39"/>
      <c r="K330" s="39"/>
      <c r="L330" s="39"/>
      <c r="M330" s="39"/>
      <c r="N330" s="39"/>
      <c r="O330" s="39"/>
      <c r="P330" s="39"/>
    </row>
    <row r="331" spans="1:16" ht="12.75" customHeight="1">
      <c r="A331" s="39"/>
      <c r="B331" s="39"/>
      <c r="C331" s="39"/>
      <c r="D331" s="39"/>
      <c r="E331" s="39"/>
      <c r="F331" s="39"/>
      <c r="G331" s="39"/>
      <c r="H331" s="39"/>
      <c r="I331" s="39"/>
      <c r="J331" s="39"/>
      <c r="K331" s="39"/>
      <c r="L331" s="39"/>
      <c r="M331" s="39"/>
      <c r="N331" s="39"/>
      <c r="O331" s="39"/>
      <c r="P331" s="39"/>
    </row>
    <row r="332" spans="1:16" ht="12.75" customHeight="1">
      <c r="A332" s="39"/>
      <c r="B332" s="39"/>
      <c r="C332" s="39"/>
      <c r="D332" s="39"/>
      <c r="E332" s="39"/>
      <c r="F332" s="39"/>
      <c r="G332" s="39"/>
      <c r="H332" s="39"/>
      <c r="I332" s="39"/>
      <c r="J332" s="39"/>
      <c r="K332" s="39"/>
      <c r="L332" s="39"/>
      <c r="M332" s="39"/>
      <c r="N332" s="39"/>
      <c r="O332" s="39"/>
      <c r="P332" s="39"/>
    </row>
    <row r="333" spans="1:16" ht="12.75" customHeight="1">
      <c r="A333" s="39"/>
      <c r="B333" s="39"/>
      <c r="C333" s="39"/>
      <c r="D333" s="39"/>
      <c r="E333" s="39"/>
      <c r="F333" s="39"/>
      <c r="G333" s="39"/>
      <c r="H333" s="39"/>
      <c r="I333" s="39"/>
      <c r="J333" s="39"/>
      <c r="K333" s="39"/>
      <c r="L333" s="39"/>
      <c r="M333" s="39"/>
      <c r="N333" s="39"/>
      <c r="O333" s="39"/>
      <c r="P333" s="39"/>
    </row>
    <row r="334" spans="1:16" ht="12.75" customHeight="1">
      <c r="A334" s="39"/>
      <c r="B334" s="39"/>
      <c r="C334" s="39"/>
      <c r="D334" s="39"/>
      <c r="E334" s="39"/>
      <c r="F334" s="39"/>
      <c r="G334" s="39"/>
      <c r="H334" s="39"/>
      <c r="I334" s="39"/>
      <c r="J334" s="39"/>
      <c r="K334" s="39"/>
      <c r="L334" s="39"/>
      <c r="M334" s="39"/>
      <c r="N334" s="39"/>
      <c r="O334" s="39"/>
      <c r="P334" s="39"/>
    </row>
    <row r="335" spans="1:16" ht="12.75" customHeight="1">
      <c r="A335" s="39"/>
      <c r="B335" s="39"/>
      <c r="C335" s="39"/>
      <c r="D335" s="39"/>
      <c r="E335" s="39"/>
      <c r="F335" s="39"/>
      <c r="G335" s="39"/>
      <c r="H335" s="39"/>
      <c r="I335" s="39"/>
      <c r="J335" s="39"/>
      <c r="K335" s="39"/>
      <c r="L335" s="39"/>
      <c r="M335" s="39"/>
      <c r="N335" s="39"/>
      <c r="O335" s="39"/>
      <c r="P335" s="39"/>
    </row>
    <row r="336" spans="1:16" ht="12.75" customHeight="1">
      <c r="A336" s="39"/>
      <c r="B336" s="39"/>
      <c r="C336" s="39"/>
      <c r="D336" s="39"/>
      <c r="E336" s="39"/>
      <c r="F336" s="39"/>
      <c r="G336" s="39"/>
      <c r="H336" s="39"/>
      <c r="I336" s="39"/>
      <c r="J336" s="39"/>
      <c r="K336" s="39"/>
      <c r="L336" s="39"/>
      <c r="M336" s="39"/>
      <c r="N336" s="39"/>
      <c r="O336" s="39"/>
      <c r="P336" s="39"/>
    </row>
    <row r="337" spans="1:16" ht="12.75" customHeight="1">
      <c r="A337" s="39"/>
      <c r="B337" s="39"/>
      <c r="C337" s="39"/>
      <c r="D337" s="39"/>
      <c r="E337" s="39"/>
      <c r="F337" s="39"/>
      <c r="G337" s="39"/>
      <c r="H337" s="39"/>
      <c r="I337" s="39"/>
      <c r="J337" s="39"/>
      <c r="K337" s="39"/>
      <c r="L337" s="39"/>
      <c r="M337" s="39"/>
      <c r="N337" s="39"/>
      <c r="O337" s="39"/>
      <c r="P337" s="39"/>
    </row>
    <row r="338" spans="1:16" ht="12.75" customHeight="1">
      <c r="A338" s="39"/>
      <c r="B338" s="39"/>
      <c r="C338" s="39"/>
      <c r="D338" s="39"/>
      <c r="E338" s="39"/>
      <c r="F338" s="39"/>
      <c r="G338" s="39"/>
      <c r="H338" s="39"/>
      <c r="I338" s="39"/>
      <c r="J338" s="39"/>
      <c r="K338" s="39"/>
      <c r="L338" s="39"/>
      <c r="M338" s="39"/>
      <c r="N338" s="39"/>
      <c r="O338" s="39"/>
      <c r="P338" s="39"/>
    </row>
    <row r="339" spans="1:16" ht="12.75" customHeight="1">
      <c r="A339" s="39"/>
      <c r="B339" s="39"/>
      <c r="C339" s="39"/>
      <c r="D339" s="39"/>
      <c r="E339" s="39"/>
      <c r="F339" s="39"/>
      <c r="G339" s="39"/>
      <c r="H339" s="39"/>
      <c r="I339" s="39"/>
      <c r="J339" s="39"/>
      <c r="K339" s="39"/>
      <c r="L339" s="39"/>
      <c r="M339" s="39"/>
      <c r="N339" s="39"/>
      <c r="O339" s="39"/>
      <c r="P339" s="39"/>
    </row>
    <row r="340" spans="1:16" ht="12.75" customHeight="1">
      <c r="A340" s="39"/>
      <c r="B340" s="39"/>
      <c r="C340" s="39"/>
      <c r="D340" s="39"/>
      <c r="E340" s="39"/>
      <c r="F340" s="39"/>
      <c r="G340" s="39"/>
      <c r="H340" s="39"/>
      <c r="I340" s="39"/>
      <c r="J340" s="39"/>
      <c r="K340" s="39"/>
      <c r="L340" s="39"/>
      <c r="M340" s="39"/>
      <c r="N340" s="39"/>
      <c r="O340" s="39"/>
      <c r="P340" s="39"/>
    </row>
    <row r="341" spans="1:16" ht="12.75" customHeight="1">
      <c r="A341" s="39"/>
      <c r="B341" s="39"/>
      <c r="C341" s="39"/>
      <c r="D341" s="39"/>
      <c r="E341" s="39"/>
      <c r="F341" s="39"/>
      <c r="G341" s="39"/>
      <c r="H341" s="39"/>
      <c r="I341" s="39"/>
      <c r="J341" s="39"/>
      <c r="K341" s="39"/>
      <c r="L341" s="39"/>
      <c r="M341" s="39"/>
      <c r="N341" s="39"/>
      <c r="O341" s="39"/>
      <c r="P341" s="39"/>
    </row>
    <row r="342" spans="1:16" ht="12.75" customHeight="1">
      <c r="A342" s="39"/>
      <c r="B342" s="39"/>
      <c r="C342" s="39"/>
      <c r="D342" s="39"/>
      <c r="E342" s="39"/>
      <c r="F342" s="39"/>
      <c r="G342" s="39"/>
      <c r="H342" s="39"/>
      <c r="I342" s="39"/>
      <c r="J342" s="39"/>
      <c r="K342" s="39"/>
      <c r="L342" s="39"/>
      <c r="M342" s="39"/>
      <c r="N342" s="39"/>
      <c r="O342" s="39"/>
      <c r="P342" s="39"/>
    </row>
    <row r="343" spans="1:16" ht="12.75" customHeight="1">
      <c r="A343" s="39"/>
      <c r="B343" s="39"/>
      <c r="C343" s="39"/>
      <c r="D343" s="39"/>
      <c r="E343" s="39"/>
      <c r="F343" s="39"/>
      <c r="G343" s="39"/>
      <c r="H343" s="39"/>
      <c r="I343" s="39"/>
      <c r="J343" s="39"/>
      <c r="K343" s="39"/>
      <c r="L343" s="39"/>
      <c r="M343" s="39"/>
      <c r="N343" s="39"/>
      <c r="O343" s="39"/>
      <c r="P343" s="39"/>
    </row>
    <row r="344" spans="1:16" ht="12.75" customHeight="1">
      <c r="A344" s="39"/>
      <c r="B344" s="39"/>
      <c r="C344" s="39"/>
      <c r="D344" s="39"/>
      <c r="E344" s="39"/>
      <c r="F344" s="39"/>
      <c r="G344" s="39"/>
      <c r="H344" s="39"/>
      <c r="I344" s="39"/>
      <c r="J344" s="39"/>
      <c r="K344" s="39"/>
      <c r="L344" s="39"/>
      <c r="M344" s="39"/>
      <c r="N344" s="39"/>
      <c r="O344" s="39"/>
      <c r="P344" s="39"/>
    </row>
    <row r="345" spans="1:16" ht="12.75" customHeight="1">
      <c r="A345" s="39"/>
      <c r="B345" s="39"/>
      <c r="C345" s="39"/>
      <c r="D345" s="39"/>
      <c r="E345" s="39"/>
      <c r="F345" s="39"/>
      <c r="G345" s="39"/>
      <c r="H345" s="39"/>
      <c r="I345" s="39"/>
      <c r="J345" s="39"/>
      <c r="K345" s="39"/>
      <c r="L345" s="39"/>
      <c r="M345" s="39"/>
      <c r="N345" s="39"/>
      <c r="O345" s="39"/>
      <c r="P345" s="39"/>
    </row>
    <row r="346" spans="1:16" ht="12.75" customHeight="1">
      <c r="A346" s="39"/>
      <c r="B346" s="39"/>
      <c r="C346" s="39"/>
      <c r="D346" s="39"/>
      <c r="E346" s="39"/>
      <c r="F346" s="39"/>
      <c r="G346" s="39"/>
      <c r="H346" s="39"/>
      <c r="I346" s="39"/>
      <c r="J346" s="39"/>
      <c r="K346" s="39"/>
      <c r="L346" s="39"/>
      <c r="M346" s="39"/>
      <c r="N346" s="39"/>
      <c r="O346" s="39"/>
      <c r="P346" s="39"/>
    </row>
    <row r="347" spans="1:16" ht="12.75" customHeight="1">
      <c r="A347" s="39"/>
      <c r="B347" s="39"/>
      <c r="C347" s="39"/>
      <c r="D347" s="39"/>
      <c r="E347" s="39"/>
      <c r="F347" s="39"/>
      <c r="G347" s="39"/>
      <c r="H347" s="39"/>
      <c r="I347" s="39"/>
      <c r="J347" s="39"/>
      <c r="K347" s="39"/>
      <c r="L347" s="39"/>
      <c r="M347" s="39"/>
      <c r="N347" s="39"/>
      <c r="O347" s="39"/>
      <c r="P347" s="39"/>
    </row>
    <row r="348" spans="1:16" ht="12.75" customHeight="1">
      <c r="A348" s="39"/>
      <c r="B348" s="39"/>
      <c r="C348" s="39"/>
      <c r="D348" s="39"/>
      <c r="E348" s="39"/>
      <c r="F348" s="39"/>
      <c r="G348" s="39"/>
      <c r="H348" s="39"/>
      <c r="I348" s="39"/>
      <c r="J348" s="39"/>
      <c r="K348" s="39"/>
      <c r="L348" s="39"/>
      <c r="M348" s="39"/>
      <c r="N348" s="39"/>
      <c r="O348" s="39"/>
      <c r="P348" s="39"/>
    </row>
    <row r="349" spans="1:16" ht="12.75" customHeight="1">
      <c r="A349" s="39"/>
      <c r="B349" s="39"/>
      <c r="C349" s="39"/>
      <c r="D349" s="39"/>
      <c r="E349" s="39"/>
      <c r="F349" s="39"/>
      <c r="G349" s="39"/>
      <c r="H349" s="39"/>
      <c r="I349" s="39"/>
      <c r="J349" s="39"/>
      <c r="K349" s="39"/>
      <c r="L349" s="39"/>
      <c r="M349" s="39"/>
      <c r="N349" s="39"/>
      <c r="O349" s="39"/>
      <c r="P349" s="39"/>
    </row>
    <row r="350" spans="1:16" ht="12.75" customHeight="1">
      <c r="A350" s="39"/>
      <c r="B350" s="39"/>
      <c r="C350" s="39"/>
      <c r="D350" s="39"/>
      <c r="E350" s="39"/>
      <c r="F350" s="39"/>
      <c r="G350" s="39"/>
      <c r="H350" s="39"/>
      <c r="I350" s="39"/>
      <c r="J350" s="39"/>
      <c r="K350" s="39"/>
      <c r="L350" s="39"/>
      <c r="M350" s="39"/>
      <c r="N350" s="39"/>
      <c r="O350" s="39"/>
      <c r="P350" s="39"/>
    </row>
    <row r="351" spans="1:16" ht="12.75" customHeight="1">
      <c r="A351" s="39"/>
      <c r="B351" s="39"/>
      <c r="C351" s="39"/>
      <c r="D351" s="39"/>
      <c r="E351" s="39"/>
      <c r="F351" s="39"/>
      <c r="G351" s="39"/>
      <c r="H351" s="39"/>
      <c r="I351" s="39"/>
      <c r="J351" s="39"/>
      <c r="K351" s="39"/>
      <c r="L351" s="39"/>
      <c r="M351" s="39"/>
      <c r="N351" s="39"/>
      <c r="O351" s="39"/>
      <c r="P351" s="39"/>
    </row>
    <row r="352" spans="1:16" ht="12.75" customHeight="1">
      <c r="A352" s="39"/>
      <c r="B352" s="39"/>
      <c r="C352" s="39"/>
      <c r="D352" s="39"/>
      <c r="E352" s="39"/>
      <c r="F352" s="39"/>
      <c r="G352" s="39"/>
      <c r="H352" s="39"/>
      <c r="I352" s="39"/>
      <c r="J352" s="39"/>
      <c r="K352" s="39"/>
      <c r="L352" s="39"/>
      <c r="M352" s="39"/>
      <c r="N352" s="39"/>
      <c r="O352" s="39"/>
      <c r="P352" s="39"/>
    </row>
    <row r="353" spans="1:16" ht="12.75" customHeight="1">
      <c r="A353" s="39"/>
      <c r="B353" s="39"/>
      <c r="C353" s="39"/>
      <c r="D353" s="39"/>
      <c r="E353" s="39"/>
      <c r="F353" s="39"/>
      <c r="G353" s="39"/>
      <c r="H353" s="39"/>
      <c r="I353" s="39"/>
      <c r="J353" s="39"/>
      <c r="K353" s="39"/>
      <c r="L353" s="39"/>
      <c r="M353" s="39"/>
      <c r="N353" s="39"/>
      <c r="O353" s="39"/>
      <c r="P353" s="39"/>
    </row>
    <row r="354" spans="1:16" ht="12.75" customHeight="1">
      <c r="A354" s="39"/>
      <c r="B354" s="39"/>
      <c r="C354" s="39"/>
      <c r="D354" s="39"/>
      <c r="E354" s="39"/>
      <c r="F354" s="39"/>
      <c r="G354" s="39"/>
      <c r="H354" s="39"/>
      <c r="I354" s="39"/>
      <c r="J354" s="39"/>
      <c r="K354" s="39"/>
      <c r="L354" s="39"/>
      <c r="M354" s="39"/>
      <c r="N354" s="39"/>
      <c r="O354" s="39"/>
      <c r="P354" s="39"/>
    </row>
    <row r="355" spans="1:16" ht="12.75" customHeight="1">
      <c r="A355" s="39"/>
      <c r="B355" s="39"/>
      <c r="C355" s="39"/>
      <c r="D355" s="39"/>
      <c r="E355" s="39"/>
      <c r="F355" s="39"/>
      <c r="G355" s="39"/>
      <c r="H355" s="39"/>
      <c r="I355" s="39"/>
      <c r="J355" s="39"/>
      <c r="K355" s="39"/>
      <c r="L355" s="39"/>
      <c r="M355" s="39"/>
      <c r="N355" s="39"/>
      <c r="O355" s="39"/>
      <c r="P355" s="39"/>
    </row>
    <row r="356" spans="1:16" ht="12.75" customHeight="1">
      <c r="A356" s="39"/>
      <c r="B356" s="39"/>
      <c r="C356" s="39"/>
      <c r="D356" s="39"/>
      <c r="E356" s="39"/>
      <c r="F356" s="39"/>
      <c r="G356" s="39"/>
      <c r="H356" s="39"/>
      <c r="I356" s="39"/>
      <c r="J356" s="39"/>
      <c r="K356" s="39"/>
      <c r="L356" s="39"/>
      <c r="M356" s="39"/>
      <c r="N356" s="39"/>
      <c r="O356" s="39"/>
      <c r="P356" s="39"/>
    </row>
    <row r="357" spans="1:16" ht="12.75" customHeight="1">
      <c r="A357" s="39"/>
      <c r="B357" s="39"/>
      <c r="C357" s="39"/>
      <c r="D357" s="39"/>
      <c r="E357" s="39"/>
      <c r="F357" s="39"/>
      <c r="G357" s="39"/>
      <c r="H357" s="39"/>
      <c r="I357" s="39"/>
      <c r="J357" s="39"/>
      <c r="K357" s="39"/>
      <c r="L357" s="39"/>
      <c r="M357" s="39"/>
      <c r="N357" s="39"/>
      <c r="O357" s="39"/>
      <c r="P357" s="39"/>
    </row>
    <row r="358" spans="1:16" ht="12.75" customHeight="1">
      <c r="A358" s="39"/>
      <c r="B358" s="39"/>
      <c r="C358" s="39"/>
      <c r="D358" s="39"/>
      <c r="E358" s="39"/>
      <c r="F358" s="39"/>
      <c r="G358" s="39"/>
      <c r="H358" s="39"/>
      <c r="I358" s="39"/>
      <c r="J358" s="39"/>
      <c r="K358" s="39"/>
      <c r="L358" s="39"/>
      <c r="M358" s="39"/>
      <c r="N358" s="39"/>
      <c r="O358" s="39"/>
      <c r="P358" s="39"/>
    </row>
    <row r="359" spans="1:16" ht="12.75" customHeight="1">
      <c r="A359" s="39"/>
      <c r="B359" s="39"/>
      <c r="C359" s="39"/>
      <c r="D359" s="39"/>
      <c r="E359" s="39"/>
      <c r="F359" s="39"/>
      <c r="G359" s="39"/>
      <c r="H359" s="39"/>
      <c r="I359" s="39"/>
      <c r="J359" s="39"/>
      <c r="K359" s="39"/>
      <c r="L359" s="39"/>
      <c r="M359" s="39"/>
      <c r="N359" s="39"/>
      <c r="O359" s="39"/>
      <c r="P359" s="39"/>
    </row>
    <row r="360" spans="1:16" ht="12.75" customHeight="1">
      <c r="A360" s="39"/>
      <c r="B360" s="39"/>
      <c r="C360" s="39"/>
      <c r="D360" s="39"/>
      <c r="E360" s="39"/>
      <c r="F360" s="39"/>
      <c r="G360" s="39"/>
      <c r="H360" s="39"/>
      <c r="I360" s="39"/>
      <c r="J360" s="39"/>
      <c r="K360" s="39"/>
      <c r="L360" s="39"/>
      <c r="M360" s="39"/>
      <c r="N360" s="39"/>
      <c r="O360" s="39"/>
      <c r="P360" s="39"/>
    </row>
    <row r="361" spans="1:16" ht="12.75" customHeight="1">
      <c r="A361" s="39"/>
      <c r="B361" s="39"/>
      <c r="C361" s="39"/>
      <c r="D361" s="39"/>
      <c r="E361" s="39"/>
      <c r="F361" s="39"/>
      <c r="G361" s="39"/>
      <c r="H361" s="39"/>
      <c r="I361" s="39"/>
      <c r="J361" s="39"/>
      <c r="K361" s="39"/>
      <c r="L361" s="39"/>
      <c r="M361" s="39"/>
      <c r="N361" s="39"/>
      <c r="O361" s="39"/>
      <c r="P361" s="39"/>
    </row>
    <row r="362" spans="1:16" ht="12.75" customHeight="1">
      <c r="A362" s="39"/>
      <c r="B362" s="39"/>
      <c r="C362" s="39"/>
      <c r="D362" s="39"/>
      <c r="E362" s="39"/>
      <c r="F362" s="39"/>
      <c r="G362" s="39"/>
      <c r="H362" s="39"/>
      <c r="I362" s="39"/>
      <c r="J362" s="39"/>
      <c r="K362" s="39"/>
      <c r="L362" s="39"/>
      <c r="M362" s="39"/>
      <c r="N362" s="39"/>
      <c r="O362" s="39"/>
      <c r="P362" s="39"/>
    </row>
    <row r="363" spans="1:16" ht="12.75" customHeight="1">
      <c r="A363" s="39"/>
      <c r="B363" s="39"/>
      <c r="C363" s="39"/>
      <c r="D363" s="39"/>
      <c r="E363" s="39"/>
      <c r="F363" s="39"/>
      <c r="G363" s="39"/>
      <c r="H363" s="39"/>
      <c r="I363" s="39"/>
      <c r="J363" s="39"/>
      <c r="K363" s="39"/>
      <c r="L363" s="39"/>
      <c r="M363" s="39"/>
      <c r="N363" s="39"/>
      <c r="O363" s="39"/>
      <c r="P363" s="39"/>
    </row>
    <row r="364" spans="1:16" ht="12.75" customHeight="1">
      <c r="A364" s="39"/>
      <c r="B364" s="39"/>
      <c r="C364" s="39"/>
      <c r="D364" s="39"/>
      <c r="E364" s="39"/>
      <c r="F364" s="39"/>
      <c r="G364" s="39"/>
      <c r="H364" s="39"/>
      <c r="I364" s="39"/>
      <c r="J364" s="39"/>
      <c r="K364" s="39"/>
      <c r="L364" s="39"/>
      <c r="M364" s="39"/>
      <c r="N364" s="39"/>
      <c r="O364" s="39"/>
      <c r="P364" s="39"/>
    </row>
    <row r="365" spans="1:16" ht="12.75" customHeight="1">
      <c r="A365" s="39"/>
      <c r="B365" s="39"/>
      <c r="C365" s="39"/>
      <c r="D365" s="39"/>
      <c r="E365" s="39"/>
      <c r="F365" s="39"/>
      <c r="G365" s="39"/>
      <c r="H365" s="39"/>
      <c r="I365" s="39"/>
      <c r="J365" s="39"/>
      <c r="K365" s="39"/>
      <c r="L365" s="39"/>
      <c r="M365" s="39"/>
      <c r="N365" s="39"/>
      <c r="O365" s="39"/>
      <c r="P365" s="39"/>
    </row>
    <row r="366" spans="1:16" ht="12.75" customHeight="1">
      <c r="A366" s="39"/>
      <c r="B366" s="39"/>
      <c r="C366" s="39"/>
      <c r="D366" s="39"/>
      <c r="E366" s="39"/>
      <c r="F366" s="39"/>
      <c r="G366" s="39"/>
      <c r="H366" s="39"/>
      <c r="I366" s="39"/>
      <c r="J366" s="39"/>
      <c r="K366" s="39"/>
      <c r="L366" s="39"/>
      <c r="M366" s="39"/>
      <c r="N366" s="39"/>
      <c r="O366" s="39"/>
      <c r="P366" s="39"/>
    </row>
    <row r="367" spans="1:16" ht="12.75" customHeight="1">
      <c r="A367" s="39"/>
      <c r="B367" s="39"/>
      <c r="C367" s="39"/>
      <c r="D367" s="39"/>
      <c r="E367" s="39"/>
      <c r="F367" s="39"/>
      <c r="G367" s="39"/>
      <c r="H367" s="39"/>
      <c r="I367" s="39"/>
      <c r="J367" s="39"/>
      <c r="K367" s="39"/>
      <c r="L367" s="39"/>
      <c r="M367" s="39"/>
      <c r="N367" s="39"/>
      <c r="O367" s="39"/>
      <c r="P367" s="39"/>
    </row>
    <row r="368" spans="1:16" ht="12.75" customHeight="1">
      <c r="A368" s="39"/>
      <c r="B368" s="39"/>
      <c r="C368" s="39"/>
      <c r="D368" s="39"/>
      <c r="E368" s="39"/>
      <c r="F368" s="39"/>
      <c r="G368" s="39"/>
      <c r="H368" s="39"/>
      <c r="I368" s="39"/>
      <c r="J368" s="39"/>
      <c r="K368" s="39"/>
      <c r="L368" s="39"/>
      <c r="M368" s="39"/>
      <c r="N368" s="39"/>
      <c r="O368" s="39"/>
      <c r="P368" s="39"/>
    </row>
    <row r="369" spans="1:16" ht="12.75" customHeight="1">
      <c r="A369" s="39"/>
      <c r="B369" s="39"/>
      <c r="C369" s="39"/>
      <c r="D369" s="39"/>
      <c r="E369" s="39"/>
      <c r="F369" s="39"/>
      <c r="G369" s="39"/>
      <c r="H369" s="39"/>
      <c r="I369" s="39"/>
      <c r="J369" s="39"/>
      <c r="K369" s="39"/>
      <c r="L369" s="39"/>
      <c r="M369" s="39"/>
      <c r="N369" s="39"/>
      <c r="O369" s="39"/>
      <c r="P369" s="39"/>
    </row>
    <row r="370" spans="1:16" ht="12.75" customHeight="1">
      <c r="A370" s="39"/>
      <c r="B370" s="39"/>
      <c r="C370" s="39"/>
      <c r="D370" s="39"/>
      <c r="E370" s="39"/>
      <c r="F370" s="39"/>
      <c r="G370" s="39"/>
      <c r="H370" s="39"/>
      <c r="I370" s="39"/>
      <c r="J370" s="39"/>
      <c r="K370" s="39"/>
      <c r="L370" s="39"/>
      <c r="M370" s="39"/>
      <c r="N370" s="39"/>
      <c r="O370" s="39"/>
      <c r="P370" s="39"/>
    </row>
    <row r="371" spans="1:16" ht="12.75" customHeight="1">
      <c r="A371" s="39"/>
      <c r="B371" s="39"/>
      <c r="C371" s="39"/>
      <c r="D371" s="39"/>
      <c r="E371" s="39"/>
      <c r="F371" s="39"/>
      <c r="G371" s="39"/>
      <c r="H371" s="39"/>
      <c r="I371" s="39"/>
      <c r="J371" s="39"/>
      <c r="K371" s="39"/>
      <c r="L371" s="39"/>
      <c r="M371" s="39"/>
      <c r="N371" s="39"/>
      <c r="O371" s="39"/>
      <c r="P371" s="39"/>
    </row>
    <row r="372" spans="1:16" ht="12.75" customHeight="1">
      <c r="A372" s="39"/>
      <c r="B372" s="39"/>
      <c r="C372" s="39"/>
      <c r="D372" s="39"/>
      <c r="E372" s="39"/>
      <c r="F372" s="39"/>
      <c r="G372" s="39"/>
      <c r="H372" s="39"/>
      <c r="I372" s="39"/>
      <c r="J372" s="39"/>
      <c r="K372" s="39"/>
      <c r="L372" s="39"/>
      <c r="M372" s="39"/>
      <c r="N372" s="39"/>
      <c r="O372" s="39"/>
      <c r="P372" s="39"/>
    </row>
    <row r="373" spans="1:16" ht="12.75" customHeight="1">
      <c r="A373" s="39"/>
      <c r="B373" s="39"/>
      <c r="C373" s="39"/>
      <c r="D373" s="39"/>
      <c r="E373" s="39"/>
      <c r="F373" s="39"/>
      <c r="G373" s="39"/>
      <c r="H373" s="39"/>
      <c r="I373" s="39"/>
      <c r="J373" s="39"/>
      <c r="K373" s="39"/>
      <c r="L373" s="39"/>
      <c r="M373" s="39"/>
      <c r="N373" s="39"/>
      <c r="O373" s="39"/>
      <c r="P373" s="39"/>
    </row>
    <row r="374" spans="1:16" ht="12.75" customHeight="1">
      <c r="A374" s="39"/>
      <c r="B374" s="39"/>
      <c r="C374" s="39"/>
      <c r="D374" s="39"/>
      <c r="E374" s="39"/>
      <c r="F374" s="39"/>
      <c r="G374" s="39"/>
      <c r="H374" s="39"/>
      <c r="I374" s="39"/>
      <c r="J374" s="39"/>
      <c r="K374" s="39"/>
      <c r="L374" s="39"/>
      <c r="M374" s="39"/>
      <c r="N374" s="39"/>
      <c r="O374" s="39"/>
      <c r="P374" s="39"/>
    </row>
    <row r="375" spans="1:16" ht="12.75" customHeight="1">
      <c r="A375" s="39"/>
      <c r="B375" s="39"/>
      <c r="C375" s="39"/>
      <c r="D375" s="39"/>
      <c r="E375" s="39"/>
      <c r="F375" s="39"/>
      <c r="G375" s="39"/>
      <c r="H375" s="39"/>
      <c r="I375" s="39"/>
      <c r="J375" s="39"/>
      <c r="K375" s="39"/>
      <c r="L375" s="39"/>
      <c r="M375" s="39"/>
      <c r="N375" s="39"/>
      <c r="O375" s="39"/>
      <c r="P375" s="39"/>
    </row>
    <row r="376" spans="1:16" ht="12.75" customHeight="1">
      <c r="A376" s="39"/>
      <c r="B376" s="39"/>
      <c r="C376" s="39"/>
      <c r="D376" s="39"/>
      <c r="E376" s="39"/>
      <c r="F376" s="39"/>
      <c r="G376" s="39"/>
      <c r="H376" s="39"/>
      <c r="I376" s="39"/>
      <c r="J376" s="39"/>
      <c r="K376" s="39"/>
      <c r="L376" s="39"/>
      <c r="M376" s="39"/>
      <c r="N376" s="39"/>
      <c r="O376" s="39"/>
      <c r="P376" s="39"/>
    </row>
    <row r="377" spans="1:16" ht="12.75" customHeight="1">
      <c r="A377" s="39"/>
      <c r="B377" s="39"/>
      <c r="C377" s="39"/>
      <c r="D377" s="39"/>
      <c r="E377" s="39"/>
      <c r="F377" s="39"/>
      <c r="G377" s="39"/>
      <c r="H377" s="39"/>
      <c r="I377" s="39"/>
      <c r="J377" s="39"/>
      <c r="K377" s="39"/>
      <c r="L377" s="39"/>
      <c r="M377" s="39"/>
      <c r="N377" s="39"/>
      <c r="O377" s="39"/>
      <c r="P377" s="39"/>
    </row>
    <row r="378" spans="1:16" ht="12.75" customHeight="1">
      <c r="A378" s="39"/>
      <c r="B378" s="39"/>
      <c r="C378" s="39"/>
      <c r="D378" s="39"/>
      <c r="E378" s="39"/>
      <c r="F378" s="39"/>
      <c r="G378" s="39"/>
      <c r="H378" s="39"/>
      <c r="I378" s="39"/>
      <c r="J378" s="39"/>
      <c r="K378" s="39"/>
      <c r="L378" s="39"/>
      <c r="M378" s="39"/>
      <c r="N378" s="39"/>
      <c r="O378" s="39"/>
      <c r="P378" s="39"/>
    </row>
    <row r="379" spans="1:16" ht="12.75" customHeight="1">
      <c r="A379" s="39"/>
      <c r="B379" s="39"/>
      <c r="C379" s="39"/>
      <c r="D379" s="39"/>
      <c r="E379" s="39"/>
      <c r="F379" s="39"/>
      <c r="G379" s="39"/>
      <c r="H379" s="39"/>
      <c r="I379" s="39"/>
      <c r="J379" s="39"/>
      <c r="K379" s="39"/>
      <c r="L379" s="39"/>
      <c r="M379" s="39"/>
      <c r="N379" s="39"/>
      <c r="O379" s="39"/>
      <c r="P379" s="39"/>
    </row>
    <row r="380" spans="1:16" ht="12.75" customHeight="1">
      <c r="A380" s="39"/>
      <c r="B380" s="39"/>
      <c r="C380" s="39"/>
      <c r="D380" s="39"/>
      <c r="E380" s="39"/>
      <c r="F380" s="39"/>
      <c r="G380" s="39"/>
      <c r="H380" s="39"/>
      <c r="I380" s="39"/>
      <c r="J380" s="39"/>
      <c r="K380" s="39"/>
      <c r="L380" s="39"/>
      <c r="M380" s="39"/>
      <c r="N380" s="39"/>
      <c r="O380" s="39"/>
      <c r="P380" s="39"/>
    </row>
    <row r="381" spans="1:16" ht="12.75" customHeight="1">
      <c r="A381" s="39"/>
      <c r="B381" s="39"/>
      <c r="C381" s="39"/>
      <c r="D381" s="39"/>
      <c r="E381" s="39"/>
      <c r="F381" s="39"/>
      <c r="G381" s="39"/>
      <c r="H381" s="39"/>
      <c r="I381" s="39"/>
      <c r="J381" s="39"/>
      <c r="K381" s="39"/>
      <c r="L381" s="39"/>
      <c r="M381" s="39"/>
      <c r="N381" s="39"/>
      <c r="O381" s="39"/>
      <c r="P381" s="39"/>
    </row>
    <row r="382" spans="1:16" ht="12.75" customHeight="1">
      <c r="A382" s="39"/>
      <c r="B382" s="39"/>
      <c r="C382" s="39"/>
      <c r="D382" s="39"/>
      <c r="E382" s="39"/>
      <c r="F382" s="39"/>
      <c r="G382" s="39"/>
      <c r="H382" s="39"/>
      <c r="I382" s="39"/>
      <c r="J382" s="39"/>
      <c r="K382" s="39"/>
      <c r="L382" s="39"/>
      <c r="M382" s="39"/>
      <c r="N382" s="39"/>
      <c r="O382" s="39"/>
      <c r="P382" s="39"/>
    </row>
    <row r="383" spans="1:16" ht="12.75" customHeight="1">
      <c r="A383" s="39"/>
      <c r="B383" s="39"/>
      <c r="C383" s="39"/>
      <c r="D383" s="39"/>
      <c r="E383" s="39"/>
      <c r="F383" s="39"/>
      <c r="G383" s="39"/>
      <c r="H383" s="39"/>
      <c r="I383" s="39"/>
      <c r="J383" s="39"/>
      <c r="K383" s="39"/>
      <c r="L383" s="39"/>
      <c r="M383" s="39"/>
      <c r="N383" s="39"/>
      <c r="O383" s="39"/>
      <c r="P383" s="39"/>
    </row>
    <row r="384" spans="1:16" ht="12.75" customHeight="1">
      <c r="A384" s="39"/>
      <c r="B384" s="39"/>
      <c r="C384" s="39"/>
      <c r="D384" s="39"/>
      <c r="E384" s="39"/>
      <c r="F384" s="39"/>
      <c r="G384" s="39"/>
      <c r="H384" s="39"/>
      <c r="I384" s="39"/>
      <c r="J384" s="39"/>
      <c r="K384" s="39"/>
      <c r="L384" s="39"/>
      <c r="M384" s="39"/>
      <c r="N384" s="39"/>
      <c r="O384" s="39"/>
      <c r="P384" s="39"/>
    </row>
    <row r="385" spans="1:16" ht="12.75" customHeight="1">
      <c r="A385" s="39"/>
      <c r="B385" s="39"/>
      <c r="C385" s="39"/>
      <c r="D385" s="39"/>
      <c r="E385" s="39"/>
      <c r="F385" s="39"/>
      <c r="G385" s="39"/>
      <c r="H385" s="39"/>
      <c r="I385" s="39"/>
      <c r="J385" s="39"/>
      <c r="K385" s="39"/>
      <c r="L385" s="39"/>
      <c r="M385" s="39"/>
      <c r="N385" s="39"/>
      <c r="O385" s="39"/>
      <c r="P385" s="39"/>
    </row>
    <row r="386" spans="1:16" ht="12.75" customHeight="1">
      <c r="A386" s="39"/>
      <c r="B386" s="39"/>
      <c r="C386" s="39"/>
      <c r="D386" s="39"/>
      <c r="E386" s="39"/>
      <c r="F386" s="39"/>
      <c r="G386" s="39"/>
      <c r="H386" s="39"/>
      <c r="I386" s="39"/>
      <c r="J386" s="39"/>
      <c r="K386" s="39"/>
      <c r="L386" s="39"/>
      <c r="M386" s="39"/>
      <c r="N386" s="39"/>
      <c r="O386" s="39"/>
      <c r="P386" s="39"/>
    </row>
    <row r="387" spans="1:16" ht="12.75" customHeight="1">
      <c r="A387" s="39"/>
      <c r="B387" s="39"/>
      <c r="C387" s="39"/>
      <c r="D387" s="39"/>
      <c r="E387" s="39"/>
      <c r="F387" s="39"/>
      <c r="G387" s="39"/>
      <c r="H387" s="39"/>
      <c r="I387" s="39"/>
      <c r="J387" s="39"/>
      <c r="K387" s="39"/>
      <c r="L387" s="39"/>
      <c r="M387" s="39"/>
      <c r="N387" s="39"/>
      <c r="O387" s="39"/>
      <c r="P387" s="39"/>
    </row>
    <row r="388" spans="1:16" ht="12.75" customHeight="1">
      <c r="A388" s="39"/>
      <c r="B388" s="39"/>
      <c r="C388" s="39"/>
      <c r="D388" s="39"/>
      <c r="E388" s="39"/>
      <c r="F388" s="39"/>
      <c r="G388" s="39"/>
      <c r="H388" s="39"/>
      <c r="I388" s="39"/>
      <c r="J388" s="39"/>
      <c r="K388" s="39"/>
      <c r="L388" s="39"/>
      <c r="M388" s="39"/>
      <c r="N388" s="39"/>
      <c r="O388" s="39"/>
      <c r="P388" s="39"/>
    </row>
    <row r="389" spans="1:16" ht="12.75" customHeight="1">
      <c r="A389" s="39"/>
      <c r="B389" s="39"/>
      <c r="C389" s="39"/>
      <c r="D389" s="39"/>
      <c r="E389" s="39"/>
      <c r="F389" s="39"/>
      <c r="G389" s="39"/>
      <c r="H389" s="39"/>
      <c r="I389" s="39"/>
      <c r="J389" s="39"/>
      <c r="K389" s="39"/>
      <c r="L389" s="39"/>
      <c r="M389" s="39"/>
      <c r="N389" s="39"/>
      <c r="O389" s="39"/>
      <c r="P389" s="39"/>
    </row>
    <row r="390" spans="1:16" ht="12.75" customHeight="1">
      <c r="A390" s="39"/>
      <c r="B390" s="39"/>
      <c r="C390" s="39"/>
      <c r="D390" s="39"/>
      <c r="E390" s="39"/>
      <c r="F390" s="39"/>
      <c r="G390" s="39"/>
      <c r="H390" s="39"/>
      <c r="I390" s="39"/>
      <c r="J390" s="39"/>
      <c r="K390" s="39"/>
      <c r="L390" s="39"/>
      <c r="M390" s="39"/>
      <c r="N390" s="39"/>
      <c r="O390" s="39"/>
      <c r="P390" s="39"/>
    </row>
    <row r="391" spans="1:16" ht="12.75" customHeight="1">
      <c r="A391" s="39"/>
      <c r="B391" s="39"/>
      <c r="C391" s="39"/>
      <c r="D391" s="39"/>
      <c r="E391" s="39"/>
      <c r="F391" s="39"/>
      <c r="G391" s="39"/>
      <c r="H391" s="39"/>
      <c r="I391" s="39"/>
      <c r="J391" s="39"/>
      <c r="K391" s="39"/>
      <c r="L391" s="39"/>
      <c r="M391" s="39"/>
      <c r="N391" s="39"/>
      <c r="O391" s="39"/>
      <c r="P391" s="39"/>
    </row>
    <row r="392" spans="1:16" ht="12.75" customHeight="1">
      <c r="A392" s="39"/>
      <c r="B392" s="39"/>
      <c r="C392" s="39"/>
      <c r="D392" s="39"/>
      <c r="E392" s="39"/>
      <c r="F392" s="39"/>
      <c r="G392" s="39"/>
      <c r="H392" s="39"/>
      <c r="I392" s="39"/>
      <c r="J392" s="39"/>
      <c r="K392" s="39"/>
      <c r="L392" s="39"/>
      <c r="M392" s="39"/>
      <c r="N392" s="39"/>
      <c r="O392" s="39"/>
      <c r="P392" s="39"/>
    </row>
    <row r="393" spans="1:16" ht="12.75" customHeight="1">
      <c r="A393" s="39"/>
      <c r="B393" s="39"/>
      <c r="C393" s="39"/>
      <c r="D393" s="39"/>
      <c r="E393" s="39"/>
      <c r="F393" s="39"/>
      <c r="G393" s="39"/>
      <c r="H393" s="39"/>
      <c r="I393" s="39"/>
      <c r="J393" s="39"/>
      <c r="K393" s="39"/>
      <c r="L393" s="39"/>
      <c r="M393" s="39"/>
      <c r="N393" s="39"/>
      <c r="O393" s="39"/>
      <c r="P393" s="39"/>
    </row>
    <row r="394" spans="1:16" ht="12.75" customHeight="1">
      <c r="A394" s="39"/>
      <c r="B394" s="39"/>
      <c r="C394" s="39"/>
      <c r="D394" s="39"/>
      <c r="E394" s="39"/>
      <c r="F394" s="39"/>
      <c r="G394" s="39"/>
      <c r="H394" s="39"/>
      <c r="I394" s="39"/>
      <c r="J394" s="39"/>
      <c r="K394" s="39"/>
      <c r="L394" s="39"/>
      <c r="M394" s="39"/>
      <c r="N394" s="39"/>
      <c r="O394" s="39"/>
      <c r="P394" s="39"/>
    </row>
    <row r="395" spans="1:16" ht="12.75" customHeight="1">
      <c r="A395" s="39"/>
      <c r="B395" s="39"/>
      <c r="C395" s="39"/>
      <c r="D395" s="39"/>
      <c r="E395" s="39"/>
      <c r="F395" s="39"/>
      <c r="G395" s="39"/>
      <c r="H395" s="39"/>
      <c r="I395" s="39"/>
      <c r="J395" s="39"/>
      <c r="K395" s="39"/>
      <c r="L395" s="39"/>
      <c r="M395" s="39"/>
      <c r="N395" s="39"/>
      <c r="O395" s="39"/>
      <c r="P395" s="39"/>
    </row>
    <row r="396" spans="1:16" ht="12.75" customHeight="1">
      <c r="A396" s="39"/>
      <c r="B396" s="39"/>
      <c r="C396" s="39"/>
      <c r="D396" s="39"/>
      <c r="E396" s="39"/>
      <c r="F396" s="39"/>
      <c r="G396" s="39"/>
      <c r="H396" s="39"/>
      <c r="I396" s="39"/>
      <c r="J396" s="39"/>
      <c r="K396" s="39"/>
      <c r="L396" s="39"/>
      <c r="M396" s="39"/>
      <c r="N396" s="39"/>
      <c r="O396" s="39"/>
      <c r="P396" s="39"/>
    </row>
    <row r="397" spans="1:16" ht="12.75" customHeight="1">
      <c r="A397" s="39"/>
      <c r="B397" s="39"/>
      <c r="C397" s="39"/>
      <c r="D397" s="39"/>
      <c r="E397" s="39"/>
      <c r="F397" s="39"/>
      <c r="G397" s="39"/>
      <c r="H397" s="39"/>
      <c r="I397" s="39"/>
      <c r="J397" s="39"/>
      <c r="K397" s="39"/>
      <c r="L397" s="39"/>
      <c r="M397" s="39"/>
      <c r="N397" s="39"/>
      <c r="O397" s="39"/>
      <c r="P397" s="39"/>
    </row>
    <row r="398" spans="1:16" ht="12.75" customHeight="1">
      <c r="A398" s="39"/>
      <c r="B398" s="39"/>
      <c r="C398" s="39"/>
      <c r="D398" s="39"/>
      <c r="E398" s="39"/>
      <c r="F398" s="39"/>
      <c r="G398" s="39"/>
      <c r="H398" s="39"/>
      <c r="I398" s="39"/>
      <c r="J398" s="39"/>
      <c r="K398" s="39"/>
      <c r="L398" s="39"/>
      <c r="M398" s="39"/>
      <c r="N398" s="39"/>
      <c r="O398" s="39"/>
      <c r="P398" s="39"/>
    </row>
    <row r="399" spans="1:16" ht="12.75" customHeight="1">
      <c r="A399" s="39"/>
      <c r="B399" s="39"/>
      <c r="C399" s="39"/>
      <c r="D399" s="39"/>
      <c r="E399" s="39"/>
      <c r="F399" s="39"/>
      <c r="G399" s="39"/>
      <c r="H399" s="39"/>
      <c r="I399" s="39"/>
      <c r="J399" s="39"/>
      <c r="K399" s="39"/>
      <c r="L399" s="39"/>
      <c r="M399" s="39"/>
      <c r="N399" s="39"/>
      <c r="O399" s="39"/>
      <c r="P399" s="39"/>
    </row>
    <row r="400" spans="1:16" ht="12.75" customHeight="1">
      <c r="A400" s="39"/>
      <c r="B400" s="39"/>
      <c r="C400" s="39"/>
      <c r="D400" s="39"/>
      <c r="E400" s="39"/>
      <c r="F400" s="39"/>
      <c r="G400" s="39"/>
      <c r="H400" s="39"/>
      <c r="I400" s="39"/>
      <c r="J400" s="39"/>
      <c r="K400" s="39"/>
      <c r="L400" s="39"/>
      <c r="M400" s="39"/>
      <c r="N400" s="39"/>
      <c r="O400" s="39"/>
      <c r="P400" s="39"/>
    </row>
    <row r="401" spans="1:16" ht="12.75" customHeight="1">
      <c r="A401" s="39"/>
      <c r="B401" s="39"/>
      <c r="C401" s="39"/>
      <c r="D401" s="39"/>
      <c r="E401" s="39"/>
      <c r="F401" s="39"/>
      <c r="G401" s="39"/>
      <c r="H401" s="39"/>
      <c r="I401" s="39"/>
      <c r="J401" s="39"/>
      <c r="K401" s="39"/>
      <c r="L401" s="39"/>
      <c r="M401" s="39"/>
      <c r="N401" s="39"/>
      <c r="O401" s="39"/>
      <c r="P401" s="39"/>
    </row>
    <row r="402" spans="1:16" ht="12.75" customHeight="1">
      <c r="A402" s="39"/>
      <c r="B402" s="39"/>
      <c r="C402" s="39"/>
      <c r="D402" s="39"/>
      <c r="E402" s="39"/>
      <c r="F402" s="39"/>
      <c r="G402" s="39"/>
      <c r="H402" s="39"/>
      <c r="I402" s="39"/>
      <c r="J402" s="39"/>
      <c r="K402" s="39"/>
      <c r="L402" s="39"/>
      <c r="M402" s="39"/>
      <c r="N402" s="39"/>
      <c r="O402" s="39"/>
      <c r="P402" s="39"/>
    </row>
    <row r="403" spans="1:16" ht="12.75" customHeight="1">
      <c r="A403" s="39"/>
      <c r="B403" s="39"/>
      <c r="C403" s="39"/>
      <c r="D403" s="39"/>
      <c r="E403" s="39"/>
      <c r="F403" s="39"/>
      <c r="G403" s="39"/>
      <c r="H403" s="39"/>
      <c r="I403" s="39"/>
      <c r="J403" s="39"/>
      <c r="K403" s="39"/>
      <c r="L403" s="39"/>
      <c r="M403" s="39"/>
      <c r="N403" s="39"/>
      <c r="O403" s="39"/>
      <c r="P403" s="39"/>
    </row>
    <row r="404" spans="1:16" ht="12.75" customHeight="1">
      <c r="A404" s="39"/>
      <c r="B404" s="39"/>
      <c r="C404" s="39"/>
      <c r="D404" s="39"/>
      <c r="E404" s="39"/>
      <c r="F404" s="39"/>
      <c r="G404" s="39"/>
      <c r="H404" s="39"/>
      <c r="I404" s="39"/>
      <c r="J404" s="39"/>
      <c r="K404" s="39"/>
      <c r="L404" s="39"/>
      <c r="M404" s="39"/>
      <c r="N404" s="39"/>
      <c r="O404" s="39"/>
      <c r="P404" s="39"/>
    </row>
    <row r="405" spans="1:16" ht="12.75" customHeight="1">
      <c r="A405" s="39"/>
      <c r="B405" s="39"/>
      <c r="C405" s="39"/>
      <c r="D405" s="39"/>
      <c r="E405" s="39"/>
      <c r="F405" s="39"/>
      <c r="G405" s="39"/>
      <c r="H405" s="39"/>
      <c r="I405" s="39"/>
      <c r="J405" s="39"/>
      <c r="K405" s="39"/>
      <c r="L405" s="39"/>
      <c r="M405" s="39"/>
      <c r="N405" s="39"/>
      <c r="O405" s="39"/>
      <c r="P405" s="39"/>
    </row>
    <row r="406" spans="1:16" ht="12.75" customHeight="1">
      <c r="A406" s="39"/>
      <c r="B406" s="39"/>
      <c r="C406" s="39"/>
      <c r="D406" s="39"/>
      <c r="E406" s="39"/>
      <c r="F406" s="39"/>
      <c r="G406" s="39"/>
      <c r="H406" s="39"/>
      <c r="I406" s="39"/>
      <c r="J406" s="39"/>
      <c r="K406" s="39"/>
      <c r="L406" s="39"/>
      <c r="M406" s="39"/>
      <c r="N406" s="39"/>
      <c r="O406" s="39"/>
      <c r="P406" s="39"/>
    </row>
    <row r="407" spans="1:16" ht="12.75" customHeight="1">
      <c r="A407" s="39"/>
      <c r="B407" s="39"/>
      <c r="C407" s="39"/>
      <c r="D407" s="39"/>
      <c r="E407" s="39"/>
      <c r="F407" s="39"/>
      <c r="G407" s="39"/>
      <c r="H407" s="39"/>
      <c r="I407" s="39"/>
      <c r="J407" s="39"/>
      <c r="K407" s="39"/>
      <c r="L407" s="39"/>
      <c r="M407" s="39"/>
      <c r="N407" s="39"/>
      <c r="O407" s="39"/>
      <c r="P407" s="39"/>
    </row>
    <row r="408" spans="1:16" ht="12.75" customHeight="1">
      <c r="A408" s="39"/>
      <c r="B408" s="39"/>
      <c r="C408" s="39"/>
      <c r="D408" s="39"/>
      <c r="E408" s="39"/>
      <c r="F408" s="39"/>
      <c r="G408" s="39"/>
      <c r="H408" s="39"/>
      <c r="I408" s="39"/>
      <c r="J408" s="39"/>
      <c r="K408" s="39"/>
      <c r="L408" s="39"/>
      <c r="M408" s="39"/>
      <c r="N408" s="39"/>
      <c r="O408" s="39"/>
      <c r="P408" s="39"/>
    </row>
    <row r="409" spans="1:16" ht="12.75" customHeight="1">
      <c r="A409" s="39"/>
      <c r="B409" s="39"/>
      <c r="C409" s="39"/>
      <c r="D409" s="39"/>
      <c r="E409" s="39"/>
      <c r="F409" s="39"/>
      <c r="G409" s="39"/>
      <c r="H409" s="39"/>
      <c r="I409" s="39"/>
      <c r="J409" s="39"/>
      <c r="K409" s="39"/>
      <c r="L409" s="39"/>
      <c r="M409" s="39"/>
      <c r="N409" s="39"/>
      <c r="O409" s="39"/>
      <c r="P409" s="39"/>
    </row>
    <row r="410" spans="1:16" ht="12.75" customHeight="1">
      <c r="A410" s="39"/>
      <c r="B410" s="39"/>
      <c r="C410" s="39"/>
      <c r="D410" s="39"/>
      <c r="E410" s="39"/>
      <c r="F410" s="39"/>
      <c r="G410" s="39"/>
      <c r="H410" s="39"/>
      <c r="I410" s="39"/>
      <c r="J410" s="39"/>
      <c r="K410" s="39"/>
      <c r="L410" s="39"/>
      <c r="M410" s="39"/>
      <c r="N410" s="39"/>
      <c r="O410" s="39"/>
      <c r="P410" s="39"/>
    </row>
    <row r="411" spans="1:16" ht="12.75" customHeight="1">
      <c r="A411" s="39"/>
      <c r="B411" s="39"/>
      <c r="C411" s="39"/>
      <c r="D411" s="39"/>
      <c r="E411" s="39"/>
      <c r="F411" s="39"/>
      <c r="G411" s="39"/>
      <c r="H411" s="39"/>
      <c r="I411" s="39"/>
      <c r="J411" s="39"/>
      <c r="K411" s="39"/>
      <c r="L411" s="39"/>
      <c r="M411" s="39"/>
      <c r="N411" s="39"/>
      <c r="O411" s="39"/>
      <c r="P411" s="39"/>
    </row>
    <row r="412" spans="1:16" ht="12.75" customHeight="1">
      <c r="A412" s="39"/>
      <c r="B412" s="39"/>
      <c r="C412" s="39"/>
      <c r="D412" s="39"/>
      <c r="E412" s="39"/>
      <c r="F412" s="39"/>
      <c r="G412" s="39"/>
      <c r="H412" s="39"/>
      <c r="I412" s="39"/>
      <c r="J412" s="39"/>
      <c r="K412" s="39"/>
      <c r="L412" s="39"/>
      <c r="M412" s="39"/>
      <c r="N412" s="39"/>
      <c r="O412" s="39"/>
      <c r="P412" s="39"/>
    </row>
    <row r="413" spans="1:16" ht="12.75" customHeight="1">
      <c r="A413" s="39"/>
      <c r="B413" s="39"/>
      <c r="C413" s="39"/>
      <c r="D413" s="39"/>
      <c r="E413" s="39"/>
      <c r="F413" s="39"/>
      <c r="G413" s="39"/>
      <c r="H413" s="39"/>
      <c r="I413" s="39"/>
      <c r="J413" s="39"/>
      <c r="K413" s="39"/>
      <c r="L413" s="39"/>
      <c r="M413" s="39"/>
      <c r="N413" s="39"/>
      <c r="O413" s="39"/>
      <c r="P413" s="39"/>
    </row>
    <row r="414" spans="1:16" ht="12.75" customHeight="1">
      <c r="A414" s="39"/>
      <c r="B414" s="39"/>
      <c r="C414" s="39"/>
      <c r="D414" s="39"/>
      <c r="E414" s="39"/>
      <c r="F414" s="39"/>
      <c r="G414" s="39"/>
      <c r="H414" s="39"/>
      <c r="I414" s="39"/>
      <c r="J414" s="39"/>
      <c r="K414" s="39"/>
      <c r="L414" s="39"/>
      <c r="M414" s="39"/>
      <c r="N414" s="39"/>
      <c r="O414" s="39"/>
      <c r="P414" s="39"/>
    </row>
    <row r="415" spans="1:16" ht="12.75" customHeight="1">
      <c r="A415" s="39"/>
      <c r="B415" s="39"/>
      <c r="C415" s="39"/>
      <c r="D415" s="39"/>
      <c r="E415" s="39"/>
      <c r="F415" s="39"/>
      <c r="G415" s="39"/>
      <c r="H415" s="39"/>
      <c r="I415" s="39"/>
      <c r="J415" s="39"/>
      <c r="K415" s="39"/>
      <c r="L415" s="39"/>
      <c r="M415" s="39"/>
      <c r="N415" s="39"/>
      <c r="O415" s="39"/>
      <c r="P415" s="39"/>
    </row>
    <row r="416" spans="1:16" ht="12.75" customHeight="1">
      <c r="A416" s="39"/>
      <c r="B416" s="39"/>
      <c r="C416" s="39"/>
      <c r="D416" s="39"/>
      <c r="E416" s="39"/>
      <c r="F416" s="39"/>
      <c r="G416" s="39"/>
      <c r="H416" s="39"/>
      <c r="I416" s="39"/>
      <c r="J416" s="39"/>
      <c r="K416" s="39"/>
      <c r="L416" s="39"/>
      <c r="M416" s="39"/>
      <c r="N416" s="39"/>
      <c r="O416" s="39"/>
      <c r="P416" s="39"/>
    </row>
    <row r="417" spans="1:16" ht="12.75" customHeight="1">
      <c r="A417" s="39"/>
      <c r="B417" s="39"/>
      <c r="C417" s="39"/>
      <c r="D417" s="39"/>
      <c r="E417" s="39"/>
      <c r="F417" s="39"/>
      <c r="G417" s="39"/>
      <c r="H417" s="39"/>
      <c r="I417" s="39"/>
      <c r="J417" s="39"/>
      <c r="K417" s="39"/>
      <c r="L417" s="39"/>
      <c r="M417" s="39"/>
      <c r="N417" s="39"/>
      <c r="O417" s="39"/>
      <c r="P417" s="39"/>
    </row>
    <row r="418" spans="1:16" ht="12.75" customHeight="1">
      <c r="A418" s="39"/>
      <c r="B418" s="39"/>
      <c r="C418" s="39"/>
      <c r="D418" s="39"/>
      <c r="E418" s="39"/>
      <c r="F418" s="39"/>
      <c r="G418" s="39"/>
      <c r="H418" s="39"/>
      <c r="I418" s="39"/>
      <c r="J418" s="39"/>
      <c r="K418" s="39"/>
      <c r="L418" s="39"/>
      <c r="M418" s="39"/>
      <c r="N418" s="39"/>
      <c r="O418" s="39"/>
      <c r="P418" s="39"/>
    </row>
    <row r="419" spans="1:16" ht="12.75" customHeight="1">
      <c r="A419" s="39"/>
      <c r="B419" s="39"/>
      <c r="C419" s="39"/>
      <c r="D419" s="39"/>
      <c r="E419" s="39"/>
      <c r="F419" s="39"/>
      <c r="G419" s="39"/>
      <c r="H419" s="39"/>
      <c r="I419" s="39"/>
      <c r="J419" s="39"/>
      <c r="K419" s="39"/>
      <c r="L419" s="39"/>
      <c r="M419" s="39"/>
      <c r="N419" s="39"/>
      <c r="O419" s="39"/>
      <c r="P419" s="39"/>
    </row>
    <row r="420" spans="1:16" ht="12.75" customHeight="1">
      <c r="A420" s="39"/>
      <c r="B420" s="39"/>
      <c r="C420" s="39"/>
      <c r="D420" s="39"/>
      <c r="E420" s="39"/>
      <c r="F420" s="39"/>
      <c r="G420" s="39"/>
      <c r="H420" s="39"/>
      <c r="I420" s="39"/>
      <c r="J420" s="39"/>
      <c r="K420" s="39"/>
      <c r="L420" s="39"/>
      <c r="M420" s="39"/>
      <c r="N420" s="39"/>
      <c r="O420" s="39"/>
      <c r="P420" s="39"/>
    </row>
    <row r="421" spans="1:16" ht="12.75" customHeight="1">
      <c r="A421" s="39"/>
      <c r="B421" s="39"/>
      <c r="C421" s="39"/>
      <c r="D421" s="39"/>
      <c r="E421" s="39"/>
      <c r="F421" s="39"/>
      <c r="G421" s="39"/>
      <c r="H421" s="39"/>
      <c r="I421" s="39"/>
      <c r="J421" s="39"/>
      <c r="K421" s="39"/>
      <c r="L421" s="39"/>
      <c r="M421" s="39"/>
      <c r="N421" s="39"/>
      <c r="O421" s="39"/>
      <c r="P421" s="39"/>
    </row>
    <row r="422" spans="1:16" ht="12.75" customHeight="1">
      <c r="A422" s="39"/>
      <c r="B422" s="39"/>
      <c r="C422" s="39"/>
      <c r="D422" s="39"/>
      <c r="E422" s="39"/>
      <c r="F422" s="39"/>
      <c r="G422" s="39"/>
      <c r="H422" s="39"/>
      <c r="I422" s="39"/>
      <c r="J422" s="39"/>
      <c r="K422" s="39"/>
      <c r="L422" s="39"/>
      <c r="M422" s="39"/>
      <c r="N422" s="39"/>
      <c r="O422" s="39"/>
      <c r="P422" s="39"/>
    </row>
    <row r="423" spans="1:16" ht="12.75" customHeight="1">
      <c r="A423" s="39"/>
      <c r="B423" s="39"/>
      <c r="C423" s="39"/>
      <c r="D423" s="39"/>
      <c r="E423" s="39"/>
      <c r="F423" s="39"/>
      <c r="G423" s="39"/>
      <c r="H423" s="39"/>
      <c r="I423" s="39"/>
      <c r="J423" s="39"/>
      <c r="K423" s="39"/>
      <c r="L423" s="39"/>
      <c r="M423" s="39"/>
      <c r="N423" s="39"/>
      <c r="O423" s="39"/>
      <c r="P423" s="39"/>
    </row>
    <row r="424" spans="1:16" ht="12.75" customHeight="1">
      <c r="A424" s="39"/>
      <c r="B424" s="39"/>
      <c r="C424" s="39"/>
      <c r="D424" s="39"/>
      <c r="E424" s="39"/>
      <c r="F424" s="39"/>
      <c r="G424" s="39"/>
      <c r="H424" s="39"/>
      <c r="I424" s="39"/>
      <c r="J424" s="39"/>
      <c r="K424" s="39"/>
      <c r="L424" s="39"/>
      <c r="M424" s="39"/>
      <c r="N424" s="39"/>
      <c r="O424" s="39"/>
      <c r="P424" s="39"/>
    </row>
    <row r="425" spans="1:16" ht="12.75" customHeight="1">
      <c r="A425" s="39"/>
      <c r="B425" s="39"/>
      <c r="C425" s="39"/>
      <c r="D425" s="39"/>
      <c r="E425" s="39"/>
      <c r="F425" s="39"/>
      <c r="G425" s="39"/>
      <c r="H425" s="39"/>
      <c r="I425" s="39"/>
      <c r="J425" s="39"/>
      <c r="K425" s="39"/>
      <c r="L425" s="39"/>
      <c r="M425" s="39"/>
      <c r="N425" s="39"/>
      <c r="O425" s="39"/>
      <c r="P425" s="39"/>
    </row>
    <row r="426" spans="1:16" ht="12.75" customHeight="1">
      <c r="A426" s="39"/>
      <c r="B426" s="39"/>
      <c r="C426" s="39"/>
      <c r="D426" s="39"/>
      <c r="E426" s="39"/>
      <c r="F426" s="39"/>
      <c r="G426" s="39"/>
      <c r="H426" s="39"/>
      <c r="I426" s="39"/>
      <c r="J426" s="39"/>
      <c r="K426" s="39"/>
      <c r="L426" s="39"/>
      <c r="M426" s="39"/>
      <c r="N426" s="39"/>
      <c r="O426" s="39"/>
      <c r="P426" s="39"/>
    </row>
    <row r="427" spans="1:16" ht="12.75" customHeight="1">
      <c r="A427" s="39"/>
      <c r="B427" s="39"/>
      <c r="C427" s="39"/>
      <c r="D427" s="39"/>
      <c r="E427" s="39"/>
      <c r="F427" s="39"/>
      <c r="G427" s="39"/>
      <c r="H427" s="39"/>
      <c r="I427" s="39"/>
      <c r="J427" s="39"/>
      <c r="K427" s="39"/>
      <c r="L427" s="39"/>
      <c r="M427" s="39"/>
      <c r="N427" s="39"/>
      <c r="O427" s="39"/>
      <c r="P427" s="39"/>
    </row>
    <row r="428" spans="1:16" ht="12.75" customHeight="1">
      <c r="A428" s="39"/>
      <c r="B428" s="39"/>
      <c r="C428" s="39"/>
      <c r="D428" s="39"/>
      <c r="E428" s="39"/>
      <c r="F428" s="39"/>
      <c r="G428" s="39"/>
      <c r="H428" s="39"/>
      <c r="I428" s="39"/>
      <c r="J428" s="39"/>
      <c r="K428" s="39"/>
      <c r="L428" s="39"/>
      <c r="M428" s="39"/>
      <c r="N428" s="39"/>
      <c r="O428" s="39"/>
      <c r="P428" s="39"/>
    </row>
    <row r="429" spans="1:16" ht="12.75" customHeight="1">
      <c r="A429" s="39"/>
      <c r="B429" s="39"/>
      <c r="C429" s="39"/>
      <c r="D429" s="39"/>
      <c r="E429" s="39"/>
      <c r="F429" s="39"/>
      <c r="G429" s="39"/>
      <c r="H429" s="39"/>
      <c r="I429" s="39"/>
      <c r="J429" s="39"/>
      <c r="K429" s="39"/>
      <c r="L429" s="39"/>
      <c r="M429" s="39"/>
      <c r="N429" s="39"/>
      <c r="O429" s="39"/>
      <c r="P429" s="39"/>
    </row>
    <row r="430" spans="1:16" ht="12.75" customHeight="1">
      <c r="A430" s="39"/>
      <c r="B430" s="39"/>
      <c r="C430" s="39"/>
      <c r="D430" s="39"/>
      <c r="E430" s="39"/>
      <c r="F430" s="39"/>
      <c r="G430" s="39"/>
      <c r="H430" s="39"/>
      <c r="I430" s="39"/>
      <c r="J430" s="39"/>
      <c r="K430" s="39"/>
      <c r="L430" s="39"/>
      <c r="M430" s="39"/>
      <c r="N430" s="39"/>
      <c r="O430" s="39"/>
      <c r="P430" s="39"/>
    </row>
    <row r="431" spans="1:16" ht="12.75" customHeight="1">
      <c r="A431" s="39"/>
      <c r="B431" s="39"/>
      <c r="C431" s="39"/>
      <c r="D431" s="39"/>
      <c r="E431" s="39"/>
      <c r="F431" s="39"/>
      <c r="G431" s="39"/>
      <c r="H431" s="39"/>
      <c r="I431" s="39"/>
      <c r="J431" s="39"/>
      <c r="K431" s="39"/>
      <c r="L431" s="39"/>
      <c r="M431" s="39"/>
      <c r="N431" s="39"/>
      <c r="O431" s="39"/>
      <c r="P431" s="39"/>
    </row>
    <row r="432" spans="1:16" ht="12.75" customHeight="1">
      <c r="A432" s="39"/>
      <c r="B432" s="39"/>
      <c r="C432" s="39"/>
      <c r="D432" s="39"/>
      <c r="E432" s="39"/>
      <c r="F432" s="39"/>
      <c r="G432" s="39"/>
      <c r="H432" s="39"/>
      <c r="I432" s="39"/>
      <c r="J432" s="39"/>
      <c r="K432" s="39"/>
      <c r="L432" s="39"/>
      <c r="M432" s="39"/>
      <c r="N432" s="39"/>
      <c r="O432" s="39"/>
      <c r="P432" s="39"/>
    </row>
    <row r="433" spans="1:16" ht="12.75" customHeight="1">
      <c r="A433" s="39"/>
      <c r="B433" s="39"/>
      <c r="C433" s="39"/>
      <c r="D433" s="39"/>
      <c r="E433" s="39"/>
      <c r="F433" s="39"/>
      <c r="G433" s="39"/>
      <c r="H433" s="39"/>
      <c r="I433" s="39"/>
      <c r="J433" s="39"/>
      <c r="K433" s="39"/>
      <c r="L433" s="39"/>
      <c r="M433" s="39"/>
      <c r="N433" s="39"/>
      <c r="O433" s="39"/>
      <c r="P433" s="39"/>
    </row>
    <row r="434" spans="1:16" ht="12.75" customHeight="1">
      <c r="A434" s="39"/>
      <c r="B434" s="39"/>
      <c r="C434" s="39"/>
      <c r="D434" s="39"/>
      <c r="E434" s="39"/>
      <c r="F434" s="39"/>
      <c r="G434" s="39"/>
      <c r="H434" s="39"/>
      <c r="I434" s="39"/>
      <c r="J434" s="39"/>
      <c r="K434" s="39"/>
      <c r="L434" s="39"/>
      <c r="M434" s="39"/>
      <c r="N434" s="39"/>
      <c r="O434" s="39"/>
      <c r="P434" s="39"/>
    </row>
    <row r="435" spans="1:16" ht="12.75" customHeight="1">
      <c r="A435" s="39"/>
      <c r="B435" s="39"/>
      <c r="C435" s="39"/>
      <c r="D435" s="39"/>
      <c r="E435" s="39"/>
      <c r="F435" s="39"/>
      <c r="G435" s="39"/>
      <c r="H435" s="39"/>
      <c r="I435" s="39"/>
      <c r="J435" s="39"/>
      <c r="K435" s="39"/>
      <c r="L435" s="39"/>
      <c r="M435" s="39"/>
      <c r="N435" s="39"/>
      <c r="O435" s="39"/>
      <c r="P435" s="39"/>
    </row>
    <row r="436" spans="1:16" ht="12.75" customHeight="1">
      <c r="A436" s="39"/>
      <c r="B436" s="39"/>
      <c r="C436" s="39"/>
      <c r="D436" s="39"/>
      <c r="E436" s="39"/>
      <c r="F436" s="39"/>
      <c r="G436" s="39"/>
      <c r="H436" s="39"/>
      <c r="I436" s="39"/>
      <c r="J436" s="39"/>
      <c r="K436" s="39"/>
      <c r="L436" s="39"/>
      <c r="M436" s="39"/>
      <c r="N436" s="39"/>
      <c r="O436" s="39"/>
      <c r="P436" s="39"/>
    </row>
    <row r="437" spans="1:16" ht="12.75" customHeight="1">
      <c r="A437" s="39"/>
      <c r="B437" s="39"/>
      <c r="C437" s="39"/>
      <c r="D437" s="39"/>
      <c r="E437" s="39"/>
      <c r="F437" s="39"/>
      <c r="G437" s="39"/>
      <c r="H437" s="39"/>
      <c r="I437" s="39"/>
      <c r="J437" s="39"/>
      <c r="K437" s="39"/>
      <c r="L437" s="39"/>
      <c r="M437" s="39"/>
      <c r="N437" s="39"/>
      <c r="O437" s="39"/>
      <c r="P437" s="39"/>
    </row>
    <row r="438" spans="1:16" ht="12.75" customHeight="1">
      <c r="A438" s="39"/>
      <c r="B438" s="39"/>
      <c r="C438" s="39"/>
      <c r="D438" s="39"/>
      <c r="E438" s="39"/>
      <c r="F438" s="39"/>
      <c r="G438" s="39"/>
      <c r="H438" s="39"/>
      <c r="I438" s="39"/>
      <c r="J438" s="39"/>
      <c r="K438" s="39"/>
      <c r="L438" s="39"/>
      <c r="M438" s="39"/>
      <c r="N438" s="39"/>
      <c r="O438" s="39"/>
      <c r="P438" s="39"/>
    </row>
    <row r="439" spans="1:16" ht="12.75" customHeight="1">
      <c r="A439" s="39"/>
      <c r="B439" s="39"/>
      <c r="C439" s="39"/>
      <c r="D439" s="39"/>
      <c r="E439" s="39"/>
      <c r="F439" s="39"/>
      <c r="G439" s="39"/>
      <c r="H439" s="39"/>
      <c r="I439" s="39"/>
      <c r="J439" s="39"/>
      <c r="K439" s="39"/>
      <c r="L439" s="39"/>
      <c r="M439" s="39"/>
      <c r="N439" s="39"/>
      <c r="O439" s="39"/>
      <c r="P439" s="39"/>
    </row>
    <row r="440" spans="1:16" ht="12.75" customHeight="1">
      <c r="A440" s="39"/>
      <c r="B440" s="39"/>
      <c r="C440" s="39"/>
      <c r="D440" s="39"/>
      <c r="E440" s="39"/>
      <c r="F440" s="39"/>
      <c r="G440" s="39"/>
      <c r="H440" s="39"/>
      <c r="I440" s="39"/>
      <c r="J440" s="39"/>
      <c r="K440" s="39"/>
      <c r="L440" s="39"/>
      <c r="M440" s="39"/>
      <c r="N440" s="39"/>
      <c r="O440" s="39"/>
      <c r="P440" s="39"/>
    </row>
    <row r="441" spans="1:16" ht="12.75" customHeight="1">
      <c r="A441" s="39"/>
      <c r="B441" s="39"/>
      <c r="C441" s="39"/>
      <c r="D441" s="39"/>
      <c r="E441" s="39"/>
      <c r="F441" s="39"/>
      <c r="G441" s="39"/>
      <c r="H441" s="39"/>
      <c r="I441" s="39"/>
      <c r="J441" s="39"/>
      <c r="K441" s="39"/>
      <c r="L441" s="39"/>
      <c r="M441" s="39"/>
      <c r="N441" s="39"/>
      <c r="O441" s="39"/>
      <c r="P441" s="39"/>
    </row>
    <row r="442" spans="1:16" ht="12.75" customHeight="1">
      <c r="A442" s="39"/>
      <c r="B442" s="39"/>
      <c r="C442" s="39"/>
      <c r="D442" s="39"/>
      <c r="E442" s="39"/>
      <c r="F442" s="39"/>
      <c r="G442" s="39"/>
      <c r="H442" s="39"/>
      <c r="I442" s="39"/>
      <c r="J442" s="39"/>
      <c r="K442" s="39"/>
      <c r="L442" s="39"/>
      <c r="M442" s="39"/>
      <c r="N442" s="39"/>
      <c r="O442" s="39"/>
      <c r="P442" s="39"/>
    </row>
    <row r="443" spans="1:16" ht="12.75" customHeight="1">
      <c r="A443" s="39"/>
      <c r="B443" s="39"/>
      <c r="C443" s="39"/>
      <c r="D443" s="39"/>
      <c r="E443" s="39"/>
      <c r="F443" s="39"/>
      <c r="G443" s="39"/>
      <c r="H443" s="39"/>
      <c r="I443" s="39"/>
      <c r="J443" s="39"/>
      <c r="K443" s="39"/>
      <c r="L443" s="39"/>
      <c r="M443" s="39"/>
      <c r="N443" s="39"/>
      <c r="O443" s="39"/>
      <c r="P443" s="39"/>
    </row>
    <row r="444" spans="1:16" ht="12.75" customHeight="1">
      <c r="A444" s="39"/>
      <c r="B444" s="39"/>
      <c r="C444" s="39"/>
      <c r="D444" s="39"/>
      <c r="E444" s="39"/>
      <c r="F444" s="39"/>
      <c r="G444" s="39"/>
      <c r="H444" s="39"/>
      <c r="I444" s="39"/>
      <c r="J444" s="39"/>
      <c r="K444" s="39"/>
      <c r="L444" s="39"/>
      <c r="M444" s="39"/>
      <c r="N444" s="39"/>
      <c r="O444" s="39"/>
      <c r="P444" s="39"/>
    </row>
    <row r="445" spans="1:16" ht="12.75" customHeight="1">
      <c r="A445" s="39"/>
      <c r="B445" s="39"/>
      <c r="C445" s="39"/>
      <c r="D445" s="39"/>
      <c r="E445" s="39"/>
      <c r="F445" s="39"/>
      <c r="G445" s="39"/>
      <c r="H445" s="39"/>
      <c r="I445" s="39"/>
      <c r="J445" s="39"/>
      <c r="K445" s="39"/>
      <c r="L445" s="39"/>
      <c r="M445" s="39"/>
      <c r="N445" s="39"/>
      <c r="O445" s="39"/>
      <c r="P445" s="39"/>
    </row>
    <row r="446" spans="1:16" ht="12.75" customHeight="1">
      <c r="A446" s="39"/>
      <c r="B446" s="39"/>
      <c r="C446" s="39"/>
      <c r="D446" s="39"/>
      <c r="E446" s="39"/>
      <c r="F446" s="39"/>
      <c r="G446" s="39"/>
      <c r="H446" s="39"/>
      <c r="I446" s="39"/>
      <c r="J446" s="39"/>
      <c r="K446" s="39"/>
      <c r="L446" s="39"/>
      <c r="M446" s="39"/>
      <c r="N446" s="39"/>
      <c r="O446" s="39"/>
      <c r="P446" s="39"/>
    </row>
    <row r="447" spans="1:16" ht="12.75" customHeight="1">
      <c r="A447" s="39"/>
      <c r="B447" s="39"/>
      <c r="C447" s="39"/>
      <c r="D447" s="39"/>
      <c r="E447" s="39"/>
      <c r="F447" s="39"/>
      <c r="G447" s="39"/>
      <c r="H447" s="39"/>
      <c r="I447" s="39"/>
      <c r="J447" s="39"/>
      <c r="K447" s="39"/>
      <c r="L447" s="39"/>
      <c r="M447" s="39"/>
      <c r="N447" s="39"/>
      <c r="O447" s="39"/>
      <c r="P447" s="39"/>
    </row>
    <row r="448" spans="1:16" ht="12.75" customHeight="1">
      <c r="A448" s="39"/>
      <c r="B448" s="39"/>
      <c r="C448" s="39"/>
      <c r="D448" s="39"/>
      <c r="E448" s="39"/>
      <c r="F448" s="39"/>
      <c r="G448" s="39"/>
      <c r="H448" s="39"/>
      <c r="I448" s="39"/>
      <c r="J448" s="39"/>
      <c r="K448" s="39"/>
      <c r="L448" s="39"/>
      <c r="M448" s="39"/>
      <c r="N448" s="39"/>
      <c r="O448" s="39"/>
      <c r="P448" s="39"/>
    </row>
    <row r="449" spans="1:16" ht="12.75" customHeight="1">
      <c r="A449" s="39"/>
      <c r="B449" s="39"/>
      <c r="C449" s="39"/>
      <c r="D449" s="39"/>
      <c r="E449" s="39"/>
      <c r="F449" s="39"/>
      <c r="G449" s="39"/>
      <c r="H449" s="39"/>
      <c r="I449" s="39"/>
      <c r="J449" s="39"/>
      <c r="K449" s="39"/>
      <c r="L449" s="39"/>
      <c r="M449" s="39"/>
      <c r="N449" s="39"/>
      <c r="O449" s="39"/>
      <c r="P449" s="39"/>
    </row>
    <row r="450" spans="1:16" ht="12.75" customHeight="1">
      <c r="A450" s="39"/>
      <c r="B450" s="39"/>
      <c r="C450" s="39"/>
      <c r="D450" s="39"/>
      <c r="E450" s="39"/>
      <c r="F450" s="39"/>
      <c r="G450" s="39"/>
      <c r="H450" s="39"/>
      <c r="I450" s="39"/>
      <c r="J450" s="39"/>
      <c r="K450" s="39"/>
      <c r="L450" s="39"/>
      <c r="M450" s="39"/>
      <c r="N450" s="39"/>
      <c r="O450" s="39"/>
      <c r="P450" s="39"/>
    </row>
    <row r="451" spans="1:16" ht="12.75" customHeight="1">
      <c r="A451" s="39"/>
      <c r="B451" s="39"/>
      <c r="C451" s="39"/>
      <c r="D451" s="39"/>
      <c r="E451" s="39"/>
      <c r="F451" s="39"/>
      <c r="G451" s="39"/>
      <c r="H451" s="39"/>
      <c r="I451" s="39"/>
      <c r="J451" s="39"/>
      <c r="K451" s="39"/>
      <c r="L451" s="39"/>
      <c r="M451" s="39"/>
      <c r="N451" s="39"/>
      <c r="O451" s="39"/>
      <c r="P451" s="39"/>
    </row>
    <row r="452" spans="1:16" ht="12.75" customHeight="1">
      <c r="A452" s="39"/>
      <c r="B452" s="39"/>
      <c r="C452" s="39"/>
      <c r="D452" s="39"/>
      <c r="E452" s="39"/>
      <c r="F452" s="39"/>
      <c r="G452" s="39"/>
      <c r="H452" s="39"/>
      <c r="I452" s="39"/>
      <c r="J452" s="39"/>
      <c r="K452" s="39"/>
      <c r="L452" s="39"/>
      <c r="M452" s="39"/>
      <c r="N452" s="39"/>
      <c r="O452" s="39"/>
      <c r="P452" s="39"/>
    </row>
    <row r="453" spans="1:16" ht="12.75" customHeight="1">
      <c r="A453" s="39"/>
      <c r="B453" s="39"/>
      <c r="C453" s="39"/>
      <c r="D453" s="39"/>
      <c r="E453" s="39"/>
      <c r="F453" s="39"/>
      <c r="G453" s="39"/>
      <c r="H453" s="39"/>
      <c r="I453" s="39"/>
      <c r="J453" s="39"/>
      <c r="K453" s="39"/>
      <c r="L453" s="39"/>
      <c r="M453" s="39"/>
      <c r="N453" s="39"/>
      <c r="O453" s="39"/>
      <c r="P453" s="39"/>
    </row>
    <row r="454" spans="1:16" ht="12.75" customHeight="1">
      <c r="A454" s="39"/>
      <c r="B454" s="39"/>
      <c r="C454" s="39"/>
      <c r="D454" s="39"/>
      <c r="E454" s="39"/>
      <c r="F454" s="39"/>
      <c r="G454" s="39"/>
      <c r="H454" s="39"/>
      <c r="I454" s="39"/>
      <c r="J454" s="39"/>
      <c r="K454" s="39"/>
      <c r="L454" s="39"/>
      <c r="M454" s="39"/>
      <c r="N454" s="39"/>
      <c r="O454" s="39"/>
      <c r="P454" s="39"/>
    </row>
    <row r="455" spans="1:16" ht="12.75" customHeight="1">
      <c r="A455" s="39"/>
      <c r="B455" s="39"/>
      <c r="C455" s="39"/>
      <c r="D455" s="39"/>
      <c r="E455" s="39"/>
      <c r="F455" s="39"/>
      <c r="G455" s="39"/>
      <c r="H455" s="39"/>
      <c r="I455" s="39"/>
      <c r="J455" s="39"/>
      <c r="K455" s="39"/>
      <c r="L455" s="39"/>
      <c r="M455" s="39"/>
      <c r="N455" s="39"/>
      <c r="O455" s="39"/>
      <c r="P455" s="39"/>
    </row>
    <row r="456" spans="1:16" ht="12.75" customHeight="1">
      <c r="A456" s="39"/>
      <c r="B456" s="39"/>
      <c r="C456" s="39"/>
      <c r="D456" s="39"/>
      <c r="E456" s="39"/>
      <c r="F456" s="39"/>
      <c r="G456" s="39"/>
      <c r="H456" s="39"/>
      <c r="I456" s="39"/>
      <c r="J456" s="39"/>
      <c r="K456" s="39"/>
      <c r="L456" s="39"/>
      <c r="M456" s="39"/>
      <c r="N456" s="39"/>
      <c r="O456" s="39"/>
      <c r="P456" s="39"/>
    </row>
    <row r="457" spans="1:16" ht="12.75" customHeight="1">
      <c r="A457" s="39"/>
      <c r="B457" s="39"/>
      <c r="C457" s="39"/>
      <c r="D457" s="39"/>
      <c r="E457" s="39"/>
      <c r="F457" s="39"/>
      <c r="G457" s="39"/>
      <c r="H457" s="39"/>
      <c r="I457" s="39"/>
      <c r="J457" s="39"/>
      <c r="K457" s="39"/>
      <c r="L457" s="39"/>
      <c r="M457" s="39"/>
      <c r="N457" s="39"/>
      <c r="O457" s="39"/>
      <c r="P457" s="39"/>
    </row>
    <row r="458" spans="1:16" ht="12.75" customHeight="1">
      <c r="A458" s="39"/>
      <c r="B458" s="39"/>
      <c r="C458" s="39"/>
      <c r="D458" s="39"/>
      <c r="E458" s="39"/>
      <c r="F458" s="39"/>
      <c r="G458" s="39"/>
      <c r="H458" s="39"/>
      <c r="I458" s="39"/>
      <c r="J458" s="39"/>
      <c r="K458" s="39"/>
      <c r="L458" s="39"/>
      <c r="M458" s="39"/>
      <c r="N458" s="39"/>
      <c r="O458" s="39"/>
      <c r="P458" s="39"/>
    </row>
    <row r="459" spans="1:16" ht="12.75" customHeight="1">
      <c r="A459" s="39"/>
      <c r="B459" s="39"/>
      <c r="C459" s="39"/>
      <c r="D459" s="39"/>
      <c r="E459" s="39"/>
      <c r="F459" s="39"/>
      <c r="G459" s="39"/>
      <c r="H459" s="39"/>
      <c r="I459" s="39"/>
      <c r="J459" s="39"/>
      <c r="K459" s="39"/>
      <c r="L459" s="39"/>
      <c r="M459" s="39"/>
      <c r="N459" s="39"/>
      <c r="O459" s="39"/>
      <c r="P459" s="39"/>
    </row>
    <row r="460" spans="1:16" ht="12.75" customHeight="1">
      <c r="A460" s="39"/>
      <c r="B460" s="39"/>
      <c r="C460" s="39"/>
      <c r="D460" s="39"/>
      <c r="E460" s="39"/>
      <c r="F460" s="39"/>
      <c r="G460" s="39"/>
      <c r="H460" s="39"/>
      <c r="I460" s="39"/>
      <c r="J460" s="39"/>
      <c r="K460" s="39"/>
      <c r="L460" s="39"/>
      <c r="M460" s="39"/>
      <c r="N460" s="39"/>
      <c r="O460" s="39"/>
      <c r="P460" s="39"/>
    </row>
    <row r="461" spans="1:16" ht="12.75" customHeight="1">
      <c r="A461" s="39"/>
      <c r="B461" s="39"/>
      <c r="C461" s="39"/>
      <c r="D461" s="39"/>
      <c r="E461" s="39"/>
      <c r="F461" s="39"/>
      <c r="G461" s="39"/>
      <c r="H461" s="39"/>
      <c r="I461" s="39"/>
      <c r="J461" s="39"/>
      <c r="K461" s="39"/>
      <c r="L461" s="39"/>
      <c r="M461" s="39"/>
      <c r="N461" s="39"/>
      <c r="O461" s="39"/>
      <c r="P461" s="39"/>
    </row>
    <row r="462" spans="1:16" ht="12.75" customHeight="1">
      <c r="A462" s="39"/>
      <c r="B462" s="39"/>
      <c r="C462" s="39"/>
      <c r="D462" s="39"/>
      <c r="E462" s="39"/>
      <c r="F462" s="39"/>
      <c r="G462" s="39"/>
      <c r="H462" s="39"/>
      <c r="I462" s="39"/>
      <c r="J462" s="39"/>
      <c r="K462" s="39"/>
      <c r="L462" s="39"/>
      <c r="M462" s="39"/>
      <c r="N462" s="39"/>
      <c r="O462" s="39"/>
      <c r="P462" s="39"/>
    </row>
    <row r="463" spans="1:16" ht="12.75" customHeight="1">
      <c r="A463" s="39"/>
      <c r="B463" s="39"/>
      <c r="C463" s="39"/>
      <c r="D463" s="39"/>
      <c r="E463" s="39"/>
      <c r="F463" s="39"/>
      <c r="G463" s="39"/>
      <c r="H463" s="39"/>
      <c r="I463" s="39"/>
      <c r="J463" s="39"/>
      <c r="K463" s="39"/>
      <c r="L463" s="39"/>
      <c r="M463" s="39"/>
      <c r="N463" s="39"/>
      <c r="O463" s="39"/>
      <c r="P463" s="39"/>
    </row>
    <row r="464" spans="1:16" ht="12.75" customHeight="1">
      <c r="A464" s="39"/>
      <c r="B464" s="39"/>
      <c r="C464" s="39"/>
      <c r="D464" s="39"/>
      <c r="E464" s="39"/>
      <c r="F464" s="39"/>
      <c r="G464" s="39"/>
      <c r="H464" s="39"/>
      <c r="I464" s="39"/>
      <c r="J464" s="39"/>
      <c r="K464" s="39"/>
      <c r="L464" s="39"/>
      <c r="M464" s="39"/>
      <c r="N464" s="39"/>
      <c r="O464" s="39"/>
      <c r="P464" s="39"/>
    </row>
    <row r="465" spans="1:16" ht="12.75" customHeight="1">
      <c r="A465" s="39"/>
      <c r="B465" s="39"/>
      <c r="C465" s="39"/>
      <c r="D465" s="39"/>
      <c r="E465" s="39"/>
      <c r="F465" s="39"/>
      <c r="G465" s="39"/>
      <c r="H465" s="39"/>
      <c r="I465" s="39"/>
      <c r="J465" s="39"/>
      <c r="K465" s="39"/>
      <c r="L465" s="39"/>
      <c r="M465" s="39"/>
      <c r="N465" s="39"/>
      <c r="O465" s="39"/>
      <c r="P465" s="39"/>
    </row>
    <row r="466" spans="1:16" ht="12.75" customHeight="1">
      <c r="A466" s="39"/>
      <c r="B466" s="39"/>
      <c r="C466" s="39"/>
      <c r="D466" s="39"/>
      <c r="E466" s="39"/>
      <c r="F466" s="39"/>
      <c r="G466" s="39"/>
      <c r="H466" s="39"/>
      <c r="I466" s="39"/>
      <c r="J466" s="39"/>
      <c r="K466" s="39"/>
      <c r="L466" s="39"/>
      <c r="M466" s="39"/>
      <c r="N466" s="39"/>
      <c r="O466" s="39"/>
      <c r="P466" s="39"/>
    </row>
    <row r="467" spans="1:16" ht="12.75" customHeight="1">
      <c r="A467" s="39"/>
      <c r="B467" s="39"/>
      <c r="C467" s="39"/>
      <c r="D467" s="39"/>
      <c r="E467" s="39"/>
      <c r="F467" s="39"/>
      <c r="G467" s="39"/>
      <c r="H467" s="39"/>
      <c r="I467" s="39"/>
      <c r="J467" s="39"/>
      <c r="K467" s="39"/>
      <c r="L467" s="39"/>
      <c r="M467" s="39"/>
      <c r="N467" s="39"/>
      <c r="O467" s="39"/>
      <c r="P467" s="39"/>
    </row>
    <row r="468" spans="1:16" ht="12.75" customHeight="1">
      <c r="A468" s="39"/>
      <c r="B468" s="39"/>
      <c r="C468" s="39"/>
      <c r="D468" s="39"/>
      <c r="E468" s="39"/>
      <c r="F468" s="39"/>
      <c r="G468" s="39"/>
      <c r="H468" s="39"/>
      <c r="I468" s="39"/>
      <c r="J468" s="39"/>
      <c r="K468" s="39"/>
      <c r="L468" s="39"/>
      <c r="M468" s="39"/>
      <c r="N468" s="39"/>
      <c r="O468" s="39"/>
      <c r="P468" s="39"/>
    </row>
    <row r="469" spans="1:16" ht="12.75" customHeight="1">
      <c r="A469" s="39"/>
      <c r="B469" s="39"/>
      <c r="C469" s="39"/>
      <c r="D469" s="39"/>
      <c r="E469" s="39"/>
      <c r="F469" s="39"/>
      <c r="G469" s="39"/>
      <c r="H469" s="39"/>
      <c r="I469" s="39"/>
      <c r="J469" s="39"/>
      <c r="K469" s="39"/>
      <c r="L469" s="39"/>
      <c r="M469" s="39"/>
      <c r="N469" s="39"/>
      <c r="O469" s="39"/>
      <c r="P469" s="39"/>
    </row>
    <row r="470" spans="1:16" ht="12.75" customHeight="1">
      <c r="A470" s="39"/>
      <c r="B470" s="39"/>
      <c r="C470" s="39"/>
      <c r="D470" s="39"/>
      <c r="E470" s="39"/>
      <c r="F470" s="39"/>
      <c r="G470" s="39"/>
      <c r="H470" s="39"/>
      <c r="I470" s="39"/>
      <c r="J470" s="39"/>
      <c r="K470" s="39"/>
      <c r="L470" s="39"/>
      <c r="M470" s="39"/>
      <c r="N470" s="39"/>
      <c r="O470" s="39"/>
      <c r="P470" s="39"/>
    </row>
    <row r="471" spans="1:16" ht="12.75" customHeight="1">
      <c r="A471" s="39"/>
      <c r="B471" s="39"/>
      <c r="C471" s="39"/>
      <c r="D471" s="39"/>
      <c r="E471" s="39"/>
      <c r="F471" s="39"/>
      <c r="G471" s="39"/>
      <c r="H471" s="39"/>
      <c r="I471" s="39"/>
      <c r="J471" s="39"/>
      <c r="K471" s="39"/>
      <c r="L471" s="39"/>
      <c r="M471" s="39"/>
      <c r="N471" s="39"/>
      <c r="O471" s="39"/>
      <c r="P471" s="39"/>
    </row>
    <row r="472" spans="1:16" ht="12.75" customHeight="1">
      <c r="A472" s="39"/>
      <c r="B472" s="39"/>
      <c r="C472" s="39"/>
      <c r="D472" s="39"/>
      <c r="E472" s="39"/>
      <c r="F472" s="39"/>
      <c r="G472" s="39"/>
      <c r="H472" s="39"/>
      <c r="I472" s="39"/>
      <c r="J472" s="39"/>
      <c r="K472" s="39"/>
      <c r="L472" s="39"/>
      <c r="M472" s="39"/>
      <c r="N472" s="39"/>
      <c r="O472" s="39"/>
      <c r="P472" s="39"/>
    </row>
    <row r="473" spans="1:16" ht="12.75" customHeight="1">
      <c r="A473" s="39"/>
      <c r="B473" s="39"/>
      <c r="C473" s="39"/>
      <c r="D473" s="39"/>
      <c r="E473" s="39"/>
      <c r="F473" s="39"/>
      <c r="G473" s="39"/>
      <c r="H473" s="39"/>
      <c r="I473" s="39"/>
      <c r="J473" s="39"/>
      <c r="K473" s="39"/>
      <c r="L473" s="39"/>
      <c r="M473" s="39"/>
      <c r="N473" s="39"/>
      <c r="O473" s="39"/>
      <c r="P473" s="39"/>
    </row>
    <row r="474" spans="1:16" ht="12.75" customHeight="1">
      <c r="A474" s="39"/>
      <c r="B474" s="39"/>
      <c r="C474" s="39"/>
      <c r="D474" s="39"/>
      <c r="E474" s="39"/>
      <c r="F474" s="39"/>
      <c r="G474" s="39"/>
      <c r="H474" s="39"/>
      <c r="I474" s="39"/>
      <c r="J474" s="39"/>
      <c r="K474" s="39"/>
      <c r="L474" s="39"/>
      <c r="M474" s="39"/>
      <c r="N474" s="39"/>
      <c r="O474" s="39"/>
      <c r="P474" s="39"/>
    </row>
    <row r="475" spans="1:16" ht="12.75" customHeight="1">
      <c r="A475" s="39"/>
      <c r="B475" s="39"/>
      <c r="C475" s="39"/>
      <c r="D475" s="39"/>
      <c r="E475" s="39"/>
      <c r="F475" s="39"/>
      <c r="G475" s="39"/>
      <c r="H475" s="39"/>
      <c r="I475" s="39"/>
      <c r="J475" s="39"/>
      <c r="K475" s="39"/>
      <c r="L475" s="39"/>
      <c r="M475" s="39"/>
      <c r="N475" s="39"/>
      <c r="O475" s="39"/>
      <c r="P475" s="39"/>
    </row>
    <row r="476" spans="1:16" ht="12.75" customHeight="1">
      <c r="A476" s="39"/>
      <c r="B476" s="39"/>
      <c r="C476" s="39"/>
      <c r="D476" s="39"/>
      <c r="E476" s="39"/>
      <c r="F476" s="39"/>
      <c r="G476" s="39"/>
      <c r="H476" s="39"/>
      <c r="I476" s="39"/>
      <c r="J476" s="39"/>
      <c r="K476" s="39"/>
      <c r="L476" s="39"/>
      <c r="M476" s="39"/>
      <c r="N476" s="39"/>
      <c r="O476" s="39"/>
      <c r="P476" s="39"/>
    </row>
    <row r="477" spans="1:16" ht="12.75" customHeight="1">
      <c r="A477" s="39"/>
      <c r="B477" s="39"/>
      <c r="C477" s="39"/>
      <c r="D477" s="39"/>
      <c r="E477" s="39"/>
      <c r="F477" s="39"/>
      <c r="G477" s="39"/>
      <c r="H477" s="39"/>
      <c r="I477" s="39"/>
      <c r="J477" s="39"/>
      <c r="K477" s="39"/>
      <c r="L477" s="39"/>
      <c r="M477" s="39"/>
      <c r="N477" s="39"/>
      <c r="O477" s="39"/>
      <c r="P477" s="39"/>
    </row>
    <row r="478" spans="1:16" ht="12.75" customHeight="1">
      <c r="A478" s="39"/>
      <c r="B478" s="39"/>
      <c r="C478" s="39"/>
      <c r="D478" s="39"/>
      <c r="E478" s="39"/>
      <c r="F478" s="39"/>
      <c r="G478" s="39"/>
      <c r="H478" s="39"/>
      <c r="I478" s="39"/>
      <c r="J478" s="39"/>
      <c r="K478" s="39"/>
      <c r="L478" s="39"/>
      <c r="M478" s="39"/>
      <c r="N478" s="39"/>
      <c r="O478" s="39"/>
      <c r="P478" s="39"/>
    </row>
    <row r="479" spans="1:16" ht="12.75" customHeight="1">
      <c r="A479" s="39"/>
      <c r="B479" s="39"/>
      <c r="C479" s="39"/>
      <c r="D479" s="39"/>
      <c r="E479" s="39"/>
      <c r="F479" s="39"/>
      <c r="G479" s="39"/>
      <c r="H479" s="39"/>
      <c r="I479" s="39"/>
      <c r="J479" s="39"/>
      <c r="K479" s="39"/>
      <c r="L479" s="39"/>
      <c r="M479" s="39"/>
      <c r="N479" s="39"/>
      <c r="O479" s="39"/>
      <c r="P479" s="39"/>
    </row>
    <row r="480" spans="1:16" ht="12.75" customHeight="1">
      <c r="A480" s="39"/>
      <c r="B480" s="39"/>
      <c r="C480" s="39"/>
      <c r="D480" s="39"/>
      <c r="E480" s="39"/>
      <c r="F480" s="39"/>
      <c r="G480" s="39"/>
      <c r="H480" s="39"/>
      <c r="I480" s="39"/>
      <c r="J480" s="39"/>
      <c r="K480" s="39"/>
      <c r="L480" s="39"/>
      <c r="M480" s="39"/>
      <c r="N480" s="39"/>
      <c r="O480" s="39"/>
      <c r="P480" s="39"/>
    </row>
    <row r="481" spans="1:16" ht="12.75" customHeight="1">
      <c r="A481" s="39"/>
      <c r="B481" s="39"/>
      <c r="C481" s="39"/>
      <c r="D481" s="39"/>
      <c r="E481" s="39"/>
      <c r="F481" s="39"/>
      <c r="G481" s="39"/>
      <c r="H481" s="39"/>
      <c r="I481" s="39"/>
      <c r="J481" s="39"/>
      <c r="K481" s="39"/>
      <c r="L481" s="39"/>
      <c r="M481" s="39"/>
      <c r="N481" s="39"/>
      <c r="O481" s="39"/>
      <c r="P481" s="39"/>
    </row>
    <row r="482" spans="1:16" ht="12.75" customHeight="1">
      <c r="A482" s="39"/>
      <c r="B482" s="39"/>
      <c r="C482" s="39"/>
      <c r="D482" s="39"/>
      <c r="E482" s="39"/>
      <c r="F482" s="39"/>
      <c r="G482" s="39"/>
      <c r="H482" s="39"/>
      <c r="I482" s="39"/>
      <c r="J482" s="39"/>
      <c r="K482" s="39"/>
      <c r="L482" s="39"/>
      <c r="M482" s="39"/>
      <c r="N482" s="39"/>
      <c r="O482" s="39"/>
      <c r="P482" s="39"/>
    </row>
    <row r="483" spans="1:16" ht="12.75" customHeight="1">
      <c r="A483" s="39"/>
      <c r="B483" s="39"/>
      <c r="C483" s="39"/>
      <c r="D483" s="39"/>
      <c r="E483" s="39"/>
      <c r="F483" s="39"/>
      <c r="G483" s="39"/>
      <c r="H483" s="39"/>
      <c r="I483" s="39"/>
      <c r="J483" s="39"/>
      <c r="K483" s="39"/>
      <c r="L483" s="39"/>
      <c r="M483" s="39"/>
      <c r="N483" s="39"/>
      <c r="O483" s="39"/>
      <c r="P483" s="39"/>
    </row>
    <row r="484" spans="1:16" ht="12.75" customHeight="1">
      <c r="A484" s="39"/>
      <c r="B484" s="39"/>
      <c r="C484" s="39"/>
      <c r="D484" s="39"/>
      <c r="E484" s="39"/>
      <c r="F484" s="39"/>
      <c r="G484" s="39"/>
      <c r="H484" s="39"/>
      <c r="I484" s="39"/>
      <c r="J484" s="39"/>
      <c r="K484" s="39"/>
      <c r="L484" s="39"/>
      <c r="M484" s="39"/>
      <c r="N484" s="39"/>
      <c r="O484" s="39"/>
      <c r="P484" s="39"/>
    </row>
    <row r="485" spans="1:16" ht="12.75" customHeight="1">
      <c r="A485" s="39"/>
      <c r="B485" s="39"/>
      <c r="C485" s="39"/>
      <c r="D485" s="39"/>
      <c r="E485" s="39"/>
      <c r="F485" s="39"/>
      <c r="G485" s="39"/>
      <c r="H485" s="39"/>
      <c r="I485" s="39"/>
      <c r="J485" s="39"/>
      <c r="K485" s="39"/>
      <c r="L485" s="39"/>
      <c r="M485" s="39"/>
      <c r="N485" s="39"/>
      <c r="O485" s="39"/>
      <c r="P485" s="39"/>
    </row>
    <row r="486" spans="1:16" ht="12.75" customHeight="1">
      <c r="A486" s="39"/>
      <c r="B486" s="39"/>
      <c r="C486" s="39"/>
      <c r="D486" s="39"/>
      <c r="E486" s="39"/>
      <c r="F486" s="39"/>
      <c r="G486" s="39"/>
      <c r="H486" s="39"/>
      <c r="I486" s="39"/>
      <c r="J486" s="39"/>
      <c r="K486" s="39"/>
      <c r="L486" s="39"/>
      <c r="M486" s="39"/>
      <c r="N486" s="39"/>
      <c r="O486" s="39"/>
      <c r="P486" s="39"/>
    </row>
    <row r="487" spans="1:16" ht="12.75" customHeight="1">
      <c r="A487" s="39"/>
      <c r="B487" s="39"/>
      <c r="C487" s="39"/>
      <c r="D487" s="39"/>
      <c r="E487" s="39"/>
      <c r="F487" s="39"/>
      <c r="G487" s="39"/>
      <c r="H487" s="39"/>
      <c r="I487" s="39"/>
      <c r="J487" s="39"/>
      <c r="K487" s="39"/>
      <c r="L487" s="39"/>
      <c r="M487" s="39"/>
      <c r="N487" s="39"/>
      <c r="O487" s="39"/>
      <c r="P487" s="39"/>
    </row>
    <row r="488" spans="1:16" ht="12.75" customHeight="1">
      <c r="A488" s="39"/>
      <c r="B488" s="39"/>
      <c r="C488" s="39"/>
      <c r="D488" s="39"/>
      <c r="E488" s="39"/>
      <c r="F488" s="39"/>
      <c r="G488" s="39"/>
      <c r="H488" s="39"/>
      <c r="I488" s="39"/>
      <c r="J488" s="39"/>
      <c r="K488" s="39"/>
      <c r="L488" s="39"/>
      <c r="M488" s="39"/>
      <c r="N488" s="39"/>
      <c r="O488" s="39"/>
      <c r="P488" s="39"/>
    </row>
    <row r="489" spans="1:16" ht="12.75" customHeight="1">
      <c r="A489" s="39"/>
      <c r="B489" s="39"/>
      <c r="C489" s="39"/>
      <c r="D489" s="39"/>
      <c r="E489" s="39"/>
      <c r="F489" s="39"/>
      <c r="G489" s="39"/>
      <c r="H489" s="39"/>
      <c r="I489" s="39"/>
      <c r="J489" s="39"/>
      <c r="K489" s="39"/>
      <c r="L489" s="39"/>
      <c r="M489" s="39"/>
      <c r="N489" s="39"/>
      <c r="O489" s="39"/>
      <c r="P489" s="39"/>
    </row>
    <row r="490" spans="1:16" ht="12.75" customHeight="1">
      <c r="A490" s="39"/>
      <c r="B490" s="39"/>
      <c r="C490" s="39"/>
      <c r="D490" s="39"/>
      <c r="E490" s="39"/>
      <c r="F490" s="39"/>
      <c r="G490" s="39"/>
      <c r="H490" s="39"/>
      <c r="I490" s="39"/>
      <c r="J490" s="39"/>
      <c r="K490" s="39"/>
      <c r="L490" s="39"/>
      <c r="M490" s="39"/>
      <c r="N490" s="39"/>
      <c r="O490" s="39"/>
      <c r="P490" s="39"/>
    </row>
    <row r="491" spans="1:16" ht="12.75" customHeight="1">
      <c r="A491" s="39"/>
      <c r="B491" s="39"/>
      <c r="C491" s="39"/>
      <c r="D491" s="39"/>
      <c r="E491" s="39"/>
      <c r="F491" s="39"/>
      <c r="G491" s="39"/>
      <c r="H491" s="39"/>
      <c r="I491" s="39"/>
      <c r="J491" s="39"/>
      <c r="K491" s="39"/>
      <c r="L491" s="39"/>
      <c r="M491" s="39"/>
      <c r="N491" s="39"/>
      <c r="O491" s="39"/>
      <c r="P491" s="39"/>
    </row>
    <row r="492" spans="1:16" ht="12.75" customHeight="1">
      <c r="A492" s="39"/>
      <c r="B492" s="39"/>
      <c r="C492" s="39"/>
      <c r="D492" s="39"/>
      <c r="E492" s="39"/>
      <c r="F492" s="39"/>
      <c r="G492" s="39"/>
      <c r="H492" s="39"/>
      <c r="I492" s="39"/>
      <c r="J492" s="39"/>
      <c r="K492" s="39"/>
      <c r="L492" s="39"/>
      <c r="M492" s="39"/>
      <c r="N492" s="39"/>
      <c r="O492" s="39"/>
      <c r="P492" s="39"/>
    </row>
    <row r="493" spans="1:16" ht="12.75" customHeight="1">
      <c r="A493" s="39"/>
      <c r="B493" s="39"/>
      <c r="C493" s="39"/>
      <c r="D493" s="39"/>
      <c r="E493" s="39"/>
      <c r="F493" s="39"/>
      <c r="G493" s="39"/>
      <c r="H493" s="39"/>
      <c r="I493" s="39"/>
      <c r="J493" s="39"/>
      <c r="K493" s="39"/>
      <c r="L493" s="39"/>
      <c r="M493" s="39"/>
      <c r="N493" s="39"/>
      <c r="O493" s="39"/>
      <c r="P493" s="39"/>
    </row>
    <row r="494" spans="1:16" ht="12.75" customHeight="1">
      <c r="A494" s="39"/>
      <c r="B494" s="39"/>
      <c r="C494" s="39"/>
      <c r="D494" s="39"/>
      <c r="E494" s="39"/>
      <c r="F494" s="39"/>
      <c r="G494" s="39"/>
      <c r="H494" s="39"/>
      <c r="I494" s="39"/>
      <c r="J494" s="39"/>
      <c r="K494" s="39"/>
      <c r="L494" s="39"/>
      <c r="M494" s="39"/>
      <c r="N494" s="39"/>
      <c r="O494" s="39"/>
      <c r="P494" s="39"/>
    </row>
    <row r="495" spans="1:16" ht="12.75" customHeight="1">
      <c r="A495" s="39"/>
      <c r="B495" s="39"/>
      <c r="C495" s="39"/>
      <c r="D495" s="39"/>
      <c r="E495" s="39"/>
      <c r="F495" s="39"/>
      <c r="G495" s="39"/>
      <c r="H495" s="39"/>
      <c r="I495" s="39"/>
      <c r="J495" s="39"/>
      <c r="K495" s="39"/>
      <c r="L495" s="39"/>
      <c r="M495" s="39"/>
      <c r="N495" s="39"/>
      <c r="O495" s="39"/>
      <c r="P495" s="39"/>
    </row>
    <row r="496" spans="1:16" ht="12.75" customHeight="1">
      <c r="A496" s="39"/>
      <c r="B496" s="39"/>
      <c r="C496" s="39"/>
      <c r="D496" s="39"/>
      <c r="E496" s="39"/>
      <c r="F496" s="39"/>
      <c r="G496" s="39"/>
      <c r="H496" s="39"/>
      <c r="I496" s="39"/>
      <c r="J496" s="39"/>
      <c r="K496" s="39"/>
      <c r="L496" s="39"/>
      <c r="M496" s="39"/>
      <c r="N496" s="39"/>
      <c r="O496" s="39"/>
      <c r="P496" s="39"/>
    </row>
    <row r="497" spans="1:16" ht="12.75" customHeight="1">
      <c r="A497" s="39"/>
      <c r="B497" s="39"/>
      <c r="C497" s="39"/>
      <c r="D497" s="39"/>
      <c r="E497" s="39"/>
      <c r="F497" s="39"/>
      <c r="G497" s="39"/>
      <c r="H497" s="39"/>
      <c r="I497" s="39"/>
      <c r="J497" s="39"/>
      <c r="K497" s="39"/>
      <c r="L497" s="39"/>
      <c r="M497" s="39"/>
      <c r="N497" s="39"/>
      <c r="O497" s="39"/>
      <c r="P497" s="39"/>
    </row>
    <row r="498" spans="1:16" ht="12.75" customHeight="1">
      <c r="A498" s="39"/>
      <c r="B498" s="39"/>
      <c r="C498" s="39"/>
      <c r="D498" s="39"/>
      <c r="E498" s="39"/>
      <c r="F498" s="39"/>
      <c r="G498" s="39"/>
      <c r="H498" s="39"/>
      <c r="I498" s="39"/>
      <c r="J498" s="39"/>
      <c r="K498" s="39"/>
      <c r="L498" s="39"/>
      <c r="M498" s="39"/>
      <c r="N498" s="39"/>
      <c r="O498" s="39"/>
      <c r="P498" s="39"/>
    </row>
    <row r="499" spans="1:16" ht="12.75" customHeight="1">
      <c r="A499" s="39"/>
      <c r="B499" s="39"/>
      <c r="C499" s="39"/>
      <c r="D499" s="39"/>
      <c r="E499" s="39"/>
      <c r="F499" s="39"/>
      <c r="G499" s="39"/>
      <c r="H499" s="39"/>
      <c r="I499" s="39"/>
      <c r="J499" s="39"/>
      <c r="K499" s="39"/>
      <c r="L499" s="39"/>
      <c r="M499" s="39"/>
      <c r="N499" s="39"/>
      <c r="O499" s="39"/>
      <c r="P499" s="39"/>
    </row>
    <row r="500" spans="1:16" ht="12.75" customHeight="1">
      <c r="A500" s="39"/>
      <c r="B500" s="39"/>
      <c r="C500" s="39"/>
      <c r="D500" s="39"/>
      <c r="E500" s="39"/>
      <c r="F500" s="39"/>
      <c r="G500" s="39"/>
      <c r="H500" s="39"/>
      <c r="I500" s="39"/>
      <c r="J500" s="39"/>
      <c r="K500" s="39"/>
      <c r="L500" s="39"/>
      <c r="M500" s="39"/>
      <c r="N500" s="39"/>
      <c r="O500" s="39"/>
      <c r="P500" s="39"/>
    </row>
    <row r="501" spans="1:16" ht="12.75" customHeight="1">
      <c r="A501" s="39"/>
      <c r="B501" s="39"/>
      <c r="C501" s="39"/>
      <c r="D501" s="39"/>
      <c r="E501" s="39"/>
      <c r="F501" s="39"/>
      <c r="G501" s="39"/>
      <c r="H501" s="39"/>
      <c r="I501" s="39"/>
      <c r="J501" s="39"/>
      <c r="K501" s="39"/>
      <c r="L501" s="39"/>
      <c r="M501" s="39"/>
      <c r="N501" s="39"/>
      <c r="O501" s="39"/>
      <c r="P501" s="39"/>
    </row>
    <row r="502" spans="1:16" ht="12.75" customHeight="1">
      <c r="A502" s="39"/>
      <c r="B502" s="39"/>
      <c r="C502" s="39"/>
      <c r="D502" s="39"/>
      <c r="E502" s="39"/>
      <c r="F502" s="39"/>
      <c r="G502" s="39"/>
      <c r="H502" s="39"/>
      <c r="I502" s="39"/>
      <c r="J502" s="39"/>
      <c r="K502" s="39"/>
      <c r="L502" s="39"/>
      <c r="M502" s="39"/>
      <c r="N502" s="39"/>
      <c r="O502" s="39"/>
      <c r="P502" s="39"/>
    </row>
    <row r="503" spans="1:16" ht="12.75" customHeight="1">
      <c r="A503" s="39"/>
      <c r="B503" s="39"/>
      <c r="C503" s="39"/>
      <c r="D503" s="39"/>
      <c r="E503" s="39"/>
      <c r="F503" s="39"/>
      <c r="G503" s="39"/>
      <c r="H503" s="39"/>
      <c r="I503" s="39"/>
      <c r="J503" s="39"/>
      <c r="K503" s="39"/>
      <c r="L503" s="39"/>
      <c r="M503" s="39"/>
      <c r="N503" s="39"/>
      <c r="O503" s="39"/>
      <c r="P503" s="39"/>
    </row>
    <row r="504" spans="1:16" ht="12.75" customHeight="1">
      <c r="A504" s="39"/>
      <c r="B504" s="39"/>
      <c r="C504" s="39"/>
      <c r="D504" s="39"/>
      <c r="E504" s="39"/>
      <c r="F504" s="39"/>
      <c r="G504" s="39"/>
      <c r="H504" s="39"/>
      <c r="I504" s="39"/>
      <c r="J504" s="39"/>
      <c r="K504" s="39"/>
      <c r="L504" s="39"/>
      <c r="M504" s="39"/>
      <c r="N504" s="39"/>
      <c r="O504" s="39"/>
      <c r="P504" s="39"/>
    </row>
    <row r="505" spans="1:16" ht="12.75" customHeight="1">
      <c r="A505" s="39"/>
      <c r="B505" s="39"/>
      <c r="C505" s="39"/>
      <c r="D505" s="39"/>
      <c r="E505" s="39"/>
      <c r="F505" s="39"/>
      <c r="G505" s="39"/>
      <c r="H505" s="39"/>
      <c r="I505" s="39"/>
      <c r="J505" s="39"/>
      <c r="K505" s="39"/>
      <c r="L505" s="39"/>
      <c r="M505" s="39"/>
      <c r="N505" s="39"/>
      <c r="O505" s="39"/>
      <c r="P505" s="39"/>
    </row>
    <row r="506" spans="1:16" ht="12.75" customHeight="1">
      <c r="A506" s="39"/>
      <c r="B506" s="39"/>
      <c r="C506" s="39"/>
      <c r="D506" s="39"/>
      <c r="E506" s="39"/>
      <c r="F506" s="39"/>
      <c r="G506" s="39"/>
      <c r="H506" s="39"/>
      <c r="I506" s="39"/>
      <c r="J506" s="39"/>
      <c r="K506" s="39"/>
      <c r="L506" s="39"/>
      <c r="M506" s="39"/>
      <c r="N506" s="39"/>
      <c r="O506" s="39"/>
      <c r="P506" s="39"/>
    </row>
    <row r="507" spans="1:16" ht="12.75" customHeight="1">
      <c r="A507" s="39"/>
      <c r="B507" s="39"/>
      <c r="C507" s="39"/>
      <c r="D507" s="39"/>
      <c r="E507" s="39"/>
      <c r="F507" s="39"/>
      <c r="G507" s="39"/>
      <c r="H507" s="39"/>
      <c r="I507" s="39"/>
      <c r="J507" s="39"/>
      <c r="K507" s="39"/>
      <c r="L507" s="39"/>
      <c r="M507" s="39"/>
      <c r="N507" s="39"/>
      <c r="O507" s="39"/>
      <c r="P507" s="39"/>
    </row>
    <row r="508" spans="1:16" ht="12.75" customHeight="1">
      <c r="A508" s="39"/>
      <c r="B508" s="39"/>
      <c r="C508" s="39"/>
      <c r="D508" s="39"/>
      <c r="E508" s="39"/>
      <c r="F508" s="39"/>
      <c r="G508" s="39"/>
      <c r="H508" s="39"/>
      <c r="I508" s="39"/>
      <c r="J508" s="39"/>
      <c r="K508" s="39"/>
      <c r="L508" s="39"/>
      <c r="M508" s="39"/>
      <c r="N508" s="39"/>
      <c r="O508" s="39"/>
      <c r="P508" s="39"/>
    </row>
    <row r="509" spans="1:16" ht="12.75" customHeight="1">
      <c r="A509" s="39"/>
      <c r="B509" s="39"/>
      <c r="C509" s="39"/>
      <c r="D509" s="39"/>
      <c r="E509" s="39"/>
      <c r="F509" s="39"/>
      <c r="G509" s="39"/>
      <c r="H509" s="39"/>
      <c r="I509" s="39"/>
      <c r="J509" s="39"/>
      <c r="K509" s="39"/>
      <c r="L509" s="39"/>
      <c r="M509" s="39"/>
      <c r="N509" s="39"/>
      <c r="O509" s="39"/>
      <c r="P509" s="39"/>
    </row>
    <row r="510" spans="1:16" ht="12.75" customHeight="1">
      <c r="A510" s="39"/>
      <c r="B510" s="39"/>
      <c r="C510" s="39"/>
      <c r="D510" s="39"/>
      <c r="E510" s="39"/>
      <c r="F510" s="39"/>
      <c r="G510" s="39"/>
      <c r="H510" s="39"/>
      <c r="I510" s="39"/>
      <c r="J510" s="39"/>
      <c r="K510" s="39"/>
      <c r="L510" s="39"/>
      <c r="M510" s="39"/>
      <c r="N510" s="39"/>
      <c r="O510" s="39"/>
      <c r="P510" s="39"/>
    </row>
    <row r="511" spans="1:16" ht="12.75" customHeight="1">
      <c r="A511" s="39"/>
      <c r="B511" s="39"/>
      <c r="C511" s="39"/>
      <c r="D511" s="39"/>
      <c r="E511" s="39"/>
      <c r="F511" s="39"/>
      <c r="G511" s="39"/>
      <c r="H511" s="39"/>
      <c r="I511" s="39"/>
      <c r="J511" s="39"/>
      <c r="K511" s="39"/>
      <c r="L511" s="39"/>
      <c r="M511" s="39"/>
      <c r="N511" s="39"/>
      <c r="O511" s="39"/>
      <c r="P511" s="39"/>
    </row>
    <row r="512" spans="1:16" ht="12.75" customHeight="1">
      <c r="A512" s="39"/>
      <c r="B512" s="39"/>
      <c r="C512" s="39"/>
      <c r="D512" s="39"/>
      <c r="E512" s="39"/>
      <c r="F512" s="39"/>
      <c r="G512" s="39"/>
      <c r="H512" s="39"/>
      <c r="I512" s="39"/>
      <c r="J512" s="39"/>
      <c r="K512" s="39"/>
      <c r="L512" s="39"/>
      <c r="M512" s="39"/>
      <c r="N512" s="39"/>
      <c r="O512" s="39"/>
      <c r="P512" s="39"/>
    </row>
    <row r="513" spans="1:16" ht="12.75" customHeight="1">
      <c r="A513" s="39"/>
      <c r="B513" s="39"/>
      <c r="C513" s="39"/>
      <c r="D513" s="39"/>
      <c r="E513" s="39"/>
      <c r="F513" s="39"/>
      <c r="G513" s="39"/>
      <c r="H513" s="39"/>
      <c r="I513" s="39"/>
      <c r="J513" s="39"/>
      <c r="K513" s="39"/>
      <c r="L513" s="39"/>
      <c r="M513" s="39"/>
      <c r="N513" s="39"/>
      <c r="O513" s="39"/>
      <c r="P513" s="39"/>
    </row>
    <row r="514" spans="1:16" ht="12.75" customHeight="1">
      <c r="A514" s="39"/>
      <c r="B514" s="39"/>
      <c r="C514" s="39"/>
      <c r="D514" s="39"/>
      <c r="E514" s="39"/>
      <c r="F514" s="39"/>
      <c r="G514" s="39"/>
      <c r="H514" s="39"/>
      <c r="I514" s="39"/>
      <c r="J514" s="39"/>
      <c r="K514" s="39"/>
      <c r="L514" s="39"/>
      <c r="M514" s="39"/>
      <c r="N514" s="39"/>
      <c r="O514" s="39"/>
      <c r="P514" s="39"/>
    </row>
    <row r="515" spans="1:16" ht="12.75" customHeight="1">
      <c r="A515" s="39"/>
      <c r="B515" s="39"/>
      <c r="C515" s="39"/>
      <c r="D515" s="39"/>
      <c r="E515" s="39"/>
      <c r="F515" s="39"/>
      <c r="G515" s="39"/>
      <c r="H515" s="39"/>
      <c r="I515" s="39"/>
      <c r="J515" s="39"/>
      <c r="K515" s="39"/>
      <c r="L515" s="39"/>
      <c r="M515" s="39"/>
      <c r="N515" s="39"/>
      <c r="O515" s="39"/>
      <c r="P515" s="39"/>
    </row>
    <row r="516" spans="1:16" ht="12.75" customHeight="1">
      <c r="A516" s="39"/>
      <c r="B516" s="39"/>
      <c r="C516" s="39"/>
      <c r="D516" s="39"/>
      <c r="E516" s="39"/>
      <c r="F516" s="39"/>
      <c r="G516" s="39"/>
      <c r="H516" s="39"/>
      <c r="I516" s="39"/>
      <c r="J516" s="39"/>
      <c r="K516" s="39"/>
      <c r="L516" s="39"/>
      <c r="M516" s="39"/>
      <c r="N516" s="39"/>
      <c r="O516" s="39"/>
      <c r="P516" s="39"/>
    </row>
    <row r="517" spans="1:16" ht="12.75" customHeight="1">
      <c r="A517" s="39"/>
      <c r="B517" s="39"/>
      <c r="C517" s="39"/>
      <c r="D517" s="39"/>
      <c r="E517" s="39"/>
      <c r="F517" s="39"/>
      <c r="G517" s="39"/>
      <c r="H517" s="39"/>
      <c r="I517" s="39"/>
      <c r="J517" s="39"/>
      <c r="K517" s="39"/>
      <c r="L517" s="39"/>
      <c r="M517" s="39"/>
      <c r="N517" s="39"/>
      <c r="O517" s="39"/>
      <c r="P517" s="39"/>
    </row>
    <row r="518" spans="1:16" ht="12.75" customHeight="1">
      <c r="A518" s="39"/>
      <c r="B518" s="39"/>
      <c r="C518" s="39"/>
      <c r="D518" s="39"/>
      <c r="E518" s="39"/>
      <c r="F518" s="39"/>
      <c r="G518" s="39"/>
      <c r="H518" s="39"/>
      <c r="I518" s="39"/>
      <c r="J518" s="39"/>
      <c r="K518" s="39"/>
      <c r="L518" s="39"/>
      <c r="M518" s="39"/>
      <c r="N518" s="39"/>
      <c r="O518" s="39"/>
      <c r="P518" s="39"/>
    </row>
    <row r="519" spans="1:16" ht="12.75" customHeight="1">
      <c r="A519" s="39"/>
      <c r="B519" s="39"/>
      <c r="C519" s="39"/>
      <c r="D519" s="39"/>
      <c r="E519" s="39"/>
      <c r="F519" s="39"/>
      <c r="G519" s="39"/>
      <c r="H519" s="39"/>
      <c r="I519" s="39"/>
      <c r="J519" s="39"/>
      <c r="K519" s="39"/>
      <c r="L519" s="39"/>
      <c r="M519" s="39"/>
      <c r="N519" s="39"/>
      <c r="O519" s="39"/>
      <c r="P519" s="39"/>
    </row>
    <row r="520" spans="1:16" ht="12.75" customHeight="1">
      <c r="A520" s="39"/>
      <c r="B520" s="39"/>
      <c r="C520" s="39"/>
      <c r="D520" s="39"/>
      <c r="E520" s="39"/>
      <c r="F520" s="39"/>
      <c r="G520" s="39"/>
      <c r="H520" s="39"/>
      <c r="I520" s="39"/>
      <c r="J520" s="39"/>
      <c r="K520" s="39"/>
      <c r="L520" s="39"/>
      <c r="M520" s="39"/>
      <c r="N520" s="39"/>
      <c r="O520" s="39"/>
      <c r="P520" s="39"/>
    </row>
    <row r="521" spans="1:16" ht="12.75" customHeight="1">
      <c r="A521" s="39"/>
      <c r="B521" s="39"/>
      <c r="C521" s="39"/>
      <c r="D521" s="39"/>
      <c r="E521" s="39"/>
      <c r="F521" s="39"/>
      <c r="G521" s="39"/>
      <c r="H521" s="39"/>
      <c r="I521" s="39"/>
      <c r="J521" s="39"/>
      <c r="K521" s="39"/>
      <c r="L521" s="39"/>
      <c r="M521" s="39"/>
      <c r="N521" s="39"/>
      <c r="O521" s="39"/>
      <c r="P521" s="39"/>
    </row>
    <row r="522" spans="1:16" ht="12.75" customHeight="1">
      <c r="A522" s="39"/>
      <c r="B522" s="39"/>
      <c r="C522" s="39"/>
      <c r="D522" s="39"/>
      <c r="E522" s="39"/>
      <c r="F522" s="39"/>
      <c r="G522" s="39"/>
      <c r="H522" s="39"/>
      <c r="I522" s="39"/>
      <c r="J522" s="39"/>
      <c r="K522" s="39"/>
      <c r="L522" s="39"/>
      <c r="M522" s="39"/>
      <c r="N522" s="39"/>
      <c r="O522" s="39"/>
      <c r="P522" s="39"/>
    </row>
    <row r="523" spans="1:16" ht="12.75" customHeight="1">
      <c r="A523" s="39"/>
      <c r="B523" s="39"/>
      <c r="C523" s="39"/>
      <c r="D523" s="39"/>
      <c r="E523" s="39"/>
      <c r="F523" s="39"/>
      <c r="G523" s="39"/>
      <c r="H523" s="39"/>
      <c r="I523" s="39"/>
      <c r="J523" s="39"/>
      <c r="K523" s="39"/>
      <c r="L523" s="39"/>
      <c r="M523" s="39"/>
      <c r="N523" s="39"/>
      <c r="O523" s="39"/>
      <c r="P523" s="39"/>
    </row>
    <row r="524" spans="1:16" ht="12.75" customHeight="1">
      <c r="A524" s="39"/>
      <c r="B524" s="39"/>
      <c r="C524" s="39"/>
      <c r="D524" s="39"/>
      <c r="E524" s="39"/>
      <c r="F524" s="39"/>
      <c r="G524" s="39"/>
      <c r="H524" s="39"/>
      <c r="I524" s="39"/>
      <c r="J524" s="39"/>
      <c r="K524" s="39"/>
      <c r="L524" s="39"/>
      <c r="M524" s="39"/>
      <c r="N524" s="39"/>
      <c r="O524" s="39"/>
      <c r="P524" s="39"/>
    </row>
    <row r="525" spans="1:16" ht="12.75" customHeight="1">
      <c r="A525" s="39"/>
      <c r="B525" s="39"/>
      <c r="C525" s="39"/>
      <c r="D525" s="39"/>
      <c r="E525" s="39"/>
      <c r="F525" s="39"/>
      <c r="G525" s="39"/>
      <c r="H525" s="39"/>
      <c r="I525" s="39"/>
      <c r="J525" s="39"/>
      <c r="K525" s="39"/>
      <c r="L525" s="39"/>
      <c r="M525" s="39"/>
      <c r="N525" s="39"/>
      <c r="O525" s="39"/>
      <c r="P525" s="39"/>
    </row>
    <row r="526" spans="1:16" ht="12.75" customHeight="1">
      <c r="A526" s="39"/>
      <c r="B526" s="39"/>
      <c r="C526" s="39"/>
      <c r="D526" s="39"/>
      <c r="E526" s="39"/>
      <c r="F526" s="39"/>
      <c r="G526" s="39"/>
      <c r="H526" s="39"/>
      <c r="I526" s="39"/>
      <c r="J526" s="39"/>
      <c r="K526" s="39"/>
      <c r="L526" s="39"/>
      <c r="M526" s="39"/>
      <c r="N526" s="39"/>
      <c r="O526" s="39"/>
      <c r="P526" s="39"/>
    </row>
    <row r="527" spans="1:16" ht="12.75" customHeight="1">
      <c r="A527" s="39"/>
      <c r="B527" s="39"/>
      <c r="C527" s="39"/>
      <c r="D527" s="39"/>
      <c r="E527" s="39"/>
      <c r="F527" s="39"/>
      <c r="G527" s="39"/>
      <c r="H527" s="39"/>
      <c r="I527" s="39"/>
      <c r="J527" s="39"/>
      <c r="K527" s="39"/>
      <c r="L527" s="39"/>
      <c r="M527" s="39"/>
      <c r="N527" s="39"/>
      <c r="O527" s="39"/>
      <c r="P527" s="39"/>
    </row>
    <row r="528" spans="1:16" ht="12.75" customHeight="1">
      <c r="A528" s="39"/>
      <c r="B528" s="39"/>
      <c r="C528" s="39"/>
      <c r="D528" s="39"/>
      <c r="E528" s="39"/>
      <c r="F528" s="39"/>
      <c r="G528" s="39"/>
      <c r="H528" s="39"/>
      <c r="I528" s="39"/>
      <c r="J528" s="39"/>
      <c r="K528" s="39"/>
      <c r="L528" s="39"/>
      <c r="M528" s="39"/>
      <c r="N528" s="39"/>
      <c r="O528" s="39"/>
      <c r="P528" s="39"/>
    </row>
    <row r="529" spans="1:16" ht="12.75" customHeight="1">
      <c r="A529" s="39"/>
      <c r="B529" s="39"/>
      <c r="C529" s="39"/>
      <c r="D529" s="39"/>
      <c r="E529" s="39"/>
      <c r="F529" s="39"/>
      <c r="G529" s="39"/>
      <c r="H529" s="39"/>
      <c r="I529" s="39"/>
      <c r="J529" s="39"/>
      <c r="K529" s="39"/>
      <c r="L529" s="39"/>
      <c r="M529" s="39"/>
      <c r="N529" s="39"/>
      <c r="O529" s="39"/>
      <c r="P529" s="39"/>
    </row>
    <row r="530" spans="1:16" ht="12.75" customHeight="1">
      <c r="A530" s="39"/>
      <c r="B530" s="39"/>
      <c r="C530" s="39"/>
      <c r="D530" s="39"/>
      <c r="E530" s="39"/>
      <c r="F530" s="39"/>
      <c r="G530" s="39"/>
      <c r="H530" s="39"/>
      <c r="I530" s="39"/>
      <c r="J530" s="39"/>
      <c r="K530" s="39"/>
      <c r="L530" s="39"/>
      <c r="M530" s="39"/>
      <c r="N530" s="39"/>
      <c r="O530" s="39"/>
      <c r="P530" s="39"/>
    </row>
    <row r="531" spans="1:16" ht="12.75" customHeight="1">
      <c r="A531" s="39"/>
      <c r="B531" s="39"/>
      <c r="C531" s="39"/>
      <c r="D531" s="39"/>
      <c r="E531" s="39"/>
      <c r="F531" s="39"/>
      <c r="G531" s="39"/>
      <c r="H531" s="39"/>
      <c r="I531" s="39"/>
      <c r="J531" s="39"/>
      <c r="K531" s="39"/>
      <c r="L531" s="39"/>
      <c r="M531" s="39"/>
      <c r="N531" s="39"/>
      <c r="O531" s="39"/>
      <c r="P531" s="39"/>
    </row>
    <row r="532" spans="1:16" ht="12.75" customHeight="1">
      <c r="A532" s="39"/>
      <c r="B532" s="39"/>
      <c r="C532" s="39"/>
      <c r="D532" s="39"/>
      <c r="E532" s="39"/>
      <c r="F532" s="39"/>
      <c r="G532" s="39"/>
      <c r="H532" s="39"/>
      <c r="I532" s="39"/>
      <c r="J532" s="39"/>
      <c r="K532" s="39"/>
      <c r="L532" s="39"/>
      <c r="M532" s="39"/>
      <c r="N532" s="39"/>
      <c r="O532" s="39"/>
      <c r="P532" s="39"/>
    </row>
    <row r="533" spans="1:16" ht="12.75" customHeight="1">
      <c r="A533" s="39"/>
      <c r="B533" s="39"/>
      <c r="C533" s="39"/>
      <c r="D533" s="39"/>
      <c r="E533" s="39"/>
      <c r="F533" s="39"/>
      <c r="G533" s="39"/>
      <c r="H533" s="39"/>
      <c r="I533" s="39"/>
      <c r="J533" s="39"/>
      <c r="K533" s="39"/>
      <c r="L533" s="39"/>
      <c r="M533" s="39"/>
      <c r="N533" s="39"/>
      <c r="O533" s="39"/>
      <c r="P533" s="39"/>
    </row>
    <row r="534" spans="1:16" ht="12.75" customHeight="1">
      <c r="A534" s="39"/>
      <c r="B534" s="39"/>
      <c r="C534" s="39"/>
      <c r="D534" s="39"/>
      <c r="E534" s="39"/>
      <c r="F534" s="39"/>
      <c r="G534" s="39"/>
      <c r="H534" s="39"/>
      <c r="I534" s="39"/>
      <c r="J534" s="39"/>
      <c r="K534" s="39"/>
      <c r="L534" s="39"/>
      <c r="M534" s="39"/>
      <c r="N534" s="39"/>
      <c r="O534" s="39"/>
      <c r="P534" s="39"/>
    </row>
    <row r="535" spans="1:16" ht="12.75" customHeight="1">
      <c r="A535" s="39"/>
      <c r="B535" s="39"/>
      <c r="C535" s="39"/>
      <c r="D535" s="39"/>
      <c r="E535" s="39"/>
      <c r="F535" s="39"/>
      <c r="G535" s="39"/>
      <c r="H535" s="39"/>
      <c r="I535" s="39"/>
      <c r="J535" s="39"/>
      <c r="K535" s="39"/>
      <c r="L535" s="39"/>
      <c r="M535" s="39"/>
      <c r="N535" s="39"/>
      <c r="O535" s="39"/>
      <c r="P535" s="39"/>
    </row>
    <row r="536" spans="1:16" ht="12.75" customHeight="1">
      <c r="A536" s="39"/>
      <c r="B536" s="39"/>
      <c r="C536" s="39"/>
      <c r="D536" s="39"/>
      <c r="E536" s="39"/>
      <c r="F536" s="39"/>
      <c r="G536" s="39"/>
      <c r="H536" s="39"/>
      <c r="I536" s="39"/>
      <c r="J536" s="39"/>
      <c r="K536" s="39"/>
      <c r="L536" s="39"/>
      <c r="M536" s="39"/>
      <c r="N536" s="39"/>
      <c r="O536" s="39"/>
      <c r="P536" s="39"/>
    </row>
    <row r="537" spans="1:16" ht="12.75" customHeight="1">
      <c r="A537" s="39"/>
      <c r="B537" s="39"/>
      <c r="C537" s="39"/>
      <c r="D537" s="39"/>
      <c r="E537" s="39"/>
      <c r="F537" s="39"/>
      <c r="G537" s="39"/>
      <c r="H537" s="39"/>
      <c r="I537" s="39"/>
      <c r="J537" s="39"/>
      <c r="K537" s="39"/>
      <c r="L537" s="39"/>
      <c r="M537" s="39"/>
      <c r="N537" s="39"/>
      <c r="O537" s="39"/>
      <c r="P537" s="39"/>
    </row>
    <row r="538" spans="1:16" ht="12.75" customHeight="1">
      <c r="A538" s="39"/>
      <c r="B538" s="39"/>
      <c r="C538" s="39"/>
      <c r="D538" s="39"/>
      <c r="E538" s="39"/>
      <c r="F538" s="39"/>
      <c r="G538" s="39"/>
      <c r="H538" s="39"/>
      <c r="I538" s="39"/>
      <c r="J538" s="39"/>
      <c r="K538" s="39"/>
      <c r="L538" s="39"/>
      <c r="M538" s="39"/>
      <c r="N538" s="39"/>
      <c r="O538" s="39"/>
      <c r="P538" s="39"/>
    </row>
    <row r="539" spans="1:16" ht="12.75" customHeight="1">
      <c r="A539" s="39"/>
      <c r="B539" s="39"/>
      <c r="C539" s="39"/>
      <c r="D539" s="39"/>
      <c r="E539" s="39"/>
      <c r="F539" s="39"/>
      <c r="G539" s="39"/>
      <c r="H539" s="39"/>
      <c r="I539" s="39"/>
      <c r="J539" s="39"/>
      <c r="K539" s="39"/>
      <c r="L539" s="39"/>
      <c r="M539" s="39"/>
      <c r="N539" s="39"/>
      <c r="O539" s="39"/>
      <c r="P539" s="39"/>
    </row>
    <row r="540" spans="1:16" ht="12.75" customHeight="1">
      <c r="A540" s="39"/>
      <c r="B540" s="39"/>
      <c r="C540" s="39"/>
      <c r="D540" s="39"/>
      <c r="E540" s="39"/>
      <c r="F540" s="39"/>
      <c r="G540" s="39"/>
      <c r="H540" s="39"/>
      <c r="I540" s="39"/>
      <c r="J540" s="39"/>
      <c r="K540" s="39"/>
      <c r="L540" s="39"/>
      <c r="M540" s="39"/>
      <c r="N540" s="39"/>
      <c r="O540" s="39"/>
      <c r="P540" s="39"/>
    </row>
    <row r="541" spans="1:16" ht="12.75" customHeight="1">
      <c r="A541" s="39"/>
      <c r="B541" s="39"/>
      <c r="C541" s="39"/>
      <c r="D541" s="39"/>
      <c r="E541" s="39"/>
      <c r="F541" s="39"/>
      <c r="G541" s="39"/>
      <c r="H541" s="39"/>
      <c r="I541" s="39"/>
      <c r="J541" s="39"/>
      <c r="K541" s="39"/>
      <c r="L541" s="39"/>
      <c r="M541" s="39"/>
      <c r="N541" s="39"/>
      <c r="O541" s="39"/>
      <c r="P541" s="39"/>
    </row>
    <row r="542" spans="1:16" ht="12.75" customHeight="1">
      <c r="A542" s="39"/>
      <c r="B542" s="39"/>
      <c r="C542" s="39"/>
      <c r="D542" s="39"/>
      <c r="E542" s="39"/>
      <c r="F542" s="39"/>
      <c r="G542" s="39"/>
      <c r="H542" s="39"/>
      <c r="I542" s="39"/>
      <c r="J542" s="39"/>
      <c r="K542" s="39"/>
      <c r="L542" s="39"/>
      <c r="M542" s="39"/>
      <c r="N542" s="39"/>
      <c r="O542" s="39"/>
      <c r="P542" s="39"/>
    </row>
    <row r="543" spans="1:16" ht="12.75" customHeight="1">
      <c r="A543" s="39"/>
      <c r="B543" s="39"/>
      <c r="C543" s="39"/>
      <c r="D543" s="39"/>
      <c r="E543" s="39"/>
      <c r="F543" s="39"/>
      <c r="G543" s="39"/>
      <c r="H543" s="39"/>
      <c r="I543" s="39"/>
      <c r="J543" s="39"/>
      <c r="K543" s="39"/>
      <c r="L543" s="39"/>
      <c r="M543" s="39"/>
      <c r="N543" s="39"/>
      <c r="O543" s="39"/>
      <c r="P543" s="39"/>
    </row>
    <row r="544" spans="1:16" ht="12.75" customHeight="1">
      <c r="A544" s="39"/>
      <c r="B544" s="39"/>
      <c r="C544" s="39"/>
      <c r="D544" s="39"/>
      <c r="E544" s="39"/>
      <c r="F544" s="39"/>
      <c r="G544" s="39"/>
      <c r="H544" s="39"/>
      <c r="I544" s="39"/>
      <c r="J544" s="39"/>
      <c r="K544" s="39"/>
      <c r="L544" s="39"/>
      <c r="M544" s="39"/>
      <c r="N544" s="39"/>
      <c r="O544" s="39"/>
      <c r="P544" s="39"/>
    </row>
    <row r="545" spans="1:16" ht="12.75" customHeight="1">
      <c r="A545" s="39"/>
      <c r="B545" s="39"/>
      <c r="C545" s="39"/>
      <c r="D545" s="39"/>
      <c r="E545" s="39"/>
      <c r="F545" s="39"/>
      <c r="G545" s="39"/>
      <c r="H545" s="39"/>
      <c r="I545" s="39"/>
      <c r="J545" s="39"/>
      <c r="K545" s="39"/>
      <c r="L545" s="39"/>
      <c r="M545" s="39"/>
      <c r="N545" s="39"/>
      <c r="O545" s="39"/>
      <c r="P545" s="39"/>
    </row>
    <row r="546" spans="1:16" ht="12.75" customHeight="1">
      <c r="A546" s="39"/>
      <c r="B546" s="39"/>
      <c r="C546" s="39"/>
      <c r="D546" s="39"/>
      <c r="E546" s="39"/>
      <c r="F546" s="39"/>
      <c r="G546" s="39"/>
      <c r="H546" s="39"/>
      <c r="I546" s="39"/>
      <c r="J546" s="39"/>
      <c r="K546" s="39"/>
      <c r="L546" s="39"/>
      <c r="M546" s="39"/>
      <c r="N546" s="39"/>
      <c r="O546" s="39"/>
      <c r="P546" s="39"/>
    </row>
    <row r="547" spans="1:16" ht="12.75" customHeight="1">
      <c r="A547" s="39"/>
      <c r="B547" s="39"/>
      <c r="C547" s="39"/>
      <c r="D547" s="39"/>
      <c r="E547" s="39"/>
      <c r="F547" s="39"/>
      <c r="G547" s="39"/>
      <c r="H547" s="39"/>
      <c r="I547" s="39"/>
      <c r="J547" s="39"/>
      <c r="K547" s="39"/>
      <c r="L547" s="39"/>
      <c r="M547" s="39"/>
      <c r="N547" s="39"/>
      <c r="O547" s="39"/>
      <c r="P547" s="39"/>
    </row>
    <row r="548" spans="1:16" ht="12.75" customHeight="1">
      <c r="A548" s="39"/>
      <c r="B548" s="39"/>
      <c r="C548" s="39"/>
      <c r="D548" s="39"/>
      <c r="E548" s="39"/>
      <c r="F548" s="39"/>
      <c r="G548" s="39"/>
      <c r="H548" s="39"/>
      <c r="I548" s="39"/>
      <c r="J548" s="39"/>
      <c r="K548" s="39"/>
      <c r="L548" s="39"/>
      <c r="M548" s="39"/>
      <c r="N548" s="39"/>
      <c r="O548" s="39"/>
      <c r="P548" s="39"/>
    </row>
    <row r="549" spans="1:16" ht="12.75" customHeight="1">
      <c r="A549" s="39"/>
      <c r="B549" s="39"/>
      <c r="C549" s="39"/>
      <c r="D549" s="39"/>
      <c r="E549" s="39"/>
      <c r="F549" s="39"/>
      <c r="G549" s="39"/>
      <c r="H549" s="39"/>
      <c r="I549" s="39"/>
      <c r="J549" s="39"/>
      <c r="K549" s="39"/>
      <c r="L549" s="39"/>
      <c r="M549" s="39"/>
      <c r="N549" s="39"/>
      <c r="O549" s="39"/>
      <c r="P549" s="39"/>
    </row>
    <row r="550" spans="1:16" ht="12.75" customHeight="1">
      <c r="A550" s="39"/>
      <c r="B550" s="39"/>
      <c r="C550" s="39"/>
      <c r="D550" s="39"/>
      <c r="E550" s="39"/>
      <c r="F550" s="39"/>
      <c r="G550" s="39"/>
      <c r="H550" s="39"/>
      <c r="I550" s="39"/>
      <c r="J550" s="39"/>
      <c r="K550" s="39"/>
      <c r="L550" s="39"/>
      <c r="M550" s="39"/>
      <c r="N550" s="39"/>
      <c r="O550" s="39"/>
      <c r="P550" s="39"/>
    </row>
    <row r="551" spans="1:16" ht="12.75" customHeight="1">
      <c r="A551" s="39"/>
      <c r="B551" s="39"/>
      <c r="C551" s="39"/>
      <c r="D551" s="39"/>
      <c r="E551" s="39"/>
      <c r="F551" s="39"/>
      <c r="G551" s="39"/>
      <c r="H551" s="39"/>
      <c r="I551" s="39"/>
      <c r="J551" s="39"/>
      <c r="K551" s="39"/>
      <c r="L551" s="39"/>
      <c r="M551" s="39"/>
      <c r="N551" s="39"/>
      <c r="O551" s="39"/>
      <c r="P551" s="39"/>
    </row>
    <row r="552" spans="1:16" ht="12.75" customHeight="1">
      <c r="A552" s="39"/>
      <c r="B552" s="39"/>
      <c r="C552" s="39"/>
      <c r="D552" s="39"/>
      <c r="E552" s="39"/>
      <c r="F552" s="39"/>
      <c r="G552" s="39"/>
      <c r="H552" s="39"/>
      <c r="I552" s="39"/>
      <c r="J552" s="39"/>
      <c r="K552" s="39"/>
      <c r="L552" s="39"/>
      <c r="M552" s="39"/>
      <c r="N552" s="39"/>
      <c r="O552" s="39"/>
      <c r="P552" s="39"/>
    </row>
    <row r="553" spans="1:16" ht="12.75" customHeight="1">
      <c r="A553" s="39"/>
      <c r="B553" s="39"/>
      <c r="C553" s="39"/>
      <c r="D553" s="39"/>
      <c r="E553" s="39"/>
      <c r="F553" s="39"/>
      <c r="G553" s="39"/>
      <c r="H553" s="39"/>
      <c r="I553" s="39"/>
      <c r="J553" s="39"/>
      <c r="K553" s="39"/>
      <c r="L553" s="39"/>
      <c r="M553" s="39"/>
      <c r="N553" s="39"/>
      <c r="O553" s="39"/>
      <c r="P553" s="39"/>
    </row>
    <row r="554" spans="1:16" ht="12.75" customHeight="1">
      <c r="A554" s="39"/>
      <c r="B554" s="39"/>
      <c r="C554" s="39"/>
      <c r="D554" s="39"/>
      <c r="E554" s="39"/>
      <c r="F554" s="39"/>
      <c r="G554" s="39"/>
      <c r="H554" s="39"/>
      <c r="I554" s="39"/>
      <c r="J554" s="39"/>
      <c r="K554" s="39"/>
      <c r="L554" s="39"/>
      <c r="M554" s="39"/>
      <c r="N554" s="39"/>
      <c r="O554" s="39"/>
      <c r="P554" s="39"/>
    </row>
    <row r="555" spans="1:16" ht="12.75" customHeight="1">
      <c r="A555" s="39"/>
      <c r="B555" s="39"/>
      <c r="C555" s="39"/>
      <c r="D555" s="39"/>
      <c r="E555" s="39"/>
      <c r="F555" s="39"/>
      <c r="G555" s="39"/>
      <c r="H555" s="39"/>
      <c r="I555" s="39"/>
      <c r="J555" s="39"/>
      <c r="K555" s="39"/>
      <c r="L555" s="39"/>
      <c r="M555" s="39"/>
      <c r="N555" s="39"/>
      <c r="O555" s="39"/>
      <c r="P555" s="39"/>
    </row>
    <row r="556" spans="1:16" ht="12.75" customHeight="1">
      <c r="A556" s="39"/>
      <c r="B556" s="39"/>
      <c r="C556" s="39"/>
      <c r="D556" s="39"/>
      <c r="E556" s="39"/>
      <c r="F556" s="39"/>
      <c r="G556" s="39"/>
      <c r="H556" s="39"/>
      <c r="I556" s="39"/>
      <c r="J556" s="39"/>
      <c r="K556" s="39"/>
      <c r="L556" s="39"/>
      <c r="M556" s="39"/>
      <c r="N556" s="39"/>
      <c r="O556" s="39"/>
      <c r="P556" s="39"/>
    </row>
    <row r="557" spans="1:16" ht="12.75" customHeight="1">
      <c r="A557" s="39"/>
      <c r="B557" s="39"/>
      <c r="C557" s="39"/>
      <c r="D557" s="39"/>
      <c r="E557" s="39"/>
      <c r="F557" s="39"/>
      <c r="G557" s="39"/>
      <c r="H557" s="39"/>
      <c r="I557" s="39"/>
      <c r="J557" s="39"/>
      <c r="K557" s="39"/>
      <c r="L557" s="39"/>
      <c r="M557" s="39"/>
      <c r="N557" s="39"/>
      <c r="O557" s="39"/>
      <c r="P557" s="39"/>
    </row>
    <row r="558" spans="1:16" ht="12.75" customHeight="1">
      <c r="A558" s="39"/>
      <c r="B558" s="39"/>
      <c r="C558" s="39"/>
      <c r="D558" s="39"/>
      <c r="E558" s="39"/>
      <c r="F558" s="39"/>
      <c r="G558" s="39"/>
      <c r="H558" s="39"/>
      <c r="I558" s="39"/>
      <c r="J558" s="39"/>
      <c r="K558" s="39"/>
      <c r="L558" s="39"/>
      <c r="M558" s="39"/>
      <c r="N558" s="39"/>
      <c r="O558" s="39"/>
      <c r="P558" s="39"/>
    </row>
    <row r="559" spans="1:16" ht="12.75" customHeight="1">
      <c r="A559" s="39"/>
      <c r="B559" s="39"/>
      <c r="C559" s="39"/>
      <c r="D559" s="39"/>
      <c r="E559" s="39"/>
      <c r="F559" s="39"/>
      <c r="G559" s="39"/>
      <c r="H559" s="39"/>
      <c r="I559" s="39"/>
      <c r="J559" s="39"/>
      <c r="K559" s="39"/>
      <c r="L559" s="39"/>
      <c r="M559" s="39"/>
      <c r="N559" s="39"/>
      <c r="O559" s="39"/>
      <c r="P559" s="39"/>
    </row>
    <row r="560" spans="1:16" ht="12.75" customHeight="1">
      <c r="A560" s="39"/>
      <c r="B560" s="39"/>
      <c r="C560" s="39"/>
      <c r="D560" s="39"/>
      <c r="E560" s="39"/>
      <c r="F560" s="39"/>
      <c r="G560" s="39"/>
      <c r="H560" s="39"/>
      <c r="I560" s="39"/>
      <c r="J560" s="39"/>
      <c r="K560" s="39"/>
      <c r="L560" s="39"/>
      <c r="M560" s="39"/>
      <c r="N560" s="39"/>
      <c r="O560" s="39"/>
      <c r="P560" s="39"/>
    </row>
    <row r="561" spans="1:16" ht="12.75" customHeight="1">
      <c r="A561" s="39"/>
      <c r="B561" s="39"/>
      <c r="C561" s="39"/>
      <c r="D561" s="39"/>
      <c r="E561" s="39"/>
      <c r="F561" s="39"/>
      <c r="G561" s="39"/>
      <c r="H561" s="39"/>
      <c r="I561" s="39"/>
      <c r="J561" s="39"/>
      <c r="K561" s="39"/>
      <c r="L561" s="39"/>
      <c r="M561" s="39"/>
      <c r="N561" s="39"/>
      <c r="O561" s="39"/>
      <c r="P561" s="39"/>
    </row>
    <row r="562" spans="1:16" ht="12.75" customHeight="1">
      <c r="A562" s="39"/>
      <c r="B562" s="39"/>
      <c r="C562" s="39"/>
      <c r="D562" s="39"/>
      <c r="E562" s="39"/>
      <c r="F562" s="39"/>
      <c r="G562" s="39"/>
      <c r="H562" s="39"/>
      <c r="I562" s="39"/>
      <c r="J562" s="39"/>
      <c r="K562" s="39"/>
      <c r="L562" s="39"/>
      <c r="M562" s="39"/>
      <c r="N562" s="39"/>
      <c r="O562" s="39"/>
      <c r="P562" s="39"/>
    </row>
    <row r="563" spans="1:16" ht="12.75" customHeight="1">
      <c r="A563" s="39"/>
      <c r="B563" s="39"/>
      <c r="C563" s="39"/>
      <c r="D563" s="39"/>
      <c r="E563" s="39"/>
      <c r="F563" s="39"/>
      <c r="G563" s="39"/>
      <c r="H563" s="39"/>
      <c r="I563" s="39"/>
      <c r="J563" s="39"/>
      <c r="K563" s="39"/>
      <c r="L563" s="39"/>
      <c r="M563" s="39"/>
      <c r="N563" s="39"/>
      <c r="O563" s="39"/>
      <c r="P563" s="39"/>
    </row>
    <row r="564" spans="1:16" ht="12.75" customHeight="1">
      <c r="A564" s="39"/>
      <c r="B564" s="39"/>
      <c r="C564" s="39"/>
      <c r="D564" s="39"/>
      <c r="E564" s="39"/>
      <c r="F564" s="39"/>
      <c r="G564" s="39"/>
      <c r="H564" s="39"/>
      <c r="I564" s="39"/>
      <c r="J564" s="39"/>
      <c r="K564" s="39"/>
      <c r="L564" s="39"/>
      <c r="M564" s="39"/>
      <c r="N564" s="39"/>
      <c r="O564" s="39"/>
      <c r="P564" s="39"/>
    </row>
    <row r="565" spans="1:16" ht="12.75" customHeight="1">
      <c r="A565" s="39"/>
      <c r="B565" s="39"/>
      <c r="C565" s="39"/>
      <c r="D565" s="39"/>
      <c r="E565" s="39"/>
      <c r="F565" s="39"/>
      <c r="G565" s="39"/>
      <c r="H565" s="39"/>
      <c r="I565" s="39"/>
      <c r="J565" s="39"/>
      <c r="K565" s="39"/>
      <c r="L565" s="39"/>
      <c r="M565" s="39"/>
      <c r="N565" s="39"/>
      <c r="O565" s="39"/>
      <c r="P565" s="39"/>
    </row>
    <row r="566" spans="1:16" ht="12.75" customHeight="1">
      <c r="A566" s="39"/>
      <c r="B566" s="39"/>
      <c r="C566" s="39"/>
      <c r="D566" s="39"/>
      <c r="E566" s="39"/>
      <c r="F566" s="39"/>
      <c r="G566" s="39"/>
      <c r="H566" s="39"/>
      <c r="I566" s="39"/>
      <c r="J566" s="39"/>
      <c r="K566" s="39"/>
      <c r="L566" s="39"/>
      <c r="M566" s="39"/>
      <c r="N566" s="39"/>
      <c r="O566" s="39"/>
      <c r="P566" s="39"/>
    </row>
    <row r="567" spans="1:16" ht="12.75" customHeight="1">
      <c r="A567" s="39"/>
      <c r="B567" s="39"/>
      <c r="C567" s="39"/>
      <c r="D567" s="39"/>
      <c r="E567" s="39"/>
      <c r="F567" s="39"/>
      <c r="G567" s="39"/>
      <c r="H567" s="39"/>
      <c r="I567" s="39"/>
      <c r="J567" s="39"/>
      <c r="K567" s="39"/>
      <c r="L567" s="39"/>
      <c r="M567" s="39"/>
      <c r="N567" s="39"/>
      <c r="O567" s="39"/>
      <c r="P567" s="39"/>
    </row>
    <row r="568" spans="1:16" ht="12.75" customHeight="1">
      <c r="A568" s="39"/>
      <c r="B568" s="39"/>
      <c r="C568" s="39"/>
      <c r="D568" s="39"/>
      <c r="E568" s="39"/>
      <c r="F568" s="39"/>
      <c r="G568" s="39"/>
      <c r="H568" s="39"/>
      <c r="I568" s="39"/>
      <c r="J568" s="39"/>
      <c r="K568" s="39"/>
      <c r="L568" s="39"/>
      <c r="M568" s="39"/>
      <c r="N568" s="39"/>
      <c r="O568" s="39"/>
      <c r="P568" s="39"/>
    </row>
    <row r="569" spans="1:16" ht="12.75" customHeight="1">
      <c r="A569" s="39"/>
      <c r="B569" s="39"/>
      <c r="C569" s="39"/>
      <c r="D569" s="39"/>
      <c r="E569" s="39"/>
      <c r="F569" s="39"/>
      <c r="G569" s="39"/>
      <c r="H569" s="39"/>
      <c r="I569" s="39"/>
      <c r="J569" s="39"/>
      <c r="K569" s="39"/>
      <c r="L569" s="39"/>
      <c r="M569" s="39"/>
      <c r="N569" s="39"/>
      <c r="O569" s="39"/>
      <c r="P569" s="39"/>
    </row>
    <row r="570" spans="1:16" ht="12.75" customHeight="1">
      <c r="A570" s="39"/>
      <c r="B570" s="39"/>
      <c r="C570" s="39"/>
      <c r="D570" s="39"/>
      <c r="E570" s="39"/>
      <c r="F570" s="39"/>
      <c r="G570" s="39"/>
      <c r="H570" s="39"/>
      <c r="I570" s="39"/>
      <c r="J570" s="39"/>
      <c r="K570" s="39"/>
      <c r="L570" s="39"/>
      <c r="M570" s="39"/>
      <c r="N570" s="39"/>
      <c r="O570" s="39"/>
      <c r="P570" s="39"/>
    </row>
    <row r="571" spans="1:16" ht="12.75" customHeight="1">
      <c r="A571" s="39"/>
      <c r="B571" s="39"/>
      <c r="C571" s="39"/>
      <c r="D571" s="39"/>
      <c r="E571" s="39"/>
      <c r="F571" s="39"/>
      <c r="G571" s="39"/>
      <c r="H571" s="39"/>
      <c r="I571" s="39"/>
      <c r="J571" s="39"/>
      <c r="K571" s="39"/>
      <c r="L571" s="39"/>
      <c r="M571" s="39"/>
      <c r="N571" s="39"/>
      <c r="O571" s="39"/>
      <c r="P571" s="39"/>
    </row>
    <row r="572" spans="1:16" ht="12.75" customHeight="1">
      <c r="A572" s="39"/>
      <c r="B572" s="39"/>
      <c r="C572" s="39"/>
      <c r="D572" s="39"/>
      <c r="E572" s="39"/>
      <c r="F572" s="39"/>
      <c r="G572" s="39"/>
      <c r="H572" s="39"/>
      <c r="I572" s="39"/>
      <c r="J572" s="39"/>
      <c r="K572" s="39"/>
      <c r="L572" s="39"/>
      <c r="M572" s="39"/>
      <c r="N572" s="39"/>
      <c r="O572" s="39"/>
      <c r="P572" s="39"/>
    </row>
    <row r="573" spans="1:16" ht="12.75" customHeight="1">
      <c r="A573" s="39"/>
      <c r="B573" s="39"/>
      <c r="C573" s="39"/>
      <c r="D573" s="39"/>
      <c r="E573" s="39"/>
      <c r="F573" s="39"/>
      <c r="G573" s="39"/>
      <c r="H573" s="39"/>
      <c r="I573" s="39"/>
      <c r="J573" s="39"/>
      <c r="K573" s="39"/>
      <c r="L573" s="39"/>
      <c r="M573" s="39"/>
      <c r="N573" s="39"/>
      <c r="O573" s="39"/>
      <c r="P573" s="39"/>
    </row>
    <row r="574" spans="1:16" ht="12.75" customHeight="1">
      <c r="A574" s="39"/>
      <c r="B574" s="39"/>
      <c r="C574" s="39"/>
      <c r="D574" s="39"/>
      <c r="E574" s="39"/>
      <c r="F574" s="39"/>
      <c r="G574" s="39"/>
      <c r="H574" s="39"/>
      <c r="I574" s="39"/>
      <c r="J574" s="39"/>
      <c r="K574" s="39"/>
      <c r="L574" s="39"/>
      <c r="M574" s="39"/>
      <c r="N574" s="39"/>
      <c r="O574" s="39"/>
      <c r="P574" s="39"/>
    </row>
    <row r="575" spans="1:16" ht="12.75" customHeight="1">
      <c r="A575" s="39"/>
      <c r="B575" s="39"/>
      <c r="C575" s="39"/>
      <c r="D575" s="39"/>
      <c r="E575" s="39"/>
      <c r="F575" s="39"/>
      <c r="G575" s="39"/>
      <c r="H575" s="39"/>
      <c r="I575" s="39"/>
      <c r="J575" s="39"/>
      <c r="K575" s="39"/>
      <c r="L575" s="39"/>
      <c r="M575" s="39"/>
      <c r="N575" s="39"/>
      <c r="O575" s="39"/>
      <c r="P575" s="39"/>
    </row>
    <row r="576" spans="1:16" ht="12.75" customHeight="1">
      <c r="A576" s="39"/>
      <c r="B576" s="39"/>
      <c r="C576" s="39"/>
      <c r="D576" s="39"/>
      <c r="E576" s="39"/>
      <c r="F576" s="39"/>
      <c r="G576" s="39"/>
      <c r="H576" s="39"/>
      <c r="I576" s="39"/>
      <c r="J576" s="39"/>
      <c r="K576" s="39"/>
      <c r="L576" s="39"/>
      <c r="M576" s="39"/>
      <c r="N576" s="39"/>
      <c r="O576" s="39"/>
      <c r="P576" s="39"/>
    </row>
    <row r="577" spans="1:16" ht="12.75" customHeight="1">
      <c r="A577" s="39"/>
      <c r="B577" s="39"/>
      <c r="C577" s="39"/>
      <c r="D577" s="39"/>
      <c r="E577" s="39"/>
      <c r="F577" s="39"/>
      <c r="G577" s="39"/>
      <c r="H577" s="39"/>
      <c r="I577" s="39"/>
      <c r="J577" s="39"/>
      <c r="K577" s="39"/>
      <c r="L577" s="39"/>
      <c r="M577" s="39"/>
      <c r="N577" s="39"/>
      <c r="O577" s="39"/>
      <c r="P577" s="39"/>
    </row>
    <row r="578" spans="1:16" ht="12.75" customHeight="1">
      <c r="A578" s="39"/>
      <c r="B578" s="39"/>
      <c r="C578" s="39"/>
      <c r="D578" s="39"/>
      <c r="E578" s="39"/>
      <c r="F578" s="39"/>
      <c r="G578" s="39"/>
      <c r="H578" s="39"/>
      <c r="I578" s="39"/>
      <c r="J578" s="39"/>
      <c r="K578" s="39"/>
      <c r="L578" s="39"/>
      <c r="M578" s="39"/>
      <c r="N578" s="39"/>
      <c r="O578" s="39"/>
      <c r="P578" s="39"/>
    </row>
    <row r="579" spans="1:16" ht="12.75" customHeight="1">
      <c r="A579" s="39"/>
      <c r="B579" s="39"/>
      <c r="C579" s="39"/>
      <c r="D579" s="39"/>
      <c r="E579" s="39"/>
      <c r="F579" s="39"/>
      <c r="G579" s="39"/>
      <c r="H579" s="39"/>
      <c r="I579" s="39"/>
      <c r="J579" s="39"/>
      <c r="K579" s="39"/>
      <c r="L579" s="39"/>
      <c r="M579" s="39"/>
      <c r="N579" s="39"/>
      <c r="O579" s="39"/>
      <c r="P579" s="39"/>
    </row>
    <row r="580" spans="1:16" ht="12.75" customHeight="1">
      <c r="A580" s="39"/>
      <c r="B580" s="39"/>
      <c r="C580" s="39"/>
      <c r="D580" s="39"/>
      <c r="E580" s="39"/>
      <c r="F580" s="39"/>
      <c r="G580" s="39"/>
      <c r="H580" s="39"/>
      <c r="I580" s="39"/>
      <c r="J580" s="39"/>
      <c r="K580" s="39"/>
      <c r="L580" s="39"/>
      <c r="M580" s="39"/>
      <c r="N580" s="39"/>
      <c r="O580" s="39"/>
      <c r="P580" s="39"/>
    </row>
    <row r="581" spans="1:16" ht="12.75" customHeight="1">
      <c r="A581" s="39"/>
      <c r="B581" s="39"/>
      <c r="C581" s="39"/>
      <c r="D581" s="39"/>
      <c r="E581" s="39"/>
      <c r="F581" s="39"/>
      <c r="G581" s="39"/>
      <c r="H581" s="39"/>
      <c r="I581" s="39"/>
      <c r="J581" s="39"/>
      <c r="K581" s="39"/>
      <c r="L581" s="39"/>
      <c r="M581" s="39"/>
      <c r="N581" s="39"/>
      <c r="O581" s="39"/>
      <c r="P581" s="39"/>
    </row>
    <row r="582" spans="1:16" ht="12.75" customHeight="1">
      <c r="A582" s="39"/>
      <c r="B582" s="39"/>
      <c r="C582" s="39"/>
      <c r="D582" s="39"/>
      <c r="E582" s="39"/>
      <c r="F582" s="39"/>
      <c r="G582" s="39"/>
      <c r="H582" s="39"/>
      <c r="I582" s="39"/>
      <c r="J582" s="39"/>
      <c r="K582" s="39"/>
      <c r="L582" s="39"/>
      <c r="M582" s="39"/>
      <c r="N582" s="39"/>
      <c r="O582" s="39"/>
      <c r="P582" s="39"/>
    </row>
    <row r="583" spans="1:16" ht="12.75" customHeight="1">
      <c r="A583" s="39"/>
      <c r="B583" s="39"/>
      <c r="C583" s="39"/>
      <c r="D583" s="39"/>
      <c r="E583" s="39"/>
      <c r="F583" s="39"/>
      <c r="G583" s="39"/>
      <c r="H583" s="39"/>
      <c r="I583" s="39"/>
      <c r="J583" s="39"/>
      <c r="K583" s="39"/>
      <c r="L583" s="39"/>
      <c r="M583" s="39"/>
      <c r="N583" s="39"/>
      <c r="O583" s="39"/>
      <c r="P583" s="39"/>
    </row>
    <row r="584" spans="1:16" ht="12.75" customHeight="1">
      <c r="A584" s="39"/>
      <c r="B584" s="39"/>
      <c r="C584" s="39"/>
      <c r="D584" s="39"/>
      <c r="E584" s="39"/>
      <c r="F584" s="39"/>
      <c r="G584" s="39"/>
      <c r="H584" s="39"/>
      <c r="I584" s="39"/>
      <c r="J584" s="39"/>
      <c r="K584" s="39"/>
      <c r="L584" s="39"/>
      <c r="M584" s="39"/>
      <c r="N584" s="39"/>
      <c r="O584" s="39"/>
      <c r="P584" s="39"/>
    </row>
    <row r="585" spans="1:16" ht="12.75" customHeight="1">
      <c r="A585" s="39"/>
      <c r="B585" s="39"/>
      <c r="C585" s="39"/>
      <c r="D585" s="39"/>
      <c r="E585" s="39"/>
      <c r="F585" s="39"/>
      <c r="G585" s="39"/>
      <c r="H585" s="39"/>
      <c r="I585" s="39"/>
      <c r="J585" s="39"/>
      <c r="K585" s="39"/>
      <c r="L585" s="39"/>
      <c r="M585" s="39"/>
      <c r="N585" s="39"/>
      <c r="O585" s="39"/>
      <c r="P585" s="39"/>
    </row>
    <row r="586" spans="1:16" ht="12.75" customHeight="1">
      <c r="A586" s="39"/>
      <c r="B586" s="39"/>
      <c r="C586" s="39"/>
      <c r="D586" s="39"/>
      <c r="E586" s="39"/>
      <c r="F586" s="39"/>
      <c r="G586" s="39"/>
      <c r="H586" s="39"/>
      <c r="I586" s="39"/>
      <c r="J586" s="39"/>
      <c r="K586" s="39"/>
      <c r="L586" s="39"/>
      <c r="M586" s="39"/>
      <c r="N586" s="39"/>
      <c r="O586" s="39"/>
      <c r="P586" s="39"/>
    </row>
    <row r="587" spans="1:16" ht="12.75" customHeight="1">
      <c r="A587" s="39"/>
      <c r="B587" s="39"/>
      <c r="C587" s="39"/>
      <c r="D587" s="39"/>
      <c r="E587" s="39"/>
      <c r="F587" s="39"/>
      <c r="G587" s="39"/>
      <c r="H587" s="39"/>
      <c r="I587" s="39"/>
      <c r="J587" s="39"/>
      <c r="K587" s="39"/>
      <c r="L587" s="39"/>
      <c r="M587" s="39"/>
      <c r="N587" s="39"/>
      <c r="O587" s="39"/>
      <c r="P587" s="39"/>
    </row>
    <row r="588" spans="1:16" ht="12.75" customHeight="1">
      <c r="A588" s="39"/>
      <c r="B588" s="39"/>
      <c r="C588" s="39"/>
      <c r="D588" s="39"/>
      <c r="E588" s="39"/>
      <c r="F588" s="39"/>
      <c r="G588" s="39"/>
      <c r="H588" s="39"/>
      <c r="I588" s="39"/>
      <c r="J588" s="39"/>
      <c r="K588" s="39"/>
      <c r="L588" s="39"/>
      <c r="M588" s="39"/>
      <c r="N588" s="39"/>
      <c r="O588" s="39"/>
      <c r="P588" s="39"/>
    </row>
    <row r="589" spans="1:16" ht="12.75" customHeight="1">
      <c r="A589" s="39"/>
      <c r="B589" s="39"/>
      <c r="C589" s="39"/>
      <c r="D589" s="39"/>
      <c r="E589" s="39"/>
      <c r="F589" s="39"/>
      <c r="G589" s="39"/>
      <c r="H589" s="39"/>
      <c r="I589" s="39"/>
      <c r="J589" s="39"/>
      <c r="K589" s="39"/>
      <c r="L589" s="39"/>
      <c r="M589" s="39"/>
      <c r="N589" s="39"/>
      <c r="O589" s="39"/>
      <c r="P589" s="39"/>
    </row>
    <row r="590" spans="1:16" ht="12.75" customHeight="1">
      <c r="A590" s="39"/>
      <c r="B590" s="39"/>
      <c r="C590" s="39"/>
      <c r="D590" s="39"/>
      <c r="E590" s="39"/>
      <c r="F590" s="39"/>
      <c r="G590" s="39"/>
      <c r="H590" s="39"/>
      <c r="I590" s="39"/>
      <c r="J590" s="39"/>
      <c r="K590" s="39"/>
      <c r="L590" s="39"/>
      <c r="M590" s="39"/>
      <c r="N590" s="39"/>
      <c r="O590" s="39"/>
      <c r="P590" s="39"/>
    </row>
    <row r="591" spans="1:16" ht="12.75" customHeight="1">
      <c r="A591" s="39"/>
      <c r="B591" s="39"/>
      <c r="C591" s="39"/>
      <c r="D591" s="39"/>
      <c r="E591" s="39"/>
      <c r="F591" s="39"/>
      <c r="G591" s="39"/>
      <c r="H591" s="39"/>
      <c r="I591" s="39"/>
      <c r="J591" s="39"/>
      <c r="K591" s="39"/>
      <c r="L591" s="39"/>
      <c r="M591" s="39"/>
      <c r="N591" s="39"/>
      <c r="O591" s="39"/>
      <c r="P591" s="39"/>
    </row>
    <row r="592" spans="1:16" ht="12.75" customHeight="1">
      <c r="A592" s="39"/>
      <c r="B592" s="39"/>
      <c r="C592" s="39"/>
      <c r="D592" s="39"/>
      <c r="E592" s="39"/>
      <c r="F592" s="39"/>
      <c r="G592" s="39"/>
      <c r="H592" s="39"/>
      <c r="I592" s="39"/>
      <c r="J592" s="39"/>
      <c r="K592" s="39"/>
      <c r="L592" s="39"/>
      <c r="M592" s="39"/>
      <c r="N592" s="39"/>
      <c r="O592" s="39"/>
      <c r="P592" s="39"/>
    </row>
    <row r="593" spans="1:16" ht="12.75" customHeight="1">
      <c r="A593" s="39"/>
      <c r="B593" s="39"/>
      <c r="C593" s="39"/>
      <c r="D593" s="39"/>
      <c r="E593" s="39"/>
      <c r="F593" s="39"/>
      <c r="G593" s="39"/>
      <c r="H593" s="39"/>
      <c r="I593" s="39"/>
      <c r="J593" s="39"/>
      <c r="K593" s="39"/>
      <c r="L593" s="39"/>
      <c r="M593" s="39"/>
      <c r="N593" s="39"/>
      <c r="O593" s="39"/>
      <c r="P593" s="39"/>
    </row>
    <row r="594" spans="1:16" ht="12.75" customHeight="1">
      <c r="A594" s="39"/>
      <c r="B594" s="39"/>
      <c r="C594" s="39"/>
      <c r="D594" s="39"/>
      <c r="E594" s="39"/>
      <c r="F594" s="39"/>
      <c r="G594" s="39"/>
      <c r="H594" s="39"/>
      <c r="I594" s="39"/>
      <c r="J594" s="39"/>
      <c r="K594" s="39"/>
      <c r="L594" s="39"/>
      <c r="M594" s="39"/>
      <c r="N594" s="39"/>
      <c r="O594" s="39"/>
      <c r="P594" s="39"/>
    </row>
    <row r="595" spans="1:16" ht="12.75" customHeight="1">
      <c r="A595" s="39"/>
      <c r="B595" s="39"/>
      <c r="C595" s="39"/>
      <c r="D595" s="39"/>
      <c r="E595" s="39"/>
      <c r="F595" s="39"/>
      <c r="G595" s="39"/>
      <c r="H595" s="39"/>
      <c r="I595" s="39"/>
      <c r="J595" s="39"/>
      <c r="K595" s="39"/>
      <c r="L595" s="39"/>
      <c r="M595" s="39"/>
      <c r="N595" s="39"/>
      <c r="O595" s="39"/>
      <c r="P595" s="39"/>
    </row>
    <row r="596" spans="1:16" ht="12.75" customHeight="1">
      <c r="A596" s="39"/>
      <c r="B596" s="39"/>
      <c r="C596" s="39"/>
      <c r="D596" s="39"/>
      <c r="E596" s="39"/>
      <c r="F596" s="39"/>
      <c r="G596" s="39"/>
      <c r="H596" s="39"/>
      <c r="I596" s="39"/>
      <c r="J596" s="39"/>
      <c r="K596" s="39"/>
      <c r="L596" s="39"/>
      <c r="M596" s="39"/>
      <c r="N596" s="39"/>
      <c r="O596" s="39"/>
      <c r="P596" s="39"/>
    </row>
    <row r="597" spans="1:16" ht="12.75" customHeight="1">
      <c r="A597" s="39"/>
      <c r="B597" s="39"/>
      <c r="C597" s="39"/>
      <c r="D597" s="39"/>
      <c r="E597" s="39"/>
      <c r="F597" s="39"/>
      <c r="G597" s="39"/>
      <c r="H597" s="39"/>
      <c r="I597" s="39"/>
      <c r="J597" s="39"/>
      <c r="K597" s="39"/>
      <c r="L597" s="39"/>
      <c r="M597" s="39"/>
      <c r="N597" s="39"/>
      <c r="O597" s="39"/>
      <c r="P597" s="39"/>
    </row>
    <row r="598" spans="1:16" ht="12.75" customHeight="1">
      <c r="A598" s="39"/>
      <c r="B598" s="39"/>
      <c r="C598" s="39"/>
      <c r="D598" s="39"/>
      <c r="E598" s="39"/>
      <c r="F598" s="39"/>
      <c r="G598" s="39"/>
      <c r="H598" s="39"/>
      <c r="I598" s="39"/>
      <c r="J598" s="39"/>
      <c r="K598" s="39"/>
      <c r="L598" s="39"/>
      <c r="M598" s="39"/>
      <c r="N598" s="39"/>
      <c r="O598" s="39"/>
      <c r="P598" s="39"/>
    </row>
    <row r="599" spans="1:16" ht="12.75" customHeight="1">
      <c r="A599" s="39"/>
      <c r="B599" s="39"/>
      <c r="C599" s="39"/>
      <c r="D599" s="39"/>
      <c r="E599" s="39"/>
      <c r="F599" s="39"/>
      <c r="G599" s="39"/>
      <c r="H599" s="39"/>
      <c r="I599" s="39"/>
      <c r="J599" s="39"/>
      <c r="K599" s="39"/>
      <c r="L599" s="39"/>
      <c r="M599" s="39"/>
      <c r="N599" s="39"/>
      <c r="O599" s="39"/>
      <c r="P599" s="39"/>
    </row>
    <row r="600" spans="1:16" ht="12.75" customHeight="1">
      <c r="A600" s="39"/>
      <c r="B600" s="39"/>
      <c r="C600" s="39"/>
      <c r="D600" s="39"/>
      <c r="E600" s="39"/>
      <c r="F600" s="39"/>
      <c r="G600" s="39"/>
      <c r="H600" s="39"/>
      <c r="I600" s="39"/>
      <c r="J600" s="39"/>
      <c r="K600" s="39"/>
      <c r="L600" s="39"/>
      <c r="M600" s="39"/>
      <c r="N600" s="39"/>
      <c r="O600" s="39"/>
      <c r="P600" s="39"/>
    </row>
    <row r="601" spans="1:16" ht="12.75" customHeight="1">
      <c r="A601" s="39"/>
      <c r="B601" s="39"/>
      <c r="C601" s="39"/>
      <c r="D601" s="39"/>
      <c r="E601" s="39"/>
      <c r="F601" s="39"/>
      <c r="G601" s="39"/>
      <c r="H601" s="39"/>
      <c r="I601" s="39"/>
      <c r="J601" s="39"/>
      <c r="K601" s="39"/>
      <c r="L601" s="39"/>
      <c r="M601" s="39"/>
      <c r="N601" s="39"/>
      <c r="O601" s="39"/>
      <c r="P601" s="39"/>
    </row>
    <row r="602" spans="1:16" ht="12.75" customHeight="1">
      <c r="A602" s="39"/>
      <c r="B602" s="39"/>
      <c r="C602" s="39"/>
      <c r="D602" s="39"/>
      <c r="E602" s="39"/>
      <c r="F602" s="39"/>
      <c r="G602" s="39"/>
      <c r="H602" s="39"/>
      <c r="I602" s="39"/>
      <c r="J602" s="39"/>
      <c r="K602" s="39"/>
      <c r="L602" s="39"/>
      <c r="M602" s="39"/>
      <c r="N602" s="39"/>
      <c r="O602" s="39"/>
      <c r="P602" s="39"/>
    </row>
    <row r="603" spans="1:16" ht="12.75" customHeight="1">
      <c r="A603" s="39"/>
      <c r="B603" s="39"/>
      <c r="C603" s="39"/>
      <c r="D603" s="39"/>
      <c r="E603" s="39"/>
      <c r="F603" s="39"/>
      <c r="G603" s="39"/>
      <c r="H603" s="39"/>
      <c r="I603" s="39"/>
      <c r="J603" s="39"/>
      <c r="K603" s="39"/>
      <c r="L603" s="39"/>
      <c r="M603" s="39"/>
      <c r="N603" s="39"/>
      <c r="O603" s="39"/>
      <c r="P603" s="39"/>
    </row>
    <row r="604" spans="1:16" ht="12.75" customHeight="1">
      <c r="A604" s="39"/>
      <c r="B604" s="39"/>
      <c r="C604" s="39"/>
      <c r="D604" s="39"/>
      <c r="E604" s="39"/>
      <c r="F604" s="39"/>
      <c r="G604" s="39"/>
      <c r="H604" s="39"/>
      <c r="I604" s="39"/>
      <c r="J604" s="39"/>
      <c r="K604" s="39"/>
      <c r="L604" s="39"/>
      <c r="M604" s="39"/>
      <c r="N604" s="39"/>
      <c r="O604" s="39"/>
      <c r="P604" s="39"/>
    </row>
    <row r="605" spans="1:16" ht="12.75" customHeight="1">
      <c r="A605" s="39"/>
      <c r="B605" s="39"/>
      <c r="C605" s="39"/>
      <c r="D605" s="39"/>
      <c r="E605" s="39"/>
      <c r="F605" s="39"/>
      <c r="G605" s="39"/>
      <c r="H605" s="39"/>
      <c r="I605" s="39"/>
      <c r="J605" s="39"/>
      <c r="K605" s="39"/>
      <c r="L605" s="39"/>
      <c r="M605" s="39"/>
      <c r="N605" s="39"/>
      <c r="O605" s="39"/>
      <c r="P605" s="39"/>
    </row>
    <row r="606" spans="1:16" ht="12.75" customHeight="1">
      <c r="A606" s="39"/>
      <c r="B606" s="39"/>
      <c r="C606" s="39"/>
      <c r="D606" s="39"/>
      <c r="E606" s="39"/>
      <c r="F606" s="39"/>
      <c r="G606" s="39"/>
      <c r="H606" s="39"/>
      <c r="I606" s="39"/>
      <c r="J606" s="39"/>
      <c r="K606" s="39"/>
      <c r="L606" s="39"/>
      <c r="M606" s="39"/>
      <c r="N606" s="39"/>
      <c r="O606" s="39"/>
      <c r="P606" s="39"/>
    </row>
    <row r="607" spans="1:16" ht="12.75" customHeight="1">
      <c r="A607" s="39"/>
      <c r="B607" s="39"/>
      <c r="C607" s="39"/>
      <c r="D607" s="39"/>
      <c r="E607" s="39"/>
      <c r="F607" s="39"/>
      <c r="G607" s="39"/>
      <c r="H607" s="39"/>
      <c r="I607" s="39"/>
      <c r="J607" s="39"/>
      <c r="K607" s="39"/>
      <c r="L607" s="39"/>
      <c r="M607" s="39"/>
      <c r="N607" s="39"/>
      <c r="O607" s="39"/>
      <c r="P607" s="39"/>
    </row>
    <row r="608" spans="1:16" ht="12.75" customHeight="1">
      <c r="A608" s="39"/>
      <c r="B608" s="39"/>
      <c r="C608" s="39"/>
      <c r="D608" s="39"/>
      <c r="E608" s="39"/>
      <c r="F608" s="39"/>
      <c r="G608" s="39"/>
      <c r="H608" s="39"/>
      <c r="I608" s="39"/>
      <c r="J608" s="39"/>
      <c r="K608" s="39"/>
      <c r="L608" s="39"/>
      <c r="M608" s="39"/>
      <c r="N608" s="39"/>
      <c r="O608" s="39"/>
      <c r="P608" s="39"/>
    </row>
    <row r="609" spans="1:16" ht="12.75" customHeight="1">
      <c r="A609" s="39"/>
      <c r="B609" s="39"/>
      <c r="C609" s="39"/>
      <c r="D609" s="39"/>
      <c r="E609" s="39"/>
      <c r="F609" s="39"/>
      <c r="G609" s="39"/>
      <c r="H609" s="39"/>
      <c r="I609" s="39"/>
      <c r="J609" s="39"/>
      <c r="K609" s="39"/>
      <c r="L609" s="39"/>
      <c r="M609" s="39"/>
      <c r="N609" s="39"/>
      <c r="O609" s="39"/>
      <c r="P609" s="39"/>
    </row>
    <row r="610" spans="1:16" ht="12.75" customHeight="1">
      <c r="A610" s="39"/>
      <c r="B610" s="39"/>
      <c r="C610" s="39"/>
      <c r="D610" s="39"/>
      <c r="E610" s="39"/>
      <c r="F610" s="39"/>
      <c r="G610" s="39"/>
      <c r="H610" s="39"/>
      <c r="I610" s="39"/>
      <c r="J610" s="39"/>
      <c r="K610" s="39"/>
      <c r="L610" s="39"/>
      <c r="M610" s="39"/>
      <c r="N610" s="39"/>
      <c r="O610" s="39"/>
      <c r="P610" s="39"/>
    </row>
    <row r="611" spans="1:16" ht="12.75" customHeight="1">
      <c r="A611" s="39"/>
      <c r="B611" s="39"/>
      <c r="C611" s="39"/>
      <c r="D611" s="39"/>
      <c r="E611" s="39"/>
      <c r="F611" s="39"/>
      <c r="G611" s="39"/>
      <c r="H611" s="39"/>
      <c r="I611" s="39"/>
      <c r="J611" s="39"/>
      <c r="K611" s="39"/>
      <c r="L611" s="39"/>
      <c r="M611" s="39"/>
      <c r="N611" s="39"/>
      <c r="O611" s="39"/>
      <c r="P611" s="39"/>
    </row>
    <row r="612" spans="1:16" ht="12.75" customHeight="1">
      <c r="A612" s="39"/>
      <c r="B612" s="39"/>
      <c r="C612" s="39"/>
      <c r="D612" s="39"/>
      <c r="E612" s="39"/>
      <c r="F612" s="39"/>
      <c r="G612" s="39"/>
      <c r="H612" s="39"/>
      <c r="I612" s="39"/>
      <c r="J612" s="39"/>
      <c r="K612" s="39"/>
      <c r="L612" s="39"/>
      <c r="M612" s="39"/>
      <c r="N612" s="39"/>
      <c r="O612" s="39"/>
      <c r="P612" s="39"/>
    </row>
    <row r="613" spans="1:16" ht="12.75" customHeight="1">
      <c r="A613" s="39"/>
      <c r="B613" s="39"/>
      <c r="C613" s="39"/>
      <c r="D613" s="39"/>
      <c r="E613" s="39"/>
      <c r="F613" s="39"/>
      <c r="G613" s="39"/>
      <c r="H613" s="39"/>
      <c r="I613" s="39"/>
      <c r="J613" s="39"/>
      <c r="K613" s="39"/>
      <c r="L613" s="39"/>
      <c r="M613" s="39"/>
      <c r="N613" s="39"/>
      <c r="O613" s="39"/>
      <c r="P613" s="39"/>
    </row>
    <row r="614" spans="1:16" ht="12.75" customHeight="1">
      <c r="A614" s="39"/>
      <c r="B614" s="39"/>
      <c r="C614" s="39"/>
      <c r="D614" s="39"/>
      <c r="E614" s="39"/>
      <c r="F614" s="39"/>
      <c r="G614" s="39"/>
      <c r="H614" s="39"/>
      <c r="I614" s="39"/>
      <c r="J614" s="39"/>
      <c r="K614" s="39"/>
      <c r="L614" s="39"/>
      <c r="M614" s="39"/>
      <c r="N614" s="39"/>
      <c r="O614" s="39"/>
      <c r="P614" s="39"/>
    </row>
    <row r="615" spans="1:16" ht="12.75" customHeight="1">
      <c r="A615" s="39"/>
      <c r="B615" s="39"/>
      <c r="C615" s="39"/>
      <c r="D615" s="39"/>
      <c r="E615" s="39"/>
      <c r="F615" s="39"/>
      <c r="G615" s="39"/>
      <c r="H615" s="39"/>
      <c r="I615" s="39"/>
      <c r="J615" s="39"/>
      <c r="K615" s="39"/>
      <c r="L615" s="39"/>
      <c r="M615" s="39"/>
      <c r="N615" s="39"/>
      <c r="O615" s="39"/>
      <c r="P615" s="39"/>
    </row>
    <row r="616" spans="1:16" ht="12.75" customHeight="1">
      <c r="A616" s="39"/>
      <c r="B616" s="39"/>
      <c r="C616" s="39"/>
      <c r="D616" s="39"/>
      <c r="E616" s="39"/>
      <c r="F616" s="39"/>
      <c r="G616" s="39"/>
      <c r="H616" s="39"/>
      <c r="I616" s="39"/>
      <c r="J616" s="39"/>
      <c r="K616" s="39"/>
      <c r="L616" s="39"/>
      <c r="M616" s="39"/>
      <c r="N616" s="39"/>
      <c r="O616" s="39"/>
      <c r="P616" s="39"/>
    </row>
    <row r="617" spans="1:16" ht="12.75" customHeight="1">
      <c r="A617" s="39"/>
      <c r="B617" s="39"/>
      <c r="C617" s="39"/>
      <c r="D617" s="39"/>
      <c r="E617" s="39"/>
      <c r="F617" s="39"/>
      <c r="G617" s="39"/>
      <c r="H617" s="39"/>
      <c r="I617" s="39"/>
      <c r="J617" s="39"/>
      <c r="K617" s="39"/>
      <c r="L617" s="39"/>
      <c r="M617" s="39"/>
      <c r="N617" s="39"/>
      <c r="O617" s="39"/>
      <c r="P617" s="39"/>
    </row>
    <row r="618" spans="1:16" ht="12.75" customHeight="1">
      <c r="A618" s="39"/>
      <c r="B618" s="39"/>
      <c r="C618" s="39"/>
      <c r="D618" s="39"/>
      <c r="E618" s="39"/>
      <c r="F618" s="39"/>
      <c r="G618" s="39"/>
      <c r="H618" s="39"/>
      <c r="I618" s="39"/>
      <c r="J618" s="39"/>
      <c r="K618" s="39"/>
      <c r="L618" s="39"/>
      <c r="M618" s="39"/>
      <c r="N618" s="39"/>
      <c r="O618" s="39"/>
      <c r="P618" s="39"/>
    </row>
    <row r="619" spans="1:16" ht="12.75" customHeight="1">
      <c r="A619" s="39"/>
      <c r="B619" s="39"/>
      <c r="C619" s="39"/>
      <c r="D619" s="39"/>
      <c r="E619" s="39"/>
      <c r="F619" s="39"/>
      <c r="G619" s="39"/>
      <c r="H619" s="39"/>
      <c r="I619" s="39"/>
      <c r="J619" s="39"/>
      <c r="K619" s="39"/>
      <c r="L619" s="39"/>
      <c r="M619" s="39"/>
      <c r="N619" s="39"/>
      <c r="O619" s="39"/>
      <c r="P619" s="39"/>
    </row>
    <row r="620" spans="1:16" ht="12.75" customHeight="1">
      <c r="A620" s="39"/>
      <c r="B620" s="39"/>
      <c r="C620" s="39"/>
      <c r="D620" s="39"/>
      <c r="E620" s="39"/>
      <c r="F620" s="39"/>
      <c r="G620" s="39"/>
      <c r="H620" s="39"/>
      <c r="I620" s="39"/>
      <c r="J620" s="39"/>
      <c r="K620" s="39"/>
      <c r="L620" s="39"/>
      <c r="M620" s="39"/>
      <c r="N620" s="39"/>
      <c r="O620" s="39"/>
      <c r="P620" s="39"/>
    </row>
    <row r="621" spans="1:16" ht="12.75" customHeight="1">
      <c r="A621" s="39"/>
      <c r="B621" s="39"/>
      <c r="C621" s="39"/>
      <c r="D621" s="39"/>
      <c r="E621" s="39"/>
      <c r="F621" s="39"/>
      <c r="G621" s="39"/>
      <c r="H621" s="39"/>
      <c r="I621" s="39"/>
      <c r="J621" s="39"/>
      <c r="K621" s="39"/>
      <c r="L621" s="39"/>
      <c r="M621" s="39"/>
      <c r="N621" s="39"/>
      <c r="O621" s="39"/>
      <c r="P621" s="39"/>
    </row>
    <row r="622" spans="1:16" ht="12.75" customHeight="1">
      <c r="A622" s="39"/>
      <c r="B622" s="39"/>
      <c r="C622" s="39"/>
      <c r="D622" s="39"/>
      <c r="E622" s="39"/>
      <c r="F622" s="39"/>
      <c r="G622" s="39"/>
      <c r="H622" s="39"/>
      <c r="I622" s="39"/>
      <c r="J622" s="39"/>
      <c r="K622" s="39"/>
      <c r="L622" s="39"/>
      <c r="M622" s="39"/>
      <c r="N622" s="39"/>
      <c r="O622" s="39"/>
      <c r="P622" s="39"/>
    </row>
    <row r="623" spans="1:16" ht="12.75" customHeight="1">
      <c r="A623" s="39"/>
      <c r="B623" s="39"/>
      <c r="C623" s="39"/>
      <c r="D623" s="39"/>
      <c r="E623" s="39"/>
      <c r="F623" s="39"/>
      <c r="G623" s="39"/>
      <c r="H623" s="39"/>
      <c r="I623" s="39"/>
      <c r="J623" s="39"/>
      <c r="K623" s="39"/>
      <c r="L623" s="39"/>
      <c r="M623" s="39"/>
      <c r="N623" s="39"/>
      <c r="O623" s="39"/>
      <c r="P623" s="39"/>
    </row>
    <row r="624" spans="1:16" ht="12.75" customHeight="1">
      <c r="A624" s="39"/>
      <c r="B624" s="39"/>
      <c r="C624" s="39"/>
      <c r="D624" s="39"/>
      <c r="E624" s="39"/>
      <c r="F624" s="39"/>
      <c r="G624" s="39"/>
      <c r="H624" s="39"/>
      <c r="I624" s="39"/>
      <c r="J624" s="39"/>
      <c r="K624" s="39"/>
      <c r="L624" s="39"/>
      <c r="M624" s="39"/>
      <c r="N624" s="39"/>
      <c r="O624" s="39"/>
      <c r="P624" s="39"/>
    </row>
    <row r="625" spans="1:16" ht="12.75" customHeight="1">
      <c r="A625" s="39"/>
      <c r="B625" s="39"/>
      <c r="C625" s="39"/>
      <c r="D625" s="39"/>
      <c r="E625" s="39"/>
      <c r="F625" s="39"/>
      <c r="G625" s="39"/>
      <c r="H625" s="39"/>
      <c r="I625" s="39"/>
      <c r="J625" s="39"/>
      <c r="K625" s="39"/>
      <c r="L625" s="39"/>
      <c r="M625" s="39"/>
      <c r="N625" s="39"/>
      <c r="O625" s="39"/>
      <c r="P625" s="39"/>
    </row>
    <row r="626" spans="1:16" ht="12.75" customHeight="1">
      <c r="A626" s="39"/>
      <c r="B626" s="39"/>
      <c r="C626" s="39"/>
      <c r="D626" s="39"/>
      <c r="E626" s="39"/>
      <c r="F626" s="39"/>
      <c r="G626" s="39"/>
      <c r="H626" s="39"/>
      <c r="I626" s="39"/>
      <c r="J626" s="39"/>
      <c r="K626" s="39"/>
      <c r="L626" s="39"/>
      <c r="M626" s="39"/>
      <c r="N626" s="39"/>
      <c r="O626" s="39"/>
      <c r="P626" s="39"/>
    </row>
    <row r="627" spans="1:16" ht="12.75" customHeight="1">
      <c r="A627" s="39"/>
      <c r="B627" s="39"/>
      <c r="C627" s="39"/>
      <c r="D627" s="39"/>
      <c r="E627" s="39"/>
      <c r="F627" s="39"/>
      <c r="G627" s="39"/>
      <c r="H627" s="39"/>
      <c r="I627" s="39"/>
      <c r="J627" s="39"/>
      <c r="K627" s="39"/>
      <c r="L627" s="39"/>
      <c r="M627" s="39"/>
      <c r="N627" s="39"/>
      <c r="O627" s="39"/>
      <c r="P627" s="39"/>
    </row>
    <row r="628" spans="1:16" ht="12.75" customHeight="1">
      <c r="A628" s="39"/>
      <c r="B628" s="39"/>
      <c r="C628" s="39"/>
      <c r="D628" s="39"/>
      <c r="E628" s="39"/>
      <c r="F628" s="39"/>
      <c r="G628" s="39"/>
      <c r="H628" s="39"/>
      <c r="I628" s="39"/>
      <c r="J628" s="39"/>
      <c r="K628" s="39"/>
      <c r="L628" s="39"/>
      <c r="M628" s="39"/>
      <c r="N628" s="39"/>
      <c r="O628" s="39"/>
      <c r="P628" s="39"/>
    </row>
    <row r="629" spans="1:16" ht="12.75" customHeight="1">
      <c r="A629" s="39"/>
      <c r="B629" s="39"/>
      <c r="C629" s="39"/>
      <c r="D629" s="39"/>
      <c r="E629" s="39"/>
      <c r="F629" s="39"/>
      <c r="G629" s="39"/>
      <c r="H629" s="39"/>
      <c r="I629" s="39"/>
      <c r="J629" s="39"/>
      <c r="K629" s="39"/>
      <c r="L629" s="39"/>
      <c r="M629" s="39"/>
      <c r="N629" s="39"/>
      <c r="O629" s="39"/>
      <c r="P629" s="39"/>
    </row>
    <row r="630" spans="1:16" ht="12.75" customHeight="1">
      <c r="A630" s="39"/>
      <c r="B630" s="39"/>
      <c r="C630" s="39"/>
      <c r="D630" s="39"/>
      <c r="E630" s="39"/>
      <c r="F630" s="39"/>
      <c r="G630" s="39"/>
      <c r="H630" s="39"/>
      <c r="I630" s="39"/>
      <c r="J630" s="39"/>
      <c r="K630" s="39"/>
      <c r="L630" s="39"/>
      <c r="M630" s="39"/>
      <c r="N630" s="39"/>
      <c r="O630" s="39"/>
      <c r="P630" s="39"/>
    </row>
    <row r="631" spans="1:16" ht="12.75" customHeight="1">
      <c r="A631" s="39"/>
      <c r="B631" s="39"/>
      <c r="C631" s="39"/>
      <c r="D631" s="39"/>
      <c r="E631" s="39"/>
      <c r="F631" s="39"/>
      <c r="G631" s="39"/>
      <c r="H631" s="39"/>
      <c r="I631" s="39"/>
      <c r="J631" s="39"/>
      <c r="K631" s="39"/>
      <c r="L631" s="39"/>
      <c r="M631" s="39"/>
      <c r="N631" s="39"/>
      <c r="O631" s="39"/>
      <c r="P631" s="39"/>
    </row>
    <row r="632" spans="1:16" ht="12.75" customHeight="1">
      <c r="A632" s="39"/>
      <c r="B632" s="39"/>
      <c r="C632" s="39"/>
      <c r="D632" s="39"/>
      <c r="E632" s="39"/>
      <c r="F632" s="39"/>
      <c r="G632" s="39"/>
      <c r="H632" s="39"/>
      <c r="I632" s="39"/>
      <c r="J632" s="39"/>
      <c r="K632" s="39"/>
      <c r="L632" s="39"/>
      <c r="M632" s="39"/>
      <c r="N632" s="39"/>
      <c r="O632" s="39"/>
      <c r="P632" s="39"/>
    </row>
    <row r="633" spans="1:16" ht="12.75" customHeight="1">
      <c r="A633" s="39"/>
      <c r="B633" s="39"/>
      <c r="C633" s="39"/>
      <c r="D633" s="39"/>
      <c r="E633" s="39"/>
      <c r="F633" s="39"/>
      <c r="G633" s="39"/>
      <c r="H633" s="39"/>
      <c r="I633" s="39"/>
      <c r="J633" s="39"/>
      <c r="K633" s="39"/>
      <c r="L633" s="39"/>
      <c r="M633" s="39"/>
      <c r="N633" s="39"/>
      <c r="O633" s="39"/>
      <c r="P633" s="39"/>
    </row>
    <row r="634" spans="1:16" ht="12.75" customHeight="1">
      <c r="A634" s="39"/>
      <c r="B634" s="39"/>
      <c r="C634" s="39"/>
      <c r="D634" s="39"/>
      <c r="E634" s="39"/>
      <c r="F634" s="39"/>
      <c r="G634" s="39"/>
      <c r="H634" s="39"/>
      <c r="I634" s="39"/>
      <c r="J634" s="39"/>
      <c r="K634" s="39"/>
      <c r="L634" s="39"/>
      <c r="M634" s="39"/>
      <c r="N634" s="39"/>
      <c r="O634" s="39"/>
      <c r="P634" s="39"/>
    </row>
    <row r="635" spans="1:16" ht="12.75" customHeight="1">
      <c r="A635" s="39"/>
      <c r="B635" s="39"/>
      <c r="C635" s="39"/>
      <c r="D635" s="39"/>
      <c r="E635" s="39"/>
      <c r="F635" s="39"/>
      <c r="G635" s="39"/>
      <c r="H635" s="39"/>
      <c r="I635" s="39"/>
      <c r="J635" s="39"/>
      <c r="K635" s="39"/>
      <c r="L635" s="39"/>
      <c r="M635" s="39"/>
      <c r="N635" s="39"/>
      <c r="O635" s="39"/>
      <c r="P635" s="39"/>
    </row>
    <row r="636" spans="1:16" ht="12.75" customHeight="1">
      <c r="A636" s="39"/>
      <c r="B636" s="39"/>
      <c r="C636" s="39"/>
      <c r="D636" s="39"/>
      <c r="E636" s="39"/>
      <c r="F636" s="39"/>
      <c r="G636" s="39"/>
      <c r="H636" s="39"/>
      <c r="I636" s="39"/>
      <c r="J636" s="39"/>
      <c r="K636" s="39"/>
      <c r="L636" s="39"/>
      <c r="M636" s="39"/>
      <c r="N636" s="39"/>
      <c r="O636" s="39"/>
      <c r="P636" s="39"/>
    </row>
    <row r="637" spans="1:16" ht="12.75" customHeight="1">
      <c r="A637" s="39"/>
      <c r="B637" s="39"/>
      <c r="C637" s="39"/>
      <c r="D637" s="39"/>
      <c r="E637" s="39"/>
      <c r="F637" s="39"/>
      <c r="G637" s="39"/>
      <c r="H637" s="39"/>
      <c r="I637" s="39"/>
      <c r="J637" s="39"/>
      <c r="K637" s="39"/>
      <c r="L637" s="39"/>
      <c r="M637" s="39"/>
      <c r="N637" s="39"/>
      <c r="O637" s="39"/>
      <c r="P637" s="39"/>
    </row>
    <row r="638" spans="1:16" ht="12.75" customHeight="1">
      <c r="A638" s="39"/>
      <c r="B638" s="39"/>
      <c r="C638" s="39"/>
      <c r="D638" s="39"/>
      <c r="E638" s="39"/>
      <c r="F638" s="39"/>
      <c r="G638" s="39"/>
      <c r="H638" s="39"/>
      <c r="I638" s="39"/>
      <c r="J638" s="39"/>
      <c r="K638" s="39"/>
      <c r="L638" s="39"/>
      <c r="M638" s="39"/>
      <c r="N638" s="39"/>
      <c r="O638" s="39"/>
      <c r="P638" s="39"/>
    </row>
    <row r="639" spans="1:16" ht="12.75" customHeight="1">
      <c r="A639" s="39"/>
      <c r="B639" s="39"/>
      <c r="C639" s="39"/>
      <c r="D639" s="39"/>
      <c r="E639" s="39"/>
      <c r="F639" s="39"/>
      <c r="G639" s="39"/>
      <c r="H639" s="39"/>
      <c r="I639" s="39"/>
      <c r="J639" s="39"/>
      <c r="K639" s="39"/>
      <c r="L639" s="39"/>
      <c r="M639" s="39"/>
      <c r="N639" s="39"/>
      <c r="O639" s="39"/>
      <c r="P639" s="39"/>
    </row>
    <row r="640" spans="1:16" ht="12.75" customHeight="1">
      <c r="A640" s="39"/>
      <c r="B640" s="39"/>
      <c r="C640" s="39"/>
      <c r="D640" s="39"/>
      <c r="E640" s="39"/>
      <c r="F640" s="39"/>
      <c r="G640" s="39"/>
      <c r="H640" s="39"/>
      <c r="I640" s="39"/>
      <c r="J640" s="39"/>
      <c r="K640" s="39"/>
      <c r="L640" s="39"/>
      <c r="M640" s="39"/>
      <c r="N640" s="39"/>
      <c r="O640" s="39"/>
      <c r="P640" s="39"/>
    </row>
    <row r="641" spans="1:16" ht="12.75" customHeight="1">
      <c r="A641" s="39"/>
      <c r="B641" s="39"/>
      <c r="C641" s="39"/>
      <c r="D641" s="39"/>
      <c r="E641" s="39"/>
      <c r="F641" s="39"/>
      <c r="G641" s="39"/>
      <c r="H641" s="39"/>
      <c r="I641" s="39"/>
      <c r="J641" s="39"/>
      <c r="K641" s="39"/>
      <c r="L641" s="39"/>
      <c r="M641" s="39"/>
      <c r="N641" s="39"/>
      <c r="O641" s="39"/>
      <c r="P641" s="39"/>
    </row>
    <row r="642" spans="1:16" ht="12.75" customHeight="1">
      <c r="A642" s="39"/>
      <c r="B642" s="39"/>
      <c r="C642" s="39"/>
      <c r="D642" s="39"/>
      <c r="E642" s="39"/>
      <c r="F642" s="39"/>
      <c r="G642" s="39"/>
      <c r="H642" s="39"/>
      <c r="I642" s="39"/>
      <c r="J642" s="39"/>
      <c r="K642" s="39"/>
      <c r="L642" s="39"/>
      <c r="M642" s="39"/>
      <c r="N642" s="39"/>
      <c r="O642" s="39"/>
      <c r="P642" s="39"/>
    </row>
    <row r="643" spans="1:16" ht="12.75" customHeight="1">
      <c r="A643" s="39"/>
      <c r="B643" s="39"/>
      <c r="C643" s="39"/>
      <c r="D643" s="39"/>
      <c r="E643" s="39"/>
      <c r="F643" s="39"/>
      <c r="G643" s="39"/>
      <c r="H643" s="39"/>
      <c r="I643" s="39"/>
      <c r="J643" s="39"/>
      <c r="K643" s="39"/>
      <c r="L643" s="39"/>
      <c r="M643" s="39"/>
      <c r="N643" s="39"/>
      <c r="O643" s="39"/>
      <c r="P643" s="39"/>
    </row>
    <row r="644" spans="1:16" ht="12.75" customHeight="1">
      <c r="A644" s="39"/>
      <c r="B644" s="39"/>
      <c r="C644" s="39"/>
      <c r="D644" s="39"/>
      <c r="E644" s="39"/>
      <c r="F644" s="39"/>
      <c r="G644" s="39"/>
      <c r="H644" s="39"/>
      <c r="I644" s="39"/>
      <c r="J644" s="39"/>
      <c r="K644" s="39"/>
      <c r="L644" s="39"/>
      <c r="M644" s="39"/>
      <c r="N644" s="39"/>
      <c r="O644" s="39"/>
      <c r="P644" s="39"/>
    </row>
    <row r="645" spans="1:16" ht="12.75" customHeight="1">
      <c r="A645" s="39"/>
      <c r="B645" s="39"/>
      <c r="C645" s="39"/>
      <c r="D645" s="39"/>
      <c r="E645" s="39"/>
      <c r="F645" s="39"/>
      <c r="G645" s="39"/>
      <c r="H645" s="39"/>
      <c r="I645" s="39"/>
      <c r="J645" s="39"/>
      <c r="K645" s="39"/>
      <c r="L645" s="39"/>
      <c r="M645" s="39"/>
      <c r="N645" s="39"/>
      <c r="O645" s="39"/>
      <c r="P645" s="39"/>
    </row>
    <row r="646" spans="1:16" ht="12.75" customHeight="1">
      <c r="A646" s="39"/>
      <c r="B646" s="39"/>
      <c r="C646" s="39"/>
      <c r="D646" s="39"/>
      <c r="E646" s="39"/>
      <c r="F646" s="39"/>
      <c r="G646" s="39"/>
      <c r="H646" s="39"/>
      <c r="I646" s="39"/>
      <c r="J646" s="39"/>
      <c r="K646" s="39"/>
      <c r="L646" s="39"/>
      <c r="M646" s="39"/>
      <c r="N646" s="39"/>
      <c r="O646" s="39"/>
      <c r="P646" s="39"/>
    </row>
    <row r="647" spans="1:16" ht="12.75" customHeight="1">
      <c r="A647" s="39"/>
      <c r="B647" s="39"/>
      <c r="C647" s="39"/>
      <c r="D647" s="39"/>
      <c r="E647" s="39"/>
      <c r="F647" s="39"/>
      <c r="G647" s="39"/>
      <c r="H647" s="39"/>
      <c r="I647" s="39"/>
      <c r="J647" s="39"/>
      <c r="K647" s="39"/>
      <c r="L647" s="39"/>
      <c r="M647" s="39"/>
      <c r="N647" s="39"/>
      <c r="O647" s="39"/>
      <c r="P647" s="39"/>
    </row>
    <row r="648" spans="1:16" ht="12.75" customHeight="1">
      <c r="A648" s="39"/>
      <c r="B648" s="39"/>
      <c r="C648" s="39"/>
      <c r="D648" s="39"/>
      <c r="E648" s="39"/>
      <c r="F648" s="39"/>
      <c r="G648" s="39"/>
      <c r="H648" s="39"/>
      <c r="I648" s="39"/>
      <c r="J648" s="39"/>
      <c r="K648" s="39"/>
      <c r="L648" s="39"/>
      <c r="M648" s="39"/>
      <c r="N648" s="39"/>
      <c r="O648" s="39"/>
      <c r="P648" s="39"/>
    </row>
    <row r="649" spans="1:16" ht="12.75" customHeight="1">
      <c r="A649" s="39"/>
      <c r="B649" s="39"/>
      <c r="C649" s="39"/>
      <c r="D649" s="39"/>
      <c r="E649" s="39"/>
      <c r="F649" s="39"/>
      <c r="G649" s="39"/>
      <c r="H649" s="39"/>
      <c r="I649" s="39"/>
      <c r="J649" s="39"/>
      <c r="K649" s="39"/>
      <c r="L649" s="39"/>
      <c r="M649" s="39"/>
      <c r="N649" s="39"/>
      <c r="O649" s="39"/>
      <c r="P649" s="39"/>
    </row>
    <row r="650" spans="1:16" ht="12.75" customHeight="1">
      <c r="A650" s="39"/>
      <c r="B650" s="39"/>
      <c r="C650" s="39"/>
      <c r="D650" s="39"/>
      <c r="E650" s="39"/>
      <c r="F650" s="39"/>
      <c r="G650" s="39"/>
      <c r="H650" s="39"/>
      <c r="I650" s="39"/>
      <c r="J650" s="39"/>
      <c r="K650" s="39"/>
      <c r="L650" s="39"/>
      <c r="M650" s="39"/>
      <c r="N650" s="39"/>
      <c r="O650" s="39"/>
      <c r="P650" s="39"/>
    </row>
    <row r="651" spans="1:16" ht="12.75" customHeight="1">
      <c r="A651" s="39"/>
      <c r="B651" s="39"/>
      <c r="C651" s="39"/>
      <c r="D651" s="39"/>
      <c r="E651" s="39"/>
      <c r="F651" s="39"/>
      <c r="G651" s="39"/>
      <c r="H651" s="39"/>
      <c r="I651" s="39"/>
      <c r="J651" s="39"/>
      <c r="K651" s="39"/>
      <c r="L651" s="39"/>
      <c r="M651" s="39"/>
      <c r="N651" s="39"/>
      <c r="O651" s="39"/>
      <c r="P651" s="39"/>
    </row>
    <row r="652" spans="1:16" ht="12.75" customHeight="1">
      <c r="A652" s="39"/>
      <c r="B652" s="39"/>
      <c r="C652" s="39"/>
      <c r="D652" s="39"/>
      <c r="E652" s="39"/>
      <c r="F652" s="39"/>
      <c r="G652" s="39"/>
      <c r="H652" s="39"/>
      <c r="I652" s="39"/>
      <c r="J652" s="39"/>
      <c r="K652" s="39"/>
      <c r="L652" s="39"/>
      <c r="M652" s="39"/>
      <c r="N652" s="39"/>
      <c r="O652" s="39"/>
      <c r="P652" s="39"/>
    </row>
    <row r="653" spans="1:16" ht="12.75" customHeight="1">
      <c r="A653" s="39"/>
      <c r="B653" s="39"/>
      <c r="C653" s="39"/>
      <c r="D653" s="39"/>
      <c r="E653" s="39"/>
      <c r="F653" s="39"/>
      <c r="G653" s="39"/>
      <c r="H653" s="39"/>
      <c r="I653" s="39"/>
      <c r="J653" s="39"/>
      <c r="K653" s="39"/>
      <c r="L653" s="39"/>
      <c r="M653" s="39"/>
      <c r="N653" s="39"/>
      <c r="O653" s="39"/>
      <c r="P653" s="39"/>
    </row>
    <row r="654" spans="1:16" ht="12.75" customHeight="1">
      <c r="A654" s="39"/>
      <c r="B654" s="39"/>
      <c r="C654" s="39"/>
      <c r="D654" s="39"/>
      <c r="E654" s="39"/>
      <c r="F654" s="39"/>
      <c r="G654" s="39"/>
      <c r="H654" s="39"/>
      <c r="I654" s="39"/>
      <c r="J654" s="39"/>
      <c r="K654" s="39"/>
      <c r="L654" s="39"/>
      <c r="M654" s="39"/>
      <c r="N654" s="39"/>
      <c r="O654" s="39"/>
      <c r="P654" s="39"/>
    </row>
    <row r="655" spans="1:16" ht="12.75" customHeight="1">
      <c r="A655" s="39"/>
      <c r="B655" s="39"/>
      <c r="C655" s="39"/>
      <c r="D655" s="39"/>
      <c r="E655" s="39"/>
      <c r="F655" s="39"/>
      <c r="G655" s="39"/>
      <c r="H655" s="39"/>
      <c r="I655" s="39"/>
      <c r="J655" s="39"/>
      <c r="K655" s="39"/>
      <c r="L655" s="39"/>
      <c r="M655" s="39"/>
      <c r="N655" s="39"/>
      <c r="O655" s="39"/>
      <c r="P655" s="39"/>
    </row>
    <row r="656" spans="1:16" ht="12.75" customHeight="1">
      <c r="A656" s="39"/>
      <c r="B656" s="39"/>
      <c r="C656" s="39"/>
      <c r="D656" s="39"/>
      <c r="E656" s="39"/>
      <c r="F656" s="39"/>
      <c r="G656" s="39"/>
      <c r="H656" s="39"/>
      <c r="I656" s="39"/>
      <c r="J656" s="39"/>
      <c r="K656" s="39"/>
      <c r="L656" s="39"/>
      <c r="M656" s="39"/>
      <c r="N656" s="39"/>
      <c r="O656" s="39"/>
      <c r="P656" s="39"/>
    </row>
    <row r="657" spans="1:16" ht="12.75" customHeight="1">
      <c r="A657" s="39"/>
      <c r="B657" s="39"/>
      <c r="C657" s="39"/>
      <c r="D657" s="39"/>
      <c r="E657" s="39"/>
      <c r="F657" s="39"/>
      <c r="G657" s="39"/>
      <c r="H657" s="39"/>
      <c r="I657" s="39"/>
      <c r="J657" s="39"/>
      <c r="K657" s="39"/>
      <c r="L657" s="39"/>
      <c r="M657" s="39"/>
      <c r="N657" s="39"/>
      <c r="O657" s="39"/>
      <c r="P657" s="39"/>
    </row>
    <row r="658" spans="1:16" ht="12.75" customHeight="1">
      <c r="A658" s="39"/>
      <c r="B658" s="39"/>
      <c r="C658" s="39"/>
      <c r="D658" s="39"/>
      <c r="E658" s="39"/>
      <c r="F658" s="39"/>
      <c r="G658" s="39"/>
      <c r="H658" s="39"/>
      <c r="I658" s="39"/>
      <c r="J658" s="39"/>
      <c r="K658" s="39"/>
      <c r="L658" s="39"/>
      <c r="M658" s="39"/>
      <c r="N658" s="39"/>
      <c r="O658" s="39"/>
      <c r="P658" s="39"/>
    </row>
    <row r="659" spans="1:16" ht="12.75" customHeight="1">
      <c r="A659" s="39"/>
      <c r="B659" s="39"/>
      <c r="C659" s="39"/>
      <c r="D659" s="39"/>
      <c r="E659" s="39"/>
      <c r="F659" s="39"/>
      <c r="G659" s="39"/>
      <c r="H659" s="39"/>
      <c r="I659" s="39"/>
      <c r="J659" s="39"/>
      <c r="K659" s="39"/>
      <c r="L659" s="39"/>
      <c r="M659" s="39"/>
      <c r="N659" s="39"/>
      <c r="O659" s="39"/>
      <c r="P659" s="39"/>
    </row>
    <row r="660" spans="1:16" ht="12.75" customHeight="1">
      <c r="A660" s="39"/>
      <c r="B660" s="39"/>
      <c r="C660" s="39"/>
      <c r="D660" s="39"/>
      <c r="E660" s="39"/>
      <c r="F660" s="39"/>
      <c r="G660" s="39"/>
      <c r="H660" s="39"/>
      <c r="I660" s="39"/>
      <c r="J660" s="39"/>
      <c r="K660" s="39"/>
      <c r="L660" s="39"/>
      <c r="M660" s="39"/>
      <c r="N660" s="39"/>
      <c r="O660" s="39"/>
      <c r="P660" s="39"/>
    </row>
    <row r="661" spans="1:16" ht="12.75" customHeight="1">
      <c r="A661" s="39"/>
      <c r="B661" s="39"/>
      <c r="C661" s="39"/>
      <c r="D661" s="39"/>
      <c r="E661" s="39"/>
      <c r="F661" s="39"/>
      <c r="G661" s="39"/>
      <c r="H661" s="39"/>
      <c r="I661" s="39"/>
      <c r="J661" s="39"/>
      <c r="K661" s="39"/>
      <c r="L661" s="39"/>
      <c r="M661" s="39"/>
      <c r="N661" s="39"/>
      <c r="O661" s="39"/>
      <c r="P661" s="39"/>
    </row>
    <row r="662" spans="1:16" ht="12.75" customHeight="1">
      <c r="A662" s="39"/>
      <c r="B662" s="39"/>
      <c r="C662" s="39"/>
      <c r="D662" s="39"/>
      <c r="E662" s="39"/>
      <c r="F662" s="39"/>
      <c r="G662" s="39"/>
      <c r="H662" s="39"/>
      <c r="I662" s="39"/>
      <c r="J662" s="39"/>
      <c r="K662" s="39"/>
      <c r="L662" s="39"/>
      <c r="M662" s="39"/>
      <c r="N662" s="39"/>
      <c r="O662" s="39"/>
      <c r="P662" s="39"/>
    </row>
    <row r="663" spans="1:16" ht="12.75" customHeight="1">
      <c r="A663" s="39"/>
      <c r="B663" s="39"/>
      <c r="C663" s="39"/>
      <c r="D663" s="39"/>
      <c r="E663" s="39"/>
      <c r="F663" s="39"/>
      <c r="G663" s="39"/>
      <c r="H663" s="39"/>
      <c r="I663" s="39"/>
      <c r="J663" s="39"/>
      <c r="K663" s="39"/>
      <c r="L663" s="39"/>
      <c r="M663" s="39"/>
      <c r="N663" s="39"/>
      <c r="O663" s="39"/>
      <c r="P663" s="39"/>
    </row>
    <row r="664" spans="1:16" ht="12.75" customHeight="1">
      <c r="A664" s="39"/>
      <c r="B664" s="39"/>
      <c r="C664" s="39"/>
      <c r="D664" s="39"/>
      <c r="E664" s="39"/>
      <c r="F664" s="39"/>
      <c r="G664" s="39"/>
      <c r="H664" s="39"/>
      <c r="I664" s="39"/>
      <c r="J664" s="39"/>
      <c r="K664" s="39"/>
      <c r="L664" s="39"/>
      <c r="M664" s="39"/>
      <c r="N664" s="39"/>
      <c r="O664" s="39"/>
      <c r="P664" s="39"/>
    </row>
    <row r="665" spans="1:16" ht="12.75" customHeight="1">
      <c r="A665" s="39"/>
      <c r="B665" s="39"/>
      <c r="C665" s="39"/>
      <c r="D665" s="39"/>
      <c r="E665" s="39"/>
      <c r="F665" s="39"/>
      <c r="G665" s="39"/>
      <c r="H665" s="39"/>
      <c r="I665" s="39"/>
      <c r="J665" s="39"/>
      <c r="K665" s="39"/>
      <c r="L665" s="39"/>
      <c r="M665" s="39"/>
      <c r="N665" s="39"/>
      <c r="O665" s="39"/>
      <c r="P665" s="39"/>
    </row>
    <row r="666" spans="1:16" ht="12.75" customHeight="1">
      <c r="A666" s="39"/>
      <c r="B666" s="39"/>
      <c r="C666" s="39"/>
      <c r="D666" s="39"/>
      <c r="E666" s="39"/>
      <c r="F666" s="39"/>
      <c r="G666" s="39"/>
      <c r="H666" s="39"/>
      <c r="I666" s="39"/>
      <c r="J666" s="39"/>
      <c r="K666" s="39"/>
      <c r="L666" s="39"/>
      <c r="M666" s="39"/>
      <c r="N666" s="39"/>
      <c r="O666" s="39"/>
      <c r="P666" s="39"/>
    </row>
    <row r="667" spans="1:16" ht="12.75" customHeight="1">
      <c r="A667" s="39"/>
      <c r="B667" s="39"/>
      <c r="C667" s="39"/>
      <c r="D667" s="39"/>
      <c r="E667" s="39"/>
      <c r="F667" s="39"/>
      <c r="G667" s="39"/>
      <c r="H667" s="39"/>
      <c r="I667" s="39"/>
      <c r="J667" s="39"/>
      <c r="K667" s="39"/>
      <c r="L667" s="39"/>
      <c r="M667" s="39"/>
      <c r="N667" s="39"/>
      <c r="O667" s="39"/>
      <c r="P667" s="39"/>
    </row>
    <row r="668" spans="1:16" ht="12.75" customHeight="1">
      <c r="A668" s="39"/>
      <c r="B668" s="39"/>
      <c r="C668" s="39"/>
      <c r="D668" s="39"/>
      <c r="E668" s="39"/>
      <c r="F668" s="39"/>
      <c r="G668" s="39"/>
      <c r="H668" s="39"/>
      <c r="I668" s="39"/>
      <c r="J668" s="39"/>
      <c r="K668" s="39"/>
      <c r="L668" s="39"/>
      <c r="M668" s="39"/>
      <c r="N668" s="39"/>
      <c r="O668" s="39"/>
      <c r="P668" s="39"/>
    </row>
    <row r="669" spans="1:16" ht="12.75" customHeight="1">
      <c r="A669" s="39"/>
      <c r="B669" s="39"/>
      <c r="C669" s="39"/>
      <c r="D669" s="39"/>
      <c r="E669" s="39"/>
      <c r="F669" s="39"/>
      <c r="G669" s="39"/>
      <c r="H669" s="39"/>
      <c r="I669" s="39"/>
      <c r="J669" s="39"/>
      <c r="K669" s="39"/>
      <c r="L669" s="39"/>
      <c r="M669" s="39"/>
      <c r="N669" s="39"/>
      <c r="O669" s="39"/>
      <c r="P669" s="39"/>
    </row>
    <row r="670" spans="1:16" ht="12.75" customHeight="1">
      <c r="A670" s="39"/>
      <c r="B670" s="39"/>
      <c r="C670" s="39"/>
      <c r="D670" s="39"/>
      <c r="E670" s="39"/>
      <c r="F670" s="39"/>
      <c r="G670" s="39"/>
      <c r="H670" s="39"/>
      <c r="I670" s="39"/>
      <c r="J670" s="39"/>
      <c r="K670" s="39"/>
      <c r="L670" s="39"/>
      <c r="M670" s="39"/>
      <c r="N670" s="39"/>
      <c r="O670" s="39"/>
      <c r="P670" s="39"/>
    </row>
    <row r="671" spans="1:16" ht="12.75" customHeight="1">
      <c r="A671" s="39"/>
      <c r="B671" s="39"/>
      <c r="C671" s="39"/>
      <c r="D671" s="39"/>
      <c r="E671" s="39"/>
      <c r="F671" s="39"/>
      <c r="G671" s="39"/>
      <c r="H671" s="39"/>
      <c r="I671" s="39"/>
      <c r="J671" s="39"/>
      <c r="K671" s="39"/>
      <c r="L671" s="39"/>
      <c r="M671" s="39"/>
      <c r="N671" s="39"/>
      <c r="O671" s="39"/>
      <c r="P671" s="39"/>
    </row>
    <row r="672" spans="1:16" ht="12.75" customHeight="1">
      <c r="A672" s="39"/>
      <c r="B672" s="39"/>
      <c r="C672" s="39"/>
      <c r="D672" s="39"/>
      <c r="E672" s="39"/>
      <c r="F672" s="39"/>
      <c r="G672" s="39"/>
      <c r="H672" s="39"/>
      <c r="I672" s="39"/>
      <c r="J672" s="39"/>
      <c r="K672" s="39"/>
      <c r="L672" s="39"/>
      <c r="M672" s="39"/>
      <c r="N672" s="39"/>
      <c r="O672" s="39"/>
      <c r="P672" s="39"/>
    </row>
    <row r="673" spans="1:16" ht="12.75" customHeight="1">
      <c r="A673" s="39"/>
      <c r="B673" s="39"/>
      <c r="C673" s="39"/>
      <c r="D673" s="39"/>
      <c r="E673" s="39"/>
      <c r="F673" s="39"/>
      <c r="G673" s="39"/>
      <c r="H673" s="39"/>
      <c r="I673" s="39"/>
      <c r="J673" s="39"/>
      <c r="K673" s="39"/>
      <c r="L673" s="39"/>
      <c r="M673" s="39"/>
      <c r="N673" s="39"/>
      <c r="O673" s="39"/>
      <c r="P673" s="39"/>
    </row>
    <row r="674" spans="1:16" ht="12.75" customHeight="1">
      <c r="A674" s="39"/>
      <c r="B674" s="39"/>
      <c r="C674" s="39"/>
      <c r="D674" s="39"/>
      <c r="E674" s="39"/>
      <c r="F674" s="39"/>
      <c r="G674" s="39"/>
      <c r="H674" s="39"/>
      <c r="I674" s="39"/>
      <c r="J674" s="39"/>
      <c r="K674" s="39"/>
      <c r="L674" s="39"/>
      <c r="M674" s="39"/>
      <c r="N674" s="39"/>
      <c r="O674" s="39"/>
      <c r="P674" s="39"/>
    </row>
    <row r="675" spans="1:16" ht="12.75" customHeight="1">
      <c r="A675" s="39"/>
      <c r="B675" s="39"/>
      <c r="C675" s="39"/>
      <c r="D675" s="39"/>
      <c r="E675" s="39"/>
      <c r="F675" s="39"/>
      <c r="G675" s="39"/>
      <c r="H675" s="39"/>
      <c r="I675" s="39"/>
      <c r="J675" s="39"/>
      <c r="K675" s="39"/>
      <c r="L675" s="39"/>
      <c r="M675" s="39"/>
      <c r="N675" s="39"/>
      <c r="O675" s="39"/>
      <c r="P675" s="39"/>
    </row>
    <row r="676" spans="1:16" ht="12.75" customHeight="1">
      <c r="A676" s="39"/>
      <c r="B676" s="39"/>
      <c r="C676" s="39"/>
      <c r="D676" s="39"/>
      <c r="E676" s="39"/>
      <c r="F676" s="39"/>
      <c r="G676" s="39"/>
      <c r="H676" s="39"/>
      <c r="I676" s="39"/>
      <c r="J676" s="39"/>
      <c r="K676" s="39"/>
      <c r="L676" s="39"/>
      <c r="M676" s="39"/>
      <c r="N676" s="39"/>
      <c r="O676" s="39"/>
      <c r="P676" s="39"/>
    </row>
    <row r="677" spans="1:16" ht="12.75" customHeight="1">
      <c r="A677" s="39"/>
      <c r="B677" s="39"/>
      <c r="C677" s="39"/>
      <c r="D677" s="39"/>
      <c r="E677" s="39"/>
      <c r="F677" s="39"/>
      <c r="G677" s="39"/>
      <c r="H677" s="39"/>
      <c r="I677" s="39"/>
      <c r="J677" s="39"/>
      <c r="K677" s="39"/>
      <c r="L677" s="39"/>
      <c r="M677" s="39"/>
      <c r="N677" s="39"/>
      <c r="O677" s="39"/>
      <c r="P677" s="39"/>
    </row>
    <row r="678" spans="1:16" ht="12.75" customHeight="1">
      <c r="A678" s="39"/>
      <c r="B678" s="39"/>
      <c r="C678" s="39"/>
      <c r="D678" s="39"/>
      <c r="E678" s="39"/>
      <c r="F678" s="39"/>
      <c r="G678" s="39"/>
      <c r="H678" s="39"/>
      <c r="I678" s="39"/>
      <c r="J678" s="39"/>
      <c r="K678" s="39"/>
      <c r="L678" s="39"/>
      <c r="M678" s="39"/>
      <c r="N678" s="39"/>
      <c r="O678" s="39"/>
      <c r="P678" s="39"/>
    </row>
    <row r="679" spans="1:16" ht="12.75" customHeight="1">
      <c r="A679" s="39"/>
      <c r="B679" s="39"/>
      <c r="C679" s="39"/>
      <c r="D679" s="39"/>
      <c r="E679" s="39"/>
      <c r="F679" s="39"/>
      <c r="G679" s="39"/>
      <c r="H679" s="39"/>
      <c r="I679" s="39"/>
      <c r="J679" s="39"/>
      <c r="K679" s="39"/>
      <c r="L679" s="39"/>
      <c r="M679" s="39"/>
      <c r="N679" s="39"/>
      <c r="O679" s="39"/>
      <c r="P679" s="39"/>
    </row>
    <row r="680" spans="1:16" ht="12.75" customHeight="1">
      <c r="A680" s="39"/>
      <c r="B680" s="39"/>
      <c r="C680" s="39"/>
      <c r="D680" s="39"/>
      <c r="E680" s="39"/>
      <c r="F680" s="39"/>
      <c r="G680" s="39"/>
      <c r="H680" s="39"/>
      <c r="I680" s="39"/>
      <c r="J680" s="39"/>
      <c r="K680" s="39"/>
      <c r="L680" s="39"/>
      <c r="M680" s="39"/>
      <c r="N680" s="39"/>
      <c r="O680" s="39"/>
      <c r="P680" s="39"/>
    </row>
    <row r="681" spans="1:16" ht="12.75" customHeight="1">
      <c r="A681" s="39"/>
      <c r="B681" s="39"/>
      <c r="C681" s="39"/>
      <c r="D681" s="39"/>
      <c r="E681" s="39"/>
      <c r="F681" s="39"/>
      <c r="G681" s="39"/>
      <c r="H681" s="39"/>
      <c r="I681" s="39"/>
      <c r="J681" s="39"/>
      <c r="K681" s="39"/>
      <c r="L681" s="39"/>
      <c r="M681" s="39"/>
      <c r="N681" s="39"/>
      <c r="O681" s="39"/>
      <c r="P681" s="39"/>
    </row>
    <row r="682" spans="1:16" ht="12.75" customHeight="1">
      <c r="A682" s="39"/>
      <c r="B682" s="39"/>
      <c r="C682" s="39"/>
      <c r="D682" s="39"/>
      <c r="E682" s="39"/>
      <c r="F682" s="39"/>
      <c r="G682" s="39"/>
      <c r="H682" s="39"/>
      <c r="I682" s="39"/>
      <c r="J682" s="39"/>
      <c r="K682" s="39"/>
      <c r="L682" s="39"/>
      <c r="M682" s="39"/>
      <c r="N682" s="39"/>
      <c r="O682" s="39"/>
      <c r="P682" s="39"/>
    </row>
    <row r="683" spans="1:16" ht="12.75" customHeight="1">
      <c r="A683" s="39"/>
      <c r="B683" s="39"/>
      <c r="C683" s="39"/>
      <c r="D683" s="39"/>
      <c r="E683" s="39"/>
      <c r="F683" s="39"/>
      <c r="G683" s="39"/>
      <c r="H683" s="39"/>
      <c r="I683" s="39"/>
      <c r="J683" s="39"/>
      <c r="K683" s="39"/>
      <c r="L683" s="39"/>
      <c r="M683" s="39"/>
      <c r="N683" s="39"/>
      <c r="O683" s="39"/>
      <c r="P683" s="39"/>
    </row>
    <row r="684" spans="1:16" ht="12.75" customHeight="1">
      <c r="A684" s="39"/>
      <c r="B684" s="39"/>
      <c r="C684" s="39"/>
      <c r="D684" s="39"/>
      <c r="E684" s="39"/>
      <c r="F684" s="39"/>
      <c r="G684" s="39"/>
      <c r="H684" s="39"/>
      <c r="I684" s="39"/>
      <c r="J684" s="39"/>
      <c r="K684" s="39"/>
      <c r="L684" s="39"/>
      <c r="M684" s="39"/>
      <c r="N684" s="39"/>
      <c r="O684" s="39"/>
      <c r="P684" s="39"/>
    </row>
    <row r="685" spans="1:16" ht="12.75" customHeight="1">
      <c r="A685" s="39"/>
      <c r="B685" s="39"/>
      <c r="C685" s="39"/>
      <c r="D685" s="39"/>
      <c r="E685" s="39"/>
      <c r="F685" s="39"/>
      <c r="G685" s="39"/>
      <c r="H685" s="39"/>
      <c r="I685" s="39"/>
      <c r="J685" s="39"/>
      <c r="K685" s="39"/>
      <c r="L685" s="39"/>
      <c r="M685" s="39"/>
      <c r="N685" s="39"/>
      <c r="O685" s="39"/>
      <c r="P685" s="39"/>
    </row>
    <row r="686" spans="1:16" ht="12.75" customHeight="1">
      <c r="A686" s="39"/>
      <c r="B686" s="39"/>
      <c r="C686" s="39"/>
      <c r="D686" s="39"/>
      <c r="E686" s="39"/>
      <c r="F686" s="39"/>
      <c r="G686" s="39"/>
      <c r="H686" s="39"/>
      <c r="I686" s="39"/>
      <c r="J686" s="39"/>
      <c r="K686" s="39"/>
      <c r="L686" s="39"/>
      <c r="M686" s="39"/>
      <c r="N686" s="39"/>
      <c r="O686" s="39"/>
      <c r="P686" s="39"/>
    </row>
    <row r="687" spans="1:16" ht="12.75" customHeight="1">
      <c r="A687" s="39"/>
      <c r="B687" s="39"/>
      <c r="C687" s="39"/>
      <c r="D687" s="39"/>
      <c r="E687" s="39"/>
      <c r="F687" s="39"/>
      <c r="G687" s="39"/>
      <c r="H687" s="39"/>
      <c r="I687" s="39"/>
      <c r="J687" s="39"/>
      <c r="K687" s="39"/>
      <c r="L687" s="39"/>
      <c r="M687" s="39"/>
      <c r="N687" s="39"/>
      <c r="O687" s="39"/>
      <c r="P687" s="39"/>
    </row>
    <row r="688" spans="1:16" ht="12.75" customHeight="1">
      <c r="A688" s="39"/>
      <c r="B688" s="39"/>
      <c r="C688" s="39"/>
      <c r="D688" s="39"/>
      <c r="E688" s="39"/>
      <c r="F688" s="39"/>
      <c r="G688" s="39"/>
      <c r="H688" s="39"/>
      <c r="I688" s="39"/>
      <c r="J688" s="39"/>
      <c r="K688" s="39"/>
      <c r="L688" s="39"/>
      <c r="M688" s="39"/>
      <c r="N688" s="39"/>
      <c r="O688" s="39"/>
      <c r="P688" s="39"/>
    </row>
    <row r="689" spans="1:16" ht="12.75" customHeight="1">
      <c r="A689" s="39"/>
      <c r="B689" s="39"/>
      <c r="C689" s="39"/>
      <c r="D689" s="39"/>
      <c r="E689" s="39"/>
      <c r="F689" s="39"/>
      <c r="G689" s="39"/>
      <c r="H689" s="39"/>
      <c r="I689" s="39"/>
      <c r="J689" s="39"/>
      <c r="K689" s="39"/>
      <c r="L689" s="39"/>
      <c r="M689" s="39"/>
      <c r="N689" s="39"/>
      <c r="O689" s="39"/>
      <c r="P689" s="39"/>
    </row>
    <row r="690" spans="1:16" ht="12.75" customHeight="1">
      <c r="A690" s="39"/>
      <c r="B690" s="39"/>
      <c r="C690" s="39"/>
      <c r="D690" s="39"/>
      <c r="E690" s="39"/>
      <c r="F690" s="39"/>
      <c r="G690" s="39"/>
      <c r="H690" s="39"/>
      <c r="I690" s="39"/>
      <c r="J690" s="39"/>
      <c r="K690" s="39"/>
      <c r="L690" s="39"/>
      <c r="M690" s="39"/>
      <c r="N690" s="39"/>
      <c r="O690" s="39"/>
      <c r="P690" s="39"/>
    </row>
    <row r="691" spans="1:16" ht="12.75" customHeight="1">
      <c r="A691" s="39"/>
      <c r="B691" s="39"/>
      <c r="C691" s="39"/>
      <c r="D691" s="39"/>
      <c r="E691" s="39"/>
      <c r="F691" s="39"/>
      <c r="G691" s="39"/>
      <c r="H691" s="39"/>
      <c r="I691" s="39"/>
      <c r="J691" s="39"/>
      <c r="K691" s="39"/>
      <c r="L691" s="39"/>
      <c r="M691" s="39"/>
      <c r="N691" s="39"/>
      <c r="O691" s="39"/>
      <c r="P691" s="39"/>
    </row>
    <row r="692" spans="1:16" ht="12.75" customHeight="1">
      <c r="A692" s="39"/>
      <c r="B692" s="39"/>
      <c r="C692" s="39"/>
      <c r="D692" s="39"/>
      <c r="E692" s="39"/>
      <c r="F692" s="39"/>
      <c r="G692" s="39"/>
      <c r="H692" s="39"/>
      <c r="I692" s="39"/>
      <c r="J692" s="39"/>
      <c r="K692" s="39"/>
      <c r="L692" s="39"/>
      <c r="M692" s="39"/>
      <c r="N692" s="39"/>
      <c r="O692" s="39"/>
      <c r="P692" s="39"/>
    </row>
    <row r="693" spans="1:16" ht="12.75" customHeight="1">
      <c r="A693" s="39"/>
      <c r="B693" s="39"/>
      <c r="C693" s="39"/>
      <c r="D693" s="39"/>
      <c r="E693" s="39"/>
      <c r="F693" s="39"/>
      <c r="G693" s="39"/>
      <c r="H693" s="39"/>
      <c r="I693" s="39"/>
      <c r="J693" s="39"/>
      <c r="K693" s="39"/>
      <c r="L693" s="39"/>
      <c r="M693" s="39"/>
      <c r="N693" s="39"/>
      <c r="O693" s="39"/>
      <c r="P693" s="39"/>
    </row>
    <row r="694" spans="1:16" ht="12.75" customHeight="1">
      <c r="A694" s="39"/>
      <c r="B694" s="39"/>
      <c r="C694" s="39"/>
      <c r="D694" s="39"/>
      <c r="E694" s="39"/>
      <c r="F694" s="39"/>
      <c r="G694" s="39"/>
      <c r="H694" s="39"/>
      <c r="I694" s="39"/>
      <c r="J694" s="39"/>
      <c r="K694" s="39"/>
      <c r="L694" s="39"/>
      <c r="M694" s="39"/>
      <c r="N694" s="39"/>
      <c r="O694" s="39"/>
      <c r="P694" s="39"/>
    </row>
    <row r="695" spans="1:16" ht="12.75" customHeight="1">
      <c r="A695" s="39"/>
      <c r="B695" s="39"/>
      <c r="C695" s="39"/>
      <c r="D695" s="39"/>
      <c r="E695" s="39"/>
      <c r="F695" s="39"/>
      <c r="G695" s="39"/>
      <c r="H695" s="39"/>
      <c r="I695" s="39"/>
      <c r="J695" s="39"/>
      <c r="K695" s="39"/>
      <c r="L695" s="39"/>
      <c r="M695" s="39"/>
      <c r="N695" s="39"/>
      <c r="O695" s="39"/>
      <c r="P695" s="39"/>
    </row>
    <row r="696" spans="1:16" ht="12.75" customHeight="1">
      <c r="A696" s="39"/>
      <c r="B696" s="39"/>
      <c r="C696" s="39"/>
      <c r="D696" s="39"/>
      <c r="E696" s="39"/>
      <c r="F696" s="39"/>
      <c r="G696" s="39"/>
      <c r="H696" s="39"/>
      <c r="I696" s="39"/>
      <c r="J696" s="39"/>
      <c r="K696" s="39"/>
      <c r="L696" s="39"/>
      <c r="M696" s="39"/>
      <c r="N696" s="39"/>
      <c r="O696" s="39"/>
      <c r="P696" s="39"/>
    </row>
    <row r="697" spans="1:16" ht="12.75" customHeight="1">
      <c r="A697" s="39"/>
      <c r="B697" s="39"/>
      <c r="C697" s="39"/>
      <c r="D697" s="39"/>
      <c r="E697" s="39"/>
      <c r="F697" s="39"/>
      <c r="G697" s="39"/>
      <c r="H697" s="39"/>
      <c r="I697" s="39"/>
      <c r="J697" s="39"/>
      <c r="K697" s="39"/>
      <c r="L697" s="39"/>
      <c r="M697" s="39"/>
      <c r="N697" s="39"/>
      <c r="O697" s="39"/>
      <c r="P697" s="39"/>
    </row>
    <row r="698" spans="1:16" ht="12.75" customHeight="1">
      <c r="A698" s="39"/>
      <c r="B698" s="39"/>
      <c r="C698" s="39"/>
      <c r="D698" s="39"/>
      <c r="E698" s="39"/>
      <c r="F698" s="39"/>
      <c r="G698" s="39"/>
      <c r="H698" s="39"/>
      <c r="I698" s="39"/>
      <c r="J698" s="39"/>
      <c r="K698" s="39"/>
      <c r="L698" s="39"/>
      <c r="M698" s="39"/>
      <c r="N698" s="39"/>
      <c r="O698" s="39"/>
      <c r="P698" s="39"/>
    </row>
    <row r="699" spans="1:16" ht="12.75" customHeight="1">
      <c r="A699" s="39"/>
      <c r="B699" s="39"/>
      <c r="C699" s="39"/>
      <c r="D699" s="39"/>
      <c r="E699" s="39"/>
      <c r="F699" s="39"/>
      <c r="G699" s="39"/>
      <c r="H699" s="39"/>
      <c r="I699" s="39"/>
      <c r="J699" s="39"/>
      <c r="K699" s="39"/>
      <c r="L699" s="39"/>
      <c r="M699" s="39"/>
      <c r="N699" s="39"/>
      <c r="O699" s="39"/>
      <c r="P699" s="39"/>
    </row>
    <row r="700" spans="1:16" ht="12.75" customHeight="1">
      <c r="A700" s="39"/>
      <c r="B700" s="39"/>
      <c r="C700" s="39"/>
      <c r="D700" s="39"/>
      <c r="E700" s="39"/>
      <c r="F700" s="39"/>
      <c r="G700" s="39"/>
      <c r="H700" s="39"/>
      <c r="I700" s="39"/>
      <c r="J700" s="39"/>
      <c r="K700" s="39"/>
      <c r="L700" s="39"/>
      <c r="M700" s="39"/>
      <c r="N700" s="39"/>
      <c r="O700" s="39"/>
      <c r="P700" s="39"/>
    </row>
    <row r="701" spans="1:16" ht="12.75" customHeight="1">
      <c r="A701" s="39"/>
      <c r="B701" s="39"/>
      <c r="C701" s="39"/>
      <c r="D701" s="39"/>
      <c r="E701" s="39"/>
      <c r="F701" s="39"/>
      <c r="G701" s="39"/>
      <c r="H701" s="39"/>
      <c r="I701" s="39"/>
      <c r="J701" s="39"/>
      <c r="K701" s="39"/>
      <c r="L701" s="39"/>
      <c r="M701" s="39"/>
      <c r="N701" s="39"/>
      <c r="O701" s="39"/>
      <c r="P701" s="39"/>
    </row>
    <row r="702" spans="1:16" ht="12.75" customHeight="1">
      <c r="A702" s="39"/>
      <c r="B702" s="39"/>
      <c r="C702" s="39"/>
      <c r="D702" s="39"/>
      <c r="E702" s="39"/>
      <c r="F702" s="39"/>
      <c r="G702" s="39"/>
      <c r="H702" s="39"/>
      <c r="I702" s="39"/>
      <c r="J702" s="39"/>
      <c r="K702" s="39"/>
      <c r="L702" s="39"/>
      <c r="M702" s="39"/>
      <c r="N702" s="39"/>
      <c r="O702" s="39"/>
      <c r="P702" s="39"/>
    </row>
    <row r="703" spans="1:16" ht="12.75" customHeight="1">
      <c r="A703" s="39"/>
      <c r="B703" s="39"/>
      <c r="C703" s="39"/>
      <c r="D703" s="39"/>
      <c r="E703" s="39"/>
      <c r="F703" s="39"/>
      <c r="G703" s="39"/>
      <c r="H703" s="39"/>
      <c r="I703" s="39"/>
      <c r="J703" s="39"/>
      <c r="K703" s="39"/>
      <c r="L703" s="39"/>
      <c r="M703" s="39"/>
      <c r="N703" s="39"/>
      <c r="O703" s="39"/>
      <c r="P703" s="39"/>
    </row>
    <row r="704" spans="1:16" ht="12.75" customHeight="1">
      <c r="A704" s="39"/>
      <c r="B704" s="39"/>
      <c r="C704" s="39"/>
      <c r="D704" s="39"/>
      <c r="E704" s="39"/>
      <c r="F704" s="39"/>
      <c r="G704" s="39"/>
      <c r="H704" s="39"/>
      <c r="I704" s="39"/>
      <c r="J704" s="39"/>
      <c r="K704" s="39"/>
      <c r="L704" s="39"/>
      <c r="M704" s="39"/>
      <c r="N704" s="39"/>
      <c r="O704" s="39"/>
      <c r="P704" s="39"/>
    </row>
    <row r="705" spans="1:16" ht="12.75" customHeight="1">
      <c r="A705" s="39"/>
      <c r="B705" s="39"/>
      <c r="C705" s="39"/>
      <c r="D705" s="39"/>
      <c r="E705" s="39"/>
      <c r="F705" s="39"/>
      <c r="G705" s="39"/>
      <c r="H705" s="39"/>
      <c r="I705" s="39"/>
      <c r="J705" s="39"/>
      <c r="K705" s="39"/>
      <c r="L705" s="39"/>
      <c r="M705" s="39"/>
      <c r="N705" s="39"/>
      <c r="O705" s="39"/>
      <c r="P705" s="39"/>
    </row>
    <row r="706" spans="1:16" ht="12.75" customHeight="1">
      <c r="A706" s="39"/>
      <c r="B706" s="39"/>
      <c r="C706" s="39"/>
      <c r="D706" s="39"/>
      <c r="E706" s="39"/>
      <c r="F706" s="39"/>
      <c r="G706" s="39"/>
      <c r="H706" s="39"/>
      <c r="I706" s="39"/>
      <c r="J706" s="39"/>
      <c r="K706" s="39"/>
      <c r="L706" s="39"/>
      <c r="M706" s="39"/>
      <c r="N706" s="39"/>
      <c r="O706" s="39"/>
      <c r="P706" s="39"/>
    </row>
    <row r="707" spans="1:16" ht="12.75" customHeight="1">
      <c r="A707" s="39"/>
      <c r="B707" s="39"/>
      <c r="C707" s="39"/>
      <c r="D707" s="39"/>
      <c r="E707" s="39"/>
      <c r="F707" s="39"/>
      <c r="G707" s="39"/>
      <c r="H707" s="39"/>
      <c r="I707" s="39"/>
      <c r="J707" s="39"/>
      <c r="K707" s="39"/>
      <c r="L707" s="39"/>
      <c r="M707" s="39"/>
      <c r="N707" s="39"/>
      <c r="O707" s="39"/>
      <c r="P707" s="39"/>
    </row>
    <row r="708" spans="1:16" ht="12.75" customHeight="1">
      <c r="A708" s="39"/>
      <c r="B708" s="39"/>
      <c r="C708" s="39"/>
      <c r="D708" s="39"/>
      <c r="E708" s="39"/>
      <c r="F708" s="39"/>
      <c r="G708" s="39"/>
      <c r="H708" s="39"/>
      <c r="I708" s="39"/>
      <c r="J708" s="39"/>
      <c r="K708" s="39"/>
      <c r="L708" s="39"/>
      <c r="M708" s="39"/>
      <c r="N708" s="39"/>
      <c r="O708" s="39"/>
      <c r="P708" s="39"/>
    </row>
    <row r="709" spans="1:16" ht="12.75" customHeight="1">
      <c r="A709" s="39"/>
      <c r="B709" s="39"/>
      <c r="C709" s="39"/>
      <c r="D709" s="39"/>
      <c r="E709" s="39"/>
      <c r="F709" s="39"/>
      <c r="G709" s="39"/>
      <c r="H709" s="39"/>
      <c r="I709" s="39"/>
      <c r="J709" s="39"/>
      <c r="K709" s="39"/>
      <c r="L709" s="39"/>
      <c r="M709" s="39"/>
      <c r="N709" s="39"/>
      <c r="O709" s="39"/>
      <c r="P709" s="39"/>
    </row>
    <row r="710" spans="1:16" ht="12.75" customHeight="1">
      <c r="A710" s="39"/>
      <c r="B710" s="39"/>
      <c r="C710" s="39"/>
      <c r="D710" s="39"/>
      <c r="E710" s="39"/>
      <c r="F710" s="39"/>
      <c r="G710" s="39"/>
      <c r="H710" s="39"/>
      <c r="I710" s="39"/>
      <c r="J710" s="39"/>
      <c r="K710" s="39"/>
      <c r="L710" s="39"/>
      <c r="M710" s="39"/>
      <c r="N710" s="39"/>
      <c r="O710" s="39"/>
      <c r="P710" s="39"/>
    </row>
    <row r="711" spans="1:16" ht="12.75" customHeight="1">
      <c r="A711" s="39"/>
      <c r="B711" s="39"/>
      <c r="C711" s="39"/>
      <c r="D711" s="39"/>
      <c r="E711" s="39"/>
      <c r="F711" s="39"/>
      <c r="G711" s="39"/>
      <c r="H711" s="39"/>
      <c r="I711" s="39"/>
      <c r="J711" s="39"/>
      <c r="K711" s="39"/>
      <c r="L711" s="39"/>
      <c r="M711" s="39"/>
      <c r="N711" s="39"/>
      <c r="O711" s="39"/>
      <c r="P711" s="39"/>
    </row>
    <row r="712" spans="1:16" ht="12.75" customHeight="1">
      <c r="A712" s="39"/>
      <c r="B712" s="39"/>
      <c r="C712" s="39"/>
      <c r="D712" s="39"/>
      <c r="E712" s="39"/>
      <c r="F712" s="39"/>
      <c r="G712" s="39"/>
      <c r="H712" s="39"/>
      <c r="I712" s="39"/>
      <c r="J712" s="39"/>
      <c r="K712" s="39"/>
      <c r="L712" s="39"/>
      <c r="M712" s="39"/>
      <c r="N712" s="39"/>
      <c r="O712" s="39"/>
      <c r="P712" s="39"/>
    </row>
    <row r="713" spans="1:16" ht="12.75" customHeight="1">
      <c r="A713" s="39"/>
      <c r="B713" s="39"/>
      <c r="C713" s="39"/>
      <c r="D713" s="39"/>
      <c r="E713" s="39"/>
      <c r="F713" s="39"/>
      <c r="G713" s="39"/>
      <c r="H713" s="39"/>
      <c r="I713" s="39"/>
      <c r="J713" s="39"/>
      <c r="K713" s="39"/>
      <c r="L713" s="39"/>
      <c r="M713" s="39"/>
      <c r="N713" s="39"/>
      <c r="O713" s="39"/>
      <c r="P713" s="39"/>
    </row>
    <row r="714" spans="1:16" ht="12.75" customHeight="1">
      <c r="A714" s="39"/>
      <c r="B714" s="39"/>
      <c r="C714" s="39"/>
      <c r="D714" s="39"/>
      <c r="E714" s="39"/>
      <c r="F714" s="39"/>
      <c r="G714" s="39"/>
      <c r="H714" s="39"/>
      <c r="I714" s="39"/>
      <c r="J714" s="39"/>
      <c r="K714" s="39"/>
      <c r="L714" s="39"/>
      <c r="M714" s="39"/>
      <c r="N714" s="39"/>
      <c r="O714" s="39"/>
      <c r="P714" s="39"/>
    </row>
    <row r="715" spans="1:16" ht="12.75" customHeight="1">
      <c r="A715" s="39"/>
      <c r="B715" s="39"/>
      <c r="C715" s="39"/>
      <c r="D715" s="39"/>
      <c r="E715" s="39"/>
      <c r="F715" s="39"/>
      <c r="G715" s="39"/>
      <c r="H715" s="39"/>
      <c r="I715" s="39"/>
      <c r="J715" s="39"/>
      <c r="K715" s="39"/>
      <c r="L715" s="39"/>
      <c r="M715" s="39"/>
      <c r="N715" s="39"/>
      <c r="O715" s="39"/>
      <c r="P715" s="39"/>
    </row>
    <row r="716" spans="1:16" ht="12.75" customHeight="1">
      <c r="A716" s="39"/>
      <c r="B716" s="39"/>
      <c r="C716" s="39"/>
      <c r="D716" s="39"/>
      <c r="E716" s="39"/>
      <c r="F716" s="39"/>
      <c r="G716" s="39"/>
      <c r="H716" s="39"/>
      <c r="I716" s="39"/>
      <c r="J716" s="39"/>
      <c r="K716" s="39"/>
      <c r="L716" s="39"/>
      <c r="M716" s="39"/>
      <c r="N716" s="39"/>
      <c r="O716" s="39"/>
      <c r="P716" s="39"/>
    </row>
    <row r="717" spans="1:16" ht="12.75" customHeight="1">
      <c r="A717" s="39"/>
      <c r="B717" s="39"/>
      <c r="C717" s="39"/>
      <c r="D717" s="39"/>
      <c r="E717" s="39"/>
      <c r="F717" s="39"/>
      <c r="G717" s="39"/>
      <c r="H717" s="39"/>
      <c r="I717" s="39"/>
      <c r="J717" s="39"/>
      <c r="K717" s="39"/>
      <c r="L717" s="39"/>
      <c r="M717" s="39"/>
      <c r="N717" s="39"/>
      <c r="O717" s="39"/>
      <c r="P717" s="39"/>
    </row>
    <row r="718" spans="1:16" ht="12.75" customHeight="1">
      <c r="A718" s="39"/>
      <c r="B718" s="39"/>
      <c r="C718" s="39"/>
      <c r="D718" s="39"/>
      <c r="E718" s="39"/>
      <c r="F718" s="39"/>
      <c r="G718" s="39"/>
      <c r="H718" s="39"/>
      <c r="I718" s="39"/>
      <c r="J718" s="39"/>
      <c r="K718" s="39"/>
      <c r="L718" s="39"/>
      <c r="M718" s="39"/>
      <c r="N718" s="39"/>
      <c r="O718" s="39"/>
      <c r="P718" s="39"/>
    </row>
    <row r="719" spans="1:16" ht="12.75" customHeight="1">
      <c r="A719" s="39"/>
      <c r="B719" s="39"/>
      <c r="C719" s="39"/>
      <c r="D719" s="39"/>
      <c r="E719" s="39"/>
      <c r="F719" s="39"/>
      <c r="G719" s="39"/>
      <c r="H719" s="39"/>
      <c r="I719" s="39"/>
      <c r="J719" s="39"/>
      <c r="K719" s="39"/>
      <c r="L719" s="39"/>
      <c r="M719" s="39"/>
      <c r="N719" s="39"/>
      <c r="O719" s="39"/>
      <c r="P719" s="39"/>
    </row>
    <row r="720" spans="1:16" ht="12.75" customHeight="1">
      <c r="A720" s="39"/>
      <c r="B720" s="39"/>
      <c r="C720" s="39"/>
      <c r="D720" s="39"/>
      <c r="E720" s="39"/>
      <c r="F720" s="39"/>
      <c r="G720" s="39"/>
      <c r="H720" s="39"/>
      <c r="I720" s="39"/>
      <c r="J720" s="39"/>
      <c r="K720" s="39"/>
      <c r="L720" s="39"/>
      <c r="M720" s="39"/>
      <c r="N720" s="39"/>
      <c r="O720" s="39"/>
      <c r="P720" s="39"/>
    </row>
    <row r="721" spans="1:16" ht="12.75" customHeight="1">
      <c r="A721" s="39"/>
      <c r="B721" s="39"/>
      <c r="C721" s="39"/>
      <c r="D721" s="39"/>
      <c r="E721" s="39"/>
      <c r="F721" s="39"/>
      <c r="G721" s="39"/>
      <c r="H721" s="39"/>
      <c r="I721" s="39"/>
      <c r="J721" s="39"/>
      <c r="K721" s="39"/>
      <c r="L721" s="39"/>
      <c r="M721" s="39"/>
      <c r="N721" s="39"/>
      <c r="O721" s="39"/>
      <c r="P721" s="39"/>
    </row>
    <row r="722" spans="1:16" ht="12.75" customHeight="1">
      <c r="A722" s="39"/>
      <c r="B722" s="39"/>
      <c r="C722" s="39"/>
      <c r="D722" s="39"/>
      <c r="E722" s="39"/>
      <c r="F722" s="39"/>
      <c r="G722" s="39"/>
      <c r="H722" s="39"/>
      <c r="I722" s="39"/>
      <c r="J722" s="39"/>
      <c r="K722" s="39"/>
      <c r="L722" s="39"/>
      <c r="M722" s="39"/>
      <c r="N722" s="39"/>
      <c r="O722" s="39"/>
      <c r="P722" s="39"/>
    </row>
    <row r="723" spans="1:16" ht="12.75" customHeight="1">
      <c r="A723" s="39"/>
      <c r="B723" s="39"/>
      <c r="C723" s="39"/>
      <c r="D723" s="39"/>
      <c r="E723" s="39"/>
      <c r="F723" s="39"/>
      <c r="G723" s="39"/>
      <c r="H723" s="39"/>
      <c r="I723" s="39"/>
      <c r="J723" s="39"/>
      <c r="K723" s="39"/>
      <c r="L723" s="39"/>
      <c r="M723" s="39"/>
      <c r="N723" s="39"/>
      <c r="O723" s="39"/>
      <c r="P723" s="39"/>
    </row>
    <row r="724" spans="1:16" ht="12.75" customHeight="1">
      <c r="A724" s="39"/>
      <c r="B724" s="39"/>
      <c r="C724" s="39"/>
      <c r="D724" s="39"/>
      <c r="E724" s="39"/>
      <c r="F724" s="39"/>
      <c r="G724" s="39"/>
      <c r="H724" s="39"/>
      <c r="I724" s="39"/>
      <c r="J724" s="39"/>
      <c r="K724" s="39"/>
      <c r="L724" s="39"/>
      <c r="M724" s="39"/>
      <c r="N724" s="39"/>
      <c r="O724" s="39"/>
      <c r="P724" s="39"/>
    </row>
    <row r="725" spans="1:16" ht="12.75" customHeight="1">
      <c r="A725" s="39"/>
      <c r="B725" s="39"/>
      <c r="C725" s="39"/>
      <c r="D725" s="39"/>
      <c r="E725" s="39"/>
      <c r="F725" s="39"/>
      <c r="G725" s="39"/>
      <c r="H725" s="39"/>
      <c r="I725" s="39"/>
      <c r="J725" s="39"/>
      <c r="K725" s="39"/>
      <c r="L725" s="39"/>
      <c r="M725" s="39"/>
      <c r="N725" s="39"/>
      <c r="O725" s="39"/>
      <c r="P725" s="39"/>
    </row>
    <row r="726" spans="1:16" ht="12.75" customHeight="1">
      <c r="A726" s="39"/>
      <c r="B726" s="39"/>
      <c r="C726" s="39"/>
      <c r="D726" s="39"/>
      <c r="E726" s="39"/>
      <c r="F726" s="39"/>
      <c r="G726" s="39"/>
      <c r="H726" s="39"/>
      <c r="I726" s="39"/>
      <c r="J726" s="39"/>
      <c r="K726" s="39"/>
      <c r="L726" s="39"/>
      <c r="M726" s="39"/>
      <c r="N726" s="39"/>
      <c r="O726" s="39"/>
      <c r="P726" s="39"/>
    </row>
    <row r="727" spans="1:16" ht="12.75" customHeight="1">
      <c r="A727" s="39"/>
      <c r="B727" s="39"/>
      <c r="C727" s="39"/>
      <c r="D727" s="39"/>
      <c r="E727" s="39"/>
      <c r="F727" s="39"/>
      <c r="G727" s="39"/>
      <c r="H727" s="39"/>
      <c r="I727" s="39"/>
      <c r="J727" s="39"/>
      <c r="K727" s="39"/>
      <c r="L727" s="39"/>
      <c r="M727" s="39"/>
      <c r="N727" s="39"/>
      <c r="O727" s="39"/>
      <c r="P727" s="39"/>
    </row>
    <row r="728" spans="1:16" ht="12.75" customHeight="1">
      <c r="A728" s="39"/>
      <c r="B728" s="39"/>
      <c r="C728" s="39"/>
      <c r="D728" s="39"/>
      <c r="E728" s="39"/>
      <c r="F728" s="39"/>
      <c r="G728" s="39"/>
      <c r="H728" s="39"/>
      <c r="I728" s="39"/>
      <c r="J728" s="39"/>
      <c r="K728" s="39"/>
      <c r="L728" s="39"/>
      <c r="M728" s="39"/>
      <c r="N728" s="39"/>
      <c r="O728" s="39"/>
      <c r="P728" s="39"/>
    </row>
    <row r="729" spans="1:16" ht="12.75" customHeight="1">
      <c r="A729" s="39"/>
      <c r="B729" s="39"/>
      <c r="C729" s="39"/>
      <c r="D729" s="39"/>
      <c r="E729" s="39"/>
      <c r="F729" s="39"/>
      <c r="G729" s="39"/>
      <c r="H729" s="39"/>
      <c r="I729" s="39"/>
      <c r="J729" s="39"/>
      <c r="K729" s="39"/>
      <c r="L729" s="39"/>
      <c r="M729" s="39"/>
      <c r="N729" s="39"/>
      <c r="O729" s="39"/>
      <c r="P729" s="39"/>
    </row>
    <row r="730" spans="1:16" ht="12.75" customHeight="1">
      <c r="A730" s="39"/>
      <c r="B730" s="39"/>
      <c r="C730" s="39"/>
      <c r="D730" s="39"/>
      <c r="E730" s="39"/>
      <c r="F730" s="39"/>
      <c r="G730" s="39"/>
      <c r="H730" s="39"/>
      <c r="I730" s="39"/>
      <c r="J730" s="39"/>
      <c r="K730" s="39"/>
      <c r="L730" s="39"/>
      <c r="M730" s="39"/>
      <c r="N730" s="39"/>
      <c r="O730" s="39"/>
      <c r="P730" s="39"/>
    </row>
    <row r="731" spans="1:16" ht="12.75" customHeight="1">
      <c r="A731" s="39"/>
      <c r="B731" s="39"/>
      <c r="C731" s="39"/>
      <c r="D731" s="39"/>
      <c r="E731" s="39"/>
      <c r="F731" s="39"/>
      <c r="G731" s="39"/>
      <c r="H731" s="39"/>
      <c r="I731" s="39"/>
      <c r="J731" s="39"/>
      <c r="K731" s="39"/>
      <c r="L731" s="39"/>
      <c r="M731" s="39"/>
      <c r="N731" s="39"/>
      <c r="O731" s="39"/>
      <c r="P731" s="39"/>
    </row>
    <row r="732" spans="1:16" ht="12.75" customHeight="1">
      <c r="A732" s="39"/>
      <c r="B732" s="39"/>
      <c r="C732" s="39"/>
      <c r="D732" s="39"/>
      <c r="E732" s="39"/>
      <c r="F732" s="39"/>
      <c r="G732" s="39"/>
      <c r="H732" s="39"/>
      <c r="I732" s="39"/>
      <c r="J732" s="39"/>
      <c r="K732" s="39"/>
      <c r="L732" s="39"/>
      <c r="M732" s="39"/>
      <c r="N732" s="39"/>
      <c r="O732" s="39"/>
      <c r="P732" s="39"/>
    </row>
    <row r="733" spans="1:16" ht="12.75" customHeight="1">
      <c r="A733" s="39"/>
      <c r="B733" s="39"/>
      <c r="C733" s="39"/>
      <c r="D733" s="39"/>
      <c r="E733" s="39"/>
      <c r="F733" s="39"/>
      <c r="G733" s="39"/>
      <c r="H733" s="39"/>
      <c r="I733" s="39"/>
      <c r="J733" s="39"/>
      <c r="K733" s="39"/>
      <c r="L733" s="39"/>
      <c r="M733" s="39"/>
      <c r="N733" s="39"/>
      <c r="O733" s="39"/>
      <c r="P733" s="39"/>
    </row>
    <row r="734" spans="1:16" ht="12.75" customHeight="1">
      <c r="A734" s="39"/>
      <c r="B734" s="39"/>
      <c r="C734" s="39"/>
      <c r="D734" s="39"/>
      <c r="E734" s="39"/>
      <c r="F734" s="39"/>
      <c r="G734" s="39"/>
      <c r="H734" s="39"/>
      <c r="I734" s="39"/>
      <c r="J734" s="39"/>
      <c r="K734" s="39"/>
      <c r="L734" s="39"/>
      <c r="M734" s="39"/>
      <c r="N734" s="39"/>
      <c r="O734" s="39"/>
      <c r="P734" s="39"/>
    </row>
    <row r="735" spans="1:16" ht="12.75" customHeight="1">
      <c r="A735" s="39"/>
      <c r="B735" s="39"/>
      <c r="C735" s="39"/>
      <c r="D735" s="39"/>
      <c r="E735" s="39"/>
      <c r="F735" s="39"/>
      <c r="G735" s="39"/>
      <c r="H735" s="39"/>
      <c r="I735" s="39"/>
      <c r="J735" s="39"/>
      <c r="K735" s="39"/>
      <c r="L735" s="39"/>
      <c r="M735" s="39"/>
      <c r="N735" s="39"/>
      <c r="O735" s="39"/>
      <c r="P735" s="39"/>
    </row>
    <row r="736" spans="1:16" ht="12.75" customHeight="1">
      <c r="A736" s="39"/>
      <c r="B736" s="39"/>
      <c r="C736" s="39"/>
      <c r="D736" s="39"/>
      <c r="E736" s="39"/>
      <c r="F736" s="39"/>
      <c r="G736" s="39"/>
      <c r="H736" s="39"/>
      <c r="I736" s="39"/>
      <c r="J736" s="39"/>
      <c r="K736" s="39"/>
      <c r="L736" s="39"/>
      <c r="M736" s="39"/>
      <c r="N736" s="39"/>
      <c r="O736" s="39"/>
      <c r="P736" s="39"/>
    </row>
    <row r="737" spans="1:16" ht="12.75" customHeight="1">
      <c r="A737" s="39"/>
      <c r="B737" s="39"/>
      <c r="C737" s="39"/>
      <c r="D737" s="39"/>
      <c r="E737" s="39"/>
      <c r="F737" s="39"/>
      <c r="G737" s="39"/>
      <c r="H737" s="39"/>
      <c r="I737" s="39"/>
      <c r="J737" s="39"/>
      <c r="K737" s="39"/>
      <c r="L737" s="39"/>
      <c r="M737" s="39"/>
      <c r="N737" s="39"/>
      <c r="O737" s="39"/>
      <c r="P737" s="39"/>
    </row>
    <row r="738" spans="1:16" ht="12.75" customHeight="1">
      <c r="A738" s="39"/>
      <c r="B738" s="39"/>
      <c r="C738" s="39"/>
      <c r="D738" s="39"/>
      <c r="E738" s="39"/>
      <c r="F738" s="39"/>
      <c r="G738" s="39"/>
      <c r="H738" s="39"/>
      <c r="I738" s="39"/>
      <c r="J738" s="39"/>
      <c r="K738" s="39"/>
      <c r="L738" s="39"/>
      <c r="M738" s="39"/>
      <c r="N738" s="39"/>
      <c r="O738" s="39"/>
      <c r="P738" s="39"/>
    </row>
    <row r="739" spans="1:16" ht="12.75" customHeight="1">
      <c r="A739" s="39"/>
      <c r="B739" s="39"/>
      <c r="C739" s="39"/>
      <c r="D739" s="39"/>
      <c r="E739" s="39"/>
      <c r="F739" s="39"/>
      <c r="G739" s="39"/>
      <c r="H739" s="39"/>
      <c r="I739" s="39"/>
      <c r="J739" s="39"/>
      <c r="K739" s="39"/>
      <c r="L739" s="39"/>
      <c r="M739" s="39"/>
      <c r="N739" s="39"/>
      <c r="O739" s="39"/>
      <c r="P739" s="39"/>
    </row>
    <row r="740" spans="1:16" ht="12.75" customHeight="1">
      <c r="A740" s="39"/>
      <c r="B740" s="39"/>
      <c r="C740" s="39"/>
      <c r="D740" s="39"/>
      <c r="E740" s="39"/>
      <c r="F740" s="39"/>
      <c r="G740" s="39"/>
      <c r="H740" s="39"/>
      <c r="I740" s="39"/>
      <c r="J740" s="39"/>
      <c r="K740" s="39"/>
      <c r="L740" s="39"/>
      <c r="M740" s="39"/>
      <c r="N740" s="39"/>
      <c r="O740" s="39"/>
      <c r="P740" s="39"/>
    </row>
    <row r="741" spans="1:16" ht="12.75" customHeight="1">
      <c r="A741" s="39"/>
      <c r="B741" s="39"/>
      <c r="C741" s="39"/>
      <c r="D741" s="39"/>
      <c r="E741" s="39"/>
      <c r="F741" s="39"/>
      <c r="G741" s="39"/>
      <c r="H741" s="39"/>
      <c r="I741" s="39"/>
      <c r="J741" s="39"/>
      <c r="K741" s="39"/>
      <c r="L741" s="39"/>
      <c r="M741" s="39"/>
      <c r="N741" s="39"/>
      <c r="O741" s="39"/>
      <c r="P741" s="39"/>
    </row>
    <row r="742" spans="1:16" ht="12.75" customHeight="1">
      <c r="A742" s="39"/>
      <c r="B742" s="39"/>
      <c r="C742" s="39"/>
      <c r="D742" s="39"/>
      <c r="E742" s="39"/>
      <c r="F742" s="39"/>
      <c r="G742" s="39"/>
      <c r="H742" s="39"/>
      <c r="I742" s="39"/>
      <c r="J742" s="39"/>
      <c r="K742" s="39"/>
      <c r="L742" s="39"/>
      <c r="M742" s="39"/>
      <c r="N742" s="39"/>
      <c r="O742" s="39"/>
      <c r="P742" s="39"/>
    </row>
    <row r="743" spans="1:16" ht="12.75" customHeight="1">
      <c r="A743" s="39"/>
      <c r="B743" s="39"/>
      <c r="C743" s="39"/>
      <c r="D743" s="39"/>
      <c r="E743" s="39"/>
      <c r="F743" s="39"/>
      <c r="G743" s="39"/>
      <c r="H743" s="39"/>
      <c r="I743" s="39"/>
      <c r="J743" s="39"/>
      <c r="K743" s="39"/>
      <c r="L743" s="39"/>
      <c r="M743" s="39"/>
      <c r="N743" s="39"/>
      <c r="O743" s="39"/>
      <c r="P743" s="39"/>
    </row>
    <row r="744" spans="1:16" ht="12.75" customHeight="1">
      <c r="A744" s="39"/>
      <c r="B744" s="39"/>
      <c r="C744" s="39"/>
      <c r="D744" s="39"/>
      <c r="E744" s="39"/>
      <c r="F744" s="39"/>
      <c r="G744" s="39"/>
      <c r="H744" s="39"/>
      <c r="I744" s="39"/>
      <c r="J744" s="39"/>
      <c r="K744" s="39"/>
      <c r="L744" s="39"/>
      <c r="M744" s="39"/>
      <c r="N744" s="39"/>
      <c r="O744" s="39"/>
      <c r="P744" s="39"/>
    </row>
    <row r="745" spans="1:16" ht="12.75" customHeight="1">
      <c r="A745" s="39"/>
      <c r="B745" s="39"/>
      <c r="C745" s="39"/>
      <c r="D745" s="39"/>
      <c r="E745" s="39"/>
      <c r="F745" s="39"/>
      <c r="G745" s="39"/>
      <c r="H745" s="39"/>
      <c r="I745" s="39"/>
      <c r="J745" s="39"/>
      <c r="K745" s="39"/>
      <c r="L745" s="39"/>
      <c r="M745" s="39"/>
      <c r="N745" s="39"/>
      <c r="O745" s="39"/>
      <c r="P745" s="39"/>
    </row>
    <row r="746" spans="1:16" ht="12.75" customHeight="1">
      <c r="A746" s="39"/>
      <c r="B746" s="39"/>
      <c r="C746" s="39"/>
      <c r="D746" s="39"/>
      <c r="E746" s="39"/>
      <c r="F746" s="39"/>
      <c r="G746" s="39"/>
      <c r="H746" s="39"/>
      <c r="I746" s="39"/>
      <c r="J746" s="39"/>
      <c r="K746" s="39"/>
      <c r="L746" s="39"/>
      <c r="M746" s="39"/>
      <c r="N746" s="39"/>
      <c r="O746" s="39"/>
      <c r="P746" s="39"/>
    </row>
    <row r="747" spans="1:16" ht="12.75" customHeight="1">
      <c r="A747" s="39"/>
      <c r="B747" s="39"/>
      <c r="C747" s="39"/>
      <c r="D747" s="39"/>
      <c r="E747" s="39"/>
      <c r="F747" s="39"/>
      <c r="G747" s="39"/>
      <c r="H747" s="39"/>
      <c r="I747" s="39"/>
      <c r="J747" s="39"/>
      <c r="K747" s="39"/>
      <c r="L747" s="39"/>
      <c r="M747" s="39"/>
      <c r="N747" s="39"/>
      <c r="O747" s="39"/>
      <c r="P747" s="39"/>
    </row>
    <row r="748" spans="1:16" ht="12.75" customHeight="1">
      <c r="A748" s="39"/>
      <c r="B748" s="39"/>
      <c r="C748" s="39"/>
      <c r="D748" s="39"/>
      <c r="E748" s="39"/>
      <c r="F748" s="39"/>
      <c r="G748" s="39"/>
      <c r="H748" s="39"/>
      <c r="I748" s="39"/>
      <c r="J748" s="39"/>
      <c r="K748" s="39"/>
      <c r="L748" s="39"/>
      <c r="M748" s="39"/>
      <c r="N748" s="39"/>
      <c r="O748" s="39"/>
      <c r="P748" s="39"/>
    </row>
    <row r="749" spans="1:16" ht="12.75" customHeight="1">
      <c r="A749" s="39"/>
      <c r="B749" s="39"/>
      <c r="C749" s="39"/>
      <c r="D749" s="39"/>
      <c r="E749" s="39"/>
      <c r="F749" s="39"/>
      <c r="G749" s="39"/>
      <c r="H749" s="39"/>
      <c r="I749" s="39"/>
      <c r="J749" s="39"/>
      <c r="K749" s="39"/>
      <c r="L749" s="39"/>
      <c r="M749" s="39"/>
      <c r="N749" s="39"/>
      <c r="O749" s="39"/>
      <c r="P749" s="39"/>
    </row>
    <row r="750" spans="1:16" ht="12.75" customHeight="1">
      <c r="A750" s="39"/>
      <c r="B750" s="39"/>
      <c r="C750" s="39"/>
      <c r="D750" s="39"/>
      <c r="E750" s="39"/>
      <c r="F750" s="39"/>
      <c r="G750" s="39"/>
      <c r="H750" s="39"/>
      <c r="I750" s="39"/>
      <c r="J750" s="39"/>
      <c r="K750" s="39"/>
      <c r="L750" s="39"/>
      <c r="M750" s="39"/>
      <c r="N750" s="39"/>
      <c r="O750" s="39"/>
      <c r="P750" s="39"/>
    </row>
    <row r="751" spans="1:16" ht="12.75" customHeight="1">
      <c r="A751" s="39"/>
      <c r="B751" s="39"/>
      <c r="C751" s="39"/>
      <c r="D751" s="39"/>
      <c r="E751" s="39"/>
      <c r="F751" s="39"/>
      <c r="G751" s="39"/>
      <c r="H751" s="39"/>
      <c r="I751" s="39"/>
      <c r="J751" s="39"/>
      <c r="K751" s="39"/>
      <c r="L751" s="39"/>
      <c r="M751" s="39"/>
      <c r="N751" s="39"/>
      <c r="O751" s="39"/>
      <c r="P751" s="39"/>
    </row>
    <row r="752" spans="1:16" ht="12.75" customHeight="1">
      <c r="A752" s="39"/>
      <c r="B752" s="39"/>
      <c r="C752" s="39"/>
      <c r="D752" s="39"/>
      <c r="E752" s="39"/>
      <c r="F752" s="39"/>
      <c r="G752" s="39"/>
      <c r="H752" s="39"/>
      <c r="I752" s="39"/>
      <c r="J752" s="39"/>
      <c r="K752" s="39"/>
      <c r="L752" s="39"/>
      <c r="M752" s="39"/>
      <c r="N752" s="39"/>
      <c r="O752" s="39"/>
      <c r="P752" s="39"/>
    </row>
    <row r="753" spans="1:16" ht="12.75" customHeight="1">
      <c r="A753" s="39"/>
      <c r="B753" s="39"/>
      <c r="C753" s="39"/>
      <c r="D753" s="39"/>
      <c r="E753" s="39"/>
      <c r="F753" s="39"/>
      <c r="G753" s="39"/>
      <c r="H753" s="39"/>
      <c r="I753" s="39"/>
      <c r="J753" s="39"/>
      <c r="K753" s="39"/>
      <c r="L753" s="39"/>
      <c r="M753" s="39"/>
      <c r="N753" s="39"/>
      <c r="O753" s="39"/>
      <c r="P753" s="39"/>
    </row>
    <row r="754" spans="1:16" ht="12.75" customHeight="1">
      <c r="A754" s="39"/>
      <c r="B754" s="39"/>
      <c r="C754" s="39"/>
      <c r="D754" s="39"/>
      <c r="E754" s="39"/>
      <c r="F754" s="39"/>
      <c r="G754" s="39"/>
      <c r="H754" s="39"/>
      <c r="I754" s="39"/>
      <c r="J754" s="39"/>
      <c r="K754" s="39"/>
      <c r="L754" s="39"/>
      <c r="M754" s="39"/>
      <c r="N754" s="39"/>
      <c r="O754" s="39"/>
      <c r="P754" s="39"/>
    </row>
    <row r="755" spans="1:16" ht="12.75" customHeight="1">
      <c r="A755" s="39"/>
      <c r="B755" s="39"/>
      <c r="C755" s="39"/>
      <c r="D755" s="39"/>
      <c r="E755" s="39"/>
      <c r="F755" s="39"/>
      <c r="G755" s="39"/>
      <c r="H755" s="39"/>
      <c r="I755" s="39"/>
      <c r="J755" s="39"/>
      <c r="K755" s="39"/>
      <c r="L755" s="39"/>
      <c r="M755" s="39"/>
      <c r="N755" s="39"/>
      <c r="O755" s="39"/>
      <c r="P755" s="39"/>
    </row>
    <row r="756" spans="1:16" ht="12.75" customHeight="1">
      <c r="A756" s="39"/>
      <c r="B756" s="39"/>
      <c r="C756" s="39"/>
      <c r="D756" s="39"/>
      <c r="E756" s="39"/>
      <c r="F756" s="39"/>
      <c r="G756" s="39"/>
      <c r="H756" s="39"/>
      <c r="I756" s="39"/>
      <c r="J756" s="39"/>
      <c r="K756" s="39"/>
      <c r="L756" s="39"/>
      <c r="M756" s="39"/>
      <c r="N756" s="39"/>
      <c r="O756" s="39"/>
      <c r="P756" s="39"/>
    </row>
    <row r="757" spans="1:16" ht="12.75" customHeight="1">
      <c r="A757" s="39"/>
      <c r="B757" s="39"/>
      <c r="C757" s="39"/>
      <c r="D757" s="39"/>
      <c r="E757" s="39"/>
      <c r="F757" s="39"/>
      <c r="G757" s="39"/>
      <c r="H757" s="39"/>
      <c r="I757" s="39"/>
      <c r="J757" s="39"/>
      <c r="K757" s="39"/>
      <c r="L757" s="39"/>
      <c r="M757" s="39"/>
      <c r="N757" s="39"/>
      <c r="O757" s="39"/>
      <c r="P757" s="39"/>
    </row>
    <row r="758" spans="1:16" ht="12.75" customHeight="1">
      <c r="A758" s="39"/>
      <c r="B758" s="39"/>
      <c r="C758" s="39"/>
      <c r="D758" s="39"/>
      <c r="E758" s="39"/>
      <c r="F758" s="39"/>
      <c r="G758" s="39"/>
      <c r="H758" s="39"/>
      <c r="I758" s="39"/>
      <c r="J758" s="39"/>
      <c r="K758" s="39"/>
      <c r="L758" s="39"/>
      <c r="M758" s="39"/>
      <c r="N758" s="39"/>
      <c r="O758" s="39"/>
      <c r="P758" s="39"/>
    </row>
    <row r="759" spans="1:16" ht="12.75" customHeight="1">
      <c r="A759" s="39"/>
      <c r="B759" s="39"/>
      <c r="C759" s="39"/>
      <c r="D759" s="39"/>
      <c r="E759" s="39"/>
      <c r="F759" s="39"/>
      <c r="G759" s="39"/>
      <c r="H759" s="39"/>
      <c r="I759" s="39"/>
      <c r="J759" s="39"/>
      <c r="K759" s="39"/>
      <c r="L759" s="39"/>
      <c r="M759" s="39"/>
      <c r="N759" s="39"/>
      <c r="O759" s="39"/>
      <c r="P759" s="39"/>
    </row>
    <row r="760" spans="1:16" ht="12.75" customHeight="1">
      <c r="A760" s="39"/>
      <c r="B760" s="39"/>
      <c r="C760" s="39"/>
      <c r="D760" s="39"/>
      <c r="E760" s="39"/>
      <c r="F760" s="39"/>
      <c r="G760" s="39"/>
      <c r="H760" s="39"/>
      <c r="I760" s="39"/>
      <c r="J760" s="39"/>
      <c r="K760" s="39"/>
      <c r="L760" s="39"/>
      <c r="M760" s="39"/>
      <c r="N760" s="39"/>
      <c r="O760" s="39"/>
      <c r="P760" s="39"/>
    </row>
    <row r="761" spans="1:16" ht="12.75" customHeight="1">
      <c r="A761" s="39"/>
      <c r="B761" s="39"/>
      <c r="C761" s="39"/>
      <c r="D761" s="39"/>
      <c r="E761" s="39"/>
      <c r="F761" s="39"/>
      <c r="G761" s="39"/>
      <c r="H761" s="39"/>
      <c r="I761" s="39"/>
      <c r="J761" s="39"/>
      <c r="K761" s="39"/>
      <c r="L761" s="39"/>
      <c r="M761" s="39"/>
      <c r="N761" s="39"/>
      <c r="O761" s="39"/>
      <c r="P761" s="39"/>
    </row>
    <row r="762" spans="1:16" ht="12.75" customHeight="1">
      <c r="A762" s="39"/>
      <c r="B762" s="39"/>
      <c r="C762" s="39"/>
      <c r="D762" s="39"/>
      <c r="E762" s="39"/>
      <c r="F762" s="39"/>
      <c r="G762" s="39"/>
      <c r="H762" s="39"/>
      <c r="I762" s="39"/>
      <c r="J762" s="39"/>
      <c r="K762" s="39"/>
      <c r="L762" s="39"/>
      <c r="M762" s="39"/>
      <c r="N762" s="39"/>
      <c r="O762" s="39"/>
      <c r="P762" s="39"/>
    </row>
    <row r="763" spans="1:16" ht="12.75" customHeight="1">
      <c r="A763" s="39"/>
      <c r="B763" s="39"/>
      <c r="C763" s="39"/>
      <c r="D763" s="39"/>
      <c r="E763" s="39"/>
      <c r="F763" s="39"/>
      <c r="G763" s="39"/>
      <c r="H763" s="39"/>
      <c r="I763" s="39"/>
      <c r="J763" s="39"/>
      <c r="K763" s="39"/>
      <c r="L763" s="39"/>
      <c r="M763" s="39"/>
      <c r="N763" s="39"/>
      <c r="O763" s="39"/>
      <c r="P763" s="39"/>
    </row>
    <row r="764" spans="1:16" ht="12.75" customHeight="1">
      <c r="A764" s="39"/>
      <c r="B764" s="39"/>
      <c r="C764" s="39"/>
      <c r="D764" s="39"/>
      <c r="E764" s="39"/>
      <c r="F764" s="39"/>
      <c r="G764" s="39"/>
      <c r="H764" s="39"/>
      <c r="I764" s="39"/>
      <c r="J764" s="39"/>
      <c r="K764" s="39"/>
      <c r="L764" s="39"/>
      <c r="M764" s="39"/>
      <c r="N764" s="39"/>
      <c r="O764" s="39"/>
      <c r="P764" s="39"/>
    </row>
    <row r="765" spans="1:16" ht="12.75" customHeight="1">
      <c r="A765" s="39"/>
      <c r="B765" s="39"/>
      <c r="C765" s="39"/>
      <c r="D765" s="39"/>
      <c r="E765" s="39"/>
      <c r="F765" s="39"/>
      <c r="G765" s="39"/>
      <c r="H765" s="39"/>
      <c r="I765" s="39"/>
      <c r="J765" s="39"/>
      <c r="K765" s="39"/>
      <c r="L765" s="39"/>
      <c r="M765" s="39"/>
      <c r="N765" s="39"/>
      <c r="O765" s="39"/>
      <c r="P765" s="39"/>
    </row>
    <row r="766" spans="1:16" ht="12.75" customHeight="1">
      <c r="A766" s="39"/>
      <c r="B766" s="39"/>
      <c r="C766" s="39"/>
      <c r="D766" s="39"/>
      <c r="E766" s="39"/>
      <c r="F766" s="39"/>
      <c r="G766" s="39"/>
      <c r="H766" s="39"/>
      <c r="I766" s="39"/>
      <c r="J766" s="39"/>
      <c r="K766" s="39"/>
      <c r="L766" s="39"/>
      <c r="M766" s="39"/>
      <c r="N766" s="39"/>
      <c r="O766" s="39"/>
      <c r="P766" s="39"/>
    </row>
    <row r="767" spans="1:16" ht="12.75" customHeight="1">
      <c r="A767" s="39"/>
      <c r="B767" s="39"/>
      <c r="C767" s="39"/>
      <c r="D767" s="39"/>
      <c r="E767" s="39"/>
      <c r="F767" s="39"/>
      <c r="G767" s="39"/>
      <c r="H767" s="39"/>
      <c r="I767" s="39"/>
      <c r="J767" s="39"/>
      <c r="K767" s="39"/>
      <c r="L767" s="39"/>
      <c r="M767" s="39"/>
      <c r="N767" s="39"/>
      <c r="O767" s="39"/>
      <c r="P767" s="39"/>
    </row>
    <row r="768" spans="1:16" ht="12.75" customHeight="1">
      <c r="A768" s="39"/>
      <c r="B768" s="39"/>
      <c r="C768" s="39"/>
      <c r="D768" s="39"/>
      <c r="E768" s="39"/>
      <c r="F768" s="39"/>
      <c r="G768" s="39"/>
      <c r="H768" s="39"/>
      <c r="I768" s="39"/>
      <c r="J768" s="39"/>
      <c r="K768" s="39"/>
      <c r="L768" s="39"/>
      <c r="M768" s="39"/>
      <c r="N768" s="39"/>
      <c r="O768" s="39"/>
      <c r="P768" s="39"/>
    </row>
    <row r="769" spans="1:16" ht="12.75" customHeight="1">
      <c r="A769" s="39"/>
      <c r="B769" s="39"/>
      <c r="C769" s="39"/>
      <c r="D769" s="39"/>
      <c r="E769" s="39"/>
      <c r="F769" s="39"/>
      <c r="G769" s="39"/>
      <c r="H769" s="39"/>
      <c r="I769" s="39"/>
      <c r="J769" s="39"/>
      <c r="K769" s="39"/>
      <c r="L769" s="39"/>
      <c r="M769" s="39"/>
      <c r="N769" s="39"/>
      <c r="O769" s="39"/>
      <c r="P769" s="39"/>
    </row>
    <row r="770" spans="1:16" ht="12.75" customHeight="1">
      <c r="A770" s="39"/>
      <c r="B770" s="39"/>
      <c r="C770" s="39"/>
      <c r="D770" s="39"/>
      <c r="E770" s="39"/>
      <c r="F770" s="39"/>
      <c r="G770" s="39"/>
      <c r="H770" s="39"/>
      <c r="I770" s="39"/>
      <c r="J770" s="39"/>
      <c r="K770" s="39"/>
      <c r="L770" s="39"/>
      <c r="M770" s="39"/>
      <c r="N770" s="39"/>
      <c r="O770" s="39"/>
      <c r="P770" s="39"/>
    </row>
    <row r="771" spans="1:16" ht="12.75" customHeight="1">
      <c r="A771" s="39"/>
      <c r="B771" s="39"/>
      <c r="C771" s="39"/>
      <c r="D771" s="39"/>
      <c r="E771" s="39"/>
      <c r="F771" s="39"/>
      <c r="G771" s="39"/>
      <c r="H771" s="39"/>
      <c r="I771" s="39"/>
      <c r="J771" s="39"/>
      <c r="K771" s="39"/>
      <c r="L771" s="39"/>
      <c r="M771" s="39"/>
      <c r="N771" s="39"/>
      <c r="O771" s="39"/>
      <c r="P771" s="39"/>
    </row>
    <row r="772" spans="1:16" ht="12.75" customHeight="1">
      <c r="A772" s="39"/>
      <c r="B772" s="39"/>
      <c r="C772" s="39"/>
      <c r="D772" s="39"/>
      <c r="E772" s="39"/>
      <c r="F772" s="39"/>
      <c r="G772" s="39"/>
      <c r="H772" s="39"/>
      <c r="I772" s="39"/>
      <c r="J772" s="39"/>
      <c r="K772" s="39"/>
      <c r="L772" s="39"/>
      <c r="M772" s="39"/>
      <c r="N772" s="39"/>
      <c r="O772" s="39"/>
      <c r="P772" s="39"/>
    </row>
    <row r="773" spans="1:16" ht="12.75" customHeight="1">
      <c r="A773" s="39"/>
      <c r="B773" s="39"/>
      <c r="C773" s="39"/>
      <c r="D773" s="39"/>
      <c r="E773" s="39"/>
      <c r="F773" s="39"/>
      <c r="G773" s="39"/>
      <c r="H773" s="39"/>
      <c r="I773" s="39"/>
      <c r="J773" s="39"/>
      <c r="K773" s="39"/>
      <c r="L773" s="39"/>
      <c r="M773" s="39"/>
      <c r="N773" s="39"/>
      <c r="O773" s="39"/>
      <c r="P773" s="39"/>
    </row>
    <row r="774" spans="1:16" ht="12.75" customHeight="1">
      <c r="A774" s="39"/>
      <c r="B774" s="39"/>
      <c r="C774" s="39"/>
      <c r="D774" s="39"/>
      <c r="E774" s="39"/>
      <c r="F774" s="39"/>
      <c r="G774" s="39"/>
      <c r="H774" s="39"/>
      <c r="I774" s="39"/>
      <c r="J774" s="39"/>
      <c r="K774" s="39"/>
      <c r="L774" s="39"/>
      <c r="M774" s="39"/>
      <c r="N774" s="39"/>
      <c r="O774" s="39"/>
      <c r="P774" s="39"/>
    </row>
    <row r="775" spans="1:16" ht="12.75" customHeight="1">
      <c r="A775" s="39"/>
      <c r="B775" s="39"/>
      <c r="C775" s="39"/>
      <c r="D775" s="39"/>
      <c r="E775" s="39"/>
      <c r="F775" s="39"/>
      <c r="G775" s="39"/>
      <c r="H775" s="39"/>
      <c r="I775" s="39"/>
      <c r="J775" s="39"/>
      <c r="K775" s="39"/>
      <c r="L775" s="39"/>
      <c r="M775" s="39"/>
      <c r="N775" s="39"/>
      <c r="O775" s="39"/>
      <c r="P775" s="39"/>
    </row>
    <row r="776" spans="1:16" ht="12.75" customHeight="1">
      <c r="A776" s="39"/>
      <c r="B776" s="39"/>
      <c r="C776" s="39"/>
      <c r="D776" s="39"/>
      <c r="E776" s="39"/>
      <c r="F776" s="39"/>
      <c r="G776" s="39"/>
      <c r="H776" s="39"/>
      <c r="I776" s="39"/>
      <c r="J776" s="39"/>
      <c r="K776" s="39"/>
      <c r="L776" s="39"/>
      <c r="M776" s="39"/>
      <c r="N776" s="39"/>
      <c r="O776" s="39"/>
      <c r="P776" s="39"/>
    </row>
    <row r="777" spans="1:16" ht="12.75" customHeight="1">
      <c r="A777" s="39"/>
      <c r="B777" s="39"/>
      <c r="C777" s="39"/>
      <c r="D777" s="39"/>
      <c r="E777" s="39"/>
      <c r="F777" s="39"/>
      <c r="G777" s="39"/>
      <c r="H777" s="39"/>
      <c r="I777" s="39"/>
      <c r="J777" s="39"/>
      <c r="K777" s="39"/>
      <c r="L777" s="39"/>
      <c r="M777" s="39"/>
      <c r="N777" s="39"/>
      <c r="O777" s="39"/>
      <c r="P777" s="39"/>
    </row>
    <row r="778" spans="1:16" ht="12.75" customHeight="1">
      <c r="A778" s="39"/>
      <c r="B778" s="39"/>
      <c r="C778" s="39"/>
      <c r="D778" s="39"/>
      <c r="E778" s="39"/>
      <c r="F778" s="39"/>
      <c r="G778" s="39"/>
      <c r="H778" s="39"/>
      <c r="I778" s="39"/>
      <c r="J778" s="39"/>
      <c r="K778" s="39"/>
      <c r="L778" s="39"/>
      <c r="M778" s="39"/>
      <c r="N778" s="39"/>
      <c r="O778" s="39"/>
      <c r="P778" s="39"/>
    </row>
    <row r="779" spans="1:16" ht="12.75" customHeight="1">
      <c r="A779" s="39"/>
      <c r="B779" s="39"/>
      <c r="C779" s="39"/>
      <c r="D779" s="39"/>
      <c r="E779" s="39"/>
      <c r="F779" s="39"/>
      <c r="G779" s="39"/>
      <c r="H779" s="39"/>
      <c r="I779" s="39"/>
      <c r="J779" s="39"/>
      <c r="K779" s="39"/>
      <c r="L779" s="39"/>
      <c r="M779" s="39"/>
      <c r="N779" s="39"/>
      <c r="O779" s="39"/>
      <c r="P779" s="39"/>
    </row>
    <row r="780" spans="1:16" ht="12.75" customHeight="1">
      <c r="A780" s="39"/>
      <c r="B780" s="39"/>
      <c r="C780" s="39"/>
      <c r="D780" s="39"/>
      <c r="E780" s="39"/>
      <c r="F780" s="39"/>
      <c r="G780" s="39"/>
      <c r="H780" s="39"/>
      <c r="I780" s="39"/>
      <c r="J780" s="39"/>
      <c r="K780" s="39"/>
      <c r="L780" s="39"/>
      <c r="M780" s="39"/>
      <c r="N780" s="39"/>
      <c r="O780" s="39"/>
      <c r="P780" s="39"/>
    </row>
    <row r="781" spans="1:16" ht="12.75" customHeight="1">
      <c r="A781" s="39"/>
      <c r="B781" s="39"/>
      <c r="C781" s="39"/>
      <c r="D781" s="39"/>
      <c r="E781" s="39"/>
      <c r="F781" s="39"/>
      <c r="G781" s="39"/>
      <c r="H781" s="39"/>
      <c r="I781" s="39"/>
      <c r="J781" s="39"/>
      <c r="K781" s="39"/>
      <c r="L781" s="39"/>
      <c r="M781" s="39"/>
      <c r="N781" s="39"/>
      <c r="O781" s="39"/>
      <c r="P781" s="39"/>
    </row>
    <row r="782" spans="1:16" ht="12.75" customHeight="1">
      <c r="A782" s="39"/>
      <c r="B782" s="39"/>
      <c r="C782" s="39"/>
      <c r="D782" s="39"/>
      <c r="E782" s="39"/>
      <c r="F782" s="39"/>
      <c r="G782" s="39"/>
      <c r="H782" s="39"/>
      <c r="I782" s="39"/>
      <c r="J782" s="39"/>
      <c r="K782" s="39"/>
      <c r="L782" s="39"/>
      <c r="M782" s="39"/>
      <c r="N782" s="39"/>
      <c r="O782" s="39"/>
      <c r="P782" s="39"/>
    </row>
    <row r="783" spans="1:16" ht="12.75" customHeight="1">
      <c r="A783" s="39"/>
      <c r="B783" s="39"/>
      <c r="C783" s="39"/>
      <c r="D783" s="39"/>
      <c r="E783" s="39"/>
      <c r="F783" s="39"/>
      <c r="G783" s="39"/>
      <c r="H783" s="39"/>
      <c r="I783" s="39"/>
      <c r="J783" s="39"/>
      <c r="K783" s="39"/>
      <c r="L783" s="39"/>
      <c r="M783" s="39"/>
      <c r="N783" s="39"/>
      <c r="O783" s="39"/>
      <c r="P783" s="39"/>
    </row>
    <row r="784" spans="1:16" ht="12.75" customHeight="1">
      <c r="A784" s="39"/>
      <c r="B784" s="39"/>
      <c r="C784" s="39"/>
      <c r="D784" s="39"/>
      <c r="E784" s="39"/>
      <c r="F784" s="39"/>
      <c r="G784" s="39"/>
      <c r="H784" s="39"/>
      <c r="I784" s="39"/>
      <c r="J784" s="39"/>
      <c r="K784" s="39"/>
      <c r="L784" s="39"/>
      <c r="M784" s="39"/>
      <c r="N784" s="39"/>
      <c r="O784" s="39"/>
      <c r="P784" s="39"/>
    </row>
    <row r="785" spans="1:16" ht="12.75" customHeight="1">
      <c r="A785" s="39"/>
      <c r="B785" s="39"/>
      <c r="C785" s="39"/>
      <c r="D785" s="39"/>
      <c r="E785" s="39"/>
      <c r="F785" s="39"/>
      <c r="G785" s="39"/>
      <c r="H785" s="39"/>
      <c r="I785" s="39"/>
      <c r="J785" s="39"/>
      <c r="K785" s="39"/>
      <c r="L785" s="39"/>
      <c r="M785" s="39"/>
      <c r="N785" s="39"/>
      <c r="O785" s="39"/>
      <c r="P785" s="39"/>
    </row>
    <row r="786" spans="1:16" ht="12.75" customHeight="1">
      <c r="A786" s="39"/>
      <c r="B786" s="39"/>
      <c r="C786" s="39"/>
      <c r="D786" s="39"/>
      <c r="E786" s="39"/>
      <c r="F786" s="39"/>
      <c r="G786" s="39"/>
      <c r="H786" s="39"/>
      <c r="I786" s="39"/>
      <c r="J786" s="39"/>
      <c r="K786" s="39"/>
      <c r="L786" s="39"/>
      <c r="M786" s="39"/>
      <c r="N786" s="39"/>
      <c r="O786" s="39"/>
      <c r="P786" s="39"/>
    </row>
    <row r="787" spans="1:16" ht="12.75" customHeight="1">
      <c r="A787" s="39"/>
      <c r="B787" s="39"/>
      <c r="C787" s="39"/>
      <c r="D787" s="39"/>
      <c r="E787" s="39"/>
      <c r="F787" s="39"/>
      <c r="G787" s="39"/>
      <c r="H787" s="39"/>
      <c r="I787" s="39"/>
      <c r="J787" s="39"/>
      <c r="K787" s="39"/>
      <c r="L787" s="39"/>
      <c r="M787" s="39"/>
      <c r="N787" s="39"/>
      <c r="O787" s="39"/>
      <c r="P787" s="39"/>
    </row>
    <row r="788" spans="1:16" ht="12.75" customHeight="1">
      <c r="A788" s="39"/>
      <c r="B788" s="39"/>
      <c r="C788" s="39"/>
      <c r="D788" s="39"/>
      <c r="E788" s="39"/>
      <c r="F788" s="39"/>
      <c r="G788" s="39"/>
      <c r="H788" s="39"/>
      <c r="I788" s="39"/>
      <c r="J788" s="39"/>
      <c r="K788" s="39"/>
      <c r="L788" s="39"/>
      <c r="M788" s="39"/>
      <c r="N788" s="39"/>
      <c r="O788" s="39"/>
      <c r="P788" s="39"/>
    </row>
    <row r="789" spans="1:16" ht="12.75" customHeight="1">
      <c r="A789" s="39"/>
      <c r="B789" s="39"/>
      <c r="C789" s="39"/>
      <c r="D789" s="39"/>
      <c r="E789" s="39"/>
      <c r="F789" s="39"/>
      <c r="G789" s="39"/>
      <c r="H789" s="39"/>
      <c r="I789" s="39"/>
      <c r="J789" s="39"/>
      <c r="K789" s="39"/>
      <c r="L789" s="39"/>
      <c r="M789" s="39"/>
      <c r="N789" s="39"/>
      <c r="O789" s="39"/>
      <c r="P789" s="39"/>
    </row>
    <row r="790" spans="1:16" ht="12.75" customHeight="1">
      <c r="A790" s="39"/>
      <c r="B790" s="39"/>
      <c r="C790" s="39"/>
      <c r="D790" s="39"/>
      <c r="E790" s="39"/>
      <c r="F790" s="39"/>
      <c r="G790" s="39"/>
      <c r="H790" s="39"/>
      <c r="I790" s="39"/>
      <c r="J790" s="39"/>
      <c r="K790" s="39"/>
      <c r="L790" s="39"/>
      <c r="M790" s="39"/>
      <c r="N790" s="39"/>
      <c r="O790" s="39"/>
      <c r="P790" s="39"/>
    </row>
    <row r="791" spans="1:16" ht="12.75" customHeight="1">
      <c r="A791" s="39"/>
      <c r="B791" s="39"/>
      <c r="C791" s="39"/>
      <c r="D791" s="39"/>
      <c r="E791" s="39"/>
      <c r="F791" s="39"/>
      <c r="G791" s="39"/>
      <c r="H791" s="39"/>
      <c r="I791" s="39"/>
      <c r="J791" s="39"/>
      <c r="K791" s="39"/>
      <c r="L791" s="39"/>
      <c r="M791" s="39"/>
      <c r="N791" s="39"/>
      <c r="O791" s="39"/>
      <c r="P791" s="39"/>
    </row>
    <row r="792" spans="1:16" ht="12.75" customHeight="1">
      <c r="A792" s="39"/>
      <c r="B792" s="39"/>
      <c r="C792" s="39"/>
      <c r="D792" s="39"/>
      <c r="E792" s="39"/>
      <c r="F792" s="39"/>
      <c r="G792" s="39"/>
      <c r="H792" s="39"/>
      <c r="I792" s="39"/>
      <c r="J792" s="39"/>
      <c r="K792" s="39"/>
      <c r="L792" s="39"/>
      <c r="M792" s="39"/>
      <c r="N792" s="39"/>
      <c r="O792" s="39"/>
      <c r="P792" s="39"/>
    </row>
    <row r="793" spans="1:16" ht="12.75" customHeight="1">
      <c r="A793" s="39"/>
      <c r="B793" s="39"/>
      <c r="C793" s="39"/>
      <c r="D793" s="39"/>
      <c r="E793" s="39"/>
      <c r="F793" s="39"/>
      <c r="G793" s="39"/>
      <c r="H793" s="39"/>
      <c r="I793" s="39"/>
      <c r="J793" s="39"/>
      <c r="K793" s="39"/>
      <c r="L793" s="39"/>
      <c r="M793" s="39"/>
      <c r="N793" s="39"/>
      <c r="O793" s="39"/>
      <c r="P793" s="39"/>
    </row>
    <row r="794" spans="1:16" ht="12.75" customHeight="1">
      <c r="A794" s="39"/>
      <c r="B794" s="39"/>
      <c r="C794" s="39"/>
      <c r="D794" s="39"/>
      <c r="E794" s="39"/>
      <c r="F794" s="39"/>
      <c r="G794" s="39"/>
      <c r="H794" s="39"/>
      <c r="I794" s="39"/>
      <c r="J794" s="39"/>
      <c r="K794" s="39"/>
      <c r="L794" s="39"/>
      <c r="M794" s="39"/>
      <c r="N794" s="39"/>
      <c r="O794" s="39"/>
      <c r="P794" s="39"/>
    </row>
    <row r="795" spans="1:16" ht="12.75" customHeight="1">
      <c r="A795" s="39"/>
      <c r="B795" s="39"/>
      <c r="C795" s="39"/>
      <c r="D795" s="39"/>
      <c r="E795" s="39"/>
      <c r="F795" s="39"/>
      <c r="G795" s="39"/>
      <c r="H795" s="39"/>
      <c r="I795" s="39"/>
      <c r="J795" s="39"/>
      <c r="K795" s="39"/>
      <c r="L795" s="39"/>
      <c r="M795" s="39"/>
      <c r="N795" s="39"/>
      <c r="O795" s="39"/>
      <c r="P795" s="39"/>
    </row>
    <row r="796" spans="1:16" ht="12.75" customHeight="1">
      <c r="A796" s="39"/>
      <c r="B796" s="39"/>
      <c r="C796" s="39"/>
      <c r="D796" s="39"/>
      <c r="E796" s="39"/>
      <c r="F796" s="39"/>
      <c r="G796" s="39"/>
      <c r="H796" s="39"/>
      <c r="I796" s="39"/>
      <c r="J796" s="39"/>
      <c r="K796" s="39"/>
      <c r="L796" s="39"/>
      <c r="M796" s="39"/>
      <c r="N796" s="39"/>
      <c r="O796" s="39"/>
      <c r="P796" s="39"/>
    </row>
    <row r="797" spans="1:16" ht="12.75" customHeight="1">
      <c r="A797" s="39"/>
      <c r="B797" s="39"/>
      <c r="C797" s="39"/>
      <c r="D797" s="39"/>
      <c r="E797" s="39"/>
      <c r="F797" s="39"/>
      <c r="G797" s="39"/>
      <c r="H797" s="39"/>
      <c r="I797" s="39"/>
      <c r="J797" s="39"/>
      <c r="K797" s="39"/>
      <c r="L797" s="39"/>
      <c r="M797" s="39"/>
      <c r="N797" s="39"/>
      <c r="O797" s="39"/>
      <c r="P797" s="39"/>
    </row>
    <row r="798" spans="1:16" ht="12.75" customHeight="1">
      <c r="A798" s="39"/>
      <c r="B798" s="39"/>
      <c r="C798" s="39"/>
      <c r="D798" s="39"/>
      <c r="E798" s="39"/>
      <c r="F798" s="39"/>
      <c r="G798" s="39"/>
      <c r="H798" s="39"/>
      <c r="I798" s="39"/>
      <c r="J798" s="39"/>
      <c r="K798" s="39"/>
      <c r="L798" s="39"/>
      <c r="M798" s="39"/>
      <c r="N798" s="39"/>
      <c r="O798" s="39"/>
      <c r="P798" s="39"/>
    </row>
    <row r="799" spans="1:16" ht="12.75" customHeight="1">
      <c r="A799" s="39"/>
      <c r="B799" s="39"/>
      <c r="C799" s="39"/>
      <c r="D799" s="39"/>
      <c r="E799" s="39"/>
      <c r="F799" s="39"/>
      <c r="G799" s="39"/>
      <c r="H799" s="39"/>
      <c r="I799" s="39"/>
      <c r="J799" s="39"/>
      <c r="K799" s="39"/>
      <c r="L799" s="39"/>
      <c r="M799" s="39"/>
      <c r="N799" s="39"/>
      <c r="O799" s="39"/>
      <c r="P799" s="39"/>
    </row>
    <row r="800" spans="1:16" ht="12.75" customHeight="1">
      <c r="A800" s="39"/>
      <c r="B800" s="39"/>
      <c r="C800" s="39"/>
      <c r="D800" s="39"/>
      <c r="E800" s="39"/>
      <c r="F800" s="39"/>
      <c r="G800" s="39"/>
      <c r="H800" s="39"/>
      <c r="I800" s="39"/>
      <c r="J800" s="39"/>
      <c r="K800" s="39"/>
      <c r="L800" s="39"/>
      <c r="M800" s="39"/>
      <c r="N800" s="39"/>
      <c r="O800" s="39"/>
      <c r="P800" s="39"/>
    </row>
    <row r="801" spans="1:16" ht="12.75" customHeight="1">
      <c r="A801" s="39"/>
      <c r="B801" s="39"/>
      <c r="C801" s="39"/>
      <c r="D801" s="39"/>
      <c r="E801" s="39"/>
      <c r="F801" s="39"/>
      <c r="G801" s="39"/>
      <c r="H801" s="39"/>
      <c r="I801" s="39"/>
      <c r="J801" s="39"/>
      <c r="K801" s="39"/>
      <c r="L801" s="39"/>
      <c r="M801" s="39"/>
      <c r="N801" s="39"/>
      <c r="O801" s="39"/>
      <c r="P801" s="39"/>
    </row>
    <row r="802" spans="1:16" ht="12.75" customHeight="1">
      <c r="A802" s="39"/>
      <c r="B802" s="39"/>
      <c r="C802" s="39"/>
      <c r="D802" s="39"/>
      <c r="E802" s="39"/>
      <c r="F802" s="39"/>
      <c r="G802" s="39"/>
      <c r="H802" s="39"/>
      <c r="I802" s="39"/>
      <c r="J802" s="39"/>
      <c r="K802" s="39"/>
      <c r="L802" s="39"/>
      <c r="M802" s="39"/>
      <c r="N802" s="39"/>
      <c r="O802" s="39"/>
      <c r="P802" s="39"/>
    </row>
    <row r="803" spans="1:16" ht="12.75" customHeight="1">
      <c r="A803" s="39"/>
      <c r="B803" s="39"/>
      <c r="C803" s="39"/>
      <c r="D803" s="39"/>
      <c r="E803" s="39"/>
      <c r="F803" s="39"/>
      <c r="G803" s="39"/>
      <c r="H803" s="39"/>
      <c r="I803" s="39"/>
      <c r="J803" s="39"/>
      <c r="K803" s="39"/>
      <c r="L803" s="39"/>
      <c r="M803" s="39"/>
      <c r="N803" s="39"/>
      <c r="O803" s="39"/>
      <c r="P803" s="39"/>
    </row>
    <row r="804" spans="1:16" ht="12.75" customHeight="1">
      <c r="A804" s="39"/>
      <c r="B804" s="39"/>
      <c r="C804" s="39"/>
      <c r="D804" s="39"/>
      <c r="E804" s="39"/>
      <c r="F804" s="39"/>
      <c r="G804" s="39"/>
      <c r="H804" s="39"/>
      <c r="I804" s="39"/>
      <c r="J804" s="39"/>
      <c r="K804" s="39"/>
      <c r="L804" s="39"/>
      <c r="M804" s="39"/>
      <c r="N804" s="39"/>
      <c r="O804" s="39"/>
      <c r="P804" s="39"/>
    </row>
    <row r="805" spans="1:16" ht="12.75" customHeight="1">
      <c r="A805" s="39"/>
      <c r="B805" s="39"/>
      <c r="C805" s="39"/>
      <c r="D805" s="39"/>
      <c r="E805" s="39"/>
      <c r="F805" s="39"/>
      <c r="G805" s="39"/>
      <c r="H805" s="39"/>
      <c r="I805" s="39"/>
      <c r="J805" s="39"/>
      <c r="K805" s="39"/>
      <c r="L805" s="39"/>
      <c r="M805" s="39"/>
      <c r="N805" s="39"/>
      <c r="O805" s="39"/>
      <c r="P805" s="39"/>
    </row>
    <row r="806" spans="1:16" ht="12.75" customHeight="1">
      <c r="A806" s="39"/>
      <c r="B806" s="39"/>
      <c r="C806" s="39"/>
      <c r="D806" s="39"/>
      <c r="E806" s="39"/>
      <c r="F806" s="39"/>
      <c r="G806" s="39"/>
      <c r="H806" s="39"/>
      <c r="I806" s="39"/>
      <c r="J806" s="39"/>
      <c r="K806" s="39"/>
      <c r="L806" s="39"/>
      <c r="M806" s="39"/>
      <c r="N806" s="39"/>
      <c r="O806" s="39"/>
      <c r="P806" s="39"/>
    </row>
    <row r="807" spans="1:16" ht="12.75" customHeight="1">
      <c r="A807" s="39"/>
      <c r="B807" s="39"/>
      <c r="C807" s="39"/>
      <c r="D807" s="39"/>
      <c r="E807" s="39"/>
      <c r="F807" s="39"/>
      <c r="G807" s="39"/>
      <c r="H807" s="39"/>
      <c r="I807" s="39"/>
      <c r="J807" s="39"/>
      <c r="K807" s="39"/>
      <c r="L807" s="39"/>
      <c r="M807" s="39"/>
      <c r="N807" s="39"/>
      <c r="O807" s="39"/>
      <c r="P807" s="39"/>
    </row>
    <row r="808" spans="1:16" ht="12.75" customHeight="1">
      <c r="A808" s="39"/>
      <c r="B808" s="39"/>
      <c r="C808" s="39"/>
      <c r="D808" s="39"/>
      <c r="E808" s="39"/>
      <c r="F808" s="39"/>
      <c r="G808" s="39"/>
      <c r="H808" s="39"/>
      <c r="I808" s="39"/>
      <c r="J808" s="39"/>
      <c r="K808" s="39"/>
      <c r="L808" s="39"/>
      <c r="M808" s="39"/>
      <c r="N808" s="39"/>
      <c r="O808" s="39"/>
      <c r="P808" s="39"/>
    </row>
    <row r="809" spans="1:16" ht="12.75" customHeight="1">
      <c r="A809" s="39"/>
      <c r="B809" s="39"/>
      <c r="C809" s="39"/>
      <c r="D809" s="39"/>
      <c r="E809" s="39"/>
      <c r="F809" s="39"/>
      <c r="G809" s="39"/>
      <c r="H809" s="39"/>
      <c r="I809" s="39"/>
      <c r="J809" s="39"/>
      <c r="K809" s="39"/>
      <c r="L809" s="39"/>
      <c r="M809" s="39"/>
      <c r="N809" s="39"/>
      <c r="O809" s="39"/>
      <c r="P809" s="39"/>
    </row>
    <row r="810" spans="1:16" ht="12.75" customHeight="1">
      <c r="A810" s="39"/>
      <c r="B810" s="39"/>
      <c r="C810" s="39"/>
      <c r="D810" s="39"/>
      <c r="E810" s="39"/>
      <c r="F810" s="39"/>
      <c r="G810" s="39"/>
      <c r="H810" s="39"/>
      <c r="I810" s="39"/>
      <c r="J810" s="39"/>
      <c r="K810" s="39"/>
      <c r="L810" s="39"/>
      <c r="M810" s="39"/>
      <c r="N810" s="39"/>
      <c r="O810" s="39"/>
      <c r="P810" s="39"/>
    </row>
    <row r="811" spans="1:16" ht="12.75" customHeight="1">
      <c r="A811" s="39"/>
      <c r="B811" s="39"/>
      <c r="C811" s="39"/>
      <c r="D811" s="39"/>
      <c r="E811" s="39"/>
      <c r="F811" s="39"/>
      <c r="G811" s="39"/>
      <c r="H811" s="39"/>
      <c r="I811" s="39"/>
      <c r="J811" s="39"/>
      <c r="K811" s="39"/>
      <c r="L811" s="39"/>
      <c r="M811" s="39"/>
      <c r="N811" s="39"/>
      <c r="O811" s="39"/>
      <c r="P811" s="39"/>
    </row>
    <row r="812" spans="1:16" ht="12.75" customHeight="1">
      <c r="A812" s="39"/>
      <c r="B812" s="39"/>
      <c r="C812" s="39"/>
      <c r="D812" s="39"/>
      <c r="E812" s="39"/>
      <c r="F812" s="39"/>
      <c r="G812" s="39"/>
      <c r="H812" s="39"/>
      <c r="I812" s="39"/>
      <c r="J812" s="39"/>
      <c r="K812" s="39"/>
      <c r="L812" s="39"/>
      <c r="M812" s="39"/>
      <c r="N812" s="39"/>
      <c r="O812" s="39"/>
      <c r="P812" s="39"/>
    </row>
    <row r="813" spans="1:16" ht="12.75" customHeight="1">
      <c r="A813" s="39"/>
      <c r="B813" s="39"/>
      <c r="C813" s="39"/>
      <c r="D813" s="39"/>
      <c r="E813" s="39"/>
      <c r="F813" s="39"/>
      <c r="G813" s="39"/>
      <c r="H813" s="39"/>
      <c r="I813" s="39"/>
      <c r="J813" s="39"/>
      <c r="K813" s="39"/>
      <c r="L813" s="39"/>
      <c r="M813" s="39"/>
      <c r="N813" s="39"/>
      <c r="O813" s="39"/>
      <c r="P813" s="39"/>
    </row>
    <row r="814" spans="1:16" ht="12.75" customHeight="1">
      <c r="A814" s="39"/>
      <c r="B814" s="39"/>
      <c r="C814" s="39"/>
      <c r="D814" s="39"/>
      <c r="E814" s="39"/>
      <c r="F814" s="39"/>
      <c r="G814" s="39"/>
      <c r="H814" s="39"/>
      <c r="I814" s="39"/>
      <c r="J814" s="39"/>
      <c r="K814" s="39"/>
      <c r="L814" s="39"/>
      <c r="M814" s="39"/>
      <c r="N814" s="39"/>
      <c r="O814" s="39"/>
      <c r="P814" s="39"/>
    </row>
    <row r="815" spans="1:16" ht="12.75" customHeight="1">
      <c r="A815" s="39"/>
      <c r="B815" s="39"/>
      <c r="C815" s="39"/>
      <c r="D815" s="39"/>
      <c r="E815" s="39"/>
      <c r="F815" s="39"/>
      <c r="G815" s="39"/>
      <c r="H815" s="39"/>
      <c r="I815" s="39"/>
      <c r="J815" s="39"/>
      <c r="K815" s="39"/>
      <c r="L815" s="39"/>
      <c r="M815" s="39"/>
      <c r="N815" s="39"/>
      <c r="O815" s="39"/>
      <c r="P815" s="39"/>
    </row>
    <row r="816" spans="1:16" ht="12.75" customHeight="1">
      <c r="A816" s="39"/>
      <c r="B816" s="39"/>
      <c r="C816" s="39"/>
      <c r="D816" s="39"/>
      <c r="E816" s="39"/>
      <c r="F816" s="39"/>
      <c r="G816" s="39"/>
      <c r="H816" s="39"/>
      <c r="I816" s="39"/>
      <c r="J816" s="39"/>
      <c r="K816" s="39"/>
      <c r="L816" s="39"/>
      <c r="M816" s="39"/>
      <c r="N816" s="39"/>
      <c r="O816" s="39"/>
      <c r="P816" s="39"/>
    </row>
    <row r="817" spans="1:16" ht="12.75" customHeight="1">
      <c r="A817" s="39"/>
      <c r="B817" s="39"/>
      <c r="C817" s="39"/>
      <c r="D817" s="39"/>
      <c r="E817" s="39"/>
      <c r="F817" s="39"/>
      <c r="G817" s="39"/>
      <c r="H817" s="39"/>
      <c r="I817" s="39"/>
      <c r="J817" s="39"/>
      <c r="K817" s="39"/>
      <c r="L817" s="39"/>
      <c r="M817" s="39"/>
      <c r="N817" s="39"/>
      <c r="O817" s="39"/>
      <c r="P817" s="39"/>
    </row>
    <row r="818" spans="1:16" ht="12.75" customHeight="1">
      <c r="A818" s="39"/>
      <c r="B818" s="39"/>
      <c r="C818" s="39"/>
      <c r="D818" s="39"/>
      <c r="E818" s="39"/>
      <c r="F818" s="39"/>
      <c r="G818" s="39"/>
      <c r="H818" s="39"/>
      <c r="I818" s="39"/>
      <c r="J818" s="39"/>
      <c r="K818" s="39"/>
      <c r="L818" s="39"/>
      <c r="M818" s="39"/>
      <c r="N818" s="39"/>
      <c r="O818" s="39"/>
      <c r="P818" s="39"/>
    </row>
    <row r="819" spans="1:16" ht="12.75" customHeight="1">
      <c r="A819" s="39"/>
      <c r="B819" s="39"/>
      <c r="C819" s="39"/>
      <c r="D819" s="39"/>
      <c r="E819" s="39"/>
      <c r="F819" s="39"/>
      <c r="G819" s="39"/>
      <c r="H819" s="39"/>
      <c r="I819" s="39"/>
      <c r="J819" s="39"/>
      <c r="K819" s="39"/>
      <c r="L819" s="39"/>
      <c r="M819" s="39"/>
      <c r="N819" s="39"/>
      <c r="O819" s="39"/>
      <c r="P819" s="39"/>
    </row>
    <row r="820" spans="1:16" ht="12.75" customHeight="1">
      <c r="A820" s="39"/>
      <c r="B820" s="39"/>
      <c r="C820" s="39"/>
      <c r="D820" s="39"/>
      <c r="E820" s="39"/>
      <c r="F820" s="39"/>
      <c r="G820" s="39"/>
      <c r="H820" s="39"/>
      <c r="I820" s="39"/>
      <c r="J820" s="39"/>
      <c r="K820" s="39"/>
      <c r="L820" s="39"/>
      <c r="M820" s="39"/>
      <c r="N820" s="39"/>
      <c r="O820" s="39"/>
      <c r="P820" s="39"/>
    </row>
    <row r="821" spans="1:16" ht="12.75" customHeight="1">
      <c r="A821" s="39"/>
      <c r="B821" s="39"/>
      <c r="C821" s="39"/>
      <c r="D821" s="39"/>
      <c r="E821" s="39"/>
      <c r="F821" s="39"/>
      <c r="G821" s="39"/>
      <c r="H821" s="39"/>
      <c r="I821" s="39"/>
      <c r="J821" s="39"/>
      <c r="K821" s="39"/>
      <c r="L821" s="39"/>
      <c r="M821" s="39"/>
      <c r="N821" s="39"/>
      <c r="O821" s="39"/>
      <c r="P821" s="39"/>
    </row>
    <row r="822" spans="1:16" ht="12.75" customHeight="1">
      <c r="A822" s="39"/>
      <c r="B822" s="39"/>
      <c r="C822" s="39"/>
      <c r="D822" s="39"/>
      <c r="E822" s="39"/>
      <c r="F822" s="39"/>
      <c r="G822" s="39"/>
      <c r="H822" s="39"/>
      <c r="I822" s="39"/>
      <c r="J822" s="39"/>
      <c r="K822" s="39"/>
      <c r="L822" s="39"/>
      <c r="M822" s="39"/>
      <c r="N822" s="39"/>
      <c r="O822" s="39"/>
      <c r="P822" s="39"/>
    </row>
    <row r="823" spans="1:16" ht="12.75" customHeight="1">
      <c r="A823" s="39"/>
      <c r="B823" s="39"/>
      <c r="C823" s="39"/>
      <c r="D823" s="39"/>
      <c r="E823" s="39"/>
      <c r="F823" s="39"/>
      <c r="G823" s="39"/>
      <c r="H823" s="39"/>
      <c r="I823" s="39"/>
      <c r="J823" s="39"/>
      <c r="K823" s="39"/>
      <c r="L823" s="39"/>
      <c r="M823" s="39"/>
      <c r="N823" s="39"/>
      <c r="O823" s="39"/>
      <c r="P823" s="39"/>
    </row>
    <row r="824" spans="1:16" ht="12.75" customHeight="1">
      <c r="A824" s="39"/>
      <c r="B824" s="39"/>
      <c r="C824" s="39"/>
      <c r="D824" s="39"/>
      <c r="E824" s="39"/>
      <c r="F824" s="39"/>
      <c r="G824" s="39"/>
      <c r="H824" s="39"/>
      <c r="I824" s="39"/>
      <c r="J824" s="39"/>
      <c r="K824" s="39"/>
      <c r="L824" s="39"/>
      <c r="M824" s="39"/>
      <c r="N824" s="39"/>
      <c r="O824" s="39"/>
      <c r="P824" s="39"/>
    </row>
    <row r="825" spans="1:16" ht="12.75" customHeight="1">
      <c r="A825" s="39"/>
      <c r="B825" s="39"/>
      <c r="C825" s="39"/>
      <c r="D825" s="39"/>
      <c r="E825" s="39"/>
      <c r="F825" s="39"/>
      <c r="G825" s="39"/>
      <c r="H825" s="39"/>
      <c r="I825" s="39"/>
      <c r="J825" s="39"/>
      <c r="K825" s="39"/>
      <c r="L825" s="39"/>
      <c r="M825" s="39"/>
      <c r="N825" s="39"/>
      <c r="O825" s="39"/>
      <c r="P825" s="39"/>
    </row>
    <row r="826" spans="1:16" ht="12.75" customHeight="1">
      <c r="A826" s="39"/>
      <c r="B826" s="39"/>
      <c r="C826" s="39"/>
      <c r="D826" s="39"/>
      <c r="E826" s="39"/>
      <c r="F826" s="39"/>
      <c r="G826" s="39"/>
      <c r="H826" s="39"/>
      <c r="I826" s="39"/>
      <c r="J826" s="39"/>
      <c r="K826" s="39"/>
      <c r="L826" s="39"/>
      <c r="M826" s="39"/>
      <c r="N826" s="39"/>
      <c r="O826" s="39"/>
      <c r="P826" s="39"/>
    </row>
    <row r="827" spans="1:16" ht="12.75" customHeight="1">
      <c r="A827" s="39"/>
      <c r="B827" s="39"/>
      <c r="C827" s="39"/>
      <c r="D827" s="39"/>
      <c r="E827" s="39"/>
      <c r="F827" s="39"/>
      <c r="G827" s="39"/>
      <c r="H827" s="39"/>
      <c r="I827" s="39"/>
      <c r="J827" s="39"/>
      <c r="K827" s="39"/>
      <c r="L827" s="39"/>
      <c r="M827" s="39"/>
      <c r="N827" s="39"/>
      <c r="O827" s="39"/>
      <c r="P827" s="39"/>
    </row>
    <row r="828" spans="1:16" ht="12.75" customHeight="1">
      <c r="A828" s="39"/>
      <c r="B828" s="39"/>
      <c r="C828" s="39"/>
      <c r="D828" s="39"/>
      <c r="E828" s="39"/>
      <c r="F828" s="39"/>
      <c r="G828" s="39"/>
      <c r="H828" s="39"/>
      <c r="I828" s="39"/>
      <c r="J828" s="39"/>
      <c r="K828" s="39"/>
      <c r="L828" s="39"/>
      <c r="M828" s="39"/>
      <c r="N828" s="39"/>
      <c r="O828" s="39"/>
      <c r="P828" s="39"/>
    </row>
    <row r="829" spans="1:16" ht="12.75" customHeight="1">
      <c r="A829" s="39"/>
      <c r="B829" s="39"/>
      <c r="C829" s="39"/>
      <c r="D829" s="39"/>
      <c r="E829" s="39"/>
      <c r="F829" s="39"/>
      <c r="G829" s="39"/>
      <c r="H829" s="39"/>
      <c r="I829" s="39"/>
      <c r="J829" s="39"/>
      <c r="K829" s="39"/>
      <c r="L829" s="39"/>
      <c r="M829" s="39"/>
      <c r="N829" s="39"/>
      <c r="O829" s="39"/>
      <c r="P829" s="39"/>
    </row>
    <row r="830" spans="1:16" ht="12.75" customHeight="1">
      <c r="A830" s="39"/>
      <c r="B830" s="39"/>
      <c r="C830" s="39"/>
      <c r="D830" s="39"/>
      <c r="E830" s="39"/>
      <c r="F830" s="39"/>
      <c r="G830" s="39"/>
      <c r="H830" s="39"/>
      <c r="I830" s="39"/>
      <c r="J830" s="39"/>
      <c r="K830" s="39"/>
      <c r="L830" s="39"/>
      <c r="M830" s="39"/>
      <c r="N830" s="39"/>
      <c r="O830" s="39"/>
      <c r="P830" s="39"/>
    </row>
    <row r="831" spans="1:16" ht="12.75" customHeight="1">
      <c r="A831" s="39"/>
      <c r="B831" s="39"/>
      <c r="C831" s="39"/>
      <c r="D831" s="39"/>
      <c r="E831" s="39"/>
      <c r="F831" s="39"/>
      <c r="G831" s="39"/>
      <c r="H831" s="39"/>
      <c r="I831" s="39"/>
      <c r="J831" s="39"/>
      <c r="K831" s="39"/>
      <c r="L831" s="39"/>
      <c r="M831" s="39"/>
      <c r="N831" s="39"/>
      <c r="O831" s="39"/>
      <c r="P831" s="39"/>
    </row>
    <row r="832" spans="1:16" ht="12.75" customHeight="1">
      <c r="A832" s="39"/>
      <c r="B832" s="39"/>
      <c r="C832" s="39"/>
      <c r="D832" s="39"/>
      <c r="E832" s="39"/>
      <c r="F832" s="39"/>
      <c r="G832" s="39"/>
      <c r="H832" s="39"/>
      <c r="I832" s="39"/>
      <c r="J832" s="39"/>
      <c r="K832" s="39"/>
      <c r="L832" s="39"/>
      <c r="M832" s="39"/>
      <c r="N832" s="39"/>
      <c r="O832" s="39"/>
      <c r="P832" s="39"/>
    </row>
    <row r="833" spans="1:16" ht="12.75" customHeight="1">
      <c r="A833" s="39"/>
      <c r="B833" s="39"/>
      <c r="C833" s="39"/>
      <c r="D833" s="39"/>
      <c r="E833" s="39"/>
      <c r="F833" s="39"/>
      <c r="G833" s="39"/>
      <c r="H833" s="39"/>
      <c r="I833" s="39"/>
      <c r="J833" s="39"/>
      <c r="K833" s="39"/>
      <c r="L833" s="39"/>
      <c r="M833" s="39"/>
      <c r="N833" s="39"/>
      <c r="O833" s="39"/>
      <c r="P833" s="39"/>
    </row>
    <row r="834" spans="1:16" ht="12.75" customHeight="1">
      <c r="A834" s="39"/>
      <c r="B834" s="39"/>
      <c r="C834" s="39"/>
      <c r="D834" s="39"/>
      <c r="E834" s="39"/>
      <c r="F834" s="39"/>
      <c r="G834" s="39"/>
      <c r="H834" s="39"/>
      <c r="I834" s="39"/>
      <c r="J834" s="39"/>
      <c r="K834" s="39"/>
      <c r="L834" s="39"/>
      <c r="M834" s="39"/>
      <c r="N834" s="39"/>
      <c r="O834" s="39"/>
      <c r="P834" s="39"/>
    </row>
    <row r="835" spans="1:16" ht="12.75" customHeight="1">
      <c r="A835" s="39"/>
      <c r="B835" s="39"/>
      <c r="C835" s="39"/>
      <c r="D835" s="39"/>
      <c r="E835" s="39"/>
      <c r="F835" s="39"/>
      <c r="G835" s="39"/>
      <c r="H835" s="39"/>
      <c r="I835" s="39"/>
      <c r="J835" s="39"/>
      <c r="K835" s="39"/>
      <c r="L835" s="39"/>
      <c r="M835" s="39"/>
      <c r="N835" s="39"/>
      <c r="O835" s="39"/>
      <c r="P835" s="39"/>
    </row>
    <row r="836" spans="1:16" ht="12.75" customHeight="1">
      <c r="A836" s="39"/>
      <c r="B836" s="39"/>
      <c r="C836" s="39"/>
      <c r="D836" s="39"/>
      <c r="E836" s="39"/>
      <c r="F836" s="39"/>
      <c r="G836" s="39"/>
      <c r="H836" s="39"/>
      <c r="I836" s="39"/>
      <c r="J836" s="39"/>
      <c r="K836" s="39"/>
      <c r="L836" s="39"/>
      <c r="M836" s="39"/>
      <c r="N836" s="39"/>
      <c r="O836" s="39"/>
      <c r="P836" s="39"/>
    </row>
    <row r="837" spans="1:16" ht="12.75" customHeight="1">
      <c r="A837" s="39"/>
      <c r="B837" s="39"/>
      <c r="C837" s="39"/>
      <c r="D837" s="39"/>
      <c r="E837" s="39"/>
      <c r="F837" s="39"/>
      <c r="G837" s="39"/>
      <c r="H837" s="39"/>
      <c r="I837" s="39"/>
      <c r="J837" s="39"/>
      <c r="K837" s="39"/>
      <c r="L837" s="39"/>
      <c r="M837" s="39"/>
      <c r="N837" s="39"/>
      <c r="O837" s="39"/>
      <c r="P837" s="39"/>
    </row>
    <row r="838" spans="1:16" ht="12.75" customHeight="1">
      <c r="A838" s="39"/>
      <c r="B838" s="39"/>
      <c r="C838" s="39"/>
      <c r="D838" s="39"/>
      <c r="E838" s="39"/>
      <c r="F838" s="39"/>
      <c r="G838" s="39"/>
      <c r="H838" s="39"/>
      <c r="I838" s="39"/>
      <c r="J838" s="39"/>
      <c r="K838" s="39"/>
      <c r="L838" s="39"/>
      <c r="M838" s="39"/>
      <c r="N838" s="39"/>
      <c r="O838" s="39"/>
      <c r="P838" s="39"/>
    </row>
    <row r="839" spans="1:16" ht="12.75" customHeight="1">
      <c r="A839" s="39"/>
      <c r="B839" s="39"/>
      <c r="C839" s="39"/>
      <c r="D839" s="39"/>
      <c r="E839" s="39"/>
      <c r="F839" s="39"/>
      <c r="G839" s="39"/>
      <c r="H839" s="39"/>
      <c r="I839" s="39"/>
      <c r="J839" s="39"/>
      <c r="K839" s="39"/>
      <c r="L839" s="39"/>
      <c r="M839" s="39"/>
      <c r="N839" s="39"/>
      <c r="O839" s="39"/>
      <c r="P839" s="39"/>
    </row>
    <row r="840" spans="1:16" ht="12.75" customHeight="1">
      <c r="A840" s="39"/>
      <c r="B840" s="39"/>
      <c r="C840" s="39"/>
      <c r="D840" s="39"/>
      <c r="E840" s="39"/>
      <c r="F840" s="39"/>
      <c r="G840" s="39"/>
      <c r="H840" s="39"/>
      <c r="I840" s="39"/>
      <c r="J840" s="39"/>
      <c r="K840" s="39"/>
      <c r="L840" s="39"/>
      <c r="M840" s="39"/>
      <c r="N840" s="39"/>
      <c r="O840" s="39"/>
      <c r="P840" s="39"/>
    </row>
    <row r="841" spans="1:16" ht="12.75" customHeight="1">
      <c r="A841" s="39"/>
      <c r="B841" s="39"/>
      <c r="C841" s="39"/>
      <c r="D841" s="39"/>
      <c r="E841" s="39"/>
      <c r="F841" s="39"/>
      <c r="G841" s="39"/>
      <c r="H841" s="39"/>
      <c r="I841" s="39"/>
      <c r="J841" s="39"/>
      <c r="K841" s="39"/>
      <c r="L841" s="39"/>
      <c r="M841" s="39"/>
      <c r="N841" s="39"/>
      <c r="O841" s="39"/>
      <c r="P841" s="39"/>
    </row>
    <row r="842" spans="1:16" ht="12.75" customHeight="1">
      <c r="A842" s="39"/>
      <c r="B842" s="39"/>
      <c r="C842" s="39"/>
      <c r="D842" s="39"/>
      <c r="E842" s="39"/>
      <c r="F842" s="39"/>
      <c r="G842" s="39"/>
      <c r="H842" s="39"/>
      <c r="I842" s="39"/>
      <c r="J842" s="39"/>
      <c r="K842" s="39"/>
      <c r="L842" s="39"/>
      <c r="M842" s="39"/>
      <c r="N842" s="39"/>
      <c r="O842" s="39"/>
      <c r="P842" s="39"/>
    </row>
    <row r="843" spans="1:16" ht="12.75" customHeight="1">
      <c r="A843" s="39"/>
      <c r="B843" s="39"/>
      <c r="C843" s="39"/>
      <c r="D843" s="39"/>
      <c r="E843" s="39"/>
      <c r="F843" s="39"/>
      <c r="G843" s="39"/>
      <c r="H843" s="39"/>
      <c r="I843" s="39"/>
      <c r="J843" s="39"/>
      <c r="K843" s="39"/>
      <c r="L843" s="39"/>
      <c r="M843" s="39"/>
      <c r="N843" s="39"/>
      <c r="O843" s="39"/>
      <c r="P843" s="39"/>
    </row>
    <row r="844" spans="1:16" ht="12.75" customHeight="1">
      <c r="A844" s="39"/>
      <c r="B844" s="39"/>
      <c r="C844" s="39"/>
      <c r="D844" s="39"/>
      <c r="E844" s="39"/>
      <c r="F844" s="39"/>
      <c r="G844" s="39"/>
      <c r="H844" s="39"/>
      <c r="I844" s="39"/>
      <c r="J844" s="39"/>
      <c r="K844" s="39"/>
      <c r="L844" s="39"/>
      <c r="M844" s="39"/>
      <c r="N844" s="39"/>
      <c r="O844" s="39"/>
      <c r="P844" s="39"/>
    </row>
    <row r="845" spans="1:16" ht="12.75" customHeight="1">
      <c r="A845" s="39"/>
      <c r="B845" s="39"/>
      <c r="C845" s="39"/>
      <c r="D845" s="39"/>
      <c r="E845" s="39"/>
      <c r="F845" s="39"/>
      <c r="G845" s="39"/>
      <c r="H845" s="39"/>
      <c r="I845" s="39"/>
      <c r="J845" s="39"/>
      <c r="K845" s="39"/>
      <c r="L845" s="39"/>
      <c r="M845" s="39"/>
      <c r="N845" s="39"/>
      <c r="O845" s="39"/>
      <c r="P845" s="39"/>
    </row>
    <row r="846" spans="1:16" ht="12.75" customHeight="1">
      <c r="A846" s="39"/>
      <c r="B846" s="39"/>
      <c r="C846" s="39"/>
      <c r="D846" s="39"/>
      <c r="E846" s="39"/>
      <c r="F846" s="39"/>
      <c r="G846" s="39"/>
      <c r="H846" s="39"/>
      <c r="I846" s="39"/>
      <c r="J846" s="39"/>
      <c r="K846" s="39"/>
      <c r="L846" s="39"/>
      <c r="M846" s="39"/>
      <c r="N846" s="39"/>
      <c r="O846" s="39"/>
      <c r="P846" s="39"/>
    </row>
    <row r="847" spans="1:16" ht="12.75" customHeight="1">
      <c r="A847" s="39"/>
      <c r="B847" s="39"/>
      <c r="C847" s="39"/>
      <c r="D847" s="39"/>
      <c r="E847" s="39"/>
      <c r="F847" s="39"/>
      <c r="G847" s="39"/>
      <c r="H847" s="39"/>
      <c r="I847" s="39"/>
      <c r="J847" s="39"/>
      <c r="K847" s="39"/>
      <c r="L847" s="39"/>
      <c r="M847" s="39"/>
      <c r="N847" s="39"/>
      <c r="O847" s="39"/>
      <c r="P847" s="39"/>
    </row>
    <row r="848" spans="1:16" ht="12.75" customHeight="1">
      <c r="A848" s="39"/>
      <c r="B848" s="39"/>
      <c r="C848" s="39"/>
      <c r="D848" s="39"/>
      <c r="E848" s="39"/>
      <c r="F848" s="39"/>
      <c r="G848" s="39"/>
      <c r="H848" s="39"/>
      <c r="I848" s="39"/>
      <c r="J848" s="39"/>
      <c r="K848" s="39"/>
      <c r="L848" s="39"/>
      <c r="M848" s="39"/>
      <c r="N848" s="39"/>
      <c r="O848" s="39"/>
      <c r="P848" s="39"/>
    </row>
    <row r="849" spans="1:16" ht="12.75" customHeight="1">
      <c r="A849" s="39"/>
      <c r="B849" s="39"/>
      <c r="C849" s="39"/>
      <c r="D849" s="39"/>
      <c r="E849" s="39"/>
      <c r="F849" s="39"/>
      <c r="G849" s="39"/>
      <c r="H849" s="39"/>
      <c r="I849" s="39"/>
      <c r="J849" s="39"/>
      <c r="K849" s="39"/>
      <c r="L849" s="39"/>
      <c r="M849" s="39"/>
      <c r="N849" s="39"/>
      <c r="O849" s="39"/>
      <c r="P849" s="39"/>
    </row>
    <row r="850" spans="1:16" ht="12.75" customHeight="1">
      <c r="A850" s="39"/>
      <c r="B850" s="39"/>
      <c r="C850" s="39"/>
      <c r="D850" s="39"/>
      <c r="E850" s="39"/>
      <c r="F850" s="39"/>
      <c r="G850" s="39"/>
      <c r="H850" s="39"/>
      <c r="I850" s="39"/>
      <c r="J850" s="39"/>
      <c r="K850" s="39"/>
      <c r="L850" s="39"/>
      <c r="M850" s="39"/>
      <c r="N850" s="39"/>
      <c r="O850" s="39"/>
      <c r="P850" s="39"/>
    </row>
    <row r="851" spans="1:16" ht="12.75" customHeight="1">
      <c r="A851" s="39"/>
      <c r="B851" s="39"/>
      <c r="C851" s="39"/>
      <c r="D851" s="39"/>
      <c r="E851" s="39"/>
      <c r="F851" s="39"/>
      <c r="G851" s="39"/>
      <c r="H851" s="39"/>
      <c r="I851" s="39"/>
      <c r="J851" s="39"/>
      <c r="K851" s="39"/>
      <c r="L851" s="39"/>
      <c r="M851" s="39"/>
      <c r="N851" s="39"/>
      <c r="O851" s="39"/>
      <c r="P851" s="39"/>
    </row>
    <row r="852" spans="1:16" ht="12.75" customHeight="1">
      <c r="A852" s="39"/>
      <c r="B852" s="39"/>
      <c r="C852" s="39"/>
      <c r="D852" s="39"/>
      <c r="E852" s="39"/>
      <c r="F852" s="39"/>
      <c r="G852" s="39"/>
      <c r="H852" s="39"/>
      <c r="I852" s="39"/>
      <c r="J852" s="39"/>
      <c r="K852" s="39"/>
      <c r="L852" s="39"/>
      <c r="M852" s="39"/>
      <c r="N852" s="39"/>
      <c r="O852" s="39"/>
      <c r="P852" s="39"/>
    </row>
    <row r="853" spans="1:16" ht="12.75" customHeight="1">
      <c r="A853" s="39"/>
      <c r="B853" s="39"/>
      <c r="C853" s="39"/>
      <c r="D853" s="39"/>
      <c r="E853" s="39"/>
      <c r="F853" s="39"/>
      <c r="G853" s="39"/>
      <c r="H853" s="39"/>
      <c r="I853" s="39"/>
      <c r="J853" s="39"/>
      <c r="K853" s="39"/>
      <c r="L853" s="39"/>
      <c r="M853" s="39"/>
      <c r="N853" s="39"/>
      <c r="O853" s="39"/>
      <c r="P853" s="39"/>
    </row>
    <row r="854" spans="1:16" ht="12.75" customHeight="1">
      <c r="A854" s="39"/>
      <c r="B854" s="39"/>
      <c r="C854" s="39"/>
      <c r="D854" s="39"/>
      <c r="E854" s="39"/>
      <c r="F854" s="39"/>
      <c r="G854" s="39"/>
      <c r="H854" s="39"/>
      <c r="I854" s="39"/>
      <c r="J854" s="39"/>
      <c r="K854" s="39"/>
      <c r="L854" s="39"/>
      <c r="M854" s="39"/>
      <c r="N854" s="39"/>
      <c r="O854" s="39"/>
      <c r="P854" s="39"/>
    </row>
    <row r="855" spans="1:16" ht="12.75" customHeight="1">
      <c r="A855" s="39"/>
      <c r="B855" s="39"/>
      <c r="C855" s="39"/>
      <c r="D855" s="39"/>
      <c r="E855" s="39"/>
      <c r="F855" s="39"/>
      <c r="G855" s="39"/>
      <c r="H855" s="39"/>
      <c r="I855" s="39"/>
      <c r="J855" s="39"/>
      <c r="K855" s="39"/>
      <c r="L855" s="39"/>
      <c r="M855" s="39"/>
      <c r="N855" s="39"/>
      <c r="O855" s="39"/>
      <c r="P855" s="39"/>
    </row>
    <row r="856" spans="1:16" ht="12.75" customHeight="1">
      <c r="A856" s="39"/>
      <c r="B856" s="39"/>
      <c r="C856" s="39"/>
      <c r="D856" s="39"/>
      <c r="E856" s="39"/>
      <c r="F856" s="39"/>
      <c r="G856" s="39"/>
      <c r="H856" s="39"/>
      <c r="I856" s="39"/>
      <c r="J856" s="39"/>
      <c r="K856" s="39"/>
      <c r="L856" s="39"/>
      <c r="M856" s="39"/>
      <c r="N856" s="39"/>
      <c r="O856" s="39"/>
      <c r="P856" s="39"/>
    </row>
    <row r="857" spans="1:16" ht="12.75" customHeight="1">
      <c r="A857" s="39"/>
      <c r="B857" s="39"/>
      <c r="C857" s="39"/>
      <c r="D857" s="39"/>
      <c r="E857" s="39"/>
      <c r="F857" s="39"/>
      <c r="G857" s="39"/>
      <c r="H857" s="39"/>
      <c r="I857" s="39"/>
      <c r="J857" s="39"/>
      <c r="K857" s="39"/>
      <c r="L857" s="39"/>
      <c r="M857" s="39"/>
      <c r="N857" s="39"/>
      <c r="O857" s="39"/>
      <c r="P857" s="39"/>
    </row>
    <row r="858" spans="1:16" ht="12.75" customHeight="1">
      <c r="A858" s="39"/>
      <c r="B858" s="39"/>
      <c r="C858" s="39"/>
      <c r="D858" s="39"/>
      <c r="E858" s="39"/>
      <c r="F858" s="39"/>
      <c r="G858" s="39"/>
      <c r="H858" s="39"/>
      <c r="I858" s="39"/>
      <c r="J858" s="39"/>
      <c r="K858" s="39"/>
      <c r="L858" s="39"/>
      <c r="M858" s="39"/>
      <c r="N858" s="39"/>
      <c r="O858" s="39"/>
      <c r="P858" s="39"/>
    </row>
    <row r="859" spans="1:16" ht="12.75" customHeight="1">
      <c r="A859" s="39"/>
      <c r="B859" s="39"/>
      <c r="C859" s="39"/>
      <c r="D859" s="39"/>
      <c r="E859" s="39"/>
      <c r="F859" s="39"/>
      <c r="G859" s="39"/>
      <c r="H859" s="39"/>
      <c r="I859" s="39"/>
      <c r="J859" s="39"/>
      <c r="K859" s="39"/>
      <c r="L859" s="39"/>
      <c r="M859" s="39"/>
      <c r="N859" s="39"/>
      <c r="O859" s="39"/>
      <c r="P859" s="39"/>
    </row>
    <row r="860" spans="1:16" ht="12.75" customHeight="1">
      <c r="A860" s="39"/>
      <c r="B860" s="39"/>
      <c r="C860" s="39"/>
      <c r="D860" s="39"/>
      <c r="E860" s="39"/>
      <c r="F860" s="39"/>
      <c r="G860" s="39"/>
      <c r="H860" s="39"/>
      <c r="I860" s="39"/>
      <c r="J860" s="39"/>
      <c r="K860" s="39"/>
      <c r="L860" s="39"/>
      <c r="M860" s="39"/>
      <c r="N860" s="39"/>
      <c r="O860" s="39"/>
      <c r="P860" s="39"/>
    </row>
    <row r="861" spans="1:16" ht="12.75" customHeight="1">
      <c r="A861" s="39"/>
      <c r="B861" s="39"/>
      <c r="C861" s="39"/>
      <c r="D861" s="39"/>
      <c r="E861" s="39"/>
      <c r="F861" s="39"/>
      <c r="G861" s="39"/>
      <c r="H861" s="39"/>
      <c r="I861" s="39"/>
      <c r="J861" s="39"/>
      <c r="K861" s="39"/>
      <c r="L861" s="39"/>
      <c r="M861" s="39"/>
      <c r="N861" s="39"/>
      <c r="O861" s="39"/>
      <c r="P861" s="39"/>
    </row>
    <row r="862" spans="1:16" ht="12.75" customHeight="1">
      <c r="A862" s="39"/>
      <c r="B862" s="39"/>
      <c r="C862" s="39"/>
      <c r="D862" s="39"/>
      <c r="E862" s="39"/>
      <c r="F862" s="39"/>
      <c r="G862" s="39"/>
      <c r="H862" s="39"/>
      <c r="I862" s="39"/>
      <c r="J862" s="39"/>
      <c r="K862" s="39"/>
      <c r="L862" s="39"/>
      <c r="M862" s="39"/>
      <c r="N862" s="39"/>
      <c r="O862" s="39"/>
      <c r="P862" s="39"/>
    </row>
    <row r="863" spans="1:16" ht="12.75" customHeight="1">
      <c r="A863" s="39"/>
      <c r="B863" s="39"/>
      <c r="C863" s="39"/>
      <c r="D863" s="39"/>
      <c r="E863" s="39"/>
      <c r="F863" s="39"/>
      <c r="G863" s="39"/>
      <c r="H863" s="39"/>
      <c r="I863" s="39"/>
      <c r="J863" s="39"/>
      <c r="K863" s="39"/>
      <c r="L863" s="39"/>
      <c r="M863" s="39"/>
      <c r="N863" s="39"/>
      <c r="O863" s="39"/>
      <c r="P863" s="39"/>
    </row>
    <row r="864" spans="1:16" ht="12.75" customHeight="1">
      <c r="A864" s="39"/>
      <c r="B864" s="39"/>
      <c r="C864" s="39"/>
      <c r="D864" s="39"/>
      <c r="E864" s="39"/>
      <c r="F864" s="39"/>
      <c r="G864" s="39"/>
      <c r="H864" s="39"/>
      <c r="I864" s="39"/>
      <c r="J864" s="39"/>
      <c r="K864" s="39"/>
      <c r="L864" s="39"/>
      <c r="M864" s="39"/>
      <c r="N864" s="39"/>
      <c r="O864" s="39"/>
      <c r="P864" s="39"/>
    </row>
    <row r="865" spans="1:16" ht="12.75" customHeight="1">
      <c r="A865" s="39"/>
      <c r="B865" s="39"/>
      <c r="C865" s="39"/>
      <c r="D865" s="39"/>
      <c r="E865" s="39"/>
      <c r="F865" s="39"/>
      <c r="G865" s="39"/>
      <c r="H865" s="39"/>
      <c r="I865" s="39"/>
      <c r="J865" s="39"/>
      <c r="K865" s="39"/>
      <c r="L865" s="39"/>
      <c r="M865" s="39"/>
      <c r="N865" s="39"/>
      <c r="O865" s="39"/>
      <c r="P865" s="39"/>
    </row>
    <row r="866" spans="1:16" ht="12.75" customHeight="1">
      <c r="A866" s="39"/>
      <c r="B866" s="39"/>
      <c r="C866" s="39"/>
      <c r="D866" s="39"/>
      <c r="E866" s="39"/>
      <c r="F866" s="39"/>
      <c r="G866" s="39"/>
      <c r="H866" s="39"/>
      <c r="I866" s="39"/>
      <c r="J866" s="39"/>
      <c r="K866" s="39"/>
      <c r="L866" s="39"/>
      <c r="M866" s="39"/>
      <c r="N866" s="39"/>
      <c r="O866" s="39"/>
      <c r="P866" s="39"/>
    </row>
    <row r="867" spans="1:16" ht="12.75" customHeight="1">
      <c r="A867" s="39"/>
      <c r="B867" s="39"/>
      <c r="C867" s="39"/>
      <c r="D867" s="39"/>
      <c r="E867" s="39"/>
      <c r="F867" s="39"/>
      <c r="G867" s="39"/>
      <c r="H867" s="39"/>
      <c r="I867" s="39"/>
      <c r="J867" s="39"/>
      <c r="K867" s="39"/>
      <c r="L867" s="39"/>
      <c r="M867" s="39"/>
      <c r="N867" s="39"/>
      <c r="O867" s="39"/>
      <c r="P867" s="39"/>
    </row>
    <row r="868" spans="1:16" ht="12.75" customHeight="1">
      <c r="A868" s="39"/>
      <c r="B868" s="39"/>
      <c r="C868" s="39"/>
      <c r="D868" s="39"/>
      <c r="E868" s="39"/>
      <c r="F868" s="39"/>
      <c r="G868" s="39"/>
      <c r="H868" s="39"/>
      <c r="I868" s="39"/>
      <c r="J868" s="39"/>
      <c r="K868" s="39"/>
      <c r="L868" s="39"/>
      <c r="M868" s="39"/>
      <c r="N868" s="39"/>
      <c r="O868" s="39"/>
      <c r="P868" s="39"/>
    </row>
    <row r="869" spans="1:16" ht="12.75" customHeight="1">
      <c r="A869" s="39"/>
      <c r="B869" s="39"/>
      <c r="C869" s="39"/>
      <c r="D869" s="39"/>
      <c r="E869" s="39"/>
      <c r="F869" s="39"/>
      <c r="G869" s="39"/>
      <c r="H869" s="39"/>
      <c r="I869" s="39"/>
      <c r="J869" s="39"/>
      <c r="K869" s="39"/>
      <c r="L869" s="39"/>
      <c r="M869" s="39"/>
      <c r="N869" s="39"/>
      <c r="O869" s="39"/>
      <c r="P869" s="39"/>
    </row>
    <row r="870" spans="1:16" ht="12.75" customHeight="1">
      <c r="A870" s="39"/>
      <c r="B870" s="39"/>
      <c r="C870" s="39"/>
      <c r="D870" s="39"/>
      <c r="E870" s="39"/>
      <c r="F870" s="39"/>
      <c r="G870" s="39"/>
      <c r="H870" s="39"/>
      <c r="I870" s="39"/>
      <c r="J870" s="39"/>
      <c r="K870" s="39"/>
      <c r="L870" s="39"/>
      <c r="M870" s="39"/>
      <c r="N870" s="39"/>
      <c r="O870" s="39"/>
      <c r="P870" s="39"/>
    </row>
    <row r="871" spans="1:16" ht="12.75" customHeight="1">
      <c r="A871" s="39"/>
      <c r="B871" s="39"/>
      <c r="C871" s="39"/>
      <c r="D871" s="39"/>
      <c r="E871" s="39"/>
      <c r="F871" s="39"/>
      <c r="G871" s="39"/>
      <c r="H871" s="39"/>
      <c r="I871" s="39"/>
      <c r="J871" s="39"/>
      <c r="K871" s="39"/>
      <c r="L871" s="39"/>
      <c r="M871" s="39"/>
      <c r="N871" s="39"/>
      <c r="O871" s="39"/>
      <c r="P871" s="39"/>
    </row>
    <row r="872" spans="1:16" ht="12.75" customHeight="1">
      <c r="A872" s="39"/>
      <c r="B872" s="39"/>
      <c r="C872" s="39"/>
      <c r="D872" s="39"/>
      <c r="E872" s="39"/>
      <c r="F872" s="39"/>
      <c r="G872" s="39"/>
      <c r="H872" s="39"/>
      <c r="I872" s="39"/>
      <c r="J872" s="39"/>
      <c r="K872" s="39"/>
      <c r="L872" s="39"/>
      <c r="M872" s="39"/>
      <c r="N872" s="39"/>
      <c r="O872" s="39"/>
      <c r="P872" s="39"/>
    </row>
    <row r="873" spans="1:16" ht="12.75" customHeight="1">
      <c r="A873" s="39"/>
      <c r="B873" s="39"/>
      <c r="C873" s="39"/>
      <c r="D873" s="39"/>
      <c r="E873" s="39"/>
      <c r="F873" s="39"/>
      <c r="G873" s="39"/>
      <c r="H873" s="39"/>
      <c r="I873" s="39"/>
      <c r="J873" s="39"/>
      <c r="K873" s="39"/>
      <c r="L873" s="39"/>
      <c r="M873" s="39"/>
      <c r="N873" s="39"/>
      <c r="O873" s="39"/>
      <c r="P873" s="39"/>
    </row>
    <row r="874" spans="1:16" ht="12.75" customHeight="1">
      <c r="A874" s="39"/>
      <c r="B874" s="39"/>
      <c r="C874" s="39"/>
      <c r="D874" s="39"/>
      <c r="E874" s="39"/>
      <c r="F874" s="39"/>
      <c r="G874" s="39"/>
      <c r="H874" s="39"/>
      <c r="I874" s="39"/>
      <c r="J874" s="39"/>
      <c r="K874" s="39"/>
      <c r="L874" s="39"/>
      <c r="M874" s="39"/>
      <c r="N874" s="39"/>
      <c r="O874" s="39"/>
      <c r="P874" s="39"/>
    </row>
    <row r="875" spans="1:16" ht="12.75" customHeight="1">
      <c r="A875" s="39"/>
      <c r="B875" s="39"/>
      <c r="C875" s="39"/>
      <c r="D875" s="39"/>
      <c r="E875" s="39"/>
      <c r="F875" s="39"/>
      <c r="G875" s="39"/>
      <c r="H875" s="39"/>
      <c r="I875" s="39"/>
      <c r="J875" s="39"/>
      <c r="K875" s="39"/>
      <c r="L875" s="39"/>
      <c r="M875" s="39"/>
      <c r="N875" s="39"/>
      <c r="O875" s="39"/>
      <c r="P875" s="39"/>
    </row>
    <row r="876" spans="1:16" ht="12.75" customHeight="1">
      <c r="A876" s="39"/>
      <c r="B876" s="39"/>
      <c r="C876" s="39"/>
      <c r="D876" s="39"/>
      <c r="E876" s="39"/>
      <c r="F876" s="39"/>
      <c r="G876" s="39"/>
      <c r="H876" s="39"/>
      <c r="I876" s="39"/>
      <c r="J876" s="39"/>
      <c r="K876" s="39"/>
      <c r="L876" s="39"/>
      <c r="M876" s="39"/>
      <c r="N876" s="39"/>
      <c r="O876" s="39"/>
      <c r="P876" s="39"/>
    </row>
    <row r="877" spans="1:16" ht="12.75" customHeight="1">
      <c r="A877" s="39"/>
      <c r="B877" s="39"/>
      <c r="C877" s="39"/>
      <c r="D877" s="39"/>
      <c r="E877" s="39"/>
      <c r="F877" s="39"/>
      <c r="G877" s="39"/>
      <c r="H877" s="39"/>
      <c r="I877" s="39"/>
      <c r="J877" s="39"/>
      <c r="K877" s="39"/>
      <c r="L877" s="39"/>
      <c r="M877" s="39"/>
      <c r="N877" s="39"/>
      <c r="O877" s="39"/>
      <c r="P877" s="39"/>
    </row>
    <row r="878" spans="1:16" ht="12.75" customHeight="1">
      <c r="A878" s="39"/>
      <c r="B878" s="39"/>
      <c r="C878" s="39"/>
      <c r="D878" s="39"/>
      <c r="E878" s="39"/>
      <c r="F878" s="39"/>
      <c r="G878" s="39"/>
      <c r="H878" s="39"/>
      <c r="I878" s="39"/>
      <c r="J878" s="39"/>
      <c r="K878" s="39"/>
      <c r="L878" s="39"/>
      <c r="M878" s="39"/>
      <c r="N878" s="39"/>
      <c r="O878" s="39"/>
      <c r="P878" s="39"/>
    </row>
    <row r="879" spans="1:16" ht="12.75" customHeight="1">
      <c r="A879" s="39"/>
      <c r="B879" s="39"/>
      <c r="C879" s="39"/>
      <c r="D879" s="39"/>
      <c r="E879" s="39"/>
      <c r="F879" s="39"/>
      <c r="G879" s="39"/>
      <c r="H879" s="39"/>
      <c r="I879" s="39"/>
      <c r="J879" s="39"/>
      <c r="K879" s="39"/>
      <c r="L879" s="39"/>
      <c r="M879" s="39"/>
      <c r="N879" s="39"/>
      <c r="O879" s="39"/>
      <c r="P879" s="39"/>
    </row>
    <row r="880" spans="1:16" ht="12.75" customHeight="1">
      <c r="A880" s="39"/>
      <c r="B880" s="39"/>
      <c r="C880" s="39"/>
      <c r="D880" s="39"/>
      <c r="E880" s="39"/>
      <c r="F880" s="39"/>
      <c r="G880" s="39"/>
      <c r="H880" s="39"/>
      <c r="I880" s="39"/>
      <c r="J880" s="39"/>
      <c r="K880" s="39"/>
      <c r="L880" s="39"/>
      <c r="M880" s="39"/>
      <c r="N880" s="39"/>
      <c r="O880" s="39"/>
      <c r="P880" s="39"/>
    </row>
    <row r="881" spans="1:16" ht="12.75" customHeight="1">
      <c r="A881" s="39"/>
      <c r="B881" s="39"/>
      <c r="C881" s="39"/>
      <c r="D881" s="39"/>
      <c r="E881" s="39"/>
      <c r="F881" s="39"/>
      <c r="G881" s="39"/>
      <c r="H881" s="39"/>
      <c r="I881" s="39"/>
      <c r="J881" s="39"/>
      <c r="K881" s="39"/>
      <c r="L881" s="39"/>
      <c r="M881" s="39"/>
      <c r="N881" s="39"/>
      <c r="O881" s="39"/>
      <c r="P881" s="39"/>
    </row>
    <row r="882" spans="1:16" ht="12.75" customHeight="1">
      <c r="A882" s="39"/>
      <c r="B882" s="39"/>
      <c r="C882" s="39"/>
      <c r="D882" s="39"/>
      <c r="E882" s="39"/>
      <c r="F882" s="39"/>
      <c r="G882" s="39"/>
      <c r="H882" s="39"/>
      <c r="I882" s="39"/>
      <c r="J882" s="39"/>
      <c r="K882" s="39"/>
      <c r="L882" s="39"/>
      <c r="M882" s="39"/>
      <c r="N882" s="39"/>
      <c r="O882" s="39"/>
      <c r="P882" s="39"/>
    </row>
    <row r="883" spans="1:16" ht="12.75" customHeight="1">
      <c r="A883" s="39"/>
      <c r="B883" s="39"/>
      <c r="C883" s="39"/>
      <c r="D883" s="39"/>
      <c r="E883" s="39"/>
      <c r="F883" s="39"/>
      <c r="G883" s="39"/>
      <c r="H883" s="39"/>
      <c r="I883" s="39"/>
      <c r="J883" s="39"/>
      <c r="K883" s="39"/>
      <c r="L883" s="39"/>
      <c r="M883" s="39"/>
      <c r="N883" s="39"/>
      <c r="O883" s="39"/>
      <c r="P883" s="39"/>
    </row>
    <row r="884" spans="1:16" ht="12.75" customHeight="1">
      <c r="A884" s="39"/>
      <c r="B884" s="39"/>
      <c r="C884" s="39"/>
      <c r="D884" s="39"/>
      <c r="E884" s="39"/>
      <c r="F884" s="39"/>
      <c r="G884" s="39"/>
      <c r="H884" s="39"/>
      <c r="I884" s="39"/>
      <c r="J884" s="39"/>
      <c r="K884" s="39"/>
      <c r="L884" s="39"/>
      <c r="M884" s="39"/>
      <c r="N884" s="39"/>
      <c r="O884" s="39"/>
      <c r="P884" s="39"/>
    </row>
    <row r="885" spans="1:16" ht="12.75" customHeight="1">
      <c r="A885" s="39"/>
      <c r="B885" s="39"/>
      <c r="C885" s="39"/>
      <c r="D885" s="39"/>
      <c r="E885" s="39"/>
      <c r="F885" s="39"/>
      <c r="G885" s="39"/>
      <c r="H885" s="39"/>
      <c r="I885" s="39"/>
      <c r="J885" s="39"/>
      <c r="K885" s="39"/>
      <c r="L885" s="39"/>
      <c r="M885" s="39"/>
      <c r="N885" s="39"/>
      <c r="O885" s="39"/>
      <c r="P885" s="39"/>
    </row>
    <row r="886" spans="1:16" ht="12.75" customHeight="1">
      <c r="A886" s="39"/>
      <c r="B886" s="39"/>
      <c r="C886" s="39"/>
      <c r="D886" s="39"/>
      <c r="E886" s="39"/>
      <c r="F886" s="39"/>
      <c r="G886" s="39"/>
      <c r="H886" s="39"/>
      <c r="I886" s="39"/>
      <c r="J886" s="39"/>
      <c r="K886" s="39"/>
      <c r="L886" s="39"/>
      <c r="M886" s="39"/>
      <c r="N886" s="39"/>
      <c r="O886" s="39"/>
      <c r="P886" s="39"/>
    </row>
    <row r="887" spans="1:16" ht="12.75" customHeight="1">
      <c r="A887" s="39"/>
      <c r="B887" s="39"/>
      <c r="C887" s="39"/>
      <c r="D887" s="39"/>
      <c r="E887" s="39"/>
      <c r="F887" s="39"/>
      <c r="G887" s="39"/>
      <c r="H887" s="39"/>
      <c r="I887" s="39"/>
      <c r="J887" s="39"/>
      <c r="K887" s="39"/>
      <c r="L887" s="39"/>
      <c r="M887" s="39"/>
      <c r="N887" s="39"/>
      <c r="O887" s="39"/>
      <c r="P887" s="39"/>
    </row>
    <row r="888" spans="1:16" ht="12.75" customHeight="1">
      <c r="A888" s="39"/>
      <c r="B888" s="39"/>
      <c r="C888" s="39"/>
      <c r="D888" s="39"/>
      <c r="E888" s="39"/>
      <c r="F888" s="39"/>
      <c r="G888" s="39"/>
      <c r="H888" s="39"/>
      <c r="I888" s="39"/>
      <c r="J888" s="39"/>
      <c r="K888" s="39"/>
      <c r="L888" s="39"/>
      <c r="M888" s="39"/>
      <c r="N888" s="39"/>
      <c r="O888" s="39"/>
      <c r="P888" s="39"/>
    </row>
    <row r="889" spans="1:16" ht="12.75" customHeight="1">
      <c r="A889" s="39"/>
      <c r="B889" s="39"/>
      <c r="C889" s="39"/>
      <c r="D889" s="39"/>
      <c r="E889" s="39"/>
      <c r="F889" s="39"/>
      <c r="G889" s="39"/>
      <c r="H889" s="39"/>
      <c r="I889" s="39"/>
      <c r="J889" s="39"/>
      <c r="K889" s="39"/>
      <c r="L889" s="39"/>
      <c r="M889" s="39"/>
      <c r="N889" s="39"/>
      <c r="O889" s="39"/>
      <c r="P889" s="39"/>
    </row>
    <row r="890" spans="1:16" ht="12.75" customHeight="1">
      <c r="A890" s="39"/>
      <c r="B890" s="39"/>
      <c r="C890" s="39"/>
      <c r="D890" s="39"/>
      <c r="E890" s="39"/>
      <c r="F890" s="39"/>
      <c r="G890" s="39"/>
      <c r="H890" s="39"/>
      <c r="I890" s="39"/>
      <c r="J890" s="39"/>
      <c r="K890" s="39"/>
      <c r="L890" s="39"/>
      <c r="M890" s="39"/>
      <c r="N890" s="39"/>
      <c r="O890" s="39"/>
      <c r="P890" s="39"/>
    </row>
    <row r="891" spans="1:16" ht="12.75" customHeight="1">
      <c r="A891" s="39"/>
      <c r="B891" s="39"/>
      <c r="C891" s="39"/>
      <c r="D891" s="39"/>
      <c r="E891" s="39"/>
      <c r="F891" s="39"/>
      <c r="G891" s="39"/>
      <c r="H891" s="39"/>
      <c r="I891" s="39"/>
      <c r="J891" s="39"/>
      <c r="K891" s="39"/>
      <c r="L891" s="39"/>
      <c r="M891" s="39"/>
      <c r="N891" s="39"/>
      <c r="O891" s="39"/>
      <c r="P891" s="39"/>
    </row>
    <row r="892" spans="1:16" ht="12.75" customHeight="1">
      <c r="A892" s="39"/>
      <c r="B892" s="39"/>
      <c r="C892" s="39"/>
      <c r="D892" s="39"/>
      <c r="E892" s="39"/>
      <c r="F892" s="39"/>
      <c r="G892" s="39"/>
      <c r="H892" s="39"/>
      <c r="I892" s="39"/>
      <c r="J892" s="39"/>
      <c r="K892" s="39"/>
      <c r="L892" s="39"/>
      <c r="M892" s="39"/>
      <c r="N892" s="39"/>
      <c r="O892" s="39"/>
      <c r="P892" s="39"/>
    </row>
    <row r="893" spans="1:16" ht="12.75" customHeight="1">
      <c r="A893" s="39"/>
      <c r="B893" s="39"/>
      <c r="C893" s="39"/>
      <c r="D893" s="39"/>
      <c r="E893" s="39"/>
      <c r="F893" s="39"/>
      <c r="G893" s="39"/>
      <c r="H893" s="39"/>
      <c r="I893" s="39"/>
      <c r="J893" s="39"/>
      <c r="K893" s="39"/>
      <c r="L893" s="39"/>
      <c r="M893" s="39"/>
      <c r="N893" s="39"/>
      <c r="O893" s="39"/>
      <c r="P893" s="39"/>
    </row>
    <row r="894" spans="1:16" ht="12.75" customHeight="1">
      <c r="A894" s="39"/>
      <c r="B894" s="39"/>
      <c r="C894" s="39"/>
      <c r="D894" s="39"/>
      <c r="E894" s="39"/>
      <c r="F894" s="39"/>
      <c r="G894" s="39"/>
      <c r="H894" s="39"/>
      <c r="I894" s="39"/>
      <c r="J894" s="39"/>
      <c r="K894" s="39"/>
      <c r="L894" s="39"/>
      <c r="M894" s="39"/>
      <c r="N894" s="39"/>
      <c r="O894" s="39"/>
      <c r="P894" s="39"/>
    </row>
    <row r="895" spans="1:16" ht="12.75" customHeight="1">
      <c r="A895" s="39"/>
      <c r="B895" s="39"/>
      <c r="C895" s="39"/>
      <c r="D895" s="39"/>
      <c r="E895" s="39"/>
      <c r="F895" s="39"/>
      <c r="G895" s="39"/>
      <c r="H895" s="39"/>
      <c r="I895" s="39"/>
      <c r="J895" s="39"/>
      <c r="K895" s="39"/>
      <c r="L895" s="39"/>
      <c r="M895" s="39"/>
      <c r="N895" s="39"/>
      <c r="O895" s="39"/>
      <c r="P895" s="39"/>
    </row>
    <row r="896" spans="1:16" ht="12.75" customHeight="1">
      <c r="A896" s="39"/>
      <c r="B896" s="39"/>
      <c r="C896" s="39"/>
      <c r="D896" s="39"/>
      <c r="E896" s="39"/>
      <c r="F896" s="39"/>
      <c r="G896" s="39"/>
      <c r="H896" s="39"/>
      <c r="I896" s="39"/>
      <c r="J896" s="39"/>
      <c r="K896" s="39"/>
      <c r="L896" s="39"/>
      <c r="M896" s="39"/>
      <c r="N896" s="39"/>
      <c r="O896" s="39"/>
      <c r="P896" s="39"/>
    </row>
    <row r="897" spans="1:16" ht="12.75" customHeight="1">
      <c r="A897" s="39"/>
      <c r="B897" s="39"/>
      <c r="C897" s="39"/>
      <c r="D897" s="39"/>
      <c r="E897" s="39"/>
      <c r="F897" s="39"/>
      <c r="G897" s="39"/>
      <c r="H897" s="39"/>
      <c r="I897" s="39"/>
      <c r="J897" s="39"/>
      <c r="K897" s="39"/>
      <c r="L897" s="39"/>
      <c r="M897" s="39"/>
      <c r="N897" s="39"/>
      <c r="O897" s="39"/>
      <c r="P897" s="39"/>
    </row>
    <row r="898" spans="1:16" ht="12.75" customHeight="1">
      <c r="A898" s="39"/>
      <c r="B898" s="39"/>
      <c r="C898" s="39"/>
      <c r="D898" s="39"/>
      <c r="E898" s="39"/>
      <c r="F898" s="39"/>
      <c r="G898" s="39"/>
      <c r="H898" s="39"/>
      <c r="I898" s="39"/>
      <c r="J898" s="39"/>
      <c r="K898" s="39"/>
      <c r="L898" s="39"/>
      <c r="M898" s="39"/>
      <c r="N898" s="39"/>
      <c r="O898" s="39"/>
      <c r="P898" s="39"/>
    </row>
    <row r="899" spans="1:16" ht="12.75" customHeight="1">
      <c r="A899" s="39"/>
      <c r="B899" s="39"/>
      <c r="C899" s="39"/>
      <c r="D899" s="39"/>
      <c r="E899" s="39"/>
      <c r="F899" s="39"/>
      <c r="G899" s="39"/>
      <c r="H899" s="39"/>
      <c r="I899" s="39"/>
      <c r="J899" s="39"/>
      <c r="K899" s="39"/>
      <c r="L899" s="39"/>
      <c r="M899" s="39"/>
      <c r="N899" s="39"/>
      <c r="O899" s="39"/>
      <c r="P899" s="39"/>
    </row>
    <row r="900" spans="1:16" ht="12.75" customHeight="1">
      <c r="A900" s="39"/>
      <c r="B900" s="39"/>
      <c r="C900" s="39"/>
      <c r="D900" s="39"/>
      <c r="E900" s="39"/>
      <c r="F900" s="39"/>
      <c r="G900" s="39"/>
      <c r="H900" s="39"/>
      <c r="I900" s="39"/>
      <c r="J900" s="39"/>
      <c r="K900" s="39"/>
      <c r="L900" s="39"/>
      <c r="M900" s="39"/>
      <c r="N900" s="39"/>
      <c r="O900" s="39"/>
      <c r="P900" s="39"/>
    </row>
    <row r="901" spans="1:16" ht="12.75" customHeight="1">
      <c r="A901" s="39"/>
      <c r="B901" s="39"/>
      <c r="C901" s="39"/>
      <c r="D901" s="39"/>
      <c r="E901" s="39"/>
      <c r="F901" s="39"/>
      <c r="G901" s="39"/>
      <c r="H901" s="39"/>
      <c r="I901" s="39"/>
      <c r="J901" s="39"/>
      <c r="K901" s="39"/>
      <c r="L901" s="39"/>
      <c r="M901" s="39"/>
      <c r="N901" s="39"/>
      <c r="O901" s="39"/>
      <c r="P901" s="39"/>
    </row>
    <row r="902" spans="1:16" ht="12.75" customHeight="1">
      <c r="A902" s="39"/>
      <c r="B902" s="39"/>
      <c r="C902" s="39"/>
      <c r="D902" s="39"/>
      <c r="E902" s="39"/>
      <c r="F902" s="39"/>
      <c r="G902" s="39"/>
      <c r="H902" s="39"/>
      <c r="I902" s="39"/>
      <c r="J902" s="39"/>
      <c r="K902" s="39"/>
      <c r="L902" s="39"/>
      <c r="M902" s="39"/>
      <c r="N902" s="39"/>
      <c r="O902" s="39"/>
      <c r="P902" s="39"/>
    </row>
    <row r="903" spans="1:16" ht="12.75" customHeight="1">
      <c r="A903" s="39"/>
      <c r="B903" s="39"/>
      <c r="C903" s="39"/>
      <c r="D903" s="39"/>
      <c r="E903" s="39"/>
      <c r="F903" s="39"/>
      <c r="G903" s="39"/>
      <c r="H903" s="39"/>
      <c r="I903" s="39"/>
      <c r="J903" s="39"/>
      <c r="K903" s="39"/>
      <c r="L903" s="39"/>
      <c r="M903" s="39"/>
      <c r="N903" s="39"/>
      <c r="O903" s="39"/>
      <c r="P903" s="39"/>
    </row>
    <row r="904" spans="1:16" ht="12.75" customHeight="1">
      <c r="A904" s="39"/>
      <c r="B904" s="39"/>
      <c r="C904" s="39"/>
      <c r="D904" s="39"/>
      <c r="E904" s="39"/>
      <c r="F904" s="39"/>
      <c r="G904" s="39"/>
      <c r="H904" s="39"/>
      <c r="I904" s="39"/>
      <c r="J904" s="39"/>
      <c r="K904" s="39"/>
      <c r="L904" s="39"/>
      <c r="M904" s="39"/>
      <c r="N904" s="39"/>
      <c r="O904" s="39"/>
      <c r="P904" s="39"/>
    </row>
    <row r="905" spans="1:16" ht="12.75" customHeight="1">
      <c r="A905" s="39"/>
      <c r="B905" s="39"/>
      <c r="C905" s="39"/>
      <c r="D905" s="39"/>
      <c r="E905" s="39"/>
      <c r="F905" s="39"/>
      <c r="G905" s="39"/>
      <c r="H905" s="39"/>
      <c r="I905" s="39"/>
      <c r="J905" s="39"/>
      <c r="K905" s="39"/>
      <c r="L905" s="39"/>
      <c r="M905" s="39"/>
      <c r="N905" s="39"/>
      <c r="O905" s="39"/>
      <c r="P905" s="39"/>
    </row>
    <row r="906" spans="1:16" ht="12.75" customHeight="1">
      <c r="A906" s="39"/>
      <c r="B906" s="39"/>
      <c r="C906" s="39"/>
      <c r="D906" s="39"/>
      <c r="E906" s="39"/>
      <c r="F906" s="39"/>
      <c r="G906" s="39"/>
      <c r="H906" s="39"/>
      <c r="I906" s="39"/>
      <c r="J906" s="39"/>
      <c r="K906" s="39"/>
      <c r="L906" s="39"/>
      <c r="M906" s="39"/>
      <c r="N906" s="39"/>
      <c r="O906" s="39"/>
      <c r="P906" s="39"/>
    </row>
    <row r="907" spans="1:16" ht="12.75" customHeight="1">
      <c r="A907" s="39"/>
      <c r="B907" s="39"/>
      <c r="C907" s="39"/>
      <c r="D907" s="39"/>
      <c r="E907" s="39"/>
      <c r="F907" s="39"/>
      <c r="G907" s="39"/>
      <c r="H907" s="39"/>
      <c r="I907" s="39"/>
      <c r="J907" s="39"/>
      <c r="K907" s="39"/>
      <c r="L907" s="39"/>
      <c r="M907" s="39"/>
      <c r="N907" s="39"/>
      <c r="O907" s="39"/>
      <c r="P907" s="39"/>
    </row>
    <row r="908" spans="1:16" ht="12.75" customHeight="1">
      <c r="A908" s="39"/>
      <c r="B908" s="39"/>
      <c r="C908" s="39"/>
      <c r="D908" s="39"/>
      <c r="E908" s="39"/>
      <c r="F908" s="39"/>
      <c r="G908" s="39"/>
      <c r="H908" s="39"/>
      <c r="I908" s="39"/>
      <c r="J908" s="39"/>
      <c r="K908" s="39"/>
      <c r="L908" s="39"/>
      <c r="M908" s="39"/>
      <c r="N908" s="39"/>
      <c r="O908" s="39"/>
      <c r="P908" s="39"/>
    </row>
    <row r="909" spans="1:16" ht="12.75" customHeight="1">
      <c r="A909" s="39"/>
      <c r="B909" s="39"/>
      <c r="C909" s="39"/>
      <c r="D909" s="39"/>
      <c r="E909" s="39"/>
      <c r="F909" s="39"/>
      <c r="G909" s="39"/>
      <c r="H909" s="39"/>
      <c r="I909" s="39"/>
      <c r="J909" s="39"/>
      <c r="K909" s="39"/>
      <c r="L909" s="39"/>
      <c r="M909" s="39"/>
      <c r="N909" s="39"/>
      <c r="O909" s="39"/>
      <c r="P909" s="39"/>
    </row>
    <row r="910" spans="1:16" ht="12.75" customHeight="1">
      <c r="A910" s="39"/>
      <c r="B910" s="39"/>
      <c r="C910" s="39"/>
      <c r="D910" s="39"/>
      <c r="E910" s="39"/>
      <c r="F910" s="39"/>
      <c r="G910" s="39"/>
      <c r="H910" s="39"/>
      <c r="I910" s="39"/>
      <c r="J910" s="39"/>
      <c r="K910" s="39"/>
      <c r="L910" s="39"/>
      <c r="M910" s="39"/>
      <c r="N910" s="39"/>
      <c r="O910" s="39"/>
      <c r="P910" s="39"/>
    </row>
    <row r="911" spans="1:16" ht="12.75" customHeight="1">
      <c r="A911" s="39"/>
      <c r="B911" s="39"/>
      <c r="C911" s="39"/>
      <c r="D911" s="39"/>
      <c r="E911" s="39"/>
      <c r="F911" s="39"/>
      <c r="G911" s="39"/>
      <c r="H911" s="39"/>
      <c r="I911" s="39"/>
      <c r="J911" s="39"/>
      <c r="K911" s="39"/>
      <c r="L911" s="39"/>
      <c r="M911" s="39"/>
      <c r="N911" s="39"/>
      <c r="O911" s="39"/>
      <c r="P911" s="39"/>
    </row>
    <row r="912" spans="1:16" ht="12.75" customHeight="1">
      <c r="A912" s="39"/>
      <c r="B912" s="39"/>
      <c r="C912" s="39"/>
      <c r="D912" s="39"/>
      <c r="E912" s="39"/>
      <c r="F912" s="39"/>
      <c r="G912" s="39"/>
      <c r="H912" s="39"/>
      <c r="I912" s="39"/>
      <c r="J912" s="39"/>
      <c r="K912" s="39"/>
      <c r="L912" s="39"/>
      <c r="M912" s="39"/>
      <c r="N912" s="39"/>
      <c r="O912" s="39"/>
      <c r="P912" s="39"/>
    </row>
    <row r="913" spans="1:16" ht="12.75" customHeight="1">
      <c r="A913" s="39"/>
      <c r="B913" s="39"/>
      <c r="C913" s="39"/>
      <c r="D913" s="39"/>
      <c r="E913" s="39"/>
      <c r="F913" s="39"/>
      <c r="G913" s="39"/>
      <c r="H913" s="39"/>
      <c r="I913" s="39"/>
      <c r="J913" s="39"/>
      <c r="K913" s="39"/>
      <c r="L913" s="39"/>
      <c r="M913" s="39"/>
      <c r="N913" s="39"/>
      <c r="O913" s="39"/>
      <c r="P913" s="39"/>
    </row>
    <row r="914" spans="1:16" ht="12.75" customHeight="1">
      <c r="A914" s="39"/>
      <c r="B914" s="39"/>
      <c r="C914" s="39"/>
      <c r="D914" s="39"/>
      <c r="E914" s="39"/>
      <c r="F914" s="39"/>
      <c r="G914" s="39"/>
      <c r="H914" s="39"/>
      <c r="I914" s="39"/>
      <c r="J914" s="39"/>
      <c r="K914" s="39"/>
      <c r="L914" s="39"/>
      <c r="M914" s="39"/>
      <c r="N914" s="39"/>
      <c r="O914" s="39"/>
      <c r="P914" s="39"/>
    </row>
    <row r="915" spans="1:16" ht="12.75" customHeight="1">
      <c r="A915" s="39"/>
      <c r="B915" s="39"/>
      <c r="C915" s="39"/>
      <c r="D915" s="39"/>
      <c r="E915" s="39"/>
      <c r="F915" s="39"/>
      <c r="G915" s="39"/>
      <c r="H915" s="39"/>
      <c r="I915" s="39"/>
      <c r="J915" s="39"/>
      <c r="K915" s="39"/>
      <c r="L915" s="39"/>
      <c r="M915" s="39"/>
      <c r="N915" s="39"/>
      <c r="O915" s="39"/>
      <c r="P915" s="39"/>
    </row>
    <row r="916" spans="1:16" ht="12.75" customHeight="1">
      <c r="A916" s="39"/>
      <c r="B916" s="39"/>
      <c r="C916" s="39"/>
      <c r="D916" s="39"/>
      <c r="E916" s="39"/>
      <c r="F916" s="39"/>
      <c r="G916" s="39"/>
      <c r="H916" s="39"/>
      <c r="I916" s="39"/>
      <c r="J916" s="39"/>
      <c r="K916" s="39"/>
      <c r="L916" s="39"/>
      <c r="M916" s="39"/>
      <c r="N916" s="39"/>
      <c r="O916" s="39"/>
      <c r="P916" s="39"/>
    </row>
    <row r="917" spans="1:16" ht="12.75" customHeight="1">
      <c r="A917" s="39"/>
      <c r="B917" s="39"/>
      <c r="C917" s="39"/>
      <c r="D917" s="39"/>
      <c r="E917" s="39"/>
      <c r="F917" s="39"/>
      <c r="G917" s="39"/>
      <c r="H917" s="39"/>
      <c r="I917" s="39"/>
      <c r="J917" s="39"/>
      <c r="K917" s="39"/>
      <c r="L917" s="39"/>
      <c r="M917" s="39"/>
      <c r="N917" s="39"/>
      <c r="O917" s="39"/>
      <c r="P917" s="39"/>
    </row>
    <row r="918" spans="1:16" ht="12.75" customHeight="1">
      <c r="A918" s="39"/>
      <c r="B918" s="39"/>
      <c r="C918" s="39"/>
      <c r="D918" s="39"/>
      <c r="E918" s="39"/>
      <c r="F918" s="39"/>
      <c r="G918" s="39"/>
      <c r="H918" s="39"/>
      <c r="I918" s="39"/>
      <c r="J918" s="39"/>
      <c r="K918" s="39"/>
      <c r="L918" s="39"/>
      <c r="M918" s="39"/>
      <c r="N918" s="39"/>
      <c r="O918" s="39"/>
      <c r="P918" s="39"/>
    </row>
    <row r="919" spans="1:16" ht="12.75" customHeight="1">
      <c r="A919" s="39"/>
      <c r="B919" s="39"/>
      <c r="C919" s="39"/>
      <c r="D919" s="39"/>
      <c r="E919" s="39"/>
      <c r="F919" s="39"/>
      <c r="G919" s="39"/>
      <c r="H919" s="39"/>
      <c r="I919" s="39"/>
      <c r="J919" s="39"/>
      <c r="K919" s="39"/>
      <c r="L919" s="39"/>
      <c r="M919" s="39"/>
      <c r="N919" s="39"/>
      <c r="O919" s="39"/>
      <c r="P919" s="39"/>
    </row>
    <row r="920" spans="1:16" ht="12.75" customHeight="1">
      <c r="A920" s="39"/>
      <c r="B920" s="39"/>
      <c r="C920" s="39"/>
      <c r="D920" s="39"/>
      <c r="E920" s="39"/>
      <c r="F920" s="39"/>
      <c r="G920" s="39"/>
      <c r="H920" s="39"/>
      <c r="I920" s="39"/>
      <c r="J920" s="39"/>
      <c r="K920" s="39"/>
      <c r="L920" s="39"/>
      <c r="M920" s="39"/>
      <c r="N920" s="39"/>
      <c r="O920" s="39"/>
      <c r="P920" s="39"/>
    </row>
    <row r="921" spans="1:16" ht="12.75" customHeight="1">
      <c r="A921" s="39"/>
      <c r="B921" s="39"/>
      <c r="C921" s="39"/>
      <c r="D921" s="39"/>
      <c r="E921" s="39"/>
      <c r="F921" s="39"/>
      <c r="G921" s="39"/>
      <c r="H921" s="39"/>
      <c r="I921" s="39"/>
      <c r="J921" s="39"/>
      <c r="K921" s="39"/>
      <c r="L921" s="39"/>
      <c r="M921" s="39"/>
      <c r="N921" s="39"/>
      <c r="O921" s="39"/>
      <c r="P921" s="39"/>
    </row>
    <row r="922" spans="1:16" ht="12.75" customHeight="1">
      <c r="A922" s="39"/>
      <c r="B922" s="39"/>
      <c r="C922" s="39"/>
      <c r="D922" s="39"/>
      <c r="E922" s="39"/>
      <c r="F922" s="39"/>
      <c r="G922" s="39"/>
      <c r="H922" s="39"/>
      <c r="I922" s="39"/>
      <c r="J922" s="39"/>
      <c r="K922" s="39"/>
      <c r="L922" s="39"/>
      <c r="M922" s="39"/>
      <c r="N922" s="39"/>
      <c r="O922" s="39"/>
      <c r="P922" s="39"/>
    </row>
    <row r="923" spans="1:16" ht="12.75" customHeight="1">
      <c r="A923" s="39"/>
      <c r="B923" s="39"/>
      <c r="C923" s="39"/>
      <c r="D923" s="39"/>
      <c r="E923" s="39"/>
      <c r="F923" s="39"/>
      <c r="G923" s="39"/>
      <c r="H923" s="39"/>
      <c r="I923" s="39"/>
      <c r="J923" s="39"/>
      <c r="K923" s="39"/>
      <c r="L923" s="39"/>
      <c r="M923" s="39"/>
      <c r="N923" s="39"/>
      <c r="O923" s="39"/>
      <c r="P923" s="39"/>
    </row>
    <row r="924" spans="1:16" ht="12.75" customHeight="1">
      <c r="A924" s="39"/>
      <c r="B924" s="39"/>
      <c r="C924" s="39"/>
      <c r="D924" s="39"/>
      <c r="E924" s="39"/>
      <c r="F924" s="39"/>
      <c r="G924" s="39"/>
      <c r="H924" s="39"/>
      <c r="I924" s="39"/>
      <c r="J924" s="39"/>
      <c r="K924" s="39"/>
      <c r="L924" s="39"/>
      <c r="M924" s="39"/>
      <c r="N924" s="39"/>
      <c r="O924" s="39"/>
      <c r="P924" s="39"/>
    </row>
    <row r="925" spans="1:16" ht="12.75" customHeight="1">
      <c r="A925" s="39"/>
      <c r="B925" s="39"/>
      <c r="C925" s="39"/>
      <c r="D925" s="39"/>
      <c r="E925" s="39"/>
      <c r="F925" s="39"/>
      <c r="G925" s="39"/>
      <c r="H925" s="39"/>
      <c r="I925" s="39"/>
      <c r="J925" s="39"/>
      <c r="K925" s="39"/>
      <c r="L925" s="39"/>
      <c r="M925" s="39"/>
      <c r="N925" s="39"/>
      <c r="O925" s="39"/>
      <c r="P925" s="39"/>
    </row>
    <row r="926" spans="1:16" ht="12.75" customHeight="1">
      <c r="A926" s="39"/>
      <c r="B926" s="39"/>
      <c r="C926" s="39"/>
      <c r="D926" s="39"/>
      <c r="E926" s="39"/>
      <c r="F926" s="39"/>
      <c r="G926" s="39"/>
      <c r="H926" s="39"/>
      <c r="I926" s="39"/>
      <c r="J926" s="39"/>
      <c r="K926" s="39"/>
      <c r="L926" s="39"/>
      <c r="M926" s="39"/>
      <c r="N926" s="39"/>
      <c r="O926" s="39"/>
      <c r="P926" s="39"/>
    </row>
    <row r="927" spans="1:16" ht="12.75" customHeight="1">
      <c r="A927" s="39"/>
      <c r="B927" s="39"/>
      <c r="C927" s="39"/>
      <c r="D927" s="39"/>
      <c r="E927" s="39"/>
      <c r="F927" s="39"/>
      <c r="G927" s="39"/>
      <c r="H927" s="39"/>
      <c r="I927" s="39"/>
      <c r="J927" s="39"/>
      <c r="K927" s="39"/>
      <c r="L927" s="39"/>
      <c r="M927" s="39"/>
      <c r="N927" s="39"/>
      <c r="O927" s="39"/>
      <c r="P927" s="39"/>
    </row>
    <row r="928" spans="1:16" ht="12.75" customHeight="1">
      <c r="A928" s="39"/>
      <c r="B928" s="39"/>
      <c r="C928" s="39"/>
      <c r="D928" s="39"/>
      <c r="E928" s="39"/>
      <c r="F928" s="39"/>
      <c r="G928" s="39"/>
      <c r="H928" s="39"/>
      <c r="I928" s="39"/>
      <c r="J928" s="39"/>
      <c r="K928" s="39"/>
      <c r="L928" s="39"/>
      <c r="M928" s="39"/>
      <c r="N928" s="39"/>
      <c r="O928" s="39"/>
      <c r="P928" s="39"/>
    </row>
    <row r="929" spans="1:16" ht="12.75" customHeight="1">
      <c r="A929" s="39"/>
      <c r="B929" s="39"/>
      <c r="C929" s="39"/>
      <c r="D929" s="39"/>
      <c r="E929" s="39"/>
      <c r="F929" s="39"/>
      <c r="G929" s="39"/>
      <c r="H929" s="39"/>
      <c r="I929" s="39"/>
      <c r="J929" s="39"/>
      <c r="K929" s="39"/>
      <c r="L929" s="39"/>
      <c r="M929" s="39"/>
      <c r="N929" s="39"/>
      <c r="O929" s="39"/>
      <c r="P929" s="39"/>
    </row>
    <row r="930" spans="1:16" ht="12.75" customHeight="1">
      <c r="A930" s="39"/>
      <c r="B930" s="39"/>
      <c r="C930" s="39"/>
      <c r="D930" s="39"/>
      <c r="E930" s="39"/>
      <c r="F930" s="39"/>
      <c r="G930" s="39"/>
      <c r="H930" s="39"/>
      <c r="I930" s="39"/>
      <c r="J930" s="39"/>
      <c r="K930" s="39"/>
      <c r="L930" s="39"/>
      <c r="M930" s="39"/>
      <c r="N930" s="39"/>
      <c r="O930" s="39"/>
      <c r="P930" s="39"/>
    </row>
    <row r="931" spans="1:16" ht="12.75" customHeight="1">
      <c r="A931" s="39"/>
      <c r="B931" s="39"/>
      <c r="C931" s="39"/>
      <c r="D931" s="39"/>
      <c r="E931" s="39"/>
      <c r="F931" s="39"/>
      <c r="G931" s="39"/>
      <c r="H931" s="39"/>
      <c r="I931" s="39"/>
      <c r="J931" s="39"/>
      <c r="K931" s="39"/>
      <c r="L931" s="39"/>
      <c r="M931" s="39"/>
      <c r="N931" s="39"/>
      <c r="O931" s="39"/>
      <c r="P931" s="39"/>
    </row>
    <row r="932" spans="1:16" ht="12.75" customHeight="1">
      <c r="A932" s="39"/>
      <c r="B932" s="39"/>
      <c r="C932" s="39"/>
      <c r="D932" s="39"/>
      <c r="E932" s="39"/>
      <c r="F932" s="39"/>
      <c r="G932" s="39"/>
      <c r="H932" s="39"/>
      <c r="I932" s="39"/>
      <c r="J932" s="39"/>
      <c r="K932" s="39"/>
      <c r="L932" s="39"/>
      <c r="M932" s="39"/>
      <c r="N932" s="39"/>
      <c r="O932" s="39"/>
      <c r="P932" s="39"/>
    </row>
    <row r="933" spans="1:16" ht="12.75" customHeight="1">
      <c r="A933" s="39"/>
      <c r="B933" s="39"/>
      <c r="C933" s="39"/>
      <c r="D933" s="39"/>
      <c r="E933" s="39"/>
      <c r="F933" s="39"/>
      <c r="G933" s="39"/>
      <c r="H933" s="39"/>
      <c r="I933" s="39"/>
      <c r="J933" s="39"/>
      <c r="K933" s="39"/>
      <c r="L933" s="39"/>
      <c r="M933" s="39"/>
      <c r="N933" s="39"/>
      <c r="O933" s="39"/>
      <c r="P933" s="39"/>
    </row>
    <row r="934" spans="1:16" ht="12.75" customHeight="1">
      <c r="A934" s="39"/>
      <c r="B934" s="39"/>
      <c r="C934" s="39"/>
      <c r="D934" s="39"/>
      <c r="E934" s="39"/>
      <c r="F934" s="39"/>
      <c r="G934" s="39"/>
      <c r="H934" s="39"/>
      <c r="I934" s="39"/>
      <c r="J934" s="39"/>
      <c r="K934" s="39"/>
      <c r="L934" s="39"/>
      <c r="M934" s="39"/>
      <c r="N934" s="39"/>
      <c r="O934" s="39"/>
      <c r="P934" s="39"/>
    </row>
    <row r="935" spans="1:16" ht="12.75" customHeight="1">
      <c r="A935" s="39"/>
      <c r="B935" s="39"/>
      <c r="C935" s="39"/>
      <c r="D935" s="39"/>
      <c r="E935" s="39"/>
      <c r="F935" s="39"/>
      <c r="G935" s="39"/>
      <c r="H935" s="39"/>
      <c r="I935" s="39"/>
      <c r="J935" s="39"/>
      <c r="K935" s="39"/>
      <c r="L935" s="39"/>
      <c r="M935" s="39"/>
      <c r="N935" s="39"/>
      <c r="O935" s="39"/>
      <c r="P935" s="39"/>
    </row>
    <row r="936" spans="1:16" ht="12.75" customHeight="1">
      <c r="A936" s="39"/>
      <c r="B936" s="39"/>
      <c r="C936" s="39"/>
      <c r="D936" s="39"/>
      <c r="E936" s="39"/>
      <c r="F936" s="39"/>
      <c r="G936" s="39"/>
      <c r="H936" s="39"/>
      <c r="I936" s="39"/>
      <c r="J936" s="39"/>
      <c r="K936" s="39"/>
      <c r="L936" s="39"/>
      <c r="M936" s="39"/>
      <c r="N936" s="39"/>
      <c r="O936" s="39"/>
      <c r="P936" s="39"/>
    </row>
    <row r="937" spans="1:16" ht="12.75" customHeight="1">
      <c r="A937" s="39"/>
      <c r="B937" s="39"/>
      <c r="C937" s="39"/>
      <c r="D937" s="39"/>
      <c r="E937" s="39"/>
      <c r="F937" s="39"/>
      <c r="G937" s="39"/>
      <c r="H937" s="39"/>
      <c r="I937" s="39"/>
      <c r="J937" s="39"/>
      <c r="K937" s="39"/>
      <c r="L937" s="39"/>
      <c r="M937" s="39"/>
      <c r="N937" s="39"/>
      <c r="O937" s="39"/>
      <c r="P937" s="39"/>
    </row>
    <row r="938" spans="1:16" ht="12.75" customHeight="1">
      <c r="A938" s="39"/>
      <c r="B938" s="39"/>
      <c r="C938" s="39"/>
      <c r="D938" s="39"/>
      <c r="E938" s="39"/>
      <c r="F938" s="39"/>
      <c r="G938" s="39"/>
      <c r="H938" s="39"/>
      <c r="I938" s="39"/>
      <c r="J938" s="39"/>
      <c r="K938" s="39"/>
      <c r="L938" s="39"/>
      <c r="M938" s="39"/>
      <c r="N938" s="39"/>
      <c r="O938" s="39"/>
      <c r="P938" s="39"/>
    </row>
    <row r="939" spans="1:16" ht="12.75" customHeight="1">
      <c r="A939" s="39"/>
      <c r="B939" s="39"/>
      <c r="C939" s="39"/>
      <c r="D939" s="39"/>
      <c r="E939" s="39"/>
      <c r="F939" s="39"/>
      <c r="G939" s="39"/>
      <c r="H939" s="39"/>
      <c r="I939" s="39"/>
      <c r="J939" s="39"/>
      <c r="K939" s="39"/>
      <c r="L939" s="39"/>
      <c r="M939" s="39"/>
      <c r="N939" s="39"/>
      <c r="O939" s="39"/>
      <c r="P939" s="39"/>
    </row>
    <row r="940" spans="1:16" ht="12.75" customHeight="1">
      <c r="A940" s="39"/>
      <c r="B940" s="39"/>
      <c r="C940" s="39"/>
      <c r="D940" s="39"/>
      <c r="E940" s="39"/>
      <c r="F940" s="39"/>
      <c r="G940" s="39"/>
      <c r="H940" s="39"/>
      <c r="I940" s="39"/>
      <c r="J940" s="39"/>
      <c r="K940" s="39"/>
      <c r="L940" s="39"/>
      <c r="M940" s="39"/>
      <c r="N940" s="39"/>
      <c r="O940" s="39"/>
      <c r="P940" s="39"/>
    </row>
    <row r="941" spans="1:16" ht="12.75" customHeight="1">
      <c r="A941" s="39"/>
      <c r="B941" s="39"/>
      <c r="C941" s="39"/>
      <c r="D941" s="39"/>
      <c r="E941" s="39"/>
      <c r="F941" s="39"/>
      <c r="G941" s="39"/>
      <c r="H941" s="39"/>
      <c r="I941" s="39"/>
      <c r="J941" s="39"/>
      <c r="K941" s="39"/>
      <c r="L941" s="39"/>
      <c r="M941" s="39"/>
      <c r="N941" s="39"/>
      <c r="O941" s="39"/>
      <c r="P941" s="39"/>
    </row>
    <row r="942" spans="1:16" ht="12.75" customHeight="1">
      <c r="A942" s="39"/>
      <c r="B942" s="39"/>
      <c r="C942" s="39"/>
      <c r="D942" s="39"/>
      <c r="E942" s="39"/>
      <c r="F942" s="39"/>
      <c r="G942" s="39"/>
      <c r="H942" s="39"/>
      <c r="I942" s="39"/>
      <c r="J942" s="39"/>
      <c r="K942" s="39"/>
      <c r="L942" s="39"/>
      <c r="M942" s="39"/>
      <c r="N942" s="39"/>
      <c r="O942" s="39"/>
      <c r="P942" s="39"/>
    </row>
    <row r="943" spans="1:16" ht="12.75" customHeight="1">
      <c r="A943" s="39"/>
      <c r="B943" s="39"/>
      <c r="C943" s="39"/>
      <c r="D943" s="39"/>
      <c r="E943" s="39"/>
      <c r="F943" s="39"/>
      <c r="G943" s="39"/>
      <c r="H943" s="39"/>
      <c r="I943" s="39"/>
      <c r="J943" s="39"/>
      <c r="K943" s="39"/>
      <c r="L943" s="39"/>
      <c r="M943" s="39"/>
      <c r="N943" s="39"/>
      <c r="O943" s="39"/>
      <c r="P943" s="39"/>
    </row>
    <row r="944" spans="1:16" ht="12.75" customHeight="1">
      <c r="A944" s="39"/>
      <c r="B944" s="39"/>
      <c r="C944" s="39"/>
      <c r="D944" s="39"/>
      <c r="E944" s="39"/>
      <c r="F944" s="39"/>
      <c r="G944" s="39"/>
      <c r="H944" s="39"/>
      <c r="I944" s="39"/>
      <c r="J944" s="39"/>
      <c r="K944" s="39"/>
      <c r="L944" s="39"/>
      <c r="M944" s="39"/>
      <c r="N944" s="39"/>
      <c r="O944" s="39"/>
      <c r="P944" s="39"/>
    </row>
    <row r="945" spans="1:16" ht="12.75" customHeight="1">
      <c r="A945" s="39"/>
      <c r="B945" s="39"/>
      <c r="C945" s="39"/>
      <c r="D945" s="39"/>
      <c r="E945" s="39"/>
      <c r="F945" s="39"/>
      <c r="G945" s="39"/>
      <c r="H945" s="39"/>
      <c r="I945" s="39"/>
      <c r="J945" s="39"/>
      <c r="K945" s="39"/>
      <c r="L945" s="39"/>
      <c r="M945" s="39"/>
      <c r="N945" s="39"/>
      <c r="O945" s="39"/>
      <c r="P945" s="39"/>
    </row>
    <row r="946" spans="1:16" ht="12.75" customHeight="1">
      <c r="A946" s="39"/>
      <c r="B946" s="39"/>
      <c r="C946" s="39"/>
      <c r="D946" s="39"/>
      <c r="E946" s="39"/>
      <c r="F946" s="39"/>
      <c r="G946" s="39"/>
      <c r="H946" s="39"/>
      <c r="I946" s="39"/>
      <c r="J946" s="39"/>
      <c r="K946" s="39"/>
      <c r="L946" s="39"/>
      <c r="M946" s="39"/>
      <c r="N946" s="39"/>
      <c r="O946" s="39"/>
      <c r="P946" s="39"/>
    </row>
    <row r="947" spans="1:16" ht="12.75" customHeight="1">
      <c r="A947" s="39"/>
      <c r="B947" s="39"/>
      <c r="C947" s="39"/>
      <c r="D947" s="39"/>
      <c r="E947" s="39"/>
      <c r="F947" s="39"/>
      <c r="G947" s="39"/>
      <c r="H947" s="39"/>
      <c r="I947" s="39"/>
      <c r="J947" s="39"/>
      <c r="K947" s="39"/>
      <c r="L947" s="39"/>
      <c r="M947" s="39"/>
      <c r="N947" s="39"/>
      <c r="O947" s="39"/>
      <c r="P947" s="39"/>
    </row>
    <row r="948" spans="1:16" ht="12.75" customHeight="1">
      <c r="A948" s="39"/>
      <c r="B948" s="39"/>
      <c r="C948" s="39"/>
      <c r="D948" s="39"/>
      <c r="E948" s="39"/>
      <c r="F948" s="39"/>
      <c r="G948" s="39"/>
      <c r="H948" s="39"/>
      <c r="I948" s="39"/>
      <c r="J948" s="39"/>
      <c r="K948" s="39"/>
      <c r="L948" s="39"/>
      <c r="M948" s="39"/>
      <c r="N948" s="39"/>
      <c r="O948" s="39"/>
      <c r="P948" s="39"/>
    </row>
    <row r="949" spans="1:16" ht="12.75" customHeight="1">
      <c r="A949" s="39"/>
      <c r="B949" s="39"/>
      <c r="C949" s="39"/>
      <c r="D949" s="39"/>
      <c r="E949" s="39"/>
      <c r="F949" s="39"/>
      <c r="G949" s="39"/>
      <c r="H949" s="39"/>
      <c r="I949" s="39"/>
      <c r="J949" s="39"/>
      <c r="K949" s="39"/>
      <c r="L949" s="39"/>
      <c r="M949" s="39"/>
      <c r="N949" s="39"/>
      <c r="O949" s="39"/>
      <c r="P949" s="39"/>
    </row>
    <row r="950" spans="1:16" ht="12.75" customHeight="1">
      <c r="A950" s="39"/>
      <c r="B950" s="39"/>
      <c r="C950" s="39"/>
      <c r="D950" s="39"/>
      <c r="E950" s="39"/>
      <c r="F950" s="39"/>
      <c r="G950" s="39"/>
      <c r="H950" s="39"/>
      <c r="I950" s="39"/>
      <c r="J950" s="39"/>
      <c r="K950" s="39"/>
      <c r="L950" s="39"/>
      <c r="M950" s="39"/>
      <c r="N950" s="39"/>
      <c r="O950" s="39"/>
      <c r="P950" s="39"/>
    </row>
    <row r="951" spans="1:16" ht="12.75" customHeight="1">
      <c r="A951" s="39"/>
      <c r="B951" s="39"/>
      <c r="C951" s="39"/>
      <c r="D951" s="39"/>
      <c r="E951" s="39"/>
      <c r="F951" s="39"/>
      <c r="G951" s="39"/>
      <c r="H951" s="39"/>
      <c r="I951" s="39"/>
      <c r="J951" s="39"/>
      <c r="K951" s="39"/>
      <c r="L951" s="39"/>
      <c r="M951" s="39"/>
      <c r="N951" s="39"/>
      <c r="O951" s="39"/>
      <c r="P951" s="39"/>
    </row>
    <row r="952" spans="1:16" ht="12.75" customHeight="1">
      <c r="A952" s="39"/>
      <c r="B952" s="39"/>
      <c r="C952" s="39"/>
      <c r="D952" s="39"/>
      <c r="E952" s="39"/>
      <c r="F952" s="39"/>
      <c r="G952" s="39"/>
      <c r="H952" s="39"/>
      <c r="I952" s="39"/>
      <c r="J952" s="39"/>
      <c r="K952" s="39"/>
      <c r="L952" s="39"/>
      <c r="M952" s="39"/>
      <c r="N952" s="39"/>
      <c r="O952" s="39"/>
      <c r="P952" s="39"/>
    </row>
    <row r="953" spans="1:16" ht="12.75" customHeight="1">
      <c r="A953" s="39"/>
      <c r="B953" s="39"/>
      <c r="C953" s="39"/>
      <c r="D953" s="39"/>
      <c r="E953" s="39"/>
      <c r="F953" s="39"/>
      <c r="G953" s="39"/>
      <c r="H953" s="39"/>
      <c r="I953" s="39"/>
      <c r="J953" s="39"/>
      <c r="K953" s="39"/>
      <c r="L953" s="39"/>
      <c r="M953" s="39"/>
      <c r="N953" s="39"/>
      <c r="O953" s="39"/>
      <c r="P953" s="39"/>
    </row>
    <row r="954" spans="1:16" ht="12.75" customHeight="1">
      <c r="A954" s="39"/>
      <c r="B954" s="39"/>
      <c r="C954" s="39"/>
      <c r="D954" s="39"/>
      <c r="E954" s="39"/>
      <c r="F954" s="39"/>
      <c r="G954" s="39"/>
      <c r="H954" s="39"/>
      <c r="I954" s="39"/>
      <c r="J954" s="39"/>
      <c r="K954" s="39"/>
      <c r="L954" s="39"/>
      <c r="M954" s="39"/>
      <c r="N954" s="39"/>
      <c r="O954" s="39"/>
      <c r="P954" s="39"/>
    </row>
    <row r="955" spans="1:16" ht="12.75" customHeight="1">
      <c r="A955" s="39"/>
      <c r="B955" s="39"/>
      <c r="C955" s="39"/>
      <c r="D955" s="39"/>
      <c r="E955" s="39"/>
      <c r="F955" s="39"/>
      <c r="G955" s="39"/>
      <c r="H955" s="39"/>
      <c r="I955" s="39"/>
      <c r="J955" s="39"/>
      <c r="K955" s="39"/>
      <c r="L955" s="39"/>
      <c r="M955" s="39"/>
      <c r="N955" s="39"/>
      <c r="O955" s="39"/>
      <c r="P955" s="39"/>
    </row>
    <row r="956" spans="1:16" ht="12.75" customHeight="1">
      <c r="A956" s="39"/>
      <c r="B956" s="39"/>
      <c r="C956" s="39"/>
      <c r="D956" s="39"/>
      <c r="E956" s="39"/>
      <c r="F956" s="39"/>
      <c r="G956" s="39"/>
      <c r="H956" s="39"/>
      <c r="I956" s="39"/>
      <c r="J956" s="39"/>
      <c r="K956" s="39"/>
      <c r="L956" s="39"/>
      <c r="M956" s="39"/>
      <c r="N956" s="39"/>
      <c r="O956" s="39"/>
      <c r="P956" s="39"/>
    </row>
    <row r="957" spans="1:16" ht="12.75" customHeight="1">
      <c r="A957" s="39"/>
      <c r="B957" s="39"/>
      <c r="C957" s="39"/>
      <c r="D957" s="39"/>
      <c r="E957" s="39"/>
      <c r="F957" s="39"/>
      <c r="G957" s="39"/>
      <c r="H957" s="39"/>
      <c r="I957" s="39"/>
      <c r="J957" s="39"/>
      <c r="K957" s="39"/>
      <c r="L957" s="39"/>
      <c r="M957" s="39"/>
      <c r="N957" s="39"/>
      <c r="O957" s="39"/>
      <c r="P957" s="39"/>
    </row>
    <row r="958" spans="1:16" ht="12.75" customHeight="1">
      <c r="A958" s="39"/>
      <c r="B958" s="39"/>
      <c r="C958" s="39"/>
      <c r="D958" s="39"/>
      <c r="E958" s="39"/>
      <c r="F958" s="39"/>
      <c r="G958" s="39"/>
      <c r="H958" s="39"/>
      <c r="I958" s="39"/>
      <c r="J958" s="39"/>
      <c r="K958" s="39"/>
      <c r="L958" s="39"/>
      <c r="M958" s="39"/>
      <c r="N958" s="39"/>
      <c r="O958" s="39"/>
      <c r="P958" s="39"/>
    </row>
    <row r="959" spans="1:16" ht="12.75" customHeight="1">
      <c r="A959" s="39"/>
      <c r="B959" s="39"/>
      <c r="C959" s="39"/>
      <c r="D959" s="39"/>
      <c r="E959" s="39"/>
      <c r="F959" s="39"/>
      <c r="G959" s="39"/>
      <c r="H959" s="39"/>
      <c r="I959" s="39"/>
      <c r="J959" s="39"/>
      <c r="K959" s="39"/>
      <c r="L959" s="39"/>
      <c r="M959" s="39"/>
      <c r="N959" s="39"/>
      <c r="O959" s="39"/>
      <c r="P959" s="39"/>
    </row>
    <row r="960" spans="1:16" ht="12.75" customHeight="1">
      <c r="A960" s="39"/>
      <c r="B960" s="39"/>
      <c r="C960" s="39"/>
      <c r="D960" s="39"/>
      <c r="E960" s="39"/>
      <c r="F960" s="39"/>
      <c r="G960" s="39"/>
      <c r="H960" s="39"/>
      <c r="I960" s="39"/>
      <c r="J960" s="39"/>
      <c r="K960" s="39"/>
      <c r="L960" s="39"/>
      <c r="M960" s="39"/>
      <c r="N960" s="39"/>
      <c r="O960" s="39"/>
      <c r="P960" s="39"/>
    </row>
    <row r="961" spans="1:16" ht="12.75" customHeight="1">
      <c r="A961" s="39"/>
      <c r="B961" s="39"/>
      <c r="C961" s="39"/>
      <c r="D961" s="39"/>
      <c r="E961" s="39"/>
      <c r="F961" s="39"/>
      <c r="G961" s="39"/>
      <c r="H961" s="39"/>
      <c r="I961" s="39"/>
      <c r="J961" s="39"/>
      <c r="K961" s="39"/>
      <c r="L961" s="39"/>
      <c r="M961" s="39"/>
      <c r="N961" s="39"/>
      <c r="O961" s="39"/>
      <c r="P961" s="39"/>
    </row>
    <row r="962" spans="1:16" ht="12.75" customHeight="1">
      <c r="A962" s="39"/>
      <c r="B962" s="39"/>
      <c r="C962" s="39"/>
      <c r="D962" s="39"/>
      <c r="E962" s="39"/>
      <c r="F962" s="39"/>
      <c r="G962" s="39"/>
      <c r="H962" s="39"/>
      <c r="I962" s="39"/>
      <c r="J962" s="39"/>
      <c r="K962" s="39"/>
      <c r="L962" s="39"/>
      <c r="M962" s="39"/>
      <c r="N962" s="39"/>
      <c r="O962" s="39"/>
      <c r="P962" s="39"/>
    </row>
    <row r="963" spans="1:16" ht="12.75" customHeight="1">
      <c r="A963" s="39"/>
      <c r="B963" s="39"/>
      <c r="C963" s="39"/>
      <c r="D963" s="39"/>
      <c r="E963" s="39"/>
      <c r="F963" s="39"/>
      <c r="G963" s="39"/>
      <c r="H963" s="39"/>
      <c r="I963" s="39"/>
      <c r="J963" s="39"/>
      <c r="K963" s="39"/>
      <c r="L963" s="39"/>
      <c r="M963" s="39"/>
      <c r="N963" s="39"/>
      <c r="O963" s="39"/>
      <c r="P963" s="39"/>
    </row>
    <row r="964" spans="1:16" ht="12.75" customHeight="1">
      <c r="A964" s="39"/>
      <c r="B964" s="39"/>
      <c r="C964" s="39"/>
      <c r="D964" s="39"/>
      <c r="E964" s="39"/>
      <c r="F964" s="39"/>
      <c r="G964" s="39"/>
      <c r="H964" s="39"/>
      <c r="I964" s="39"/>
      <c r="J964" s="39"/>
      <c r="K964" s="39"/>
      <c r="L964" s="39"/>
      <c r="M964" s="39"/>
      <c r="N964" s="39"/>
      <c r="O964" s="39"/>
      <c r="P964" s="39"/>
    </row>
    <row r="965" spans="1:16" ht="12.75" customHeight="1">
      <c r="A965" s="39"/>
      <c r="B965" s="39"/>
      <c r="C965" s="39"/>
      <c r="D965" s="39"/>
      <c r="E965" s="39"/>
      <c r="F965" s="39"/>
      <c r="G965" s="39"/>
      <c r="H965" s="39"/>
      <c r="I965" s="39"/>
      <c r="J965" s="39"/>
      <c r="K965" s="39"/>
      <c r="L965" s="39"/>
      <c r="M965" s="39"/>
      <c r="N965" s="39"/>
      <c r="O965" s="39"/>
      <c r="P965" s="39"/>
    </row>
    <row r="966" spans="1:16" ht="12.75" customHeight="1">
      <c r="A966" s="39"/>
      <c r="B966" s="39"/>
      <c r="C966" s="39"/>
      <c r="D966" s="39"/>
      <c r="E966" s="39"/>
      <c r="F966" s="39"/>
      <c r="G966" s="39"/>
      <c r="H966" s="39"/>
      <c r="I966" s="39"/>
      <c r="J966" s="39"/>
      <c r="K966" s="39"/>
      <c r="L966" s="39"/>
      <c r="M966" s="39"/>
      <c r="N966" s="39"/>
      <c r="O966" s="39"/>
      <c r="P966" s="39"/>
    </row>
    <row r="967" spans="1:16" ht="12.75" customHeight="1">
      <c r="A967" s="39"/>
      <c r="B967" s="39"/>
      <c r="C967" s="39"/>
      <c r="D967" s="39"/>
      <c r="E967" s="39"/>
      <c r="F967" s="39"/>
      <c r="G967" s="39"/>
      <c r="H967" s="39"/>
      <c r="I967" s="39"/>
      <c r="J967" s="39"/>
      <c r="K967" s="39"/>
      <c r="L967" s="39"/>
      <c r="M967" s="39"/>
      <c r="N967" s="39"/>
      <c r="O967" s="39"/>
      <c r="P967" s="39"/>
    </row>
    <row r="968" spans="1:16" ht="12.75" customHeight="1">
      <c r="A968" s="39"/>
      <c r="B968" s="39"/>
      <c r="C968" s="39"/>
      <c r="D968" s="39"/>
      <c r="E968" s="39"/>
      <c r="F968" s="39"/>
      <c r="G968" s="39"/>
      <c r="H968" s="39"/>
      <c r="I968" s="39"/>
      <c r="J968" s="39"/>
      <c r="K968" s="39"/>
      <c r="L968" s="39"/>
      <c r="M968" s="39"/>
      <c r="N968" s="39"/>
      <c r="O968" s="39"/>
      <c r="P968" s="39"/>
    </row>
    <row r="969" spans="1:16" ht="12.75" customHeight="1">
      <c r="A969" s="39"/>
      <c r="B969" s="39"/>
      <c r="C969" s="39"/>
      <c r="D969" s="39"/>
      <c r="E969" s="39"/>
      <c r="F969" s="39"/>
      <c r="G969" s="39"/>
      <c r="H969" s="39"/>
      <c r="I969" s="39"/>
      <c r="J969" s="39"/>
      <c r="K969" s="39"/>
      <c r="L969" s="39"/>
      <c r="M969" s="39"/>
      <c r="N969" s="39"/>
      <c r="O969" s="39"/>
      <c r="P969" s="39"/>
    </row>
    <row r="970" spans="1:16" ht="12.75" customHeight="1">
      <c r="A970" s="39"/>
      <c r="B970" s="39"/>
      <c r="C970" s="39"/>
      <c r="D970" s="39"/>
      <c r="E970" s="39"/>
      <c r="F970" s="39"/>
      <c r="G970" s="39"/>
      <c r="H970" s="39"/>
      <c r="I970" s="39"/>
      <c r="J970" s="39"/>
      <c r="K970" s="39"/>
      <c r="L970" s="39"/>
      <c r="M970" s="39"/>
      <c r="N970" s="39"/>
      <c r="O970" s="39"/>
      <c r="P970" s="39"/>
    </row>
    <row r="971" spans="1:16" ht="12.75" customHeight="1">
      <c r="A971" s="39"/>
      <c r="B971" s="39"/>
      <c r="C971" s="39"/>
      <c r="D971" s="39"/>
      <c r="E971" s="39"/>
      <c r="F971" s="39"/>
      <c r="G971" s="39"/>
      <c r="H971" s="39"/>
      <c r="I971" s="39"/>
      <c r="J971" s="39"/>
      <c r="K971" s="39"/>
      <c r="L971" s="39"/>
      <c r="M971" s="39"/>
      <c r="N971" s="39"/>
      <c r="O971" s="39"/>
      <c r="P971" s="39"/>
    </row>
    <row r="972" spans="1:16" ht="12.75" customHeight="1">
      <c r="A972" s="39"/>
      <c r="B972" s="39"/>
      <c r="C972" s="39"/>
      <c r="D972" s="39"/>
      <c r="E972" s="39"/>
      <c r="F972" s="39"/>
      <c r="G972" s="39"/>
      <c r="H972" s="39"/>
      <c r="I972" s="39"/>
      <c r="J972" s="39"/>
      <c r="K972" s="39"/>
      <c r="L972" s="39"/>
      <c r="M972" s="39"/>
      <c r="N972" s="39"/>
      <c r="O972" s="39"/>
      <c r="P972" s="39"/>
    </row>
    <row r="973" spans="1:16" ht="12.75" customHeight="1">
      <c r="A973" s="39"/>
      <c r="B973" s="39"/>
      <c r="C973" s="39"/>
      <c r="D973" s="39"/>
      <c r="E973" s="39"/>
      <c r="F973" s="39"/>
      <c r="G973" s="39"/>
      <c r="H973" s="39"/>
      <c r="I973" s="39"/>
      <c r="J973" s="39"/>
      <c r="K973" s="39"/>
      <c r="L973" s="39"/>
      <c r="M973" s="39"/>
      <c r="N973" s="39"/>
      <c r="O973" s="39"/>
      <c r="P973" s="39"/>
    </row>
    <row r="974" spans="1:16" ht="12.75" customHeight="1">
      <c r="A974" s="39"/>
      <c r="B974" s="39"/>
      <c r="C974" s="39"/>
      <c r="D974" s="39"/>
      <c r="E974" s="39"/>
      <c r="F974" s="39"/>
      <c r="G974" s="39"/>
      <c r="H974" s="39"/>
      <c r="I974" s="39"/>
      <c r="J974" s="39"/>
      <c r="K974" s="39"/>
      <c r="L974" s="39"/>
      <c r="M974" s="39"/>
      <c r="N974" s="39"/>
      <c r="O974" s="39"/>
      <c r="P974" s="39"/>
    </row>
    <row r="975" spans="1:16" ht="12.75" customHeight="1">
      <c r="A975" s="39"/>
      <c r="B975" s="39"/>
      <c r="C975" s="39"/>
      <c r="D975" s="39"/>
      <c r="E975" s="39"/>
      <c r="F975" s="39"/>
      <c r="G975" s="39"/>
      <c r="H975" s="39"/>
      <c r="I975" s="39"/>
      <c r="J975" s="39"/>
      <c r="K975" s="39"/>
      <c r="L975" s="39"/>
      <c r="M975" s="39"/>
      <c r="N975" s="39"/>
      <c r="O975" s="39"/>
      <c r="P975" s="39"/>
    </row>
    <row r="976" spans="1:16" ht="12.75" customHeight="1">
      <c r="A976" s="39"/>
      <c r="B976" s="39"/>
      <c r="C976" s="39"/>
      <c r="D976" s="39"/>
      <c r="E976" s="39"/>
      <c r="F976" s="39"/>
      <c r="G976" s="39"/>
      <c r="H976" s="39"/>
      <c r="I976" s="39"/>
      <c r="J976" s="39"/>
      <c r="K976" s="39"/>
      <c r="L976" s="39"/>
      <c r="M976" s="39"/>
      <c r="N976" s="39"/>
      <c r="O976" s="39"/>
      <c r="P976" s="39"/>
    </row>
    <row r="977" spans="1:16" ht="12.75" customHeight="1">
      <c r="A977" s="39"/>
      <c r="B977" s="39"/>
      <c r="C977" s="39"/>
      <c r="D977" s="39"/>
      <c r="E977" s="39"/>
      <c r="F977" s="39"/>
      <c r="G977" s="39"/>
      <c r="H977" s="39"/>
      <c r="I977" s="39"/>
      <c r="J977" s="39"/>
      <c r="K977" s="39"/>
      <c r="L977" s="39"/>
      <c r="M977" s="39"/>
      <c r="N977" s="39"/>
      <c r="O977" s="39"/>
      <c r="P977" s="39"/>
    </row>
    <row r="978" spans="1:16" ht="12.75" customHeight="1">
      <c r="A978" s="39"/>
      <c r="B978" s="39"/>
      <c r="C978" s="39"/>
      <c r="D978" s="39"/>
      <c r="E978" s="39"/>
      <c r="F978" s="39"/>
      <c r="G978" s="39"/>
      <c r="H978" s="39"/>
      <c r="I978" s="39"/>
      <c r="J978" s="39"/>
      <c r="K978" s="39"/>
      <c r="L978" s="39"/>
      <c r="M978" s="39"/>
      <c r="N978" s="39"/>
      <c r="O978" s="39"/>
      <c r="P978" s="39"/>
    </row>
    <row r="979" spans="1:16" ht="12.75" customHeight="1">
      <c r="A979" s="39"/>
      <c r="B979" s="39"/>
      <c r="C979" s="39"/>
      <c r="D979" s="39"/>
      <c r="E979" s="39"/>
      <c r="F979" s="39"/>
      <c r="G979" s="39"/>
      <c r="H979" s="39"/>
      <c r="I979" s="39"/>
      <c r="J979" s="39"/>
      <c r="K979" s="39"/>
      <c r="L979" s="39"/>
      <c r="M979" s="39"/>
      <c r="N979" s="39"/>
      <c r="O979" s="39"/>
      <c r="P979" s="39"/>
    </row>
    <row r="980" spans="1:16" ht="12.75" customHeight="1">
      <c r="A980" s="39"/>
      <c r="B980" s="39"/>
      <c r="C980" s="39"/>
      <c r="D980" s="39"/>
      <c r="E980" s="39"/>
      <c r="F980" s="39"/>
      <c r="G980" s="39"/>
      <c r="H980" s="39"/>
      <c r="I980" s="39"/>
      <c r="J980" s="39"/>
      <c r="K980" s="39"/>
      <c r="L980" s="39"/>
      <c r="M980" s="39"/>
      <c r="N980" s="39"/>
      <c r="O980" s="39"/>
      <c r="P980" s="39"/>
    </row>
    <row r="981" spans="1:16" ht="12.75" customHeight="1">
      <c r="A981" s="39"/>
      <c r="B981" s="39"/>
      <c r="C981" s="39"/>
      <c r="D981" s="39"/>
      <c r="E981" s="39"/>
      <c r="F981" s="39"/>
      <c r="G981" s="39"/>
      <c r="H981" s="39"/>
      <c r="I981" s="39"/>
      <c r="J981" s="39"/>
      <c r="K981" s="39"/>
      <c r="L981" s="39"/>
      <c r="M981" s="39"/>
      <c r="N981" s="39"/>
      <c r="O981" s="39"/>
      <c r="P981" s="39"/>
    </row>
    <row r="982" spans="1:16" ht="12.75" customHeight="1">
      <c r="A982" s="39"/>
      <c r="B982" s="39"/>
      <c r="C982" s="39"/>
      <c r="D982" s="39"/>
      <c r="E982" s="39"/>
      <c r="F982" s="39"/>
      <c r="G982" s="39"/>
      <c r="H982" s="39"/>
      <c r="I982" s="39"/>
      <c r="J982" s="39"/>
      <c r="K982" s="39"/>
      <c r="L982" s="39"/>
      <c r="M982" s="39"/>
      <c r="N982" s="39"/>
      <c r="O982" s="39"/>
      <c r="P982" s="39"/>
    </row>
    <row r="983" spans="1:16" ht="12.75" customHeight="1">
      <c r="A983" s="39"/>
      <c r="B983" s="39"/>
      <c r="C983" s="39"/>
      <c r="D983" s="39"/>
      <c r="E983" s="39"/>
      <c r="F983" s="39"/>
      <c r="G983" s="39"/>
      <c r="H983" s="39"/>
      <c r="I983" s="39"/>
      <c r="J983" s="39"/>
      <c r="K983" s="39"/>
      <c r="L983" s="39"/>
      <c r="M983" s="39"/>
      <c r="N983" s="39"/>
      <c r="O983" s="39"/>
      <c r="P983" s="39"/>
    </row>
    <row r="984" spans="1:16" ht="12.75" customHeight="1">
      <c r="A984" s="39"/>
      <c r="B984" s="39"/>
      <c r="C984" s="39"/>
      <c r="D984" s="39"/>
      <c r="E984" s="39"/>
      <c r="F984" s="39"/>
      <c r="G984" s="39"/>
      <c r="H984" s="39"/>
      <c r="I984" s="39"/>
      <c r="J984" s="39"/>
      <c r="K984" s="39"/>
      <c r="L984" s="39"/>
      <c r="M984" s="39"/>
      <c r="N984" s="39"/>
      <c r="O984" s="39"/>
      <c r="P984" s="39"/>
    </row>
    <row r="985" spans="1:16" ht="12.75" customHeight="1">
      <c r="A985" s="39"/>
      <c r="B985" s="39"/>
      <c r="C985" s="39"/>
      <c r="D985" s="39"/>
      <c r="E985" s="39"/>
      <c r="F985" s="39"/>
      <c r="G985" s="39"/>
      <c r="H985" s="39"/>
      <c r="I985" s="39"/>
      <c r="J985" s="39"/>
      <c r="K985" s="39"/>
      <c r="L985" s="39"/>
      <c r="M985" s="39"/>
      <c r="N985" s="39"/>
      <c r="O985" s="39"/>
      <c r="P985" s="39"/>
    </row>
    <row r="986" spans="1:16" ht="12.75" customHeight="1">
      <c r="A986" s="39"/>
      <c r="B986" s="39"/>
      <c r="C986" s="39"/>
      <c r="D986" s="39"/>
      <c r="E986" s="39"/>
      <c r="F986" s="39"/>
      <c r="G986" s="39"/>
      <c r="H986" s="39"/>
      <c r="I986" s="39"/>
      <c r="J986" s="39"/>
      <c r="K986" s="39"/>
      <c r="L986" s="39"/>
      <c r="M986" s="39"/>
      <c r="N986" s="39"/>
      <c r="O986" s="39"/>
      <c r="P986" s="39"/>
    </row>
    <row r="987" spans="1:16" ht="12.75" customHeight="1">
      <c r="A987" s="39"/>
      <c r="B987" s="39"/>
      <c r="C987" s="39"/>
      <c r="D987" s="39"/>
      <c r="E987" s="39"/>
      <c r="F987" s="39"/>
      <c r="G987" s="39"/>
      <c r="H987" s="39"/>
      <c r="I987" s="39"/>
      <c r="J987" s="39"/>
      <c r="K987" s="39"/>
      <c r="L987" s="39"/>
      <c r="M987" s="39"/>
      <c r="N987" s="39"/>
      <c r="O987" s="39"/>
      <c r="P987" s="39"/>
    </row>
    <row r="988" spans="1:16" ht="12.75" customHeight="1">
      <c r="A988" s="39"/>
      <c r="B988" s="39"/>
      <c r="C988" s="39"/>
      <c r="D988" s="39"/>
      <c r="E988" s="39"/>
      <c r="F988" s="39"/>
      <c r="G988" s="39"/>
      <c r="H988" s="39"/>
      <c r="I988" s="39"/>
      <c r="J988" s="39"/>
      <c r="K988" s="39"/>
      <c r="L988" s="39"/>
      <c r="M988" s="39"/>
      <c r="N988" s="39"/>
      <c r="O988" s="39"/>
      <c r="P988" s="39"/>
    </row>
    <row r="989" spans="1:16" ht="12.75" customHeight="1">
      <c r="A989" s="39"/>
      <c r="B989" s="39"/>
      <c r="C989" s="39"/>
      <c r="D989" s="39"/>
      <c r="E989" s="39"/>
      <c r="F989" s="39"/>
      <c r="G989" s="39"/>
      <c r="H989" s="39"/>
      <c r="I989" s="39"/>
      <c r="J989" s="39"/>
      <c r="K989" s="39"/>
      <c r="L989" s="39"/>
      <c r="M989" s="39"/>
      <c r="N989" s="39"/>
      <c r="O989" s="39"/>
      <c r="P989" s="39"/>
    </row>
    <row r="990" spans="1:16" ht="12.75" customHeight="1">
      <c r="A990" s="39"/>
      <c r="B990" s="39"/>
      <c r="C990" s="39"/>
      <c r="D990" s="39"/>
      <c r="E990" s="39"/>
      <c r="F990" s="39"/>
      <c r="G990" s="39"/>
      <c r="H990" s="39"/>
      <c r="I990" s="39"/>
      <c r="J990" s="39"/>
      <c r="K990" s="39"/>
      <c r="L990" s="39"/>
      <c r="M990" s="39"/>
      <c r="N990" s="39"/>
      <c r="O990" s="39"/>
      <c r="P990" s="39"/>
    </row>
    <row r="991" spans="1:16" ht="12.75" customHeight="1">
      <c r="A991" s="39"/>
      <c r="B991" s="39"/>
      <c r="C991" s="39"/>
      <c r="D991" s="39"/>
      <c r="E991" s="39"/>
      <c r="F991" s="39"/>
      <c r="G991" s="39"/>
      <c r="H991" s="39"/>
      <c r="I991" s="39"/>
      <c r="J991" s="39"/>
      <c r="K991" s="39"/>
      <c r="L991" s="39"/>
      <c r="M991" s="39"/>
      <c r="N991" s="39"/>
      <c r="O991" s="39"/>
      <c r="P991" s="39"/>
    </row>
    <row r="992" spans="1:16" ht="12.75" customHeight="1">
      <c r="A992" s="39"/>
      <c r="B992" s="39"/>
      <c r="C992" s="39"/>
      <c r="D992" s="39"/>
      <c r="E992" s="39"/>
      <c r="F992" s="39"/>
      <c r="G992" s="39"/>
      <c r="H992" s="39"/>
      <c r="I992" s="39"/>
      <c r="J992" s="39"/>
      <c r="K992" s="39"/>
      <c r="L992" s="39"/>
      <c r="M992" s="39"/>
      <c r="N992" s="39"/>
      <c r="O992" s="39"/>
      <c r="P992" s="39"/>
    </row>
    <row r="993" spans="1:16" ht="12.75" customHeight="1">
      <c r="A993" s="39"/>
      <c r="B993" s="39"/>
      <c r="C993" s="39"/>
      <c r="D993" s="39"/>
      <c r="E993" s="39"/>
      <c r="F993" s="39"/>
      <c r="G993" s="39"/>
      <c r="H993" s="39"/>
      <c r="I993" s="39"/>
      <c r="J993" s="39"/>
      <c r="K993" s="39"/>
      <c r="L993" s="39"/>
      <c r="M993" s="39"/>
      <c r="N993" s="39"/>
      <c r="O993" s="39"/>
      <c r="P993" s="39"/>
    </row>
    <row r="994" spans="1:16" ht="12.75" customHeight="1">
      <c r="A994" s="39"/>
      <c r="B994" s="39"/>
      <c r="C994" s="39"/>
      <c r="D994" s="39"/>
      <c r="E994" s="39"/>
      <c r="F994" s="39"/>
      <c r="G994" s="39"/>
      <c r="H994" s="39"/>
      <c r="I994" s="39"/>
      <c r="J994" s="39"/>
      <c r="K994" s="39"/>
      <c r="L994" s="39"/>
      <c r="M994" s="39"/>
      <c r="N994" s="39"/>
      <c r="O994" s="39"/>
      <c r="P994" s="39"/>
    </row>
    <row r="995" spans="1:16" ht="12.75" customHeight="1">
      <c r="A995" s="39"/>
      <c r="B995" s="39"/>
      <c r="C995" s="39"/>
      <c r="D995" s="39"/>
      <c r="E995" s="39"/>
      <c r="F995" s="39"/>
      <c r="G995" s="39"/>
      <c r="H995" s="39"/>
      <c r="I995" s="39"/>
      <c r="J995" s="39"/>
      <c r="K995" s="39"/>
      <c r="L995" s="39"/>
      <c r="M995" s="39"/>
      <c r="N995" s="39"/>
      <c r="O995" s="39"/>
      <c r="P995" s="39"/>
    </row>
    <row r="996" spans="1:16" ht="12.75" customHeight="1">
      <c r="A996" s="39"/>
      <c r="B996" s="39"/>
      <c r="C996" s="39"/>
      <c r="D996" s="39"/>
      <c r="E996" s="39"/>
      <c r="F996" s="39"/>
      <c r="G996" s="39"/>
      <c r="H996" s="39"/>
      <c r="I996" s="39"/>
      <c r="J996" s="39"/>
      <c r="K996" s="39"/>
      <c r="L996" s="39"/>
      <c r="M996" s="39"/>
      <c r="N996" s="39"/>
      <c r="O996" s="39"/>
      <c r="P996" s="39"/>
    </row>
    <row r="997" spans="1:16" ht="12.75" customHeight="1">
      <c r="A997" s="39"/>
      <c r="B997" s="39"/>
      <c r="C997" s="39"/>
      <c r="D997" s="39"/>
      <c r="E997" s="39"/>
      <c r="F997" s="39"/>
      <c r="G997" s="39"/>
      <c r="H997" s="39"/>
      <c r="I997" s="39"/>
      <c r="J997" s="39"/>
      <c r="K997" s="39"/>
      <c r="L997" s="39"/>
      <c r="M997" s="39"/>
      <c r="N997" s="39"/>
      <c r="O997" s="39"/>
      <c r="P997" s="39"/>
    </row>
    <row r="998" spans="1:16" ht="12.75" customHeight="1">
      <c r="A998" s="39"/>
      <c r="B998" s="39"/>
      <c r="C998" s="39"/>
      <c r="D998" s="39"/>
      <c r="E998" s="39"/>
      <c r="F998" s="39"/>
      <c r="G998" s="39"/>
      <c r="H998" s="39"/>
      <c r="I998" s="39"/>
      <c r="J998" s="39"/>
      <c r="K998" s="39"/>
      <c r="L998" s="39"/>
      <c r="M998" s="39"/>
      <c r="N998" s="39"/>
      <c r="O998" s="39"/>
      <c r="P998" s="39"/>
    </row>
    <row r="999" spans="1:16" ht="12.75" customHeight="1">
      <c r="A999" s="39"/>
      <c r="B999" s="39"/>
      <c r="C999" s="39"/>
      <c r="D999" s="39"/>
      <c r="E999" s="39"/>
      <c r="F999" s="39"/>
      <c r="G999" s="39"/>
      <c r="H999" s="39"/>
      <c r="I999" s="39"/>
      <c r="J999" s="39"/>
      <c r="K999" s="39"/>
      <c r="L999" s="39"/>
      <c r="M999" s="39"/>
      <c r="N999" s="39"/>
      <c r="O999" s="39"/>
      <c r="P999" s="39"/>
    </row>
    <row r="1000" spans="1:16" ht="12.75" customHeight="1">
      <c r="A1000" s="39"/>
      <c r="B1000" s="39"/>
      <c r="C1000" s="39"/>
      <c r="D1000" s="39"/>
      <c r="E1000" s="39"/>
      <c r="F1000" s="39"/>
      <c r="G1000" s="39"/>
      <c r="H1000" s="39"/>
      <c r="I1000" s="39"/>
      <c r="J1000" s="39"/>
      <c r="K1000" s="39"/>
      <c r="L1000" s="39"/>
      <c r="M1000" s="39"/>
      <c r="N1000" s="39"/>
      <c r="O1000" s="39"/>
      <c r="P1000" s="39"/>
    </row>
  </sheetData>
  <mergeCells count="7">
    <mergeCell ref="D6:G6"/>
    <mergeCell ref="I6:M6"/>
    <mergeCell ref="B1:P1"/>
    <mergeCell ref="B2:P2"/>
    <mergeCell ref="B3:P3"/>
    <mergeCell ref="D5:M5"/>
    <mergeCell ref="O5:P5"/>
  </mergeCells>
  <conditionalFormatting sqref="O8:O32">
    <cfRule type="cellIs" dxfId="464" priority="3" stopIfTrue="1" operator="greaterThanOrEqual">
      <formula>0</formula>
    </cfRule>
    <cfRule type="cellIs" dxfId="463" priority="4" stopIfTrue="1" operator="lessThan">
      <formula>0</formula>
    </cfRule>
  </conditionalFormatting>
  <conditionalFormatting sqref="P8:Q32 R10:R31 O31:O46 P35:P46 O47:P47 Q56:Q57">
    <cfRule type="cellIs" dxfId="462" priority="1" stopIfTrue="1" operator="greaterThan">
      <formula>$O$55</formula>
    </cfRule>
    <cfRule type="cellIs" dxfId="461" priority="2" stopIfTrue="1" operator="lessThanOrEqual">
      <formula>$O$55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28515625" defaultRowHeight="15" customHeight="1"/>
  <cols>
    <col min="1" max="1" width="3.28515625" customWidth="1"/>
    <col min="2" max="2" width="30.7109375" customWidth="1"/>
    <col min="3" max="3" width="6.7109375" customWidth="1"/>
    <col min="4" max="4" width="7.28515625" customWidth="1"/>
    <col min="5" max="5" width="8.28515625" customWidth="1"/>
    <col min="6" max="6" width="12.28515625" customWidth="1"/>
    <col min="7" max="7" width="7.28515625" customWidth="1"/>
    <col min="8" max="8" width="5.28515625" customWidth="1"/>
    <col min="9" max="9" width="12.28515625" customWidth="1"/>
    <col min="10" max="10" width="8.28515625" customWidth="1"/>
    <col min="11" max="12" width="12.28515625" customWidth="1"/>
    <col min="13" max="13" width="0.7109375" customWidth="1"/>
    <col min="14" max="14" width="8.28515625" customWidth="1"/>
    <col min="15" max="16" width="7.28515625" customWidth="1"/>
    <col min="17" max="26" width="8.7109375" customWidth="1"/>
  </cols>
  <sheetData>
    <row r="1" spans="1:22" ht="12.75" customHeight="1">
      <c r="A1" s="309"/>
      <c r="B1" s="1984" t="s">
        <v>0</v>
      </c>
      <c r="C1" s="1985"/>
      <c r="D1" s="1985"/>
      <c r="E1" s="1985"/>
      <c r="F1" s="1985"/>
      <c r="G1" s="1985"/>
      <c r="H1" s="1985"/>
      <c r="I1" s="1985"/>
      <c r="J1" s="1985"/>
      <c r="K1" s="1985"/>
      <c r="L1" s="1985"/>
      <c r="M1" s="1985"/>
      <c r="N1" s="1985"/>
      <c r="O1" s="1985"/>
      <c r="P1" s="989"/>
      <c r="Q1" s="989"/>
      <c r="R1" s="989"/>
      <c r="S1" s="990"/>
      <c r="T1" s="990"/>
      <c r="U1" s="990"/>
      <c r="V1" s="1021"/>
    </row>
    <row r="2" spans="1:22" ht="12.75" customHeight="1">
      <c r="A2" s="309"/>
      <c r="B2" s="1986" t="s">
        <v>246</v>
      </c>
      <c r="C2" s="1985"/>
      <c r="D2" s="1985"/>
      <c r="E2" s="1985"/>
      <c r="F2" s="1985"/>
      <c r="G2" s="1985"/>
      <c r="H2" s="1985"/>
      <c r="I2" s="1985"/>
      <c r="J2" s="1985"/>
      <c r="K2" s="1985"/>
      <c r="L2" s="1985"/>
      <c r="M2" s="1985"/>
      <c r="N2" s="1985"/>
      <c r="O2" s="1985"/>
      <c r="P2" s="991"/>
      <c r="Q2" s="991"/>
      <c r="R2" s="991"/>
      <c r="S2" s="345"/>
      <c r="T2" s="345"/>
      <c r="U2" s="345"/>
      <c r="V2" s="1022"/>
    </row>
    <row r="3" spans="1:22" ht="12.75" customHeight="1">
      <c r="A3" s="309"/>
      <c r="B3" s="2001"/>
      <c r="C3" s="1985"/>
      <c r="D3" s="1985"/>
      <c r="E3" s="1985"/>
      <c r="F3" s="1985"/>
      <c r="G3" s="1985"/>
      <c r="H3" s="1985"/>
      <c r="I3" s="1985"/>
      <c r="J3" s="1985"/>
      <c r="K3" s="1985"/>
      <c r="L3" s="1985"/>
      <c r="M3" s="1985"/>
      <c r="N3" s="1985"/>
      <c r="O3" s="1985"/>
      <c r="P3" s="991"/>
      <c r="Q3" s="991"/>
      <c r="R3" s="991"/>
      <c r="S3" s="992"/>
      <c r="T3" s="992"/>
      <c r="U3" s="992"/>
      <c r="V3" s="1022"/>
    </row>
    <row r="4" spans="1:22" ht="12.75" customHeight="1">
      <c r="A4" s="309"/>
      <c r="B4" s="894"/>
      <c r="C4" s="894"/>
      <c r="D4" s="894"/>
      <c r="E4" s="894"/>
      <c r="F4" s="894"/>
      <c r="G4" s="894"/>
      <c r="H4" s="894"/>
      <c r="I4" s="894"/>
      <c r="J4" s="894"/>
      <c r="K4" s="894"/>
      <c r="L4" s="894"/>
      <c r="M4" s="894"/>
      <c r="N4" s="894"/>
      <c r="O4" s="894"/>
      <c r="P4" s="994"/>
      <c r="Q4" s="994"/>
      <c r="R4" s="994"/>
      <c r="S4" s="933"/>
      <c r="T4" s="933"/>
      <c r="U4" s="933"/>
      <c r="V4" s="609"/>
    </row>
    <row r="5" spans="1:22" ht="12.75" customHeight="1">
      <c r="A5" s="897"/>
      <c r="B5" s="897"/>
      <c r="C5" s="898"/>
      <c r="D5" s="1988" t="s">
        <v>3</v>
      </c>
      <c r="E5" s="1989"/>
      <c r="F5" s="1989"/>
      <c r="G5" s="1989"/>
      <c r="H5" s="1989"/>
      <c r="I5" s="1989"/>
      <c r="J5" s="1989"/>
      <c r="K5" s="1989"/>
      <c r="L5" s="1990"/>
      <c r="M5" s="899"/>
      <c r="N5" s="1991"/>
      <c r="O5" s="1992"/>
      <c r="P5" s="995"/>
      <c r="Q5" s="995"/>
      <c r="R5" s="995"/>
      <c r="S5" s="309"/>
      <c r="T5" s="309"/>
      <c r="U5" s="309"/>
      <c r="V5" s="328"/>
    </row>
    <row r="6" spans="1:22" ht="12.75" customHeight="1">
      <c r="A6" s="1053"/>
      <c r="B6" s="900"/>
      <c r="C6" s="901"/>
      <c r="D6" s="2008">
        <v>39813</v>
      </c>
      <c r="E6" s="1981"/>
      <c r="F6" s="1981"/>
      <c r="G6" s="1981"/>
      <c r="H6" s="902"/>
      <c r="I6" s="2003">
        <v>40178</v>
      </c>
      <c r="J6" s="1981"/>
      <c r="K6" s="1981"/>
      <c r="L6" s="1983"/>
      <c r="M6" s="900"/>
      <c r="N6" s="544" t="s">
        <v>5</v>
      </c>
      <c r="O6" s="41" t="s">
        <v>6</v>
      </c>
      <c r="P6" s="1116"/>
      <c r="Q6" s="892"/>
      <c r="R6" s="892"/>
      <c r="S6" s="323"/>
      <c r="T6" s="323"/>
      <c r="U6" s="323"/>
      <c r="V6" s="327"/>
    </row>
    <row r="7" spans="1:22" ht="12.75" customHeight="1">
      <c r="A7" s="42"/>
      <c r="B7" s="905" t="s">
        <v>7</v>
      </c>
      <c r="C7" s="906" t="s">
        <v>8</v>
      </c>
      <c r="D7" s="893" t="s">
        <v>9</v>
      </c>
      <c r="E7" s="113" t="s">
        <v>10</v>
      </c>
      <c r="F7" s="113" t="s">
        <v>11</v>
      </c>
      <c r="G7" s="113" t="s">
        <v>12</v>
      </c>
      <c r="H7" s="905"/>
      <c r="I7" s="113" t="s">
        <v>9</v>
      </c>
      <c r="J7" s="113" t="s">
        <v>10</v>
      </c>
      <c r="K7" s="114" t="s">
        <v>11</v>
      </c>
      <c r="L7" s="115" t="s">
        <v>12</v>
      </c>
      <c r="M7" s="905"/>
      <c r="N7" s="113" t="s">
        <v>15</v>
      </c>
      <c r="O7" s="115" t="s">
        <v>15</v>
      </c>
      <c r="P7" s="544"/>
      <c r="Q7" s="900"/>
      <c r="R7" s="892"/>
      <c r="S7" s="323"/>
      <c r="T7" s="323"/>
      <c r="U7" s="323"/>
      <c r="V7" s="327"/>
    </row>
    <row r="8" spans="1:22" ht="12.75" customHeight="1">
      <c r="A8" s="43">
        <v>1</v>
      </c>
      <c r="B8" s="1053" t="s">
        <v>230</v>
      </c>
      <c r="C8" s="2" t="s">
        <v>231</v>
      </c>
      <c r="D8" s="547">
        <v>25</v>
      </c>
      <c r="E8" s="1055">
        <v>57.54</v>
      </c>
      <c r="F8" s="327">
        <f>E8*D8</f>
        <v>1438.5</v>
      </c>
      <c r="G8" s="331">
        <f>F8/$F$61</f>
        <v>3.0483934849781059E-2</v>
      </c>
      <c r="H8" s="900"/>
      <c r="I8" s="547">
        <v>25</v>
      </c>
      <c r="J8" s="1055">
        <v>82.67</v>
      </c>
      <c r="K8" s="1117">
        <f t="shared" ref="K8:K32" si="0">I8*J8</f>
        <v>2066.75</v>
      </c>
      <c r="L8" s="1118">
        <f t="shared" ref="L8:L32" si="1">K8/$K$61</f>
        <v>3.4660712419981005E-2</v>
      </c>
      <c r="M8" s="900"/>
      <c r="N8" s="495">
        <f>(J8-E8)/E8</f>
        <v>0.43673965936739667</v>
      </c>
      <c r="O8" s="44">
        <f>(J8-Transactions!C1395)/Transactions!C1395</f>
        <v>5.5541368743616051E-2</v>
      </c>
      <c r="P8" s="1044"/>
      <c r="Q8" s="900"/>
      <c r="R8" s="892"/>
      <c r="S8" s="323"/>
      <c r="T8" s="323"/>
      <c r="U8" s="323"/>
      <c r="V8" s="327"/>
    </row>
    <row r="9" spans="1:22" ht="12.75" customHeight="1">
      <c r="A9" s="322">
        <v>2</v>
      </c>
      <c r="B9" s="334" t="s">
        <v>16</v>
      </c>
      <c r="C9" s="335" t="s">
        <v>17</v>
      </c>
      <c r="D9" s="547">
        <v>50</v>
      </c>
      <c r="E9" s="1055">
        <v>11.26</v>
      </c>
      <c r="F9" s="327">
        <f>E9*D9</f>
        <v>563</v>
      </c>
      <c r="G9" s="331">
        <f>F9/$F$61</f>
        <v>1.1930799666615735E-2</v>
      </c>
      <c r="H9" s="323"/>
      <c r="I9" s="547">
        <v>50</v>
      </c>
      <c r="J9" s="1055">
        <v>16.12</v>
      </c>
      <c r="K9" s="1117">
        <f t="shared" si="0"/>
        <v>806</v>
      </c>
      <c r="L9" s="1118">
        <f t="shared" si="1"/>
        <v>1.3517132798115249E-2</v>
      </c>
      <c r="M9" s="323"/>
      <c r="N9" s="495">
        <f>(J9-E9)/E9</f>
        <v>0.43161634103019547</v>
      </c>
      <c r="O9" s="1027">
        <f>(J9-Transactions!C1516)/Transactions!C1516</f>
        <v>-0.49340037712130735</v>
      </c>
      <c r="P9" s="1044"/>
      <c r="Q9" s="323"/>
      <c r="R9" s="1028"/>
      <c r="S9" s="323"/>
      <c r="T9" s="323"/>
      <c r="U9" s="323"/>
      <c r="V9" s="327"/>
    </row>
    <row r="10" spans="1:22" ht="12.75" customHeight="1">
      <c r="A10" s="322">
        <v>3</v>
      </c>
      <c r="B10" s="334" t="s">
        <v>247</v>
      </c>
      <c r="C10" s="335" t="s">
        <v>205</v>
      </c>
      <c r="D10" s="546">
        <v>17</v>
      </c>
      <c r="E10" s="1055">
        <v>76.62</v>
      </c>
      <c r="F10" s="327">
        <f>E10*D10</f>
        <v>1302.54</v>
      </c>
      <c r="G10" s="331">
        <f>F10/$F$61</f>
        <v>2.7602742091924797E-2</v>
      </c>
      <c r="H10" s="940"/>
      <c r="I10" s="546">
        <v>17</v>
      </c>
      <c r="J10" s="1055">
        <v>60.58</v>
      </c>
      <c r="K10" s="1117">
        <f t="shared" si="0"/>
        <v>1029.8599999999999</v>
      </c>
      <c r="L10" s="1118">
        <f t="shared" si="1"/>
        <v>1.727140742365629E-2</v>
      </c>
      <c r="M10" s="345"/>
      <c r="N10" s="495">
        <f>(J10-E10)/E10</f>
        <v>-0.20934481858522586</v>
      </c>
      <c r="O10" s="1027">
        <f>(J10-Transactions!C1436)/Transactions!C1436</f>
        <v>-0.17092517524435677</v>
      </c>
      <c r="P10" s="1044"/>
      <c r="Q10" s="1001"/>
      <c r="R10" s="326"/>
      <c r="S10" s="309"/>
      <c r="T10" s="328"/>
      <c r="U10" s="309"/>
      <c r="V10" s="328"/>
    </row>
    <row r="11" spans="1:22" ht="12.75" customHeight="1">
      <c r="A11" s="322">
        <v>4</v>
      </c>
      <c r="B11" s="334" t="s">
        <v>206</v>
      </c>
      <c r="C11" s="335" t="s">
        <v>207</v>
      </c>
      <c r="D11" s="546">
        <v>25</v>
      </c>
      <c r="E11" s="1055">
        <v>85.35</v>
      </c>
      <c r="F11" s="327">
        <f>E11*D11</f>
        <v>2133.75</v>
      </c>
      <c r="G11" s="331">
        <f>F11/$F$61</f>
        <v>4.5217306907000585E-2</v>
      </c>
      <c r="H11" s="940"/>
      <c r="I11" s="546">
        <v>25</v>
      </c>
      <c r="J11" s="1055">
        <v>210.73</v>
      </c>
      <c r="K11" s="1117">
        <f t="shared" si="0"/>
        <v>5268.25</v>
      </c>
      <c r="L11" s="1118">
        <f t="shared" si="1"/>
        <v>8.8351904297358147E-2</v>
      </c>
      <c r="M11" s="345"/>
      <c r="N11" s="495">
        <f>(J11-E11)/E11</f>
        <v>1.4690099589923844</v>
      </c>
      <c r="O11" s="1027">
        <f>(J11-Transactions!C1431)/Transactions!C1431</f>
        <v>0.19056497175141238</v>
      </c>
      <c r="P11" s="1044"/>
      <c r="Q11" s="1001"/>
      <c r="R11" s="326"/>
      <c r="S11" s="309"/>
      <c r="T11" s="328"/>
      <c r="U11" s="309"/>
      <c r="V11" s="328"/>
    </row>
    <row r="12" spans="1:22" ht="12.75" customHeight="1">
      <c r="A12" s="322">
        <v>5</v>
      </c>
      <c r="B12" s="334" t="s">
        <v>248</v>
      </c>
      <c r="C12" s="335" t="s">
        <v>249</v>
      </c>
      <c r="D12" s="546"/>
      <c r="E12" s="1055"/>
      <c r="F12" s="327"/>
      <c r="G12" s="331"/>
      <c r="H12" s="940"/>
      <c r="I12" s="546">
        <v>155</v>
      </c>
      <c r="J12" s="1055">
        <v>22.51</v>
      </c>
      <c r="K12" s="1117">
        <f t="shared" si="0"/>
        <v>3489.05</v>
      </c>
      <c r="L12" s="1118">
        <f t="shared" si="1"/>
        <v>5.85135883241489E-2</v>
      </c>
      <c r="M12" s="345"/>
      <c r="N12" s="495"/>
      <c r="O12" s="1027">
        <f>(J12-Transactions!C1307)/Transactions!C1307</f>
        <v>-3.1000885739591116E-3</v>
      </c>
      <c r="P12" s="1044"/>
      <c r="Q12" s="1001"/>
      <c r="R12" s="326"/>
      <c r="S12" s="309"/>
      <c r="T12" s="328"/>
      <c r="U12" s="309"/>
      <c r="V12" s="328"/>
    </row>
    <row r="13" spans="1:22" ht="12.75" customHeight="1">
      <c r="A13" s="322">
        <v>6</v>
      </c>
      <c r="B13" s="334" t="s">
        <v>208</v>
      </c>
      <c r="C13" s="335" t="s">
        <v>209</v>
      </c>
      <c r="D13" s="546">
        <v>75</v>
      </c>
      <c r="E13" s="1055">
        <v>26.23</v>
      </c>
      <c r="F13" s="327">
        <f>E13*D13</f>
        <v>1967.25</v>
      </c>
      <c r="G13" s="331">
        <f>F13/$F$61</f>
        <v>4.1688926543782964E-2</v>
      </c>
      <c r="H13" s="940"/>
      <c r="I13" s="546">
        <v>75</v>
      </c>
      <c r="J13" s="1055">
        <v>39.119999999999997</v>
      </c>
      <c r="K13" s="1117">
        <f t="shared" si="0"/>
        <v>2934</v>
      </c>
      <c r="L13" s="1118">
        <f t="shared" si="1"/>
        <v>4.9205046686935656E-2</v>
      </c>
      <c r="M13" s="345"/>
      <c r="N13" s="495">
        <f>(J13-E13)/E13</f>
        <v>0.49142203583682792</v>
      </c>
      <c r="O13" s="1027">
        <f>(J13-Transactions!C1461)/Transactions!C1461</f>
        <v>1.8492352512745809</v>
      </c>
      <c r="P13" s="1044"/>
      <c r="Q13" s="1001"/>
      <c r="R13" s="326"/>
      <c r="S13" s="309"/>
      <c r="T13" s="328"/>
      <c r="U13" s="309"/>
      <c r="V13" s="328"/>
    </row>
    <row r="14" spans="1:22" ht="12.75" customHeight="1">
      <c r="A14" s="322">
        <v>7</v>
      </c>
      <c r="B14" s="334" t="s">
        <v>250</v>
      </c>
      <c r="C14" s="335" t="s">
        <v>251</v>
      </c>
      <c r="D14" s="546"/>
      <c r="E14" s="1055"/>
      <c r="F14" s="327"/>
      <c r="G14" s="331"/>
      <c r="H14" s="940"/>
      <c r="I14" s="546">
        <v>40</v>
      </c>
      <c r="J14" s="1055">
        <v>46.43</v>
      </c>
      <c r="K14" s="1117">
        <f t="shared" si="0"/>
        <v>1857.2</v>
      </c>
      <c r="L14" s="1118">
        <f t="shared" si="1"/>
        <v>3.1146425598833301E-2</v>
      </c>
      <c r="M14" s="345"/>
      <c r="N14" s="495"/>
      <c r="O14" s="1027">
        <f>(J14-Transactions!C1343)/Transactions!C1343</f>
        <v>-7.0284341209451304E-2</v>
      </c>
      <c r="P14" s="1044"/>
      <c r="Q14" s="1001"/>
      <c r="R14" s="326"/>
      <c r="S14" s="309"/>
      <c r="T14" s="328"/>
      <c r="U14" s="309"/>
      <c r="V14" s="328"/>
    </row>
    <row r="15" spans="1:22" ht="12.75" customHeight="1">
      <c r="A15" s="322">
        <v>8</v>
      </c>
      <c r="B15" s="334" t="s">
        <v>153</v>
      </c>
      <c r="C15" s="335" t="s">
        <v>154</v>
      </c>
      <c r="D15" s="546">
        <v>50</v>
      </c>
      <c r="E15" s="1055">
        <v>45.27</v>
      </c>
      <c r="F15" s="327">
        <f>E15*D15</f>
        <v>2263.5</v>
      </c>
      <c r="G15" s="331">
        <f>F15/$F$61</f>
        <v>4.7966900613471967E-2</v>
      </c>
      <c r="H15" s="940"/>
      <c r="I15" s="546">
        <v>50</v>
      </c>
      <c r="J15" s="1055">
        <v>57</v>
      </c>
      <c r="K15" s="1117">
        <f t="shared" si="0"/>
        <v>2850</v>
      </c>
      <c r="L15" s="1118">
        <f t="shared" si="1"/>
        <v>4.7796313243955904E-2</v>
      </c>
      <c r="M15" s="345"/>
      <c r="N15" s="495">
        <f>(J15-E15)/E15</f>
        <v>0.25911199469847573</v>
      </c>
      <c r="O15" s="1027">
        <f>(J15-Transactions!C1375)/Transactions!C1375</f>
        <v>1.6003649635036494</v>
      </c>
      <c r="P15" s="1044"/>
      <c r="Q15" s="1001"/>
      <c r="R15" s="326"/>
      <c r="S15" s="309"/>
      <c r="T15" s="328"/>
      <c r="U15" s="309"/>
      <c r="V15" s="328"/>
    </row>
    <row r="16" spans="1:22" ht="12.75" customHeight="1">
      <c r="A16" s="322">
        <v>9</v>
      </c>
      <c r="B16" s="1059" t="s">
        <v>24</v>
      </c>
      <c r="C16" s="138" t="s">
        <v>25</v>
      </c>
      <c r="D16" s="1119">
        <v>40</v>
      </c>
      <c r="E16" s="1055">
        <v>56.61</v>
      </c>
      <c r="F16" s="327">
        <f>E16*D16</f>
        <v>2264.4</v>
      </c>
      <c r="G16" s="331">
        <f>F16/$F$61</f>
        <v>4.7985972939759633E-2</v>
      </c>
      <c r="H16" s="949"/>
      <c r="I16" s="1119">
        <v>40</v>
      </c>
      <c r="J16" s="1055">
        <v>75.2</v>
      </c>
      <c r="K16" s="1117">
        <f t="shared" si="0"/>
        <v>3008</v>
      </c>
      <c r="L16" s="1118">
        <f t="shared" si="1"/>
        <v>5.0446073767655919E-2</v>
      </c>
      <c r="M16" s="309"/>
      <c r="N16" s="495">
        <f>(J16-E16)/E16</f>
        <v>0.32838721074015198</v>
      </c>
      <c r="O16" s="1027">
        <f>(J16-Transactions!C1718)/Transactions!C1718</f>
        <v>1.9635467980295567</v>
      </c>
      <c r="P16" s="1044"/>
      <c r="Q16" s="1001"/>
      <c r="R16" s="326"/>
      <c r="S16" s="309"/>
      <c r="T16" s="328"/>
      <c r="U16" s="309"/>
      <c r="V16" s="328"/>
    </row>
    <row r="17" spans="1:22" ht="12.75" customHeight="1">
      <c r="A17" s="322">
        <v>10</v>
      </c>
      <c r="B17" s="334" t="s">
        <v>252</v>
      </c>
      <c r="C17" s="335" t="s">
        <v>253</v>
      </c>
      <c r="D17" s="546"/>
      <c r="E17" s="1055"/>
      <c r="F17" s="327"/>
      <c r="G17" s="331"/>
      <c r="H17" s="940"/>
      <c r="I17" s="546">
        <v>184</v>
      </c>
      <c r="J17" s="1055">
        <v>14.71</v>
      </c>
      <c r="K17" s="1117">
        <f t="shared" si="0"/>
        <v>2706.6400000000003</v>
      </c>
      <c r="L17" s="1118">
        <f t="shared" si="1"/>
        <v>4.53920748346038E-2</v>
      </c>
      <c r="M17" s="345"/>
      <c r="N17" s="495"/>
      <c r="O17" s="1027">
        <f>(J17-Transactions!C1319)/Transactions!C1319</f>
        <v>1.7993079584775196E-2</v>
      </c>
      <c r="P17" s="1044"/>
      <c r="Q17" s="1001"/>
      <c r="R17" s="326"/>
      <c r="S17" s="309"/>
      <c r="T17" s="328"/>
      <c r="U17" s="309"/>
      <c r="V17" s="328"/>
    </row>
    <row r="18" spans="1:22" ht="12.75" customHeight="1">
      <c r="A18" s="322">
        <v>11</v>
      </c>
      <c r="B18" s="334" t="s">
        <v>40</v>
      </c>
      <c r="C18" s="138" t="s">
        <v>41</v>
      </c>
      <c r="D18" s="1119">
        <v>75</v>
      </c>
      <c r="E18" s="1055">
        <v>19.440000000000001</v>
      </c>
      <c r="F18" s="327">
        <f>E18*D18</f>
        <v>1458</v>
      </c>
      <c r="G18" s="331">
        <f>F18/$F$61</f>
        <v>3.0897168586013754E-2</v>
      </c>
      <c r="H18" s="949"/>
      <c r="I18" s="1119">
        <v>75</v>
      </c>
      <c r="J18" s="1055">
        <v>30.48</v>
      </c>
      <c r="K18" s="1117">
        <f t="shared" si="0"/>
        <v>2286</v>
      </c>
      <c r="L18" s="1118">
        <f t="shared" si="1"/>
        <v>3.8337674412520423E-2</v>
      </c>
      <c r="M18" s="309"/>
      <c r="N18" s="495">
        <f>(J18-E18)/E18</f>
        <v>0.5679012345679012</v>
      </c>
      <c r="O18" s="1027">
        <f>(J18-Transactions!C1774)/Transactions!C1774</f>
        <v>0.19717203456402196</v>
      </c>
      <c r="P18" s="1044"/>
      <c r="Q18" s="1001"/>
      <c r="R18" s="326"/>
      <c r="S18" s="309"/>
      <c r="T18" s="328"/>
      <c r="U18" s="309"/>
      <c r="V18" s="328"/>
    </row>
    <row r="19" spans="1:22" ht="12.75" customHeight="1">
      <c r="A19" s="322">
        <v>12</v>
      </c>
      <c r="B19" s="334" t="s">
        <v>254</v>
      </c>
      <c r="C19" s="138" t="s">
        <v>255</v>
      </c>
      <c r="D19" s="1119"/>
      <c r="E19" s="1055"/>
      <c r="F19" s="327"/>
      <c r="G19" s="331"/>
      <c r="H19" s="949"/>
      <c r="I19" s="1119">
        <v>31</v>
      </c>
      <c r="J19" s="1055">
        <v>131.74</v>
      </c>
      <c r="K19" s="1117">
        <f t="shared" si="0"/>
        <v>4083.9400000000005</v>
      </c>
      <c r="L19" s="1118">
        <f t="shared" si="1"/>
        <v>6.8490272108603964E-2</v>
      </c>
      <c r="M19" s="309"/>
      <c r="N19" s="495"/>
      <c r="O19" s="1027">
        <f>(J19-Transactions!C1303)/Transactions!C1303</f>
        <v>2.7212475633528337E-2</v>
      </c>
      <c r="P19" s="1044"/>
      <c r="Q19" s="1001"/>
      <c r="R19" s="326"/>
      <c r="S19" s="309"/>
      <c r="T19" s="328"/>
      <c r="U19" s="309"/>
      <c r="V19" s="328"/>
    </row>
    <row r="20" spans="1:22" ht="12.75" customHeight="1">
      <c r="A20" s="322">
        <v>13</v>
      </c>
      <c r="B20" s="334" t="s">
        <v>236</v>
      </c>
      <c r="C20" s="138" t="s">
        <v>237</v>
      </c>
      <c r="D20" s="1119">
        <v>15</v>
      </c>
      <c r="E20" s="1055">
        <v>73.22</v>
      </c>
      <c r="F20" s="327">
        <f>E20*D20</f>
        <v>1098.3</v>
      </c>
      <c r="G20" s="331">
        <f>F20/$F$61</f>
        <v>2.3274595513044515E-2</v>
      </c>
      <c r="H20" s="949"/>
      <c r="I20" s="1119">
        <v>15</v>
      </c>
      <c r="J20" s="1055">
        <v>108.5</v>
      </c>
      <c r="K20" s="1117">
        <f t="shared" si="0"/>
        <v>1627.5</v>
      </c>
      <c r="L20" s="1118">
        <f t="shared" si="1"/>
        <v>2.7294210457732716E-2</v>
      </c>
      <c r="M20" s="309"/>
      <c r="N20" s="495">
        <f>(J20-E20)/E20</f>
        <v>0.48183556405353734</v>
      </c>
      <c r="O20" s="1027">
        <f>(J20-Transactions!C1379)/Transactions!C1379</f>
        <v>0.20493434495993171</v>
      </c>
      <c r="P20" s="1044"/>
      <c r="Q20" s="1001"/>
      <c r="R20" s="326"/>
      <c r="S20" s="309"/>
      <c r="T20" s="328"/>
      <c r="U20" s="309"/>
      <c r="V20" s="328"/>
    </row>
    <row r="21" spans="1:22" ht="12.75" customHeight="1">
      <c r="A21" s="322">
        <v>14</v>
      </c>
      <c r="B21" s="334" t="s">
        <v>220</v>
      </c>
      <c r="C21" s="138" t="s">
        <v>221</v>
      </c>
      <c r="D21" s="1119">
        <v>65</v>
      </c>
      <c r="E21" s="1055">
        <v>30.69</v>
      </c>
      <c r="F21" s="327">
        <f>E21*D21</f>
        <v>1994.8500000000001</v>
      </c>
      <c r="G21" s="331">
        <f>F21/$F$61</f>
        <v>4.2273811216604625E-2</v>
      </c>
      <c r="H21" s="949"/>
      <c r="I21" s="1119">
        <v>65</v>
      </c>
      <c r="J21" s="1055">
        <v>32.31</v>
      </c>
      <c r="K21" s="1117">
        <f t="shared" si="0"/>
        <v>2100.15</v>
      </c>
      <c r="L21" s="1118">
        <f t="shared" si="1"/>
        <v>3.5220851669927722E-2</v>
      </c>
      <c r="M21" s="309"/>
      <c r="N21" s="495">
        <f>(J21-E21)/E21</f>
        <v>5.2785923753665719E-2</v>
      </c>
      <c r="O21" s="1027">
        <f>(J21-Transactions!C1439)/Transactions!C1439</f>
        <v>-0.36434425745729826</v>
      </c>
      <c r="P21" s="1044"/>
      <c r="Q21" s="1001"/>
      <c r="R21" s="326"/>
      <c r="S21" s="309"/>
      <c r="T21" s="328"/>
      <c r="U21" s="309"/>
      <c r="V21" s="328"/>
    </row>
    <row r="22" spans="1:22" ht="12.75" customHeight="1">
      <c r="A22" s="322">
        <v>15</v>
      </c>
      <c r="B22" s="334" t="s">
        <v>256</v>
      </c>
      <c r="C22" s="138" t="s">
        <v>257</v>
      </c>
      <c r="D22" s="1119"/>
      <c r="E22" s="1055"/>
      <c r="F22" s="327"/>
      <c r="G22" s="331"/>
      <c r="H22" s="949"/>
      <c r="I22" s="1119">
        <v>65</v>
      </c>
      <c r="J22" s="1055">
        <v>60.63</v>
      </c>
      <c r="K22" s="1117">
        <f t="shared" si="0"/>
        <v>3940.9500000000003</v>
      </c>
      <c r="L22" s="1118">
        <f t="shared" si="1"/>
        <v>6.6092238834655453E-2</v>
      </c>
      <c r="M22" s="309"/>
      <c r="N22" s="495"/>
      <c r="O22" s="1027">
        <f>(J22-Transactions!C1315)/Transactions!C1315</f>
        <v>-1.9557110838720866E-2</v>
      </c>
      <c r="P22" s="1044"/>
      <c r="Q22" s="1001"/>
      <c r="R22" s="326"/>
      <c r="S22" s="309"/>
      <c r="T22" s="328"/>
      <c r="U22" s="309"/>
      <c r="V22" s="328"/>
    </row>
    <row r="23" spans="1:22" ht="12.75" customHeight="1">
      <c r="A23" s="322">
        <v>16</v>
      </c>
      <c r="B23" s="334" t="s">
        <v>258</v>
      </c>
      <c r="C23" s="138" t="s">
        <v>259</v>
      </c>
      <c r="D23" s="1119"/>
      <c r="E23" s="1055"/>
      <c r="F23" s="327"/>
      <c r="G23" s="331"/>
      <c r="H23" s="949"/>
      <c r="I23" s="1119">
        <v>275</v>
      </c>
      <c r="J23" s="1055">
        <v>5.29</v>
      </c>
      <c r="K23" s="1117">
        <f t="shared" si="0"/>
        <v>1454.75</v>
      </c>
      <c r="L23" s="1118">
        <f t="shared" si="1"/>
        <v>2.4397083049699949E-2</v>
      </c>
      <c r="M23" s="309"/>
      <c r="N23" s="495"/>
      <c r="O23" s="1027">
        <f>(J23-Transactions!C1328)/Transactions!C1328</f>
        <v>-0.10475545777627344</v>
      </c>
      <c r="P23" s="1044"/>
      <c r="Q23" s="1001"/>
      <c r="R23" s="326"/>
      <c r="S23" s="309"/>
      <c r="T23" s="328"/>
      <c r="U23" s="309"/>
      <c r="V23" s="328"/>
    </row>
    <row r="24" spans="1:22" ht="12.75" customHeight="1">
      <c r="A24" s="322">
        <v>17</v>
      </c>
      <c r="B24" s="334" t="s">
        <v>260</v>
      </c>
      <c r="C24" s="138" t="s">
        <v>261</v>
      </c>
      <c r="D24" s="1119"/>
      <c r="E24" s="1055"/>
      <c r="F24" s="327"/>
      <c r="G24" s="331"/>
      <c r="H24" s="949"/>
      <c r="I24" s="1119">
        <v>44</v>
      </c>
      <c r="J24" s="1055">
        <v>42.26</v>
      </c>
      <c r="K24" s="1117">
        <f t="shared" si="0"/>
        <v>1859.4399999999998</v>
      </c>
      <c r="L24" s="1118">
        <f t="shared" si="1"/>
        <v>3.1183991823979424E-2</v>
      </c>
      <c r="M24" s="309"/>
      <c r="N24" s="495"/>
      <c r="O24" s="1027">
        <f>(J24-Transactions!C1334)/Transactions!C1334</f>
        <v>0.17683096630465056</v>
      </c>
      <c r="P24" s="1044"/>
      <c r="Q24" s="1001"/>
      <c r="R24" s="326"/>
      <c r="S24" s="309"/>
      <c r="T24" s="328"/>
      <c r="U24" s="309"/>
      <c r="V24" s="328"/>
    </row>
    <row r="25" spans="1:22" ht="12.75" customHeight="1">
      <c r="A25" s="322">
        <v>18</v>
      </c>
      <c r="B25" s="334" t="s">
        <v>238</v>
      </c>
      <c r="C25" s="138" t="s">
        <v>239</v>
      </c>
      <c r="D25" s="1119">
        <v>40</v>
      </c>
      <c r="E25" s="1055">
        <v>64.52</v>
      </c>
      <c r="F25" s="327">
        <f>E25*D25</f>
        <v>2580.7999999999997</v>
      </c>
      <c r="G25" s="331">
        <f>F25/$F$61</f>
        <v>5.4690955203555755E-2</v>
      </c>
      <c r="H25" s="949"/>
      <c r="I25" s="1119">
        <v>40</v>
      </c>
      <c r="J25" s="1055">
        <v>68.56</v>
      </c>
      <c r="K25" s="1117">
        <f t="shared" si="0"/>
        <v>2742.4</v>
      </c>
      <c r="L25" s="1118">
        <f t="shared" si="1"/>
        <v>4.5991792786043748E-2</v>
      </c>
      <c r="M25" s="309"/>
      <c r="N25" s="495">
        <f>(J25-E25)/E25</f>
        <v>6.2616243025418572E-2</v>
      </c>
      <c r="O25" s="1027">
        <f>(J25-Transactions!C1391)/Transactions!C1391</f>
        <v>-1.7483519633132685E-2</v>
      </c>
      <c r="P25" s="1044"/>
      <c r="Q25" s="1001"/>
      <c r="R25" s="326"/>
      <c r="S25" s="309"/>
      <c r="T25" s="328"/>
      <c r="U25" s="309"/>
      <c r="V25" s="328"/>
    </row>
    <row r="26" spans="1:22" ht="12.75" customHeight="1">
      <c r="A26" s="322">
        <v>19</v>
      </c>
      <c r="B26" s="334" t="s">
        <v>262</v>
      </c>
      <c r="C26" s="138" t="s">
        <v>263</v>
      </c>
      <c r="D26" s="1119"/>
      <c r="E26" s="1055"/>
      <c r="F26" s="327"/>
      <c r="G26" s="331"/>
      <c r="H26" s="949"/>
      <c r="I26" s="1119">
        <v>29</v>
      </c>
      <c r="J26" s="1055">
        <v>53.89</v>
      </c>
      <c r="K26" s="1117">
        <f t="shared" si="0"/>
        <v>1562.81</v>
      </c>
      <c r="L26" s="1118">
        <f t="shared" si="1"/>
        <v>2.6209318000276045E-2</v>
      </c>
      <c r="M26" s="309"/>
      <c r="N26" s="495"/>
      <c r="O26" s="1027">
        <f>(J26-Transactions!C1342)/Transactions!C1342</f>
        <v>0.1342875184171754</v>
      </c>
      <c r="P26" s="1044"/>
      <c r="Q26" s="1001"/>
      <c r="R26" s="326"/>
      <c r="S26" s="309"/>
      <c r="T26" s="328"/>
      <c r="U26" s="309"/>
      <c r="V26" s="328"/>
    </row>
    <row r="27" spans="1:22" ht="12.75" customHeight="1">
      <c r="A27" s="322">
        <v>20</v>
      </c>
      <c r="B27" s="334" t="s">
        <v>46</v>
      </c>
      <c r="C27" s="138" t="s">
        <v>47</v>
      </c>
      <c r="D27" s="1119">
        <v>58</v>
      </c>
      <c r="E27" s="1055">
        <v>42.57</v>
      </c>
      <c r="F27" s="327">
        <f>E27*D27</f>
        <v>2469.06</v>
      </c>
      <c r="G27" s="331">
        <f>F27/$F$61</f>
        <v>5.2323019937574156E-2</v>
      </c>
      <c r="H27" s="949"/>
      <c r="I27" s="1119">
        <v>58</v>
      </c>
      <c r="J27" s="1055">
        <v>56.18</v>
      </c>
      <c r="K27" s="1117">
        <f t="shared" si="0"/>
        <v>3258.44</v>
      </c>
      <c r="L27" s="1118">
        <f t="shared" si="1"/>
        <v>5.4646111904082695E-2</v>
      </c>
      <c r="M27" s="309"/>
      <c r="N27" s="495">
        <f>(J27-E27)/E27</f>
        <v>0.31970871505755227</v>
      </c>
      <c r="O27" s="1027">
        <f>(J27-Transactions!C1706)/Transactions!C1706</f>
        <v>0.45732814526588855</v>
      </c>
      <c r="P27" s="1044"/>
      <c r="Q27" s="1001"/>
      <c r="R27" s="326"/>
      <c r="S27" s="309"/>
      <c r="T27" s="328"/>
      <c r="U27" s="309"/>
      <c r="V27" s="328"/>
    </row>
    <row r="28" spans="1:22" ht="12.75" customHeight="1">
      <c r="A28" s="322">
        <v>21</v>
      </c>
      <c r="B28" s="334" t="s">
        <v>240</v>
      </c>
      <c r="C28" s="138" t="s">
        <v>264</v>
      </c>
      <c r="D28" s="1119">
        <v>75</v>
      </c>
      <c r="E28" s="1055">
        <v>33.14</v>
      </c>
      <c r="F28" s="327">
        <f>E28*D28</f>
        <v>2485.5</v>
      </c>
      <c r="G28" s="331">
        <f>F28/$F$61</f>
        <v>5.2671407764428795E-2</v>
      </c>
      <c r="H28" s="949"/>
      <c r="I28" s="1119">
        <v>75</v>
      </c>
      <c r="J28" s="1055">
        <v>33.81</v>
      </c>
      <c r="K28" s="1117">
        <f t="shared" si="0"/>
        <v>2535.75</v>
      </c>
      <c r="L28" s="1118">
        <f t="shared" si="1"/>
        <v>4.2526140809951291E-2</v>
      </c>
      <c r="M28" s="309"/>
      <c r="N28" s="495">
        <f>(J28-E28)/E28</f>
        <v>2.0217260108630106E-2</v>
      </c>
      <c r="O28" s="1027">
        <f>(J28-Transactions!C1387)/Transactions!C1387</f>
        <v>-2.8152253272548486E-2</v>
      </c>
      <c r="P28" s="1044"/>
      <c r="Q28" s="1001"/>
      <c r="R28" s="326"/>
      <c r="S28" s="309"/>
      <c r="T28" s="328"/>
      <c r="U28" s="309"/>
      <c r="V28" s="328"/>
    </row>
    <row r="29" spans="1:22" ht="12.75" customHeight="1">
      <c r="A29" s="322">
        <v>22</v>
      </c>
      <c r="B29" s="334" t="s">
        <v>222</v>
      </c>
      <c r="C29" s="138" t="s">
        <v>223</v>
      </c>
      <c r="D29" s="1119">
        <v>60</v>
      </c>
      <c r="E29" s="1055">
        <v>10.82</v>
      </c>
      <c r="F29" s="327">
        <f>E29*D29</f>
        <v>649.20000000000005</v>
      </c>
      <c r="G29" s="331">
        <f>F29/$F$61</f>
        <v>1.3757504695500775E-2</v>
      </c>
      <c r="H29" s="949"/>
      <c r="I29" s="1119">
        <v>60</v>
      </c>
      <c r="J29" s="1055">
        <v>17.91</v>
      </c>
      <c r="K29" s="1117">
        <f t="shared" si="0"/>
        <v>1074.5999999999999</v>
      </c>
      <c r="L29" s="1118">
        <f t="shared" si="1"/>
        <v>1.8021725688405266E-2</v>
      </c>
      <c r="M29" s="309"/>
      <c r="N29" s="495">
        <f>(J29-E29)/E29</f>
        <v>0.65526802218114599</v>
      </c>
      <c r="O29" s="1027">
        <f>(J29-Transactions!C1470)/Transactions!C1470</f>
        <v>-0.30836068739138828</v>
      </c>
      <c r="P29" s="1044"/>
      <c r="Q29" s="1001"/>
      <c r="R29" s="326"/>
      <c r="S29" s="309"/>
      <c r="T29" s="328"/>
      <c r="U29" s="309"/>
      <c r="V29" s="328"/>
    </row>
    <row r="30" spans="1:22" ht="12.75" customHeight="1">
      <c r="A30" s="322">
        <v>23</v>
      </c>
      <c r="B30" s="1120" t="s">
        <v>265</v>
      </c>
      <c r="C30" s="138" t="s">
        <v>266</v>
      </c>
      <c r="D30" s="1119"/>
      <c r="E30" s="1055"/>
      <c r="F30" s="327"/>
      <c r="G30" s="331"/>
      <c r="H30" s="949"/>
      <c r="I30" s="1119">
        <v>1350</v>
      </c>
      <c r="J30" s="1055">
        <v>0.75</v>
      </c>
      <c r="K30" s="1117">
        <f t="shared" si="0"/>
        <v>1012.5</v>
      </c>
      <c r="L30" s="1118">
        <f t="shared" si="1"/>
        <v>1.6980269178773807E-2</v>
      </c>
      <c r="M30" s="309"/>
      <c r="N30" s="495"/>
      <c r="O30" s="1027">
        <f>(J30-Transactions!C1311)/Transactions!C1311</f>
        <v>-0.11764705882352938</v>
      </c>
      <c r="P30" s="1044"/>
      <c r="Q30" s="1001"/>
      <c r="R30" s="326"/>
      <c r="S30" s="309"/>
      <c r="T30" s="328"/>
      <c r="U30" s="309"/>
      <c r="V30" s="328"/>
    </row>
    <row r="31" spans="1:22" ht="12.75" customHeight="1">
      <c r="A31" s="322">
        <v>24</v>
      </c>
      <c r="B31" s="334" t="s">
        <v>242</v>
      </c>
      <c r="C31" s="138" t="s">
        <v>243</v>
      </c>
      <c r="D31" s="1119">
        <v>40</v>
      </c>
      <c r="E31" s="1055">
        <v>35.270000000000003</v>
      </c>
      <c r="F31" s="327">
        <f>E31*D31</f>
        <v>1410.8000000000002</v>
      </c>
      <c r="G31" s="331">
        <f>F31/$F$61</f>
        <v>2.9896931029594107E-2</v>
      </c>
      <c r="H31" s="949"/>
      <c r="I31" s="1119">
        <v>40</v>
      </c>
      <c r="J31" s="1055">
        <v>46.53</v>
      </c>
      <c r="K31" s="1117">
        <f t="shared" si="0"/>
        <v>1861.2</v>
      </c>
      <c r="L31" s="1118">
        <f t="shared" si="1"/>
        <v>3.12135081437371E-2</v>
      </c>
      <c r="M31" s="309"/>
      <c r="N31" s="495">
        <f>(J31-E31)/E31</f>
        <v>0.31925148851715329</v>
      </c>
      <c r="O31" s="1027">
        <f>(J31-Transactions!C1403)/Transactions!C1403</f>
        <v>-0.4480427046263345</v>
      </c>
      <c r="P31" s="1044"/>
      <c r="Q31" s="1001"/>
      <c r="R31" s="326"/>
      <c r="S31" s="309"/>
      <c r="T31" s="328"/>
      <c r="U31" s="309"/>
      <c r="V31" s="328"/>
    </row>
    <row r="32" spans="1:22" ht="12.75" customHeight="1">
      <c r="A32" s="322">
        <v>25</v>
      </c>
      <c r="B32" s="1059" t="s">
        <v>50</v>
      </c>
      <c r="C32" s="138" t="s">
        <v>51</v>
      </c>
      <c r="D32" s="1119">
        <v>54</v>
      </c>
      <c r="E32" s="1055">
        <v>31.5</v>
      </c>
      <c r="F32" s="327">
        <f>E32*D32</f>
        <v>1701</v>
      </c>
      <c r="G32" s="331">
        <f>F32/$F$61</f>
        <v>3.6046696683682711E-2</v>
      </c>
      <c r="H32" s="949"/>
      <c r="I32" s="1119">
        <v>54</v>
      </c>
      <c r="J32" s="1055">
        <v>34.97</v>
      </c>
      <c r="K32" s="1117">
        <f t="shared" si="0"/>
        <v>1888.3799999999999</v>
      </c>
      <c r="L32" s="1118">
        <f t="shared" si="1"/>
        <v>3.1669334036358403E-2</v>
      </c>
      <c r="M32" s="309"/>
      <c r="N32" s="495">
        <f>(J32-E32)/E32</f>
        <v>0.11015873015873012</v>
      </c>
      <c r="O32" s="1027">
        <f>(J32-Transactions!C1488)/Transactions!C1488</f>
        <v>0.21171171171171169</v>
      </c>
      <c r="P32" s="1044"/>
      <c r="Q32" s="956"/>
      <c r="R32" s="326"/>
      <c r="S32" s="309"/>
      <c r="T32" s="328"/>
      <c r="U32" s="309"/>
      <c r="V32" s="328"/>
    </row>
    <row r="33" spans="1:26" ht="12.75" customHeight="1">
      <c r="A33" s="45"/>
      <c r="B33" s="959"/>
      <c r="C33" s="309"/>
      <c r="D33" s="946"/>
      <c r="E33" s="947"/>
      <c r="F33" s="948"/>
      <c r="G33" s="949"/>
      <c r="H33" s="949"/>
      <c r="I33" s="950"/>
      <c r="J33" s="1032"/>
      <c r="K33" s="1043"/>
      <c r="L33" s="1031"/>
      <c r="M33" s="309"/>
      <c r="N33" s="949"/>
      <c r="O33" s="1033"/>
      <c r="P33" s="326"/>
      <c r="Q33" s="326"/>
      <c r="R33" s="326"/>
      <c r="S33" s="309"/>
      <c r="T33" s="309"/>
      <c r="U33" s="309"/>
      <c r="V33" s="328"/>
    </row>
    <row r="34" spans="1:26" ht="12.75" hidden="1" customHeight="1">
      <c r="A34" s="1121"/>
      <c r="B34" s="323"/>
      <c r="C34" s="323"/>
      <c r="D34" s="946"/>
      <c r="E34" s="964"/>
      <c r="F34" s="948"/>
      <c r="G34" s="949"/>
      <c r="H34" s="949"/>
      <c r="I34" s="950"/>
      <c r="J34" s="964"/>
      <c r="K34" s="1046"/>
      <c r="L34" s="1031"/>
      <c r="M34" s="309"/>
      <c r="N34" s="1001"/>
      <c r="O34" s="965"/>
      <c r="P34" s="326" t="str">
        <f>IF(O34&lt;-0.15,"SELL","")</f>
        <v/>
      </c>
      <c r="Q34" s="326"/>
      <c r="R34" s="326"/>
      <c r="S34" s="309"/>
      <c r="T34" s="309"/>
      <c r="U34" s="309"/>
      <c r="V34" s="328"/>
    </row>
    <row r="35" spans="1:26" ht="12.75" hidden="1" customHeight="1">
      <c r="A35" s="322"/>
      <c r="B35" s="323"/>
      <c r="C35" s="323"/>
      <c r="D35" s="946"/>
      <c r="E35" s="964"/>
      <c r="F35" s="948"/>
      <c r="G35" s="949"/>
      <c r="H35" s="949"/>
      <c r="I35" s="950"/>
      <c r="J35" s="1032"/>
      <c r="K35" s="1043"/>
      <c r="L35" s="1031"/>
      <c r="M35" s="309"/>
      <c r="N35" s="1001"/>
      <c r="O35" s="1027"/>
      <c r="P35" s="326" t="str">
        <f>IF(O35&lt;-0.15,"SELL","")</f>
        <v/>
      </c>
      <c r="Q35" s="326"/>
      <c r="R35" s="326"/>
      <c r="S35" s="309"/>
      <c r="T35" s="309"/>
      <c r="U35" s="309"/>
      <c r="V35" s="328"/>
    </row>
    <row r="36" spans="1:26" ht="12.75" hidden="1" customHeight="1">
      <c r="A36" s="1121"/>
      <c r="B36" s="323"/>
      <c r="C36" s="323"/>
      <c r="D36" s="946"/>
      <c r="E36" s="964"/>
      <c r="F36" s="1047"/>
      <c r="G36" s="949"/>
      <c r="H36" s="949"/>
      <c r="I36" s="950"/>
      <c r="J36" s="1032"/>
      <c r="K36" s="1043"/>
      <c r="L36" s="1031"/>
      <c r="M36" s="309"/>
      <c r="N36" s="1001"/>
      <c r="O36" s="1027"/>
      <c r="P36" s="326" t="str">
        <f>IF(O36&lt;-0.15,"SELL","")</f>
        <v/>
      </c>
      <c r="Q36" s="326"/>
      <c r="R36" s="326"/>
      <c r="S36" s="309"/>
      <c r="T36" s="309"/>
      <c r="U36" s="309"/>
      <c r="V36" s="328"/>
    </row>
    <row r="37" spans="1:26" ht="12.75" hidden="1" customHeight="1">
      <c r="A37" s="322"/>
      <c r="B37" s="323"/>
      <c r="C37" s="323"/>
      <c r="D37" s="946"/>
      <c r="E37" s="964"/>
      <c r="F37" s="948"/>
      <c r="G37" s="949"/>
      <c r="H37" s="949"/>
      <c r="I37" s="950"/>
      <c r="J37" s="1032"/>
      <c r="K37" s="1043"/>
      <c r="L37" s="1031"/>
      <c r="M37" s="309"/>
      <c r="N37" s="1001"/>
      <c r="O37" s="1027"/>
      <c r="P37" s="326"/>
      <c r="Q37" s="326"/>
      <c r="R37" s="326"/>
      <c r="S37" s="309"/>
      <c r="T37" s="309"/>
      <c r="U37" s="309"/>
      <c r="V37" s="328"/>
    </row>
    <row r="38" spans="1:26" ht="12.75" hidden="1" customHeight="1">
      <c r="A38" s="1121"/>
      <c r="B38" s="323"/>
      <c r="C38" s="323"/>
      <c r="D38" s="946"/>
      <c r="E38" s="964"/>
      <c r="F38" s="948"/>
      <c r="G38" s="949"/>
      <c r="H38" s="949"/>
      <c r="I38" s="950"/>
      <c r="J38" s="1032"/>
      <c r="K38" s="1043"/>
      <c r="L38" s="1031"/>
      <c r="M38" s="309"/>
      <c r="N38" s="1001"/>
      <c r="O38" s="1027"/>
      <c r="P38" s="326" t="str">
        <f>IF(O38&lt;-0.15,"SELL","")</f>
        <v/>
      </c>
      <c r="Q38" s="326"/>
      <c r="R38" s="326"/>
      <c r="S38" s="309"/>
      <c r="T38" s="309"/>
      <c r="U38" s="309"/>
      <c r="V38" s="328"/>
    </row>
    <row r="39" spans="1:26" ht="12.75" hidden="1" customHeight="1">
      <c r="A39" s="322"/>
      <c r="B39" s="323"/>
      <c r="C39" s="323"/>
      <c r="D39" s="946"/>
      <c r="E39" s="964"/>
      <c r="F39" s="948"/>
      <c r="G39" s="949"/>
      <c r="H39" s="949"/>
      <c r="I39" s="950"/>
      <c r="J39" s="1032"/>
      <c r="K39" s="1043"/>
      <c r="L39" s="1031"/>
      <c r="M39" s="309"/>
      <c r="N39" s="1001"/>
      <c r="O39" s="1027"/>
      <c r="P39" s="326" t="str">
        <f>IF(O39&lt;-0.15,"SELL","")</f>
        <v/>
      </c>
      <c r="Q39" s="326"/>
      <c r="R39" s="326"/>
      <c r="S39" s="309"/>
      <c r="T39" s="309"/>
      <c r="U39" s="309"/>
      <c r="V39" s="328"/>
    </row>
    <row r="40" spans="1:26" ht="13.5" hidden="1" customHeight="1">
      <c r="A40" s="1121"/>
      <c r="B40" s="913"/>
      <c r="C40" s="323"/>
      <c r="D40" s="946"/>
      <c r="E40" s="964"/>
      <c r="F40" s="948"/>
      <c r="G40" s="949"/>
      <c r="H40" s="949"/>
      <c r="I40" s="950"/>
      <c r="J40" s="1032"/>
      <c r="K40" s="1043"/>
      <c r="L40" s="1031"/>
      <c r="M40" s="309"/>
      <c r="N40" s="1001"/>
      <c r="O40" s="1027"/>
      <c r="P40" s="326"/>
      <c r="Q40" s="326"/>
      <c r="R40" s="326"/>
      <c r="S40" s="309"/>
      <c r="T40" s="309"/>
      <c r="U40" s="309"/>
      <c r="V40" s="328"/>
    </row>
    <row r="41" spans="1:26" ht="12.75" hidden="1" customHeight="1">
      <c r="A41" s="46"/>
      <c r="B41" s="323"/>
      <c r="C41" s="138"/>
      <c r="D41" s="950"/>
      <c r="E41" s="964"/>
      <c r="F41" s="948"/>
      <c r="G41" s="949"/>
      <c r="H41" s="949"/>
      <c r="I41" s="950"/>
      <c r="J41" s="1032"/>
      <c r="K41" s="1043"/>
      <c r="L41" s="1031"/>
      <c r="M41" s="309"/>
      <c r="N41" s="1001"/>
      <c r="O41" s="1027"/>
      <c r="P41" s="326" t="str">
        <f>IF(O41&lt;-0.15,"SELL","")</f>
        <v/>
      </c>
      <c r="Q41" s="326"/>
      <c r="R41" s="326"/>
      <c r="S41" s="309"/>
      <c r="T41" s="309"/>
      <c r="U41" s="309"/>
      <c r="V41" s="328"/>
      <c r="W41" s="5"/>
      <c r="X41" s="5"/>
      <c r="Y41" s="5"/>
      <c r="Z41" s="5"/>
    </row>
    <row r="42" spans="1:26" ht="12.75" hidden="1" customHeight="1">
      <c r="A42" s="322"/>
      <c r="B42" s="323"/>
      <c r="C42" s="323"/>
      <c r="D42" s="946"/>
      <c r="E42" s="964"/>
      <c r="F42" s="948"/>
      <c r="G42" s="949"/>
      <c r="H42" s="949"/>
      <c r="I42" s="950"/>
      <c r="J42" s="1032"/>
      <c r="K42" s="1043"/>
      <c r="L42" s="1031"/>
      <c r="M42" s="309"/>
      <c r="N42" s="1001"/>
      <c r="O42" s="1027"/>
      <c r="P42" s="326"/>
      <c r="Q42" s="326"/>
      <c r="R42" s="326"/>
      <c r="S42" s="309"/>
      <c r="T42" s="309"/>
      <c r="U42" s="309"/>
      <c r="V42" s="328"/>
      <c r="W42" s="5"/>
      <c r="X42" s="5"/>
      <c r="Y42" s="5"/>
      <c r="Z42" s="5"/>
    </row>
    <row r="43" spans="1:26" ht="12.75" customHeight="1">
      <c r="A43" s="532"/>
      <c r="B43" s="1122" t="s">
        <v>52</v>
      </c>
      <c r="C43" s="1123"/>
      <c r="D43" s="946"/>
      <c r="E43" s="964"/>
      <c r="F43" s="948"/>
      <c r="G43" s="949"/>
      <c r="H43" s="949"/>
      <c r="I43" s="950"/>
      <c r="J43" s="1032"/>
      <c r="K43" s="1043"/>
      <c r="L43" s="1031"/>
      <c r="M43" s="309"/>
      <c r="N43" s="1001"/>
      <c r="O43" s="1027"/>
      <c r="P43" s="326"/>
      <c r="Q43" s="326"/>
      <c r="R43" s="326"/>
      <c r="S43" s="309"/>
      <c r="T43" s="309"/>
      <c r="U43" s="309"/>
      <c r="V43" s="328"/>
      <c r="W43" s="5"/>
      <c r="X43" s="5"/>
      <c r="Y43" s="5"/>
      <c r="Z43" s="5"/>
    </row>
    <row r="44" spans="1:26" ht="12.75" customHeight="1">
      <c r="A44" s="311">
        <v>1</v>
      </c>
      <c r="B44" s="1077" t="s">
        <v>34</v>
      </c>
      <c r="C44" s="1078" t="s">
        <v>35</v>
      </c>
      <c r="D44" s="1124">
        <v>75</v>
      </c>
      <c r="E44" s="1125">
        <v>16.2</v>
      </c>
      <c r="F44" s="1126">
        <f t="shared" ref="F44:F56" si="2">D44*E44</f>
        <v>1215</v>
      </c>
      <c r="G44" s="1127">
        <f t="shared" ref="G44:G57" si="3">F44/$F$61</f>
        <v>2.5747640488344794E-2</v>
      </c>
      <c r="H44" s="1128"/>
      <c r="I44" s="1083"/>
      <c r="J44" s="1083"/>
      <c r="K44" s="1083"/>
      <c r="L44" s="1129"/>
      <c r="M44" s="1130"/>
      <c r="N44" s="1131"/>
      <c r="O44" s="1132"/>
      <c r="P44" s="326"/>
      <c r="Q44" s="326"/>
      <c r="R44" s="326"/>
      <c r="S44" s="309"/>
      <c r="T44" s="309"/>
      <c r="U44" s="309"/>
      <c r="V44" s="328"/>
      <c r="W44" s="5"/>
      <c r="X44" s="5"/>
      <c r="Y44" s="5"/>
      <c r="Z44" s="5"/>
    </row>
    <row r="45" spans="1:26" ht="12.75" customHeight="1">
      <c r="A45" s="532">
        <v>2</v>
      </c>
      <c r="B45" s="334" t="s">
        <v>267</v>
      </c>
      <c r="C45" s="323" t="s">
        <v>219</v>
      </c>
      <c r="D45" s="1133">
        <v>65</v>
      </c>
      <c r="E45" s="609">
        <v>13.89</v>
      </c>
      <c r="F45" s="1117">
        <f t="shared" si="2"/>
        <v>902.85</v>
      </c>
      <c r="G45" s="331">
        <f t="shared" si="3"/>
        <v>1.9132721987573743E-2</v>
      </c>
      <c r="H45" s="949"/>
      <c r="I45" s="5"/>
      <c r="J45" s="5"/>
      <c r="K45" s="5"/>
      <c r="L45" s="1031"/>
      <c r="M45" s="309"/>
      <c r="N45" s="1001"/>
      <c r="O45" s="1027"/>
      <c r="P45" s="326"/>
      <c r="Q45" s="326"/>
      <c r="R45" s="326"/>
      <c r="S45" s="309"/>
      <c r="T45" s="309"/>
      <c r="U45" s="309"/>
      <c r="V45" s="328"/>
      <c r="W45" s="5"/>
      <c r="X45" s="5"/>
      <c r="Y45" s="5"/>
      <c r="Z45" s="5"/>
    </row>
    <row r="46" spans="1:26" ht="12.75" customHeight="1">
      <c r="A46" s="532">
        <v>3</v>
      </c>
      <c r="B46" s="1134" t="s">
        <v>268</v>
      </c>
      <c r="C46" s="323" t="s">
        <v>205</v>
      </c>
      <c r="D46" s="1133">
        <v>18</v>
      </c>
      <c r="E46" s="609">
        <v>76.62</v>
      </c>
      <c r="F46" s="1117">
        <f t="shared" si="2"/>
        <v>1379.16</v>
      </c>
      <c r="G46" s="331">
        <f t="shared" si="3"/>
        <v>2.9226432803214495E-2</v>
      </c>
      <c r="H46" s="949"/>
      <c r="I46" s="5"/>
      <c r="J46" s="5"/>
      <c r="K46" s="5"/>
      <c r="L46" s="1031"/>
      <c r="M46" s="309"/>
      <c r="N46" s="1001"/>
      <c r="O46" s="1027"/>
      <c r="P46" s="326"/>
      <c r="Q46" s="326"/>
      <c r="R46" s="326"/>
      <c r="S46" s="309"/>
      <c r="T46" s="309"/>
      <c r="U46" s="309"/>
      <c r="V46" s="328"/>
      <c r="W46" s="5"/>
      <c r="X46" s="5"/>
      <c r="Y46" s="5"/>
      <c r="Z46" s="5"/>
    </row>
    <row r="47" spans="1:26" ht="12.75" customHeight="1">
      <c r="A47" s="322">
        <v>4</v>
      </c>
      <c r="B47" s="323" t="s">
        <v>202</v>
      </c>
      <c r="C47" s="323" t="s">
        <v>21</v>
      </c>
      <c r="D47" s="1133">
        <v>100</v>
      </c>
      <c r="E47" s="609">
        <v>23.98</v>
      </c>
      <c r="F47" s="1117">
        <f t="shared" si="2"/>
        <v>2398</v>
      </c>
      <c r="G47" s="331">
        <f t="shared" si="3"/>
        <v>5.0817153819794909E-2</v>
      </c>
      <c r="H47" s="949"/>
      <c r="I47" s="5"/>
      <c r="J47" s="5"/>
      <c r="K47" s="5"/>
      <c r="L47" s="1031"/>
      <c r="M47" s="309"/>
      <c r="N47" s="1001"/>
      <c r="O47" s="1027"/>
      <c r="P47" s="326"/>
      <c r="Q47" s="326"/>
      <c r="R47" s="326"/>
      <c r="S47" s="309"/>
      <c r="T47" s="309"/>
      <c r="U47" s="309"/>
      <c r="V47" s="328"/>
      <c r="W47" s="5"/>
      <c r="X47" s="5"/>
      <c r="Y47" s="5"/>
      <c r="Z47" s="5"/>
    </row>
    <row r="48" spans="1:26" ht="12.75" customHeight="1">
      <c r="A48" s="322">
        <v>5</v>
      </c>
      <c r="B48" s="323" t="s">
        <v>269</v>
      </c>
      <c r="C48" s="323" t="s">
        <v>29</v>
      </c>
      <c r="D48" s="1133">
        <v>100</v>
      </c>
      <c r="E48" s="609">
        <v>13.96</v>
      </c>
      <c r="F48" s="1117">
        <f t="shared" si="2"/>
        <v>1396</v>
      </c>
      <c r="G48" s="331">
        <f t="shared" si="3"/>
        <v>2.9583297219530316E-2</v>
      </c>
      <c r="H48" s="949"/>
      <c r="I48" s="5"/>
      <c r="J48" s="5"/>
      <c r="K48" s="5"/>
      <c r="L48" s="1031"/>
      <c r="M48" s="309"/>
      <c r="N48" s="1001"/>
      <c r="O48" s="1027"/>
      <c r="P48" s="326"/>
      <c r="Q48" s="326"/>
      <c r="R48" s="326"/>
      <c r="S48" s="309"/>
      <c r="T48" s="309"/>
      <c r="U48" s="309"/>
      <c r="V48" s="328"/>
      <c r="W48" s="5"/>
      <c r="X48" s="5"/>
      <c r="Y48" s="5"/>
      <c r="Z48" s="5"/>
    </row>
    <row r="49" spans="1:26" ht="12.75" customHeight="1">
      <c r="A49" s="322">
        <v>6</v>
      </c>
      <c r="B49" s="323" t="s">
        <v>270</v>
      </c>
      <c r="C49" s="323" t="s">
        <v>234</v>
      </c>
      <c r="D49" s="1133">
        <v>57</v>
      </c>
      <c r="E49" s="609">
        <v>9.09</v>
      </c>
      <c r="F49" s="1117">
        <f t="shared" si="2"/>
        <v>518.13</v>
      </c>
      <c r="G49" s="331">
        <f t="shared" si="3"/>
        <v>1.0979938243807481E-2</v>
      </c>
      <c r="H49" s="949"/>
      <c r="I49" s="5"/>
      <c r="J49" s="5"/>
      <c r="K49" s="5"/>
      <c r="L49" s="1031"/>
      <c r="M49" s="309"/>
      <c r="N49" s="1001"/>
      <c r="O49" s="1027"/>
      <c r="P49" s="326"/>
      <c r="Q49" s="326"/>
      <c r="R49" s="326"/>
      <c r="S49" s="309"/>
      <c r="T49" s="309"/>
      <c r="U49" s="309"/>
      <c r="V49" s="328"/>
      <c r="W49" s="5"/>
      <c r="X49" s="5"/>
      <c r="Y49" s="5"/>
      <c r="Z49" s="5"/>
    </row>
    <row r="50" spans="1:26" ht="12.75" customHeight="1">
      <c r="A50" s="532">
        <v>7</v>
      </c>
      <c r="B50" s="374" t="s">
        <v>210</v>
      </c>
      <c r="C50" s="39" t="s">
        <v>211</v>
      </c>
      <c r="D50" s="1135">
        <v>55</v>
      </c>
      <c r="E50" s="3">
        <v>4.75</v>
      </c>
      <c r="F50" s="1117">
        <f t="shared" si="2"/>
        <v>261.25</v>
      </c>
      <c r="G50" s="331">
        <f t="shared" si="3"/>
        <v>5.5362724918354552E-3</v>
      </c>
      <c r="H50" s="39"/>
      <c r="I50" s="5"/>
      <c r="J50" s="5"/>
      <c r="K50" s="5"/>
      <c r="L50" s="408"/>
      <c r="M50" s="5"/>
      <c r="N50" s="5"/>
      <c r="O50" s="408"/>
      <c r="P50" s="5"/>
      <c r="Q50" s="5"/>
      <c r="R50" s="5"/>
      <c r="S50" s="5"/>
      <c r="T50" s="5"/>
      <c r="U50" s="5"/>
      <c r="V50" s="5"/>
      <c r="W50" s="5"/>
      <c r="X50" s="5"/>
      <c r="Y50" s="5"/>
      <c r="Z50" s="5"/>
    </row>
    <row r="51" spans="1:26" ht="12.75" customHeight="1">
      <c r="A51" s="532">
        <v>8</v>
      </c>
      <c r="B51" s="374" t="s">
        <v>32</v>
      </c>
      <c r="C51" s="39" t="s">
        <v>33</v>
      </c>
      <c r="D51" s="1133">
        <v>75</v>
      </c>
      <c r="E51" s="3">
        <v>34.85</v>
      </c>
      <c r="F51" s="1117">
        <f t="shared" si="2"/>
        <v>2613.75</v>
      </c>
      <c r="G51" s="331">
        <f t="shared" si="3"/>
        <v>5.5389214260420747E-2</v>
      </c>
      <c r="H51" s="39"/>
      <c r="I51" s="5"/>
      <c r="J51" s="5"/>
      <c r="K51" s="5"/>
      <c r="L51" s="408"/>
      <c r="M51" s="5"/>
      <c r="N51" s="5"/>
      <c r="O51" s="408"/>
      <c r="P51" s="5"/>
      <c r="Q51" s="5"/>
      <c r="R51" s="5"/>
      <c r="S51" s="5"/>
      <c r="T51" s="5"/>
      <c r="U51" s="5"/>
      <c r="V51" s="5"/>
      <c r="W51" s="5"/>
      <c r="X51" s="5"/>
      <c r="Y51" s="5"/>
      <c r="Z51" s="5"/>
    </row>
    <row r="52" spans="1:26" ht="12.75" customHeight="1">
      <c r="A52" s="532">
        <v>9</v>
      </c>
      <c r="B52" s="334" t="s">
        <v>214</v>
      </c>
      <c r="C52" s="323" t="s">
        <v>215</v>
      </c>
      <c r="D52" s="1135">
        <v>150</v>
      </c>
      <c r="E52" s="47">
        <v>6.82</v>
      </c>
      <c r="F52" s="1117">
        <f t="shared" si="2"/>
        <v>1023</v>
      </c>
      <c r="G52" s="331">
        <f t="shared" si="3"/>
        <v>2.1678877546976727E-2</v>
      </c>
      <c r="H52" s="5"/>
      <c r="I52" s="5"/>
      <c r="J52" s="5"/>
      <c r="K52" s="5"/>
      <c r="L52" s="408"/>
      <c r="M52" s="5"/>
      <c r="N52" s="5"/>
      <c r="O52" s="408"/>
      <c r="P52" s="5"/>
      <c r="Q52" s="5"/>
      <c r="R52" s="5"/>
      <c r="S52" s="5"/>
      <c r="T52" s="5"/>
      <c r="U52" s="5"/>
      <c r="V52" s="5"/>
      <c r="W52" s="5"/>
      <c r="X52" s="5"/>
      <c r="Y52" s="5"/>
      <c r="Z52" s="5"/>
    </row>
    <row r="53" spans="1:26" ht="12.75" customHeight="1">
      <c r="A53" s="532">
        <v>10</v>
      </c>
      <c r="B53" s="334" t="s">
        <v>271</v>
      </c>
      <c r="C53" s="323" t="s">
        <v>213</v>
      </c>
      <c r="D53" s="1135">
        <v>100</v>
      </c>
      <c r="E53" s="47">
        <v>25.47</v>
      </c>
      <c r="F53" s="1117">
        <f t="shared" si="2"/>
        <v>2547</v>
      </c>
      <c r="G53" s="331">
        <f t="shared" si="3"/>
        <v>5.3974683394085753E-2</v>
      </c>
      <c r="H53" s="5"/>
      <c r="I53" s="3"/>
      <c r="J53" s="5"/>
      <c r="K53" s="5"/>
      <c r="L53" s="408"/>
      <c r="M53" s="5"/>
      <c r="N53" s="5"/>
      <c r="O53" s="408"/>
      <c r="P53" s="5"/>
      <c r="Q53" s="5"/>
      <c r="R53" s="5"/>
      <c r="S53" s="5"/>
      <c r="T53" s="5"/>
      <c r="U53" s="5"/>
      <c r="V53" s="5"/>
      <c r="W53" s="5"/>
      <c r="X53" s="5"/>
      <c r="Y53" s="5"/>
      <c r="Z53" s="5"/>
    </row>
    <row r="54" spans="1:26" ht="12.75" customHeight="1">
      <c r="A54" s="322">
        <v>11</v>
      </c>
      <c r="B54" s="900" t="s">
        <v>50</v>
      </c>
      <c r="C54" s="323" t="s">
        <v>51</v>
      </c>
      <c r="D54" s="1135">
        <v>46</v>
      </c>
      <c r="E54" s="47">
        <v>31.5</v>
      </c>
      <c r="F54" s="1117">
        <f t="shared" si="2"/>
        <v>1449</v>
      </c>
      <c r="G54" s="331">
        <f t="shared" si="3"/>
        <v>3.0706445323137127E-2</v>
      </c>
      <c r="H54" s="5"/>
      <c r="I54" s="5"/>
      <c r="J54" s="5"/>
      <c r="K54" s="5"/>
      <c r="L54" s="408"/>
      <c r="M54" s="5"/>
      <c r="N54" s="5"/>
      <c r="O54" s="408"/>
      <c r="P54" s="5"/>
      <c r="Q54" s="5"/>
      <c r="R54" s="5"/>
      <c r="S54" s="5"/>
      <c r="T54" s="5"/>
      <c r="U54" s="5"/>
      <c r="V54" s="5"/>
      <c r="W54" s="5"/>
      <c r="X54" s="5"/>
      <c r="Y54" s="5"/>
      <c r="Z54" s="5"/>
    </row>
    <row r="55" spans="1:26" ht="12.75" customHeight="1">
      <c r="A55" s="322">
        <v>12</v>
      </c>
      <c r="B55" s="900" t="s">
        <v>208</v>
      </c>
      <c r="C55" s="323" t="s">
        <v>209</v>
      </c>
      <c r="D55" s="1135">
        <v>25</v>
      </c>
      <c r="E55" s="47">
        <v>26.23</v>
      </c>
      <c r="F55" s="1117">
        <f t="shared" si="2"/>
        <v>655.75</v>
      </c>
      <c r="G55" s="331">
        <f t="shared" si="3"/>
        <v>1.3896308847927653E-2</v>
      </c>
      <c r="H55" s="5"/>
      <c r="I55" s="3"/>
      <c r="J55" s="5"/>
      <c r="K55" s="5"/>
      <c r="L55" s="408"/>
      <c r="M55" s="5"/>
      <c r="N55" s="5"/>
      <c r="O55" s="408"/>
      <c r="P55" s="5"/>
      <c r="Q55" s="5"/>
      <c r="R55" s="5"/>
      <c r="S55" s="5"/>
      <c r="T55" s="5"/>
      <c r="U55" s="5"/>
      <c r="V55" s="5"/>
      <c r="W55" s="5"/>
      <c r="X55" s="5"/>
      <c r="Y55" s="5"/>
      <c r="Z55" s="5"/>
    </row>
    <row r="56" spans="1:26" ht="12.75" customHeight="1">
      <c r="A56" s="46">
        <v>13</v>
      </c>
      <c r="B56" s="915" t="s">
        <v>46</v>
      </c>
      <c r="C56" s="918" t="s">
        <v>47</v>
      </c>
      <c r="D56" s="48">
        <v>17</v>
      </c>
      <c r="E56" s="396">
        <v>42.57</v>
      </c>
      <c r="F56" s="1136">
        <f t="shared" si="2"/>
        <v>723.69</v>
      </c>
      <c r="G56" s="1137">
        <f t="shared" si="3"/>
        <v>1.5336057567909667E-2</v>
      </c>
      <c r="H56" s="916"/>
      <c r="I56" s="916"/>
      <c r="J56" s="916"/>
      <c r="K56" s="916"/>
      <c r="L56" s="914"/>
      <c r="M56" s="916"/>
      <c r="N56" s="916"/>
      <c r="O56" s="914"/>
      <c r="P56" s="5"/>
      <c r="Q56" s="5"/>
      <c r="R56" s="5"/>
      <c r="S56" s="5"/>
      <c r="T56" s="5"/>
      <c r="U56" s="5"/>
      <c r="V56" s="5"/>
      <c r="W56" s="5"/>
      <c r="X56" s="5"/>
      <c r="Y56" s="5"/>
      <c r="Z56" s="5"/>
    </row>
    <row r="57" spans="1:26" ht="12.75" customHeight="1">
      <c r="A57" s="344"/>
      <c r="B57" s="345" t="s">
        <v>63</v>
      </c>
      <c r="C57" s="345"/>
      <c r="D57" s="921"/>
      <c r="E57" s="308"/>
      <c r="F57" s="1138">
        <f>'2008'!K49</f>
        <v>44863.03</v>
      </c>
      <c r="G57" s="967">
        <f t="shared" si="3"/>
        <v>0.95071371823689477</v>
      </c>
      <c r="H57" s="968"/>
      <c r="I57" s="308"/>
      <c r="J57" s="308"/>
      <c r="K57" s="1139">
        <f>SUM(K8:K32)</f>
        <v>59304.56</v>
      </c>
      <c r="L57" s="143">
        <f>K57/$K$61</f>
        <v>0.99457520229999208</v>
      </c>
      <c r="M57" s="345"/>
      <c r="N57" s="970"/>
      <c r="O57" s="134"/>
      <c r="P57" s="326"/>
      <c r="Q57" s="326"/>
      <c r="R57" s="326"/>
      <c r="S57" s="309"/>
      <c r="T57" s="309"/>
      <c r="U57" s="309"/>
      <c r="V57" s="328"/>
    </row>
    <row r="58" spans="1:26" ht="12.75" customHeight="1">
      <c r="A58" s="344"/>
      <c r="B58" s="345"/>
      <c r="C58" s="345"/>
      <c r="D58" s="921"/>
      <c r="E58" s="922"/>
      <c r="F58" s="1140"/>
      <c r="G58" s="967"/>
      <c r="H58" s="968"/>
      <c r="I58" s="308"/>
      <c r="J58" s="922"/>
      <c r="K58" s="1139"/>
      <c r="L58" s="143"/>
      <c r="M58" s="345"/>
      <c r="N58" s="968"/>
      <c r="O58" s="134"/>
      <c r="P58" s="326"/>
      <c r="Q58" s="326"/>
      <c r="R58" s="326"/>
      <c r="S58" s="309"/>
      <c r="T58" s="309"/>
      <c r="U58" s="309"/>
      <c r="V58" s="328"/>
    </row>
    <row r="59" spans="1:26" ht="12.75" customHeight="1">
      <c r="A59" s="344"/>
      <c r="B59" s="345" t="s">
        <v>64</v>
      </c>
      <c r="C59" s="345"/>
      <c r="D59" s="921"/>
      <c r="E59" s="922"/>
      <c r="F59" s="1141">
        <f>'2008'!K51</f>
        <v>2325.7600000000002</v>
      </c>
      <c r="G59" s="967">
        <f>F59/$F$61</f>
        <v>4.9286281763105184E-2</v>
      </c>
      <c r="H59" s="968"/>
      <c r="I59" s="308"/>
      <c r="J59" s="922"/>
      <c r="K59" s="1141">
        <v>323.47000000000003</v>
      </c>
      <c r="L59" s="143">
        <f>K59/$K$61</f>
        <v>5.4247977000078662E-3</v>
      </c>
      <c r="M59" s="345"/>
      <c r="N59" s="968"/>
      <c r="O59" s="134"/>
      <c r="P59" s="326"/>
      <c r="Q59" s="326"/>
      <c r="R59" s="326"/>
      <c r="S59" s="977"/>
      <c r="T59" s="309"/>
      <c r="U59" s="309"/>
      <c r="V59" s="328"/>
    </row>
    <row r="60" spans="1:26" ht="12.75" customHeight="1">
      <c r="A60" s="49"/>
      <c r="B60" s="924" t="s">
        <v>65</v>
      </c>
      <c r="C60" s="924"/>
      <c r="D60" s="6"/>
      <c r="E60" s="925"/>
      <c r="F60" s="1142"/>
      <c r="G60" s="979"/>
      <c r="H60" s="980"/>
      <c r="I60" s="925"/>
      <c r="J60" s="925"/>
      <c r="K60" s="1143"/>
      <c r="L60" s="50"/>
      <c r="M60" s="924"/>
      <c r="N60" s="981"/>
      <c r="O60" s="22"/>
      <c r="P60" s="326"/>
      <c r="Q60" s="326"/>
      <c r="R60" s="326"/>
      <c r="S60" s="309"/>
      <c r="T60" s="309"/>
      <c r="U60" s="309"/>
      <c r="V60" s="328"/>
    </row>
    <row r="61" spans="1:26" ht="12.75" customHeight="1">
      <c r="A61" s="309"/>
      <c r="B61" s="345" t="s">
        <v>66</v>
      </c>
      <c r="C61" s="345"/>
      <c r="D61" s="927"/>
      <c r="E61" s="928"/>
      <c r="F61" s="1144">
        <f>'2008'!K53</f>
        <v>47188.79</v>
      </c>
      <c r="G61" s="983">
        <f>SUM(G57:G60)</f>
        <v>1</v>
      </c>
      <c r="H61" s="983"/>
      <c r="I61" s="928"/>
      <c r="J61" s="928"/>
      <c r="K61" s="1145">
        <f>SUM(K57:K60)</f>
        <v>59628.03</v>
      </c>
      <c r="L61" s="51">
        <f>SUM(L57:L60)</f>
        <v>1</v>
      </c>
      <c r="M61" s="345"/>
      <c r="N61" s="24">
        <f>(K61-F61)/F61</f>
        <v>0.26360582672282967</v>
      </c>
      <c r="O61" s="309"/>
      <c r="P61" s="326"/>
      <c r="Q61" s="326"/>
      <c r="R61" s="326"/>
      <c r="S61" s="309"/>
      <c r="T61" s="309"/>
      <c r="U61" s="309"/>
      <c r="V61" s="328"/>
    </row>
    <row r="62" spans="1:26" ht="12.75" customHeight="1">
      <c r="A62" s="309"/>
      <c r="B62" s="309"/>
      <c r="C62" s="985"/>
      <c r="D62" s="940"/>
      <c r="E62" s="940"/>
      <c r="F62" s="940"/>
      <c r="G62" s="940"/>
      <c r="H62" s="940"/>
      <c r="I62" s="940"/>
      <c r="J62" s="940"/>
      <c r="K62" s="1017"/>
      <c r="L62" s="949"/>
      <c r="M62" s="309"/>
      <c r="N62" s="309"/>
      <c r="O62" s="309"/>
      <c r="P62" s="326"/>
      <c r="Q62" s="326"/>
      <c r="R62" s="326"/>
      <c r="S62" s="309"/>
      <c r="T62" s="309"/>
      <c r="U62" s="309"/>
      <c r="V62" s="328"/>
    </row>
    <row r="63" spans="1:26" ht="12.75" customHeight="1">
      <c r="A63" s="309"/>
      <c r="B63" s="872"/>
      <c r="C63" s="873"/>
      <c r="D63" s="872"/>
      <c r="E63" s="879"/>
      <c r="F63" s="986"/>
      <c r="G63" s="881"/>
      <c r="H63" s="879"/>
      <c r="I63" s="879"/>
      <c r="J63" s="879"/>
      <c r="K63" s="1018"/>
      <c r="L63" s="881"/>
      <c r="M63" s="879"/>
      <c r="N63" s="872"/>
      <c r="O63" s="987"/>
      <c r="P63" s="1019"/>
      <c r="Q63" s="1019"/>
      <c r="R63" s="1019"/>
      <c r="S63" s="309"/>
      <c r="T63" s="309"/>
      <c r="U63" s="309"/>
      <c r="V63" s="328"/>
    </row>
    <row r="64" spans="1:26" ht="12.75" customHeight="1">
      <c r="A64" s="309"/>
      <c r="B64" s="345" t="s">
        <v>67</v>
      </c>
      <c r="C64" s="309"/>
      <c r="D64" s="309"/>
      <c r="E64" s="309"/>
      <c r="F64" s="955"/>
      <c r="G64" s="309"/>
      <c r="H64" s="309"/>
      <c r="I64" s="309"/>
      <c r="J64" s="309"/>
      <c r="K64" s="1020"/>
      <c r="L64" s="309"/>
      <c r="M64" s="309"/>
      <c r="N64" s="956"/>
      <c r="O64" s="1041"/>
      <c r="P64" s="1001"/>
      <c r="Q64" s="326"/>
      <c r="R64" s="326"/>
      <c r="S64" s="309"/>
      <c r="T64" s="309"/>
      <c r="U64" s="309"/>
      <c r="V64" s="328"/>
    </row>
    <row r="65" spans="1:22" ht="12.75" customHeight="1">
      <c r="A65" s="309"/>
      <c r="B65" s="309" t="s">
        <v>272</v>
      </c>
      <c r="C65" s="309"/>
      <c r="D65" s="309"/>
      <c r="E65" s="309"/>
      <c r="F65" s="1146" t="str">
        <f>'2008'!K57</f>
        <v>#ERROR!</v>
      </c>
      <c r="G65" s="309"/>
      <c r="H65" s="309"/>
      <c r="I65" s="309"/>
      <c r="J65" s="309"/>
      <c r="K65" s="1146">
        <v>1115.0999999999999</v>
      </c>
      <c r="L65" s="1040"/>
      <c r="M65" s="309"/>
      <c r="N65" s="956" t="e">
        <f>(K65-F65)/F65</f>
        <v>#VALUE!</v>
      </c>
      <c r="O65" s="1041"/>
      <c r="P65" s="1030"/>
      <c r="Q65" s="326"/>
      <c r="R65" s="326"/>
      <c r="S65" s="309"/>
      <c r="T65" s="309"/>
      <c r="U65" s="309"/>
      <c r="V65" s="328"/>
    </row>
    <row r="66" spans="1:22" ht="12.75" customHeight="1">
      <c r="A66" s="309"/>
      <c r="B66" s="309" t="s">
        <v>273</v>
      </c>
      <c r="C66" s="309"/>
      <c r="D66" s="309"/>
      <c r="E66" s="309"/>
      <c r="F66" s="1146"/>
      <c r="G66" s="309"/>
      <c r="H66" s="309"/>
      <c r="I66" s="309"/>
      <c r="J66" s="309"/>
      <c r="K66" s="1020"/>
      <c r="L66" s="1040"/>
      <c r="M66" s="309"/>
      <c r="N66" s="1051">
        <v>3.0099999999999998E-2</v>
      </c>
      <c r="O66" s="1041"/>
      <c r="P66" s="1030"/>
      <c r="Q66" s="326"/>
      <c r="R66" s="326"/>
      <c r="S66" s="309"/>
      <c r="T66" s="309"/>
      <c r="U66" s="309"/>
      <c r="V66" s="328"/>
    </row>
    <row r="67" spans="1:22" ht="12.75" customHeight="1">
      <c r="A67" s="309"/>
      <c r="B67" s="309" t="s">
        <v>228</v>
      </c>
      <c r="C67" s="309"/>
      <c r="D67" s="309"/>
      <c r="E67" s="309"/>
      <c r="F67" s="1146"/>
      <c r="G67" s="309"/>
      <c r="H67" s="309"/>
      <c r="I67" s="309"/>
      <c r="J67" s="309"/>
      <c r="K67" s="1020"/>
      <c r="L67" s="1040"/>
      <c r="M67" s="309"/>
      <c r="N67" s="984" t="e">
        <f>SUM(N65:N66)</f>
        <v>#VALUE!</v>
      </c>
      <c r="O67" s="1041"/>
      <c r="P67" s="1030"/>
      <c r="Q67" s="326"/>
      <c r="R67" s="326"/>
      <c r="S67" s="309"/>
      <c r="T67" s="309"/>
      <c r="U67" s="309"/>
      <c r="V67" s="328"/>
    </row>
    <row r="68" spans="1:22" ht="12.75" customHeight="1">
      <c r="A68" s="309"/>
      <c r="B68" s="309"/>
      <c r="C68" s="309"/>
      <c r="D68" s="309"/>
      <c r="E68" s="309"/>
      <c r="F68" s="309"/>
      <c r="G68" s="309"/>
      <c r="H68" s="309"/>
      <c r="I68" s="309"/>
      <c r="J68" s="309"/>
      <c r="K68" s="1020"/>
      <c r="L68" s="309"/>
      <c r="M68" s="309"/>
      <c r="N68" s="956"/>
      <c r="O68" s="309"/>
      <c r="P68" s="326"/>
      <c r="Q68" s="326"/>
      <c r="R68" s="326"/>
      <c r="S68" s="309"/>
      <c r="T68" s="309"/>
      <c r="U68" s="309"/>
      <c r="V68" s="328"/>
    </row>
    <row r="69" spans="1:22" ht="12.75" customHeight="1"/>
    <row r="70" spans="1:22" ht="12.75" customHeight="1">
      <c r="B70" s="309" t="s">
        <v>274</v>
      </c>
      <c r="C70" s="52">
        <f>SUM(F44:F56)/((F61+K61)/2)</f>
        <v>0.31984812878720781</v>
      </c>
    </row>
    <row r="71" spans="1:22" ht="12.75" customHeight="1"/>
    <row r="72" spans="1:22" ht="12.75" customHeight="1"/>
    <row r="73" spans="1:22" ht="12.75" customHeight="1"/>
    <row r="74" spans="1:22" ht="12.75" customHeight="1"/>
    <row r="75" spans="1:22" ht="12.75" customHeight="1"/>
    <row r="76" spans="1:22" ht="12.75" customHeight="1"/>
    <row r="77" spans="1:22" ht="12.75" customHeight="1"/>
    <row r="78" spans="1:22" ht="12.75" customHeight="1"/>
    <row r="79" spans="1:22" ht="12.75" customHeight="1"/>
    <row r="80" spans="1:2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7">
    <mergeCell ref="D6:G6"/>
    <mergeCell ref="I6:L6"/>
    <mergeCell ref="B1:O1"/>
    <mergeCell ref="B2:O2"/>
    <mergeCell ref="B3:O3"/>
    <mergeCell ref="D5:L5"/>
    <mergeCell ref="N5:O5"/>
  </mergeCells>
  <conditionalFormatting sqref="N8:N32">
    <cfRule type="cellIs" dxfId="460" priority="3" stopIfTrue="1" operator="greaterThanOrEqual">
      <formula>0</formula>
    </cfRule>
    <cfRule type="cellIs" dxfId="459" priority="4" stopIfTrue="1" operator="lessThan">
      <formula>0</formula>
    </cfRule>
  </conditionalFormatting>
  <conditionalFormatting sqref="O8:P15 Q10:Q15 O16:Q22 Q23:Q31 O23:P32 N31:N46 O35:O46 N47:O49 P64:P67">
    <cfRule type="cellIs" dxfId="458" priority="1" stopIfTrue="1" operator="greaterThan">
      <formula>$N$63</formula>
    </cfRule>
    <cfRule type="cellIs" dxfId="457" priority="2" stopIfTrue="1" operator="lessThanOrEqual">
      <formula>$N$63</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28515625" defaultRowHeight="15" customHeight="1"/>
  <cols>
    <col min="1" max="1" width="3.28515625" customWidth="1"/>
    <col min="2" max="2" width="30.7109375" customWidth="1"/>
    <col min="3" max="3" width="6.7109375" customWidth="1"/>
    <col min="4" max="4" width="7.28515625" customWidth="1"/>
    <col min="5" max="5" width="11" customWidth="1"/>
    <col min="6" max="6" width="12.28515625" customWidth="1"/>
    <col min="7" max="7" width="8.7109375" customWidth="1"/>
    <col min="8" max="8" width="5.28515625" customWidth="1"/>
    <col min="9" max="9" width="9.28515625" customWidth="1"/>
    <col min="10" max="10" width="8.28515625" customWidth="1"/>
    <col min="11" max="11" width="13.7109375" customWidth="1"/>
    <col min="12" max="12" width="12.28515625" customWidth="1"/>
    <col min="13" max="13" width="0.7109375" customWidth="1"/>
    <col min="14" max="14" width="8.28515625" customWidth="1"/>
    <col min="15" max="15" width="7.7109375" customWidth="1"/>
    <col min="16" max="16" width="7.28515625" customWidth="1"/>
    <col min="17" max="26" width="8.7109375" customWidth="1"/>
  </cols>
  <sheetData>
    <row r="1" spans="1:22" ht="12.75" customHeight="1">
      <c r="A1" s="309"/>
      <c r="B1" s="1984" t="s">
        <v>0</v>
      </c>
      <c r="C1" s="1985"/>
      <c r="D1" s="1985"/>
      <c r="E1" s="1985"/>
      <c r="F1" s="1985"/>
      <c r="G1" s="1985"/>
      <c r="H1" s="1985"/>
      <c r="I1" s="1985"/>
      <c r="J1" s="1985"/>
      <c r="K1" s="1985"/>
      <c r="L1" s="1985"/>
      <c r="M1" s="1985"/>
      <c r="N1" s="1985"/>
      <c r="O1" s="1985"/>
      <c r="P1" s="989"/>
      <c r="Q1" s="989"/>
      <c r="R1" s="989"/>
      <c r="S1" s="990"/>
      <c r="T1" s="990"/>
      <c r="U1" s="990"/>
      <c r="V1" s="1021"/>
    </row>
    <row r="2" spans="1:22" ht="12.75" customHeight="1">
      <c r="A2" s="309"/>
      <c r="B2" s="1986" t="s">
        <v>275</v>
      </c>
      <c r="C2" s="1985"/>
      <c r="D2" s="1985"/>
      <c r="E2" s="1985"/>
      <c r="F2" s="1985"/>
      <c r="G2" s="1985"/>
      <c r="H2" s="1985"/>
      <c r="I2" s="1985"/>
      <c r="J2" s="1985"/>
      <c r="K2" s="1985"/>
      <c r="L2" s="1985"/>
      <c r="M2" s="1985"/>
      <c r="N2" s="1985"/>
      <c r="O2" s="1985"/>
      <c r="P2" s="991"/>
      <c r="Q2" s="991"/>
      <c r="R2" s="991"/>
      <c r="S2" s="345"/>
      <c r="T2" s="345"/>
      <c r="U2" s="345"/>
      <c r="V2" s="1022"/>
    </row>
    <row r="3" spans="1:22" ht="12.75" customHeight="1">
      <c r="A3" s="309"/>
      <c r="B3" s="2001"/>
      <c r="C3" s="1985"/>
      <c r="D3" s="1985"/>
      <c r="E3" s="1985"/>
      <c r="F3" s="1985"/>
      <c r="G3" s="1985"/>
      <c r="H3" s="1985"/>
      <c r="I3" s="1985"/>
      <c r="J3" s="1985"/>
      <c r="K3" s="1985"/>
      <c r="L3" s="1985"/>
      <c r="M3" s="1985"/>
      <c r="N3" s="1985"/>
      <c r="O3" s="1985"/>
      <c r="P3" s="991"/>
      <c r="Q3" s="991"/>
      <c r="R3" s="991"/>
      <c r="S3" s="992"/>
      <c r="T3" s="992"/>
      <c r="U3" s="992"/>
      <c r="V3" s="1022"/>
    </row>
    <row r="4" spans="1:22" ht="12.75" customHeight="1">
      <c r="A4" s="309"/>
      <c r="B4" s="894"/>
      <c r="C4" s="894"/>
      <c r="D4" s="894"/>
      <c r="E4" s="894"/>
      <c r="F4" s="894"/>
      <c r="G4" s="894"/>
      <c r="H4" s="894"/>
      <c r="I4" s="894"/>
      <c r="J4" s="894"/>
      <c r="K4" s="894"/>
      <c r="L4" s="894"/>
      <c r="M4" s="894"/>
      <c r="N4" s="894"/>
      <c r="O4" s="894"/>
      <c r="P4" s="994"/>
      <c r="Q4" s="994"/>
      <c r="R4" s="994"/>
      <c r="S4" s="933"/>
      <c r="T4" s="933"/>
      <c r="U4" s="933"/>
      <c r="V4" s="609"/>
    </row>
    <row r="5" spans="1:22" ht="12.75" customHeight="1">
      <c r="A5" s="897"/>
      <c r="B5" s="897"/>
      <c r="C5" s="898"/>
      <c r="D5" s="1988" t="s">
        <v>3</v>
      </c>
      <c r="E5" s="1989"/>
      <c r="F5" s="1989"/>
      <c r="G5" s="1989"/>
      <c r="H5" s="1989"/>
      <c r="I5" s="1989"/>
      <c r="J5" s="1989"/>
      <c r="K5" s="1989"/>
      <c r="L5" s="1990"/>
      <c r="M5" s="899"/>
      <c r="N5" s="1991"/>
      <c r="O5" s="1992"/>
      <c r="P5" s="995"/>
      <c r="Q5" s="995"/>
      <c r="R5" s="995"/>
      <c r="S5" s="309"/>
      <c r="T5" s="309"/>
      <c r="U5" s="309"/>
      <c r="V5" s="328"/>
    </row>
    <row r="6" spans="1:22" ht="12.75" customHeight="1">
      <c r="A6" s="1053"/>
      <c r="B6" s="900"/>
      <c r="C6" s="901"/>
      <c r="D6" s="2008">
        <v>40178</v>
      </c>
      <c r="E6" s="1981"/>
      <c r="F6" s="1981"/>
      <c r="G6" s="1981"/>
      <c r="H6" s="902"/>
      <c r="I6" s="2003">
        <v>40543</v>
      </c>
      <c r="J6" s="1981"/>
      <c r="K6" s="1981"/>
      <c r="L6" s="1983"/>
      <c r="M6" s="900"/>
      <c r="N6" s="544" t="s">
        <v>5</v>
      </c>
      <c r="O6" s="41" t="s">
        <v>6</v>
      </c>
      <c r="P6" s="1116"/>
      <c r="Q6" s="892"/>
      <c r="R6" s="892"/>
      <c r="S6" s="323"/>
      <c r="T6" s="323"/>
      <c r="U6" s="323"/>
      <c r="V6" s="327"/>
    </row>
    <row r="7" spans="1:22" ht="12.75" customHeight="1">
      <c r="A7" s="42"/>
      <c r="B7" s="905" t="s">
        <v>7</v>
      </c>
      <c r="C7" s="906" t="s">
        <v>8</v>
      </c>
      <c r="D7" s="893" t="s">
        <v>9</v>
      </c>
      <c r="E7" s="113" t="s">
        <v>10</v>
      </c>
      <c r="F7" s="113" t="s">
        <v>11</v>
      </c>
      <c r="G7" s="113" t="s">
        <v>12</v>
      </c>
      <c r="H7" s="905"/>
      <c r="I7" s="113" t="s">
        <v>9</v>
      </c>
      <c r="J7" s="113" t="s">
        <v>10</v>
      </c>
      <c r="K7" s="114" t="s">
        <v>11</v>
      </c>
      <c r="L7" s="115" t="s">
        <v>12</v>
      </c>
      <c r="M7" s="905"/>
      <c r="N7" s="113" t="s">
        <v>15</v>
      </c>
      <c r="O7" s="53" t="s">
        <v>15</v>
      </c>
      <c r="P7" s="544"/>
      <c r="Q7" s="900"/>
      <c r="R7" s="892"/>
      <c r="S7" s="323"/>
      <c r="T7" s="323"/>
      <c r="U7" s="323"/>
      <c r="V7" s="327"/>
    </row>
    <row r="8" spans="1:22" ht="12.75" customHeight="1">
      <c r="A8" s="43">
        <v>1</v>
      </c>
      <c r="B8" s="1053" t="s">
        <v>230</v>
      </c>
      <c r="C8" s="2" t="s">
        <v>231</v>
      </c>
      <c r="D8" s="547">
        <v>25</v>
      </c>
      <c r="E8" s="1055">
        <v>82.67</v>
      </c>
      <c r="F8" s="327">
        <f>E8*D8</f>
        <v>2066.75</v>
      </c>
      <c r="G8" s="331">
        <f>F8/$F$68</f>
        <v>3.4024922360452958E-2</v>
      </c>
      <c r="H8" s="900"/>
      <c r="I8" s="547">
        <v>25</v>
      </c>
      <c r="J8" s="1055">
        <v>86.3</v>
      </c>
      <c r="K8" s="1147">
        <f t="shared" ref="K8:K35" si="0">I8*J8</f>
        <v>2157.5</v>
      </c>
      <c r="L8" s="1118">
        <f t="shared" ref="L8:L35" si="1">K8/$K$68</f>
        <v>2.9942991043194381E-2</v>
      </c>
      <c r="M8" s="900"/>
      <c r="N8" s="495">
        <f>(J8-E8)/E8</f>
        <v>4.3909519777428276E-2</v>
      </c>
      <c r="O8" s="1086">
        <f>(J8-Transactions!C1395)/Transactions!C1395</f>
        <v>0.10188968335035757</v>
      </c>
      <c r="P8" s="895"/>
      <c r="Q8" s="900"/>
      <c r="R8" s="892"/>
      <c r="S8" s="323"/>
      <c r="T8" s="323"/>
      <c r="U8" s="323"/>
      <c r="V8" s="327"/>
    </row>
    <row r="9" spans="1:22" ht="12.75" customHeight="1">
      <c r="A9" s="322">
        <v>2</v>
      </c>
      <c r="B9" s="334" t="s">
        <v>276</v>
      </c>
      <c r="C9" s="335" t="s">
        <v>277</v>
      </c>
      <c r="D9" s="547"/>
      <c r="E9" s="1055"/>
      <c r="F9" s="327"/>
      <c r="G9" s="331"/>
      <c r="H9" s="900"/>
      <c r="I9" s="547">
        <v>40</v>
      </c>
      <c r="J9" s="1055">
        <v>47.91</v>
      </c>
      <c r="K9" s="1147">
        <f t="shared" si="0"/>
        <v>1916.3999999999999</v>
      </c>
      <c r="L9" s="1118">
        <f t="shared" si="1"/>
        <v>2.6596870468216779E-2</v>
      </c>
      <c r="M9" s="900"/>
      <c r="N9" s="495"/>
      <c r="O9" s="329">
        <f>(J9-Transactions!C1200)/Transactions!C1200</f>
        <v>1.0461242793081358</v>
      </c>
      <c r="P9" s="1148"/>
      <c r="Q9" s="900"/>
      <c r="R9" s="892"/>
      <c r="S9" s="323"/>
      <c r="T9" s="323"/>
      <c r="U9" s="323"/>
      <c r="V9" s="327"/>
    </row>
    <row r="10" spans="1:22" ht="12.75" customHeight="1">
      <c r="A10" s="322">
        <v>3</v>
      </c>
      <c r="B10" s="334" t="s">
        <v>247</v>
      </c>
      <c r="C10" s="335" t="s">
        <v>205</v>
      </c>
      <c r="D10" s="546">
        <v>17</v>
      </c>
      <c r="E10" s="1055">
        <v>60.58</v>
      </c>
      <c r="F10" s="327">
        <f>E10*D10</f>
        <v>1029.8599999999999</v>
      </c>
      <c r="G10" s="331">
        <f>F10/$F$68</f>
        <v>1.6954593706126082E-2</v>
      </c>
      <c r="H10" s="940"/>
      <c r="I10" s="546">
        <v>17</v>
      </c>
      <c r="J10" s="1055">
        <v>39.49</v>
      </c>
      <c r="K10" s="1147">
        <f t="shared" si="0"/>
        <v>671.33</v>
      </c>
      <c r="L10" s="1118">
        <f t="shared" si="1"/>
        <v>9.3170930136860647E-3</v>
      </c>
      <c r="M10" s="345"/>
      <c r="N10" s="495">
        <f>(J10-E10)/E10</f>
        <v>-0.3481346979201056</v>
      </c>
      <c r="O10" s="329">
        <f>(J10-Transactions!C1436)/Transactions!C1436</f>
        <v>-0.45955488891382712</v>
      </c>
      <c r="P10" s="1148"/>
      <c r="Q10" s="1001"/>
      <c r="R10" s="326"/>
      <c r="S10" s="309"/>
      <c r="T10" s="328"/>
      <c r="U10" s="309"/>
      <c r="V10" s="328"/>
    </row>
    <row r="11" spans="1:22" ht="12.75" customHeight="1">
      <c r="A11" s="322">
        <v>4</v>
      </c>
      <c r="B11" s="334" t="s">
        <v>206</v>
      </c>
      <c r="C11" s="335" t="s">
        <v>207</v>
      </c>
      <c r="D11" s="546">
        <v>25</v>
      </c>
      <c r="E11" s="1055">
        <v>210.732</v>
      </c>
      <c r="F11" s="327">
        <f>E11*D11</f>
        <v>5268.3</v>
      </c>
      <c r="G11" s="331">
        <f>F11/$F$68</f>
        <v>8.6732066515821618E-2</v>
      </c>
      <c r="H11" s="940"/>
      <c r="I11" s="546">
        <v>25</v>
      </c>
      <c r="J11" s="1055">
        <v>322.56</v>
      </c>
      <c r="K11" s="1147">
        <f t="shared" si="0"/>
        <v>8064</v>
      </c>
      <c r="L11" s="1118">
        <f t="shared" si="1"/>
        <v>0.11191669977859535</v>
      </c>
      <c r="M11" s="345"/>
      <c r="N11" s="495">
        <f>(J11-E11)/E11</f>
        <v>0.5306645407436934</v>
      </c>
      <c r="O11" s="329">
        <f>(J11-Transactions!C1431)/Transactions!C1431</f>
        <v>0.82237288135593223</v>
      </c>
      <c r="P11" s="1148"/>
      <c r="Q11" s="1001"/>
      <c r="R11" s="326"/>
      <c r="S11" s="309"/>
      <c r="T11" s="328"/>
      <c r="U11" s="309"/>
      <c r="V11" s="328"/>
    </row>
    <row r="12" spans="1:22" ht="12.75" customHeight="1">
      <c r="A12" s="322">
        <v>5</v>
      </c>
      <c r="B12" s="334" t="s">
        <v>208</v>
      </c>
      <c r="C12" s="335" t="s">
        <v>209</v>
      </c>
      <c r="D12" s="546">
        <v>150</v>
      </c>
      <c r="E12" s="1055">
        <f>39.12/2</f>
        <v>19.559999999999999</v>
      </c>
      <c r="F12" s="327">
        <f>E12*D12</f>
        <v>2934</v>
      </c>
      <c r="G12" s="331">
        <f>F12/$F$68</f>
        <v>4.8302466290344251E-2</v>
      </c>
      <c r="H12" s="940"/>
      <c r="I12" s="546">
        <f>75*2</f>
        <v>150</v>
      </c>
      <c r="J12" s="1055">
        <v>22.18</v>
      </c>
      <c r="K12" s="1147">
        <f t="shared" si="0"/>
        <v>3327</v>
      </c>
      <c r="L12" s="1118">
        <f t="shared" si="1"/>
        <v>4.6173965794070779E-2</v>
      </c>
      <c r="M12" s="345"/>
      <c r="N12" s="495">
        <f>(J12-E12)/E12</f>
        <v>0.13394683026584872</v>
      </c>
      <c r="O12" s="329">
        <f>(J12-Transactions!C1461)/Transactions!C1461</f>
        <v>0.61544064093226503</v>
      </c>
      <c r="P12" s="1148"/>
      <c r="Q12" s="1001"/>
      <c r="R12" s="326"/>
      <c r="S12" s="309"/>
      <c r="T12" s="328"/>
      <c r="U12" s="309"/>
      <c r="V12" s="328"/>
    </row>
    <row r="13" spans="1:22" ht="12.75" customHeight="1">
      <c r="A13" s="322">
        <v>6</v>
      </c>
      <c r="B13" s="334" t="s">
        <v>278</v>
      </c>
      <c r="C13" s="335" t="s">
        <v>279</v>
      </c>
      <c r="D13" s="546">
        <v>100</v>
      </c>
      <c r="E13" s="1055">
        <v>8.6999999999999993</v>
      </c>
      <c r="F13" s="327">
        <f>E13*D13</f>
        <v>869.99999999999989</v>
      </c>
      <c r="G13" s="331">
        <f>F13/$F$68</f>
        <v>1.4322817202658314E-2</v>
      </c>
      <c r="H13" s="940"/>
      <c r="I13" s="546">
        <v>100</v>
      </c>
      <c r="J13" s="1055">
        <v>5.29</v>
      </c>
      <c r="K13" s="1147">
        <f t="shared" si="0"/>
        <v>529</v>
      </c>
      <c r="L13" s="1118">
        <f t="shared" si="1"/>
        <v>7.3417577111702555E-3</v>
      </c>
      <c r="M13" s="345"/>
      <c r="N13" s="495">
        <f>(J13-E13)/E13</f>
        <v>-0.39195402298850568</v>
      </c>
      <c r="O13" s="329">
        <f>(J13-Transactions!C1295)/Transactions!C1295</f>
        <v>-0.39195402298850568</v>
      </c>
      <c r="P13" s="1148"/>
      <c r="Q13" s="1001"/>
      <c r="R13" s="326"/>
      <c r="S13" s="309"/>
      <c r="T13" s="328"/>
      <c r="U13" s="309"/>
      <c r="V13" s="328"/>
    </row>
    <row r="14" spans="1:22" ht="12.75" customHeight="1">
      <c r="A14" s="322">
        <v>7</v>
      </c>
      <c r="B14" s="334" t="s">
        <v>280</v>
      </c>
      <c r="C14" s="335" t="s">
        <v>251</v>
      </c>
      <c r="D14" s="546"/>
      <c r="E14" s="1055"/>
      <c r="F14" s="327"/>
      <c r="G14" s="331"/>
      <c r="H14" s="940"/>
      <c r="I14" s="546">
        <v>30</v>
      </c>
      <c r="J14" s="1055">
        <v>49.62</v>
      </c>
      <c r="K14" s="1147">
        <f t="shared" si="0"/>
        <v>1488.6</v>
      </c>
      <c r="L14" s="1118">
        <f t="shared" si="1"/>
        <v>2.0659622927879095E-2</v>
      </c>
      <c r="M14" s="345"/>
      <c r="N14" s="495"/>
      <c r="O14" s="329">
        <f>(J14-Transactions!C1228)/Transactions!C1228</f>
        <v>-2.5147347740668E-2</v>
      </c>
      <c r="P14" s="1148"/>
      <c r="Q14" s="1001"/>
      <c r="R14" s="326"/>
      <c r="S14" s="309"/>
      <c r="T14" s="328"/>
      <c r="U14" s="309"/>
      <c r="V14" s="328"/>
    </row>
    <row r="15" spans="1:22" ht="12.75" customHeight="1">
      <c r="A15" s="322">
        <v>8</v>
      </c>
      <c r="B15" s="334" t="s">
        <v>281</v>
      </c>
      <c r="C15" s="335" t="s">
        <v>152</v>
      </c>
      <c r="D15" s="546"/>
      <c r="E15" s="1055"/>
      <c r="F15" s="327"/>
      <c r="G15" s="331"/>
      <c r="H15" s="940"/>
      <c r="I15" s="546">
        <v>100</v>
      </c>
      <c r="J15" s="1055">
        <v>20.23</v>
      </c>
      <c r="K15" s="1147">
        <f t="shared" si="0"/>
        <v>2023</v>
      </c>
      <c r="L15" s="1118">
        <f t="shared" si="1"/>
        <v>2.8076324857651092E-2</v>
      </c>
      <c r="M15" s="345"/>
      <c r="N15" s="495"/>
      <c r="O15" s="329">
        <f>(J15-Transactions!C1201)/Transactions!C1201</f>
        <v>7.8933333333333355E-2</v>
      </c>
      <c r="P15" s="1148"/>
      <c r="Q15" s="1001"/>
      <c r="R15" s="326"/>
      <c r="S15" s="309"/>
      <c r="T15" s="328"/>
      <c r="U15" s="309"/>
      <c r="V15" s="328"/>
    </row>
    <row r="16" spans="1:22" ht="12.75" customHeight="1">
      <c r="A16" s="322">
        <v>9</v>
      </c>
      <c r="B16" s="334" t="s">
        <v>153</v>
      </c>
      <c r="C16" s="335" t="s">
        <v>154</v>
      </c>
      <c r="D16" s="546">
        <v>50</v>
      </c>
      <c r="E16" s="1055">
        <v>57</v>
      </c>
      <c r="F16" s="327">
        <f>E16*D16</f>
        <v>2850</v>
      </c>
      <c r="G16" s="331">
        <f>F16/$F$68</f>
        <v>4.6919573594915172E-2</v>
      </c>
      <c r="H16" s="940"/>
      <c r="I16" s="546">
        <v>35</v>
      </c>
      <c r="J16" s="1055">
        <v>65.77</v>
      </c>
      <c r="K16" s="1147">
        <f t="shared" si="0"/>
        <v>2301.9499999999998</v>
      </c>
      <c r="L16" s="1118">
        <f t="shared" si="1"/>
        <v>3.194774889079087E-2</v>
      </c>
      <c r="M16" s="345"/>
      <c r="N16" s="495">
        <f>(J16-E16)/E16</f>
        <v>0.15385964912280695</v>
      </c>
      <c r="O16" s="329">
        <f>(J16-Transactions!C1375)/Transactions!C1375</f>
        <v>2.0004562043795615</v>
      </c>
      <c r="P16" s="1148"/>
      <c r="Q16" s="1001"/>
      <c r="R16" s="326"/>
      <c r="S16" s="309"/>
      <c r="T16" s="328"/>
      <c r="U16" s="309"/>
      <c r="V16" s="328"/>
    </row>
    <row r="17" spans="1:22" ht="12.75" customHeight="1">
      <c r="A17" s="322">
        <v>10</v>
      </c>
      <c r="B17" s="1059" t="s">
        <v>24</v>
      </c>
      <c r="C17" s="138" t="s">
        <v>25</v>
      </c>
      <c r="D17" s="1119">
        <v>80</v>
      </c>
      <c r="E17" s="1055">
        <v>37.6</v>
      </c>
      <c r="F17" s="327">
        <f>E17*D17</f>
        <v>3008</v>
      </c>
      <c r="G17" s="331">
        <f>F17/$F$68</f>
        <v>4.9520728902984153E-2</v>
      </c>
      <c r="H17" s="949"/>
      <c r="I17" s="1119">
        <v>80</v>
      </c>
      <c r="J17" s="1055">
        <v>47.17</v>
      </c>
      <c r="K17" s="1147">
        <f t="shared" si="0"/>
        <v>3773.6000000000004</v>
      </c>
      <c r="L17" s="1118">
        <f t="shared" si="1"/>
        <v>5.237213024361452E-2</v>
      </c>
      <c r="M17" s="309"/>
      <c r="N17" s="495">
        <f>(J17-E17)/E17</f>
        <v>0.25452127659574469</v>
      </c>
      <c r="O17" s="329">
        <f>(J17-Transactions!C1718)/Transactions!C1718</f>
        <v>0.85891625615763556</v>
      </c>
      <c r="P17" s="1148"/>
      <c r="Q17" s="1001"/>
      <c r="R17" s="326"/>
      <c r="S17" s="309"/>
      <c r="T17" s="328"/>
      <c r="U17" s="309"/>
      <c r="V17" s="328"/>
    </row>
    <row r="18" spans="1:22" ht="12.75" customHeight="1">
      <c r="A18" s="322">
        <v>11</v>
      </c>
      <c r="B18" s="334" t="s">
        <v>282</v>
      </c>
      <c r="C18" s="335" t="s">
        <v>283</v>
      </c>
      <c r="D18" s="546"/>
      <c r="E18" s="1055"/>
      <c r="F18" s="327"/>
      <c r="G18" s="331"/>
      <c r="H18" s="940"/>
      <c r="I18" s="546">
        <v>50</v>
      </c>
      <c r="J18" s="1055">
        <v>41.64</v>
      </c>
      <c r="K18" s="1147">
        <f t="shared" si="0"/>
        <v>2082</v>
      </c>
      <c r="L18" s="1118">
        <f t="shared" si="1"/>
        <v>2.8895159838670081E-2</v>
      </c>
      <c r="M18" s="345"/>
      <c r="N18" s="495"/>
      <c r="O18" s="329">
        <f>(J18-Transactions!C1273)/Transactions!C1273</f>
        <v>-4.5173125429947232E-2</v>
      </c>
      <c r="P18" s="1148"/>
      <c r="Q18" s="1001"/>
      <c r="R18" s="326"/>
      <c r="S18" s="309"/>
      <c r="T18" s="328"/>
      <c r="U18" s="309"/>
      <c r="V18" s="328"/>
    </row>
    <row r="19" spans="1:22" ht="12.75" customHeight="1">
      <c r="A19" s="322">
        <v>12</v>
      </c>
      <c r="B19" s="334" t="s">
        <v>284</v>
      </c>
      <c r="C19" s="138" t="s">
        <v>285</v>
      </c>
      <c r="D19" s="1119">
        <v>28</v>
      </c>
      <c r="E19" s="1055">
        <v>66.47</v>
      </c>
      <c r="F19" s="327">
        <f>E19*D19</f>
        <v>1861.1599999999999</v>
      </c>
      <c r="G19" s="331">
        <f>F19/$F$68</f>
        <v>3.0640292488390286E-2</v>
      </c>
      <c r="H19" s="949"/>
      <c r="I19" s="1119">
        <v>28</v>
      </c>
      <c r="J19" s="1055">
        <v>73.12</v>
      </c>
      <c r="K19" s="1147">
        <f t="shared" si="0"/>
        <v>2047.3600000000001</v>
      </c>
      <c r="L19" s="1118">
        <f t="shared" si="1"/>
        <v>2.8414406554898932E-2</v>
      </c>
      <c r="M19" s="309"/>
      <c r="N19" s="495">
        <f>(J19-E19)/E19</f>
        <v>0.10004513314277126</v>
      </c>
      <c r="O19" s="329">
        <f>(J19-Transactions!C1403)/Transactions!C1403</f>
        <v>-0.13262158956109127</v>
      </c>
      <c r="P19" s="1148"/>
      <c r="Q19" s="1001"/>
      <c r="R19" s="326"/>
      <c r="S19" s="309"/>
      <c r="T19" s="328"/>
      <c r="U19" s="309"/>
      <c r="V19" s="328"/>
    </row>
    <row r="20" spans="1:22" ht="12.75" customHeight="1">
      <c r="A20" s="322">
        <v>13</v>
      </c>
      <c r="B20" s="334" t="s">
        <v>286</v>
      </c>
      <c r="C20" s="335" t="s">
        <v>287</v>
      </c>
      <c r="D20" s="546"/>
      <c r="E20" s="1055"/>
      <c r="F20" s="327"/>
      <c r="G20" s="331"/>
      <c r="H20" s="940"/>
      <c r="I20" s="546">
        <v>18</v>
      </c>
      <c r="J20" s="1055">
        <v>9.73</v>
      </c>
      <c r="K20" s="1147">
        <f t="shared" si="0"/>
        <v>175.14000000000001</v>
      </c>
      <c r="L20" s="1118">
        <f t="shared" si="1"/>
        <v>2.4306908233163679E-3</v>
      </c>
      <c r="M20" s="345"/>
      <c r="N20" s="495"/>
      <c r="O20" s="329">
        <f>(J20-Transactions!C1238)/Transactions!C1238</f>
        <v>0.29560585885486029</v>
      </c>
      <c r="P20" s="1148"/>
      <c r="Q20" s="1001"/>
      <c r="R20" s="326"/>
      <c r="S20" s="309"/>
      <c r="T20" s="328"/>
      <c r="U20" s="309"/>
      <c r="V20" s="328"/>
    </row>
    <row r="21" spans="1:22" ht="12.75" customHeight="1">
      <c r="A21" s="322">
        <v>14</v>
      </c>
      <c r="B21" s="334" t="s">
        <v>288</v>
      </c>
      <c r="C21" s="335" t="s">
        <v>289</v>
      </c>
      <c r="D21" s="546"/>
      <c r="E21" s="1055"/>
      <c r="F21" s="327"/>
      <c r="G21" s="331"/>
      <c r="H21" s="940"/>
      <c r="I21" s="546">
        <v>50</v>
      </c>
      <c r="J21" s="1055">
        <v>42.1</v>
      </c>
      <c r="K21" s="1147">
        <f t="shared" si="0"/>
        <v>2105</v>
      </c>
      <c r="L21" s="1118">
        <f t="shared" si="1"/>
        <v>2.9214366695677483E-2</v>
      </c>
      <c r="M21" s="345"/>
      <c r="N21" s="495"/>
      <c r="O21" s="329">
        <f>(J21-Transactions!C1205)/Transactions!C1205</f>
        <v>-9.8777046095955244E-3</v>
      </c>
      <c r="P21" s="1148"/>
      <c r="Q21" s="1001"/>
      <c r="R21" s="326"/>
      <c r="S21" s="309"/>
      <c r="T21" s="328"/>
      <c r="U21" s="309"/>
      <c r="V21" s="328"/>
    </row>
    <row r="22" spans="1:22" ht="12.75" customHeight="1">
      <c r="A22" s="322">
        <v>15</v>
      </c>
      <c r="B22" s="334" t="s">
        <v>290</v>
      </c>
      <c r="C22" s="335" t="s">
        <v>291</v>
      </c>
      <c r="D22" s="546"/>
      <c r="E22" s="1055"/>
      <c r="F22" s="327"/>
      <c r="G22" s="331"/>
      <c r="H22" s="940"/>
      <c r="I22" s="546">
        <v>100</v>
      </c>
      <c r="J22" s="1055">
        <v>25.08</v>
      </c>
      <c r="K22" s="1147">
        <f t="shared" si="0"/>
        <v>2508</v>
      </c>
      <c r="L22" s="1118">
        <f t="shared" si="1"/>
        <v>3.4807425972807185E-2</v>
      </c>
      <c r="M22" s="345"/>
      <c r="N22" s="495"/>
      <c r="O22" s="329">
        <f>(J22-Transactions!C1272)/Transactions!C1272</f>
        <v>2.2421524663677014E-2</v>
      </c>
      <c r="P22" s="1148"/>
      <c r="Q22" s="1001"/>
      <c r="R22" s="326"/>
      <c r="S22" s="309"/>
      <c r="T22" s="328"/>
      <c r="U22" s="309"/>
      <c r="V22" s="328"/>
    </row>
    <row r="23" spans="1:22" ht="12.75" customHeight="1">
      <c r="A23" s="322">
        <v>16</v>
      </c>
      <c r="B23" s="334" t="s">
        <v>40</v>
      </c>
      <c r="C23" s="138" t="s">
        <v>41</v>
      </c>
      <c r="D23" s="1119">
        <v>75</v>
      </c>
      <c r="E23" s="1055">
        <v>30.48</v>
      </c>
      <c r="F23" s="327">
        <f>E23*D23</f>
        <v>2286</v>
      </c>
      <c r="G23" s="331">
        <f>F23/$F$68</f>
        <v>3.7634436925605641E-2</v>
      </c>
      <c r="H23" s="949"/>
      <c r="I23" s="1119">
        <v>75</v>
      </c>
      <c r="J23" s="1055">
        <v>27.91</v>
      </c>
      <c r="K23" s="1147">
        <f t="shared" si="0"/>
        <v>2093.25</v>
      </c>
      <c r="L23" s="1118">
        <f t="shared" si="1"/>
        <v>2.9051293627423702E-2</v>
      </c>
      <c r="M23" s="309"/>
      <c r="N23" s="495">
        <f>(J23-E23)/E23</f>
        <v>-8.4317585301837278E-2</v>
      </c>
      <c r="O23" s="329">
        <f>(J23-Transactions!C1774)/Transactions!C1774</f>
        <v>9.6229379418695957E-2</v>
      </c>
      <c r="P23" s="1148"/>
      <c r="Q23" s="1001"/>
      <c r="R23" s="326"/>
      <c r="S23" s="309"/>
      <c r="T23" s="328"/>
      <c r="U23" s="309"/>
      <c r="V23" s="328"/>
    </row>
    <row r="24" spans="1:22" ht="12.75" customHeight="1">
      <c r="A24" s="322">
        <v>17</v>
      </c>
      <c r="B24" s="334" t="s">
        <v>292</v>
      </c>
      <c r="C24" s="138" t="s">
        <v>293</v>
      </c>
      <c r="D24" s="1119"/>
      <c r="E24" s="1055"/>
      <c r="F24" s="327"/>
      <c r="G24" s="331"/>
      <c r="H24" s="949"/>
      <c r="I24" s="1119">
        <v>65</v>
      </c>
      <c r="J24" s="1055">
        <v>58.95</v>
      </c>
      <c r="K24" s="1147">
        <f t="shared" si="0"/>
        <v>3831.75</v>
      </c>
      <c r="L24" s="1118">
        <f t="shared" si="1"/>
        <v>5.3179168449483227E-2</v>
      </c>
      <c r="M24" s="309"/>
      <c r="N24" s="495"/>
      <c r="O24" s="329">
        <f>(J24-Transactions!C1250)/Transactions!C1250</f>
        <v>0.11563209689629067</v>
      </c>
      <c r="P24" s="1148"/>
      <c r="Q24" s="1001"/>
      <c r="R24" s="326"/>
      <c r="S24" s="309"/>
      <c r="T24" s="328"/>
      <c r="U24" s="309"/>
      <c r="V24" s="328"/>
    </row>
    <row r="25" spans="1:22" ht="12.75" customHeight="1">
      <c r="A25" s="322">
        <v>18</v>
      </c>
      <c r="B25" s="334" t="s">
        <v>294</v>
      </c>
      <c r="C25" s="138" t="s">
        <v>295</v>
      </c>
      <c r="D25" s="1119">
        <v>7</v>
      </c>
      <c r="E25" s="1055">
        <v>34.880000000000003</v>
      </c>
      <c r="F25" s="327">
        <f>E25*D25</f>
        <v>244.16000000000003</v>
      </c>
      <c r="G25" s="331">
        <f>F25/$F$68</f>
        <v>4.0196081013805229E-3</v>
      </c>
      <c r="H25" s="949"/>
      <c r="I25" s="1119">
        <v>7</v>
      </c>
      <c r="J25" s="1055">
        <v>27.41</v>
      </c>
      <c r="K25" s="1147">
        <f t="shared" si="0"/>
        <v>191.87</v>
      </c>
      <c r="L25" s="1118">
        <f t="shared" si="1"/>
        <v>2.6628791153917525E-3</v>
      </c>
      <c r="M25" s="309"/>
      <c r="N25" s="495">
        <f>(J25-E25)/E25</f>
        <v>-0.2141628440366973</v>
      </c>
      <c r="O25" s="1149">
        <f>(J25-Transactions!C1299)/Transactions!C1299</f>
        <v>-0.2141628440366973</v>
      </c>
      <c r="P25" s="1148"/>
      <c r="Q25" s="1001"/>
      <c r="R25" s="326"/>
      <c r="S25" s="309"/>
      <c r="T25" s="328"/>
      <c r="U25" s="309"/>
      <c r="V25" s="328"/>
    </row>
    <row r="26" spans="1:22" ht="12.75" customHeight="1">
      <c r="A26" s="322">
        <v>19</v>
      </c>
      <c r="B26" s="334" t="s">
        <v>256</v>
      </c>
      <c r="C26" s="138" t="s">
        <v>257</v>
      </c>
      <c r="D26" s="1119">
        <v>65</v>
      </c>
      <c r="E26" s="1055">
        <v>60.63</v>
      </c>
      <c r="F26" s="327">
        <f>E26*D26</f>
        <v>3940.9500000000003</v>
      </c>
      <c r="G26" s="331">
        <f>F26/$F$68</f>
        <v>6.487989247680033E-2</v>
      </c>
      <c r="H26" s="949"/>
      <c r="I26" s="1119">
        <v>20</v>
      </c>
      <c r="J26" s="1055">
        <v>64.33</v>
      </c>
      <c r="K26" s="1147">
        <f t="shared" si="0"/>
        <v>1286.5999999999999</v>
      </c>
      <c r="L26" s="1118">
        <f t="shared" si="1"/>
        <v>1.7856154009814083E-2</v>
      </c>
      <c r="M26" s="309"/>
      <c r="N26" s="495">
        <f>(J26-E26)/E26</f>
        <v>6.1025894771565156E-2</v>
      </c>
      <c r="O26" s="329">
        <f>(J26-Transactions!C1315)/Transactions!C1315</f>
        <v>4.0275293744764677E-2</v>
      </c>
      <c r="P26" s="1148"/>
      <c r="Q26" s="1001"/>
      <c r="R26" s="326"/>
      <c r="S26" s="309"/>
      <c r="T26" s="328"/>
      <c r="U26" s="309"/>
      <c r="V26" s="328"/>
    </row>
    <row r="27" spans="1:22" ht="12.75" customHeight="1">
      <c r="A27" s="322">
        <v>20</v>
      </c>
      <c r="B27" s="334" t="s">
        <v>260</v>
      </c>
      <c r="C27" s="138" t="s">
        <v>261</v>
      </c>
      <c r="D27" s="1119">
        <v>44</v>
      </c>
      <c r="E27" s="1055">
        <v>42.26</v>
      </c>
      <c r="F27" s="327">
        <f>E27*D27</f>
        <v>1859.4399999999998</v>
      </c>
      <c r="G27" s="331">
        <f>F27/$F$68</f>
        <v>3.0611976114150546E-2</v>
      </c>
      <c r="H27" s="949"/>
      <c r="I27" s="1119">
        <v>44</v>
      </c>
      <c r="J27" s="1055">
        <v>56.58</v>
      </c>
      <c r="K27" s="1147">
        <f t="shared" si="0"/>
        <v>2489.52</v>
      </c>
      <c r="L27" s="1118">
        <f t="shared" si="1"/>
        <v>3.4550950202481237E-2</v>
      </c>
      <c r="M27" s="309"/>
      <c r="N27" s="495">
        <f>(J27-E27)/E27</f>
        <v>0.33885470894462849</v>
      </c>
      <c r="O27" s="329">
        <f>(J27-Transactions!C1334)/Transactions!C1334</f>
        <v>0.5756056808688389</v>
      </c>
      <c r="P27" s="1148"/>
      <c r="Q27" s="1001"/>
      <c r="R27" s="326"/>
      <c r="S27" s="309"/>
      <c r="T27" s="328"/>
      <c r="U27" s="309"/>
      <c r="V27" s="328"/>
    </row>
    <row r="28" spans="1:22" ht="12.75" customHeight="1">
      <c r="A28" s="322">
        <v>21</v>
      </c>
      <c r="B28" s="334" t="s">
        <v>238</v>
      </c>
      <c r="C28" s="138" t="s">
        <v>239</v>
      </c>
      <c r="D28" s="1119">
        <v>40</v>
      </c>
      <c r="E28" s="1055">
        <v>68.56</v>
      </c>
      <c r="F28" s="327">
        <f>E28*D28</f>
        <v>2742.4</v>
      </c>
      <c r="G28" s="331">
        <f>F28/$F$68</f>
        <v>4.5148153904103636E-2</v>
      </c>
      <c r="H28" s="949"/>
      <c r="I28" s="1119">
        <v>40</v>
      </c>
      <c r="J28" s="1055">
        <v>65.67</v>
      </c>
      <c r="K28" s="1147">
        <f t="shared" si="0"/>
        <v>2626.8</v>
      </c>
      <c r="L28" s="1118">
        <f t="shared" si="1"/>
        <v>3.6456198782045424E-2</v>
      </c>
      <c r="M28" s="309"/>
      <c r="N28" s="495">
        <f>(J28-E28)/E28</f>
        <v>-4.2152858809801644E-2</v>
      </c>
      <c r="O28" s="329">
        <f>(J28-Transactions!C1391)/Transactions!C1391</f>
        <v>-5.8899398108340488E-2</v>
      </c>
      <c r="P28" s="1148"/>
      <c r="Q28" s="1001"/>
      <c r="R28" s="326"/>
      <c r="S28" s="309"/>
      <c r="T28" s="328"/>
      <c r="U28" s="309"/>
      <c r="V28" s="328"/>
    </row>
    <row r="29" spans="1:22" ht="12.75" customHeight="1">
      <c r="A29" s="322">
        <v>22</v>
      </c>
      <c r="B29" s="334" t="s">
        <v>262</v>
      </c>
      <c r="C29" s="138" t="s">
        <v>263</v>
      </c>
      <c r="D29" s="1119">
        <v>29</v>
      </c>
      <c r="E29" s="1055">
        <v>53.89</v>
      </c>
      <c r="F29" s="327">
        <f>E29*D29</f>
        <v>1562.81</v>
      </c>
      <c r="G29" s="331">
        <f>F29/$F$68</f>
        <v>2.5728553968375218E-2</v>
      </c>
      <c r="H29" s="949"/>
      <c r="I29" s="1119">
        <v>29</v>
      </c>
      <c r="J29" s="1055">
        <v>53.81</v>
      </c>
      <c r="K29" s="1147">
        <f t="shared" si="0"/>
        <v>1560.49</v>
      </c>
      <c r="L29" s="1118">
        <f t="shared" si="1"/>
        <v>2.1657352534412234E-2</v>
      </c>
      <c r="M29" s="309"/>
      <c r="N29" s="495">
        <f>(J29-E29)/E29</f>
        <v>-1.4845054741139041E-3</v>
      </c>
      <c r="O29" s="329">
        <f>(J29-Transactions!C1342)/Transactions!C1342</f>
        <v>0.13260366238686602</v>
      </c>
      <c r="P29" s="1148"/>
      <c r="Q29" s="1001"/>
      <c r="R29" s="326"/>
      <c r="S29" s="309"/>
      <c r="T29" s="328"/>
      <c r="U29" s="309"/>
      <c r="V29" s="328"/>
    </row>
    <row r="30" spans="1:22" ht="12.75" customHeight="1">
      <c r="A30" s="322">
        <v>23</v>
      </c>
      <c r="B30" s="334" t="s">
        <v>296</v>
      </c>
      <c r="C30" s="138" t="s">
        <v>297</v>
      </c>
      <c r="D30" s="1119"/>
      <c r="E30" s="1150"/>
      <c r="F30" s="327"/>
      <c r="G30" s="331"/>
      <c r="H30" s="949"/>
      <c r="I30" s="1119">
        <v>76</v>
      </c>
      <c r="J30" s="1055">
        <v>35.78</v>
      </c>
      <c r="K30" s="1147">
        <f t="shared" si="0"/>
        <v>2719.28</v>
      </c>
      <c r="L30" s="1118">
        <f t="shared" si="1"/>
        <v>3.7739687918395187E-2</v>
      </c>
      <c r="M30" s="309"/>
      <c r="N30" s="495"/>
      <c r="O30" s="329">
        <f>(J30-Transactions!C1281)/Transactions!C1281</f>
        <v>0.28751349406261251</v>
      </c>
      <c r="P30" s="1148"/>
      <c r="Q30" s="1001"/>
      <c r="R30" s="326"/>
      <c r="S30" s="309"/>
      <c r="T30" s="328"/>
      <c r="U30" s="309"/>
      <c r="V30" s="328"/>
    </row>
    <row r="31" spans="1:22" ht="12.75" customHeight="1">
      <c r="A31" s="322">
        <v>24</v>
      </c>
      <c r="B31" s="334" t="s">
        <v>298</v>
      </c>
      <c r="C31" s="138" t="s">
        <v>299</v>
      </c>
      <c r="D31" s="1119"/>
      <c r="E31" s="1055"/>
      <c r="F31" s="327"/>
      <c r="G31" s="331"/>
      <c r="H31" s="949"/>
      <c r="I31" s="1119">
        <v>35</v>
      </c>
      <c r="J31" s="1055">
        <v>44.36</v>
      </c>
      <c r="K31" s="1147">
        <f t="shared" si="0"/>
        <v>1552.6</v>
      </c>
      <c r="L31" s="1118">
        <f t="shared" si="1"/>
        <v>2.1547850703899696E-2</v>
      </c>
      <c r="M31" s="309"/>
      <c r="N31" s="495"/>
      <c r="O31" s="329">
        <f>(J31-Transactions!C1287)/Transactions!C1287</f>
        <v>-1.6843971631205632E-2</v>
      </c>
      <c r="P31" s="1148"/>
      <c r="Q31" s="1001"/>
      <c r="R31" s="326"/>
      <c r="S31" s="309"/>
      <c r="T31" s="328"/>
      <c r="U31" s="309"/>
      <c r="V31" s="328"/>
    </row>
    <row r="32" spans="1:22" ht="12.75" customHeight="1">
      <c r="A32" s="322">
        <v>25</v>
      </c>
      <c r="B32" s="334" t="s">
        <v>240</v>
      </c>
      <c r="C32" s="138" t="s">
        <v>264</v>
      </c>
      <c r="D32" s="1119">
        <v>75</v>
      </c>
      <c r="E32" s="1055">
        <v>33.81</v>
      </c>
      <c r="F32" s="327">
        <f>E32*D32</f>
        <v>2535.75</v>
      </c>
      <c r="G32" s="331">
        <f>F32/$F$68</f>
        <v>4.1746073243265312E-2</v>
      </c>
      <c r="H32" s="949"/>
      <c r="I32" s="1119">
        <v>75</v>
      </c>
      <c r="J32" s="1055">
        <v>36.869999999999997</v>
      </c>
      <c r="K32" s="1147">
        <f t="shared" si="0"/>
        <v>2765.25</v>
      </c>
      <c r="L32" s="1118">
        <f t="shared" si="1"/>
        <v>3.8377685275639978E-2</v>
      </c>
      <c r="M32" s="309"/>
      <c r="N32" s="495">
        <f>(J32-E32)/E32</f>
        <v>9.0505767524400912E-2</v>
      </c>
      <c r="O32" s="329">
        <f>(J32-Transactions!C1387)/Transactions!C1387</f>
        <v>5.9805572961879105E-2</v>
      </c>
      <c r="P32" s="1148"/>
      <c r="Q32" s="1001"/>
      <c r="R32" s="326"/>
      <c r="S32" s="309"/>
      <c r="T32" s="328"/>
      <c r="U32" s="309"/>
      <c r="V32" s="328"/>
    </row>
    <row r="33" spans="1:26" ht="12.75" customHeight="1">
      <c r="A33" s="322">
        <v>26</v>
      </c>
      <c r="B33" s="334" t="s">
        <v>222</v>
      </c>
      <c r="C33" s="138" t="s">
        <v>223</v>
      </c>
      <c r="D33" s="1119">
        <v>60</v>
      </c>
      <c r="E33" s="1055">
        <v>17.91</v>
      </c>
      <c r="F33" s="327">
        <f>E33*D33</f>
        <v>1074.5999999999999</v>
      </c>
      <c r="G33" s="331">
        <f>F33/$F$68</f>
        <v>1.7691148696524855E-2</v>
      </c>
      <c r="H33" s="949"/>
      <c r="I33" s="1119">
        <v>100</v>
      </c>
      <c r="J33" s="1055">
        <v>22.8</v>
      </c>
      <c r="K33" s="1147">
        <f t="shared" si="0"/>
        <v>2280</v>
      </c>
      <c r="L33" s="1118">
        <f t="shared" si="1"/>
        <v>3.1643114520733803E-2</v>
      </c>
      <c r="M33" s="309"/>
      <c r="N33" s="495">
        <f>(J33-E33)/E33</f>
        <v>0.27303182579564494</v>
      </c>
      <c r="O33" s="329">
        <f>(J33-Transactions!C1256)/Transactions!C1256</f>
        <v>-0.29104477611940288</v>
      </c>
      <c r="P33" s="1148"/>
      <c r="Q33" s="1001"/>
      <c r="R33" s="326"/>
      <c r="S33" s="309"/>
      <c r="T33" s="328"/>
      <c r="U33" s="309"/>
      <c r="V33" s="328"/>
    </row>
    <row r="34" spans="1:26" ht="12.75" customHeight="1">
      <c r="A34" s="322">
        <v>27</v>
      </c>
      <c r="B34" s="334" t="s">
        <v>300</v>
      </c>
      <c r="C34" s="138" t="s">
        <v>301</v>
      </c>
      <c r="D34" s="1119"/>
      <c r="E34" s="1055"/>
      <c r="F34" s="327"/>
      <c r="G34" s="331"/>
      <c r="H34" s="949"/>
      <c r="I34" s="1119">
        <v>100</v>
      </c>
      <c r="J34" s="1055">
        <v>8.4</v>
      </c>
      <c r="K34" s="1147">
        <f t="shared" si="0"/>
        <v>840</v>
      </c>
      <c r="L34" s="1118">
        <f t="shared" si="1"/>
        <v>1.165798956027035E-2</v>
      </c>
      <c r="M34" s="309"/>
      <c r="N34" s="495"/>
      <c r="O34" s="329">
        <f>(J34-Transactions!C1234)/Transactions!C1234</f>
        <v>0.15862068965517245</v>
      </c>
      <c r="P34" s="1148"/>
      <c r="Q34" s="1001"/>
      <c r="R34" s="326"/>
      <c r="S34" s="309"/>
      <c r="T34" s="328"/>
      <c r="U34" s="309"/>
      <c r="V34" s="328"/>
    </row>
    <row r="35" spans="1:26" ht="12.75" customHeight="1">
      <c r="A35" s="322">
        <v>28</v>
      </c>
      <c r="B35" s="1059" t="s">
        <v>50</v>
      </c>
      <c r="C35" s="138" t="s">
        <v>51</v>
      </c>
      <c r="D35" s="1119">
        <v>54</v>
      </c>
      <c r="E35" s="1055">
        <v>34.97</v>
      </c>
      <c r="F35" s="327">
        <f>E35*D35</f>
        <v>1888.3799999999999</v>
      </c>
      <c r="G35" s="331">
        <f>F35/$F$68</f>
        <v>3.1088415573742423E-2</v>
      </c>
      <c r="H35" s="949"/>
      <c r="I35" s="1119">
        <v>54</v>
      </c>
      <c r="J35" s="1055">
        <v>49.05</v>
      </c>
      <c r="K35" s="1147">
        <f t="shared" si="0"/>
        <v>2648.7</v>
      </c>
      <c r="L35" s="1118">
        <f t="shared" si="1"/>
        <v>3.6760139224152465E-2</v>
      </c>
      <c r="M35" s="309"/>
      <c r="N35" s="495">
        <f>(J35-E35)/E35</f>
        <v>0.40263082642264797</v>
      </c>
      <c r="O35" s="329">
        <f>(J35-Transactions!C1488)/Transactions!C1488</f>
        <v>0.69958419958419948</v>
      </c>
      <c r="P35" s="1148"/>
      <c r="Q35" s="956"/>
      <c r="R35" s="326"/>
      <c r="S35" s="309"/>
      <c r="T35" s="328"/>
      <c r="U35" s="309"/>
      <c r="V35" s="328"/>
    </row>
    <row r="36" spans="1:26" ht="12.75" customHeight="1">
      <c r="A36" s="45"/>
      <c r="B36" s="959"/>
      <c r="C36" s="309"/>
      <c r="D36" s="946"/>
      <c r="E36" s="947"/>
      <c r="F36" s="948"/>
      <c r="G36" s="949"/>
      <c r="H36" s="949"/>
      <c r="I36" s="950"/>
      <c r="J36" s="1032"/>
      <c r="K36" s="1056"/>
      <c r="L36" s="1031"/>
      <c r="M36" s="309"/>
      <c r="N36" s="1061"/>
      <c r="O36" s="1068"/>
      <c r="P36" s="1151"/>
      <c r="Q36" s="326"/>
      <c r="R36" s="326"/>
      <c r="S36" s="309"/>
      <c r="T36" s="309"/>
      <c r="U36" s="309"/>
      <c r="V36" s="328"/>
    </row>
    <row r="37" spans="1:26" ht="12.75" hidden="1" customHeight="1">
      <c r="A37" s="1121"/>
      <c r="B37" s="323"/>
      <c r="C37" s="323"/>
      <c r="D37" s="946"/>
      <c r="E37" s="964"/>
      <c r="F37" s="948"/>
      <c r="G37" s="949"/>
      <c r="H37" s="949"/>
      <c r="I37" s="950"/>
      <c r="J37" s="964"/>
      <c r="K37" s="1071"/>
      <c r="L37" s="1031"/>
      <c r="M37" s="309"/>
      <c r="N37" s="895"/>
      <c r="O37" s="1073"/>
      <c r="P37" s="1151" t="str">
        <f>IF(O37&lt;-0.15,"SELL","")</f>
        <v/>
      </c>
      <c r="Q37" s="326"/>
      <c r="R37" s="326"/>
      <c r="S37" s="309"/>
      <c r="T37" s="309"/>
      <c r="U37" s="309"/>
      <c r="V37" s="328"/>
    </row>
    <row r="38" spans="1:26" ht="12.75" hidden="1" customHeight="1">
      <c r="A38" s="322"/>
      <c r="B38" s="323"/>
      <c r="C38" s="323"/>
      <c r="D38" s="946"/>
      <c r="E38" s="964"/>
      <c r="F38" s="948"/>
      <c r="G38" s="949"/>
      <c r="H38" s="949"/>
      <c r="I38" s="950"/>
      <c r="J38" s="1032"/>
      <c r="K38" s="1056"/>
      <c r="L38" s="1031"/>
      <c r="M38" s="309"/>
      <c r="N38" s="895"/>
      <c r="O38" s="329"/>
      <c r="P38" s="1151" t="str">
        <f>IF(O38&lt;-0.15,"SELL","")</f>
        <v/>
      </c>
      <c r="Q38" s="326"/>
      <c r="R38" s="326"/>
      <c r="S38" s="309"/>
      <c r="T38" s="309"/>
      <c r="U38" s="309"/>
      <c r="V38" s="328"/>
    </row>
    <row r="39" spans="1:26" ht="12.75" hidden="1" customHeight="1">
      <c r="A39" s="1121"/>
      <c r="B39" s="323"/>
      <c r="C39" s="323"/>
      <c r="D39" s="946"/>
      <c r="E39" s="964"/>
      <c r="F39" s="1047"/>
      <c r="G39" s="949"/>
      <c r="H39" s="949"/>
      <c r="I39" s="950"/>
      <c r="J39" s="1032"/>
      <c r="K39" s="1056"/>
      <c r="L39" s="1031"/>
      <c r="M39" s="309"/>
      <c r="N39" s="895"/>
      <c r="O39" s="329"/>
      <c r="P39" s="1151" t="str">
        <f>IF(O39&lt;-0.15,"SELL","")</f>
        <v/>
      </c>
      <c r="Q39" s="326"/>
      <c r="R39" s="326"/>
      <c r="S39" s="309"/>
      <c r="T39" s="309"/>
      <c r="U39" s="309"/>
      <c r="V39" s="328"/>
    </row>
    <row r="40" spans="1:26" ht="12.75" hidden="1" customHeight="1">
      <c r="A40" s="322"/>
      <c r="B40" s="323"/>
      <c r="C40" s="323"/>
      <c r="D40" s="946"/>
      <c r="E40" s="964"/>
      <c r="F40" s="948"/>
      <c r="G40" s="949"/>
      <c r="H40" s="949"/>
      <c r="I40" s="950"/>
      <c r="J40" s="1032"/>
      <c r="K40" s="1056"/>
      <c r="L40" s="1031"/>
      <c r="M40" s="309"/>
      <c r="N40" s="895"/>
      <c r="O40" s="329"/>
      <c r="P40" s="1151"/>
      <c r="Q40" s="326"/>
      <c r="R40" s="326"/>
      <c r="S40" s="309"/>
      <c r="T40" s="309"/>
      <c r="U40" s="309"/>
      <c r="V40" s="328"/>
    </row>
    <row r="41" spans="1:26" ht="12.75" hidden="1" customHeight="1">
      <c r="A41" s="1121"/>
      <c r="B41" s="323"/>
      <c r="C41" s="323"/>
      <c r="D41" s="946"/>
      <c r="E41" s="964"/>
      <c r="F41" s="948"/>
      <c r="G41" s="949"/>
      <c r="H41" s="949"/>
      <c r="I41" s="950"/>
      <c r="J41" s="1032"/>
      <c r="K41" s="1056"/>
      <c r="L41" s="1031"/>
      <c r="M41" s="309"/>
      <c r="N41" s="895"/>
      <c r="O41" s="329"/>
      <c r="P41" s="1151" t="str">
        <f>IF(O41&lt;-0.15,"SELL","")</f>
        <v/>
      </c>
      <c r="Q41" s="326"/>
      <c r="R41" s="326"/>
      <c r="S41" s="309"/>
      <c r="T41" s="309"/>
      <c r="U41" s="309"/>
      <c r="V41" s="328"/>
    </row>
    <row r="42" spans="1:26" ht="12.75" hidden="1" customHeight="1">
      <c r="A42" s="322"/>
      <c r="B42" s="323"/>
      <c r="C42" s="323"/>
      <c r="D42" s="946"/>
      <c r="E42" s="964"/>
      <c r="F42" s="948"/>
      <c r="G42" s="949"/>
      <c r="H42" s="949"/>
      <c r="I42" s="950"/>
      <c r="J42" s="1032"/>
      <c r="K42" s="1056"/>
      <c r="L42" s="1031"/>
      <c r="M42" s="309"/>
      <c r="N42" s="895"/>
      <c r="O42" s="329"/>
      <c r="P42" s="1151" t="str">
        <f>IF(O42&lt;-0.15,"SELL","")</f>
        <v/>
      </c>
      <c r="Q42" s="326"/>
      <c r="R42" s="326"/>
      <c r="S42" s="309"/>
      <c r="T42" s="309"/>
      <c r="U42" s="309"/>
      <c r="V42" s="328"/>
    </row>
    <row r="43" spans="1:26" ht="13.5" hidden="1" customHeight="1">
      <c r="A43" s="1121"/>
      <c r="B43" s="913"/>
      <c r="C43" s="323"/>
      <c r="D43" s="946"/>
      <c r="E43" s="964"/>
      <c r="F43" s="948"/>
      <c r="G43" s="949"/>
      <c r="H43" s="949"/>
      <c r="I43" s="950"/>
      <c r="J43" s="1032"/>
      <c r="K43" s="1056"/>
      <c r="L43" s="1031"/>
      <c r="M43" s="309"/>
      <c r="N43" s="895"/>
      <c r="O43" s="329"/>
      <c r="P43" s="1151"/>
      <c r="Q43" s="326"/>
      <c r="R43" s="326"/>
      <c r="S43" s="309"/>
      <c r="T43" s="309"/>
      <c r="U43" s="309"/>
      <c r="V43" s="328"/>
    </row>
    <row r="44" spans="1:26" ht="12.75" hidden="1" customHeight="1">
      <c r="A44" s="46"/>
      <c r="B44" s="323"/>
      <c r="C44" s="138"/>
      <c r="D44" s="950"/>
      <c r="E44" s="964"/>
      <c r="F44" s="948"/>
      <c r="G44" s="949"/>
      <c r="H44" s="949"/>
      <c r="I44" s="950"/>
      <c r="J44" s="1032"/>
      <c r="K44" s="1056"/>
      <c r="L44" s="1031"/>
      <c r="M44" s="309"/>
      <c r="N44" s="895"/>
      <c r="O44" s="329"/>
      <c r="P44" s="1151" t="str">
        <f>IF(O44&lt;-0.15,"SELL","")</f>
        <v/>
      </c>
      <c r="Q44" s="326"/>
      <c r="R44" s="326"/>
      <c r="S44" s="309"/>
      <c r="T44" s="309"/>
      <c r="U44" s="309"/>
      <c r="V44" s="328"/>
      <c r="W44" s="5"/>
      <c r="X44" s="5"/>
      <c r="Y44" s="5"/>
      <c r="Z44" s="5"/>
    </row>
    <row r="45" spans="1:26" ht="12.75" hidden="1" customHeight="1">
      <c r="A45" s="322"/>
      <c r="B45" s="323"/>
      <c r="C45" s="323"/>
      <c r="D45" s="946"/>
      <c r="E45" s="964"/>
      <c r="F45" s="948"/>
      <c r="G45" s="949"/>
      <c r="H45" s="949"/>
      <c r="I45" s="950"/>
      <c r="J45" s="1032"/>
      <c r="K45" s="1056"/>
      <c r="L45" s="1031"/>
      <c r="M45" s="309"/>
      <c r="N45" s="895"/>
      <c r="O45" s="329"/>
      <c r="P45" s="1151"/>
      <c r="Q45" s="326"/>
      <c r="R45" s="326"/>
      <c r="S45" s="309"/>
      <c r="T45" s="309"/>
      <c r="U45" s="309"/>
      <c r="V45" s="328"/>
      <c r="W45" s="5"/>
      <c r="X45" s="5"/>
      <c r="Y45" s="5"/>
      <c r="Z45" s="5"/>
    </row>
    <row r="46" spans="1:26" ht="12.75" customHeight="1">
      <c r="A46" s="532"/>
      <c r="B46" s="1122" t="s">
        <v>52</v>
      </c>
      <c r="C46" s="1123"/>
      <c r="D46" s="946"/>
      <c r="E46" s="964"/>
      <c r="F46" s="948"/>
      <c r="G46" s="949"/>
      <c r="H46" s="949"/>
      <c r="I46" s="950"/>
      <c r="J46" s="1032"/>
      <c r="K46" s="1056"/>
      <c r="L46" s="1031"/>
      <c r="M46" s="309"/>
      <c r="N46" s="895"/>
      <c r="O46" s="54"/>
      <c r="P46" s="1151"/>
      <c r="Q46" s="326"/>
      <c r="R46" s="326"/>
      <c r="S46" s="309"/>
      <c r="T46" s="309"/>
      <c r="U46" s="309"/>
      <c r="V46" s="328"/>
      <c r="W46" s="5"/>
      <c r="X46" s="5"/>
      <c r="Y46" s="5"/>
      <c r="Z46" s="5"/>
    </row>
    <row r="47" spans="1:26" ht="12.75" customHeight="1">
      <c r="A47" s="311">
        <v>1</v>
      </c>
      <c r="B47" s="1077" t="s">
        <v>302</v>
      </c>
      <c r="C47" s="1078" t="s">
        <v>255</v>
      </c>
      <c r="D47" s="1152">
        <v>31</v>
      </c>
      <c r="E47" s="1080">
        <f>Transactions!C1291</f>
        <v>134.66</v>
      </c>
      <c r="F47" s="1153">
        <f t="shared" ref="F47:F62" si="2">D47*E47</f>
        <v>4174.46</v>
      </c>
      <c r="G47" s="1127"/>
      <c r="H47" s="1128"/>
      <c r="I47" s="1083"/>
      <c r="J47" s="1083"/>
      <c r="K47" s="1154"/>
      <c r="L47" s="1129"/>
      <c r="M47" s="1130"/>
      <c r="N47" s="132"/>
      <c r="O47" s="1086"/>
      <c r="P47" s="1151"/>
      <c r="Q47" s="326"/>
      <c r="R47" s="326"/>
      <c r="S47" s="309"/>
      <c r="T47" s="309"/>
      <c r="U47" s="309"/>
      <c r="V47" s="328"/>
      <c r="W47" s="5"/>
      <c r="X47" s="5"/>
      <c r="Y47" s="5"/>
      <c r="Z47" s="5"/>
    </row>
    <row r="48" spans="1:26" ht="12.75" customHeight="1">
      <c r="A48" s="532">
        <v>2</v>
      </c>
      <c r="B48" s="334" t="s">
        <v>280</v>
      </c>
      <c r="C48" s="323" t="s">
        <v>251</v>
      </c>
      <c r="D48" s="1155">
        <v>40</v>
      </c>
      <c r="E48" s="1055">
        <f>Transactions!C1283</f>
        <v>48.57</v>
      </c>
      <c r="F48" s="1147">
        <f t="shared" si="2"/>
        <v>1942.8</v>
      </c>
      <c r="G48" s="331"/>
      <c r="H48" s="949"/>
      <c r="I48" s="5"/>
      <c r="J48" s="5"/>
      <c r="K48" s="39"/>
      <c r="L48" s="1031"/>
      <c r="M48" s="309"/>
      <c r="N48" s="895"/>
      <c r="O48" s="329"/>
      <c r="P48" s="1151"/>
      <c r="Q48" s="326"/>
      <c r="R48" s="326"/>
      <c r="S48" s="309"/>
      <c r="T48" s="309"/>
      <c r="U48" s="309"/>
      <c r="V48" s="328"/>
      <c r="W48" s="5"/>
      <c r="X48" s="5"/>
      <c r="Y48" s="5"/>
      <c r="Z48" s="5"/>
    </row>
    <row r="49" spans="1:26" ht="12.75" customHeight="1">
      <c r="A49" s="532">
        <v>3</v>
      </c>
      <c r="B49" s="334" t="s">
        <v>153</v>
      </c>
      <c r="C49" s="323" t="s">
        <v>154</v>
      </c>
      <c r="D49" s="1155">
        <v>15</v>
      </c>
      <c r="E49" s="1055">
        <f>Transactions!C1275</f>
        <v>54.91</v>
      </c>
      <c r="F49" s="1147">
        <f t="shared" si="2"/>
        <v>823.65</v>
      </c>
      <c r="G49" s="331"/>
      <c r="H49" s="949"/>
      <c r="I49" s="5"/>
      <c r="J49" s="5"/>
      <c r="K49" s="39"/>
      <c r="L49" s="1031"/>
      <c r="M49" s="309"/>
      <c r="N49" s="895"/>
      <c r="O49" s="329"/>
      <c r="P49" s="1151"/>
      <c r="Q49" s="326"/>
      <c r="R49" s="326"/>
      <c r="S49" s="309"/>
      <c r="T49" s="309"/>
      <c r="U49" s="309"/>
      <c r="V49" s="328"/>
      <c r="W49" s="5"/>
      <c r="X49" s="5"/>
      <c r="Y49" s="5"/>
      <c r="Z49" s="5"/>
    </row>
    <row r="50" spans="1:26" ht="12.75" customHeight="1">
      <c r="A50" s="532">
        <v>4</v>
      </c>
      <c r="B50" s="334" t="s">
        <v>220</v>
      </c>
      <c r="C50" s="323" t="s">
        <v>221</v>
      </c>
      <c r="D50" s="1155">
        <v>65</v>
      </c>
      <c r="E50" s="1055">
        <f>Transactions!C1277</f>
        <v>28.06</v>
      </c>
      <c r="F50" s="1147">
        <f t="shared" si="2"/>
        <v>1823.8999999999999</v>
      </c>
      <c r="G50" s="331"/>
      <c r="H50" s="949"/>
      <c r="I50" s="5"/>
      <c r="J50" s="5"/>
      <c r="K50" s="39"/>
      <c r="L50" s="1031"/>
      <c r="M50" s="309"/>
      <c r="N50" s="895"/>
      <c r="O50" s="329"/>
      <c r="P50" s="1151"/>
      <c r="Q50" s="326"/>
      <c r="R50" s="326"/>
      <c r="S50" s="309"/>
      <c r="T50" s="309"/>
      <c r="U50" s="309"/>
      <c r="V50" s="328"/>
      <c r="W50" s="5"/>
      <c r="X50" s="5"/>
      <c r="Y50" s="5"/>
      <c r="Z50" s="5"/>
    </row>
    <row r="51" spans="1:26" ht="12.75" customHeight="1">
      <c r="A51" s="532">
        <v>5</v>
      </c>
      <c r="B51" s="334" t="s">
        <v>303</v>
      </c>
      <c r="C51" s="323" t="s">
        <v>257</v>
      </c>
      <c r="D51" s="1155">
        <v>45</v>
      </c>
      <c r="E51" s="1055">
        <f>Transactions!C1276</f>
        <v>63.94</v>
      </c>
      <c r="F51" s="1147">
        <f t="shared" si="2"/>
        <v>2877.2999999999997</v>
      </c>
      <c r="G51" s="331"/>
      <c r="H51" s="949"/>
      <c r="I51" s="5"/>
      <c r="J51" s="5"/>
      <c r="K51" s="39"/>
      <c r="L51" s="1031"/>
      <c r="M51" s="309"/>
      <c r="N51" s="895"/>
      <c r="O51" s="329"/>
      <c r="P51" s="1151"/>
      <c r="Q51" s="326"/>
      <c r="R51" s="326"/>
      <c r="S51" s="309"/>
      <c r="T51" s="309"/>
      <c r="U51" s="309"/>
      <c r="V51" s="328"/>
      <c r="W51" s="5"/>
      <c r="X51" s="5"/>
      <c r="Y51" s="5"/>
      <c r="Z51" s="5"/>
    </row>
    <row r="52" spans="1:26" ht="12.75" customHeight="1">
      <c r="A52" s="532">
        <v>6</v>
      </c>
      <c r="B52" s="334" t="s">
        <v>16</v>
      </c>
      <c r="C52" s="323" t="s">
        <v>17</v>
      </c>
      <c r="D52" s="1155">
        <v>50</v>
      </c>
      <c r="E52" s="1055">
        <v>14.47</v>
      </c>
      <c r="F52" s="1147">
        <f t="shared" si="2"/>
        <v>723.5</v>
      </c>
      <c r="G52" s="331"/>
      <c r="H52" s="949"/>
      <c r="I52" s="5"/>
      <c r="J52" s="5"/>
      <c r="K52" s="39"/>
      <c r="L52" s="1031"/>
      <c r="M52" s="309"/>
      <c r="N52" s="895"/>
      <c r="O52" s="329"/>
      <c r="P52" s="1151"/>
      <c r="Q52" s="326"/>
      <c r="R52" s="326"/>
      <c r="S52" s="309"/>
      <c r="T52" s="309"/>
      <c r="U52" s="309"/>
      <c r="V52" s="328"/>
      <c r="W52" s="5"/>
      <c r="X52" s="5"/>
      <c r="Y52" s="5"/>
      <c r="Z52" s="5"/>
    </row>
    <row r="53" spans="1:26" ht="12.75" customHeight="1">
      <c r="A53" s="532">
        <v>7</v>
      </c>
      <c r="B53" s="334" t="s">
        <v>304</v>
      </c>
      <c r="C53" s="323" t="s">
        <v>266</v>
      </c>
      <c r="D53" s="1155">
        <v>1350</v>
      </c>
      <c r="E53" s="1055">
        <v>0.9</v>
      </c>
      <c r="F53" s="1147">
        <f t="shared" si="2"/>
        <v>1215</v>
      </c>
      <c r="G53" s="331"/>
      <c r="H53" s="949"/>
      <c r="I53" s="5"/>
      <c r="J53" s="5"/>
      <c r="K53" s="39"/>
      <c r="L53" s="1031"/>
      <c r="M53" s="309"/>
      <c r="N53" s="895"/>
      <c r="O53" s="329"/>
      <c r="P53" s="1151"/>
      <c r="Q53" s="326"/>
      <c r="R53" s="326"/>
      <c r="S53" s="309"/>
      <c r="T53" s="309"/>
      <c r="U53" s="309"/>
      <c r="V53" s="328"/>
      <c r="W53" s="5"/>
      <c r="X53" s="5"/>
      <c r="Y53" s="5"/>
      <c r="Z53" s="5"/>
    </row>
    <row r="54" spans="1:26" ht="12.75" customHeight="1">
      <c r="A54" s="532">
        <v>8</v>
      </c>
      <c r="B54" s="334" t="s">
        <v>258</v>
      </c>
      <c r="C54" s="323" t="s">
        <v>259</v>
      </c>
      <c r="D54" s="1155">
        <v>275</v>
      </c>
      <c r="E54" s="1055">
        <f>8.56</f>
        <v>8.56</v>
      </c>
      <c r="F54" s="1147">
        <f t="shared" si="2"/>
        <v>2354</v>
      </c>
      <c r="G54" s="331"/>
      <c r="H54" s="949"/>
      <c r="I54" s="5"/>
      <c r="J54" s="5"/>
      <c r="K54" s="39"/>
      <c r="L54" s="1031"/>
      <c r="M54" s="309"/>
      <c r="N54" s="895"/>
      <c r="O54" s="329"/>
      <c r="P54" s="1151"/>
      <c r="Q54" s="326"/>
      <c r="R54" s="326"/>
      <c r="S54" s="309"/>
      <c r="T54" s="309"/>
      <c r="U54" s="309"/>
      <c r="V54" s="328"/>
      <c r="W54" s="5"/>
      <c r="X54" s="5"/>
      <c r="Y54" s="5"/>
      <c r="Z54" s="5"/>
    </row>
    <row r="55" spans="1:26" ht="12.75" customHeight="1">
      <c r="A55" s="532">
        <v>9</v>
      </c>
      <c r="B55" s="334" t="s">
        <v>46</v>
      </c>
      <c r="C55" s="323" t="s">
        <v>47</v>
      </c>
      <c r="D55" s="1155">
        <v>58</v>
      </c>
      <c r="E55" s="1055">
        <f>62.18</f>
        <v>62.18</v>
      </c>
      <c r="F55" s="1147">
        <f t="shared" si="2"/>
        <v>3606.44</v>
      </c>
      <c r="G55" s="331"/>
      <c r="H55" s="949"/>
      <c r="I55" s="5"/>
      <c r="J55" s="5"/>
      <c r="K55" s="39"/>
      <c r="L55" s="1031"/>
      <c r="M55" s="309"/>
      <c r="N55" s="895"/>
      <c r="O55" s="329"/>
      <c r="P55" s="1151"/>
      <c r="Q55" s="326"/>
      <c r="R55" s="326"/>
      <c r="S55" s="309"/>
      <c r="T55" s="309"/>
      <c r="U55" s="309"/>
      <c r="V55" s="328"/>
      <c r="W55" s="5"/>
      <c r="X55" s="5"/>
      <c r="Y55" s="5"/>
      <c r="Z55" s="5"/>
    </row>
    <row r="56" spans="1:26" ht="12.75" customHeight="1">
      <c r="A56" s="322">
        <v>10</v>
      </c>
      <c r="B56" s="323" t="s">
        <v>305</v>
      </c>
      <c r="C56" s="323" t="s">
        <v>306</v>
      </c>
      <c r="D56" s="1155">
        <v>20</v>
      </c>
      <c r="E56" s="1055">
        <v>72.210599999999999</v>
      </c>
      <c r="F56" s="1147">
        <f t="shared" si="2"/>
        <v>1444.212</v>
      </c>
      <c r="G56" s="331"/>
      <c r="H56" s="949"/>
      <c r="I56" s="5"/>
      <c r="J56" s="5"/>
      <c r="K56" s="39"/>
      <c r="L56" s="1031"/>
      <c r="M56" s="309"/>
      <c r="N56" s="895"/>
      <c r="O56" s="329"/>
      <c r="P56" s="1151"/>
      <c r="Q56" s="326"/>
      <c r="R56" s="326"/>
      <c r="S56" s="309"/>
      <c r="T56" s="309"/>
      <c r="U56" s="309"/>
      <c r="V56" s="328"/>
      <c r="W56" s="5"/>
      <c r="X56" s="5"/>
      <c r="Y56" s="5"/>
      <c r="Z56" s="5"/>
    </row>
    <row r="57" spans="1:26" ht="12.75" customHeight="1">
      <c r="A57" s="322">
        <v>11</v>
      </c>
      <c r="B57" s="323" t="s">
        <v>236</v>
      </c>
      <c r="C57" s="323" t="s">
        <v>237</v>
      </c>
      <c r="D57" s="1155">
        <v>15</v>
      </c>
      <c r="E57" s="1055">
        <v>143.44999999999999</v>
      </c>
      <c r="F57" s="1147">
        <f t="shared" si="2"/>
        <v>2151.75</v>
      </c>
      <c r="G57" s="331"/>
      <c r="H57" s="949"/>
      <c r="I57" s="5"/>
      <c r="J57" s="5"/>
      <c r="K57" s="39"/>
      <c r="L57" s="1031"/>
      <c r="M57" s="309"/>
      <c r="N57" s="895"/>
      <c r="O57" s="329"/>
      <c r="P57" s="1151"/>
      <c r="Q57" s="326"/>
      <c r="R57" s="326"/>
      <c r="S57" s="309"/>
      <c r="T57" s="309"/>
      <c r="U57" s="309"/>
      <c r="V57" s="328"/>
      <c r="W57" s="5"/>
      <c r="X57" s="5"/>
      <c r="Y57" s="5"/>
      <c r="Z57" s="5"/>
    </row>
    <row r="58" spans="1:26" ht="12.75" customHeight="1">
      <c r="A58" s="322">
        <v>12</v>
      </c>
      <c r="B58" s="323" t="s">
        <v>307</v>
      </c>
      <c r="C58" s="323" t="s">
        <v>308</v>
      </c>
      <c r="D58" s="1155">
        <v>35</v>
      </c>
      <c r="E58" s="1055">
        <v>40</v>
      </c>
      <c r="F58" s="1147">
        <f t="shared" si="2"/>
        <v>1400</v>
      </c>
      <c r="G58" s="331"/>
      <c r="H58" s="949"/>
      <c r="I58" s="5"/>
      <c r="J58" s="5"/>
      <c r="K58" s="39"/>
      <c r="L58" s="1031"/>
      <c r="M58" s="309"/>
      <c r="N58" s="895"/>
      <c r="O58" s="329"/>
      <c r="P58" s="1151"/>
      <c r="Q58" s="326"/>
      <c r="R58" s="326"/>
      <c r="S58" s="309"/>
      <c r="T58" s="309"/>
      <c r="U58" s="309"/>
      <c r="V58" s="328"/>
      <c r="W58" s="5"/>
      <c r="X58" s="5"/>
      <c r="Y58" s="5"/>
      <c r="Z58" s="5"/>
    </row>
    <row r="59" spans="1:26" ht="12.75" customHeight="1">
      <c r="A59" s="322">
        <v>13</v>
      </c>
      <c r="B59" s="323" t="s">
        <v>309</v>
      </c>
      <c r="C59" s="323" t="s">
        <v>310</v>
      </c>
      <c r="D59" s="1155">
        <v>94</v>
      </c>
      <c r="E59" s="1055">
        <v>28.2</v>
      </c>
      <c r="F59" s="1147">
        <f t="shared" si="2"/>
        <v>2650.7999999999997</v>
      </c>
      <c r="G59" s="331"/>
      <c r="H59" s="949"/>
      <c r="I59" s="5"/>
      <c r="J59" s="5"/>
      <c r="K59" s="39"/>
      <c r="L59" s="1031"/>
      <c r="M59" s="309"/>
      <c r="N59" s="895"/>
      <c r="O59" s="329"/>
      <c r="P59" s="1151"/>
      <c r="Q59" s="326"/>
      <c r="R59" s="326"/>
      <c r="S59" s="309"/>
      <c r="T59" s="309"/>
      <c r="U59" s="309"/>
      <c r="V59" s="328"/>
      <c r="W59" s="5"/>
      <c r="X59" s="5"/>
      <c r="Y59" s="5"/>
      <c r="Z59" s="5"/>
    </row>
    <row r="60" spans="1:26" ht="12.75" customHeight="1">
      <c r="A60" s="322">
        <v>14</v>
      </c>
      <c r="B60" s="323" t="s">
        <v>252</v>
      </c>
      <c r="C60" s="323" t="s">
        <v>253</v>
      </c>
      <c r="D60" s="1155">
        <v>184</v>
      </c>
      <c r="E60" s="1055">
        <v>18.54</v>
      </c>
      <c r="F60" s="1147">
        <f t="shared" si="2"/>
        <v>3411.3599999999997</v>
      </c>
      <c r="G60" s="331"/>
      <c r="H60" s="949"/>
      <c r="I60" s="5"/>
      <c r="J60" s="5"/>
      <c r="K60" s="39"/>
      <c r="L60" s="1031"/>
      <c r="M60" s="309"/>
      <c r="N60" s="895"/>
      <c r="O60" s="329"/>
      <c r="P60" s="1151"/>
      <c r="Q60" s="326"/>
      <c r="R60" s="326"/>
      <c r="S60" s="309"/>
      <c r="T60" s="309"/>
      <c r="U60" s="309"/>
      <c r="V60" s="328"/>
      <c r="W60" s="5"/>
      <c r="X60" s="5"/>
      <c r="Y60" s="5"/>
      <c r="Z60" s="5"/>
    </row>
    <row r="61" spans="1:26" ht="12.75" customHeight="1">
      <c r="A61" s="322">
        <v>15</v>
      </c>
      <c r="B61" s="323" t="s">
        <v>311</v>
      </c>
      <c r="C61" s="323" t="s">
        <v>249</v>
      </c>
      <c r="D61" s="1155">
        <v>155</v>
      </c>
      <c r="E61" s="1055">
        <v>28.26</v>
      </c>
      <c r="F61" s="1147">
        <f t="shared" si="2"/>
        <v>4380.3</v>
      </c>
      <c r="G61" s="331"/>
      <c r="H61" s="949"/>
      <c r="I61" s="5"/>
      <c r="J61" s="5"/>
      <c r="K61" s="39"/>
      <c r="L61" s="1031"/>
      <c r="M61" s="309"/>
      <c r="N61" s="895"/>
      <c r="O61" s="329"/>
      <c r="P61" s="1151"/>
      <c r="Q61" s="326"/>
      <c r="R61" s="326"/>
      <c r="S61" s="309"/>
      <c r="T61" s="309"/>
      <c r="U61" s="309"/>
      <c r="V61" s="328"/>
      <c r="W61" s="5"/>
      <c r="X61" s="5"/>
      <c r="Y61" s="5"/>
      <c r="Z61" s="5"/>
    </row>
    <row r="62" spans="1:26" ht="12.75" customHeight="1">
      <c r="A62" s="322">
        <v>16</v>
      </c>
      <c r="B62" s="323" t="s">
        <v>312</v>
      </c>
      <c r="C62" s="323" t="s">
        <v>313</v>
      </c>
      <c r="D62" s="1155">
        <v>90</v>
      </c>
      <c r="E62" s="1055">
        <v>38.1</v>
      </c>
      <c r="F62" s="1147">
        <f t="shared" si="2"/>
        <v>3429</v>
      </c>
      <c r="G62" s="331"/>
      <c r="H62" s="949"/>
      <c r="I62" s="5"/>
      <c r="J62" s="5"/>
      <c r="K62" s="39"/>
      <c r="L62" s="1031"/>
      <c r="M62" s="309"/>
      <c r="N62" s="895"/>
      <c r="O62" s="329"/>
      <c r="P62" s="1151"/>
      <c r="Q62" s="326"/>
      <c r="R62" s="326"/>
      <c r="S62" s="309"/>
      <c r="T62" s="309"/>
      <c r="U62" s="309"/>
      <c r="V62" s="328"/>
      <c r="W62" s="5"/>
      <c r="X62" s="5"/>
      <c r="Y62" s="5"/>
      <c r="Z62" s="5"/>
    </row>
    <row r="63" spans="1:26" ht="12.75" customHeight="1">
      <c r="A63" s="46"/>
      <c r="B63" s="915"/>
      <c r="C63" s="918"/>
      <c r="D63" s="55"/>
      <c r="E63" s="1156"/>
      <c r="F63" s="1157"/>
      <c r="G63" s="1137"/>
      <c r="H63" s="916"/>
      <c r="I63" s="916"/>
      <c r="J63" s="916"/>
      <c r="K63" s="1087"/>
      <c r="L63" s="914"/>
      <c r="M63" s="916"/>
      <c r="N63" s="1087"/>
      <c r="O63" s="400"/>
      <c r="P63" s="39"/>
      <c r="Q63" s="5"/>
      <c r="R63" s="5"/>
      <c r="S63" s="5"/>
      <c r="T63" s="5"/>
      <c r="U63" s="5"/>
      <c r="V63" s="5"/>
      <c r="W63" s="5"/>
      <c r="X63" s="5"/>
      <c r="Y63" s="5"/>
      <c r="Z63" s="5"/>
    </row>
    <row r="64" spans="1:26" ht="12.75" customHeight="1">
      <c r="A64" s="344"/>
      <c r="B64" s="345" t="s">
        <v>63</v>
      </c>
      <c r="C64" s="345"/>
      <c r="D64" s="346"/>
      <c r="E64" s="782"/>
      <c r="F64" s="1090">
        <f>60418.77</f>
        <v>60418.77</v>
      </c>
      <c r="G64" s="1091">
        <f>F64/$F$68</f>
        <v>0.99467471071201852</v>
      </c>
      <c r="H64" s="968"/>
      <c r="I64" s="308"/>
      <c r="J64" s="308"/>
      <c r="K64" s="1096">
        <f>SUM(K8:K35)</f>
        <v>62055.989999999991</v>
      </c>
      <c r="L64" s="143">
        <f>K64/$K$68</f>
        <v>0.86124771853838222</v>
      </c>
      <c r="M64" s="345"/>
      <c r="N64" s="137"/>
      <c r="O64" s="313"/>
      <c r="P64" s="1151"/>
      <c r="Q64" s="326"/>
      <c r="R64" s="326"/>
      <c r="S64" s="309"/>
      <c r="T64" s="309"/>
      <c r="U64" s="309"/>
      <c r="V64" s="328"/>
    </row>
    <row r="65" spans="1:22" ht="12.75" customHeight="1">
      <c r="A65" s="344"/>
      <c r="B65" s="345"/>
      <c r="C65" s="345"/>
      <c r="D65" s="346"/>
      <c r="E65" s="347"/>
      <c r="F65" s="1090"/>
      <c r="G65" s="1091"/>
      <c r="H65" s="968"/>
      <c r="I65" s="308"/>
      <c r="J65" s="922"/>
      <c r="K65" s="1096"/>
      <c r="L65" s="143"/>
      <c r="M65" s="345"/>
      <c r="N65" s="587"/>
      <c r="O65" s="138"/>
      <c r="P65" s="1151"/>
      <c r="Q65" s="326"/>
      <c r="R65" s="326"/>
      <c r="S65" s="309"/>
      <c r="T65" s="309"/>
      <c r="U65" s="309"/>
      <c r="V65" s="328"/>
    </row>
    <row r="66" spans="1:22" ht="12.75" customHeight="1">
      <c r="A66" s="344"/>
      <c r="B66" s="345" t="s">
        <v>64</v>
      </c>
      <c r="C66" s="345"/>
      <c r="D66" s="346"/>
      <c r="E66" s="347"/>
      <c r="F66" s="1092">
        <v>323.47000000000003</v>
      </c>
      <c r="G66" s="1091">
        <f>F66/$F$68</f>
        <v>5.3252892879814776E-3</v>
      </c>
      <c r="H66" s="968"/>
      <c r="I66" s="308"/>
      <c r="J66" s="922"/>
      <c r="K66" s="1096">
        <v>9997.6</v>
      </c>
      <c r="L66" s="143">
        <f>K66/$K$68</f>
        <v>0.13875228146161767</v>
      </c>
      <c r="M66" s="345"/>
      <c r="N66" s="587"/>
      <c r="O66" s="138"/>
      <c r="P66" s="1151"/>
      <c r="Q66" s="326"/>
      <c r="R66" s="326"/>
      <c r="S66" s="977"/>
      <c r="T66" s="309"/>
      <c r="U66" s="309"/>
      <c r="V66" s="328"/>
    </row>
    <row r="67" spans="1:22" ht="12.75" customHeight="1">
      <c r="A67" s="49"/>
      <c r="B67" s="924" t="s">
        <v>65</v>
      </c>
      <c r="C67" s="924"/>
      <c r="D67" s="34"/>
      <c r="E67" s="1099"/>
      <c r="F67" s="1100"/>
      <c r="G67" s="1101"/>
      <c r="H67" s="980"/>
      <c r="I67" s="925"/>
      <c r="J67" s="925"/>
      <c r="K67" s="1103"/>
      <c r="L67" s="50"/>
      <c r="M67" s="924"/>
      <c r="N67" s="588"/>
      <c r="O67" s="36"/>
      <c r="P67" s="1151"/>
      <c r="Q67" s="326"/>
      <c r="R67" s="326"/>
      <c r="S67" s="309"/>
      <c r="T67" s="309"/>
      <c r="U67" s="309"/>
      <c r="V67" s="328"/>
    </row>
    <row r="68" spans="1:22" ht="12.75" customHeight="1">
      <c r="A68" s="309"/>
      <c r="B68" s="345" t="s">
        <v>66</v>
      </c>
      <c r="C68" s="345"/>
      <c r="D68" s="1105"/>
      <c r="E68" s="1106"/>
      <c r="F68" s="1107">
        <f>60742.24</f>
        <v>60742.239999999998</v>
      </c>
      <c r="G68" s="1108">
        <f>SUM(G64:G67)</f>
        <v>1</v>
      </c>
      <c r="H68" s="983"/>
      <c r="I68" s="928"/>
      <c r="J68" s="928"/>
      <c r="K68" s="1109">
        <f>SUM(K64:K67)</f>
        <v>72053.59</v>
      </c>
      <c r="L68" s="51">
        <f>SUM(L64:L67)</f>
        <v>0.99999999999999989</v>
      </c>
      <c r="M68" s="345"/>
      <c r="N68" s="38">
        <f>(K68-F68)/F68</f>
        <v>0.1862188486957346</v>
      </c>
      <c r="O68" s="323"/>
      <c r="P68" s="1151"/>
      <c r="Q68" s="326"/>
      <c r="R68" s="326"/>
      <c r="S68" s="309"/>
      <c r="T68" s="309"/>
      <c r="U68" s="309"/>
      <c r="V68" s="328"/>
    </row>
    <row r="69" spans="1:22" ht="12.75" customHeight="1">
      <c r="A69" s="309"/>
      <c r="B69" s="309"/>
      <c r="C69" s="985"/>
      <c r="D69" s="1024"/>
      <c r="E69" s="1024"/>
      <c r="F69" s="1024"/>
      <c r="G69" s="1024"/>
      <c r="H69" s="940"/>
      <c r="I69" s="940"/>
      <c r="J69" s="940"/>
      <c r="K69" s="1111"/>
      <c r="L69" s="949"/>
      <c r="M69" s="309"/>
      <c r="N69" s="323"/>
      <c r="O69" s="323"/>
      <c r="P69" s="1151"/>
      <c r="Q69" s="326"/>
      <c r="R69" s="326"/>
      <c r="S69" s="309"/>
      <c r="T69" s="309"/>
      <c r="U69" s="309"/>
      <c r="V69" s="328"/>
    </row>
    <row r="70" spans="1:22" ht="12.75" customHeight="1">
      <c r="A70" s="309"/>
      <c r="B70" s="872"/>
      <c r="C70" s="873"/>
      <c r="D70" s="874"/>
      <c r="E70" s="875"/>
      <c r="F70" s="876"/>
      <c r="G70" s="877"/>
      <c r="H70" s="879"/>
      <c r="I70" s="879"/>
      <c r="J70" s="879"/>
      <c r="K70" s="880"/>
      <c r="L70" s="881"/>
      <c r="M70" s="879"/>
      <c r="N70" s="874"/>
      <c r="O70" s="1113"/>
      <c r="P70" s="1158"/>
      <c r="Q70" s="1019"/>
      <c r="R70" s="1019"/>
      <c r="S70" s="309"/>
      <c r="T70" s="309"/>
      <c r="U70" s="309"/>
      <c r="V70" s="328"/>
    </row>
    <row r="71" spans="1:22" ht="12.75" customHeight="1">
      <c r="A71" s="309"/>
      <c r="B71" s="345" t="s">
        <v>67</v>
      </c>
      <c r="C71" s="309"/>
      <c r="D71" s="323"/>
      <c r="E71" s="323"/>
      <c r="F71" s="1114"/>
      <c r="G71" s="323"/>
      <c r="H71" s="309"/>
      <c r="I71" s="309"/>
      <c r="J71" s="309"/>
      <c r="K71" s="324"/>
      <c r="L71" s="309"/>
      <c r="M71" s="309"/>
      <c r="N71" s="1042"/>
      <c r="O71" s="1042"/>
      <c r="P71" s="895"/>
      <c r="Q71" s="326"/>
      <c r="R71" s="326"/>
      <c r="S71" s="309"/>
      <c r="T71" s="309"/>
      <c r="U71" s="309"/>
      <c r="V71" s="328"/>
    </row>
    <row r="72" spans="1:22" ht="12.75" customHeight="1">
      <c r="A72" s="309"/>
      <c r="B72" s="309" t="s">
        <v>272</v>
      </c>
      <c r="C72" s="309"/>
      <c r="D72" s="323"/>
      <c r="E72" s="323"/>
      <c r="F72" s="1159">
        <v>1115.0999999999999</v>
      </c>
      <c r="G72" s="323"/>
      <c r="H72" s="309"/>
      <c r="I72" s="309"/>
      <c r="J72" s="309"/>
      <c r="K72" s="1159">
        <v>1257.6400000000001</v>
      </c>
      <c r="L72" s="1040"/>
      <c r="M72" s="309"/>
      <c r="N72" s="1042">
        <f>(K72-F72)/F72</f>
        <v>0.12782710070845682</v>
      </c>
      <c r="O72" s="1042"/>
      <c r="P72" s="1066"/>
      <c r="Q72" s="326"/>
      <c r="R72" s="326"/>
      <c r="S72" s="309"/>
      <c r="T72" s="309"/>
      <c r="U72" s="309"/>
      <c r="V72" s="328"/>
    </row>
    <row r="73" spans="1:22" ht="12.75" customHeight="1">
      <c r="A73" s="309"/>
      <c r="B73" s="309" t="s">
        <v>273</v>
      </c>
      <c r="C73" s="309"/>
      <c r="D73" s="309"/>
      <c r="E73" s="309"/>
      <c r="F73" s="1146"/>
      <c r="G73" s="309"/>
      <c r="H73" s="309"/>
      <c r="I73" s="309"/>
      <c r="J73" s="309"/>
      <c r="K73" s="324"/>
      <c r="L73" s="1040"/>
      <c r="M73" s="309"/>
      <c r="N73" s="1160">
        <v>2.2800000000000001E-2</v>
      </c>
      <c r="O73" s="1042"/>
      <c r="P73" s="1066"/>
      <c r="Q73" s="326"/>
      <c r="R73" s="326"/>
      <c r="S73" s="309"/>
      <c r="T73" s="309"/>
      <c r="U73" s="309"/>
      <c r="V73" s="328"/>
    </row>
    <row r="74" spans="1:22" ht="12.75" customHeight="1">
      <c r="A74" s="309"/>
      <c r="B74" s="309" t="s">
        <v>228</v>
      </c>
      <c r="C74" s="309"/>
      <c r="D74" s="309"/>
      <c r="E74" s="309"/>
      <c r="F74" s="1146"/>
      <c r="G74" s="309"/>
      <c r="H74" s="309"/>
      <c r="I74" s="309"/>
      <c r="J74" s="309"/>
      <c r="K74" s="1020"/>
      <c r="L74" s="1040"/>
      <c r="M74" s="309"/>
      <c r="N74" s="1161">
        <f>SUM(N72:N73)</f>
        <v>0.15062710070845681</v>
      </c>
      <c r="O74" s="1042"/>
      <c r="P74" s="1066"/>
      <c r="Q74" s="326"/>
      <c r="R74" s="326"/>
      <c r="S74" s="309"/>
      <c r="T74" s="309"/>
      <c r="U74" s="309"/>
      <c r="V74" s="328"/>
    </row>
    <row r="75" spans="1:22" ht="12.75" customHeight="1">
      <c r="A75" s="309"/>
      <c r="B75" s="309"/>
      <c r="C75" s="309"/>
      <c r="D75" s="309"/>
      <c r="E75" s="309"/>
      <c r="F75" s="309"/>
      <c r="G75" s="309"/>
      <c r="H75" s="309"/>
      <c r="I75" s="309"/>
      <c r="J75" s="309"/>
      <c r="K75" s="1020"/>
      <c r="L75" s="309"/>
      <c r="M75" s="309"/>
      <c r="N75" s="1042"/>
      <c r="O75" s="323"/>
      <c r="P75" s="1151"/>
      <c r="Q75" s="326"/>
      <c r="R75" s="326"/>
      <c r="S75" s="309"/>
      <c r="T75" s="309"/>
      <c r="U75" s="309"/>
      <c r="V75" s="328"/>
    </row>
    <row r="76" spans="1:22" ht="12.75" customHeight="1"/>
    <row r="77" spans="1:22" ht="12.75" customHeight="1">
      <c r="B77" s="309"/>
      <c r="C77" s="52"/>
    </row>
    <row r="78" spans="1:22" ht="12.75" customHeight="1"/>
    <row r="79" spans="1:22" ht="12.75" customHeight="1"/>
    <row r="80" spans="1:2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7">
    <mergeCell ref="D6:G6"/>
    <mergeCell ref="I6:L6"/>
    <mergeCell ref="B1:O1"/>
    <mergeCell ref="B2:O2"/>
    <mergeCell ref="B3:O3"/>
    <mergeCell ref="D5:L5"/>
    <mergeCell ref="N5:O5"/>
  </mergeCells>
  <conditionalFormatting sqref="N8:N35">
    <cfRule type="cellIs" dxfId="456" priority="3" stopIfTrue="1" operator="greaterThanOrEqual">
      <formula>0</formula>
    </cfRule>
    <cfRule type="cellIs" dxfId="455" priority="4" stopIfTrue="1" operator="lessThan">
      <formula>0</formula>
    </cfRule>
  </conditionalFormatting>
  <conditionalFormatting sqref="O8:P9 O10:Q18 N19:Q19 O20:Q34 O35:P35 N35:N62 O38:O62 P71:P74">
    <cfRule type="cellIs" dxfId="454" priority="1" stopIfTrue="1" operator="greaterThan">
      <formula>$N$70</formula>
    </cfRule>
    <cfRule type="cellIs" dxfId="453" priority="2" stopIfTrue="1" operator="lessThanOrEqual">
      <formula>$N$70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4.28515625" defaultRowHeight="15" customHeight="1"/>
  <cols>
    <col min="1" max="1" width="3.28515625" customWidth="1"/>
    <col min="2" max="2" width="30.7109375" customWidth="1"/>
    <col min="3" max="3" width="6.7109375" customWidth="1"/>
    <col min="4" max="4" width="7.28515625" customWidth="1"/>
    <col min="5" max="5" width="11" customWidth="1"/>
    <col min="6" max="6" width="12.28515625" customWidth="1"/>
    <col min="7" max="7" width="8.7109375" customWidth="1"/>
    <col min="8" max="8" width="5.28515625" customWidth="1"/>
    <col min="9" max="9" width="9.28515625" customWidth="1"/>
    <col min="10" max="10" width="8.28515625" customWidth="1"/>
    <col min="11" max="11" width="13.7109375" customWidth="1"/>
    <col min="12" max="12" width="12.28515625" customWidth="1"/>
    <col min="13" max="13" width="0.7109375" customWidth="1"/>
    <col min="14" max="14" width="8.28515625" customWidth="1"/>
    <col min="15" max="15" width="7.7109375" customWidth="1"/>
    <col min="16" max="16" width="7.28515625" customWidth="1"/>
    <col min="17" max="17" width="9.28515625" customWidth="1"/>
    <col min="18" max="26" width="8.7109375" customWidth="1"/>
  </cols>
  <sheetData>
    <row r="1" spans="1:22" ht="12.75" customHeight="1">
      <c r="A1" s="309"/>
      <c r="B1" s="1984" t="s">
        <v>0</v>
      </c>
      <c r="C1" s="1985"/>
      <c r="D1" s="1985"/>
      <c r="E1" s="1985"/>
      <c r="F1" s="1985"/>
      <c r="G1" s="1985"/>
      <c r="H1" s="1985"/>
      <c r="I1" s="1985"/>
      <c r="J1" s="1985"/>
      <c r="K1" s="1985"/>
      <c r="L1" s="1985"/>
      <c r="M1" s="1985"/>
      <c r="N1" s="1985"/>
      <c r="O1" s="1985"/>
      <c r="P1" s="989"/>
      <c r="Q1" s="1162"/>
      <c r="R1" s="989"/>
      <c r="S1" s="990"/>
      <c r="T1" s="990"/>
      <c r="U1" s="990"/>
      <c r="V1" s="1021"/>
    </row>
    <row r="2" spans="1:22" ht="12.75" customHeight="1">
      <c r="A2" s="309"/>
      <c r="B2" s="1986" t="s">
        <v>314</v>
      </c>
      <c r="C2" s="1985"/>
      <c r="D2" s="1985"/>
      <c r="E2" s="1985"/>
      <c r="F2" s="1985"/>
      <c r="G2" s="1985"/>
      <c r="H2" s="1985"/>
      <c r="I2" s="1985"/>
      <c r="J2" s="1985"/>
      <c r="K2" s="1985"/>
      <c r="L2" s="1985"/>
      <c r="M2" s="1985"/>
      <c r="N2" s="1985"/>
      <c r="O2" s="1985"/>
      <c r="P2" s="991"/>
      <c r="Q2" s="325"/>
      <c r="R2" s="991"/>
      <c r="S2" s="345"/>
      <c r="T2" s="345"/>
      <c r="U2" s="345"/>
      <c r="V2" s="1022"/>
    </row>
    <row r="3" spans="1:22" ht="12.75" customHeight="1">
      <c r="A3" s="309"/>
      <c r="B3" s="2001"/>
      <c r="C3" s="1985"/>
      <c r="D3" s="1985"/>
      <c r="E3" s="1985"/>
      <c r="F3" s="1985"/>
      <c r="G3" s="1985"/>
      <c r="H3" s="1985"/>
      <c r="I3" s="1985"/>
      <c r="J3" s="1985"/>
      <c r="K3" s="1985"/>
      <c r="L3" s="1985"/>
      <c r="M3" s="1985"/>
      <c r="N3" s="1985"/>
      <c r="O3" s="1985"/>
      <c r="P3" s="991"/>
      <c r="Q3" s="325"/>
      <c r="R3" s="991"/>
      <c r="S3" s="992"/>
      <c r="T3" s="992"/>
      <c r="U3" s="992"/>
      <c r="V3" s="1022"/>
    </row>
    <row r="4" spans="1:22" ht="12.75" customHeight="1">
      <c r="A4" s="309"/>
      <c r="B4" s="894"/>
      <c r="C4" s="894"/>
      <c r="D4" s="894"/>
      <c r="E4" s="894"/>
      <c r="F4" s="894"/>
      <c r="G4" s="894"/>
      <c r="H4" s="894"/>
      <c r="I4" s="894"/>
      <c r="J4" s="894"/>
      <c r="K4" s="894"/>
      <c r="L4" s="894"/>
      <c r="M4" s="894"/>
      <c r="N4" s="894"/>
      <c r="O4" s="894"/>
      <c r="P4" s="994"/>
      <c r="Q4" s="1163"/>
      <c r="R4" s="994"/>
      <c r="S4" s="933"/>
      <c r="T4" s="933"/>
      <c r="U4" s="933"/>
      <c r="V4" s="609"/>
    </row>
    <row r="5" spans="1:22" ht="12.75" customHeight="1">
      <c r="A5" s="897"/>
      <c r="B5" s="897"/>
      <c r="C5" s="898"/>
      <c r="D5" s="1988" t="s">
        <v>3</v>
      </c>
      <c r="E5" s="1989"/>
      <c r="F5" s="1989"/>
      <c r="G5" s="1989"/>
      <c r="H5" s="1989"/>
      <c r="I5" s="1989"/>
      <c r="J5" s="1989"/>
      <c r="K5" s="1989"/>
      <c r="L5" s="1990"/>
      <c r="M5" s="899"/>
      <c r="N5" s="1991"/>
      <c r="O5" s="1992"/>
      <c r="P5" s="995"/>
      <c r="Q5" s="1164"/>
      <c r="R5" s="995"/>
      <c r="S5" s="309"/>
      <c r="T5" s="309"/>
      <c r="U5" s="309"/>
      <c r="V5" s="328"/>
    </row>
    <row r="6" spans="1:22" ht="12.75" customHeight="1">
      <c r="A6" s="1053"/>
      <c r="B6" s="900"/>
      <c r="C6" s="901"/>
      <c r="D6" s="2008">
        <v>40543</v>
      </c>
      <c r="E6" s="1981"/>
      <c r="F6" s="1981"/>
      <c r="G6" s="1981"/>
      <c r="H6" s="902"/>
      <c r="I6" s="2003">
        <v>40908</v>
      </c>
      <c r="J6" s="1981"/>
      <c r="K6" s="1981"/>
      <c r="L6" s="1983"/>
      <c r="M6" s="900"/>
      <c r="N6" s="544" t="s">
        <v>5</v>
      </c>
      <c r="O6" s="41" t="s">
        <v>6</v>
      </c>
      <c r="P6" s="1116"/>
      <c r="Q6" s="882"/>
      <c r="R6" s="892"/>
      <c r="S6" s="323"/>
      <c r="T6" s="323"/>
      <c r="U6" s="323"/>
      <c r="V6" s="327"/>
    </row>
    <row r="7" spans="1:22" ht="12.75" customHeight="1">
      <c r="A7" s="42"/>
      <c r="B7" s="905" t="s">
        <v>7</v>
      </c>
      <c r="C7" s="906" t="s">
        <v>8</v>
      </c>
      <c r="D7" s="893" t="s">
        <v>9</v>
      </c>
      <c r="E7" s="113" t="s">
        <v>10</v>
      </c>
      <c r="F7" s="113" t="s">
        <v>11</v>
      </c>
      <c r="G7" s="113" t="s">
        <v>12</v>
      </c>
      <c r="H7" s="905"/>
      <c r="I7" s="113" t="s">
        <v>9</v>
      </c>
      <c r="J7" s="113" t="s">
        <v>10</v>
      </c>
      <c r="K7" s="114" t="s">
        <v>11</v>
      </c>
      <c r="L7" s="115" t="s">
        <v>12</v>
      </c>
      <c r="M7" s="905"/>
      <c r="N7" s="113" t="s">
        <v>15</v>
      </c>
      <c r="O7" s="115" t="s">
        <v>15</v>
      </c>
      <c r="P7" s="544"/>
      <c r="Q7" s="882"/>
      <c r="R7" s="892"/>
      <c r="S7" s="323"/>
      <c r="T7" s="323"/>
      <c r="U7" s="323"/>
      <c r="V7" s="327"/>
    </row>
    <row r="8" spans="1:22" ht="12.75" customHeight="1">
      <c r="A8" s="43">
        <v>1</v>
      </c>
      <c r="B8" s="1053" t="s">
        <v>230</v>
      </c>
      <c r="C8" s="2" t="s">
        <v>231</v>
      </c>
      <c r="D8" s="547">
        <v>25</v>
      </c>
      <c r="E8" s="1055">
        <v>86.3</v>
      </c>
      <c r="F8" s="327">
        <f>E8*D8</f>
        <v>2157.5</v>
      </c>
      <c r="G8" s="331">
        <f>F8/$F$65</f>
        <v>2.9648577438580036E-2</v>
      </c>
      <c r="H8" s="900"/>
      <c r="I8" s="547">
        <v>25</v>
      </c>
      <c r="J8" s="1055">
        <v>81.73</v>
      </c>
      <c r="K8" s="1147">
        <f t="shared" ref="K8:K39" si="0">I8*J8</f>
        <v>2043.25</v>
      </c>
      <c r="L8" s="1118">
        <f t="shared" ref="L8:L39" si="1">K8/$K$65</f>
        <v>2.594139029600926E-2</v>
      </c>
      <c r="M8" s="900"/>
      <c r="N8" s="495">
        <f>(J8-E8)/E8</f>
        <v>-5.2954808806488916E-2</v>
      </c>
      <c r="O8" s="56">
        <f>(J8-Transactions!C1395)/Transactions!C1395</f>
        <v>4.353932584269677E-2</v>
      </c>
      <c r="P8" s="895"/>
      <c r="Q8" s="882"/>
      <c r="R8" s="892"/>
      <c r="S8" s="323"/>
      <c r="T8" s="323"/>
      <c r="U8" s="323"/>
      <c r="V8" s="327"/>
    </row>
    <row r="9" spans="1:22" ht="12.75" customHeight="1">
      <c r="A9" s="322">
        <v>2</v>
      </c>
      <c r="B9" s="334" t="s">
        <v>276</v>
      </c>
      <c r="C9" s="335" t="s">
        <v>277</v>
      </c>
      <c r="D9" s="547">
        <v>40</v>
      </c>
      <c r="E9" s="1055">
        <v>47.91</v>
      </c>
      <c r="F9" s="327">
        <f>E9*D9</f>
        <v>1916.3999999999999</v>
      </c>
      <c r="G9" s="331">
        <f>F9/$F$65</f>
        <v>2.6335357498630255E-2</v>
      </c>
      <c r="H9" s="900"/>
      <c r="I9" s="547">
        <v>40</v>
      </c>
      <c r="J9" s="1055">
        <v>56.23</v>
      </c>
      <c r="K9" s="1147">
        <f t="shared" si="0"/>
        <v>2249.1999999999998</v>
      </c>
      <c r="L9" s="1118">
        <f t="shared" si="1"/>
        <v>2.8556160554892462E-2</v>
      </c>
      <c r="M9" s="900"/>
      <c r="N9" s="495">
        <f>(J9-E9)/E9</f>
        <v>0.17365894385305783</v>
      </c>
      <c r="O9" s="329">
        <f>(J9-Transactions!C1200)/Transactions!C1200</f>
        <v>1.4014520606448857</v>
      </c>
      <c r="P9" s="895"/>
      <c r="Q9" s="882"/>
      <c r="R9" s="892"/>
      <c r="S9" s="323"/>
      <c r="T9" s="323"/>
      <c r="U9" s="323"/>
      <c r="V9" s="327"/>
    </row>
    <row r="10" spans="1:22" ht="12.75" customHeight="1">
      <c r="A10" s="322">
        <v>3</v>
      </c>
      <c r="B10" s="334" t="s">
        <v>315</v>
      </c>
      <c r="C10" s="335" t="s">
        <v>316</v>
      </c>
      <c r="D10" s="547"/>
      <c r="E10" s="1055"/>
      <c r="F10" s="327"/>
      <c r="G10" s="331"/>
      <c r="H10" s="900"/>
      <c r="I10" s="547">
        <v>200</v>
      </c>
      <c r="J10" s="1055">
        <v>15.96</v>
      </c>
      <c r="K10" s="1147">
        <f t="shared" si="0"/>
        <v>3192</v>
      </c>
      <c r="L10" s="1118">
        <f t="shared" si="1"/>
        <v>4.0526082380942893E-2</v>
      </c>
      <c r="M10" s="900"/>
      <c r="N10" s="495"/>
      <c r="O10" s="329">
        <f>(J10-Transactions!C1118)/Transactions!C1118</f>
        <v>-2.5641025641025529E-2</v>
      </c>
      <c r="P10" s="895"/>
      <c r="Q10" s="882"/>
      <c r="R10" s="892"/>
      <c r="S10" s="323"/>
      <c r="T10" s="323"/>
      <c r="U10" s="323"/>
      <c r="V10" s="327"/>
    </row>
    <row r="11" spans="1:22" ht="12.75" customHeight="1">
      <c r="A11" s="322">
        <v>4</v>
      </c>
      <c r="B11" s="334" t="s">
        <v>247</v>
      </c>
      <c r="C11" s="335" t="s">
        <v>205</v>
      </c>
      <c r="D11" s="546">
        <v>17</v>
      </c>
      <c r="E11" s="1055">
        <v>39.49</v>
      </c>
      <c r="F11" s="327">
        <f>E11*D11</f>
        <v>671.33</v>
      </c>
      <c r="G11" s="331">
        <f>F11/$F$65</f>
        <v>9.2254829626150347E-3</v>
      </c>
      <c r="H11" s="940"/>
      <c r="I11" s="546">
        <v>17</v>
      </c>
      <c r="J11" s="1055">
        <v>53.87</v>
      </c>
      <c r="K11" s="1147">
        <f t="shared" si="0"/>
        <v>915.79</v>
      </c>
      <c r="L11" s="1118">
        <f t="shared" si="1"/>
        <v>1.1626999055026219E-2</v>
      </c>
      <c r="M11" s="345"/>
      <c r="N11" s="495">
        <f>(J11-E11)/E11</f>
        <v>0.36414282096733336</v>
      </c>
      <c r="O11" s="329">
        <f>(J11-Transactions!C1436)/Transactions!C1436</f>
        <v>-0.26275568158490425</v>
      </c>
      <c r="P11" s="895"/>
      <c r="Q11" s="882"/>
      <c r="R11" s="326"/>
      <c r="S11" s="309"/>
      <c r="T11" s="328"/>
      <c r="U11" s="309"/>
      <c r="V11" s="328"/>
    </row>
    <row r="12" spans="1:22" ht="12.75" customHeight="1">
      <c r="A12" s="322">
        <v>5</v>
      </c>
      <c r="B12" s="334" t="s">
        <v>206</v>
      </c>
      <c r="C12" s="335" t="s">
        <v>207</v>
      </c>
      <c r="D12" s="546">
        <v>25</v>
      </c>
      <c r="E12" s="1055">
        <v>322.56</v>
      </c>
      <c r="F12" s="327">
        <f>E12*D12</f>
        <v>8064</v>
      </c>
      <c r="G12" s="331">
        <f>F12/$F$65</f>
        <v>0.11081628202304028</v>
      </c>
      <c r="H12" s="940"/>
      <c r="I12" s="546">
        <v>12</v>
      </c>
      <c r="J12" s="1055">
        <v>405</v>
      </c>
      <c r="K12" s="1147">
        <f t="shared" si="0"/>
        <v>4860</v>
      </c>
      <c r="L12" s="1118">
        <f t="shared" si="1"/>
        <v>6.1703245730382973E-2</v>
      </c>
      <c r="M12" s="345"/>
      <c r="N12" s="495">
        <f>(J12-E12)/E12</f>
        <v>0.25558035714285715</v>
      </c>
      <c r="O12" s="329">
        <f>(J12-Transactions!C1431)/Transactions!C1431</f>
        <v>1.2881355932203389</v>
      </c>
      <c r="P12" s="895"/>
      <c r="Q12" s="882"/>
      <c r="R12" s="326"/>
      <c r="S12" s="309"/>
      <c r="T12" s="328"/>
      <c r="U12" s="309"/>
      <c r="V12" s="328"/>
    </row>
    <row r="13" spans="1:22" ht="12.75" customHeight="1">
      <c r="A13" s="322">
        <v>6</v>
      </c>
      <c r="B13" s="334" t="s">
        <v>208</v>
      </c>
      <c r="C13" s="335" t="s">
        <v>209</v>
      </c>
      <c r="D13" s="546">
        <v>150</v>
      </c>
      <c r="E13" s="1055">
        <v>22.18</v>
      </c>
      <c r="F13" s="327">
        <f>E13*D13</f>
        <v>3327</v>
      </c>
      <c r="G13" s="331">
        <f>F13/$F$65</f>
        <v>4.5719961593583214E-2</v>
      </c>
      <c r="H13" s="940"/>
      <c r="I13" s="546">
        <f>75*2</f>
        <v>150</v>
      </c>
      <c r="J13" s="1055">
        <v>16.27</v>
      </c>
      <c r="K13" s="1147">
        <f t="shared" si="0"/>
        <v>2440.5</v>
      </c>
      <c r="L13" s="1118">
        <f t="shared" si="1"/>
        <v>3.0984932346707746E-2</v>
      </c>
      <c r="M13" s="345"/>
      <c r="N13" s="495">
        <f>(J13-E13)/E13</f>
        <v>-0.26645626690712354</v>
      </c>
      <c r="O13" s="329">
        <f>(J13-Transactions!C1461)/Transactions!C1461</f>
        <v>0.1849963583394027</v>
      </c>
      <c r="P13" s="895"/>
      <c r="Q13" s="882"/>
      <c r="R13" s="326"/>
      <c r="S13" s="309"/>
      <c r="T13" s="328"/>
      <c r="U13" s="309"/>
      <c r="V13" s="328"/>
    </row>
    <row r="14" spans="1:22" ht="12.75" customHeight="1">
      <c r="A14" s="322">
        <v>7</v>
      </c>
      <c r="B14" s="334" t="s">
        <v>280</v>
      </c>
      <c r="C14" s="335" t="s">
        <v>251</v>
      </c>
      <c r="D14" s="546">
        <v>30</v>
      </c>
      <c r="E14" s="1055">
        <v>49.62</v>
      </c>
      <c r="F14" s="327">
        <f>E14*D14</f>
        <v>1488.6</v>
      </c>
      <c r="G14" s="331">
        <f>F14/$F$65</f>
        <v>2.0456487775235337E-2</v>
      </c>
      <c r="H14" s="940"/>
      <c r="I14" s="546">
        <v>30</v>
      </c>
      <c r="J14" s="1055">
        <v>48.49</v>
      </c>
      <c r="K14" s="1147">
        <f t="shared" si="0"/>
        <v>1454.7</v>
      </c>
      <c r="L14" s="1118">
        <f t="shared" si="1"/>
        <v>1.8469076453495496E-2</v>
      </c>
      <c r="M14" s="345"/>
      <c r="N14" s="495">
        <f>(J14-E14)/E14</f>
        <v>-2.2773075372833445E-2</v>
      </c>
      <c r="O14" s="329">
        <f>(J14-Transactions!C1228)/Transactions!C1228</f>
        <v>-4.7347740667976361E-2</v>
      </c>
      <c r="P14" s="895"/>
      <c r="Q14" s="882"/>
      <c r="R14" s="326"/>
      <c r="S14" s="309"/>
      <c r="T14" s="328"/>
      <c r="U14" s="309"/>
      <c r="V14" s="328"/>
    </row>
    <row r="15" spans="1:22" ht="12.75" customHeight="1">
      <c r="A15" s="322">
        <v>8</v>
      </c>
      <c r="B15" s="334" t="s">
        <v>281</v>
      </c>
      <c r="C15" s="335" t="s">
        <v>152</v>
      </c>
      <c r="D15" s="546">
        <v>100</v>
      </c>
      <c r="E15" s="1055">
        <v>20.23</v>
      </c>
      <c r="F15" s="327">
        <f>E15*D15</f>
        <v>2023</v>
      </c>
      <c r="G15" s="331">
        <f>F15/$F$65</f>
        <v>2.7800265195016181E-2</v>
      </c>
      <c r="H15" s="940"/>
      <c r="I15" s="546">
        <v>235</v>
      </c>
      <c r="J15" s="1055">
        <v>18.079999999999998</v>
      </c>
      <c r="K15" s="1147">
        <f t="shared" si="0"/>
        <v>4248.7999999999993</v>
      </c>
      <c r="L15" s="1118">
        <f t="shared" si="1"/>
        <v>5.394336429202698E-2</v>
      </c>
      <c r="M15" s="345"/>
      <c r="N15" s="495">
        <f>(J15-E15)/E15</f>
        <v>-0.10627780523974306</v>
      </c>
      <c r="O15" s="329">
        <f>(J15-Transactions!C1201)/Transactions!C1201</f>
        <v>-3.5733333333333422E-2</v>
      </c>
      <c r="P15" s="895"/>
      <c r="Q15" s="882"/>
      <c r="R15" s="326"/>
      <c r="S15" s="309"/>
      <c r="T15" s="328"/>
      <c r="U15" s="309"/>
      <c r="V15" s="328"/>
    </row>
    <row r="16" spans="1:22" ht="12.75" customHeight="1">
      <c r="A16" s="322">
        <v>9</v>
      </c>
      <c r="B16" s="334" t="s">
        <v>317</v>
      </c>
      <c r="C16" s="335" t="s">
        <v>318</v>
      </c>
      <c r="D16" s="546"/>
      <c r="E16" s="1055"/>
      <c r="F16" s="327"/>
      <c r="G16" s="331"/>
      <c r="H16" s="940"/>
      <c r="I16" s="546">
        <v>25</v>
      </c>
      <c r="J16" s="1055">
        <v>61.04</v>
      </c>
      <c r="K16" s="1147">
        <f t="shared" si="0"/>
        <v>1526</v>
      </c>
      <c r="L16" s="1118">
        <f t="shared" si="1"/>
        <v>1.9374311313696383E-2</v>
      </c>
      <c r="M16" s="345"/>
      <c r="N16" s="495"/>
      <c r="O16" s="329">
        <f>(J16-Transactions!C1110)/Transactions!C1110</f>
        <v>-6.0055435786880176E-2</v>
      </c>
      <c r="P16" s="895"/>
      <c r="Q16" s="882"/>
      <c r="R16" s="326"/>
      <c r="S16" s="309"/>
      <c r="T16" s="328"/>
      <c r="U16" s="309"/>
      <c r="V16" s="328"/>
    </row>
    <row r="17" spans="1:22" ht="12.75" customHeight="1">
      <c r="A17" s="322">
        <v>10</v>
      </c>
      <c r="B17" s="334" t="s">
        <v>153</v>
      </c>
      <c r="C17" s="335" t="s">
        <v>154</v>
      </c>
      <c r="D17" s="546">
        <v>35</v>
      </c>
      <c r="E17" s="1055">
        <v>65.77</v>
      </c>
      <c r="F17" s="327">
        <f>E17*D17</f>
        <v>2301.9499999999998</v>
      </c>
      <c r="G17" s="331">
        <f>F17/$F$65</f>
        <v>3.1633623561872215E-2</v>
      </c>
      <c r="H17" s="940"/>
      <c r="I17" s="546">
        <v>35</v>
      </c>
      <c r="J17" s="1055">
        <v>69.97</v>
      </c>
      <c r="K17" s="1147">
        <f t="shared" si="0"/>
        <v>2448.9499999999998</v>
      </c>
      <c r="L17" s="1118">
        <f t="shared" si="1"/>
        <v>3.1092214738975589E-2</v>
      </c>
      <c r="M17" s="345"/>
      <c r="N17" s="495">
        <f>(J17-E17)/E17</f>
        <v>6.3858902235061632E-2</v>
      </c>
      <c r="O17" s="329">
        <f>(J17-Transactions!C1375)/Transactions!C1375</f>
        <v>2.19206204379562</v>
      </c>
      <c r="P17" s="895"/>
      <c r="Q17" s="882"/>
      <c r="R17" s="326"/>
      <c r="S17" s="309"/>
      <c r="T17" s="328"/>
      <c r="U17" s="309"/>
      <c r="V17" s="328"/>
    </row>
    <row r="18" spans="1:22" ht="12.75" customHeight="1">
      <c r="A18" s="322">
        <v>11</v>
      </c>
      <c r="B18" s="1059" t="s">
        <v>24</v>
      </c>
      <c r="C18" s="138" t="s">
        <v>25</v>
      </c>
      <c r="D18" s="1119">
        <v>80</v>
      </c>
      <c r="E18" s="1055">
        <v>47.17</v>
      </c>
      <c r="F18" s="327">
        <f>E18*D18</f>
        <v>3773.6000000000004</v>
      </c>
      <c r="G18" s="331">
        <f>F18/$F$65</f>
        <v>5.1857182768123122E-2</v>
      </c>
      <c r="H18" s="949"/>
      <c r="I18" s="1119">
        <v>80</v>
      </c>
      <c r="J18" s="1055">
        <v>47.04</v>
      </c>
      <c r="K18" s="1147">
        <f t="shared" si="0"/>
        <v>3763.2</v>
      </c>
      <c r="L18" s="1118">
        <f t="shared" si="1"/>
        <v>4.7778118175427403E-2</v>
      </c>
      <c r="M18" s="309"/>
      <c r="N18" s="495">
        <f>(J18-E18)/E18</f>
        <v>-2.75598897604415E-3</v>
      </c>
      <c r="O18" s="329">
        <f>(J18-Transactions!C1718)/Transactions!C1718</f>
        <v>0.85379310344827586</v>
      </c>
      <c r="P18" s="895"/>
      <c r="Q18" s="882"/>
      <c r="R18" s="326"/>
      <c r="S18" s="309"/>
      <c r="T18" s="328"/>
      <c r="U18" s="309"/>
      <c r="V18" s="328"/>
    </row>
    <row r="19" spans="1:22" ht="12.75" customHeight="1">
      <c r="A19" s="322">
        <v>12</v>
      </c>
      <c r="B19" s="1059" t="s">
        <v>252</v>
      </c>
      <c r="C19" s="138" t="s">
        <v>253</v>
      </c>
      <c r="D19" s="1119"/>
      <c r="E19" s="1055"/>
      <c r="F19" s="327"/>
      <c r="G19" s="331"/>
      <c r="H19" s="949"/>
      <c r="I19" s="1119">
        <v>50</v>
      </c>
      <c r="J19" s="1055">
        <v>24</v>
      </c>
      <c r="K19" s="1147">
        <f t="shared" si="0"/>
        <v>1200</v>
      </c>
      <c r="L19" s="1118">
        <f t="shared" si="1"/>
        <v>1.5235369316143945E-2</v>
      </c>
      <c r="M19" s="309"/>
      <c r="N19" s="495"/>
      <c r="O19" s="329">
        <f>(J19-Transactions!C1138)/Transactions!C1138</f>
        <v>-4.0383846461415497E-2</v>
      </c>
      <c r="P19" s="895"/>
      <c r="Q19" s="882"/>
      <c r="R19" s="326"/>
      <c r="S19" s="309"/>
      <c r="T19" s="328"/>
      <c r="U19" s="309"/>
      <c r="V19" s="328"/>
    </row>
    <row r="20" spans="1:22" ht="12.75" customHeight="1">
      <c r="A20" s="322">
        <v>13</v>
      </c>
      <c r="B20" s="334" t="s">
        <v>282</v>
      </c>
      <c r="C20" s="335" t="s">
        <v>283</v>
      </c>
      <c r="D20" s="546">
        <v>50</v>
      </c>
      <c r="E20" s="1055">
        <v>41.64</v>
      </c>
      <c r="F20" s="327">
        <f>E20*D20</f>
        <v>2082</v>
      </c>
      <c r="G20" s="331">
        <f>F20/$F$65</f>
        <v>2.8611049004460549E-2</v>
      </c>
      <c r="H20" s="940"/>
      <c r="I20" s="546">
        <v>50</v>
      </c>
      <c r="J20" s="1055">
        <v>43.37</v>
      </c>
      <c r="K20" s="1147">
        <f t="shared" si="0"/>
        <v>2168.5</v>
      </c>
      <c r="L20" s="1118">
        <f t="shared" si="1"/>
        <v>2.7531581968381784E-2</v>
      </c>
      <c r="M20" s="345"/>
      <c r="N20" s="495">
        <f>(J20-E20)/E20</f>
        <v>4.1546589817483111E-2</v>
      </c>
      <c r="O20" s="329">
        <f>(J20-Transactions!C1273)/Transactions!C1273</f>
        <v>-5.5033249254758543E-3</v>
      </c>
      <c r="P20" s="895"/>
      <c r="Q20" s="882"/>
      <c r="R20" s="326"/>
      <c r="S20" s="309"/>
      <c r="T20" s="328"/>
      <c r="U20" s="309"/>
      <c r="V20" s="328"/>
    </row>
    <row r="21" spans="1:22" ht="12.75" customHeight="1">
      <c r="A21" s="322">
        <v>14</v>
      </c>
      <c r="B21" s="334" t="s">
        <v>284</v>
      </c>
      <c r="C21" s="138" t="s">
        <v>285</v>
      </c>
      <c r="D21" s="1119">
        <v>28</v>
      </c>
      <c r="E21" s="1055">
        <v>73.12</v>
      </c>
      <c r="F21" s="327">
        <f>E21*D21</f>
        <v>2047.3600000000001</v>
      </c>
      <c r="G21" s="331">
        <f>F21/$F$65</f>
        <v>2.8135022713627451E-2</v>
      </c>
      <c r="H21" s="949"/>
      <c r="I21" s="1119">
        <v>28</v>
      </c>
      <c r="J21" s="1055">
        <v>84.76</v>
      </c>
      <c r="K21" s="1147">
        <f t="shared" si="0"/>
        <v>2373.2800000000002</v>
      </c>
      <c r="L21" s="1118">
        <f t="shared" si="1"/>
        <v>3.013149774218175E-2</v>
      </c>
      <c r="M21" s="309"/>
      <c r="N21" s="495">
        <f>(J21-E21)/E21</f>
        <v>0.15919037199124728</v>
      </c>
      <c r="O21" s="329">
        <f>(J21-Transactions!C1403)/Transactions!C1403</f>
        <v>5.4567022538553733E-3</v>
      </c>
      <c r="P21" s="895"/>
      <c r="Q21" s="882"/>
      <c r="R21" s="326"/>
      <c r="S21" s="309"/>
      <c r="T21" s="328"/>
      <c r="U21" s="309"/>
      <c r="V21" s="328"/>
    </row>
    <row r="22" spans="1:22" ht="12.75" customHeight="1">
      <c r="A22" s="322">
        <v>15</v>
      </c>
      <c r="B22" s="334" t="s">
        <v>319</v>
      </c>
      <c r="C22" s="138" t="s">
        <v>320</v>
      </c>
      <c r="D22" s="1119"/>
      <c r="E22" s="1055"/>
      <c r="F22" s="327"/>
      <c r="G22" s="331"/>
      <c r="H22" s="949"/>
      <c r="I22" s="1119">
        <v>15</v>
      </c>
      <c r="J22" s="1055">
        <v>83.51</v>
      </c>
      <c r="K22" s="1147">
        <f t="shared" si="0"/>
        <v>1252.6500000000001</v>
      </c>
      <c r="L22" s="1118">
        <f t="shared" si="1"/>
        <v>1.5903821144889762E-2</v>
      </c>
      <c r="M22" s="309"/>
      <c r="N22" s="495"/>
      <c r="O22" s="329">
        <f>(J22-Transactions!C1094)/Transactions!C1094</f>
        <v>1.5591268889423083E-3</v>
      </c>
      <c r="P22" s="895"/>
      <c r="Q22" s="882"/>
      <c r="R22" s="326"/>
      <c r="S22" s="309"/>
      <c r="T22" s="328"/>
      <c r="U22" s="309"/>
      <c r="V22" s="328"/>
    </row>
    <row r="23" spans="1:22" ht="12.75" customHeight="1">
      <c r="A23" s="322">
        <v>16</v>
      </c>
      <c r="B23" s="334" t="s">
        <v>321</v>
      </c>
      <c r="C23" s="138" t="s">
        <v>322</v>
      </c>
      <c r="D23" s="1119"/>
      <c r="E23" s="1055"/>
      <c r="F23" s="327"/>
      <c r="G23" s="331"/>
      <c r="H23" s="949"/>
      <c r="I23" s="1119">
        <v>220</v>
      </c>
      <c r="J23" s="1055">
        <v>10.76</v>
      </c>
      <c r="K23" s="1147">
        <f t="shared" si="0"/>
        <v>2367.1999999999998</v>
      </c>
      <c r="L23" s="1118">
        <f t="shared" si="1"/>
        <v>3.0054305204313285E-2</v>
      </c>
      <c r="M23" s="309"/>
      <c r="N23" s="495"/>
      <c r="O23" s="329">
        <f>(J23-Transactions!C1178)/Transactions!C1178</f>
        <v>-0.32623669380087666</v>
      </c>
      <c r="P23" s="895"/>
      <c r="Q23" s="882"/>
      <c r="R23" s="326"/>
      <c r="S23" s="309"/>
      <c r="T23" s="328"/>
      <c r="U23" s="309"/>
      <c r="V23" s="328"/>
    </row>
    <row r="24" spans="1:22" ht="12.75" customHeight="1">
      <c r="A24" s="322">
        <v>17</v>
      </c>
      <c r="B24" s="334" t="s">
        <v>323</v>
      </c>
      <c r="C24" s="138" t="s">
        <v>110</v>
      </c>
      <c r="D24" s="1119"/>
      <c r="E24" s="1055"/>
      <c r="F24" s="327"/>
      <c r="G24" s="331"/>
      <c r="H24" s="949"/>
      <c r="I24" s="1119">
        <v>140</v>
      </c>
      <c r="J24" s="1055">
        <v>24.25</v>
      </c>
      <c r="K24" s="1147">
        <f t="shared" si="0"/>
        <v>3395</v>
      </c>
      <c r="L24" s="1118">
        <f t="shared" si="1"/>
        <v>4.3103399023590575E-2</v>
      </c>
      <c r="M24" s="309"/>
      <c r="N24" s="495"/>
      <c r="O24" s="329">
        <f>(J24-Transactions!C1170)/Transactions!C1170</f>
        <v>0.13477367699427692</v>
      </c>
      <c r="P24" s="895"/>
      <c r="Q24" s="882"/>
      <c r="R24" s="326"/>
      <c r="S24" s="309"/>
      <c r="T24" s="328"/>
      <c r="U24" s="309"/>
      <c r="V24" s="328"/>
    </row>
    <row r="25" spans="1:22" ht="12.75" customHeight="1">
      <c r="A25" s="322">
        <v>18</v>
      </c>
      <c r="B25" s="334" t="s">
        <v>324</v>
      </c>
      <c r="C25" s="138" t="s">
        <v>325</v>
      </c>
      <c r="D25" s="1119"/>
      <c r="E25" s="1055"/>
      <c r="F25" s="327"/>
      <c r="G25" s="331"/>
      <c r="H25" s="949"/>
      <c r="I25" s="1119">
        <v>50</v>
      </c>
      <c r="J25" s="1055">
        <v>20.41</v>
      </c>
      <c r="K25" s="1147">
        <f t="shared" si="0"/>
        <v>1020.5</v>
      </c>
      <c r="L25" s="1118">
        <f t="shared" si="1"/>
        <v>1.2956411989270746E-2</v>
      </c>
      <c r="M25" s="309"/>
      <c r="N25" s="495"/>
      <c r="O25" s="329">
        <f>(J25-Transactions!C1098)/Transactions!C1098</f>
        <v>7.9012345679012417E-3</v>
      </c>
      <c r="P25" s="895"/>
      <c r="Q25" s="882"/>
      <c r="R25" s="326"/>
      <c r="S25" s="309"/>
      <c r="T25" s="328"/>
      <c r="U25" s="309"/>
      <c r="V25" s="328"/>
    </row>
    <row r="26" spans="1:22" ht="12.75" customHeight="1">
      <c r="A26" s="322">
        <v>19</v>
      </c>
      <c r="B26" s="334" t="s">
        <v>290</v>
      </c>
      <c r="C26" s="335" t="s">
        <v>291</v>
      </c>
      <c r="D26" s="546">
        <v>100</v>
      </c>
      <c r="E26" s="1055">
        <v>25.08</v>
      </c>
      <c r="F26" s="327">
        <f>E26*D26</f>
        <v>2508</v>
      </c>
      <c r="G26" s="331">
        <f>F26/$F$65</f>
        <v>3.4465182950618185E-2</v>
      </c>
      <c r="H26" s="940"/>
      <c r="I26" s="546">
        <v>100</v>
      </c>
      <c r="J26" s="1055">
        <v>25.38</v>
      </c>
      <c r="K26" s="1147">
        <f t="shared" si="0"/>
        <v>2538</v>
      </c>
      <c r="L26" s="1118">
        <f t="shared" si="1"/>
        <v>3.222280610364444E-2</v>
      </c>
      <c r="M26" s="345"/>
      <c r="N26" s="495">
        <f>(J26-E26)/E26</f>
        <v>1.1961722488038307E-2</v>
      </c>
      <c r="O26" s="329">
        <f>(J26-Transactions!C1272)/Transactions!C1272</f>
        <v>3.4651447207500928E-2</v>
      </c>
      <c r="P26" s="895"/>
      <c r="Q26" s="882"/>
      <c r="R26" s="326"/>
      <c r="S26" s="309"/>
      <c r="T26" s="328"/>
      <c r="U26" s="309"/>
      <c r="V26" s="328"/>
    </row>
    <row r="27" spans="1:22" ht="12.75" customHeight="1">
      <c r="A27" s="322">
        <v>20</v>
      </c>
      <c r="B27" s="334" t="s">
        <v>40</v>
      </c>
      <c r="C27" s="138" t="s">
        <v>41</v>
      </c>
      <c r="D27" s="1119">
        <v>75</v>
      </c>
      <c r="E27" s="1055">
        <v>27.91</v>
      </c>
      <c r="F27" s="327">
        <f>E27*D27</f>
        <v>2093.25</v>
      </c>
      <c r="G27" s="331">
        <f>F27/$F$65</f>
        <v>2.8765647612193586E-2</v>
      </c>
      <c r="H27" s="949"/>
      <c r="I27" s="1119">
        <v>75</v>
      </c>
      <c r="J27" s="1055">
        <v>25.96</v>
      </c>
      <c r="K27" s="1147">
        <f t="shared" si="0"/>
        <v>1947</v>
      </c>
      <c r="L27" s="1118">
        <f t="shared" si="1"/>
        <v>2.4719386715443548E-2</v>
      </c>
      <c r="M27" s="309"/>
      <c r="N27" s="495">
        <f>(J27-E27)/E27</f>
        <v>-6.9867431028305241E-2</v>
      </c>
      <c r="O27" s="329">
        <f>(J27-Transactions!C1774)/Transactions!C1774</f>
        <v>1.9638648860958365E-2</v>
      </c>
      <c r="P27" s="895"/>
      <c r="Q27" s="882"/>
      <c r="R27" s="326"/>
      <c r="S27" s="309"/>
      <c r="T27" s="328"/>
      <c r="U27" s="309"/>
      <c r="V27" s="328"/>
    </row>
    <row r="28" spans="1:22" ht="12.75" customHeight="1">
      <c r="A28" s="322">
        <v>21</v>
      </c>
      <c r="B28" s="334" t="s">
        <v>292</v>
      </c>
      <c r="C28" s="138" t="s">
        <v>293</v>
      </c>
      <c r="D28" s="1119">
        <v>65</v>
      </c>
      <c r="E28" s="1055">
        <v>58.95</v>
      </c>
      <c r="F28" s="327">
        <f>E28*D28</f>
        <v>3831.75</v>
      </c>
      <c r="G28" s="331">
        <f>F28/$F$65</f>
        <v>5.2656285793872097E-2</v>
      </c>
      <c r="H28" s="949"/>
      <c r="I28" s="1119">
        <v>65</v>
      </c>
      <c r="J28" s="1055">
        <v>57.17</v>
      </c>
      <c r="K28" s="1147">
        <f t="shared" si="0"/>
        <v>3716.05</v>
      </c>
      <c r="L28" s="1118">
        <f t="shared" si="1"/>
        <v>4.7179495122713924E-2</v>
      </c>
      <c r="M28" s="309"/>
      <c r="N28" s="495">
        <f>(J28-E28)/E28</f>
        <v>-3.0195080576759983E-2</v>
      </c>
      <c r="O28" s="329">
        <f>(J28-Transactions!C1250)/Transactions!C1250</f>
        <v>8.194549583648747E-2</v>
      </c>
      <c r="P28" s="895"/>
      <c r="Q28" s="882"/>
      <c r="R28" s="326"/>
      <c r="S28" s="309"/>
      <c r="T28" s="328"/>
      <c r="U28" s="309"/>
      <c r="V28" s="328"/>
    </row>
    <row r="29" spans="1:22" ht="12.75" customHeight="1">
      <c r="A29" s="322">
        <v>22</v>
      </c>
      <c r="B29" s="334" t="s">
        <v>326</v>
      </c>
      <c r="C29" s="138" t="s">
        <v>327</v>
      </c>
      <c r="D29" s="1119"/>
      <c r="E29" s="1055"/>
      <c r="F29" s="327"/>
      <c r="G29" s="331"/>
      <c r="H29" s="949"/>
      <c r="I29" s="1119">
        <v>65</v>
      </c>
      <c r="J29" s="1055">
        <v>33.11</v>
      </c>
      <c r="K29" s="1147">
        <f t="shared" si="0"/>
        <v>2152.15</v>
      </c>
      <c r="L29" s="1118">
        <f t="shared" si="1"/>
        <v>2.7324000061449326E-2</v>
      </c>
      <c r="M29" s="309"/>
      <c r="N29" s="495"/>
      <c r="O29" s="329">
        <f>(J29-Transactions!C1102)/Transactions!C1102</f>
        <v>-0.14022331861854062</v>
      </c>
      <c r="P29" s="895"/>
      <c r="Q29" s="882"/>
      <c r="R29" s="326"/>
      <c r="S29" s="309"/>
      <c r="T29" s="328"/>
      <c r="U29" s="309"/>
      <c r="V29" s="328"/>
    </row>
    <row r="30" spans="1:22" ht="12.75" customHeight="1">
      <c r="A30" s="322">
        <v>23</v>
      </c>
      <c r="B30" s="334" t="s">
        <v>256</v>
      </c>
      <c r="C30" s="138" t="s">
        <v>257</v>
      </c>
      <c r="D30" s="1119">
        <v>20</v>
      </c>
      <c r="E30" s="1055">
        <v>64.33</v>
      </c>
      <c r="F30" s="327">
        <f>E30*D30</f>
        <v>1286.5999999999999</v>
      </c>
      <c r="G30" s="331">
        <f>F30/$F$65</f>
        <v>1.7680583885273268E-2</v>
      </c>
      <c r="H30" s="949"/>
      <c r="I30" s="1119">
        <v>20</v>
      </c>
      <c r="J30" s="1055">
        <v>66.709999999999994</v>
      </c>
      <c r="K30" s="1147">
        <f t="shared" si="0"/>
        <v>1334.1999999999998</v>
      </c>
      <c r="L30" s="1118">
        <f t="shared" si="1"/>
        <v>1.6939191451332707E-2</v>
      </c>
      <c r="M30" s="309"/>
      <c r="N30" s="495">
        <f>(J30-E30)/E30</f>
        <v>3.6996735582154446E-2</v>
      </c>
      <c r="O30" s="329">
        <f>(J30-Transactions!C1315)/Transactions!C1315</f>
        <v>7.8762083720087778E-2</v>
      </c>
      <c r="P30" s="895"/>
      <c r="Q30" s="882"/>
      <c r="R30" s="326"/>
      <c r="S30" s="309"/>
      <c r="T30" s="328"/>
      <c r="U30" s="309"/>
      <c r="V30" s="328"/>
    </row>
    <row r="31" spans="1:22" ht="12.75" customHeight="1">
      <c r="A31" s="322">
        <v>24</v>
      </c>
      <c r="B31" s="334" t="s">
        <v>260</v>
      </c>
      <c r="C31" s="138" t="s">
        <v>261</v>
      </c>
      <c r="D31" s="1119">
        <v>44</v>
      </c>
      <c r="E31" s="1055">
        <v>56.58</v>
      </c>
      <c r="F31" s="327">
        <f>E31*D31</f>
        <v>2489.52</v>
      </c>
      <c r="G31" s="331">
        <f>F31/$F$65</f>
        <v>3.4211228970982048E-2</v>
      </c>
      <c r="H31" s="949"/>
      <c r="I31" s="1119">
        <v>88</v>
      </c>
      <c r="J31" s="1055">
        <v>50.62</v>
      </c>
      <c r="K31" s="1147">
        <f t="shared" si="0"/>
        <v>4454.5599999999995</v>
      </c>
      <c r="L31" s="1118">
        <f t="shared" si="1"/>
        <v>5.65557222841018E-2</v>
      </c>
      <c r="M31" s="309"/>
      <c r="N31" s="495">
        <f>(J31-E31)/E31</f>
        <v>-0.10533757511488161</v>
      </c>
      <c r="O31" s="329">
        <f>(J31-Transactions!C1334)/Transactions!C1334</f>
        <v>0.40963519910888341</v>
      </c>
      <c r="P31" s="895"/>
      <c r="Q31" s="882"/>
      <c r="R31" s="326"/>
      <c r="S31" s="309"/>
      <c r="T31" s="328"/>
      <c r="U31" s="309"/>
      <c r="V31" s="328"/>
    </row>
    <row r="32" spans="1:22" ht="12.75" customHeight="1">
      <c r="A32" s="322">
        <v>25</v>
      </c>
      <c r="B32" s="334" t="s">
        <v>328</v>
      </c>
      <c r="C32" s="138" t="s">
        <v>329</v>
      </c>
      <c r="D32" s="1119"/>
      <c r="E32" s="1055"/>
      <c r="F32" s="327"/>
      <c r="G32" s="331"/>
      <c r="H32" s="949"/>
      <c r="I32" s="1119">
        <v>20</v>
      </c>
      <c r="J32" s="1055">
        <v>66.260000000000005</v>
      </c>
      <c r="K32" s="1147">
        <f t="shared" si="0"/>
        <v>1325.2</v>
      </c>
      <c r="L32" s="1118">
        <f t="shared" si="1"/>
        <v>1.6824926181461631E-2</v>
      </c>
      <c r="M32" s="309"/>
      <c r="N32" s="495"/>
      <c r="O32" s="329">
        <f>(J32-Transactions!C1114)/Transactions!C1114</f>
        <v>-0.13791308873276079</v>
      </c>
      <c r="P32" s="895"/>
      <c r="Q32" s="882"/>
      <c r="R32" s="326"/>
      <c r="S32" s="309"/>
      <c r="T32" s="328"/>
      <c r="U32" s="309"/>
      <c r="V32" s="328"/>
    </row>
    <row r="33" spans="1:26" ht="12.75" customHeight="1">
      <c r="A33" s="322">
        <v>26</v>
      </c>
      <c r="B33" s="334" t="s">
        <v>330</v>
      </c>
      <c r="C33" s="138" t="s">
        <v>331</v>
      </c>
      <c r="D33" s="1119"/>
      <c r="E33" s="1055"/>
      <c r="F33" s="327"/>
      <c r="G33" s="331"/>
      <c r="H33" s="949"/>
      <c r="I33" s="1119">
        <v>111</v>
      </c>
      <c r="J33" s="1055">
        <v>21.05</v>
      </c>
      <c r="K33" s="1147">
        <f t="shared" si="0"/>
        <v>2336.5500000000002</v>
      </c>
      <c r="L33" s="1118">
        <f t="shared" si="1"/>
        <v>2.9665168479696778E-2</v>
      </c>
      <c r="M33" s="309"/>
      <c r="N33" s="495"/>
      <c r="O33" s="329">
        <f>(J33-Transactions!C1106)/Transactions!C1106</f>
        <v>-6.4860062194580223E-2</v>
      </c>
      <c r="P33" s="895"/>
      <c r="Q33" s="882"/>
      <c r="R33" s="326"/>
      <c r="S33" s="309"/>
      <c r="T33" s="328"/>
      <c r="U33" s="309"/>
      <c r="V33" s="328"/>
    </row>
    <row r="34" spans="1:26" ht="12.75" customHeight="1">
      <c r="A34" s="322">
        <v>27</v>
      </c>
      <c r="B34" s="334" t="s">
        <v>296</v>
      </c>
      <c r="C34" s="138" t="s">
        <v>297</v>
      </c>
      <c r="D34" s="1119">
        <v>76</v>
      </c>
      <c r="E34" s="1055">
        <v>35.78</v>
      </c>
      <c r="F34" s="327">
        <f t="shared" ref="F34:F39" si="2">E34*D34</f>
        <v>2719.28</v>
      </c>
      <c r="G34" s="331">
        <f t="shared" ref="G34:G39" si="3">F34/$F$65</f>
        <v>3.7368613514336929E-2</v>
      </c>
      <c r="H34" s="949"/>
      <c r="I34" s="1119">
        <v>76</v>
      </c>
      <c r="J34" s="1055">
        <v>40.119999999999997</v>
      </c>
      <c r="K34" s="1147">
        <f t="shared" si="0"/>
        <v>3049.12</v>
      </c>
      <c r="L34" s="1118">
        <f t="shared" si="1"/>
        <v>3.871205774103402E-2</v>
      </c>
      <c r="M34" s="309"/>
      <c r="N34" s="495">
        <f t="shared" ref="N34:N39" si="4">(J34-E34)/E34</f>
        <v>0.1212968138624929</v>
      </c>
      <c r="O34" s="329">
        <f>(J34-Transactions!C1281)/Transactions!C1281</f>
        <v>0.44368477869737311</v>
      </c>
      <c r="P34" s="895"/>
      <c r="Q34" s="882"/>
      <c r="R34" s="326"/>
      <c r="S34" s="309"/>
      <c r="T34" s="328"/>
      <c r="U34" s="309"/>
      <c r="V34" s="328"/>
    </row>
    <row r="35" spans="1:26" ht="12.75" customHeight="1">
      <c r="A35" s="322">
        <v>28</v>
      </c>
      <c r="B35" s="334" t="s">
        <v>298</v>
      </c>
      <c r="C35" s="138" t="s">
        <v>299</v>
      </c>
      <c r="D35" s="1119">
        <v>35</v>
      </c>
      <c r="E35" s="1055">
        <v>44.36</v>
      </c>
      <c r="F35" s="327">
        <f t="shared" si="2"/>
        <v>1552.6</v>
      </c>
      <c r="G35" s="331">
        <f t="shared" si="3"/>
        <v>2.1335982077005499E-2</v>
      </c>
      <c r="H35" s="949"/>
      <c r="I35" s="1119">
        <v>35</v>
      </c>
      <c r="J35" s="1055">
        <v>39.35</v>
      </c>
      <c r="K35" s="1147">
        <f t="shared" si="0"/>
        <v>1377.25</v>
      </c>
      <c r="L35" s="1118">
        <f t="shared" si="1"/>
        <v>1.7485760325549372E-2</v>
      </c>
      <c r="M35" s="309"/>
      <c r="N35" s="495">
        <f t="shared" si="4"/>
        <v>-0.11293958521190257</v>
      </c>
      <c r="O35" s="329">
        <f>(J35-Transactions!C1287)/Transactions!C1287</f>
        <v>-0.1278812056737588</v>
      </c>
      <c r="P35" s="895"/>
      <c r="Q35" s="882"/>
      <c r="R35" s="326"/>
      <c r="S35" s="309"/>
      <c r="T35" s="328"/>
      <c r="U35" s="309"/>
      <c r="V35" s="328"/>
    </row>
    <row r="36" spans="1:26" ht="12.75" customHeight="1">
      <c r="A36" s="322">
        <v>29</v>
      </c>
      <c r="B36" s="334" t="s">
        <v>240</v>
      </c>
      <c r="C36" s="138" t="s">
        <v>264</v>
      </c>
      <c r="D36" s="1119">
        <v>75</v>
      </c>
      <c r="E36" s="1055">
        <v>36.869999999999997</v>
      </c>
      <c r="F36" s="327">
        <f t="shared" si="2"/>
        <v>2765.25</v>
      </c>
      <c r="G36" s="331">
        <f t="shared" si="3"/>
        <v>3.8000337780780276E-2</v>
      </c>
      <c r="H36" s="949"/>
      <c r="I36" s="1119">
        <v>75</v>
      </c>
      <c r="J36" s="1055">
        <v>32.71</v>
      </c>
      <c r="K36" s="1147">
        <f t="shared" si="0"/>
        <v>2453.25</v>
      </c>
      <c r="L36" s="1118">
        <f t="shared" si="1"/>
        <v>3.1146808145691776E-2</v>
      </c>
      <c r="M36" s="309"/>
      <c r="N36" s="495">
        <f t="shared" si="4"/>
        <v>-0.11282885815025757</v>
      </c>
      <c r="O36" s="329">
        <f>(J36-Transactions!C1387)/Transactions!C1387</f>
        <v>-5.9771079696689211E-2</v>
      </c>
      <c r="P36" s="895"/>
      <c r="Q36" s="882"/>
      <c r="R36" s="326"/>
      <c r="S36" s="309"/>
      <c r="T36" s="328"/>
      <c r="U36" s="309"/>
      <c r="V36" s="328"/>
    </row>
    <row r="37" spans="1:26" ht="12.75" customHeight="1">
      <c r="A37" s="322">
        <v>30</v>
      </c>
      <c r="B37" s="334" t="s">
        <v>222</v>
      </c>
      <c r="C37" s="138" t="s">
        <v>223</v>
      </c>
      <c r="D37" s="1119">
        <v>100</v>
      </c>
      <c r="E37" s="1055">
        <v>22.8</v>
      </c>
      <c r="F37" s="327">
        <f t="shared" si="2"/>
        <v>2280</v>
      </c>
      <c r="G37" s="331">
        <f t="shared" si="3"/>
        <v>3.1331984500561988E-2</v>
      </c>
      <c r="H37" s="949"/>
      <c r="I37" s="1119">
        <v>100</v>
      </c>
      <c r="J37" s="1055">
        <v>14.64</v>
      </c>
      <c r="K37" s="1147">
        <f t="shared" si="0"/>
        <v>1464</v>
      </c>
      <c r="L37" s="1118">
        <f t="shared" si="1"/>
        <v>1.8587150565695612E-2</v>
      </c>
      <c r="M37" s="309"/>
      <c r="N37" s="495">
        <f t="shared" si="4"/>
        <v>-0.35789473684210527</v>
      </c>
      <c r="O37" s="329">
        <f>(J37-Transactions!C1256)/Transactions!C1256</f>
        <v>-0.54477611940298498</v>
      </c>
      <c r="P37" s="895"/>
      <c r="Q37" s="882"/>
      <c r="R37" s="326"/>
      <c r="S37" s="309"/>
      <c r="T37" s="328"/>
      <c r="U37" s="309"/>
      <c r="V37" s="328"/>
    </row>
    <row r="38" spans="1:26" ht="12.75" customHeight="1">
      <c r="A38" s="322">
        <v>31</v>
      </c>
      <c r="B38" s="334" t="s">
        <v>332</v>
      </c>
      <c r="C38" s="138" t="s">
        <v>301</v>
      </c>
      <c r="D38" s="1119">
        <v>100</v>
      </c>
      <c r="E38" s="1055">
        <v>8.4</v>
      </c>
      <c r="F38" s="327">
        <f t="shared" si="2"/>
        <v>840</v>
      </c>
      <c r="G38" s="331">
        <f t="shared" si="3"/>
        <v>1.1543362710733363E-2</v>
      </c>
      <c r="H38" s="949"/>
      <c r="I38" s="1119">
        <v>280</v>
      </c>
      <c r="J38" s="1055">
        <v>3.52</v>
      </c>
      <c r="K38" s="1147">
        <f t="shared" si="0"/>
        <v>985.6</v>
      </c>
      <c r="L38" s="1118">
        <f t="shared" si="1"/>
        <v>1.2513316664992892E-2</v>
      </c>
      <c r="M38" s="309"/>
      <c r="N38" s="495">
        <f t="shared" si="4"/>
        <v>-0.580952380952381</v>
      </c>
      <c r="O38" s="329">
        <f>(J38-Transactions!C1234)/Transactions!C1234</f>
        <v>-0.51448275862068971</v>
      </c>
      <c r="P38" s="895"/>
      <c r="Q38" s="882"/>
      <c r="R38" s="326"/>
      <c r="S38" s="309"/>
      <c r="T38" s="328"/>
      <c r="U38" s="309"/>
      <c r="V38" s="328"/>
    </row>
    <row r="39" spans="1:26" ht="12.75" customHeight="1">
      <c r="A39" s="322">
        <v>32</v>
      </c>
      <c r="B39" s="1059" t="s">
        <v>50</v>
      </c>
      <c r="C39" s="138" t="s">
        <v>51</v>
      </c>
      <c r="D39" s="1119">
        <v>54</v>
      </c>
      <c r="E39" s="1055">
        <v>49.05</v>
      </c>
      <c r="F39" s="327">
        <f t="shared" si="2"/>
        <v>2648.7</v>
      </c>
      <c r="G39" s="331">
        <f t="shared" si="3"/>
        <v>3.6398696204666021E-2</v>
      </c>
      <c r="H39" s="949"/>
      <c r="I39" s="1119">
        <v>54</v>
      </c>
      <c r="J39" s="1055">
        <v>59.01</v>
      </c>
      <c r="K39" s="1147">
        <f t="shared" si="0"/>
        <v>3186.54</v>
      </c>
      <c r="L39" s="1118">
        <f t="shared" si="1"/>
        <v>4.0456761450554435E-2</v>
      </c>
      <c r="M39" s="309"/>
      <c r="N39" s="495">
        <f t="shared" si="4"/>
        <v>0.2030581039755352</v>
      </c>
      <c r="O39" s="329">
        <f>(J39-Transactions!C1488)/Transactions!C1488</f>
        <v>1.0446985446985446</v>
      </c>
      <c r="P39" s="895"/>
      <c r="Q39" s="882"/>
      <c r="R39" s="326"/>
      <c r="S39" s="309"/>
      <c r="T39" s="328"/>
      <c r="U39" s="309"/>
      <c r="V39" s="328"/>
    </row>
    <row r="40" spans="1:26" ht="12.75" customHeight="1">
      <c r="A40" s="45"/>
      <c r="B40" s="959"/>
      <c r="C40" s="309"/>
      <c r="D40" s="946"/>
      <c r="E40" s="947"/>
      <c r="F40" s="948"/>
      <c r="G40" s="949"/>
      <c r="H40" s="949"/>
      <c r="I40" s="950"/>
      <c r="J40" s="1032"/>
      <c r="K40" s="1056"/>
      <c r="L40" s="1031"/>
      <c r="M40" s="309"/>
      <c r="N40" s="1061"/>
      <c r="O40" s="1068"/>
      <c r="P40" s="1151"/>
      <c r="Q40" s="325"/>
      <c r="R40" s="326"/>
      <c r="S40" s="309"/>
      <c r="T40" s="309"/>
      <c r="U40" s="309"/>
      <c r="V40" s="328"/>
    </row>
    <row r="41" spans="1:26" ht="12.75" hidden="1" customHeight="1">
      <c r="A41" s="1121"/>
      <c r="B41" s="323"/>
      <c r="C41" s="323"/>
      <c r="D41" s="946"/>
      <c r="E41" s="964"/>
      <c r="F41" s="948"/>
      <c r="G41" s="949"/>
      <c r="H41" s="949"/>
      <c r="I41" s="950"/>
      <c r="J41" s="964"/>
      <c r="K41" s="1071"/>
      <c r="L41" s="1031"/>
      <c r="M41" s="309"/>
      <c r="N41" s="895"/>
      <c r="O41" s="1073"/>
      <c r="P41" s="1151" t="str">
        <f>IF(O41&lt;-0.15,"SELL","")</f>
        <v/>
      </c>
      <c r="Q41" s="325"/>
      <c r="R41" s="326"/>
      <c r="S41" s="309"/>
      <c r="T41" s="309"/>
      <c r="U41" s="309"/>
      <c r="V41" s="328"/>
    </row>
    <row r="42" spans="1:26" ht="12.75" hidden="1" customHeight="1">
      <c r="A42" s="322"/>
      <c r="B42" s="323"/>
      <c r="C42" s="323"/>
      <c r="D42" s="946"/>
      <c r="E42" s="964"/>
      <c r="F42" s="948"/>
      <c r="G42" s="949"/>
      <c r="H42" s="949"/>
      <c r="I42" s="950"/>
      <c r="J42" s="1032"/>
      <c r="K42" s="1056"/>
      <c r="L42" s="1031"/>
      <c r="M42" s="309"/>
      <c r="N42" s="895"/>
      <c r="O42" s="329"/>
      <c r="P42" s="1151" t="str">
        <f>IF(O42&lt;-0.15,"SELL","")</f>
        <v/>
      </c>
      <c r="Q42" s="325"/>
      <c r="R42" s="326"/>
      <c r="S42" s="309"/>
      <c r="T42" s="309"/>
      <c r="U42" s="309"/>
      <c r="V42" s="328"/>
    </row>
    <row r="43" spans="1:26" ht="12.75" hidden="1" customHeight="1">
      <c r="A43" s="1121"/>
      <c r="B43" s="323"/>
      <c r="C43" s="323"/>
      <c r="D43" s="946"/>
      <c r="E43" s="964"/>
      <c r="F43" s="1047"/>
      <c r="G43" s="949"/>
      <c r="H43" s="949"/>
      <c r="I43" s="950"/>
      <c r="J43" s="1032"/>
      <c r="K43" s="1056"/>
      <c r="L43" s="1031"/>
      <c r="M43" s="309"/>
      <c r="N43" s="895"/>
      <c r="O43" s="329"/>
      <c r="P43" s="1151" t="str">
        <f>IF(O43&lt;-0.15,"SELL","")</f>
        <v/>
      </c>
      <c r="Q43" s="325"/>
      <c r="R43" s="326"/>
      <c r="S43" s="309"/>
      <c r="T43" s="309"/>
      <c r="U43" s="309"/>
      <c r="V43" s="328"/>
    </row>
    <row r="44" spans="1:26" ht="12.75" hidden="1" customHeight="1">
      <c r="A44" s="322"/>
      <c r="B44" s="323"/>
      <c r="C44" s="323"/>
      <c r="D44" s="946"/>
      <c r="E44" s="964"/>
      <c r="F44" s="948"/>
      <c r="G44" s="949"/>
      <c r="H44" s="949"/>
      <c r="I44" s="950"/>
      <c r="J44" s="1032"/>
      <c r="K44" s="1056"/>
      <c r="L44" s="1031"/>
      <c r="M44" s="309"/>
      <c r="N44" s="895"/>
      <c r="O44" s="329"/>
      <c r="P44" s="1151"/>
      <c r="Q44" s="325"/>
      <c r="R44" s="326"/>
      <c r="S44" s="309"/>
      <c r="T44" s="309"/>
      <c r="U44" s="309"/>
      <c r="V44" s="328"/>
    </row>
    <row r="45" spans="1:26" ht="12.75" hidden="1" customHeight="1">
      <c r="A45" s="1121"/>
      <c r="B45" s="323"/>
      <c r="C45" s="323"/>
      <c r="D45" s="946"/>
      <c r="E45" s="964"/>
      <c r="F45" s="948"/>
      <c r="G45" s="949"/>
      <c r="H45" s="949"/>
      <c r="I45" s="950"/>
      <c r="J45" s="1032"/>
      <c r="K45" s="1056"/>
      <c r="L45" s="1031"/>
      <c r="M45" s="309"/>
      <c r="N45" s="895"/>
      <c r="O45" s="329"/>
      <c r="P45" s="1151" t="str">
        <f>IF(O45&lt;-0.15,"SELL","")</f>
        <v/>
      </c>
      <c r="Q45" s="325"/>
      <c r="R45" s="326"/>
      <c r="S45" s="309"/>
      <c r="T45" s="309"/>
      <c r="U45" s="309"/>
      <c r="V45" s="328"/>
    </row>
    <row r="46" spans="1:26" ht="12.75" hidden="1" customHeight="1">
      <c r="A46" s="322"/>
      <c r="B46" s="323"/>
      <c r="C46" s="323"/>
      <c r="D46" s="946"/>
      <c r="E46" s="964"/>
      <c r="F46" s="948"/>
      <c r="G46" s="949"/>
      <c r="H46" s="949"/>
      <c r="I46" s="950"/>
      <c r="J46" s="1032"/>
      <c r="K46" s="1056"/>
      <c r="L46" s="1031"/>
      <c r="M46" s="309"/>
      <c r="N46" s="895"/>
      <c r="O46" s="329"/>
      <c r="P46" s="1151" t="str">
        <f>IF(O46&lt;-0.15,"SELL","")</f>
        <v/>
      </c>
      <c r="Q46" s="325"/>
      <c r="R46" s="326"/>
      <c r="S46" s="309"/>
      <c r="T46" s="309"/>
      <c r="U46" s="309"/>
      <c r="V46" s="328"/>
    </row>
    <row r="47" spans="1:26" ht="13.5" hidden="1" customHeight="1">
      <c r="A47" s="1121"/>
      <c r="B47" s="913"/>
      <c r="C47" s="323"/>
      <c r="D47" s="946"/>
      <c r="E47" s="964"/>
      <c r="F47" s="948"/>
      <c r="G47" s="949"/>
      <c r="H47" s="949"/>
      <c r="I47" s="950"/>
      <c r="J47" s="1032"/>
      <c r="K47" s="1056"/>
      <c r="L47" s="1031"/>
      <c r="M47" s="309"/>
      <c r="N47" s="895"/>
      <c r="O47" s="329"/>
      <c r="P47" s="1151"/>
      <c r="Q47" s="325"/>
      <c r="R47" s="326"/>
      <c r="S47" s="309"/>
      <c r="T47" s="309"/>
      <c r="U47" s="309"/>
      <c r="V47" s="328"/>
    </row>
    <row r="48" spans="1:26" ht="12.75" hidden="1" customHeight="1">
      <c r="A48" s="46"/>
      <c r="B48" s="323"/>
      <c r="C48" s="138"/>
      <c r="D48" s="950"/>
      <c r="E48" s="964"/>
      <c r="F48" s="948"/>
      <c r="G48" s="949"/>
      <c r="H48" s="949"/>
      <c r="I48" s="950"/>
      <c r="J48" s="1032"/>
      <c r="K48" s="1056"/>
      <c r="L48" s="1031"/>
      <c r="M48" s="309"/>
      <c r="N48" s="895"/>
      <c r="O48" s="329"/>
      <c r="P48" s="1151" t="str">
        <f>IF(O48&lt;-0.15,"SELL","")</f>
        <v/>
      </c>
      <c r="Q48" s="325"/>
      <c r="R48" s="326"/>
      <c r="S48" s="309"/>
      <c r="T48" s="309"/>
      <c r="U48" s="309"/>
      <c r="V48" s="328"/>
      <c r="W48" s="5"/>
      <c r="X48" s="5"/>
      <c r="Y48" s="5"/>
      <c r="Z48" s="5"/>
    </row>
    <row r="49" spans="1:26" ht="12.75" hidden="1" customHeight="1">
      <c r="A49" s="322"/>
      <c r="B49" s="323"/>
      <c r="C49" s="323"/>
      <c r="D49" s="946"/>
      <c r="E49" s="964"/>
      <c r="F49" s="948"/>
      <c r="G49" s="949"/>
      <c r="H49" s="949"/>
      <c r="I49" s="950"/>
      <c r="J49" s="1032"/>
      <c r="K49" s="1056"/>
      <c r="L49" s="1031"/>
      <c r="M49" s="309"/>
      <c r="N49" s="895"/>
      <c r="O49" s="329"/>
      <c r="P49" s="1151"/>
      <c r="Q49" s="325"/>
      <c r="R49" s="326"/>
      <c r="S49" s="309"/>
      <c r="T49" s="309"/>
      <c r="U49" s="309"/>
      <c r="V49" s="328"/>
      <c r="W49" s="5"/>
      <c r="X49" s="5"/>
      <c r="Y49" s="5"/>
      <c r="Z49" s="5"/>
    </row>
    <row r="50" spans="1:26" ht="12.75" customHeight="1">
      <c r="A50" s="46"/>
      <c r="B50" s="1122" t="s">
        <v>52</v>
      </c>
      <c r="C50" s="1123"/>
      <c r="D50" s="946"/>
      <c r="E50" s="964"/>
      <c r="F50" s="1005"/>
      <c r="G50" s="949"/>
      <c r="H50" s="949"/>
      <c r="I50" s="950"/>
      <c r="J50" s="1032"/>
      <c r="K50" s="1056"/>
      <c r="L50" s="1031"/>
      <c r="M50" s="309"/>
      <c r="N50" s="895"/>
      <c r="O50" s="329"/>
      <c r="P50" s="1151"/>
      <c r="Q50" s="325"/>
      <c r="R50" s="326"/>
      <c r="S50" s="309"/>
      <c r="T50" s="309"/>
      <c r="U50" s="309"/>
      <c r="V50" s="328"/>
      <c r="W50" s="5"/>
      <c r="X50" s="5"/>
      <c r="Y50" s="5"/>
      <c r="Z50" s="5"/>
    </row>
    <row r="51" spans="1:26" ht="12.75" customHeight="1">
      <c r="A51" s="532">
        <v>1</v>
      </c>
      <c r="B51" s="334" t="s">
        <v>238</v>
      </c>
      <c r="C51" s="138" t="s">
        <v>239</v>
      </c>
      <c r="D51" s="1124">
        <v>40</v>
      </c>
      <c r="E51" s="1165">
        <v>69.400000000000006</v>
      </c>
      <c r="F51" s="948">
        <f t="shared" ref="F51:F59" si="5">D51*E51</f>
        <v>2776</v>
      </c>
      <c r="G51" s="1128"/>
      <c r="H51" s="1128"/>
      <c r="I51" s="1166"/>
      <c r="J51" s="1167"/>
      <c r="K51" s="1081"/>
      <c r="L51" s="1129"/>
      <c r="M51" s="1130"/>
      <c r="N51" s="132"/>
      <c r="O51" s="1086"/>
      <c r="P51" s="1151"/>
      <c r="Q51" s="325"/>
      <c r="R51" s="326"/>
      <c r="S51" s="309"/>
      <c r="T51" s="309"/>
      <c r="U51" s="309"/>
      <c r="V51" s="328"/>
      <c r="W51" s="5"/>
      <c r="X51" s="5"/>
      <c r="Y51" s="5"/>
      <c r="Z51" s="5"/>
    </row>
    <row r="52" spans="1:26" ht="12.75" customHeight="1">
      <c r="A52" s="532">
        <v>2</v>
      </c>
      <c r="B52" s="334" t="s">
        <v>262</v>
      </c>
      <c r="C52" s="138" t="s">
        <v>263</v>
      </c>
      <c r="D52" s="1119">
        <v>29</v>
      </c>
      <c r="E52" s="1168">
        <v>57.75</v>
      </c>
      <c r="F52" s="948">
        <f t="shared" si="5"/>
        <v>1674.75</v>
      </c>
      <c r="G52" s="949"/>
      <c r="H52" s="949"/>
      <c r="I52" s="950"/>
      <c r="J52" s="1032"/>
      <c r="K52" s="1056"/>
      <c r="L52" s="1031"/>
      <c r="M52" s="309"/>
      <c r="N52" s="895"/>
      <c r="O52" s="329"/>
      <c r="P52" s="1151"/>
      <c r="Q52" s="325"/>
      <c r="R52" s="326"/>
      <c r="S52" s="309"/>
      <c r="T52" s="309"/>
      <c r="U52" s="309"/>
      <c r="V52" s="328"/>
      <c r="W52" s="5"/>
      <c r="X52" s="5"/>
      <c r="Y52" s="5"/>
      <c r="Z52" s="5"/>
    </row>
    <row r="53" spans="1:26" ht="12.75" customHeight="1">
      <c r="A53" s="532">
        <v>3</v>
      </c>
      <c r="B53" s="334" t="s">
        <v>286</v>
      </c>
      <c r="C53" s="138" t="s">
        <v>287</v>
      </c>
      <c r="D53" s="1119">
        <v>18</v>
      </c>
      <c r="E53" s="1168">
        <v>8.02</v>
      </c>
      <c r="F53" s="948">
        <f t="shared" si="5"/>
        <v>144.35999999999999</v>
      </c>
      <c r="G53" s="949"/>
      <c r="H53" s="949"/>
      <c r="I53" s="950"/>
      <c r="J53" s="1032"/>
      <c r="K53" s="1056"/>
      <c r="L53" s="1031"/>
      <c r="M53" s="309"/>
      <c r="N53" s="895"/>
      <c r="O53" s="329"/>
      <c r="P53" s="1151"/>
      <c r="Q53" s="325"/>
      <c r="R53" s="326"/>
      <c r="S53" s="309"/>
      <c r="T53" s="309"/>
      <c r="U53" s="309"/>
      <c r="V53" s="328"/>
      <c r="W53" s="5"/>
      <c r="X53" s="5"/>
      <c r="Y53" s="5"/>
      <c r="Z53" s="5"/>
    </row>
    <row r="54" spans="1:26" ht="12.75" customHeight="1">
      <c r="A54" s="532">
        <v>4</v>
      </c>
      <c r="B54" s="334" t="s">
        <v>333</v>
      </c>
      <c r="C54" s="138" t="s">
        <v>334</v>
      </c>
      <c r="D54" s="1119">
        <v>125</v>
      </c>
      <c r="E54" s="1168">
        <v>15.54</v>
      </c>
      <c r="F54" s="948">
        <f t="shared" si="5"/>
        <v>1942.5</v>
      </c>
      <c r="G54" s="949"/>
      <c r="H54" s="949"/>
      <c r="I54" s="950"/>
      <c r="J54" s="1032"/>
      <c r="K54" s="1056"/>
      <c r="L54" s="1031"/>
      <c r="M54" s="309"/>
      <c r="N54" s="895"/>
      <c r="O54" s="329"/>
      <c r="P54" s="1151"/>
      <c r="Q54" s="325"/>
      <c r="R54" s="326"/>
      <c r="S54" s="309"/>
      <c r="T54" s="309"/>
      <c r="U54" s="309"/>
      <c r="V54" s="328"/>
      <c r="W54" s="5"/>
      <c r="X54" s="5"/>
      <c r="Y54" s="5"/>
      <c r="Z54" s="5"/>
    </row>
    <row r="55" spans="1:26" ht="12.75" customHeight="1">
      <c r="A55" s="532">
        <v>5</v>
      </c>
      <c r="B55" s="334" t="s">
        <v>288</v>
      </c>
      <c r="C55" s="138" t="s">
        <v>289</v>
      </c>
      <c r="D55" s="1119">
        <v>50</v>
      </c>
      <c r="E55" s="1168">
        <v>23.16</v>
      </c>
      <c r="F55" s="948">
        <f t="shared" si="5"/>
        <v>1158</v>
      </c>
      <c r="G55" s="949"/>
      <c r="H55" s="949"/>
      <c r="I55" s="950"/>
      <c r="J55" s="1032"/>
      <c r="K55" s="1056"/>
      <c r="L55" s="1031"/>
      <c r="M55" s="309"/>
      <c r="N55" s="895"/>
      <c r="O55" s="329"/>
      <c r="P55" s="1151"/>
      <c r="Q55" s="325"/>
      <c r="R55" s="326"/>
      <c r="S55" s="309"/>
      <c r="T55" s="309"/>
      <c r="U55" s="309"/>
      <c r="V55" s="328"/>
      <c r="W55" s="5"/>
      <c r="X55" s="5"/>
      <c r="Y55" s="5"/>
      <c r="Z55" s="5"/>
    </row>
    <row r="56" spans="1:26" ht="12.75" customHeight="1">
      <c r="A56" s="532">
        <v>6</v>
      </c>
      <c r="B56" s="334" t="s">
        <v>335</v>
      </c>
      <c r="C56" s="138" t="s">
        <v>207</v>
      </c>
      <c r="D56" s="1119">
        <v>13</v>
      </c>
      <c r="E56" s="1168">
        <v>400</v>
      </c>
      <c r="F56" s="948">
        <f t="shared" si="5"/>
        <v>5200</v>
      </c>
      <c r="G56" s="949"/>
      <c r="H56" s="949"/>
      <c r="I56" s="950"/>
      <c r="J56" s="1032"/>
      <c r="K56" s="1056"/>
      <c r="L56" s="1031"/>
      <c r="M56" s="309"/>
      <c r="N56" s="895"/>
      <c r="O56" s="329"/>
      <c r="P56" s="1151"/>
      <c r="Q56" s="325"/>
      <c r="R56" s="326"/>
      <c r="S56" s="309"/>
      <c r="T56" s="309"/>
      <c r="U56" s="309"/>
      <c r="V56" s="328"/>
      <c r="W56" s="5"/>
      <c r="X56" s="5"/>
      <c r="Y56" s="5"/>
      <c r="Z56" s="5"/>
    </row>
    <row r="57" spans="1:26" ht="12.75" customHeight="1">
      <c r="A57" s="532">
        <v>7</v>
      </c>
      <c r="B57" s="334" t="s">
        <v>336</v>
      </c>
      <c r="C57" s="138" t="s">
        <v>337</v>
      </c>
      <c r="D57" s="1119">
        <v>75</v>
      </c>
      <c r="E57" s="1168">
        <v>4.3</v>
      </c>
      <c r="F57" s="948">
        <f t="shared" si="5"/>
        <v>322.5</v>
      </c>
      <c r="G57" s="949"/>
      <c r="H57" s="949"/>
      <c r="I57" s="950"/>
      <c r="J57" s="1032"/>
      <c r="K57" s="1056"/>
      <c r="L57" s="1031"/>
      <c r="M57" s="309"/>
      <c r="N57" s="895"/>
      <c r="O57" s="329"/>
      <c r="P57" s="1151"/>
      <c r="Q57" s="325"/>
      <c r="R57" s="326"/>
      <c r="S57" s="309"/>
      <c r="T57" s="309"/>
      <c r="U57" s="309"/>
      <c r="V57" s="328"/>
      <c r="W57" s="5"/>
      <c r="X57" s="5"/>
      <c r="Y57" s="5"/>
      <c r="Z57" s="5"/>
    </row>
    <row r="58" spans="1:26" ht="12.75" customHeight="1">
      <c r="A58" s="532">
        <v>8</v>
      </c>
      <c r="B58" s="334" t="s">
        <v>294</v>
      </c>
      <c r="C58" s="138" t="s">
        <v>295</v>
      </c>
      <c r="D58" s="1119">
        <v>17</v>
      </c>
      <c r="E58" s="1168">
        <v>13.05</v>
      </c>
      <c r="F58" s="948">
        <f t="shared" si="5"/>
        <v>221.85000000000002</v>
      </c>
      <c r="G58" s="949"/>
      <c r="H58" s="949"/>
      <c r="I58" s="950"/>
      <c r="J58" s="1032"/>
      <c r="K58" s="1056"/>
      <c r="L58" s="1031"/>
      <c r="M58" s="309"/>
      <c r="N58" s="895"/>
      <c r="O58" s="329"/>
      <c r="P58" s="1151"/>
      <c r="Q58" s="325"/>
      <c r="R58" s="326"/>
      <c r="S58" s="309"/>
      <c r="T58" s="309"/>
      <c r="U58" s="309"/>
      <c r="V58" s="328"/>
      <c r="W58" s="5"/>
      <c r="X58" s="5"/>
      <c r="Y58" s="5"/>
      <c r="Z58" s="5"/>
    </row>
    <row r="59" spans="1:26" ht="12.75" customHeight="1">
      <c r="A59" s="532">
        <v>9</v>
      </c>
      <c r="B59" s="334" t="s">
        <v>278</v>
      </c>
      <c r="C59" s="138" t="s">
        <v>279</v>
      </c>
      <c r="D59" s="1119">
        <v>100</v>
      </c>
      <c r="E59" s="1168">
        <v>1.91</v>
      </c>
      <c r="F59" s="948">
        <f t="shared" si="5"/>
        <v>191</v>
      </c>
      <c r="G59" s="949"/>
      <c r="H59" s="949"/>
      <c r="I59" s="950"/>
      <c r="J59" s="1032"/>
      <c r="K59" s="1056"/>
      <c r="L59" s="1031"/>
      <c r="M59" s="309"/>
      <c r="N59" s="895"/>
      <c r="O59" s="329"/>
      <c r="P59" s="1151"/>
      <c r="Q59" s="325"/>
      <c r="R59" s="326"/>
      <c r="S59" s="309"/>
      <c r="T59" s="309"/>
      <c r="U59" s="309"/>
      <c r="V59" s="328"/>
      <c r="W59" s="5"/>
      <c r="X59" s="5"/>
      <c r="Y59" s="5"/>
      <c r="Z59" s="5"/>
    </row>
    <row r="60" spans="1:26" ht="12.75" customHeight="1">
      <c r="A60" s="1169"/>
      <c r="B60" s="1075"/>
      <c r="C60" s="918"/>
      <c r="D60" s="55"/>
      <c r="E60" s="1156"/>
      <c r="F60" s="1157"/>
      <c r="G60" s="1137"/>
      <c r="H60" s="916"/>
      <c r="I60" s="916"/>
      <c r="J60" s="916"/>
      <c r="K60" s="1087"/>
      <c r="L60" s="914"/>
      <c r="M60" s="916"/>
      <c r="N60" s="1087"/>
      <c r="O60" s="400"/>
      <c r="P60" s="39"/>
      <c r="Q60" s="57"/>
      <c r="R60" s="5"/>
      <c r="S60" s="5"/>
      <c r="T60" s="5"/>
      <c r="U60" s="5"/>
      <c r="V60" s="5"/>
      <c r="W60" s="5"/>
      <c r="X60" s="5"/>
      <c r="Y60" s="5"/>
      <c r="Z60" s="5"/>
    </row>
    <row r="61" spans="1:26" ht="12.75" customHeight="1">
      <c r="A61" s="344"/>
      <c r="B61" s="345" t="s">
        <v>63</v>
      </c>
      <c r="C61" s="345"/>
      <c r="D61" s="346"/>
      <c r="E61" s="782"/>
      <c r="F61" s="1090">
        <v>62771.49</v>
      </c>
      <c r="G61" s="1091">
        <f>F61/$F$65</f>
        <v>0.86261199638472874</v>
      </c>
      <c r="H61" s="968"/>
      <c r="I61" s="308"/>
      <c r="J61" s="308"/>
      <c r="K61" s="1096">
        <f>SUM(K8:K39)</f>
        <v>75238.989999999991</v>
      </c>
      <c r="L61" s="143">
        <f>K61/$K$65</f>
        <v>0.95524483301971741</v>
      </c>
      <c r="M61" s="345"/>
      <c r="N61" s="137"/>
      <c r="O61" s="138"/>
      <c r="P61" s="1151"/>
      <c r="Q61" s="325"/>
      <c r="R61" s="326"/>
      <c r="S61" s="309"/>
      <c r="T61" s="309"/>
      <c r="U61" s="309"/>
      <c r="V61" s="328"/>
    </row>
    <row r="62" spans="1:26" ht="12.75" customHeight="1">
      <c r="A62" s="344"/>
      <c r="B62" s="345"/>
      <c r="C62" s="345"/>
      <c r="D62" s="346"/>
      <c r="E62" s="347"/>
      <c r="F62" s="1090"/>
      <c r="G62" s="1091"/>
      <c r="H62" s="968"/>
      <c r="I62" s="308"/>
      <c r="J62" s="922"/>
      <c r="K62" s="1096"/>
      <c r="L62" s="143"/>
      <c r="M62" s="345"/>
      <c r="N62" s="587"/>
      <c r="O62" s="138"/>
      <c r="P62" s="1151"/>
      <c r="Q62" s="325"/>
      <c r="R62" s="326"/>
      <c r="S62" s="309"/>
      <c r="T62" s="309"/>
      <c r="U62" s="309"/>
      <c r="V62" s="328"/>
    </row>
    <row r="63" spans="1:26" ht="12.75" customHeight="1">
      <c r="A63" s="344"/>
      <c r="B63" s="345" t="s">
        <v>64</v>
      </c>
      <c r="C63" s="345"/>
      <c r="D63" s="346"/>
      <c r="E63" s="347"/>
      <c r="F63" s="1092">
        <v>9997.6</v>
      </c>
      <c r="G63" s="1091">
        <f>F63/$F$65</f>
        <v>0.13738800361527129</v>
      </c>
      <c r="H63" s="968"/>
      <c r="I63" s="308"/>
      <c r="J63" s="922"/>
      <c r="K63" s="1096">
        <v>3525.1</v>
      </c>
      <c r="L63" s="143">
        <f>K63/$K$65</f>
        <v>4.4755166980282514E-2</v>
      </c>
      <c r="M63" s="345"/>
      <c r="N63" s="587"/>
      <c r="O63" s="138"/>
      <c r="P63" s="1151"/>
      <c r="Q63" s="325"/>
      <c r="R63" s="326"/>
      <c r="S63" s="977"/>
      <c r="T63" s="309"/>
      <c r="U63" s="309"/>
      <c r="V63" s="328"/>
    </row>
    <row r="64" spans="1:26" ht="12.75" customHeight="1">
      <c r="A64" s="49"/>
      <c r="B64" s="924" t="s">
        <v>65</v>
      </c>
      <c r="C64" s="924"/>
      <c r="D64" s="34"/>
      <c r="E64" s="1099"/>
      <c r="F64" s="1100"/>
      <c r="G64" s="1101"/>
      <c r="H64" s="980"/>
      <c r="I64" s="925"/>
      <c r="J64" s="925"/>
      <c r="K64" s="1103">
        <v>9745.4</v>
      </c>
      <c r="L64" s="50"/>
      <c r="M64" s="924"/>
      <c r="N64" s="588"/>
      <c r="O64" s="36"/>
      <c r="P64" s="1151"/>
      <c r="Q64" s="325"/>
      <c r="R64" s="326"/>
      <c r="S64" s="309"/>
      <c r="T64" s="309"/>
      <c r="U64" s="309"/>
      <c r="V64" s="328"/>
    </row>
    <row r="65" spans="1:22" ht="12.75" customHeight="1">
      <c r="A65" s="309"/>
      <c r="B65" s="345" t="s">
        <v>66</v>
      </c>
      <c r="C65" s="345"/>
      <c r="D65" s="1105"/>
      <c r="E65" s="1106"/>
      <c r="F65" s="1107">
        <f>F61+F63</f>
        <v>72769.09</v>
      </c>
      <c r="G65" s="1108">
        <f>SUM(G61:G64)</f>
        <v>1</v>
      </c>
      <c r="H65" s="983"/>
      <c r="I65" s="928"/>
      <c r="J65" s="928"/>
      <c r="K65" s="1109">
        <f>SUM(K61:K63)</f>
        <v>78764.09</v>
      </c>
      <c r="L65" s="51">
        <f>SUM(L61:L64)</f>
        <v>0.99999999999999989</v>
      </c>
      <c r="M65" s="345"/>
      <c r="N65" s="58">
        <f>(K65-K64-F65)/F65</f>
        <v>-5.153836608373135E-2</v>
      </c>
      <c r="O65" s="323"/>
      <c r="P65" s="1170"/>
      <c r="Q65" s="325"/>
      <c r="R65" s="326"/>
      <c r="S65" s="309"/>
      <c r="T65" s="309"/>
      <c r="U65" s="309"/>
      <c r="V65" s="328"/>
    </row>
    <row r="66" spans="1:22" ht="12.75" customHeight="1">
      <c r="A66" s="309"/>
      <c r="B66" s="309"/>
      <c r="C66" s="985"/>
      <c r="D66" s="1024"/>
      <c r="E66" s="1024"/>
      <c r="F66" s="1024"/>
      <c r="G66" s="1024"/>
      <c r="H66" s="940"/>
      <c r="I66" s="940"/>
      <c r="J66" s="940"/>
      <c r="K66" s="1147"/>
      <c r="L66" s="949"/>
      <c r="M66" s="309"/>
      <c r="N66" s="882"/>
      <c r="O66" s="323"/>
      <c r="P66" s="1151"/>
      <c r="Q66" s="325"/>
      <c r="R66" s="326"/>
      <c r="S66" s="309"/>
      <c r="T66" s="309"/>
      <c r="U66" s="309"/>
      <c r="V66" s="328"/>
    </row>
    <row r="67" spans="1:22" ht="12.75" customHeight="1">
      <c r="A67" s="309"/>
      <c r="B67" s="872"/>
      <c r="C67" s="873"/>
      <c r="D67" s="874"/>
      <c r="E67" s="875"/>
      <c r="F67" s="876"/>
      <c r="G67" s="877"/>
      <c r="H67" s="879"/>
      <c r="I67" s="879"/>
      <c r="J67" s="879"/>
      <c r="K67" s="880"/>
      <c r="L67" s="881"/>
      <c r="M67" s="879"/>
      <c r="N67" s="1171"/>
      <c r="O67" s="1113"/>
      <c r="P67" s="1158"/>
      <c r="Q67" s="1172"/>
      <c r="R67" s="1019"/>
      <c r="S67" s="309"/>
      <c r="T67" s="309"/>
      <c r="U67" s="309"/>
      <c r="V67" s="328"/>
    </row>
    <row r="68" spans="1:22" ht="12.75" customHeight="1">
      <c r="A68" s="309"/>
      <c r="B68" s="345" t="s">
        <v>67</v>
      </c>
      <c r="C68" s="309"/>
      <c r="D68" s="323"/>
      <c r="E68" s="323"/>
      <c r="F68" s="1114"/>
      <c r="G68" s="323"/>
      <c r="H68" s="309"/>
      <c r="I68" s="309"/>
      <c r="J68" s="309"/>
      <c r="K68" s="324"/>
      <c r="L68" s="309"/>
      <c r="M68" s="309"/>
      <c r="N68" s="882"/>
      <c r="O68" s="1042"/>
      <c r="P68" s="895"/>
      <c r="Q68" s="325"/>
      <c r="R68" s="326"/>
      <c r="S68" s="309"/>
      <c r="T68" s="309"/>
      <c r="U68" s="309"/>
      <c r="V68" s="328"/>
    </row>
    <row r="69" spans="1:22" ht="12.75" customHeight="1">
      <c r="A69" s="309"/>
      <c r="B69" s="309" t="s">
        <v>272</v>
      </c>
      <c r="C69" s="309"/>
      <c r="D69" s="323"/>
      <c r="E69" s="323"/>
      <c r="F69" s="1159">
        <v>1257.6400000000001</v>
      </c>
      <c r="G69" s="323"/>
      <c r="H69" s="309"/>
      <c r="I69" s="309"/>
      <c r="J69" s="309"/>
      <c r="K69" s="1159">
        <v>1257.5999999999999</v>
      </c>
      <c r="L69" s="1040"/>
      <c r="M69" s="309"/>
      <c r="N69" s="882">
        <f>(K69-F69)/F69</f>
        <v>-3.1805604147602644E-5</v>
      </c>
      <c r="O69" s="1042"/>
      <c r="P69" s="1066"/>
      <c r="Q69" s="325"/>
      <c r="R69" s="326"/>
      <c r="S69" s="309"/>
      <c r="T69" s="309"/>
      <c r="U69" s="309"/>
      <c r="V69" s="328"/>
    </row>
    <row r="70" spans="1:22" ht="12.75" customHeight="1">
      <c r="A70" s="309"/>
      <c r="B70" s="309" t="s">
        <v>273</v>
      </c>
      <c r="C70" s="309"/>
      <c r="D70" s="309"/>
      <c r="E70" s="309"/>
      <c r="F70" s="1146"/>
      <c r="G70" s="309"/>
      <c r="H70" s="309"/>
      <c r="I70" s="309"/>
      <c r="J70" s="309"/>
      <c r="K70" s="324"/>
      <c r="L70" s="1040"/>
      <c r="M70" s="309"/>
      <c r="N70" s="1173">
        <v>2.1100000000000001E-2</v>
      </c>
      <c r="O70" s="1042"/>
      <c r="P70" s="1066"/>
      <c r="Q70" s="325"/>
      <c r="R70" s="326"/>
      <c r="S70" s="309"/>
      <c r="T70" s="309"/>
      <c r="U70" s="309"/>
      <c r="V70" s="328"/>
    </row>
    <row r="71" spans="1:22" ht="12.75" customHeight="1">
      <c r="A71" s="309"/>
      <c r="B71" s="309" t="s">
        <v>228</v>
      </c>
      <c r="C71" s="309"/>
      <c r="D71" s="309"/>
      <c r="E71" s="309"/>
      <c r="F71" s="1146"/>
      <c r="G71" s="309"/>
      <c r="H71" s="309"/>
      <c r="I71" s="309"/>
      <c r="J71" s="309"/>
      <c r="K71" s="1020"/>
      <c r="L71" s="1040"/>
      <c r="M71" s="309"/>
      <c r="N71" s="882">
        <f>SUM(N69:N70)</f>
        <v>2.1068194395852398E-2</v>
      </c>
      <c r="O71" s="1042"/>
      <c r="P71" s="1066"/>
      <c r="Q71" s="325"/>
      <c r="R71" s="326"/>
      <c r="S71" s="309"/>
      <c r="T71" s="309"/>
      <c r="U71" s="309"/>
      <c r="V71" s="328"/>
    </row>
    <row r="72" spans="1:22" ht="14.25" customHeight="1">
      <c r="A72" s="309"/>
      <c r="B72" s="309"/>
      <c r="C72" s="309"/>
      <c r="D72" s="309"/>
      <c r="E72" s="309"/>
      <c r="F72" s="309"/>
      <c r="G72" s="309"/>
      <c r="H72" s="309"/>
      <c r="I72" s="309"/>
      <c r="J72" s="309"/>
      <c r="K72" s="1020"/>
      <c r="L72" s="309"/>
      <c r="M72" s="309"/>
      <c r="N72" s="1174"/>
      <c r="O72" s="323"/>
      <c r="P72" s="1151"/>
      <c r="Q72" s="325"/>
      <c r="R72" s="326"/>
      <c r="S72" s="309"/>
      <c r="T72" s="309"/>
      <c r="U72" s="309"/>
      <c r="V72" s="328"/>
    </row>
    <row r="73" spans="1:22" ht="12.75" customHeight="1">
      <c r="H73" s="59"/>
      <c r="L73" s="60" t="s">
        <v>338</v>
      </c>
      <c r="N73" s="61">
        <f>N65-N71</f>
        <v>-7.2606560479583748E-2</v>
      </c>
      <c r="Q73" s="57"/>
    </row>
    <row r="74" spans="1:22" ht="12.75" customHeight="1">
      <c r="B74" s="309"/>
      <c r="C74" s="52"/>
      <c r="Q74" s="57"/>
    </row>
    <row r="75" spans="1:22" ht="12.75" customHeight="1">
      <c r="Q75" s="57"/>
    </row>
    <row r="76" spans="1:22" ht="12.75" customHeight="1">
      <c r="L76" t="s">
        <v>339</v>
      </c>
      <c r="Q76" s="57"/>
    </row>
    <row r="77" spans="1:22" ht="12.75" customHeight="1">
      <c r="Q77" s="57"/>
    </row>
    <row r="78" spans="1:22" ht="12.75" customHeight="1">
      <c r="Q78" s="57"/>
    </row>
    <row r="79" spans="1:22" ht="12.75" customHeight="1">
      <c r="Q79" s="57"/>
    </row>
    <row r="80" spans="1:22" ht="12.75" customHeight="1">
      <c r="Q80" s="57"/>
    </row>
    <row r="81" spans="17:17" ht="12.75" customHeight="1">
      <c r="Q81" s="57"/>
    </row>
    <row r="82" spans="17:17" ht="12.75" customHeight="1">
      <c r="Q82" s="57"/>
    </row>
    <row r="83" spans="17:17" ht="12.75" customHeight="1">
      <c r="Q83" s="57"/>
    </row>
    <row r="84" spans="17:17" ht="12.75" customHeight="1">
      <c r="Q84" s="57"/>
    </row>
    <row r="85" spans="17:17" ht="12.75" customHeight="1">
      <c r="Q85" s="57"/>
    </row>
    <row r="86" spans="17:17" ht="12.75" customHeight="1">
      <c r="Q86" s="57"/>
    </row>
    <row r="87" spans="17:17" ht="12.75" customHeight="1">
      <c r="Q87" s="57"/>
    </row>
    <row r="88" spans="17:17" ht="12.75" customHeight="1">
      <c r="Q88" s="57"/>
    </row>
    <row r="89" spans="17:17" ht="12.75" customHeight="1">
      <c r="Q89" s="57"/>
    </row>
    <row r="90" spans="17:17" ht="12.75" customHeight="1">
      <c r="Q90" s="57"/>
    </row>
    <row r="91" spans="17:17" ht="12.75" customHeight="1">
      <c r="Q91" s="57"/>
    </row>
    <row r="92" spans="17:17" ht="12.75" customHeight="1">
      <c r="Q92" s="57"/>
    </row>
    <row r="93" spans="17:17" ht="12.75" customHeight="1">
      <c r="Q93" s="57"/>
    </row>
    <row r="94" spans="17:17" ht="12.75" customHeight="1">
      <c r="Q94" s="57"/>
    </row>
    <row r="95" spans="17:17" ht="12.75" customHeight="1">
      <c r="Q95" s="57"/>
    </row>
    <row r="96" spans="17:17" ht="12.75" customHeight="1">
      <c r="Q96" s="57"/>
    </row>
    <row r="97" spans="17:17" ht="12.75" customHeight="1">
      <c r="Q97" s="57"/>
    </row>
    <row r="98" spans="17:17" ht="12.75" customHeight="1">
      <c r="Q98" s="57"/>
    </row>
    <row r="99" spans="17:17" ht="12.75" customHeight="1">
      <c r="Q99" s="57"/>
    </row>
    <row r="100" spans="17:17" ht="12.75" customHeight="1">
      <c r="Q100" s="57"/>
    </row>
    <row r="101" spans="17:17" ht="12.75" customHeight="1">
      <c r="Q101" s="57"/>
    </row>
    <row r="102" spans="17:17" ht="12.75" customHeight="1">
      <c r="Q102" s="57"/>
    </row>
    <row r="103" spans="17:17" ht="12.75" customHeight="1">
      <c r="Q103" s="57"/>
    </row>
    <row r="104" spans="17:17" ht="12.75" customHeight="1">
      <c r="Q104" s="57"/>
    </row>
    <row r="105" spans="17:17" ht="12.75" customHeight="1">
      <c r="Q105" s="57"/>
    </row>
    <row r="106" spans="17:17" ht="12.75" customHeight="1">
      <c r="Q106" s="57"/>
    </row>
    <row r="107" spans="17:17" ht="12.75" customHeight="1">
      <c r="Q107" s="57"/>
    </row>
    <row r="108" spans="17:17" ht="12.75" customHeight="1">
      <c r="Q108" s="57"/>
    </row>
    <row r="109" spans="17:17" ht="12.75" customHeight="1">
      <c r="Q109" s="57"/>
    </row>
    <row r="110" spans="17:17" ht="12.75" customHeight="1">
      <c r="Q110" s="57"/>
    </row>
    <row r="111" spans="17:17" ht="12.75" customHeight="1">
      <c r="Q111" s="57"/>
    </row>
    <row r="112" spans="17:17" ht="12.75" customHeight="1">
      <c r="Q112" s="57"/>
    </row>
    <row r="113" spans="17:17" ht="12.75" customHeight="1">
      <c r="Q113" s="57"/>
    </row>
    <row r="114" spans="17:17" ht="12.75" customHeight="1">
      <c r="Q114" s="57"/>
    </row>
    <row r="115" spans="17:17" ht="12.75" customHeight="1">
      <c r="Q115" s="57"/>
    </row>
    <row r="116" spans="17:17" ht="12.75" customHeight="1">
      <c r="Q116" s="57"/>
    </row>
    <row r="117" spans="17:17" ht="12.75" customHeight="1">
      <c r="Q117" s="57"/>
    </row>
    <row r="118" spans="17:17" ht="12.75" customHeight="1">
      <c r="Q118" s="57"/>
    </row>
    <row r="119" spans="17:17" ht="12.75" customHeight="1">
      <c r="Q119" s="57"/>
    </row>
    <row r="120" spans="17:17" ht="12.75" customHeight="1">
      <c r="Q120" s="57"/>
    </row>
    <row r="121" spans="17:17" ht="12.75" customHeight="1">
      <c r="Q121" s="57"/>
    </row>
    <row r="122" spans="17:17" ht="12.75" customHeight="1">
      <c r="Q122" s="57"/>
    </row>
    <row r="123" spans="17:17" ht="12.75" customHeight="1">
      <c r="Q123" s="57"/>
    </row>
    <row r="124" spans="17:17" ht="12.75" customHeight="1">
      <c r="Q124" s="57"/>
    </row>
    <row r="125" spans="17:17" ht="12.75" customHeight="1">
      <c r="Q125" s="57"/>
    </row>
    <row r="126" spans="17:17" ht="12.75" customHeight="1">
      <c r="Q126" s="57"/>
    </row>
    <row r="127" spans="17:17" ht="12.75" customHeight="1">
      <c r="Q127" s="57"/>
    </row>
    <row r="128" spans="17:17" ht="12.75" customHeight="1">
      <c r="Q128" s="57"/>
    </row>
    <row r="129" spans="17:17" ht="12.75" customHeight="1">
      <c r="Q129" s="57"/>
    </row>
    <row r="130" spans="17:17" ht="12.75" customHeight="1">
      <c r="Q130" s="57"/>
    </row>
    <row r="131" spans="17:17" ht="12.75" customHeight="1">
      <c r="Q131" s="57"/>
    </row>
    <row r="132" spans="17:17" ht="12.75" customHeight="1">
      <c r="Q132" s="57"/>
    </row>
    <row r="133" spans="17:17" ht="12.75" customHeight="1">
      <c r="Q133" s="57"/>
    </row>
    <row r="134" spans="17:17" ht="12.75" customHeight="1">
      <c r="Q134" s="57"/>
    </row>
    <row r="135" spans="17:17" ht="12.75" customHeight="1">
      <c r="Q135" s="57"/>
    </row>
    <row r="136" spans="17:17" ht="12.75" customHeight="1">
      <c r="Q136" s="57"/>
    </row>
    <row r="137" spans="17:17" ht="12.75" customHeight="1">
      <c r="Q137" s="57"/>
    </row>
    <row r="138" spans="17:17" ht="12.75" customHeight="1">
      <c r="Q138" s="57"/>
    </row>
    <row r="139" spans="17:17" ht="12.75" customHeight="1">
      <c r="Q139" s="57"/>
    </row>
    <row r="140" spans="17:17" ht="12.75" customHeight="1">
      <c r="Q140" s="57"/>
    </row>
    <row r="141" spans="17:17" ht="12.75" customHeight="1">
      <c r="Q141" s="57"/>
    </row>
    <row r="142" spans="17:17" ht="12.75" customHeight="1">
      <c r="Q142" s="57"/>
    </row>
    <row r="143" spans="17:17" ht="12.75" customHeight="1">
      <c r="Q143" s="57"/>
    </row>
    <row r="144" spans="17:17" ht="12.75" customHeight="1">
      <c r="Q144" s="57"/>
    </row>
    <row r="145" spans="17:17" ht="12.75" customHeight="1">
      <c r="Q145" s="57"/>
    </row>
    <row r="146" spans="17:17" ht="12.75" customHeight="1">
      <c r="Q146" s="57"/>
    </row>
    <row r="147" spans="17:17" ht="12.75" customHeight="1">
      <c r="Q147" s="57"/>
    </row>
    <row r="148" spans="17:17" ht="12.75" customHeight="1">
      <c r="Q148" s="57"/>
    </row>
    <row r="149" spans="17:17" ht="12.75" customHeight="1">
      <c r="Q149" s="57"/>
    </row>
    <row r="150" spans="17:17" ht="12.75" customHeight="1">
      <c r="Q150" s="57"/>
    </row>
    <row r="151" spans="17:17" ht="12.75" customHeight="1">
      <c r="Q151" s="57"/>
    </row>
    <row r="152" spans="17:17" ht="12.75" customHeight="1">
      <c r="Q152" s="57"/>
    </row>
    <row r="153" spans="17:17" ht="12.75" customHeight="1">
      <c r="Q153" s="57"/>
    </row>
    <row r="154" spans="17:17" ht="12.75" customHeight="1">
      <c r="Q154" s="57"/>
    </row>
    <row r="155" spans="17:17" ht="12.75" customHeight="1">
      <c r="Q155" s="57"/>
    </row>
    <row r="156" spans="17:17" ht="12.75" customHeight="1">
      <c r="Q156" s="57"/>
    </row>
    <row r="157" spans="17:17" ht="12.75" customHeight="1">
      <c r="Q157" s="57"/>
    </row>
    <row r="158" spans="17:17" ht="12.75" customHeight="1">
      <c r="Q158" s="57"/>
    </row>
    <row r="159" spans="17:17" ht="12.75" customHeight="1">
      <c r="Q159" s="57"/>
    </row>
    <row r="160" spans="17:17" ht="12.75" customHeight="1">
      <c r="Q160" s="57"/>
    </row>
    <row r="161" spans="17:17" ht="12.75" customHeight="1">
      <c r="Q161" s="57"/>
    </row>
    <row r="162" spans="17:17" ht="12.75" customHeight="1">
      <c r="Q162" s="57"/>
    </row>
    <row r="163" spans="17:17" ht="12.75" customHeight="1">
      <c r="Q163" s="57"/>
    </row>
    <row r="164" spans="17:17" ht="12.75" customHeight="1">
      <c r="Q164" s="57"/>
    </row>
    <row r="165" spans="17:17" ht="12.75" customHeight="1">
      <c r="Q165" s="57"/>
    </row>
    <row r="166" spans="17:17" ht="12.75" customHeight="1">
      <c r="Q166" s="57"/>
    </row>
    <row r="167" spans="17:17" ht="12.75" customHeight="1">
      <c r="Q167" s="57"/>
    </row>
    <row r="168" spans="17:17" ht="12.75" customHeight="1">
      <c r="Q168" s="57"/>
    </row>
    <row r="169" spans="17:17" ht="12.75" customHeight="1">
      <c r="Q169" s="57"/>
    </row>
    <row r="170" spans="17:17" ht="12.75" customHeight="1">
      <c r="Q170" s="57"/>
    </row>
    <row r="171" spans="17:17" ht="12.75" customHeight="1">
      <c r="Q171" s="57"/>
    </row>
    <row r="172" spans="17:17" ht="12.75" customHeight="1">
      <c r="Q172" s="57"/>
    </row>
    <row r="173" spans="17:17" ht="12.75" customHeight="1">
      <c r="Q173" s="57"/>
    </row>
    <row r="174" spans="17:17" ht="12.75" customHeight="1">
      <c r="Q174" s="57"/>
    </row>
    <row r="175" spans="17:17" ht="12.75" customHeight="1">
      <c r="Q175" s="57"/>
    </row>
    <row r="176" spans="17:17" ht="12.75" customHeight="1">
      <c r="Q176" s="57"/>
    </row>
    <row r="177" spans="17:17" ht="12.75" customHeight="1">
      <c r="Q177" s="57"/>
    </row>
    <row r="178" spans="17:17" ht="12.75" customHeight="1">
      <c r="Q178" s="57"/>
    </row>
    <row r="179" spans="17:17" ht="12.75" customHeight="1">
      <c r="Q179" s="57"/>
    </row>
    <row r="180" spans="17:17" ht="12.75" customHeight="1">
      <c r="Q180" s="57"/>
    </row>
    <row r="181" spans="17:17" ht="12.75" customHeight="1">
      <c r="Q181" s="57"/>
    </row>
    <row r="182" spans="17:17" ht="12.75" customHeight="1">
      <c r="Q182" s="57"/>
    </row>
    <row r="183" spans="17:17" ht="12.75" customHeight="1">
      <c r="Q183" s="57"/>
    </row>
    <row r="184" spans="17:17" ht="12.75" customHeight="1">
      <c r="Q184" s="57"/>
    </row>
    <row r="185" spans="17:17" ht="12.75" customHeight="1">
      <c r="Q185" s="57"/>
    </row>
    <row r="186" spans="17:17" ht="12.75" customHeight="1">
      <c r="Q186" s="57"/>
    </row>
    <row r="187" spans="17:17" ht="12.75" customHeight="1">
      <c r="Q187" s="57"/>
    </row>
    <row r="188" spans="17:17" ht="12.75" customHeight="1">
      <c r="Q188" s="57"/>
    </row>
    <row r="189" spans="17:17" ht="12.75" customHeight="1">
      <c r="Q189" s="57"/>
    </row>
    <row r="190" spans="17:17" ht="12.75" customHeight="1">
      <c r="Q190" s="57"/>
    </row>
    <row r="191" spans="17:17" ht="12.75" customHeight="1">
      <c r="Q191" s="57"/>
    </row>
    <row r="192" spans="17:17" ht="12.75" customHeight="1">
      <c r="Q192" s="57"/>
    </row>
    <row r="193" spans="17:17" ht="12.75" customHeight="1">
      <c r="Q193" s="57"/>
    </row>
    <row r="194" spans="17:17" ht="12.75" customHeight="1">
      <c r="Q194" s="57"/>
    </row>
    <row r="195" spans="17:17" ht="12.75" customHeight="1">
      <c r="Q195" s="57"/>
    </row>
    <row r="196" spans="17:17" ht="12.75" customHeight="1">
      <c r="Q196" s="57"/>
    </row>
    <row r="197" spans="17:17" ht="12.75" customHeight="1">
      <c r="Q197" s="57"/>
    </row>
    <row r="198" spans="17:17" ht="12.75" customHeight="1">
      <c r="Q198" s="57"/>
    </row>
    <row r="199" spans="17:17" ht="12.75" customHeight="1">
      <c r="Q199" s="57"/>
    </row>
    <row r="200" spans="17:17" ht="12.75" customHeight="1">
      <c r="Q200" s="57"/>
    </row>
    <row r="201" spans="17:17" ht="12.75" customHeight="1">
      <c r="Q201" s="57"/>
    </row>
    <row r="202" spans="17:17" ht="12.75" customHeight="1">
      <c r="Q202" s="57"/>
    </row>
    <row r="203" spans="17:17" ht="12.75" customHeight="1">
      <c r="Q203" s="57"/>
    </row>
    <row r="204" spans="17:17" ht="12.75" customHeight="1">
      <c r="Q204" s="57"/>
    </row>
    <row r="205" spans="17:17" ht="12.75" customHeight="1">
      <c r="Q205" s="57"/>
    </row>
    <row r="206" spans="17:17" ht="12.75" customHeight="1">
      <c r="Q206" s="57"/>
    </row>
    <row r="207" spans="17:17" ht="12.75" customHeight="1">
      <c r="Q207" s="57"/>
    </row>
    <row r="208" spans="17:17" ht="12.75" customHeight="1">
      <c r="Q208" s="57"/>
    </row>
    <row r="209" spans="17:17" ht="12.75" customHeight="1">
      <c r="Q209" s="57"/>
    </row>
    <row r="210" spans="17:17" ht="12.75" customHeight="1">
      <c r="Q210" s="57"/>
    </row>
    <row r="211" spans="17:17" ht="12.75" customHeight="1">
      <c r="Q211" s="57"/>
    </row>
    <row r="212" spans="17:17" ht="12.75" customHeight="1">
      <c r="Q212" s="57"/>
    </row>
    <row r="213" spans="17:17" ht="12.75" customHeight="1">
      <c r="Q213" s="57"/>
    </row>
    <row r="214" spans="17:17" ht="12.75" customHeight="1">
      <c r="Q214" s="57"/>
    </row>
    <row r="215" spans="17:17" ht="12.75" customHeight="1">
      <c r="Q215" s="57"/>
    </row>
    <row r="216" spans="17:17" ht="12.75" customHeight="1">
      <c r="Q216" s="57"/>
    </row>
    <row r="217" spans="17:17" ht="12.75" customHeight="1">
      <c r="Q217" s="57"/>
    </row>
    <row r="218" spans="17:17" ht="12.75" customHeight="1">
      <c r="Q218" s="57"/>
    </row>
    <row r="219" spans="17:17" ht="12.75" customHeight="1">
      <c r="Q219" s="57"/>
    </row>
    <row r="220" spans="17:17" ht="12.75" customHeight="1">
      <c r="Q220" s="57"/>
    </row>
    <row r="221" spans="17:17" ht="12.75" customHeight="1">
      <c r="Q221" s="57"/>
    </row>
    <row r="222" spans="17:17" ht="12.75" customHeight="1">
      <c r="Q222" s="57"/>
    </row>
    <row r="223" spans="17:17" ht="12.75" customHeight="1">
      <c r="Q223" s="57"/>
    </row>
    <row r="224" spans="17:17" ht="12.75" customHeight="1">
      <c r="Q224" s="57"/>
    </row>
    <row r="225" spans="17:17" ht="12.75" customHeight="1">
      <c r="Q225" s="57"/>
    </row>
    <row r="226" spans="17:17" ht="12.75" customHeight="1">
      <c r="Q226" s="57"/>
    </row>
    <row r="227" spans="17:17" ht="12.75" customHeight="1">
      <c r="Q227" s="57"/>
    </row>
    <row r="228" spans="17:17" ht="12.75" customHeight="1">
      <c r="Q228" s="57"/>
    </row>
    <row r="229" spans="17:17" ht="12.75" customHeight="1">
      <c r="Q229" s="57"/>
    </row>
    <row r="230" spans="17:17" ht="12.75" customHeight="1">
      <c r="Q230" s="57"/>
    </row>
    <row r="231" spans="17:17" ht="12.75" customHeight="1">
      <c r="Q231" s="57"/>
    </row>
    <row r="232" spans="17:17" ht="12.75" customHeight="1">
      <c r="Q232" s="57"/>
    </row>
    <row r="233" spans="17:17" ht="12.75" customHeight="1">
      <c r="Q233" s="57"/>
    </row>
    <row r="234" spans="17:17" ht="12.75" customHeight="1">
      <c r="Q234" s="57"/>
    </row>
    <row r="235" spans="17:17" ht="12.75" customHeight="1">
      <c r="Q235" s="57"/>
    </row>
    <row r="236" spans="17:17" ht="12.75" customHeight="1">
      <c r="Q236" s="57"/>
    </row>
    <row r="237" spans="17:17" ht="12.75" customHeight="1">
      <c r="Q237" s="57"/>
    </row>
    <row r="238" spans="17:17" ht="12.75" customHeight="1">
      <c r="Q238" s="57"/>
    </row>
    <row r="239" spans="17:17" ht="12.75" customHeight="1">
      <c r="Q239" s="57"/>
    </row>
    <row r="240" spans="17:17" ht="12.75" customHeight="1">
      <c r="Q240" s="57"/>
    </row>
    <row r="241" spans="17:17" ht="12.75" customHeight="1">
      <c r="Q241" s="57"/>
    </row>
    <row r="242" spans="17:17" ht="12.75" customHeight="1">
      <c r="Q242" s="57"/>
    </row>
    <row r="243" spans="17:17" ht="12.75" customHeight="1">
      <c r="Q243" s="57"/>
    </row>
    <row r="244" spans="17:17" ht="12.75" customHeight="1">
      <c r="Q244" s="57"/>
    </row>
    <row r="245" spans="17:17" ht="12.75" customHeight="1">
      <c r="Q245" s="57"/>
    </row>
    <row r="246" spans="17:17" ht="12.75" customHeight="1">
      <c r="Q246" s="57"/>
    </row>
    <row r="247" spans="17:17" ht="12.75" customHeight="1">
      <c r="Q247" s="57"/>
    </row>
    <row r="248" spans="17:17" ht="12.75" customHeight="1">
      <c r="Q248" s="57"/>
    </row>
    <row r="249" spans="17:17" ht="12.75" customHeight="1">
      <c r="Q249" s="57"/>
    </row>
    <row r="250" spans="17:17" ht="12.75" customHeight="1">
      <c r="Q250" s="57"/>
    </row>
    <row r="251" spans="17:17" ht="12.75" customHeight="1">
      <c r="Q251" s="57"/>
    </row>
    <row r="252" spans="17:17" ht="12.75" customHeight="1">
      <c r="Q252" s="57"/>
    </row>
    <row r="253" spans="17:17" ht="12.75" customHeight="1">
      <c r="Q253" s="57"/>
    </row>
    <row r="254" spans="17:17" ht="12.75" customHeight="1">
      <c r="Q254" s="57"/>
    </row>
    <row r="255" spans="17:17" ht="12.75" customHeight="1">
      <c r="Q255" s="57"/>
    </row>
    <row r="256" spans="17:17" ht="12.75" customHeight="1">
      <c r="Q256" s="57"/>
    </row>
    <row r="257" spans="17:17" ht="12.75" customHeight="1">
      <c r="Q257" s="57"/>
    </row>
    <row r="258" spans="17:17" ht="12.75" customHeight="1">
      <c r="Q258" s="57"/>
    </row>
    <row r="259" spans="17:17" ht="12.75" customHeight="1">
      <c r="Q259" s="57"/>
    </row>
    <row r="260" spans="17:17" ht="12.75" customHeight="1">
      <c r="Q260" s="57"/>
    </row>
    <row r="261" spans="17:17" ht="12.75" customHeight="1">
      <c r="Q261" s="57"/>
    </row>
    <row r="262" spans="17:17" ht="12.75" customHeight="1">
      <c r="Q262" s="57"/>
    </row>
    <row r="263" spans="17:17" ht="12.75" customHeight="1">
      <c r="Q263" s="57"/>
    </row>
    <row r="264" spans="17:17" ht="12.75" customHeight="1">
      <c r="Q264" s="57"/>
    </row>
    <row r="265" spans="17:17" ht="12.75" customHeight="1">
      <c r="Q265" s="57"/>
    </row>
    <row r="266" spans="17:17" ht="12.75" customHeight="1">
      <c r="Q266" s="57"/>
    </row>
    <row r="267" spans="17:17" ht="12.75" customHeight="1">
      <c r="Q267" s="57"/>
    </row>
    <row r="268" spans="17:17" ht="12.75" customHeight="1">
      <c r="Q268" s="57"/>
    </row>
    <row r="269" spans="17:17" ht="12.75" customHeight="1">
      <c r="Q269" s="57"/>
    </row>
    <row r="270" spans="17:17" ht="12.75" customHeight="1">
      <c r="Q270" s="57"/>
    </row>
    <row r="271" spans="17:17" ht="12.75" customHeight="1">
      <c r="Q271" s="57"/>
    </row>
    <row r="272" spans="17:17" ht="12.75" customHeight="1">
      <c r="Q272" s="57"/>
    </row>
    <row r="273" spans="17:17" ht="12.75" customHeight="1">
      <c r="Q273" s="57"/>
    </row>
    <row r="274" spans="17:17" ht="12.75" customHeight="1">
      <c r="Q274" s="57"/>
    </row>
    <row r="275" spans="17:17" ht="12.75" customHeight="1">
      <c r="Q275" s="57"/>
    </row>
    <row r="276" spans="17:17" ht="12.75" customHeight="1">
      <c r="Q276" s="57"/>
    </row>
    <row r="277" spans="17:17" ht="12.75" customHeight="1">
      <c r="Q277" s="57"/>
    </row>
    <row r="278" spans="17:17" ht="12.75" customHeight="1">
      <c r="Q278" s="57"/>
    </row>
    <row r="279" spans="17:17" ht="12.75" customHeight="1">
      <c r="Q279" s="57"/>
    </row>
    <row r="280" spans="17:17" ht="12.75" customHeight="1">
      <c r="Q280" s="57"/>
    </row>
    <row r="281" spans="17:17" ht="12.75" customHeight="1">
      <c r="Q281" s="57"/>
    </row>
    <row r="282" spans="17:17" ht="12.75" customHeight="1">
      <c r="Q282" s="57"/>
    </row>
    <row r="283" spans="17:17" ht="12.75" customHeight="1">
      <c r="Q283" s="57"/>
    </row>
    <row r="284" spans="17:17" ht="12.75" customHeight="1">
      <c r="Q284" s="57"/>
    </row>
    <row r="285" spans="17:17" ht="12.75" customHeight="1">
      <c r="Q285" s="57"/>
    </row>
    <row r="286" spans="17:17" ht="12.75" customHeight="1">
      <c r="Q286" s="57"/>
    </row>
    <row r="287" spans="17:17" ht="12.75" customHeight="1">
      <c r="Q287" s="57"/>
    </row>
    <row r="288" spans="17:17" ht="12.75" customHeight="1">
      <c r="Q288" s="57"/>
    </row>
    <row r="289" spans="17:17" ht="12.75" customHeight="1">
      <c r="Q289" s="57"/>
    </row>
    <row r="290" spans="17:17" ht="12.75" customHeight="1">
      <c r="Q290" s="57"/>
    </row>
    <row r="291" spans="17:17" ht="12.75" customHeight="1">
      <c r="Q291" s="57"/>
    </row>
    <row r="292" spans="17:17" ht="12.75" customHeight="1">
      <c r="Q292" s="57"/>
    </row>
    <row r="293" spans="17:17" ht="12.75" customHeight="1">
      <c r="Q293" s="57"/>
    </row>
    <row r="294" spans="17:17" ht="12.75" customHeight="1">
      <c r="Q294" s="57"/>
    </row>
    <row r="295" spans="17:17" ht="12.75" customHeight="1">
      <c r="Q295" s="57"/>
    </row>
    <row r="296" spans="17:17" ht="12.75" customHeight="1">
      <c r="Q296" s="57"/>
    </row>
    <row r="297" spans="17:17" ht="12.75" customHeight="1">
      <c r="Q297" s="57"/>
    </row>
    <row r="298" spans="17:17" ht="12.75" customHeight="1">
      <c r="Q298" s="57"/>
    </row>
    <row r="299" spans="17:17" ht="12.75" customHeight="1">
      <c r="Q299" s="57"/>
    </row>
    <row r="300" spans="17:17" ht="12.75" customHeight="1">
      <c r="Q300" s="57"/>
    </row>
    <row r="301" spans="17:17" ht="12.75" customHeight="1">
      <c r="Q301" s="57"/>
    </row>
    <row r="302" spans="17:17" ht="12.75" customHeight="1">
      <c r="Q302" s="57"/>
    </row>
    <row r="303" spans="17:17" ht="12.75" customHeight="1">
      <c r="Q303" s="57"/>
    </row>
    <row r="304" spans="17:17" ht="12.75" customHeight="1">
      <c r="Q304" s="57"/>
    </row>
    <row r="305" spans="17:17" ht="12.75" customHeight="1">
      <c r="Q305" s="57"/>
    </row>
    <row r="306" spans="17:17" ht="12.75" customHeight="1">
      <c r="Q306" s="57"/>
    </row>
    <row r="307" spans="17:17" ht="12.75" customHeight="1">
      <c r="Q307" s="57"/>
    </row>
    <row r="308" spans="17:17" ht="12.75" customHeight="1">
      <c r="Q308" s="57"/>
    </row>
    <row r="309" spans="17:17" ht="12.75" customHeight="1">
      <c r="Q309" s="57"/>
    </row>
    <row r="310" spans="17:17" ht="12.75" customHeight="1">
      <c r="Q310" s="57"/>
    </row>
    <row r="311" spans="17:17" ht="12.75" customHeight="1">
      <c r="Q311" s="57"/>
    </row>
    <row r="312" spans="17:17" ht="12.75" customHeight="1">
      <c r="Q312" s="57"/>
    </row>
    <row r="313" spans="17:17" ht="12.75" customHeight="1">
      <c r="Q313" s="57"/>
    </row>
    <row r="314" spans="17:17" ht="12.75" customHeight="1">
      <c r="Q314" s="57"/>
    </row>
    <row r="315" spans="17:17" ht="12.75" customHeight="1">
      <c r="Q315" s="57"/>
    </row>
    <row r="316" spans="17:17" ht="12.75" customHeight="1">
      <c r="Q316" s="57"/>
    </row>
    <row r="317" spans="17:17" ht="12.75" customHeight="1">
      <c r="Q317" s="57"/>
    </row>
    <row r="318" spans="17:17" ht="12.75" customHeight="1">
      <c r="Q318" s="57"/>
    </row>
    <row r="319" spans="17:17" ht="12.75" customHeight="1">
      <c r="Q319" s="57"/>
    </row>
    <row r="320" spans="17:17" ht="12.75" customHeight="1">
      <c r="Q320" s="57"/>
    </row>
    <row r="321" spans="17:17" ht="12.75" customHeight="1">
      <c r="Q321" s="57"/>
    </row>
    <row r="322" spans="17:17" ht="12.75" customHeight="1">
      <c r="Q322" s="57"/>
    </row>
    <row r="323" spans="17:17" ht="12.75" customHeight="1">
      <c r="Q323" s="57"/>
    </row>
    <row r="324" spans="17:17" ht="12.75" customHeight="1">
      <c r="Q324" s="57"/>
    </row>
    <row r="325" spans="17:17" ht="12.75" customHeight="1">
      <c r="Q325" s="57"/>
    </row>
    <row r="326" spans="17:17" ht="12.75" customHeight="1">
      <c r="Q326" s="57"/>
    </row>
    <row r="327" spans="17:17" ht="12.75" customHeight="1">
      <c r="Q327" s="57"/>
    </row>
    <row r="328" spans="17:17" ht="12.75" customHeight="1">
      <c r="Q328" s="57"/>
    </row>
    <row r="329" spans="17:17" ht="12.75" customHeight="1">
      <c r="Q329" s="57"/>
    </row>
    <row r="330" spans="17:17" ht="12.75" customHeight="1">
      <c r="Q330" s="57"/>
    </row>
    <row r="331" spans="17:17" ht="12.75" customHeight="1">
      <c r="Q331" s="57"/>
    </row>
    <row r="332" spans="17:17" ht="12.75" customHeight="1">
      <c r="Q332" s="57"/>
    </row>
    <row r="333" spans="17:17" ht="12.75" customHeight="1">
      <c r="Q333" s="57"/>
    </row>
    <row r="334" spans="17:17" ht="12.75" customHeight="1">
      <c r="Q334" s="57"/>
    </row>
    <row r="335" spans="17:17" ht="12.75" customHeight="1">
      <c r="Q335" s="57"/>
    </row>
    <row r="336" spans="17:17" ht="12.75" customHeight="1">
      <c r="Q336" s="57"/>
    </row>
    <row r="337" spans="17:17" ht="12.75" customHeight="1">
      <c r="Q337" s="57"/>
    </row>
    <row r="338" spans="17:17" ht="12.75" customHeight="1">
      <c r="Q338" s="57"/>
    </row>
    <row r="339" spans="17:17" ht="12.75" customHeight="1">
      <c r="Q339" s="57"/>
    </row>
    <row r="340" spans="17:17" ht="12.75" customHeight="1">
      <c r="Q340" s="57"/>
    </row>
    <row r="341" spans="17:17" ht="12.75" customHeight="1">
      <c r="Q341" s="57"/>
    </row>
    <row r="342" spans="17:17" ht="12.75" customHeight="1">
      <c r="Q342" s="57"/>
    </row>
    <row r="343" spans="17:17" ht="12.75" customHeight="1">
      <c r="Q343" s="57"/>
    </row>
    <row r="344" spans="17:17" ht="12.75" customHeight="1">
      <c r="Q344" s="57"/>
    </row>
    <row r="345" spans="17:17" ht="12.75" customHeight="1">
      <c r="Q345" s="57"/>
    </row>
    <row r="346" spans="17:17" ht="12.75" customHeight="1">
      <c r="Q346" s="57"/>
    </row>
    <row r="347" spans="17:17" ht="12.75" customHeight="1">
      <c r="Q347" s="57"/>
    </row>
    <row r="348" spans="17:17" ht="12.75" customHeight="1">
      <c r="Q348" s="57"/>
    </row>
    <row r="349" spans="17:17" ht="12.75" customHeight="1">
      <c r="Q349" s="57"/>
    </row>
    <row r="350" spans="17:17" ht="12.75" customHeight="1">
      <c r="Q350" s="57"/>
    </row>
    <row r="351" spans="17:17" ht="12.75" customHeight="1">
      <c r="Q351" s="57"/>
    </row>
    <row r="352" spans="17:17" ht="12.75" customHeight="1">
      <c r="Q352" s="57"/>
    </row>
    <row r="353" spans="17:17" ht="12.75" customHeight="1">
      <c r="Q353" s="57"/>
    </row>
    <row r="354" spans="17:17" ht="12.75" customHeight="1">
      <c r="Q354" s="57"/>
    </row>
    <row r="355" spans="17:17" ht="12.75" customHeight="1">
      <c r="Q355" s="57"/>
    </row>
    <row r="356" spans="17:17" ht="12.75" customHeight="1">
      <c r="Q356" s="57"/>
    </row>
    <row r="357" spans="17:17" ht="12.75" customHeight="1">
      <c r="Q357" s="57"/>
    </row>
    <row r="358" spans="17:17" ht="12.75" customHeight="1">
      <c r="Q358" s="57"/>
    </row>
    <row r="359" spans="17:17" ht="12.75" customHeight="1">
      <c r="Q359" s="57"/>
    </row>
    <row r="360" spans="17:17" ht="12.75" customHeight="1">
      <c r="Q360" s="57"/>
    </row>
    <row r="361" spans="17:17" ht="12.75" customHeight="1">
      <c r="Q361" s="57"/>
    </row>
    <row r="362" spans="17:17" ht="12.75" customHeight="1">
      <c r="Q362" s="57"/>
    </row>
    <row r="363" spans="17:17" ht="12.75" customHeight="1">
      <c r="Q363" s="57"/>
    </row>
    <row r="364" spans="17:17" ht="12.75" customHeight="1">
      <c r="Q364" s="57"/>
    </row>
    <row r="365" spans="17:17" ht="12.75" customHeight="1">
      <c r="Q365" s="57"/>
    </row>
    <row r="366" spans="17:17" ht="12.75" customHeight="1">
      <c r="Q366" s="57"/>
    </row>
    <row r="367" spans="17:17" ht="12.75" customHeight="1">
      <c r="Q367" s="57"/>
    </row>
    <row r="368" spans="17:17" ht="12.75" customHeight="1">
      <c r="Q368" s="57"/>
    </row>
    <row r="369" spans="17:17" ht="12.75" customHeight="1">
      <c r="Q369" s="57"/>
    </row>
    <row r="370" spans="17:17" ht="12.75" customHeight="1">
      <c r="Q370" s="57"/>
    </row>
    <row r="371" spans="17:17" ht="12.75" customHeight="1">
      <c r="Q371" s="57"/>
    </row>
    <row r="372" spans="17:17" ht="12.75" customHeight="1">
      <c r="Q372" s="57"/>
    </row>
    <row r="373" spans="17:17" ht="12.75" customHeight="1">
      <c r="Q373" s="57"/>
    </row>
    <row r="374" spans="17:17" ht="12.75" customHeight="1">
      <c r="Q374" s="57"/>
    </row>
    <row r="375" spans="17:17" ht="12.75" customHeight="1">
      <c r="Q375" s="57"/>
    </row>
    <row r="376" spans="17:17" ht="12.75" customHeight="1">
      <c r="Q376" s="57"/>
    </row>
    <row r="377" spans="17:17" ht="12.75" customHeight="1">
      <c r="Q377" s="57"/>
    </row>
    <row r="378" spans="17:17" ht="12.75" customHeight="1">
      <c r="Q378" s="57"/>
    </row>
    <row r="379" spans="17:17" ht="12.75" customHeight="1">
      <c r="Q379" s="57"/>
    </row>
    <row r="380" spans="17:17" ht="12.75" customHeight="1">
      <c r="Q380" s="57"/>
    </row>
    <row r="381" spans="17:17" ht="12.75" customHeight="1">
      <c r="Q381" s="57"/>
    </row>
    <row r="382" spans="17:17" ht="12.75" customHeight="1">
      <c r="Q382" s="57"/>
    </row>
    <row r="383" spans="17:17" ht="12.75" customHeight="1">
      <c r="Q383" s="57"/>
    </row>
    <row r="384" spans="17:17" ht="12.75" customHeight="1">
      <c r="Q384" s="57"/>
    </row>
    <row r="385" spans="17:17" ht="12.75" customHeight="1">
      <c r="Q385" s="57"/>
    </row>
    <row r="386" spans="17:17" ht="12.75" customHeight="1">
      <c r="Q386" s="57"/>
    </row>
    <row r="387" spans="17:17" ht="12.75" customHeight="1">
      <c r="Q387" s="57"/>
    </row>
    <row r="388" spans="17:17" ht="12.75" customHeight="1">
      <c r="Q388" s="57"/>
    </row>
    <row r="389" spans="17:17" ht="12.75" customHeight="1">
      <c r="Q389" s="57"/>
    </row>
    <row r="390" spans="17:17" ht="12.75" customHeight="1">
      <c r="Q390" s="57"/>
    </row>
    <row r="391" spans="17:17" ht="12.75" customHeight="1">
      <c r="Q391" s="57"/>
    </row>
    <row r="392" spans="17:17" ht="12.75" customHeight="1">
      <c r="Q392" s="57"/>
    </row>
    <row r="393" spans="17:17" ht="12.75" customHeight="1">
      <c r="Q393" s="57"/>
    </row>
    <row r="394" spans="17:17" ht="12.75" customHeight="1">
      <c r="Q394" s="57"/>
    </row>
    <row r="395" spans="17:17" ht="12.75" customHeight="1">
      <c r="Q395" s="57"/>
    </row>
    <row r="396" spans="17:17" ht="12.75" customHeight="1">
      <c r="Q396" s="57"/>
    </row>
    <row r="397" spans="17:17" ht="12.75" customHeight="1">
      <c r="Q397" s="57"/>
    </row>
    <row r="398" spans="17:17" ht="12.75" customHeight="1">
      <c r="Q398" s="57"/>
    </row>
    <row r="399" spans="17:17" ht="12.75" customHeight="1">
      <c r="Q399" s="57"/>
    </row>
    <row r="400" spans="17:17" ht="12.75" customHeight="1">
      <c r="Q400" s="57"/>
    </row>
    <row r="401" spans="17:17" ht="12.75" customHeight="1">
      <c r="Q401" s="57"/>
    </row>
    <row r="402" spans="17:17" ht="12.75" customHeight="1">
      <c r="Q402" s="57"/>
    </row>
    <row r="403" spans="17:17" ht="12.75" customHeight="1">
      <c r="Q403" s="57"/>
    </row>
    <row r="404" spans="17:17" ht="12.75" customHeight="1">
      <c r="Q404" s="57"/>
    </row>
    <row r="405" spans="17:17" ht="12.75" customHeight="1">
      <c r="Q405" s="57"/>
    </row>
    <row r="406" spans="17:17" ht="12.75" customHeight="1">
      <c r="Q406" s="57"/>
    </row>
    <row r="407" spans="17:17" ht="12.75" customHeight="1">
      <c r="Q407" s="57"/>
    </row>
    <row r="408" spans="17:17" ht="12.75" customHeight="1">
      <c r="Q408" s="57"/>
    </row>
    <row r="409" spans="17:17" ht="12.75" customHeight="1">
      <c r="Q409" s="57"/>
    </row>
    <row r="410" spans="17:17" ht="12.75" customHeight="1">
      <c r="Q410" s="57"/>
    </row>
    <row r="411" spans="17:17" ht="12.75" customHeight="1">
      <c r="Q411" s="57"/>
    </row>
    <row r="412" spans="17:17" ht="12.75" customHeight="1">
      <c r="Q412" s="57"/>
    </row>
    <row r="413" spans="17:17" ht="12.75" customHeight="1">
      <c r="Q413" s="57"/>
    </row>
    <row r="414" spans="17:17" ht="12.75" customHeight="1">
      <c r="Q414" s="57"/>
    </row>
    <row r="415" spans="17:17" ht="12.75" customHeight="1">
      <c r="Q415" s="57"/>
    </row>
    <row r="416" spans="17:17" ht="12.75" customHeight="1">
      <c r="Q416" s="57"/>
    </row>
    <row r="417" spans="17:17" ht="12.75" customHeight="1">
      <c r="Q417" s="57"/>
    </row>
    <row r="418" spans="17:17" ht="12.75" customHeight="1">
      <c r="Q418" s="57"/>
    </row>
    <row r="419" spans="17:17" ht="12.75" customHeight="1">
      <c r="Q419" s="57"/>
    </row>
    <row r="420" spans="17:17" ht="12.75" customHeight="1">
      <c r="Q420" s="57"/>
    </row>
    <row r="421" spans="17:17" ht="12.75" customHeight="1">
      <c r="Q421" s="57"/>
    </row>
    <row r="422" spans="17:17" ht="12.75" customHeight="1">
      <c r="Q422" s="57"/>
    </row>
    <row r="423" spans="17:17" ht="12.75" customHeight="1">
      <c r="Q423" s="57"/>
    </row>
    <row r="424" spans="17:17" ht="12.75" customHeight="1">
      <c r="Q424" s="57"/>
    </row>
    <row r="425" spans="17:17" ht="12.75" customHeight="1">
      <c r="Q425" s="57"/>
    </row>
    <row r="426" spans="17:17" ht="12.75" customHeight="1">
      <c r="Q426" s="57"/>
    </row>
    <row r="427" spans="17:17" ht="12.75" customHeight="1">
      <c r="Q427" s="57"/>
    </row>
    <row r="428" spans="17:17" ht="12.75" customHeight="1">
      <c r="Q428" s="57"/>
    </row>
    <row r="429" spans="17:17" ht="12.75" customHeight="1">
      <c r="Q429" s="57"/>
    </row>
    <row r="430" spans="17:17" ht="12.75" customHeight="1">
      <c r="Q430" s="57"/>
    </row>
    <row r="431" spans="17:17" ht="12.75" customHeight="1">
      <c r="Q431" s="57"/>
    </row>
    <row r="432" spans="17:17" ht="12.75" customHeight="1">
      <c r="Q432" s="57"/>
    </row>
    <row r="433" spans="17:17" ht="12.75" customHeight="1">
      <c r="Q433" s="57"/>
    </row>
    <row r="434" spans="17:17" ht="12.75" customHeight="1">
      <c r="Q434" s="57"/>
    </row>
    <row r="435" spans="17:17" ht="12.75" customHeight="1">
      <c r="Q435" s="57"/>
    </row>
    <row r="436" spans="17:17" ht="12.75" customHeight="1">
      <c r="Q436" s="57"/>
    </row>
    <row r="437" spans="17:17" ht="12.75" customHeight="1">
      <c r="Q437" s="57"/>
    </row>
    <row r="438" spans="17:17" ht="12.75" customHeight="1">
      <c r="Q438" s="57"/>
    </row>
    <row r="439" spans="17:17" ht="12.75" customHeight="1">
      <c r="Q439" s="57"/>
    </row>
    <row r="440" spans="17:17" ht="12.75" customHeight="1">
      <c r="Q440" s="57"/>
    </row>
    <row r="441" spans="17:17" ht="12.75" customHeight="1">
      <c r="Q441" s="57"/>
    </row>
    <row r="442" spans="17:17" ht="12.75" customHeight="1">
      <c r="Q442" s="57"/>
    </row>
    <row r="443" spans="17:17" ht="12.75" customHeight="1">
      <c r="Q443" s="57"/>
    </row>
    <row r="444" spans="17:17" ht="12.75" customHeight="1">
      <c r="Q444" s="57"/>
    </row>
    <row r="445" spans="17:17" ht="12.75" customHeight="1">
      <c r="Q445" s="57"/>
    </row>
    <row r="446" spans="17:17" ht="12.75" customHeight="1">
      <c r="Q446" s="57"/>
    </row>
    <row r="447" spans="17:17" ht="12.75" customHeight="1">
      <c r="Q447" s="57"/>
    </row>
    <row r="448" spans="17:17" ht="12.75" customHeight="1">
      <c r="Q448" s="57"/>
    </row>
    <row r="449" spans="17:17" ht="12.75" customHeight="1">
      <c r="Q449" s="57"/>
    </row>
    <row r="450" spans="17:17" ht="12.75" customHeight="1">
      <c r="Q450" s="57"/>
    </row>
    <row r="451" spans="17:17" ht="12.75" customHeight="1">
      <c r="Q451" s="57"/>
    </row>
    <row r="452" spans="17:17" ht="12.75" customHeight="1">
      <c r="Q452" s="57"/>
    </row>
    <row r="453" spans="17:17" ht="12.75" customHeight="1">
      <c r="Q453" s="57"/>
    </row>
    <row r="454" spans="17:17" ht="12.75" customHeight="1">
      <c r="Q454" s="57"/>
    </row>
    <row r="455" spans="17:17" ht="12.75" customHeight="1">
      <c r="Q455" s="57"/>
    </row>
    <row r="456" spans="17:17" ht="12.75" customHeight="1">
      <c r="Q456" s="57"/>
    </row>
    <row r="457" spans="17:17" ht="12.75" customHeight="1">
      <c r="Q457" s="57"/>
    </row>
    <row r="458" spans="17:17" ht="12.75" customHeight="1">
      <c r="Q458" s="57"/>
    </row>
    <row r="459" spans="17:17" ht="12.75" customHeight="1">
      <c r="Q459" s="57"/>
    </row>
    <row r="460" spans="17:17" ht="12.75" customHeight="1">
      <c r="Q460" s="57"/>
    </row>
    <row r="461" spans="17:17" ht="12.75" customHeight="1">
      <c r="Q461" s="57"/>
    </row>
    <row r="462" spans="17:17" ht="12.75" customHeight="1">
      <c r="Q462" s="57"/>
    </row>
    <row r="463" spans="17:17" ht="12.75" customHeight="1">
      <c r="Q463" s="57"/>
    </row>
    <row r="464" spans="17:17" ht="12.75" customHeight="1">
      <c r="Q464" s="57"/>
    </row>
    <row r="465" spans="17:17" ht="12.75" customHeight="1">
      <c r="Q465" s="57"/>
    </row>
    <row r="466" spans="17:17" ht="12.75" customHeight="1">
      <c r="Q466" s="57"/>
    </row>
    <row r="467" spans="17:17" ht="12.75" customHeight="1">
      <c r="Q467" s="57"/>
    </row>
    <row r="468" spans="17:17" ht="12.75" customHeight="1">
      <c r="Q468" s="57"/>
    </row>
    <row r="469" spans="17:17" ht="12.75" customHeight="1">
      <c r="Q469" s="57"/>
    </row>
    <row r="470" spans="17:17" ht="12.75" customHeight="1">
      <c r="Q470" s="57"/>
    </row>
    <row r="471" spans="17:17" ht="12.75" customHeight="1">
      <c r="Q471" s="57"/>
    </row>
    <row r="472" spans="17:17" ht="12.75" customHeight="1">
      <c r="Q472" s="57"/>
    </row>
    <row r="473" spans="17:17" ht="12.75" customHeight="1">
      <c r="Q473" s="57"/>
    </row>
    <row r="474" spans="17:17" ht="12.75" customHeight="1">
      <c r="Q474" s="57"/>
    </row>
    <row r="475" spans="17:17" ht="12.75" customHeight="1">
      <c r="Q475" s="57"/>
    </row>
    <row r="476" spans="17:17" ht="12.75" customHeight="1">
      <c r="Q476" s="57"/>
    </row>
    <row r="477" spans="17:17" ht="12.75" customHeight="1">
      <c r="Q477" s="57"/>
    </row>
    <row r="478" spans="17:17" ht="12.75" customHeight="1">
      <c r="Q478" s="57"/>
    </row>
    <row r="479" spans="17:17" ht="12.75" customHeight="1">
      <c r="Q479" s="57"/>
    </row>
    <row r="480" spans="17:17" ht="12.75" customHeight="1">
      <c r="Q480" s="57"/>
    </row>
    <row r="481" spans="17:17" ht="12.75" customHeight="1">
      <c r="Q481" s="57"/>
    </row>
    <row r="482" spans="17:17" ht="12.75" customHeight="1">
      <c r="Q482" s="57"/>
    </row>
    <row r="483" spans="17:17" ht="12.75" customHeight="1">
      <c r="Q483" s="57"/>
    </row>
    <row r="484" spans="17:17" ht="12.75" customHeight="1">
      <c r="Q484" s="57"/>
    </row>
    <row r="485" spans="17:17" ht="12.75" customHeight="1">
      <c r="Q485" s="57"/>
    </row>
    <row r="486" spans="17:17" ht="12.75" customHeight="1">
      <c r="Q486" s="57"/>
    </row>
    <row r="487" spans="17:17" ht="12.75" customHeight="1">
      <c r="Q487" s="57"/>
    </row>
    <row r="488" spans="17:17" ht="12.75" customHeight="1">
      <c r="Q488" s="57"/>
    </row>
    <row r="489" spans="17:17" ht="12.75" customHeight="1">
      <c r="Q489" s="57"/>
    </row>
    <row r="490" spans="17:17" ht="12.75" customHeight="1">
      <c r="Q490" s="57"/>
    </row>
    <row r="491" spans="17:17" ht="12.75" customHeight="1">
      <c r="Q491" s="57"/>
    </row>
    <row r="492" spans="17:17" ht="12.75" customHeight="1">
      <c r="Q492" s="57"/>
    </row>
    <row r="493" spans="17:17" ht="12.75" customHeight="1">
      <c r="Q493" s="57"/>
    </row>
    <row r="494" spans="17:17" ht="12.75" customHeight="1">
      <c r="Q494" s="57"/>
    </row>
    <row r="495" spans="17:17" ht="12.75" customHeight="1">
      <c r="Q495" s="57"/>
    </row>
    <row r="496" spans="17:17" ht="12.75" customHeight="1">
      <c r="Q496" s="57"/>
    </row>
    <row r="497" spans="17:17" ht="12.75" customHeight="1">
      <c r="Q497" s="57"/>
    </row>
    <row r="498" spans="17:17" ht="12.75" customHeight="1">
      <c r="Q498" s="57"/>
    </row>
    <row r="499" spans="17:17" ht="12.75" customHeight="1">
      <c r="Q499" s="57"/>
    </row>
    <row r="500" spans="17:17" ht="12.75" customHeight="1">
      <c r="Q500" s="57"/>
    </row>
    <row r="501" spans="17:17" ht="12.75" customHeight="1">
      <c r="Q501" s="57"/>
    </row>
    <row r="502" spans="17:17" ht="12.75" customHeight="1">
      <c r="Q502" s="57"/>
    </row>
    <row r="503" spans="17:17" ht="12.75" customHeight="1">
      <c r="Q503" s="57"/>
    </row>
    <row r="504" spans="17:17" ht="12.75" customHeight="1">
      <c r="Q504" s="57"/>
    </row>
    <row r="505" spans="17:17" ht="12.75" customHeight="1">
      <c r="Q505" s="57"/>
    </row>
    <row r="506" spans="17:17" ht="12.75" customHeight="1">
      <c r="Q506" s="57"/>
    </row>
    <row r="507" spans="17:17" ht="12.75" customHeight="1">
      <c r="Q507" s="57"/>
    </row>
    <row r="508" spans="17:17" ht="12.75" customHeight="1">
      <c r="Q508" s="57"/>
    </row>
    <row r="509" spans="17:17" ht="12.75" customHeight="1">
      <c r="Q509" s="57"/>
    </row>
    <row r="510" spans="17:17" ht="12.75" customHeight="1">
      <c r="Q510" s="57"/>
    </row>
    <row r="511" spans="17:17" ht="12.75" customHeight="1">
      <c r="Q511" s="57"/>
    </row>
    <row r="512" spans="17:17" ht="12.75" customHeight="1">
      <c r="Q512" s="57"/>
    </row>
    <row r="513" spans="17:17" ht="12.75" customHeight="1">
      <c r="Q513" s="57"/>
    </row>
    <row r="514" spans="17:17" ht="12.75" customHeight="1">
      <c r="Q514" s="57"/>
    </row>
    <row r="515" spans="17:17" ht="12.75" customHeight="1">
      <c r="Q515" s="57"/>
    </row>
    <row r="516" spans="17:17" ht="12.75" customHeight="1">
      <c r="Q516" s="57"/>
    </row>
    <row r="517" spans="17:17" ht="12.75" customHeight="1">
      <c r="Q517" s="57"/>
    </row>
    <row r="518" spans="17:17" ht="12.75" customHeight="1">
      <c r="Q518" s="57"/>
    </row>
    <row r="519" spans="17:17" ht="12.75" customHeight="1">
      <c r="Q519" s="57"/>
    </row>
    <row r="520" spans="17:17" ht="12.75" customHeight="1">
      <c r="Q520" s="57"/>
    </row>
    <row r="521" spans="17:17" ht="12.75" customHeight="1">
      <c r="Q521" s="57"/>
    </row>
    <row r="522" spans="17:17" ht="12.75" customHeight="1">
      <c r="Q522" s="57"/>
    </row>
    <row r="523" spans="17:17" ht="12.75" customHeight="1">
      <c r="Q523" s="57"/>
    </row>
    <row r="524" spans="17:17" ht="12.75" customHeight="1">
      <c r="Q524" s="57"/>
    </row>
    <row r="525" spans="17:17" ht="12.75" customHeight="1">
      <c r="Q525" s="57"/>
    </row>
    <row r="526" spans="17:17" ht="12.75" customHeight="1">
      <c r="Q526" s="57"/>
    </row>
    <row r="527" spans="17:17" ht="12.75" customHeight="1">
      <c r="Q527" s="57"/>
    </row>
    <row r="528" spans="17:17" ht="12.75" customHeight="1">
      <c r="Q528" s="57"/>
    </row>
    <row r="529" spans="17:17" ht="12.75" customHeight="1">
      <c r="Q529" s="57"/>
    </row>
    <row r="530" spans="17:17" ht="12.75" customHeight="1">
      <c r="Q530" s="57"/>
    </row>
    <row r="531" spans="17:17" ht="12.75" customHeight="1">
      <c r="Q531" s="57"/>
    </row>
    <row r="532" spans="17:17" ht="12.75" customHeight="1">
      <c r="Q532" s="57"/>
    </row>
    <row r="533" spans="17:17" ht="12.75" customHeight="1">
      <c r="Q533" s="57"/>
    </row>
    <row r="534" spans="17:17" ht="12.75" customHeight="1">
      <c r="Q534" s="57"/>
    </row>
    <row r="535" spans="17:17" ht="12.75" customHeight="1">
      <c r="Q535" s="57"/>
    </row>
    <row r="536" spans="17:17" ht="12.75" customHeight="1">
      <c r="Q536" s="57"/>
    </row>
    <row r="537" spans="17:17" ht="12.75" customHeight="1">
      <c r="Q537" s="57"/>
    </row>
    <row r="538" spans="17:17" ht="12.75" customHeight="1">
      <c r="Q538" s="57"/>
    </row>
    <row r="539" spans="17:17" ht="12.75" customHeight="1">
      <c r="Q539" s="57"/>
    </row>
    <row r="540" spans="17:17" ht="12.75" customHeight="1">
      <c r="Q540" s="57"/>
    </row>
    <row r="541" spans="17:17" ht="12.75" customHeight="1">
      <c r="Q541" s="57"/>
    </row>
    <row r="542" spans="17:17" ht="12.75" customHeight="1">
      <c r="Q542" s="57"/>
    </row>
    <row r="543" spans="17:17" ht="12.75" customHeight="1">
      <c r="Q543" s="57"/>
    </row>
    <row r="544" spans="17:17" ht="12.75" customHeight="1">
      <c r="Q544" s="57"/>
    </row>
    <row r="545" spans="17:17" ht="12.75" customHeight="1">
      <c r="Q545" s="57"/>
    </row>
    <row r="546" spans="17:17" ht="12.75" customHeight="1">
      <c r="Q546" s="57"/>
    </row>
    <row r="547" spans="17:17" ht="12.75" customHeight="1">
      <c r="Q547" s="57"/>
    </row>
    <row r="548" spans="17:17" ht="12.75" customHeight="1">
      <c r="Q548" s="57"/>
    </row>
    <row r="549" spans="17:17" ht="12.75" customHeight="1">
      <c r="Q549" s="57"/>
    </row>
    <row r="550" spans="17:17" ht="12.75" customHeight="1">
      <c r="Q550" s="57"/>
    </row>
    <row r="551" spans="17:17" ht="12.75" customHeight="1">
      <c r="Q551" s="57"/>
    </row>
    <row r="552" spans="17:17" ht="12.75" customHeight="1">
      <c r="Q552" s="57"/>
    </row>
    <row r="553" spans="17:17" ht="12.75" customHeight="1">
      <c r="Q553" s="57"/>
    </row>
    <row r="554" spans="17:17" ht="12.75" customHeight="1">
      <c r="Q554" s="57"/>
    </row>
    <row r="555" spans="17:17" ht="12.75" customHeight="1">
      <c r="Q555" s="57"/>
    </row>
    <row r="556" spans="17:17" ht="12.75" customHeight="1">
      <c r="Q556" s="57"/>
    </row>
    <row r="557" spans="17:17" ht="12.75" customHeight="1">
      <c r="Q557" s="57"/>
    </row>
    <row r="558" spans="17:17" ht="12.75" customHeight="1">
      <c r="Q558" s="57"/>
    </row>
    <row r="559" spans="17:17" ht="12.75" customHeight="1">
      <c r="Q559" s="57"/>
    </row>
    <row r="560" spans="17:17" ht="12.75" customHeight="1">
      <c r="Q560" s="57"/>
    </row>
    <row r="561" spans="17:17" ht="12.75" customHeight="1">
      <c r="Q561" s="57"/>
    </row>
    <row r="562" spans="17:17" ht="12.75" customHeight="1">
      <c r="Q562" s="57"/>
    </row>
    <row r="563" spans="17:17" ht="12.75" customHeight="1">
      <c r="Q563" s="57"/>
    </row>
    <row r="564" spans="17:17" ht="12.75" customHeight="1">
      <c r="Q564" s="57"/>
    </row>
    <row r="565" spans="17:17" ht="12.75" customHeight="1">
      <c r="Q565" s="57"/>
    </row>
    <row r="566" spans="17:17" ht="12.75" customHeight="1">
      <c r="Q566" s="57"/>
    </row>
    <row r="567" spans="17:17" ht="12.75" customHeight="1">
      <c r="Q567" s="57"/>
    </row>
    <row r="568" spans="17:17" ht="12.75" customHeight="1">
      <c r="Q568" s="57"/>
    </row>
    <row r="569" spans="17:17" ht="12.75" customHeight="1">
      <c r="Q569" s="57"/>
    </row>
    <row r="570" spans="17:17" ht="12.75" customHeight="1">
      <c r="Q570" s="57"/>
    </row>
    <row r="571" spans="17:17" ht="12.75" customHeight="1">
      <c r="Q571" s="57"/>
    </row>
    <row r="572" spans="17:17" ht="12.75" customHeight="1">
      <c r="Q572" s="57"/>
    </row>
    <row r="573" spans="17:17" ht="12.75" customHeight="1">
      <c r="Q573" s="57"/>
    </row>
    <row r="574" spans="17:17" ht="12.75" customHeight="1">
      <c r="Q574" s="57"/>
    </row>
    <row r="575" spans="17:17" ht="12.75" customHeight="1">
      <c r="Q575" s="57"/>
    </row>
    <row r="576" spans="17:17" ht="12.75" customHeight="1">
      <c r="Q576" s="57"/>
    </row>
    <row r="577" spans="17:17" ht="12.75" customHeight="1">
      <c r="Q577" s="57"/>
    </row>
    <row r="578" spans="17:17" ht="12.75" customHeight="1">
      <c r="Q578" s="57"/>
    </row>
    <row r="579" spans="17:17" ht="12.75" customHeight="1">
      <c r="Q579" s="57"/>
    </row>
    <row r="580" spans="17:17" ht="12.75" customHeight="1">
      <c r="Q580" s="57"/>
    </row>
    <row r="581" spans="17:17" ht="12.75" customHeight="1">
      <c r="Q581" s="57"/>
    </row>
    <row r="582" spans="17:17" ht="12.75" customHeight="1">
      <c r="Q582" s="57"/>
    </row>
    <row r="583" spans="17:17" ht="12.75" customHeight="1">
      <c r="Q583" s="57"/>
    </row>
    <row r="584" spans="17:17" ht="12.75" customHeight="1">
      <c r="Q584" s="57"/>
    </row>
    <row r="585" spans="17:17" ht="12.75" customHeight="1">
      <c r="Q585" s="57"/>
    </row>
    <row r="586" spans="17:17" ht="12.75" customHeight="1">
      <c r="Q586" s="57"/>
    </row>
    <row r="587" spans="17:17" ht="12.75" customHeight="1">
      <c r="Q587" s="57"/>
    </row>
    <row r="588" spans="17:17" ht="12.75" customHeight="1">
      <c r="Q588" s="57"/>
    </row>
    <row r="589" spans="17:17" ht="12.75" customHeight="1">
      <c r="Q589" s="57"/>
    </row>
    <row r="590" spans="17:17" ht="12.75" customHeight="1">
      <c r="Q590" s="57"/>
    </row>
    <row r="591" spans="17:17" ht="12.75" customHeight="1">
      <c r="Q591" s="57"/>
    </row>
    <row r="592" spans="17:17" ht="12.75" customHeight="1">
      <c r="Q592" s="57"/>
    </row>
    <row r="593" spans="17:17" ht="12.75" customHeight="1">
      <c r="Q593" s="57"/>
    </row>
    <row r="594" spans="17:17" ht="12.75" customHeight="1">
      <c r="Q594" s="57"/>
    </row>
    <row r="595" spans="17:17" ht="12.75" customHeight="1">
      <c r="Q595" s="57"/>
    </row>
    <row r="596" spans="17:17" ht="12.75" customHeight="1">
      <c r="Q596" s="57"/>
    </row>
    <row r="597" spans="17:17" ht="12.75" customHeight="1">
      <c r="Q597" s="57"/>
    </row>
    <row r="598" spans="17:17" ht="12.75" customHeight="1">
      <c r="Q598" s="57"/>
    </row>
    <row r="599" spans="17:17" ht="12.75" customHeight="1">
      <c r="Q599" s="57"/>
    </row>
    <row r="600" spans="17:17" ht="12.75" customHeight="1">
      <c r="Q600" s="57"/>
    </row>
    <row r="601" spans="17:17" ht="12.75" customHeight="1">
      <c r="Q601" s="57"/>
    </row>
    <row r="602" spans="17:17" ht="12.75" customHeight="1">
      <c r="Q602" s="57"/>
    </row>
    <row r="603" spans="17:17" ht="12.75" customHeight="1">
      <c r="Q603" s="57"/>
    </row>
    <row r="604" spans="17:17" ht="12.75" customHeight="1">
      <c r="Q604" s="57"/>
    </row>
    <row r="605" spans="17:17" ht="12.75" customHeight="1">
      <c r="Q605" s="57"/>
    </row>
    <row r="606" spans="17:17" ht="12.75" customHeight="1">
      <c r="Q606" s="57"/>
    </row>
    <row r="607" spans="17:17" ht="12.75" customHeight="1">
      <c r="Q607" s="57"/>
    </row>
    <row r="608" spans="17:17" ht="12.75" customHeight="1">
      <c r="Q608" s="57"/>
    </row>
    <row r="609" spans="17:17" ht="12.75" customHeight="1">
      <c r="Q609" s="57"/>
    </row>
    <row r="610" spans="17:17" ht="12.75" customHeight="1">
      <c r="Q610" s="57"/>
    </row>
    <row r="611" spans="17:17" ht="12.75" customHeight="1">
      <c r="Q611" s="57"/>
    </row>
    <row r="612" spans="17:17" ht="12.75" customHeight="1">
      <c r="Q612" s="57"/>
    </row>
    <row r="613" spans="17:17" ht="12.75" customHeight="1">
      <c r="Q613" s="57"/>
    </row>
    <row r="614" spans="17:17" ht="12.75" customHeight="1">
      <c r="Q614" s="57"/>
    </row>
    <row r="615" spans="17:17" ht="12.75" customHeight="1">
      <c r="Q615" s="57"/>
    </row>
    <row r="616" spans="17:17" ht="12.75" customHeight="1">
      <c r="Q616" s="57"/>
    </row>
    <row r="617" spans="17:17" ht="12.75" customHeight="1">
      <c r="Q617" s="57"/>
    </row>
    <row r="618" spans="17:17" ht="12.75" customHeight="1">
      <c r="Q618" s="57"/>
    </row>
    <row r="619" spans="17:17" ht="12.75" customHeight="1">
      <c r="Q619" s="57"/>
    </row>
    <row r="620" spans="17:17" ht="12.75" customHeight="1">
      <c r="Q620" s="57"/>
    </row>
    <row r="621" spans="17:17" ht="12.75" customHeight="1">
      <c r="Q621" s="57"/>
    </row>
    <row r="622" spans="17:17" ht="12.75" customHeight="1">
      <c r="Q622" s="57"/>
    </row>
    <row r="623" spans="17:17" ht="12.75" customHeight="1">
      <c r="Q623" s="57"/>
    </row>
    <row r="624" spans="17:17" ht="12.75" customHeight="1">
      <c r="Q624" s="57"/>
    </row>
    <row r="625" spans="17:17" ht="12.75" customHeight="1">
      <c r="Q625" s="57"/>
    </row>
    <row r="626" spans="17:17" ht="12.75" customHeight="1">
      <c r="Q626" s="57"/>
    </row>
    <row r="627" spans="17:17" ht="12.75" customHeight="1">
      <c r="Q627" s="57"/>
    </row>
    <row r="628" spans="17:17" ht="12.75" customHeight="1">
      <c r="Q628" s="57"/>
    </row>
    <row r="629" spans="17:17" ht="12.75" customHeight="1">
      <c r="Q629" s="57"/>
    </row>
    <row r="630" spans="17:17" ht="12.75" customHeight="1">
      <c r="Q630" s="57"/>
    </row>
    <row r="631" spans="17:17" ht="12.75" customHeight="1">
      <c r="Q631" s="57"/>
    </row>
    <row r="632" spans="17:17" ht="12.75" customHeight="1">
      <c r="Q632" s="57"/>
    </row>
    <row r="633" spans="17:17" ht="12.75" customHeight="1">
      <c r="Q633" s="57"/>
    </row>
    <row r="634" spans="17:17" ht="12.75" customHeight="1">
      <c r="Q634" s="57"/>
    </row>
    <row r="635" spans="17:17" ht="12.75" customHeight="1">
      <c r="Q635" s="57"/>
    </row>
    <row r="636" spans="17:17" ht="12.75" customHeight="1">
      <c r="Q636" s="57"/>
    </row>
    <row r="637" spans="17:17" ht="12.75" customHeight="1">
      <c r="Q637" s="57"/>
    </row>
    <row r="638" spans="17:17" ht="12.75" customHeight="1">
      <c r="Q638" s="57"/>
    </row>
    <row r="639" spans="17:17" ht="12.75" customHeight="1">
      <c r="Q639" s="57"/>
    </row>
    <row r="640" spans="17:17" ht="12.75" customHeight="1">
      <c r="Q640" s="57"/>
    </row>
    <row r="641" spans="17:17" ht="12.75" customHeight="1">
      <c r="Q641" s="57"/>
    </row>
    <row r="642" spans="17:17" ht="12.75" customHeight="1">
      <c r="Q642" s="57"/>
    </row>
    <row r="643" spans="17:17" ht="12.75" customHeight="1">
      <c r="Q643" s="57"/>
    </row>
    <row r="644" spans="17:17" ht="12.75" customHeight="1">
      <c r="Q644" s="57"/>
    </row>
    <row r="645" spans="17:17" ht="12.75" customHeight="1">
      <c r="Q645" s="57"/>
    </row>
    <row r="646" spans="17:17" ht="12.75" customHeight="1">
      <c r="Q646" s="57"/>
    </row>
    <row r="647" spans="17:17" ht="12.75" customHeight="1">
      <c r="Q647" s="57"/>
    </row>
    <row r="648" spans="17:17" ht="12.75" customHeight="1">
      <c r="Q648" s="57"/>
    </row>
    <row r="649" spans="17:17" ht="12.75" customHeight="1">
      <c r="Q649" s="57"/>
    </row>
    <row r="650" spans="17:17" ht="12.75" customHeight="1">
      <c r="Q650" s="57"/>
    </row>
    <row r="651" spans="17:17" ht="12.75" customHeight="1">
      <c r="Q651" s="57"/>
    </row>
    <row r="652" spans="17:17" ht="12.75" customHeight="1">
      <c r="Q652" s="57"/>
    </row>
    <row r="653" spans="17:17" ht="12.75" customHeight="1">
      <c r="Q653" s="57"/>
    </row>
    <row r="654" spans="17:17" ht="12.75" customHeight="1">
      <c r="Q654" s="57"/>
    </row>
    <row r="655" spans="17:17" ht="12.75" customHeight="1">
      <c r="Q655" s="57"/>
    </row>
    <row r="656" spans="17:17" ht="12.75" customHeight="1">
      <c r="Q656" s="57"/>
    </row>
    <row r="657" spans="17:17" ht="12.75" customHeight="1">
      <c r="Q657" s="57"/>
    </row>
    <row r="658" spans="17:17" ht="12.75" customHeight="1">
      <c r="Q658" s="57"/>
    </row>
    <row r="659" spans="17:17" ht="12.75" customHeight="1">
      <c r="Q659" s="57"/>
    </row>
    <row r="660" spans="17:17" ht="12.75" customHeight="1">
      <c r="Q660" s="57"/>
    </row>
    <row r="661" spans="17:17" ht="12.75" customHeight="1">
      <c r="Q661" s="57"/>
    </row>
    <row r="662" spans="17:17" ht="12.75" customHeight="1">
      <c r="Q662" s="57"/>
    </row>
    <row r="663" spans="17:17" ht="12.75" customHeight="1">
      <c r="Q663" s="57"/>
    </row>
    <row r="664" spans="17:17" ht="12.75" customHeight="1">
      <c r="Q664" s="57"/>
    </row>
    <row r="665" spans="17:17" ht="12.75" customHeight="1">
      <c r="Q665" s="57"/>
    </row>
    <row r="666" spans="17:17" ht="12.75" customHeight="1">
      <c r="Q666" s="57"/>
    </row>
    <row r="667" spans="17:17" ht="12.75" customHeight="1">
      <c r="Q667" s="57"/>
    </row>
    <row r="668" spans="17:17" ht="12.75" customHeight="1">
      <c r="Q668" s="57"/>
    </row>
    <row r="669" spans="17:17" ht="12.75" customHeight="1">
      <c r="Q669" s="57"/>
    </row>
    <row r="670" spans="17:17" ht="12.75" customHeight="1">
      <c r="Q670" s="57"/>
    </row>
    <row r="671" spans="17:17" ht="12.75" customHeight="1">
      <c r="Q671" s="57"/>
    </row>
    <row r="672" spans="17:17" ht="12.75" customHeight="1">
      <c r="Q672" s="57"/>
    </row>
    <row r="673" spans="17:17" ht="12.75" customHeight="1">
      <c r="Q673" s="57"/>
    </row>
    <row r="674" spans="17:17" ht="12.75" customHeight="1">
      <c r="Q674" s="57"/>
    </row>
    <row r="675" spans="17:17" ht="12.75" customHeight="1">
      <c r="Q675" s="57"/>
    </row>
    <row r="676" spans="17:17" ht="12.75" customHeight="1">
      <c r="Q676" s="57"/>
    </row>
    <row r="677" spans="17:17" ht="12.75" customHeight="1">
      <c r="Q677" s="57"/>
    </row>
    <row r="678" spans="17:17" ht="12.75" customHeight="1">
      <c r="Q678" s="57"/>
    </row>
    <row r="679" spans="17:17" ht="12.75" customHeight="1">
      <c r="Q679" s="57"/>
    </row>
    <row r="680" spans="17:17" ht="12.75" customHeight="1">
      <c r="Q680" s="57"/>
    </row>
    <row r="681" spans="17:17" ht="12.75" customHeight="1">
      <c r="Q681" s="57"/>
    </row>
    <row r="682" spans="17:17" ht="12.75" customHeight="1">
      <c r="Q682" s="57"/>
    </row>
    <row r="683" spans="17:17" ht="12.75" customHeight="1">
      <c r="Q683" s="57"/>
    </row>
    <row r="684" spans="17:17" ht="12.75" customHeight="1">
      <c r="Q684" s="57"/>
    </row>
    <row r="685" spans="17:17" ht="12.75" customHeight="1">
      <c r="Q685" s="57"/>
    </row>
    <row r="686" spans="17:17" ht="12.75" customHeight="1">
      <c r="Q686" s="57"/>
    </row>
    <row r="687" spans="17:17" ht="12.75" customHeight="1">
      <c r="Q687" s="57"/>
    </row>
    <row r="688" spans="17:17" ht="12.75" customHeight="1">
      <c r="Q688" s="57"/>
    </row>
    <row r="689" spans="17:17" ht="12.75" customHeight="1">
      <c r="Q689" s="57"/>
    </row>
    <row r="690" spans="17:17" ht="12.75" customHeight="1">
      <c r="Q690" s="57"/>
    </row>
    <row r="691" spans="17:17" ht="12.75" customHeight="1">
      <c r="Q691" s="57"/>
    </row>
    <row r="692" spans="17:17" ht="12.75" customHeight="1">
      <c r="Q692" s="57"/>
    </row>
    <row r="693" spans="17:17" ht="12.75" customHeight="1">
      <c r="Q693" s="57"/>
    </row>
    <row r="694" spans="17:17" ht="12.75" customHeight="1">
      <c r="Q694" s="57"/>
    </row>
    <row r="695" spans="17:17" ht="12.75" customHeight="1">
      <c r="Q695" s="57"/>
    </row>
    <row r="696" spans="17:17" ht="12.75" customHeight="1">
      <c r="Q696" s="57"/>
    </row>
    <row r="697" spans="17:17" ht="12.75" customHeight="1">
      <c r="Q697" s="57"/>
    </row>
    <row r="698" spans="17:17" ht="12.75" customHeight="1">
      <c r="Q698" s="57"/>
    </row>
    <row r="699" spans="17:17" ht="12.75" customHeight="1">
      <c r="Q699" s="57"/>
    </row>
    <row r="700" spans="17:17" ht="12.75" customHeight="1">
      <c r="Q700" s="57"/>
    </row>
    <row r="701" spans="17:17" ht="12.75" customHeight="1">
      <c r="Q701" s="57"/>
    </row>
    <row r="702" spans="17:17" ht="12.75" customHeight="1">
      <c r="Q702" s="57"/>
    </row>
    <row r="703" spans="17:17" ht="12.75" customHeight="1">
      <c r="Q703" s="57"/>
    </row>
    <row r="704" spans="17:17" ht="12.75" customHeight="1">
      <c r="Q704" s="57"/>
    </row>
    <row r="705" spans="17:17" ht="12.75" customHeight="1">
      <c r="Q705" s="57"/>
    </row>
    <row r="706" spans="17:17" ht="12.75" customHeight="1">
      <c r="Q706" s="57"/>
    </row>
    <row r="707" spans="17:17" ht="12.75" customHeight="1">
      <c r="Q707" s="57"/>
    </row>
    <row r="708" spans="17:17" ht="12.75" customHeight="1">
      <c r="Q708" s="57"/>
    </row>
    <row r="709" spans="17:17" ht="12.75" customHeight="1">
      <c r="Q709" s="57"/>
    </row>
    <row r="710" spans="17:17" ht="12.75" customHeight="1">
      <c r="Q710" s="57"/>
    </row>
    <row r="711" spans="17:17" ht="12.75" customHeight="1">
      <c r="Q711" s="57"/>
    </row>
    <row r="712" spans="17:17" ht="12.75" customHeight="1">
      <c r="Q712" s="57"/>
    </row>
    <row r="713" spans="17:17" ht="12.75" customHeight="1">
      <c r="Q713" s="57"/>
    </row>
    <row r="714" spans="17:17" ht="12.75" customHeight="1">
      <c r="Q714" s="57"/>
    </row>
    <row r="715" spans="17:17" ht="12.75" customHeight="1">
      <c r="Q715" s="57"/>
    </row>
    <row r="716" spans="17:17" ht="12.75" customHeight="1">
      <c r="Q716" s="57"/>
    </row>
    <row r="717" spans="17:17" ht="12.75" customHeight="1">
      <c r="Q717" s="57"/>
    </row>
    <row r="718" spans="17:17" ht="12.75" customHeight="1">
      <c r="Q718" s="57"/>
    </row>
    <row r="719" spans="17:17" ht="12.75" customHeight="1">
      <c r="Q719" s="57"/>
    </row>
    <row r="720" spans="17:17" ht="12.75" customHeight="1">
      <c r="Q720" s="57"/>
    </row>
    <row r="721" spans="17:17" ht="12.75" customHeight="1">
      <c r="Q721" s="57"/>
    </row>
    <row r="722" spans="17:17" ht="12.75" customHeight="1">
      <c r="Q722" s="57"/>
    </row>
    <row r="723" spans="17:17" ht="12.75" customHeight="1">
      <c r="Q723" s="57"/>
    </row>
    <row r="724" spans="17:17" ht="12.75" customHeight="1">
      <c r="Q724" s="57"/>
    </row>
    <row r="725" spans="17:17" ht="12.75" customHeight="1">
      <c r="Q725" s="57"/>
    </row>
    <row r="726" spans="17:17" ht="12.75" customHeight="1">
      <c r="Q726" s="57"/>
    </row>
    <row r="727" spans="17:17" ht="12.75" customHeight="1">
      <c r="Q727" s="57"/>
    </row>
    <row r="728" spans="17:17" ht="12.75" customHeight="1">
      <c r="Q728" s="57"/>
    </row>
    <row r="729" spans="17:17" ht="12.75" customHeight="1">
      <c r="Q729" s="57"/>
    </row>
    <row r="730" spans="17:17" ht="12.75" customHeight="1">
      <c r="Q730" s="57"/>
    </row>
    <row r="731" spans="17:17" ht="12.75" customHeight="1">
      <c r="Q731" s="57"/>
    </row>
    <row r="732" spans="17:17" ht="12.75" customHeight="1">
      <c r="Q732" s="57"/>
    </row>
    <row r="733" spans="17:17" ht="12.75" customHeight="1">
      <c r="Q733" s="57"/>
    </row>
    <row r="734" spans="17:17" ht="12.75" customHeight="1">
      <c r="Q734" s="57"/>
    </row>
    <row r="735" spans="17:17" ht="12.75" customHeight="1">
      <c r="Q735" s="57"/>
    </row>
    <row r="736" spans="17:17" ht="12.75" customHeight="1">
      <c r="Q736" s="57"/>
    </row>
    <row r="737" spans="17:17" ht="12.75" customHeight="1">
      <c r="Q737" s="57"/>
    </row>
    <row r="738" spans="17:17" ht="12.75" customHeight="1">
      <c r="Q738" s="57"/>
    </row>
    <row r="739" spans="17:17" ht="12.75" customHeight="1">
      <c r="Q739" s="57"/>
    </row>
    <row r="740" spans="17:17" ht="12.75" customHeight="1">
      <c r="Q740" s="57"/>
    </row>
    <row r="741" spans="17:17" ht="12.75" customHeight="1">
      <c r="Q741" s="57"/>
    </row>
    <row r="742" spans="17:17" ht="12.75" customHeight="1">
      <c r="Q742" s="57"/>
    </row>
    <row r="743" spans="17:17" ht="12.75" customHeight="1">
      <c r="Q743" s="57"/>
    </row>
    <row r="744" spans="17:17" ht="12.75" customHeight="1">
      <c r="Q744" s="57"/>
    </row>
    <row r="745" spans="17:17" ht="12.75" customHeight="1">
      <c r="Q745" s="57"/>
    </row>
    <row r="746" spans="17:17" ht="12.75" customHeight="1">
      <c r="Q746" s="57"/>
    </row>
    <row r="747" spans="17:17" ht="12.75" customHeight="1">
      <c r="Q747" s="57"/>
    </row>
    <row r="748" spans="17:17" ht="12.75" customHeight="1">
      <c r="Q748" s="57"/>
    </row>
    <row r="749" spans="17:17" ht="12.75" customHeight="1">
      <c r="Q749" s="57"/>
    </row>
    <row r="750" spans="17:17" ht="12.75" customHeight="1">
      <c r="Q750" s="57"/>
    </row>
    <row r="751" spans="17:17" ht="12.75" customHeight="1">
      <c r="Q751" s="57"/>
    </row>
    <row r="752" spans="17:17" ht="12.75" customHeight="1">
      <c r="Q752" s="57"/>
    </row>
    <row r="753" spans="17:17" ht="12.75" customHeight="1">
      <c r="Q753" s="57"/>
    </row>
    <row r="754" spans="17:17" ht="12.75" customHeight="1">
      <c r="Q754" s="57"/>
    </row>
    <row r="755" spans="17:17" ht="12.75" customHeight="1">
      <c r="Q755" s="57"/>
    </row>
    <row r="756" spans="17:17" ht="12.75" customHeight="1">
      <c r="Q756" s="57"/>
    </row>
    <row r="757" spans="17:17" ht="12.75" customHeight="1">
      <c r="Q757" s="57"/>
    </row>
    <row r="758" spans="17:17" ht="12.75" customHeight="1">
      <c r="Q758" s="57"/>
    </row>
    <row r="759" spans="17:17" ht="12.75" customHeight="1">
      <c r="Q759" s="57"/>
    </row>
    <row r="760" spans="17:17" ht="12.75" customHeight="1">
      <c r="Q760" s="57"/>
    </row>
    <row r="761" spans="17:17" ht="12.75" customHeight="1">
      <c r="Q761" s="57"/>
    </row>
    <row r="762" spans="17:17" ht="12.75" customHeight="1">
      <c r="Q762" s="57"/>
    </row>
    <row r="763" spans="17:17" ht="12.75" customHeight="1">
      <c r="Q763" s="57"/>
    </row>
    <row r="764" spans="17:17" ht="12.75" customHeight="1">
      <c r="Q764" s="57"/>
    </row>
    <row r="765" spans="17:17" ht="12.75" customHeight="1">
      <c r="Q765" s="57"/>
    </row>
    <row r="766" spans="17:17" ht="12.75" customHeight="1">
      <c r="Q766" s="57"/>
    </row>
    <row r="767" spans="17:17" ht="12.75" customHeight="1">
      <c r="Q767" s="57"/>
    </row>
    <row r="768" spans="17:17" ht="12.75" customHeight="1">
      <c r="Q768" s="57"/>
    </row>
    <row r="769" spans="17:17" ht="12.75" customHeight="1">
      <c r="Q769" s="57"/>
    </row>
    <row r="770" spans="17:17" ht="12.75" customHeight="1">
      <c r="Q770" s="57"/>
    </row>
    <row r="771" spans="17:17" ht="12.75" customHeight="1">
      <c r="Q771" s="57"/>
    </row>
    <row r="772" spans="17:17" ht="12.75" customHeight="1">
      <c r="Q772" s="57"/>
    </row>
    <row r="773" spans="17:17" ht="12.75" customHeight="1">
      <c r="Q773" s="57"/>
    </row>
    <row r="774" spans="17:17" ht="12.75" customHeight="1">
      <c r="Q774" s="57"/>
    </row>
    <row r="775" spans="17:17" ht="12.75" customHeight="1">
      <c r="Q775" s="57"/>
    </row>
    <row r="776" spans="17:17" ht="12.75" customHeight="1">
      <c r="Q776" s="57"/>
    </row>
    <row r="777" spans="17:17" ht="12.75" customHeight="1">
      <c r="Q777" s="57"/>
    </row>
    <row r="778" spans="17:17" ht="12.75" customHeight="1">
      <c r="Q778" s="57"/>
    </row>
    <row r="779" spans="17:17" ht="12.75" customHeight="1">
      <c r="Q779" s="57"/>
    </row>
    <row r="780" spans="17:17" ht="12.75" customHeight="1">
      <c r="Q780" s="57"/>
    </row>
    <row r="781" spans="17:17" ht="12.75" customHeight="1">
      <c r="Q781" s="57"/>
    </row>
    <row r="782" spans="17:17" ht="12.75" customHeight="1">
      <c r="Q782" s="57"/>
    </row>
    <row r="783" spans="17:17" ht="12.75" customHeight="1">
      <c r="Q783" s="57"/>
    </row>
    <row r="784" spans="17:17" ht="12.75" customHeight="1">
      <c r="Q784" s="57"/>
    </row>
    <row r="785" spans="17:17" ht="12.75" customHeight="1">
      <c r="Q785" s="57"/>
    </row>
    <row r="786" spans="17:17" ht="12.75" customHeight="1">
      <c r="Q786" s="57"/>
    </row>
    <row r="787" spans="17:17" ht="12.75" customHeight="1">
      <c r="Q787" s="57"/>
    </row>
    <row r="788" spans="17:17" ht="12.75" customHeight="1">
      <c r="Q788" s="57"/>
    </row>
    <row r="789" spans="17:17" ht="12.75" customHeight="1">
      <c r="Q789" s="57"/>
    </row>
    <row r="790" spans="17:17" ht="12.75" customHeight="1">
      <c r="Q790" s="57"/>
    </row>
    <row r="791" spans="17:17" ht="12.75" customHeight="1">
      <c r="Q791" s="57"/>
    </row>
    <row r="792" spans="17:17" ht="12.75" customHeight="1">
      <c r="Q792" s="57"/>
    </row>
    <row r="793" spans="17:17" ht="12.75" customHeight="1">
      <c r="Q793" s="57"/>
    </row>
    <row r="794" spans="17:17" ht="12.75" customHeight="1">
      <c r="Q794" s="57"/>
    </row>
    <row r="795" spans="17:17" ht="12.75" customHeight="1">
      <c r="Q795" s="57"/>
    </row>
    <row r="796" spans="17:17" ht="12.75" customHeight="1">
      <c r="Q796" s="57"/>
    </row>
    <row r="797" spans="17:17" ht="12.75" customHeight="1">
      <c r="Q797" s="57"/>
    </row>
    <row r="798" spans="17:17" ht="12.75" customHeight="1">
      <c r="Q798" s="57"/>
    </row>
    <row r="799" spans="17:17" ht="12.75" customHeight="1">
      <c r="Q799" s="57"/>
    </row>
    <row r="800" spans="17:17" ht="12.75" customHeight="1">
      <c r="Q800" s="57"/>
    </row>
    <row r="801" spans="17:17" ht="12.75" customHeight="1">
      <c r="Q801" s="57"/>
    </row>
    <row r="802" spans="17:17" ht="12.75" customHeight="1">
      <c r="Q802" s="57"/>
    </row>
    <row r="803" spans="17:17" ht="12.75" customHeight="1">
      <c r="Q803" s="57"/>
    </row>
    <row r="804" spans="17:17" ht="12.75" customHeight="1">
      <c r="Q804" s="57"/>
    </row>
    <row r="805" spans="17:17" ht="12.75" customHeight="1">
      <c r="Q805" s="57"/>
    </row>
    <row r="806" spans="17:17" ht="12.75" customHeight="1">
      <c r="Q806" s="57"/>
    </row>
    <row r="807" spans="17:17" ht="12.75" customHeight="1">
      <c r="Q807" s="57"/>
    </row>
    <row r="808" spans="17:17" ht="12.75" customHeight="1">
      <c r="Q808" s="57"/>
    </row>
    <row r="809" spans="17:17" ht="12.75" customHeight="1">
      <c r="Q809" s="57"/>
    </row>
    <row r="810" spans="17:17" ht="12.75" customHeight="1">
      <c r="Q810" s="57"/>
    </row>
    <row r="811" spans="17:17" ht="12.75" customHeight="1">
      <c r="Q811" s="57"/>
    </row>
    <row r="812" spans="17:17" ht="12.75" customHeight="1">
      <c r="Q812" s="57"/>
    </row>
    <row r="813" spans="17:17" ht="12.75" customHeight="1">
      <c r="Q813" s="57"/>
    </row>
    <row r="814" spans="17:17" ht="12.75" customHeight="1">
      <c r="Q814" s="57"/>
    </row>
    <row r="815" spans="17:17" ht="12.75" customHeight="1">
      <c r="Q815" s="57"/>
    </row>
    <row r="816" spans="17:17" ht="12.75" customHeight="1">
      <c r="Q816" s="57"/>
    </row>
    <row r="817" spans="17:17" ht="12.75" customHeight="1">
      <c r="Q817" s="57"/>
    </row>
    <row r="818" spans="17:17" ht="12.75" customHeight="1">
      <c r="Q818" s="57"/>
    </row>
    <row r="819" spans="17:17" ht="12.75" customHeight="1">
      <c r="Q819" s="57"/>
    </row>
    <row r="820" spans="17:17" ht="12.75" customHeight="1">
      <c r="Q820" s="57"/>
    </row>
    <row r="821" spans="17:17" ht="12.75" customHeight="1">
      <c r="Q821" s="57"/>
    </row>
    <row r="822" spans="17:17" ht="12.75" customHeight="1">
      <c r="Q822" s="57"/>
    </row>
    <row r="823" spans="17:17" ht="12.75" customHeight="1">
      <c r="Q823" s="57"/>
    </row>
    <row r="824" spans="17:17" ht="12.75" customHeight="1">
      <c r="Q824" s="57"/>
    </row>
    <row r="825" spans="17:17" ht="12.75" customHeight="1">
      <c r="Q825" s="57"/>
    </row>
    <row r="826" spans="17:17" ht="12.75" customHeight="1">
      <c r="Q826" s="57"/>
    </row>
    <row r="827" spans="17:17" ht="12.75" customHeight="1">
      <c r="Q827" s="57"/>
    </row>
    <row r="828" spans="17:17" ht="12.75" customHeight="1">
      <c r="Q828" s="57"/>
    </row>
    <row r="829" spans="17:17" ht="12.75" customHeight="1">
      <c r="Q829" s="57"/>
    </row>
    <row r="830" spans="17:17" ht="12.75" customHeight="1">
      <c r="Q830" s="57"/>
    </row>
    <row r="831" spans="17:17" ht="12.75" customHeight="1">
      <c r="Q831" s="57"/>
    </row>
    <row r="832" spans="17:17" ht="12.75" customHeight="1">
      <c r="Q832" s="57"/>
    </row>
    <row r="833" spans="17:17" ht="12.75" customHeight="1">
      <c r="Q833" s="57"/>
    </row>
    <row r="834" spans="17:17" ht="12.75" customHeight="1">
      <c r="Q834" s="57"/>
    </row>
    <row r="835" spans="17:17" ht="12.75" customHeight="1">
      <c r="Q835" s="57"/>
    </row>
    <row r="836" spans="17:17" ht="12.75" customHeight="1">
      <c r="Q836" s="57"/>
    </row>
    <row r="837" spans="17:17" ht="12.75" customHeight="1">
      <c r="Q837" s="57"/>
    </row>
    <row r="838" spans="17:17" ht="12.75" customHeight="1">
      <c r="Q838" s="57"/>
    </row>
    <row r="839" spans="17:17" ht="12.75" customHeight="1">
      <c r="Q839" s="57"/>
    </row>
    <row r="840" spans="17:17" ht="12.75" customHeight="1">
      <c r="Q840" s="57"/>
    </row>
    <row r="841" spans="17:17" ht="12.75" customHeight="1">
      <c r="Q841" s="57"/>
    </row>
    <row r="842" spans="17:17" ht="12.75" customHeight="1">
      <c r="Q842" s="57"/>
    </row>
    <row r="843" spans="17:17" ht="12.75" customHeight="1">
      <c r="Q843" s="57"/>
    </row>
    <row r="844" spans="17:17" ht="12.75" customHeight="1">
      <c r="Q844" s="57"/>
    </row>
    <row r="845" spans="17:17" ht="12.75" customHeight="1">
      <c r="Q845" s="57"/>
    </row>
    <row r="846" spans="17:17" ht="12.75" customHeight="1">
      <c r="Q846" s="57"/>
    </row>
    <row r="847" spans="17:17" ht="12.75" customHeight="1">
      <c r="Q847" s="57"/>
    </row>
    <row r="848" spans="17:17" ht="12.75" customHeight="1">
      <c r="Q848" s="57"/>
    </row>
    <row r="849" spans="17:17" ht="12.75" customHeight="1">
      <c r="Q849" s="57"/>
    </row>
    <row r="850" spans="17:17" ht="12.75" customHeight="1">
      <c r="Q850" s="57"/>
    </row>
    <row r="851" spans="17:17" ht="12.75" customHeight="1">
      <c r="Q851" s="57"/>
    </row>
    <row r="852" spans="17:17" ht="12.75" customHeight="1">
      <c r="Q852" s="57"/>
    </row>
    <row r="853" spans="17:17" ht="12.75" customHeight="1">
      <c r="Q853" s="57"/>
    </row>
    <row r="854" spans="17:17" ht="12.75" customHeight="1">
      <c r="Q854" s="57"/>
    </row>
    <row r="855" spans="17:17" ht="12.75" customHeight="1">
      <c r="Q855" s="57"/>
    </row>
    <row r="856" spans="17:17" ht="12.75" customHeight="1">
      <c r="Q856" s="57"/>
    </row>
    <row r="857" spans="17:17" ht="12.75" customHeight="1">
      <c r="Q857" s="57"/>
    </row>
    <row r="858" spans="17:17" ht="12.75" customHeight="1">
      <c r="Q858" s="57"/>
    </row>
    <row r="859" spans="17:17" ht="12.75" customHeight="1">
      <c r="Q859" s="57"/>
    </row>
    <row r="860" spans="17:17" ht="12.75" customHeight="1">
      <c r="Q860" s="57"/>
    </row>
    <row r="861" spans="17:17" ht="12.75" customHeight="1">
      <c r="Q861" s="57"/>
    </row>
    <row r="862" spans="17:17" ht="12.75" customHeight="1">
      <c r="Q862" s="57"/>
    </row>
    <row r="863" spans="17:17" ht="12.75" customHeight="1">
      <c r="Q863" s="57"/>
    </row>
    <row r="864" spans="17:17" ht="12.75" customHeight="1">
      <c r="Q864" s="57"/>
    </row>
    <row r="865" spans="17:17" ht="12.75" customHeight="1">
      <c r="Q865" s="57"/>
    </row>
    <row r="866" spans="17:17" ht="12.75" customHeight="1">
      <c r="Q866" s="57"/>
    </row>
    <row r="867" spans="17:17" ht="12.75" customHeight="1">
      <c r="Q867" s="57"/>
    </row>
    <row r="868" spans="17:17" ht="12.75" customHeight="1">
      <c r="Q868" s="57"/>
    </row>
    <row r="869" spans="17:17" ht="12.75" customHeight="1">
      <c r="Q869" s="57"/>
    </row>
    <row r="870" spans="17:17" ht="12.75" customHeight="1">
      <c r="Q870" s="57"/>
    </row>
    <row r="871" spans="17:17" ht="12.75" customHeight="1">
      <c r="Q871" s="57"/>
    </row>
    <row r="872" spans="17:17" ht="12.75" customHeight="1">
      <c r="Q872" s="57"/>
    </row>
    <row r="873" spans="17:17" ht="12.75" customHeight="1">
      <c r="Q873" s="57"/>
    </row>
    <row r="874" spans="17:17" ht="12.75" customHeight="1">
      <c r="Q874" s="57"/>
    </row>
    <row r="875" spans="17:17" ht="12.75" customHeight="1">
      <c r="Q875" s="57"/>
    </row>
    <row r="876" spans="17:17" ht="12.75" customHeight="1">
      <c r="Q876" s="57"/>
    </row>
    <row r="877" spans="17:17" ht="12.75" customHeight="1">
      <c r="Q877" s="57"/>
    </row>
    <row r="878" spans="17:17" ht="12.75" customHeight="1">
      <c r="Q878" s="57"/>
    </row>
    <row r="879" spans="17:17" ht="12.75" customHeight="1">
      <c r="Q879" s="57"/>
    </row>
    <row r="880" spans="17:17" ht="12.75" customHeight="1">
      <c r="Q880" s="57"/>
    </row>
    <row r="881" spans="17:17" ht="12.75" customHeight="1">
      <c r="Q881" s="57"/>
    </row>
    <row r="882" spans="17:17" ht="12.75" customHeight="1">
      <c r="Q882" s="57"/>
    </row>
    <row r="883" spans="17:17" ht="12.75" customHeight="1">
      <c r="Q883" s="57"/>
    </row>
    <row r="884" spans="17:17" ht="12.75" customHeight="1">
      <c r="Q884" s="57"/>
    </row>
    <row r="885" spans="17:17" ht="12.75" customHeight="1">
      <c r="Q885" s="57"/>
    </row>
    <row r="886" spans="17:17" ht="12.75" customHeight="1">
      <c r="Q886" s="57"/>
    </row>
    <row r="887" spans="17:17" ht="12.75" customHeight="1">
      <c r="Q887" s="57"/>
    </row>
    <row r="888" spans="17:17" ht="12.75" customHeight="1">
      <c r="Q888" s="57"/>
    </row>
    <row r="889" spans="17:17" ht="12.75" customHeight="1">
      <c r="Q889" s="57"/>
    </row>
    <row r="890" spans="17:17" ht="12.75" customHeight="1">
      <c r="Q890" s="57"/>
    </row>
    <row r="891" spans="17:17" ht="12.75" customHeight="1">
      <c r="Q891" s="57"/>
    </row>
    <row r="892" spans="17:17" ht="12.75" customHeight="1">
      <c r="Q892" s="57"/>
    </row>
    <row r="893" spans="17:17" ht="12.75" customHeight="1">
      <c r="Q893" s="57"/>
    </row>
    <row r="894" spans="17:17" ht="12.75" customHeight="1">
      <c r="Q894" s="57"/>
    </row>
    <row r="895" spans="17:17" ht="12.75" customHeight="1">
      <c r="Q895" s="57"/>
    </row>
    <row r="896" spans="17:17" ht="12.75" customHeight="1">
      <c r="Q896" s="57"/>
    </row>
    <row r="897" spans="17:17" ht="12.75" customHeight="1">
      <c r="Q897" s="57"/>
    </row>
    <row r="898" spans="17:17" ht="12.75" customHeight="1">
      <c r="Q898" s="57"/>
    </row>
    <row r="899" spans="17:17" ht="12.75" customHeight="1">
      <c r="Q899" s="57"/>
    </row>
    <row r="900" spans="17:17" ht="12.75" customHeight="1">
      <c r="Q900" s="57"/>
    </row>
    <row r="901" spans="17:17" ht="12.75" customHeight="1">
      <c r="Q901" s="57"/>
    </row>
    <row r="902" spans="17:17" ht="12.75" customHeight="1">
      <c r="Q902" s="57"/>
    </row>
    <row r="903" spans="17:17" ht="12.75" customHeight="1">
      <c r="Q903" s="57"/>
    </row>
    <row r="904" spans="17:17" ht="12.75" customHeight="1">
      <c r="Q904" s="57"/>
    </row>
    <row r="905" spans="17:17" ht="12.75" customHeight="1">
      <c r="Q905" s="57"/>
    </row>
    <row r="906" spans="17:17" ht="12.75" customHeight="1">
      <c r="Q906" s="57"/>
    </row>
    <row r="907" spans="17:17" ht="12.75" customHeight="1">
      <c r="Q907" s="57"/>
    </row>
    <row r="908" spans="17:17" ht="12.75" customHeight="1">
      <c r="Q908" s="57"/>
    </row>
    <row r="909" spans="17:17" ht="12.75" customHeight="1">
      <c r="Q909" s="57"/>
    </row>
    <row r="910" spans="17:17" ht="12.75" customHeight="1">
      <c r="Q910" s="57"/>
    </row>
    <row r="911" spans="17:17" ht="12.75" customHeight="1">
      <c r="Q911" s="57"/>
    </row>
    <row r="912" spans="17:17" ht="12.75" customHeight="1">
      <c r="Q912" s="57"/>
    </row>
    <row r="913" spans="17:17" ht="12.75" customHeight="1">
      <c r="Q913" s="57"/>
    </row>
    <row r="914" spans="17:17" ht="12.75" customHeight="1">
      <c r="Q914" s="57"/>
    </row>
    <row r="915" spans="17:17" ht="12.75" customHeight="1">
      <c r="Q915" s="57"/>
    </row>
    <row r="916" spans="17:17" ht="12.75" customHeight="1">
      <c r="Q916" s="57"/>
    </row>
    <row r="917" spans="17:17" ht="12.75" customHeight="1">
      <c r="Q917" s="57"/>
    </row>
    <row r="918" spans="17:17" ht="12.75" customHeight="1">
      <c r="Q918" s="57"/>
    </row>
    <row r="919" spans="17:17" ht="12.75" customHeight="1">
      <c r="Q919" s="57"/>
    </row>
    <row r="920" spans="17:17" ht="12.75" customHeight="1">
      <c r="Q920" s="57"/>
    </row>
    <row r="921" spans="17:17" ht="12.75" customHeight="1">
      <c r="Q921" s="57"/>
    </row>
    <row r="922" spans="17:17" ht="12.75" customHeight="1">
      <c r="Q922" s="57"/>
    </row>
    <row r="923" spans="17:17" ht="12.75" customHeight="1">
      <c r="Q923" s="57"/>
    </row>
    <row r="924" spans="17:17" ht="12.75" customHeight="1">
      <c r="Q924" s="57"/>
    </row>
    <row r="925" spans="17:17" ht="12.75" customHeight="1">
      <c r="Q925" s="57"/>
    </row>
    <row r="926" spans="17:17" ht="12.75" customHeight="1">
      <c r="Q926" s="57"/>
    </row>
    <row r="927" spans="17:17" ht="12.75" customHeight="1">
      <c r="Q927" s="57"/>
    </row>
    <row r="928" spans="17:17" ht="12.75" customHeight="1">
      <c r="Q928" s="57"/>
    </row>
    <row r="929" spans="17:17" ht="12.75" customHeight="1">
      <c r="Q929" s="57"/>
    </row>
    <row r="930" spans="17:17" ht="12.75" customHeight="1">
      <c r="Q930" s="57"/>
    </row>
    <row r="931" spans="17:17" ht="12.75" customHeight="1">
      <c r="Q931" s="57"/>
    </row>
    <row r="932" spans="17:17" ht="12.75" customHeight="1">
      <c r="Q932" s="57"/>
    </row>
    <row r="933" spans="17:17" ht="12.75" customHeight="1">
      <c r="Q933" s="57"/>
    </row>
    <row r="934" spans="17:17" ht="12.75" customHeight="1">
      <c r="Q934" s="57"/>
    </row>
    <row r="935" spans="17:17" ht="12.75" customHeight="1">
      <c r="Q935" s="57"/>
    </row>
    <row r="936" spans="17:17" ht="12.75" customHeight="1">
      <c r="Q936" s="57"/>
    </row>
    <row r="937" spans="17:17" ht="12.75" customHeight="1">
      <c r="Q937" s="57"/>
    </row>
    <row r="938" spans="17:17" ht="12.75" customHeight="1">
      <c r="Q938" s="57"/>
    </row>
    <row r="939" spans="17:17" ht="12.75" customHeight="1">
      <c r="Q939" s="57"/>
    </row>
    <row r="940" spans="17:17" ht="12.75" customHeight="1">
      <c r="Q940" s="57"/>
    </row>
    <row r="941" spans="17:17" ht="12.75" customHeight="1">
      <c r="Q941" s="57"/>
    </row>
    <row r="942" spans="17:17" ht="12.75" customHeight="1">
      <c r="Q942" s="57"/>
    </row>
    <row r="943" spans="17:17" ht="12.75" customHeight="1">
      <c r="Q943" s="57"/>
    </row>
    <row r="944" spans="17:17" ht="12.75" customHeight="1">
      <c r="Q944" s="57"/>
    </row>
    <row r="945" spans="17:17" ht="12.75" customHeight="1">
      <c r="Q945" s="57"/>
    </row>
    <row r="946" spans="17:17" ht="12.75" customHeight="1">
      <c r="Q946" s="57"/>
    </row>
    <row r="947" spans="17:17" ht="12.75" customHeight="1">
      <c r="Q947" s="57"/>
    </row>
    <row r="948" spans="17:17" ht="12.75" customHeight="1">
      <c r="Q948" s="57"/>
    </row>
    <row r="949" spans="17:17" ht="12.75" customHeight="1">
      <c r="Q949" s="57"/>
    </row>
    <row r="950" spans="17:17" ht="12.75" customHeight="1">
      <c r="Q950" s="57"/>
    </row>
    <row r="951" spans="17:17" ht="12.75" customHeight="1">
      <c r="Q951" s="57"/>
    </row>
    <row r="952" spans="17:17" ht="12.75" customHeight="1">
      <c r="Q952" s="57"/>
    </row>
    <row r="953" spans="17:17" ht="12.75" customHeight="1">
      <c r="Q953" s="57"/>
    </row>
    <row r="954" spans="17:17" ht="12.75" customHeight="1">
      <c r="Q954" s="57"/>
    </row>
    <row r="955" spans="17:17" ht="12.75" customHeight="1">
      <c r="Q955" s="57"/>
    </row>
    <row r="956" spans="17:17" ht="12.75" customHeight="1">
      <c r="Q956" s="57"/>
    </row>
    <row r="957" spans="17:17" ht="12.75" customHeight="1">
      <c r="Q957" s="57"/>
    </row>
    <row r="958" spans="17:17" ht="12.75" customHeight="1">
      <c r="Q958" s="57"/>
    </row>
    <row r="959" spans="17:17" ht="12.75" customHeight="1">
      <c r="Q959" s="57"/>
    </row>
    <row r="960" spans="17:17" ht="12.75" customHeight="1">
      <c r="Q960" s="57"/>
    </row>
    <row r="961" spans="17:17" ht="12.75" customHeight="1">
      <c r="Q961" s="57"/>
    </row>
    <row r="962" spans="17:17" ht="12.75" customHeight="1">
      <c r="Q962" s="57"/>
    </row>
    <row r="963" spans="17:17" ht="12.75" customHeight="1">
      <c r="Q963" s="57"/>
    </row>
    <row r="964" spans="17:17" ht="12.75" customHeight="1">
      <c r="Q964" s="57"/>
    </row>
    <row r="965" spans="17:17" ht="12.75" customHeight="1">
      <c r="Q965" s="57"/>
    </row>
    <row r="966" spans="17:17" ht="12.75" customHeight="1">
      <c r="Q966" s="57"/>
    </row>
    <row r="967" spans="17:17" ht="12.75" customHeight="1">
      <c r="Q967" s="57"/>
    </row>
    <row r="968" spans="17:17" ht="12.75" customHeight="1">
      <c r="Q968" s="57"/>
    </row>
    <row r="969" spans="17:17" ht="12.75" customHeight="1">
      <c r="Q969" s="57"/>
    </row>
    <row r="970" spans="17:17" ht="12.75" customHeight="1">
      <c r="Q970" s="57"/>
    </row>
    <row r="971" spans="17:17" ht="12.75" customHeight="1">
      <c r="Q971" s="57"/>
    </row>
    <row r="972" spans="17:17" ht="12.75" customHeight="1">
      <c r="Q972" s="57"/>
    </row>
    <row r="973" spans="17:17" ht="12.75" customHeight="1">
      <c r="Q973" s="57"/>
    </row>
    <row r="974" spans="17:17" ht="12.75" customHeight="1">
      <c r="Q974" s="57"/>
    </row>
    <row r="975" spans="17:17" ht="12.75" customHeight="1">
      <c r="Q975" s="57"/>
    </row>
    <row r="976" spans="17:17" ht="12.75" customHeight="1">
      <c r="Q976" s="57"/>
    </row>
    <row r="977" spans="17:17" ht="12.75" customHeight="1">
      <c r="Q977" s="57"/>
    </row>
    <row r="978" spans="17:17" ht="12.75" customHeight="1">
      <c r="Q978" s="57"/>
    </row>
    <row r="979" spans="17:17" ht="12.75" customHeight="1">
      <c r="Q979" s="57"/>
    </row>
    <row r="980" spans="17:17" ht="12.75" customHeight="1">
      <c r="Q980" s="57"/>
    </row>
    <row r="981" spans="17:17" ht="12.75" customHeight="1">
      <c r="Q981" s="57"/>
    </row>
    <row r="982" spans="17:17" ht="12.75" customHeight="1">
      <c r="Q982" s="57"/>
    </row>
    <row r="983" spans="17:17" ht="12.75" customHeight="1">
      <c r="Q983" s="57"/>
    </row>
    <row r="984" spans="17:17" ht="12.75" customHeight="1">
      <c r="Q984" s="57"/>
    </row>
    <row r="985" spans="17:17" ht="12.75" customHeight="1">
      <c r="Q985" s="57"/>
    </row>
    <row r="986" spans="17:17" ht="12.75" customHeight="1">
      <c r="Q986" s="57"/>
    </row>
    <row r="987" spans="17:17" ht="12.75" customHeight="1">
      <c r="Q987" s="57"/>
    </row>
    <row r="988" spans="17:17" ht="12.75" customHeight="1">
      <c r="Q988" s="57"/>
    </row>
    <row r="989" spans="17:17" ht="12.75" customHeight="1">
      <c r="Q989" s="57"/>
    </row>
    <row r="990" spans="17:17" ht="12.75" customHeight="1">
      <c r="Q990" s="57"/>
    </row>
    <row r="991" spans="17:17" ht="12.75" customHeight="1">
      <c r="Q991" s="57"/>
    </row>
    <row r="992" spans="17:17" ht="12.75" customHeight="1">
      <c r="Q992" s="57"/>
    </row>
    <row r="993" spans="17:17" ht="12.75" customHeight="1">
      <c r="Q993" s="57"/>
    </row>
    <row r="994" spans="17:17" ht="12.75" customHeight="1">
      <c r="Q994" s="57"/>
    </row>
    <row r="995" spans="17:17" ht="12.75" customHeight="1">
      <c r="Q995" s="57"/>
    </row>
    <row r="996" spans="17:17" ht="12.75" customHeight="1">
      <c r="Q996" s="57"/>
    </row>
    <row r="997" spans="17:17" ht="12.75" customHeight="1">
      <c r="Q997" s="57"/>
    </row>
    <row r="998" spans="17:17" ht="12.75" customHeight="1">
      <c r="Q998" s="57"/>
    </row>
    <row r="999" spans="17:17" ht="12.75" customHeight="1">
      <c r="Q999" s="57"/>
    </row>
    <row r="1000" spans="17:17" ht="12.75" customHeight="1">
      <c r="Q1000" s="57"/>
    </row>
  </sheetData>
  <mergeCells count="7">
    <mergeCell ref="D6:G6"/>
    <mergeCell ref="I6:L6"/>
    <mergeCell ref="B1:O1"/>
    <mergeCell ref="B2:O2"/>
    <mergeCell ref="B3:O3"/>
    <mergeCell ref="D5:L5"/>
    <mergeCell ref="N5:O5"/>
  </mergeCells>
  <conditionalFormatting sqref="N8:N39">
    <cfRule type="cellIs" dxfId="452" priority="3" stopIfTrue="1" operator="greaterThanOrEqual">
      <formula>0</formula>
    </cfRule>
    <cfRule type="cellIs" dxfId="451" priority="4" stopIfTrue="1" operator="lessThan">
      <formula>0</formula>
    </cfRule>
  </conditionalFormatting>
  <conditionalFormatting sqref="O8:P20 N21:P25 O26:P39 N26:N59 O42:O59 P68:P71">
    <cfRule type="cellIs" dxfId="450" priority="1" stopIfTrue="1" operator="greaterThan">
      <formula>$N$67</formula>
    </cfRule>
    <cfRule type="cellIs" dxfId="449" priority="2" stopIfTrue="1" operator="lessThanOrEqual">
      <formula>$N$67</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BB5FF92374724C866D2AF3678E7500" ma:contentTypeVersion="2" ma:contentTypeDescription="Create a new document." ma:contentTypeScope="" ma:versionID="e3d99f2ae04a1db403888c9c33c9a766">
  <xsd:schema xmlns:xsd="http://www.w3.org/2001/XMLSchema" xmlns:xs="http://www.w3.org/2001/XMLSchema" xmlns:p="http://schemas.microsoft.com/office/2006/metadata/properties" xmlns:ns2="aa033ce2-c027-4aaa-a008-362fbd133e62" targetNamespace="http://schemas.microsoft.com/office/2006/metadata/properties" ma:root="true" ma:fieldsID="de315188086d2319f036a9756de4f276" ns2:_="">
    <xsd:import namespace="aa033ce2-c027-4aaa-a008-362fbd133e6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033ce2-c027-4aaa-a008-362fbd133e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146375-64FF-4B14-B672-840EA49DAE17}">
  <ds:schemaRefs>
    <ds:schemaRef ds:uri="http://schemas.microsoft.com/sharepoint/v3/contenttype/forms"/>
  </ds:schemaRefs>
</ds:datastoreItem>
</file>

<file path=customXml/itemProps2.xml><?xml version="1.0" encoding="utf-8"?>
<ds:datastoreItem xmlns:ds="http://schemas.openxmlformats.org/officeDocument/2006/customXml" ds:itemID="{3130F726-B3D2-47B1-8EEF-445CE44DEE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9AE82F0-2BDA-473D-9341-3054F11A62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033ce2-c027-4aaa-a008-362fbd133e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Sheet1</vt:lpstr>
      <vt:lpstr>2004</vt:lpstr>
      <vt:lpstr>2005</vt:lpstr>
      <vt:lpstr>2006</vt:lpstr>
      <vt:lpstr>2007</vt:lpstr>
      <vt:lpstr>2008</vt:lpstr>
      <vt:lpstr>2009</vt:lpstr>
      <vt:lpstr>2010</vt:lpstr>
      <vt:lpstr>2011 </vt:lpstr>
      <vt:lpstr>2012</vt:lpstr>
      <vt:lpstr>2013 </vt:lpstr>
      <vt:lpstr>2014</vt:lpstr>
      <vt:lpstr>2015</vt:lpstr>
      <vt:lpstr>2016</vt:lpstr>
      <vt:lpstr>2017</vt:lpstr>
      <vt:lpstr>2018</vt:lpstr>
      <vt:lpstr>2019</vt:lpstr>
      <vt:lpstr>2020</vt:lpstr>
      <vt:lpstr>2021</vt:lpstr>
      <vt:lpstr>2022</vt:lpstr>
      <vt:lpstr>2023 YTD</vt:lpstr>
      <vt:lpstr>2023 Working</vt:lpstr>
      <vt:lpstr>Equity Sector Weight</vt:lpstr>
      <vt:lpstr>Transactions</vt:lpstr>
      <vt:lpstr>Monthly Returns</vt:lpstr>
      <vt:lpstr>Tables_annual</vt:lpstr>
      <vt:lpstr>Market Cap</vt:lpstr>
      <vt:lpstr>'2023 YTD'!Print_Area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Schock, Michael</dc:creator>
  <cp:keywords/>
  <dc:description/>
  <cp:lastModifiedBy>Pan, Ming-Shiun</cp:lastModifiedBy>
  <cp:revision/>
  <dcterms:created xsi:type="dcterms:W3CDTF">2018-01-22T17:37:01Z</dcterms:created>
  <dcterms:modified xsi:type="dcterms:W3CDTF">2023-12-14T21:08:48Z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0x0101006DBB5FF92374724C866D2AF3678E7500</vt:lpwstr>
  </property>
</Properties>
</file>